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knoxdf1\IMCOM\AVN\WX_share\2022 Working Files\MEF\"/>
    </mc:Choice>
  </mc:AlternateContent>
  <bookViews>
    <workbookView xWindow="0" yWindow="86730" windowWidth="19200" windowHeight="11280" tabRatio="438" activeTab="3"/>
  </bookViews>
  <sheets>
    <sheet name="5-day" sheetId="12" r:id="rId1"/>
    <sheet name="Gold Standard" sheetId="20" state="hidden" r:id="rId2"/>
    <sheet name="MEF" sheetId="19" r:id="rId3"/>
    <sheet name="Worksheet" sheetId="10" r:id="rId4"/>
    <sheet name="Light Data " sheetId="5" state="hidden" r:id="rId5"/>
    <sheet name="MLT" sheetId="6" state="hidden" r:id="rId6"/>
    <sheet name="Climo" sheetId="7" state="hidden" r:id="rId7"/>
    <sheet name="calc" sheetId="16" state="hidden" r:id="rId8"/>
    <sheet name="TAF" sheetId="18" state="hidden" r:id="rId9"/>
  </sheets>
  <definedNames>
    <definedName name="ACFT">INDEX(MLT!$X:$X,MATCH(MEF!$AP$8,MLT!$B:$B,0))</definedName>
    <definedName name="OLE_LINK5" localSheetId="3">Worksheet!$AD$12</definedName>
    <definedName name="_xlnm.Print_Area" localSheetId="0">'5-day'!$AW$113:$CR$163,'5-day'!$B$2:$AK$41</definedName>
    <definedName name="_xlnm.Print_Area" localSheetId="1">'Gold Standard'!$A$1:$AX$27</definedName>
    <definedName name="_xlnm.Print_Area" localSheetId="2">MEF!$B$202:$AW$256</definedName>
    <definedName name="_xlnm.Print_Area" localSheetId="3">Worksheet!$A$469:$AF$548</definedName>
  </definedNames>
  <calcPr calcId="162913"/>
  <webPublishing allowPng="1" targetScreenSize="1024x768" codePage="2012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" i="18" l="1"/>
  <c r="R7" i="18" l="1"/>
  <c r="AT29" i="5" l="1"/>
  <c r="AT30" i="5"/>
  <c r="AU30" i="5" s="1"/>
  <c r="AT31" i="5"/>
  <c r="AU31" i="5" s="1"/>
  <c r="AT32" i="5"/>
  <c r="AU32" i="5" s="1"/>
  <c r="AT33" i="5"/>
  <c r="AT34" i="5"/>
  <c r="AU34" i="5" s="1"/>
  <c r="AT35" i="5"/>
  <c r="AU35" i="5" s="1"/>
  <c r="AT36" i="5"/>
  <c r="AU36" i="5" s="1"/>
  <c r="AT38" i="5"/>
  <c r="AU38" i="5" s="1"/>
  <c r="AT39" i="5"/>
  <c r="AU39" i="5" s="1"/>
  <c r="AV39" i="5"/>
  <c r="AT40" i="5"/>
  <c r="AU40" i="5" s="1"/>
  <c r="AT41" i="5"/>
  <c r="AT42" i="5"/>
  <c r="AU42" i="5" s="1"/>
  <c r="AV42" i="5"/>
  <c r="AT43" i="5"/>
  <c r="AU43" i="5" s="1"/>
  <c r="AT44" i="5"/>
  <c r="AU44" i="5" s="1"/>
  <c r="AT45" i="5"/>
  <c r="AT47" i="5"/>
  <c r="AU47" i="5" s="1"/>
  <c r="AT48" i="5"/>
  <c r="AU48" i="5" s="1"/>
  <c r="AT49" i="5"/>
  <c r="AX49" i="5" s="1"/>
  <c r="AT50" i="5"/>
  <c r="AU50" i="5" s="1"/>
  <c r="AT51" i="5"/>
  <c r="AU51" i="5" s="1"/>
  <c r="AT52" i="5"/>
  <c r="AU52" i="5" s="1"/>
  <c r="AT53" i="5"/>
  <c r="AW53" i="5" s="1"/>
  <c r="AT54" i="5"/>
  <c r="AU54" i="5" s="1"/>
  <c r="AV54" i="5"/>
  <c r="AT56" i="5"/>
  <c r="AU56" i="5" s="1"/>
  <c r="AT57" i="5"/>
  <c r="AT58" i="5"/>
  <c r="AU58" i="5" s="1"/>
  <c r="AT59" i="5"/>
  <c r="AU59" i="5" s="1"/>
  <c r="AT60" i="5"/>
  <c r="AU60" i="5" s="1"/>
  <c r="AT61" i="5"/>
  <c r="AT62" i="5"/>
  <c r="AU62" i="5" s="1"/>
  <c r="AT63" i="5"/>
  <c r="AU63" i="5" s="1"/>
  <c r="AT65" i="5"/>
  <c r="AT66" i="5"/>
  <c r="AV66" i="5" s="1"/>
  <c r="AT67" i="5"/>
  <c r="AU67" i="5" s="1"/>
  <c r="AT68" i="5"/>
  <c r="AU68" i="5" s="1"/>
  <c r="AT69" i="5"/>
  <c r="AT70" i="5"/>
  <c r="AU70" i="5" s="1"/>
  <c r="AT71" i="5"/>
  <c r="AU71" i="5" s="1"/>
  <c r="AT72" i="5"/>
  <c r="AU72" i="5" s="1"/>
  <c r="AT74" i="5"/>
  <c r="AU74" i="5" s="1"/>
  <c r="AT75" i="5"/>
  <c r="AU75" i="5" s="1"/>
  <c r="AT76" i="5"/>
  <c r="AU76" i="5" s="1"/>
  <c r="AT77" i="5"/>
  <c r="AT78" i="5"/>
  <c r="AV78" i="5" s="1"/>
  <c r="AT79" i="5"/>
  <c r="AU79" i="5" s="1"/>
  <c r="AT80" i="5"/>
  <c r="AU80" i="5" s="1"/>
  <c r="AT81" i="5"/>
  <c r="AT83" i="5"/>
  <c r="AU83" i="5" s="1"/>
  <c r="AT85" i="5"/>
  <c r="AT86" i="5"/>
  <c r="AU86" i="5" s="1"/>
  <c r="AT87" i="5"/>
  <c r="AU87" i="5" s="1"/>
  <c r="AT88" i="5"/>
  <c r="AU88" i="5" s="1"/>
  <c r="AT89" i="5"/>
  <c r="AT90" i="5"/>
  <c r="AV90" i="5" s="1"/>
  <c r="AT92" i="5"/>
  <c r="AU92" i="5" s="1"/>
  <c r="AT94" i="5"/>
  <c r="AV94" i="5" s="1"/>
  <c r="AU94" i="5"/>
  <c r="AT95" i="5"/>
  <c r="AU95" i="5" s="1"/>
  <c r="AT96" i="5"/>
  <c r="AU96" i="5" s="1"/>
  <c r="AT97" i="5"/>
  <c r="AT98" i="5"/>
  <c r="AU98" i="5" s="1"/>
  <c r="AT99" i="5"/>
  <c r="AU99" i="5" s="1"/>
  <c r="AT101" i="5"/>
  <c r="AT103" i="5"/>
  <c r="AU103" i="5" s="1"/>
  <c r="AT104" i="5"/>
  <c r="AU104" i="5" s="1"/>
  <c r="AV104" i="5"/>
  <c r="AT105" i="5"/>
  <c r="AW105" i="5" s="1"/>
  <c r="AT106" i="5"/>
  <c r="AV106" i="5" s="1"/>
  <c r="AT107" i="5"/>
  <c r="AU107" i="5" s="1"/>
  <c r="AT108" i="5"/>
  <c r="AU108" i="5" s="1"/>
  <c r="AT110" i="5"/>
  <c r="AV110" i="5" s="1"/>
  <c r="AU110" i="5"/>
  <c r="AT112" i="5"/>
  <c r="AU112" i="5" s="1"/>
  <c r="AT113" i="5"/>
  <c r="AT114" i="5"/>
  <c r="AV114" i="5" s="1"/>
  <c r="AT115" i="5"/>
  <c r="AU115" i="5" s="1"/>
  <c r="AT116" i="5"/>
  <c r="AV116" i="5" s="1"/>
  <c r="AT117" i="5"/>
  <c r="AT119" i="5"/>
  <c r="AU119" i="5" s="1"/>
  <c r="AT121" i="5"/>
  <c r="AT122" i="5"/>
  <c r="AU122" i="5" s="1"/>
  <c r="AT123" i="5"/>
  <c r="AU123" i="5" s="1"/>
  <c r="AT124" i="5"/>
  <c r="AV124" i="5" s="1"/>
  <c r="AT125" i="5"/>
  <c r="AT126" i="5"/>
  <c r="AV126" i="5" s="1"/>
  <c r="AT128" i="5"/>
  <c r="AU128" i="5" s="1"/>
  <c r="AT130" i="5"/>
  <c r="AU130" i="5" s="1"/>
  <c r="AT131" i="5"/>
  <c r="AU131" i="5" s="1"/>
  <c r="AT132" i="5"/>
  <c r="AU132" i="5" s="1"/>
  <c r="AT133" i="5"/>
  <c r="AT134" i="5"/>
  <c r="AV134" i="5" s="1"/>
  <c r="AT135" i="5"/>
  <c r="AU135" i="5" s="1"/>
  <c r="AV135" i="5"/>
  <c r="AT137" i="5"/>
  <c r="AT139" i="5"/>
  <c r="AU139" i="5" s="1"/>
  <c r="AV139" i="5"/>
  <c r="AT140" i="5"/>
  <c r="AU140" i="5" s="1"/>
  <c r="AV140" i="5"/>
  <c r="AT141" i="5"/>
  <c r="AW141" i="5" s="1"/>
  <c r="AT142" i="5"/>
  <c r="AV142" i="5" s="1"/>
  <c r="AT143" i="5"/>
  <c r="AV143" i="5" s="1"/>
  <c r="AT144" i="5"/>
  <c r="AU144" i="5" s="1"/>
  <c r="AT146" i="5"/>
  <c r="AV146" i="5" s="1"/>
  <c r="AT147" i="5"/>
  <c r="AV147" i="5" s="1"/>
  <c r="AT148" i="5"/>
  <c r="AV148" i="5" s="1"/>
  <c r="AU148" i="5"/>
  <c r="AT150" i="5"/>
  <c r="AV150" i="5" s="1"/>
  <c r="AU150" i="5"/>
  <c r="AT151" i="5"/>
  <c r="AU151" i="5" s="1"/>
  <c r="AT152" i="5"/>
  <c r="AU152" i="5" s="1"/>
  <c r="AT153" i="5"/>
  <c r="AW153" i="5" s="1"/>
  <c r="AT155" i="5"/>
  <c r="AU155" i="5" s="1"/>
  <c r="AT156" i="5"/>
  <c r="AU156" i="5" s="1"/>
  <c r="AT157" i="5"/>
  <c r="AT159" i="5"/>
  <c r="AV159" i="5" s="1"/>
  <c r="AT160" i="5"/>
  <c r="AU160" i="5" s="1"/>
  <c r="AV160" i="5"/>
  <c r="AT161" i="5"/>
  <c r="AT162" i="5"/>
  <c r="AV162" i="5" s="1"/>
  <c r="AT164" i="5"/>
  <c r="AU164" i="5" s="1"/>
  <c r="AV164" i="5"/>
  <c r="AT165" i="5"/>
  <c r="AT166" i="5"/>
  <c r="AV166" i="5" s="1"/>
  <c r="AT168" i="5"/>
  <c r="AV168" i="5" s="1"/>
  <c r="AU168" i="5"/>
  <c r="AT169" i="5"/>
  <c r="AT170" i="5"/>
  <c r="AV170" i="5" s="1"/>
  <c r="AT171" i="5"/>
  <c r="AU171" i="5" s="1"/>
  <c r="AT173" i="5"/>
  <c r="AT174" i="5"/>
  <c r="AV174" i="5" s="1"/>
  <c r="AT175" i="5"/>
  <c r="AU175" i="5" s="1"/>
  <c r="AT177" i="5"/>
  <c r="AW177" i="5" s="1"/>
  <c r="AT178" i="5"/>
  <c r="AV178" i="5" s="1"/>
  <c r="AU178" i="5"/>
  <c r="AT179" i="5"/>
  <c r="AU179" i="5" s="1"/>
  <c r="AT180" i="5"/>
  <c r="AU180" i="5" s="1"/>
  <c r="AT182" i="5"/>
  <c r="AV182" i="5" s="1"/>
  <c r="AT183" i="5"/>
  <c r="AU183" i="5" s="1"/>
  <c r="AT184" i="5"/>
  <c r="AU184" i="5" s="1"/>
  <c r="AT186" i="5"/>
  <c r="AV186" i="5" s="1"/>
  <c r="AT187" i="5"/>
  <c r="AU187" i="5" s="1"/>
  <c r="AT188" i="5"/>
  <c r="AU188" i="5" s="1"/>
  <c r="AT189" i="5"/>
  <c r="AW189" i="5" s="1"/>
  <c r="AT191" i="5"/>
  <c r="AU191" i="5" s="1"/>
  <c r="AT192" i="5"/>
  <c r="AU192" i="5" s="1"/>
  <c r="AT193" i="5"/>
  <c r="AT195" i="5"/>
  <c r="AU195" i="5" s="1"/>
  <c r="AT196" i="5"/>
  <c r="AU196" i="5" s="1"/>
  <c r="AV196" i="5"/>
  <c r="AT197" i="5"/>
  <c r="AT198" i="5"/>
  <c r="AV198" i="5" s="1"/>
  <c r="AT200" i="5"/>
  <c r="AU200" i="5" s="1"/>
  <c r="AT201" i="5"/>
  <c r="AT202" i="5"/>
  <c r="AV202" i="5" s="1"/>
  <c r="AU202" i="5"/>
  <c r="AT204" i="5"/>
  <c r="AU204" i="5" s="1"/>
  <c r="AT205" i="5"/>
  <c r="AT206" i="5"/>
  <c r="AV206" i="5" s="1"/>
  <c r="AT207" i="5"/>
  <c r="AU207" i="5" s="1"/>
  <c r="AT209" i="5"/>
  <c r="AU209" i="5" s="1"/>
  <c r="AT210" i="5"/>
  <c r="AV210" i="5" s="1"/>
  <c r="AT211" i="5"/>
  <c r="AU211" i="5" s="1"/>
  <c r="AT212" i="5"/>
  <c r="AU212" i="5" s="1"/>
  <c r="AT213" i="5"/>
  <c r="AU213" i="5" s="1"/>
  <c r="AT215" i="5"/>
  <c r="AU215" i="5" s="1"/>
  <c r="AT216" i="5"/>
  <c r="AU216" i="5" s="1"/>
  <c r="AT218" i="5"/>
  <c r="AV218" i="5" s="1"/>
  <c r="AT219" i="5"/>
  <c r="AU219" i="5" s="1"/>
  <c r="AT220" i="5"/>
  <c r="AU220" i="5" s="1"/>
  <c r="AT221" i="5"/>
  <c r="AU221" i="5" s="1"/>
  <c r="AT222" i="5"/>
  <c r="AV222" i="5" s="1"/>
  <c r="AT224" i="5"/>
  <c r="AU224" i="5" s="1"/>
  <c r="AT225" i="5"/>
  <c r="AU225" i="5" s="1"/>
  <c r="AT227" i="5"/>
  <c r="AU227" i="5" s="1"/>
  <c r="AT228" i="5"/>
  <c r="AU228" i="5" s="1"/>
  <c r="AT229" i="5"/>
  <c r="AU229" i="5" s="1"/>
  <c r="AT230" i="5"/>
  <c r="AV230" i="5" s="1"/>
  <c r="AT231" i="5"/>
  <c r="AU231" i="5" s="1"/>
  <c r="AV231" i="5"/>
  <c r="AT233" i="5"/>
  <c r="AU233" i="5" s="1"/>
  <c r="AT234" i="5"/>
  <c r="AU234" i="5" s="1"/>
  <c r="AT236" i="5"/>
  <c r="AU236" i="5" s="1"/>
  <c r="AT237" i="5"/>
  <c r="AU237" i="5" s="1"/>
  <c r="AT238" i="5"/>
  <c r="AV238" i="5" s="1"/>
  <c r="AT239" i="5"/>
  <c r="AU239" i="5" s="1"/>
  <c r="AT240" i="5"/>
  <c r="AU240" i="5" s="1"/>
  <c r="AT242" i="5"/>
  <c r="AV242" i="5" s="1"/>
  <c r="AT243" i="5"/>
  <c r="AU243" i="5" s="1"/>
  <c r="AT245" i="5"/>
  <c r="AU245" i="5" s="1"/>
  <c r="AT246" i="5"/>
  <c r="AV246" i="5" s="1"/>
  <c r="AU246" i="5"/>
  <c r="AT247" i="5"/>
  <c r="AU247" i="5" s="1"/>
  <c r="AT248" i="5"/>
  <c r="AV248" i="5" s="1"/>
  <c r="AT249" i="5"/>
  <c r="AU249" i="5" s="1"/>
  <c r="AT251" i="5"/>
  <c r="AU251" i="5" s="1"/>
  <c r="AT252" i="5"/>
  <c r="AU252" i="5" s="1"/>
  <c r="AT254" i="5"/>
  <c r="AV254" i="5" s="1"/>
  <c r="AT255" i="5"/>
  <c r="AU255" i="5" s="1"/>
  <c r="AT256" i="5"/>
  <c r="AV256" i="5" s="1"/>
  <c r="AT257" i="5"/>
  <c r="AU257" i="5" s="1"/>
  <c r="AT258" i="5"/>
  <c r="AV258" i="5" s="1"/>
  <c r="AT260" i="5"/>
  <c r="AV260" i="5" s="1"/>
  <c r="AT261" i="5"/>
  <c r="AU261" i="5" s="1"/>
  <c r="AT263" i="5"/>
  <c r="AU263" i="5" s="1"/>
  <c r="AV263" i="5"/>
  <c r="AT264" i="5"/>
  <c r="AV264" i="5" s="1"/>
  <c r="AT265" i="5"/>
  <c r="AU265" i="5" s="1"/>
  <c r="AT266" i="5"/>
  <c r="AV266" i="5" s="1"/>
  <c r="AU266" i="5"/>
  <c r="AT267" i="5"/>
  <c r="AU267" i="5" s="1"/>
  <c r="AT269" i="5"/>
  <c r="AU269" i="5" s="1"/>
  <c r="AT270" i="5"/>
  <c r="AV270" i="5" s="1"/>
  <c r="AT272" i="5"/>
  <c r="AU272" i="5" s="1"/>
  <c r="AT273" i="5"/>
  <c r="AU273" i="5" s="1"/>
  <c r="AT274" i="5"/>
  <c r="AV274" i="5" s="1"/>
  <c r="AT275" i="5"/>
  <c r="AU275" i="5" s="1"/>
  <c r="AT276" i="5"/>
  <c r="AV276" i="5" s="1"/>
  <c r="AT278" i="5"/>
  <c r="AV278" i="5" s="1"/>
  <c r="AT279" i="5"/>
  <c r="AU279" i="5" s="1"/>
  <c r="AT281" i="5"/>
  <c r="AU281" i="5" s="1"/>
  <c r="AT282" i="5"/>
  <c r="AV282" i="5" s="1"/>
  <c r="AT283" i="5"/>
  <c r="AU283" i="5" s="1"/>
  <c r="AT284" i="5"/>
  <c r="AV284" i="5" s="1"/>
  <c r="AT285" i="5"/>
  <c r="AU285" i="5" s="1"/>
  <c r="AT286" i="5"/>
  <c r="AV286" i="5" s="1"/>
  <c r="AU286" i="5"/>
  <c r="AT287" i="5"/>
  <c r="AU287" i="5" s="1"/>
  <c r="AT290" i="5"/>
  <c r="AV290" i="5" s="1"/>
  <c r="AT291" i="5"/>
  <c r="AU291" i="5" s="1"/>
  <c r="AT292" i="5"/>
  <c r="AU292" i="5" s="1"/>
  <c r="AT293" i="5"/>
  <c r="AU293" i="5" s="1"/>
  <c r="AT294" i="5"/>
  <c r="AV294" i="5" s="1"/>
  <c r="AT295" i="5"/>
  <c r="AV295" i="5" s="1"/>
  <c r="AT296" i="5"/>
  <c r="AU296" i="5" s="1"/>
  <c r="AT299" i="5"/>
  <c r="AU299" i="5" s="1"/>
  <c r="AT300" i="5"/>
  <c r="AU300" i="5" s="1"/>
  <c r="AT301" i="5"/>
  <c r="AU301" i="5" s="1"/>
  <c r="AT302" i="5"/>
  <c r="AV302" i="5" s="1"/>
  <c r="AT303" i="5"/>
  <c r="AU303" i="5" s="1"/>
  <c r="AT304" i="5"/>
  <c r="AU304" i="5" s="1"/>
  <c r="AT305" i="5"/>
  <c r="AU305" i="5" s="1"/>
  <c r="AW29" i="5"/>
  <c r="AX35" i="5"/>
  <c r="AW38" i="5"/>
  <c r="AW50" i="5"/>
  <c r="AY51" i="5"/>
  <c r="AX52" i="5"/>
  <c r="AW52" i="5"/>
  <c r="AW54" i="5"/>
  <c r="AY57" i="5"/>
  <c r="AW66" i="5"/>
  <c r="AX66" i="5"/>
  <c r="AY71" i="5"/>
  <c r="AW76" i="5"/>
  <c r="AX76" i="5"/>
  <c r="AW77" i="5"/>
  <c r="AX77" i="5"/>
  <c r="AX81" i="5"/>
  <c r="AW86" i="5"/>
  <c r="AX87" i="5"/>
  <c r="AW88" i="5"/>
  <c r="AW89" i="5"/>
  <c r="AX101" i="5"/>
  <c r="AW104" i="5"/>
  <c r="AY107" i="5"/>
  <c r="AX108" i="5"/>
  <c r="AW110" i="5"/>
  <c r="AX110" i="5"/>
  <c r="AY110" i="5"/>
  <c r="AW113" i="5"/>
  <c r="AX114" i="5"/>
  <c r="AW117" i="5"/>
  <c r="AW121" i="5"/>
  <c r="AW130" i="5"/>
  <c r="AW131" i="5"/>
  <c r="AW135" i="5"/>
  <c r="AW139" i="5"/>
  <c r="AX140" i="5"/>
  <c r="AW143" i="5"/>
  <c r="AW144" i="5"/>
  <c r="AY148" i="5"/>
  <c r="AX148" i="5"/>
  <c r="AW150" i="5"/>
  <c r="AY150" i="5"/>
  <c r="AW151" i="5"/>
  <c r="AX152" i="5"/>
  <c r="AW155" i="5"/>
  <c r="AW157" i="5"/>
  <c r="AW159" i="5"/>
  <c r="AX159" i="5"/>
  <c r="AY160" i="5"/>
  <c r="AW162" i="5"/>
  <c r="AW164" i="5"/>
  <c r="AX164" i="5"/>
  <c r="AY164" i="5"/>
  <c r="AX166" i="5"/>
  <c r="AY166" i="5"/>
  <c r="AW168" i="5"/>
  <c r="AX168" i="5"/>
  <c r="AX169" i="5"/>
  <c r="AW170" i="5"/>
  <c r="AY170" i="5"/>
  <c r="AX174" i="5"/>
  <c r="AY174" i="5"/>
  <c r="AW175" i="5"/>
  <c r="AY180" i="5"/>
  <c r="AW182" i="5"/>
  <c r="AX182" i="5"/>
  <c r="AY182" i="5"/>
  <c r="AW188" i="5"/>
  <c r="AW191" i="5"/>
  <c r="AX191" i="5"/>
  <c r="AW197" i="5"/>
  <c r="AX197" i="5"/>
  <c r="AX201" i="5"/>
  <c r="AW205" i="5"/>
  <c r="AX222" i="5"/>
  <c r="AW228" i="5"/>
  <c r="AX231" i="5"/>
  <c r="AW237" i="5"/>
  <c r="AX239" i="5"/>
  <c r="AX243" i="5"/>
  <c r="AW247" i="5"/>
  <c r="AX247" i="5"/>
  <c r="AY247" i="5"/>
  <c r="AY251" i="5"/>
  <c r="AW255" i="5"/>
  <c r="AX255" i="5"/>
  <c r="AW263" i="5"/>
  <c r="AX263" i="5"/>
  <c r="AY263" i="5"/>
  <c r="AX265" i="5"/>
  <c r="AX267" i="5"/>
  <c r="AX269" i="5"/>
  <c r="AY287" i="5"/>
  <c r="AX180" i="5" l="1"/>
  <c r="AY132" i="5"/>
  <c r="AW119" i="5"/>
  <c r="AW87" i="5"/>
  <c r="AX68" i="5"/>
  <c r="AU294" i="5"/>
  <c r="AU274" i="5"/>
  <c r="AU248" i="5"/>
  <c r="AU170" i="5"/>
  <c r="AV70" i="5"/>
  <c r="AX233" i="5"/>
  <c r="AX195" i="5"/>
  <c r="AX189" i="5"/>
  <c r="AW180" i="5"/>
  <c r="AY146" i="5"/>
  <c r="AX132" i="5"/>
  <c r="AW126" i="5"/>
  <c r="AU276" i="5"/>
  <c r="AV251" i="5"/>
  <c r="AV239" i="5"/>
  <c r="AV216" i="5"/>
  <c r="AU143" i="5"/>
  <c r="AX283" i="5"/>
  <c r="AY279" i="5"/>
  <c r="AW295" i="5"/>
  <c r="AW195" i="5"/>
  <c r="AW171" i="5"/>
  <c r="AW146" i="5"/>
  <c r="AW132" i="5"/>
  <c r="AW123" i="5"/>
  <c r="AW115" i="5"/>
  <c r="AY87" i="5"/>
  <c r="AV304" i="5"/>
  <c r="AU295" i="5"/>
  <c r="AV279" i="5"/>
  <c r="AV207" i="5"/>
  <c r="AU186" i="5"/>
  <c r="AV152" i="5"/>
  <c r="AU146" i="5"/>
  <c r="AV123" i="5"/>
  <c r="AV119" i="5"/>
  <c r="AV115" i="5"/>
  <c r="AU90" i="5"/>
  <c r="AV87" i="5"/>
  <c r="AV83" i="5"/>
  <c r="AV79" i="5"/>
  <c r="AV71" i="5"/>
  <c r="AU290" i="5"/>
  <c r="AV283" i="5"/>
  <c r="AU258" i="5"/>
  <c r="AV255" i="5"/>
  <c r="AU242" i="5"/>
  <c r="AV234" i="5"/>
  <c r="AV220" i="5"/>
  <c r="AU218" i="5"/>
  <c r="AV211" i="5"/>
  <c r="AU174" i="5"/>
  <c r="AV67" i="5"/>
  <c r="AV58" i="5"/>
  <c r="AV291" i="5"/>
  <c r="AV267" i="5"/>
  <c r="AV247" i="5"/>
  <c r="AV227" i="5"/>
  <c r="AU222" i="5"/>
  <c r="AV195" i="5"/>
  <c r="AU159" i="5"/>
  <c r="AV155" i="5"/>
  <c r="AU147" i="5"/>
  <c r="AV144" i="5"/>
  <c r="AU142" i="5"/>
  <c r="AV130" i="5"/>
  <c r="AU106" i="5"/>
  <c r="AV98" i="5"/>
  <c r="AU78" i="5"/>
  <c r="AV75" i="5"/>
  <c r="AV38" i="5"/>
  <c r="AV35" i="5"/>
  <c r="AV300" i="5"/>
  <c r="AU284" i="5"/>
  <c r="AU282" i="5"/>
  <c r="AU260" i="5"/>
  <c r="AV243" i="5"/>
  <c r="AV191" i="5"/>
  <c r="AV183" i="5"/>
  <c r="AV175" i="5"/>
  <c r="AV151" i="5"/>
  <c r="AV108" i="5"/>
  <c r="AU66" i="5"/>
  <c r="AV62" i="5"/>
  <c r="AV59" i="5"/>
  <c r="AV50" i="5"/>
  <c r="AW299" i="5"/>
  <c r="AW215" i="5"/>
  <c r="AX204" i="5"/>
  <c r="AW198" i="5"/>
  <c r="AX116" i="5"/>
  <c r="AW114" i="5"/>
  <c r="AX51" i="5"/>
  <c r="AU302" i="5"/>
  <c r="AY228" i="5"/>
  <c r="AX224" i="5"/>
  <c r="AW212" i="5"/>
  <c r="AW204" i="5"/>
  <c r="AW128" i="5"/>
  <c r="AY103" i="5"/>
  <c r="AV303" i="5"/>
  <c r="AV299" i="5"/>
  <c r="AV252" i="5"/>
  <c r="AV228" i="5"/>
  <c r="AV224" i="5"/>
  <c r="AV212" i="5"/>
  <c r="AV204" i="5"/>
  <c r="AU182" i="5"/>
  <c r="AV179" i="5"/>
  <c r="AU166" i="5"/>
  <c r="AU162" i="5"/>
  <c r="AU124" i="5"/>
  <c r="AV122" i="5"/>
  <c r="AV112" i="5"/>
  <c r="AV107" i="5"/>
  <c r="AV103" i="5"/>
  <c r="AV95" i="5"/>
  <c r="AV86" i="5"/>
  <c r="AV74" i="5"/>
  <c r="AV51" i="5"/>
  <c r="AV47" i="5"/>
  <c r="AX228" i="5"/>
  <c r="AW224" i="5"/>
  <c r="AX134" i="5"/>
  <c r="AX131" i="5"/>
  <c r="AY114" i="5"/>
  <c r="AW112" i="5"/>
  <c r="AW103" i="5"/>
  <c r="AX86" i="5"/>
  <c r="AV296" i="5"/>
  <c r="AV292" i="5"/>
  <c r="AV287" i="5"/>
  <c r="AU278" i="5"/>
  <c r="AV275" i="5"/>
  <c r="AU270" i="5"/>
  <c r="AU264" i="5"/>
  <c r="AU256" i="5"/>
  <c r="AU254" i="5"/>
  <c r="AU238" i="5"/>
  <c r="AU230" i="5"/>
  <c r="AV219" i="5"/>
  <c r="AV215" i="5"/>
  <c r="AU210" i="5"/>
  <c r="AU206" i="5"/>
  <c r="AU198" i="5"/>
  <c r="AV187" i="5"/>
  <c r="AV171" i="5"/>
  <c r="AU134" i="5"/>
  <c r="AV131" i="5"/>
  <c r="AU126" i="5"/>
  <c r="AU116" i="5"/>
  <c r="AU114" i="5"/>
  <c r="AV99" i="5"/>
  <c r="AV63" i="5"/>
  <c r="AV43" i="5"/>
  <c r="AW31" i="5"/>
  <c r="AV34" i="5"/>
  <c r="AV31" i="5"/>
  <c r="AV30" i="5"/>
  <c r="AU201" i="5"/>
  <c r="AV201" i="5"/>
  <c r="AU133" i="5"/>
  <c r="AV133" i="5"/>
  <c r="AU85" i="5"/>
  <c r="AV85" i="5"/>
  <c r="AU61" i="5"/>
  <c r="AV61" i="5"/>
  <c r="AY281" i="5"/>
  <c r="AY273" i="5"/>
  <c r="AW269" i="5"/>
  <c r="AW265" i="5"/>
  <c r="AY261" i="5"/>
  <c r="AY249" i="5"/>
  <c r="AX133" i="5"/>
  <c r="AV272" i="5"/>
  <c r="AV240" i="5"/>
  <c r="AV236" i="5"/>
  <c r="AU205" i="5"/>
  <c r="AV205" i="5"/>
  <c r="AU193" i="5"/>
  <c r="AV193" i="5"/>
  <c r="AU153" i="5"/>
  <c r="AV153" i="5"/>
  <c r="AU125" i="5"/>
  <c r="AV125" i="5"/>
  <c r="AU121" i="5"/>
  <c r="AV121" i="5"/>
  <c r="AU113" i="5"/>
  <c r="AV113" i="5"/>
  <c r="AU89" i="5"/>
  <c r="AV89" i="5"/>
  <c r="AU77" i="5"/>
  <c r="AV77" i="5"/>
  <c r="AU53" i="5"/>
  <c r="AV53" i="5"/>
  <c r="AU49" i="5"/>
  <c r="AV49" i="5"/>
  <c r="AU165" i="5"/>
  <c r="AV165" i="5"/>
  <c r="AU105" i="5"/>
  <c r="AV105" i="5"/>
  <c r="AX249" i="5"/>
  <c r="AY237" i="5"/>
  <c r="AX213" i="5"/>
  <c r="AW133" i="5"/>
  <c r="AX85" i="5"/>
  <c r="AV305" i="5"/>
  <c r="AV301" i="5"/>
  <c r="AV293" i="5"/>
  <c r="AV285" i="5"/>
  <c r="AV281" i="5"/>
  <c r="AV273" i="5"/>
  <c r="AV269" i="5"/>
  <c r="AV265" i="5"/>
  <c r="AV261" i="5"/>
  <c r="AV257" i="5"/>
  <c r="AV249" i="5"/>
  <c r="AV245" i="5"/>
  <c r="AV237" i="5"/>
  <c r="AV233" i="5"/>
  <c r="AV229" i="5"/>
  <c r="AV225" i="5"/>
  <c r="AV221" i="5"/>
  <c r="AV213" i="5"/>
  <c r="AV209" i="5"/>
  <c r="AU197" i="5"/>
  <c r="AV197" i="5"/>
  <c r="AU177" i="5"/>
  <c r="AV177" i="5"/>
  <c r="AU169" i="5"/>
  <c r="AV169" i="5"/>
  <c r="AU141" i="5"/>
  <c r="AV141" i="5"/>
  <c r="AU137" i="5"/>
  <c r="AV137" i="5"/>
  <c r="AU117" i="5"/>
  <c r="AV117" i="5"/>
  <c r="AU97" i="5"/>
  <c r="AV97" i="5"/>
  <c r="AU81" i="5"/>
  <c r="AV81" i="5"/>
  <c r="AU65" i="5"/>
  <c r="AV65" i="5"/>
  <c r="AU41" i="5"/>
  <c r="AV41" i="5"/>
  <c r="AU161" i="5"/>
  <c r="AV161" i="5"/>
  <c r="AU33" i="5"/>
  <c r="AV33" i="5"/>
  <c r="AX281" i="5"/>
  <c r="AX273" i="5"/>
  <c r="AX261" i="5"/>
  <c r="AW281" i="5"/>
  <c r="AW273" i="5"/>
  <c r="AY269" i="5"/>
  <c r="AY265" i="5"/>
  <c r="AW261" i="5"/>
  <c r="AW249" i="5"/>
  <c r="AX245" i="5"/>
  <c r="AX237" i="5"/>
  <c r="AU189" i="5"/>
  <c r="AV189" i="5"/>
  <c r="AU173" i="5"/>
  <c r="AV173" i="5"/>
  <c r="AU157" i="5"/>
  <c r="AV157" i="5"/>
  <c r="AU101" i="5"/>
  <c r="AV101" i="5"/>
  <c r="AU69" i="5"/>
  <c r="AV69" i="5"/>
  <c r="AU57" i="5"/>
  <c r="AV57" i="5"/>
  <c r="AU45" i="5"/>
  <c r="AV45" i="5"/>
  <c r="AU29" i="5"/>
  <c r="AV29" i="5"/>
  <c r="AV200" i="5"/>
  <c r="AV192" i="5"/>
  <c r="AV188" i="5"/>
  <c r="AV184" i="5"/>
  <c r="AV180" i="5"/>
  <c r="AV156" i="5"/>
  <c r="AV132" i="5"/>
  <c r="AV128" i="5"/>
  <c r="AV96" i="5"/>
  <c r="AV92" i="5"/>
  <c r="AV88" i="5"/>
  <c r="AV80" i="5"/>
  <c r="AV76" i="5"/>
  <c r="AV72" i="5"/>
  <c r="AV68" i="5"/>
  <c r="AV60" i="5"/>
  <c r="AV56" i="5"/>
  <c r="AV52" i="5"/>
  <c r="AV48" i="5"/>
  <c r="AV44" i="5"/>
  <c r="AV40" i="5"/>
  <c r="AV36" i="5"/>
  <c r="AV32" i="5"/>
  <c r="AX192" i="5"/>
  <c r="AY295" i="5"/>
  <c r="AX287" i="5"/>
  <c r="AX285" i="5"/>
  <c r="AW283" i="5"/>
  <c r="AX279" i="5"/>
  <c r="AX258" i="5"/>
  <c r="AY255" i="5"/>
  <c r="AW231" i="5"/>
  <c r="AY230" i="5"/>
  <c r="AY224" i="5"/>
  <c r="AY218" i="5"/>
  <c r="AW216" i="5"/>
  <c r="AY215" i="5"/>
  <c r="AY213" i="5"/>
  <c r="AX212" i="5"/>
  <c r="AY204" i="5"/>
  <c r="AW192" i="5"/>
  <c r="AY144" i="5"/>
  <c r="AY35" i="5"/>
  <c r="AY33" i="5"/>
  <c r="AY31" i="5"/>
  <c r="AY29" i="5"/>
  <c r="AX230" i="5"/>
  <c r="AX218" i="5"/>
  <c r="AX215" i="5"/>
  <c r="AX186" i="5"/>
  <c r="AX175" i="5"/>
  <c r="AW174" i="5"/>
  <c r="AX170" i="5"/>
  <c r="AW169" i="5"/>
  <c r="AY162" i="5"/>
  <c r="AY142" i="5"/>
  <c r="AY140" i="5"/>
  <c r="AY130" i="5"/>
  <c r="AY128" i="5"/>
  <c r="AY116" i="5"/>
  <c r="AY112" i="5"/>
  <c r="AW70" i="5"/>
  <c r="AY53" i="5"/>
  <c r="AX50" i="5"/>
  <c r="AX36" i="5"/>
  <c r="AX216" i="5"/>
  <c r="AY212" i="5"/>
  <c r="AY299" i="5"/>
  <c r="AX291" i="5"/>
  <c r="AY283" i="5"/>
  <c r="AX256" i="5"/>
  <c r="AX251" i="5"/>
  <c r="AY245" i="5"/>
  <c r="AY233" i="5"/>
  <c r="AY231" i="5"/>
  <c r="AW225" i="5"/>
  <c r="AY222" i="5"/>
  <c r="AY216" i="5"/>
  <c r="AY192" i="5"/>
  <c r="AW186" i="5"/>
  <c r="AX150" i="5"/>
  <c r="AX146" i="5"/>
  <c r="AX128" i="5"/>
  <c r="AY126" i="5"/>
  <c r="AX121" i="5"/>
  <c r="AY77" i="5"/>
  <c r="AX53" i="5"/>
  <c r="AW36" i="5"/>
  <c r="AX29" i="5"/>
  <c r="AW30" i="5"/>
  <c r="AW206" i="5"/>
  <c r="AY200" i="5"/>
  <c r="AW196" i="5"/>
  <c r="AW178" i="5"/>
  <c r="AW124" i="5"/>
  <c r="AX124" i="5"/>
  <c r="AW122" i="5"/>
  <c r="AW69" i="5"/>
  <c r="AX67" i="5"/>
  <c r="AW45" i="5"/>
  <c r="AX45" i="5"/>
  <c r="AW39" i="5"/>
  <c r="AW291" i="5"/>
  <c r="AW285" i="5"/>
  <c r="AW267" i="5"/>
  <c r="AW243" i="5"/>
  <c r="AW239" i="5"/>
  <c r="AW210" i="5"/>
  <c r="AY206" i="5"/>
  <c r="AY198" i="5"/>
  <c r="AY196" i="5"/>
  <c r="AY188" i="5"/>
  <c r="AY178" i="5"/>
  <c r="AW152" i="5"/>
  <c r="AW134" i="5"/>
  <c r="AW125" i="5"/>
  <c r="AX125" i="5"/>
  <c r="AW97" i="5"/>
  <c r="AY97" i="5"/>
  <c r="AW95" i="5"/>
  <c r="AX95" i="5"/>
  <c r="AX72" i="5"/>
  <c r="AW61" i="5"/>
  <c r="AX61" i="5"/>
  <c r="AW287" i="5"/>
  <c r="AW279" i="5"/>
  <c r="AW251" i="5"/>
  <c r="AW245" i="5"/>
  <c r="AW233" i="5"/>
  <c r="AW230" i="5"/>
  <c r="AY225" i="5"/>
  <c r="AW222" i="5"/>
  <c r="AY221" i="5"/>
  <c r="AW218" i="5"/>
  <c r="AW213" i="5"/>
  <c r="AY210" i="5"/>
  <c r="AY209" i="5"/>
  <c r="AX206" i="5"/>
  <c r="AX205" i="5"/>
  <c r="AY205" i="5"/>
  <c r="AX200" i="5"/>
  <c r="AX196" i="5"/>
  <c r="AX178" i="5"/>
  <c r="AW166" i="5"/>
  <c r="AW160" i="5"/>
  <c r="AX160" i="5"/>
  <c r="AW137" i="5"/>
  <c r="AX137" i="5"/>
  <c r="AY124" i="5"/>
  <c r="AY122" i="5"/>
  <c r="AW116" i="5"/>
  <c r="AY99" i="5"/>
  <c r="AW96" i="5"/>
  <c r="AY69" i="5"/>
  <c r="AW68" i="5"/>
  <c r="AY45" i="5"/>
  <c r="AW44" i="5"/>
  <c r="AX44" i="5"/>
  <c r="AX295" i="5"/>
  <c r="AX294" i="5"/>
  <c r="AY291" i="5"/>
  <c r="AY285" i="5"/>
  <c r="AX276" i="5"/>
  <c r="AX274" i="5"/>
  <c r="AX272" i="5"/>
  <c r="AX270" i="5"/>
  <c r="AY267" i="5"/>
  <c r="AY243" i="5"/>
  <c r="AY239" i="5"/>
  <c r="AX225" i="5"/>
  <c r="AX210" i="5"/>
  <c r="AW200" i="5"/>
  <c r="AX198" i="5"/>
  <c r="AX188" i="5"/>
  <c r="AW183" i="5"/>
  <c r="AX183" i="5"/>
  <c r="AW161" i="5"/>
  <c r="AX161" i="5"/>
  <c r="AY152" i="5"/>
  <c r="AW148" i="5"/>
  <c r="AW142" i="5"/>
  <c r="AX142" i="5"/>
  <c r="AW140" i="5"/>
  <c r="AY134" i="5"/>
  <c r="AX122" i="5"/>
  <c r="AY95" i="5"/>
  <c r="AW94" i="5"/>
  <c r="AX94" i="5"/>
  <c r="AX69" i="5"/>
  <c r="AY67" i="5"/>
  <c r="AY61" i="5"/>
  <c r="AW60" i="5"/>
  <c r="AX60" i="5"/>
  <c r="AX43" i="5"/>
  <c r="AY43" i="5"/>
  <c r="AY39" i="5"/>
  <c r="AY186" i="5"/>
  <c r="AY168" i="5"/>
  <c r="AX135" i="5"/>
  <c r="AX123" i="5"/>
  <c r="AX162" i="5"/>
  <c r="AX144" i="5"/>
  <c r="AX130" i="5"/>
  <c r="AX126" i="5"/>
  <c r="AX112" i="5"/>
  <c r="AY105" i="5"/>
  <c r="AX103" i="5"/>
  <c r="AY89" i="5"/>
  <c r="AX300" i="5"/>
  <c r="AX296" i="5"/>
  <c r="AX278" i="5"/>
  <c r="AX260" i="5"/>
  <c r="AX248" i="5"/>
  <c r="AX246" i="5"/>
  <c r="AX242" i="5"/>
  <c r="AX240" i="5"/>
  <c r="AX236" i="5"/>
  <c r="AX234" i="5"/>
  <c r="AY187" i="5"/>
  <c r="AY179" i="5"/>
  <c r="AY173" i="5"/>
  <c r="AW290" i="5"/>
  <c r="AY153" i="5"/>
  <c r="AY151" i="5"/>
  <c r="AY143" i="5"/>
  <c r="AY141" i="5"/>
  <c r="AY139" i="5"/>
  <c r="AW101" i="5"/>
  <c r="AW227" i="5"/>
  <c r="AX221" i="5"/>
  <c r="AW219" i="5"/>
  <c r="AX209" i="5"/>
  <c r="AW207" i="5"/>
  <c r="AY197" i="5"/>
  <c r="AY191" i="5"/>
  <c r="AX187" i="5"/>
  <c r="AY183" i="5"/>
  <c r="AX179" i="5"/>
  <c r="AX173" i="5"/>
  <c r="AY169" i="5"/>
  <c r="AW107" i="5"/>
  <c r="AX107" i="5"/>
  <c r="AW99" i="5"/>
  <c r="AX99" i="5"/>
  <c r="AY90" i="5"/>
  <c r="AW90" i="5"/>
  <c r="AX90" i="5"/>
  <c r="AY80" i="5"/>
  <c r="AW80" i="5"/>
  <c r="AX80" i="5"/>
  <c r="AY34" i="5"/>
  <c r="AW34" i="5"/>
  <c r="AX34" i="5"/>
  <c r="AX292" i="5"/>
  <c r="AX290" i="5"/>
  <c r="AX286" i="5"/>
  <c r="AX282" i="5"/>
  <c r="AX264" i="5"/>
  <c r="AX254" i="5"/>
  <c r="AX252" i="5"/>
  <c r="AY227" i="5"/>
  <c r="AY219" i="5"/>
  <c r="AY207" i="5"/>
  <c r="AY106" i="5"/>
  <c r="AW106" i="5"/>
  <c r="AX106" i="5"/>
  <c r="AY98" i="5"/>
  <c r="AW98" i="5"/>
  <c r="AX98" i="5"/>
  <c r="AW79" i="5"/>
  <c r="AX79" i="5"/>
  <c r="AY79" i="5"/>
  <c r="AW75" i="5"/>
  <c r="AX75" i="5"/>
  <c r="AY75" i="5"/>
  <c r="AW63" i="5"/>
  <c r="AX63" i="5"/>
  <c r="AY63" i="5"/>
  <c r="AW59" i="5"/>
  <c r="AX59" i="5"/>
  <c r="AY59" i="5"/>
  <c r="AY48" i="5"/>
  <c r="AW48" i="5"/>
  <c r="AX48" i="5"/>
  <c r="AY42" i="5"/>
  <c r="AW42" i="5"/>
  <c r="AW300" i="5"/>
  <c r="AW296" i="5"/>
  <c r="AW294" i="5"/>
  <c r="AW292" i="5"/>
  <c r="AW286" i="5"/>
  <c r="AW282" i="5"/>
  <c r="AW278" i="5"/>
  <c r="AW276" i="5"/>
  <c r="AW274" i="5"/>
  <c r="AW272" i="5"/>
  <c r="AW270" i="5"/>
  <c r="AW264" i="5"/>
  <c r="AW260" i="5"/>
  <c r="AW258" i="5"/>
  <c r="AW256" i="5"/>
  <c r="AW254" i="5"/>
  <c r="AW252" i="5"/>
  <c r="AW248" i="5"/>
  <c r="AW246" i="5"/>
  <c r="AW242" i="5"/>
  <c r="AW240" i="5"/>
  <c r="AW236" i="5"/>
  <c r="AW234" i="5"/>
  <c r="AX227" i="5"/>
  <c r="AX219" i="5"/>
  <c r="AX207" i="5"/>
  <c r="AY201" i="5"/>
  <c r="AY177" i="5"/>
  <c r="AY171" i="5"/>
  <c r="AY157" i="5"/>
  <c r="AY155" i="5"/>
  <c r="AY119" i="5"/>
  <c r="AY117" i="5"/>
  <c r="AY115" i="5"/>
  <c r="AY113" i="5"/>
  <c r="AW85" i="5"/>
  <c r="AY78" i="5"/>
  <c r="AX78" i="5"/>
  <c r="AW78" i="5"/>
  <c r="AY62" i="5"/>
  <c r="AX62" i="5"/>
  <c r="AW62" i="5"/>
  <c r="AY58" i="5"/>
  <c r="AW58" i="5"/>
  <c r="AX58" i="5"/>
  <c r="AW41" i="5"/>
  <c r="AX41" i="5"/>
  <c r="AY41" i="5"/>
  <c r="AX299" i="5"/>
  <c r="AY300" i="5"/>
  <c r="AY296" i="5"/>
  <c r="AY294" i="5"/>
  <c r="AY292" i="5"/>
  <c r="AY290" i="5"/>
  <c r="AY286" i="5"/>
  <c r="AY282" i="5"/>
  <c r="AY278" i="5"/>
  <c r="AY276" i="5"/>
  <c r="AY274" i="5"/>
  <c r="AY272" i="5"/>
  <c r="AY270" i="5"/>
  <c r="AY264" i="5"/>
  <c r="AY260" i="5"/>
  <c r="AY258" i="5"/>
  <c r="AY256" i="5"/>
  <c r="AY254" i="5"/>
  <c r="AY252" i="5"/>
  <c r="AY248" i="5"/>
  <c r="AY246" i="5"/>
  <c r="AY242" i="5"/>
  <c r="AY240" i="5"/>
  <c r="AY236" i="5"/>
  <c r="AY234" i="5"/>
  <c r="AW221" i="5"/>
  <c r="AW209" i="5"/>
  <c r="AW201" i="5"/>
  <c r="AY195" i="5"/>
  <c r="AY189" i="5"/>
  <c r="AW187" i="5"/>
  <c r="AW179" i="5"/>
  <c r="AX177" i="5"/>
  <c r="AY175" i="5"/>
  <c r="AW173" i="5"/>
  <c r="AX171" i="5"/>
  <c r="AY161" i="5"/>
  <c r="AY159" i="5"/>
  <c r="AX157" i="5"/>
  <c r="AX155" i="5"/>
  <c r="AX153" i="5"/>
  <c r="AX151" i="5"/>
  <c r="AX143" i="5"/>
  <c r="AX141" i="5"/>
  <c r="AX139" i="5"/>
  <c r="AY137" i="5"/>
  <c r="AY135" i="5"/>
  <c r="AY133" i="5"/>
  <c r="AY131" i="5"/>
  <c r="AY125" i="5"/>
  <c r="AY123" i="5"/>
  <c r="AY121" i="5"/>
  <c r="AX119" i="5"/>
  <c r="AX117" i="5"/>
  <c r="AX115" i="5"/>
  <c r="AX113" i="5"/>
  <c r="AY108" i="5"/>
  <c r="AW108" i="5"/>
  <c r="AY101" i="5"/>
  <c r="AY85" i="5"/>
  <c r="AW57" i="5"/>
  <c r="AX57" i="5"/>
  <c r="AX42" i="5"/>
  <c r="AY32" i="5"/>
  <c r="AW32" i="5"/>
  <c r="AX32" i="5"/>
  <c r="AY104" i="5"/>
  <c r="AY96" i="5"/>
  <c r="AY88" i="5"/>
  <c r="AW81" i="5"/>
  <c r="AY70" i="5"/>
  <c r="AX70" i="5"/>
  <c r="AY66" i="5"/>
  <c r="AY54" i="5"/>
  <c r="AX54" i="5"/>
  <c r="AY50" i="5"/>
  <c r="AW49" i="5"/>
  <c r="AY40" i="5"/>
  <c r="AW40" i="5"/>
  <c r="AX40" i="5"/>
  <c r="AW35" i="5"/>
  <c r="AX105" i="5"/>
  <c r="AX104" i="5"/>
  <c r="AX97" i="5"/>
  <c r="AX96" i="5"/>
  <c r="AY94" i="5"/>
  <c r="AX89" i="5"/>
  <c r="AX88" i="5"/>
  <c r="AY86" i="5"/>
  <c r="AY81" i="5"/>
  <c r="AY72" i="5"/>
  <c r="AW72" i="5"/>
  <c r="AW71" i="5"/>
  <c r="AX71" i="5"/>
  <c r="AW67" i="5"/>
  <c r="AW51" i="5"/>
  <c r="AY49" i="5"/>
  <c r="AW43" i="5"/>
  <c r="AW33" i="5"/>
  <c r="AX33" i="5"/>
  <c r="AY38" i="5"/>
  <c r="AY30" i="5"/>
  <c r="AY76" i="5"/>
  <c r="AY68" i="5"/>
  <c r="AY60" i="5"/>
  <c r="AY52" i="5"/>
  <c r="AY44" i="5"/>
  <c r="AX39" i="5"/>
  <c r="AX38" i="5"/>
  <c r="AY36" i="5"/>
  <c r="AX31" i="5"/>
  <c r="AX30" i="5"/>
  <c r="AO603" i="10"/>
  <c r="AO602" i="10"/>
  <c r="AO601" i="10"/>
  <c r="AO600" i="10"/>
  <c r="AO599" i="10"/>
  <c r="AO597" i="10"/>
  <c r="AO596" i="10"/>
  <c r="AO595" i="10"/>
  <c r="AO594" i="10"/>
  <c r="AO593" i="10"/>
  <c r="AO591" i="10"/>
  <c r="AO590" i="10"/>
  <c r="AO589" i="10"/>
  <c r="AO588" i="10"/>
  <c r="AO587" i="10"/>
  <c r="AO585" i="10"/>
  <c r="AO584" i="10"/>
  <c r="AO583" i="10"/>
  <c r="AO582" i="10"/>
  <c r="AO581" i="10"/>
  <c r="AO579" i="10"/>
  <c r="AO578" i="10"/>
  <c r="AO577" i="10"/>
  <c r="AO576" i="10"/>
  <c r="AO575" i="10"/>
  <c r="AO573" i="10"/>
  <c r="AO572" i="10"/>
  <c r="AO571" i="10"/>
  <c r="AO570" i="10"/>
  <c r="AO569" i="10"/>
  <c r="AO567" i="10"/>
  <c r="AO566" i="10"/>
  <c r="AO565" i="10"/>
  <c r="AO564" i="10"/>
  <c r="AO563" i="10"/>
  <c r="AO561" i="10"/>
  <c r="AO560" i="10"/>
  <c r="AO559" i="10"/>
  <c r="AO558" i="10"/>
  <c r="AO557" i="10"/>
  <c r="CH4" i="16" l="1"/>
  <c r="CH3" i="16" l="1"/>
  <c r="BN8" i="5" l="1"/>
  <c r="BM8" i="5"/>
  <c r="BN7" i="5"/>
  <c r="BM7" i="5"/>
  <c r="BM6" i="5"/>
  <c r="BN6" i="5" s="1"/>
  <c r="BN5" i="5"/>
  <c r="BM5" i="5"/>
  <c r="BN4" i="5"/>
  <c r="BM4" i="5"/>
  <c r="BM3" i="5"/>
  <c r="BN3" i="5" s="1"/>
  <c r="BM81" i="5"/>
  <c r="BN81" i="5" s="1"/>
  <c r="BN373" i="5"/>
  <c r="BN370" i="5"/>
  <c r="BN369" i="5"/>
  <c r="BN366" i="5"/>
  <c r="BN365" i="5"/>
  <c r="BN362" i="5"/>
  <c r="BN361" i="5"/>
  <c r="BN358" i="5"/>
  <c r="BN354" i="5"/>
  <c r="BN353" i="5"/>
  <c r="BN350" i="5"/>
  <c r="BN346" i="5"/>
  <c r="BN345" i="5"/>
  <c r="BN341" i="5"/>
  <c r="BN338" i="5"/>
  <c r="BN337" i="5"/>
  <c r="BN334" i="5"/>
  <c r="BN333" i="5"/>
  <c r="BN329" i="5"/>
  <c r="BN326" i="5"/>
  <c r="BN325" i="5"/>
  <c r="BN322" i="5"/>
  <c r="BN321" i="5"/>
  <c r="BN318" i="5"/>
  <c r="BN317" i="5"/>
  <c r="BN314" i="5"/>
  <c r="BN313" i="5"/>
  <c r="BN310" i="5"/>
  <c r="BN306" i="5"/>
  <c r="BN305" i="5"/>
  <c r="BN302" i="5"/>
  <c r="BN301" i="5"/>
  <c r="BN297" i="5"/>
  <c r="BN294" i="5"/>
  <c r="BN290" i="5"/>
  <c r="BN289" i="5"/>
  <c r="BN286" i="5"/>
  <c r="BN285" i="5"/>
  <c r="BN282" i="5"/>
  <c r="BN281" i="5"/>
  <c r="BN278" i="5"/>
  <c r="BN277" i="5"/>
  <c r="BN274" i="5"/>
  <c r="BN273" i="5"/>
  <c r="BN270" i="5"/>
  <c r="BN266" i="5"/>
  <c r="BN265" i="5"/>
  <c r="BN262" i="5"/>
  <c r="BN261" i="5"/>
  <c r="BN258" i="5"/>
  <c r="BN257" i="5"/>
  <c r="BN253" i="5"/>
  <c r="BN250" i="5"/>
  <c r="BN246" i="5"/>
  <c r="BN245" i="5"/>
  <c r="BN242" i="5"/>
  <c r="BN241" i="5"/>
  <c r="BN237" i="5"/>
  <c r="BN233" i="5"/>
  <c r="BN230" i="5"/>
  <c r="BN226" i="5"/>
  <c r="BN225" i="5"/>
  <c r="BN222" i="5"/>
  <c r="BN221" i="5"/>
  <c r="BN217" i="5"/>
  <c r="BN214" i="5"/>
  <c r="BN213" i="5"/>
  <c r="BN210" i="5"/>
  <c r="BN209" i="5"/>
  <c r="BN205" i="5"/>
  <c r="BN202" i="5"/>
  <c r="BN201" i="5"/>
  <c r="BN198" i="5"/>
  <c r="BN197" i="5"/>
  <c r="BN194" i="5"/>
  <c r="BN193" i="5"/>
  <c r="BN190" i="5"/>
  <c r="BN189" i="5"/>
  <c r="BN185" i="5"/>
  <c r="BN182" i="5"/>
  <c r="BN178" i="5"/>
  <c r="BN177" i="5"/>
  <c r="BN174" i="5"/>
  <c r="BN173" i="5"/>
  <c r="BN170" i="5"/>
  <c r="BN169" i="5"/>
  <c r="BN166" i="5"/>
  <c r="BN165" i="5"/>
  <c r="BN162" i="5"/>
  <c r="BN158" i="5"/>
  <c r="BN154" i="5"/>
  <c r="BN153" i="5"/>
  <c r="BN150" i="5"/>
  <c r="BN149" i="5"/>
  <c r="BN145" i="5"/>
  <c r="BN141" i="5"/>
  <c r="BN138" i="5"/>
  <c r="BN98" i="5"/>
  <c r="BN97" i="5"/>
  <c r="BN96" i="5"/>
  <c r="BN95" i="5"/>
  <c r="BN92" i="5"/>
  <c r="BN91" i="5"/>
  <c r="BN88" i="5"/>
  <c r="BN87" i="5"/>
  <c r="BN86" i="5"/>
  <c r="BN79" i="5"/>
  <c r="BN78" i="5"/>
  <c r="BN77" i="5"/>
  <c r="BN76" i="5"/>
  <c r="BN75" i="5"/>
  <c r="BN73" i="5"/>
  <c r="BN72" i="5"/>
  <c r="BN70" i="5"/>
  <c r="BN69" i="5"/>
  <c r="BN68" i="5"/>
  <c r="BN67" i="5"/>
  <c r="BN66" i="5"/>
  <c r="BN65" i="5"/>
  <c r="BN63" i="5"/>
  <c r="BN62" i="5"/>
  <c r="BN60" i="5"/>
  <c r="BN59" i="5"/>
  <c r="BN58" i="5"/>
  <c r="BN57" i="5"/>
  <c r="BN55" i="5"/>
  <c r="BN53" i="5"/>
  <c r="BN52" i="5"/>
  <c r="BN51" i="5"/>
  <c r="BN50" i="5"/>
  <c r="BN49" i="5"/>
  <c r="BN48" i="5"/>
  <c r="BN47" i="5"/>
  <c r="BN46" i="5"/>
  <c r="BN44" i="5"/>
  <c r="BN43" i="5"/>
  <c r="BN41" i="5"/>
  <c r="BN40" i="5"/>
  <c r="BN39" i="5"/>
  <c r="BN38" i="5"/>
  <c r="BN37" i="5"/>
  <c r="BN36" i="5"/>
  <c r="BN34" i="5"/>
  <c r="BN33" i="5"/>
  <c r="BN31" i="5"/>
  <c r="BN30" i="5"/>
  <c r="BN29" i="5"/>
  <c r="BN28" i="5"/>
  <c r="BN26" i="5"/>
  <c r="BN25" i="5"/>
  <c r="BN23" i="5"/>
  <c r="BN22" i="5"/>
  <c r="BN21" i="5"/>
  <c r="BN20" i="5"/>
  <c r="BN19" i="5"/>
  <c r="BN18" i="5"/>
  <c r="BN17" i="5"/>
  <c r="BN15" i="5"/>
  <c r="BN14" i="5"/>
  <c r="BN12" i="5"/>
  <c r="BN11" i="5"/>
  <c r="BN10" i="5"/>
  <c r="BM381" i="5"/>
  <c r="BN381" i="5" s="1"/>
  <c r="BM380" i="5"/>
  <c r="BN380" i="5" s="1"/>
  <c r="BM379" i="5"/>
  <c r="BN379" i="5" s="1"/>
  <c r="BM378" i="5"/>
  <c r="BN378" i="5" s="1"/>
  <c r="BM377" i="5"/>
  <c r="BN377" i="5" s="1"/>
  <c r="BM376" i="5"/>
  <c r="BN376" i="5" s="1"/>
  <c r="BM375" i="5"/>
  <c r="BN375" i="5" s="1"/>
  <c r="BM374" i="5"/>
  <c r="BN374" i="5" s="1"/>
  <c r="BM373" i="5"/>
  <c r="BM372" i="5"/>
  <c r="BN372" i="5" s="1"/>
  <c r="BM371" i="5"/>
  <c r="BN371" i="5" s="1"/>
  <c r="BM370" i="5"/>
  <c r="BM369" i="5"/>
  <c r="BM368" i="5"/>
  <c r="BN368" i="5" s="1"/>
  <c r="BM367" i="5"/>
  <c r="BN367" i="5" s="1"/>
  <c r="BM366" i="5"/>
  <c r="BM365" i="5"/>
  <c r="BM364" i="5"/>
  <c r="BN364" i="5" s="1"/>
  <c r="BM363" i="5"/>
  <c r="BN363" i="5" s="1"/>
  <c r="BM362" i="5"/>
  <c r="BM361" i="5"/>
  <c r="BM360" i="5"/>
  <c r="BN360" i="5" s="1"/>
  <c r="BM359" i="5"/>
  <c r="BN359" i="5" s="1"/>
  <c r="BM358" i="5"/>
  <c r="BM357" i="5"/>
  <c r="BN357" i="5" s="1"/>
  <c r="BM356" i="5"/>
  <c r="BN356" i="5" s="1"/>
  <c r="BM355" i="5"/>
  <c r="BN355" i="5" s="1"/>
  <c r="BM354" i="5"/>
  <c r="BM353" i="5"/>
  <c r="BM352" i="5"/>
  <c r="BN352" i="5" s="1"/>
  <c r="BM351" i="5"/>
  <c r="BN351" i="5" s="1"/>
  <c r="BM350" i="5"/>
  <c r="BM349" i="5"/>
  <c r="BN349" i="5" s="1"/>
  <c r="BM348" i="5"/>
  <c r="BN348" i="5" s="1"/>
  <c r="BM347" i="5"/>
  <c r="BN347" i="5" s="1"/>
  <c r="BM346" i="5"/>
  <c r="BM345" i="5"/>
  <c r="BM344" i="5"/>
  <c r="BN344" i="5" s="1"/>
  <c r="BM343" i="5"/>
  <c r="BN343" i="5" s="1"/>
  <c r="BM342" i="5"/>
  <c r="BN342" i="5" s="1"/>
  <c r="BM341" i="5"/>
  <c r="BM340" i="5"/>
  <c r="BN340" i="5" s="1"/>
  <c r="BM339" i="5"/>
  <c r="BN339" i="5" s="1"/>
  <c r="BM338" i="5"/>
  <c r="BM337" i="5"/>
  <c r="BM336" i="5"/>
  <c r="BN336" i="5" s="1"/>
  <c r="BM335" i="5"/>
  <c r="BN335" i="5" s="1"/>
  <c r="BM334" i="5"/>
  <c r="BM333" i="5"/>
  <c r="BM332" i="5"/>
  <c r="BN332" i="5" s="1"/>
  <c r="BM331" i="5"/>
  <c r="BN331" i="5" s="1"/>
  <c r="BM330" i="5"/>
  <c r="BN330" i="5" s="1"/>
  <c r="BM329" i="5"/>
  <c r="BM328" i="5"/>
  <c r="BN328" i="5" s="1"/>
  <c r="BM327" i="5"/>
  <c r="BN327" i="5" s="1"/>
  <c r="BM326" i="5"/>
  <c r="BM325" i="5"/>
  <c r="BM324" i="5"/>
  <c r="BN324" i="5" s="1"/>
  <c r="BM323" i="5"/>
  <c r="BN323" i="5" s="1"/>
  <c r="BM322" i="5"/>
  <c r="BM321" i="5"/>
  <c r="BM320" i="5"/>
  <c r="BN320" i="5" s="1"/>
  <c r="BM319" i="5"/>
  <c r="BN319" i="5" s="1"/>
  <c r="BM318" i="5"/>
  <c r="BM317" i="5"/>
  <c r="BM316" i="5"/>
  <c r="BN316" i="5" s="1"/>
  <c r="BM315" i="5"/>
  <c r="BN315" i="5" s="1"/>
  <c r="BM314" i="5"/>
  <c r="BM313" i="5"/>
  <c r="BM312" i="5"/>
  <c r="BN312" i="5" s="1"/>
  <c r="BM311" i="5"/>
  <c r="BN311" i="5" s="1"/>
  <c r="BM310" i="5"/>
  <c r="BM309" i="5"/>
  <c r="BN309" i="5" s="1"/>
  <c r="BM308" i="5"/>
  <c r="BN308" i="5" s="1"/>
  <c r="BM307" i="5"/>
  <c r="BN307" i="5" s="1"/>
  <c r="BM306" i="5"/>
  <c r="BM305" i="5"/>
  <c r="BM304" i="5"/>
  <c r="BN304" i="5" s="1"/>
  <c r="BM303" i="5"/>
  <c r="BN303" i="5" s="1"/>
  <c r="BM302" i="5"/>
  <c r="BM301" i="5"/>
  <c r="BM300" i="5"/>
  <c r="BN300" i="5" s="1"/>
  <c r="BM299" i="5"/>
  <c r="BN299" i="5" s="1"/>
  <c r="BM298" i="5"/>
  <c r="BN298" i="5" s="1"/>
  <c r="BM297" i="5"/>
  <c r="BM296" i="5"/>
  <c r="BN296" i="5" s="1"/>
  <c r="BM295" i="5"/>
  <c r="BN295" i="5" s="1"/>
  <c r="BM294" i="5"/>
  <c r="BM293" i="5"/>
  <c r="BN293" i="5" s="1"/>
  <c r="BM292" i="5"/>
  <c r="BN292" i="5" s="1"/>
  <c r="BM291" i="5"/>
  <c r="BN291" i="5" s="1"/>
  <c r="BM290" i="5"/>
  <c r="BM289" i="5"/>
  <c r="BM288" i="5"/>
  <c r="BN288" i="5" s="1"/>
  <c r="BM287" i="5"/>
  <c r="BN287" i="5" s="1"/>
  <c r="BM286" i="5"/>
  <c r="BM285" i="5"/>
  <c r="BM284" i="5"/>
  <c r="BN284" i="5" s="1"/>
  <c r="BM283" i="5"/>
  <c r="BN283" i="5" s="1"/>
  <c r="BM282" i="5"/>
  <c r="BM281" i="5"/>
  <c r="BM280" i="5"/>
  <c r="BN280" i="5" s="1"/>
  <c r="BM279" i="5"/>
  <c r="BN279" i="5" s="1"/>
  <c r="BM278" i="5"/>
  <c r="BM277" i="5"/>
  <c r="BM276" i="5"/>
  <c r="BN276" i="5" s="1"/>
  <c r="BM275" i="5"/>
  <c r="BN275" i="5" s="1"/>
  <c r="BM274" i="5"/>
  <c r="BM273" i="5"/>
  <c r="BM272" i="5"/>
  <c r="BN272" i="5" s="1"/>
  <c r="BM271" i="5"/>
  <c r="BN271" i="5" s="1"/>
  <c r="BM270" i="5"/>
  <c r="BM269" i="5"/>
  <c r="BN269" i="5" s="1"/>
  <c r="BM268" i="5"/>
  <c r="BN268" i="5" s="1"/>
  <c r="BM267" i="5"/>
  <c r="BN267" i="5" s="1"/>
  <c r="BM266" i="5"/>
  <c r="BM265" i="5"/>
  <c r="BM264" i="5"/>
  <c r="BN264" i="5" s="1"/>
  <c r="BM263" i="5"/>
  <c r="BN263" i="5" s="1"/>
  <c r="BM262" i="5"/>
  <c r="BM261" i="5"/>
  <c r="BM260" i="5"/>
  <c r="BN260" i="5" s="1"/>
  <c r="BM259" i="5"/>
  <c r="BN259" i="5" s="1"/>
  <c r="BM258" i="5"/>
  <c r="BM257" i="5"/>
  <c r="BM256" i="5"/>
  <c r="BN256" i="5" s="1"/>
  <c r="BM255" i="5"/>
  <c r="BN255" i="5" s="1"/>
  <c r="BM254" i="5"/>
  <c r="BN254" i="5" s="1"/>
  <c r="BM253" i="5"/>
  <c r="BM252" i="5"/>
  <c r="BN252" i="5" s="1"/>
  <c r="BM251" i="5"/>
  <c r="BN251" i="5" s="1"/>
  <c r="BM250" i="5"/>
  <c r="BM249" i="5"/>
  <c r="BN249" i="5" s="1"/>
  <c r="BM248" i="5"/>
  <c r="BN248" i="5" s="1"/>
  <c r="BM247" i="5"/>
  <c r="BN247" i="5" s="1"/>
  <c r="BM246" i="5"/>
  <c r="BM245" i="5"/>
  <c r="BM244" i="5"/>
  <c r="BN244" i="5" s="1"/>
  <c r="BM243" i="5"/>
  <c r="BN243" i="5" s="1"/>
  <c r="BM242" i="5"/>
  <c r="BM241" i="5"/>
  <c r="BM240" i="5"/>
  <c r="BN240" i="5" s="1"/>
  <c r="BM239" i="5"/>
  <c r="BN239" i="5" s="1"/>
  <c r="BM238" i="5"/>
  <c r="BN238" i="5" s="1"/>
  <c r="BM237" i="5"/>
  <c r="BM236" i="5"/>
  <c r="BN236" i="5" s="1"/>
  <c r="BM235" i="5"/>
  <c r="BN235" i="5" s="1"/>
  <c r="BM234" i="5"/>
  <c r="BN234" i="5" s="1"/>
  <c r="BM233" i="5"/>
  <c r="BM232" i="5"/>
  <c r="BN232" i="5" s="1"/>
  <c r="BM231" i="5"/>
  <c r="BN231" i="5" s="1"/>
  <c r="BM230" i="5"/>
  <c r="BM229" i="5"/>
  <c r="BN229" i="5" s="1"/>
  <c r="BM228" i="5"/>
  <c r="BN228" i="5" s="1"/>
  <c r="BM227" i="5"/>
  <c r="BN227" i="5" s="1"/>
  <c r="BM226" i="5"/>
  <c r="BM225" i="5"/>
  <c r="BM224" i="5"/>
  <c r="BN224" i="5" s="1"/>
  <c r="BM223" i="5"/>
  <c r="BN223" i="5" s="1"/>
  <c r="BM222" i="5"/>
  <c r="BM221" i="5"/>
  <c r="BM220" i="5"/>
  <c r="BN220" i="5" s="1"/>
  <c r="BM219" i="5"/>
  <c r="BN219" i="5" s="1"/>
  <c r="BM218" i="5"/>
  <c r="BN218" i="5" s="1"/>
  <c r="BM217" i="5"/>
  <c r="BM216" i="5"/>
  <c r="BN216" i="5" s="1"/>
  <c r="BM215" i="5"/>
  <c r="BN215" i="5" s="1"/>
  <c r="BM214" i="5"/>
  <c r="BM213" i="5"/>
  <c r="BM212" i="5"/>
  <c r="BN212" i="5" s="1"/>
  <c r="BM211" i="5"/>
  <c r="BN211" i="5" s="1"/>
  <c r="BM210" i="5"/>
  <c r="BM209" i="5"/>
  <c r="BM208" i="5"/>
  <c r="BN208" i="5" s="1"/>
  <c r="BM207" i="5"/>
  <c r="BN207" i="5" s="1"/>
  <c r="BM206" i="5"/>
  <c r="BN206" i="5" s="1"/>
  <c r="BM205" i="5"/>
  <c r="BM204" i="5"/>
  <c r="BN204" i="5" s="1"/>
  <c r="BM203" i="5"/>
  <c r="BN203" i="5" s="1"/>
  <c r="BM202" i="5"/>
  <c r="BM201" i="5"/>
  <c r="BM200" i="5"/>
  <c r="BN200" i="5" s="1"/>
  <c r="BM199" i="5"/>
  <c r="BN199" i="5" s="1"/>
  <c r="BM198" i="5"/>
  <c r="BM197" i="5"/>
  <c r="BM196" i="5"/>
  <c r="BN196" i="5" s="1"/>
  <c r="BM195" i="5"/>
  <c r="BN195" i="5" s="1"/>
  <c r="BM194" i="5"/>
  <c r="BM193" i="5"/>
  <c r="BM192" i="5"/>
  <c r="BN192" i="5" s="1"/>
  <c r="BM191" i="5"/>
  <c r="BN191" i="5" s="1"/>
  <c r="BM190" i="5"/>
  <c r="BM189" i="5"/>
  <c r="BM188" i="5"/>
  <c r="BN188" i="5" s="1"/>
  <c r="BM187" i="5"/>
  <c r="BN187" i="5" s="1"/>
  <c r="BM186" i="5"/>
  <c r="BN186" i="5" s="1"/>
  <c r="BM185" i="5"/>
  <c r="BM184" i="5"/>
  <c r="BN184" i="5" s="1"/>
  <c r="BM183" i="5"/>
  <c r="BN183" i="5" s="1"/>
  <c r="BM182" i="5"/>
  <c r="BM181" i="5"/>
  <c r="BN181" i="5" s="1"/>
  <c r="BM180" i="5"/>
  <c r="BN180" i="5" s="1"/>
  <c r="BM179" i="5"/>
  <c r="BN179" i="5" s="1"/>
  <c r="BM178" i="5"/>
  <c r="BM177" i="5"/>
  <c r="BM176" i="5"/>
  <c r="BN176" i="5" s="1"/>
  <c r="BM175" i="5"/>
  <c r="BN175" i="5" s="1"/>
  <c r="BM174" i="5"/>
  <c r="BM173" i="5"/>
  <c r="BM172" i="5"/>
  <c r="BN172" i="5" s="1"/>
  <c r="BM171" i="5"/>
  <c r="BN171" i="5" s="1"/>
  <c r="BM170" i="5"/>
  <c r="BM169" i="5"/>
  <c r="BM168" i="5"/>
  <c r="BN168" i="5" s="1"/>
  <c r="BM167" i="5"/>
  <c r="BN167" i="5" s="1"/>
  <c r="BM166" i="5"/>
  <c r="BM165" i="5"/>
  <c r="BM164" i="5"/>
  <c r="BN164" i="5" s="1"/>
  <c r="BM163" i="5"/>
  <c r="BN163" i="5" s="1"/>
  <c r="BM162" i="5"/>
  <c r="BM161" i="5"/>
  <c r="BN161" i="5" s="1"/>
  <c r="BM160" i="5"/>
  <c r="BN160" i="5" s="1"/>
  <c r="BM159" i="5"/>
  <c r="BN159" i="5" s="1"/>
  <c r="BM158" i="5"/>
  <c r="BM157" i="5"/>
  <c r="BN157" i="5" s="1"/>
  <c r="BM156" i="5"/>
  <c r="BN156" i="5" s="1"/>
  <c r="BM155" i="5"/>
  <c r="BN155" i="5" s="1"/>
  <c r="BM154" i="5"/>
  <c r="BM153" i="5"/>
  <c r="BM152" i="5"/>
  <c r="BN152" i="5" s="1"/>
  <c r="BM151" i="5"/>
  <c r="BN151" i="5" s="1"/>
  <c r="BM150" i="5"/>
  <c r="BM149" i="5"/>
  <c r="BM148" i="5"/>
  <c r="BN148" i="5" s="1"/>
  <c r="BM147" i="5"/>
  <c r="BN147" i="5" s="1"/>
  <c r="BM146" i="5"/>
  <c r="BN146" i="5" s="1"/>
  <c r="BM145" i="5"/>
  <c r="BM144" i="5"/>
  <c r="BN144" i="5" s="1"/>
  <c r="BM143" i="5"/>
  <c r="BN143" i="5" s="1"/>
  <c r="BM142" i="5"/>
  <c r="BN142" i="5" s="1"/>
  <c r="BM141" i="5"/>
  <c r="BM140" i="5"/>
  <c r="BN140" i="5" s="1"/>
  <c r="BM139" i="5"/>
  <c r="BN139" i="5" s="1"/>
  <c r="BM138" i="5"/>
  <c r="BM137" i="5"/>
  <c r="BN137" i="5" s="1"/>
  <c r="BM136" i="5"/>
  <c r="BN136" i="5" s="1"/>
  <c r="BM135" i="5"/>
  <c r="BN135" i="5" s="1"/>
  <c r="BM134" i="5"/>
  <c r="BN134" i="5" s="1"/>
  <c r="BM133" i="5"/>
  <c r="BN133" i="5" s="1"/>
  <c r="BM132" i="5"/>
  <c r="BN132" i="5" s="1"/>
  <c r="BM131" i="5"/>
  <c r="BN131" i="5" s="1"/>
  <c r="BM130" i="5"/>
  <c r="BN130" i="5" s="1"/>
  <c r="BM129" i="5"/>
  <c r="BN129" i="5" s="1"/>
  <c r="BM128" i="5"/>
  <c r="BN128" i="5" s="1"/>
  <c r="BM127" i="5"/>
  <c r="BN127" i="5" s="1"/>
  <c r="BM126" i="5"/>
  <c r="BN126" i="5" s="1"/>
  <c r="BM125" i="5"/>
  <c r="BN125" i="5" s="1"/>
  <c r="BM124" i="5"/>
  <c r="BN124" i="5" s="1"/>
  <c r="BM123" i="5"/>
  <c r="BN123" i="5" s="1"/>
  <c r="BM122" i="5"/>
  <c r="BN122" i="5" s="1"/>
  <c r="BM121" i="5"/>
  <c r="BN121" i="5" s="1"/>
  <c r="BM120" i="5"/>
  <c r="BN120" i="5" s="1"/>
  <c r="BM119" i="5"/>
  <c r="BN119" i="5" s="1"/>
  <c r="BM118" i="5"/>
  <c r="BN118" i="5" s="1"/>
  <c r="BM117" i="5"/>
  <c r="BN117" i="5" s="1"/>
  <c r="BM116" i="5"/>
  <c r="BN116" i="5" s="1"/>
  <c r="BM115" i="5"/>
  <c r="BN115" i="5" s="1"/>
  <c r="BM114" i="5"/>
  <c r="BN114" i="5" s="1"/>
  <c r="BM113" i="5"/>
  <c r="BN113" i="5" s="1"/>
  <c r="BM112" i="5"/>
  <c r="BN112" i="5" s="1"/>
  <c r="BM111" i="5"/>
  <c r="BN111" i="5" s="1"/>
  <c r="BM110" i="5"/>
  <c r="BN110" i="5" s="1"/>
  <c r="BM109" i="5"/>
  <c r="BN109" i="5" s="1"/>
  <c r="BM108" i="5"/>
  <c r="BN108" i="5" s="1"/>
  <c r="BM107" i="5"/>
  <c r="BN107" i="5" s="1"/>
  <c r="BM106" i="5"/>
  <c r="BN106" i="5" s="1"/>
  <c r="BM105" i="5"/>
  <c r="BN105" i="5" s="1"/>
  <c r="BM104" i="5"/>
  <c r="BN104" i="5" s="1"/>
  <c r="BM103" i="5"/>
  <c r="BN103" i="5" s="1"/>
  <c r="BM102" i="5"/>
  <c r="BN102" i="5" s="1"/>
  <c r="BM101" i="5"/>
  <c r="BN101" i="5" s="1"/>
  <c r="BM100" i="5"/>
  <c r="BN100" i="5" s="1"/>
  <c r="BM99" i="5"/>
  <c r="BN99" i="5" s="1"/>
  <c r="BM98" i="5"/>
  <c r="BM97" i="5"/>
  <c r="BM96" i="5"/>
  <c r="BM95" i="5"/>
  <c r="BM94" i="5"/>
  <c r="BN94" i="5" s="1"/>
  <c r="BM93" i="5"/>
  <c r="BN93" i="5" s="1"/>
  <c r="BM92" i="5"/>
  <c r="BM91" i="5"/>
  <c r="BM90" i="5"/>
  <c r="BN90" i="5" s="1"/>
  <c r="BM89" i="5"/>
  <c r="BN89" i="5" s="1"/>
  <c r="BM88" i="5"/>
  <c r="BM87" i="5"/>
  <c r="BM86" i="5"/>
  <c r="BM85" i="5"/>
  <c r="BN85" i="5" s="1"/>
  <c r="BM84" i="5"/>
  <c r="BN84" i="5" s="1"/>
  <c r="BM83" i="5"/>
  <c r="BN83" i="5" s="1"/>
  <c r="BM82" i="5"/>
  <c r="BN82" i="5" s="1"/>
  <c r="BM80" i="5"/>
  <c r="BN80" i="5" s="1"/>
  <c r="BM79" i="5"/>
  <c r="BM78" i="5"/>
  <c r="BM77" i="5"/>
  <c r="BM76" i="5"/>
  <c r="BM75" i="5"/>
  <c r="BM74" i="5"/>
  <c r="BN74" i="5" s="1"/>
  <c r="BM73" i="5"/>
  <c r="BM72" i="5"/>
  <c r="BM71" i="5"/>
  <c r="BN71" i="5" s="1"/>
  <c r="BM70" i="5"/>
  <c r="BM69" i="5"/>
  <c r="BM68" i="5"/>
  <c r="BM67" i="5"/>
  <c r="BM66" i="5"/>
  <c r="BM65" i="5"/>
  <c r="BM64" i="5"/>
  <c r="BN64" i="5" s="1"/>
  <c r="BM63" i="5"/>
  <c r="BM62" i="5"/>
  <c r="BM61" i="5"/>
  <c r="BN61" i="5" s="1"/>
  <c r="BM60" i="5"/>
  <c r="BM59" i="5"/>
  <c r="BM58" i="5"/>
  <c r="BM57" i="5"/>
  <c r="BM56" i="5"/>
  <c r="BN56" i="5" s="1"/>
  <c r="BM55" i="5"/>
  <c r="BM54" i="5"/>
  <c r="BN54" i="5" s="1"/>
  <c r="BM53" i="5"/>
  <c r="BM52" i="5"/>
  <c r="BM51" i="5"/>
  <c r="BM50" i="5"/>
  <c r="BM49" i="5"/>
  <c r="BM48" i="5"/>
  <c r="BM47" i="5"/>
  <c r="BM46" i="5"/>
  <c r="BM45" i="5"/>
  <c r="BN45" i="5" s="1"/>
  <c r="BM44" i="5"/>
  <c r="BM43" i="5"/>
  <c r="BM42" i="5"/>
  <c r="BN42" i="5" s="1"/>
  <c r="BM41" i="5"/>
  <c r="BM40" i="5"/>
  <c r="BM39" i="5"/>
  <c r="BM38" i="5"/>
  <c r="BM37" i="5"/>
  <c r="BM36" i="5"/>
  <c r="BM35" i="5"/>
  <c r="BN35" i="5" s="1"/>
  <c r="BM34" i="5"/>
  <c r="BM33" i="5"/>
  <c r="BM32" i="5"/>
  <c r="BN32" i="5" s="1"/>
  <c r="BM31" i="5"/>
  <c r="BM30" i="5"/>
  <c r="BM29" i="5"/>
  <c r="BM28" i="5"/>
  <c r="BM27" i="5"/>
  <c r="BN27" i="5" s="1"/>
  <c r="BM26" i="5"/>
  <c r="BM25" i="5"/>
  <c r="BM24" i="5"/>
  <c r="BN24" i="5" s="1"/>
  <c r="BM23" i="5"/>
  <c r="BM22" i="5"/>
  <c r="BM21" i="5"/>
  <c r="BM20" i="5"/>
  <c r="BM19" i="5"/>
  <c r="BM18" i="5"/>
  <c r="BM17" i="5"/>
  <c r="BM16" i="5"/>
  <c r="BN16" i="5" s="1"/>
  <c r="BM15" i="5"/>
  <c r="BM14" i="5"/>
  <c r="BM13" i="5"/>
  <c r="BN13" i="5" s="1"/>
  <c r="BM12" i="5"/>
  <c r="BM11" i="5"/>
  <c r="BM10" i="5"/>
  <c r="BM9" i="5"/>
  <c r="BN9" i="5" s="1"/>
  <c r="BL9" i="5" l="1"/>
  <c r="B211" i="16" l="1"/>
  <c r="G211" i="16" s="1"/>
  <c r="AE27" i="12" l="1"/>
  <c r="AE19" i="12"/>
  <c r="X27" i="12"/>
  <c r="X19" i="12"/>
  <c r="Q27" i="12"/>
  <c r="Q19" i="12"/>
  <c r="J27" i="12"/>
  <c r="J19" i="12"/>
  <c r="AR37" i="5" l="1"/>
  <c r="AQ37" i="5"/>
  <c r="AQ34" i="5"/>
  <c r="AQ33" i="5"/>
  <c r="AR30" i="5"/>
  <c r="AQ30" i="5"/>
  <c r="AR29" i="5"/>
  <c r="AQ29" i="5"/>
  <c r="AR28" i="5"/>
  <c r="AQ28" i="5"/>
  <c r="AP36" i="5"/>
  <c r="AP35" i="5"/>
  <c r="AR35" i="5" s="1"/>
  <c r="AQ35" i="5" s="1"/>
  <c r="AP34" i="5"/>
  <c r="AR34" i="5" s="1"/>
  <c r="AP33" i="5"/>
  <c r="AR33" i="5" s="1"/>
  <c r="AP32" i="5"/>
  <c r="AP31" i="5"/>
  <c r="AP30" i="5"/>
  <c r="AP29" i="5"/>
  <c r="AP28" i="5"/>
  <c r="H9" i="5" s="1"/>
  <c r="AP37" i="5"/>
  <c r="AQ31" i="5" l="1"/>
  <c r="AR31" i="5"/>
  <c r="AR32" i="5"/>
  <c r="AQ32" i="5" s="1"/>
  <c r="AT28" i="5" s="1"/>
  <c r="AV28" i="5" s="1"/>
  <c r="AP38" i="5"/>
  <c r="AR36" i="5"/>
  <c r="AQ36" i="5" s="1"/>
  <c r="AU28" i="5" l="1"/>
  <c r="AY28" i="5"/>
  <c r="AW28" i="5"/>
  <c r="AX28" i="5"/>
  <c r="S7" i="18"/>
  <c r="BK287" i="10" l="1"/>
  <c r="B342" i="16" l="1"/>
  <c r="B343" i="16"/>
  <c r="A343" i="16" l="1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A390" i="16" s="1"/>
  <c r="B389" i="16"/>
  <c r="A389" i="16" s="1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A363" i="16" s="1"/>
  <c r="B362" i="16"/>
  <c r="A362" i="16" s="1"/>
  <c r="B361" i="16"/>
  <c r="A361" i="16" s="1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E344" i="16" s="1"/>
  <c r="F344" i="16" l="1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216" i="16"/>
  <c r="B217" i="16"/>
  <c r="B220" i="16"/>
  <c r="B219" i="16"/>
  <c r="B218" i="16"/>
  <c r="B187" i="16"/>
  <c r="B235" i="16" l="1"/>
  <c r="C235" i="16" s="1"/>
  <c r="D235" i="16" s="1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88" i="16"/>
  <c r="A322" i="16"/>
  <c r="G132" i="16"/>
  <c r="F132" i="16"/>
  <c r="E132" i="16"/>
  <c r="D132" i="16"/>
  <c r="G131" i="16"/>
  <c r="F131" i="16"/>
  <c r="E131" i="16"/>
  <c r="D131" i="16"/>
  <c r="G130" i="16"/>
  <c r="F130" i="16"/>
  <c r="E130" i="16"/>
  <c r="D130" i="16"/>
  <c r="G129" i="16"/>
  <c r="F129" i="16"/>
  <c r="E129" i="16"/>
  <c r="D129" i="16"/>
  <c r="G128" i="16"/>
  <c r="F128" i="16"/>
  <c r="E128" i="16"/>
  <c r="D128" i="16"/>
  <c r="G127" i="16"/>
  <c r="F127" i="16"/>
  <c r="E127" i="16"/>
  <c r="D127" i="16"/>
  <c r="G126" i="16"/>
  <c r="F126" i="16"/>
  <c r="E126" i="16"/>
  <c r="D126" i="16"/>
  <c r="G125" i="16"/>
  <c r="F125" i="16"/>
  <c r="E125" i="16"/>
  <c r="D125" i="16"/>
  <c r="G124" i="16"/>
  <c r="F124" i="16"/>
  <c r="E124" i="16"/>
  <c r="D124" i="16"/>
  <c r="G123" i="16"/>
  <c r="F123" i="16"/>
  <c r="E123" i="16"/>
  <c r="D123" i="16"/>
  <c r="G122" i="16"/>
  <c r="F122" i="16"/>
  <c r="E122" i="16"/>
  <c r="D122" i="16"/>
  <c r="G121" i="16"/>
  <c r="F121" i="16"/>
  <c r="E121" i="16"/>
  <c r="D121" i="16"/>
  <c r="G120" i="16"/>
  <c r="F120" i="16"/>
  <c r="E120" i="16"/>
  <c r="D120" i="16"/>
  <c r="G119" i="16"/>
  <c r="F119" i="16"/>
  <c r="E119" i="16"/>
  <c r="D119" i="16"/>
  <c r="G118" i="16"/>
  <c r="F118" i="16"/>
  <c r="E118" i="16"/>
  <c r="D118" i="16"/>
  <c r="G117" i="16"/>
  <c r="F117" i="16"/>
  <c r="E117" i="16"/>
  <c r="D117" i="16"/>
  <c r="G116" i="16"/>
  <c r="F116" i="16"/>
  <c r="E116" i="16"/>
  <c r="D116" i="16"/>
  <c r="G115" i="16"/>
  <c r="F115" i="16"/>
  <c r="E115" i="16"/>
  <c r="D115" i="16"/>
  <c r="G114" i="16"/>
  <c r="F114" i="16"/>
  <c r="E114" i="16"/>
  <c r="D114" i="16"/>
  <c r="G113" i="16"/>
  <c r="F113" i="16"/>
  <c r="E113" i="16"/>
  <c r="D113" i="16"/>
  <c r="G112" i="16"/>
  <c r="F112" i="16"/>
  <c r="E112" i="16"/>
  <c r="D112" i="16"/>
  <c r="G111" i="16"/>
  <c r="F111" i="16"/>
  <c r="E111" i="16"/>
  <c r="D111" i="16"/>
  <c r="G110" i="16"/>
  <c r="F110" i="16"/>
  <c r="E110" i="16"/>
  <c r="D110" i="16"/>
  <c r="G109" i="16"/>
  <c r="F109" i="16"/>
  <c r="E109" i="16"/>
  <c r="D109" i="16"/>
  <c r="G108" i="16"/>
  <c r="F108" i="16"/>
  <c r="E108" i="16"/>
  <c r="D108" i="16"/>
  <c r="G107" i="16"/>
  <c r="F107" i="16"/>
  <c r="E107" i="16"/>
  <c r="D107" i="16"/>
  <c r="G106" i="16"/>
  <c r="F106" i="16"/>
  <c r="E106" i="16"/>
  <c r="D106" i="16"/>
  <c r="G105" i="16"/>
  <c r="F105" i="16"/>
  <c r="E105" i="16"/>
  <c r="D105" i="16"/>
  <c r="G104" i="16"/>
  <c r="F104" i="16"/>
  <c r="E104" i="16"/>
  <c r="D104" i="16"/>
  <c r="G103" i="16"/>
  <c r="F103" i="16"/>
  <c r="E103" i="16"/>
  <c r="D103" i="16"/>
  <c r="G102" i="16"/>
  <c r="F102" i="16"/>
  <c r="E102" i="16"/>
  <c r="D102" i="16"/>
  <c r="G101" i="16"/>
  <c r="F101" i="16"/>
  <c r="E101" i="16"/>
  <c r="D101" i="16"/>
  <c r="G100" i="16"/>
  <c r="F100" i="16"/>
  <c r="E100" i="16"/>
  <c r="D100" i="16"/>
  <c r="G99" i="16"/>
  <c r="F99" i="16"/>
  <c r="E99" i="16"/>
  <c r="D99" i="16"/>
  <c r="G98" i="16"/>
  <c r="F98" i="16"/>
  <c r="E98" i="16"/>
  <c r="D98" i="16"/>
  <c r="G97" i="16"/>
  <c r="F97" i="16"/>
  <c r="E97" i="16"/>
  <c r="D97" i="16"/>
  <c r="G96" i="16"/>
  <c r="F96" i="16"/>
  <c r="E96" i="16"/>
  <c r="D96" i="16"/>
  <c r="G95" i="16"/>
  <c r="F95" i="16"/>
  <c r="E95" i="16"/>
  <c r="D95" i="16"/>
  <c r="G94" i="16"/>
  <c r="F94" i="16"/>
  <c r="E94" i="16"/>
  <c r="D94" i="16"/>
  <c r="G93" i="16"/>
  <c r="F93" i="16"/>
  <c r="E93" i="16"/>
  <c r="D93" i="16"/>
  <c r="G92" i="16"/>
  <c r="F92" i="16"/>
  <c r="E92" i="16"/>
  <c r="D92" i="16"/>
  <c r="G91" i="16"/>
  <c r="F91" i="16"/>
  <c r="E91" i="16"/>
  <c r="D91" i="16"/>
  <c r="G90" i="16"/>
  <c r="F90" i="16"/>
  <c r="E90" i="16"/>
  <c r="D90" i="16"/>
  <c r="G89" i="16"/>
  <c r="F89" i="16"/>
  <c r="E89" i="16"/>
  <c r="D89" i="16"/>
  <c r="G88" i="16"/>
  <c r="F88" i="16"/>
  <c r="E88" i="16"/>
  <c r="D88" i="16"/>
  <c r="G87" i="16"/>
  <c r="F87" i="16"/>
  <c r="E87" i="16"/>
  <c r="D87" i="16"/>
  <c r="G86" i="16"/>
  <c r="F86" i="16"/>
  <c r="E86" i="16"/>
  <c r="D86" i="16"/>
  <c r="G85" i="16"/>
  <c r="F85" i="16"/>
  <c r="E85" i="16"/>
  <c r="D85" i="16"/>
  <c r="G84" i="16"/>
  <c r="F84" i="16"/>
  <c r="E84" i="16"/>
  <c r="D84" i="16"/>
  <c r="D76" i="16"/>
  <c r="E372" i="16" l="1"/>
  <c r="F372" i="16" s="1"/>
  <c r="F373" i="16" s="1"/>
  <c r="B236" i="16"/>
  <c r="A8" i="5" l="1"/>
  <c r="BL8" i="5" s="1"/>
  <c r="A7" i="5" l="1"/>
  <c r="BL7" i="5" s="1"/>
  <c r="AT4574" i="5"/>
  <c r="AT4573" i="5"/>
  <c r="AV4573" i="5" s="1"/>
  <c r="AQ4573" i="5"/>
  <c r="AT4572" i="5"/>
  <c r="AX4572" i="5" s="1"/>
  <c r="AQ4572" i="5"/>
  <c r="AT4571" i="5"/>
  <c r="AX4571" i="5" s="1"/>
  <c r="AQ4571" i="5"/>
  <c r="AT4570" i="5"/>
  <c r="AY4570" i="5" s="1"/>
  <c r="AT4569" i="5"/>
  <c r="AV4569" i="5" s="1"/>
  <c r="AQ4569" i="5"/>
  <c r="AT4568" i="5"/>
  <c r="AR4568" i="5"/>
  <c r="AQ4568" i="5"/>
  <c r="AT4567" i="5"/>
  <c r="AX4567" i="5" s="1"/>
  <c r="AR4567" i="5"/>
  <c r="AQ4567" i="5"/>
  <c r="AT4566" i="5"/>
  <c r="AY4566" i="5" s="1"/>
  <c r="AR4566" i="5"/>
  <c r="AQ4566" i="5"/>
  <c r="AR4565" i="5"/>
  <c r="AQ4565" i="5"/>
  <c r="AT4564" i="5"/>
  <c r="AX4564" i="5" s="1"/>
  <c r="AR4564" i="5"/>
  <c r="AQ4564" i="5"/>
  <c r="AT4563" i="5"/>
  <c r="AX4563" i="5" s="1"/>
  <c r="AR4563" i="5"/>
  <c r="AQ4563" i="5"/>
  <c r="AT4562" i="5"/>
  <c r="AT4561" i="5"/>
  <c r="AV4561" i="5" s="1"/>
  <c r="AQ4561" i="5"/>
  <c r="AT4560" i="5"/>
  <c r="AX4560" i="5" s="1"/>
  <c r="AQ4560" i="5"/>
  <c r="AT4559" i="5"/>
  <c r="AQ4559" i="5"/>
  <c r="AT4558" i="5"/>
  <c r="AT4557" i="5"/>
  <c r="AQ4557" i="5"/>
  <c r="AT4556" i="5"/>
  <c r="AR4556" i="5"/>
  <c r="AQ4556" i="5"/>
  <c r="AT4555" i="5"/>
  <c r="AR4555" i="5"/>
  <c r="AQ4555" i="5"/>
  <c r="AT4554" i="5"/>
  <c r="AY4554" i="5" s="1"/>
  <c r="AR4554" i="5"/>
  <c r="AQ4554" i="5"/>
  <c r="AR4553" i="5"/>
  <c r="AQ4553" i="5"/>
  <c r="AT4552" i="5"/>
  <c r="AX4552" i="5" s="1"/>
  <c r="AR4552" i="5"/>
  <c r="AQ4552" i="5"/>
  <c r="AT4551" i="5"/>
  <c r="AR4551" i="5"/>
  <c r="AQ4551" i="5"/>
  <c r="AT4550" i="5"/>
  <c r="AT4549" i="5"/>
  <c r="AQ4549" i="5"/>
  <c r="AT4548" i="5"/>
  <c r="AQ4548" i="5"/>
  <c r="AT4547" i="5"/>
  <c r="AY4547" i="5" s="1"/>
  <c r="AQ4547" i="5"/>
  <c r="AT4546" i="5"/>
  <c r="AT4545" i="5"/>
  <c r="AV4545" i="5" s="1"/>
  <c r="AQ4545" i="5"/>
  <c r="AT4544" i="5"/>
  <c r="AR4544" i="5"/>
  <c r="AQ4544" i="5"/>
  <c r="AT4543" i="5"/>
  <c r="AX4543" i="5" s="1"/>
  <c r="AR4543" i="5"/>
  <c r="AQ4543" i="5"/>
  <c r="AT4542" i="5"/>
  <c r="AY4542" i="5" s="1"/>
  <c r="AR4542" i="5"/>
  <c r="AQ4542" i="5"/>
  <c r="AR4541" i="5"/>
  <c r="AQ4541" i="5"/>
  <c r="AT4540" i="5"/>
  <c r="AX4540" i="5" s="1"/>
  <c r="AR4540" i="5"/>
  <c r="AQ4540" i="5"/>
  <c r="AT4539" i="5"/>
  <c r="AY4539" i="5" s="1"/>
  <c r="AR4539" i="5"/>
  <c r="AQ4539" i="5"/>
  <c r="AT4538" i="5"/>
  <c r="AY4538" i="5" s="1"/>
  <c r="AR4538" i="5"/>
  <c r="AQ4538" i="5"/>
  <c r="AT4537" i="5"/>
  <c r="AV4537" i="5" s="1"/>
  <c r="AT4536" i="5"/>
  <c r="AX4536" i="5" s="1"/>
  <c r="AQ4536" i="5"/>
  <c r="AT4535" i="5"/>
  <c r="AQ4535" i="5"/>
  <c r="AT4534" i="5"/>
  <c r="AQ4534" i="5"/>
  <c r="AT4533" i="5"/>
  <c r="AV4533" i="5" s="1"/>
  <c r="AT4532" i="5"/>
  <c r="AX4532" i="5" s="1"/>
  <c r="AR4532" i="5"/>
  <c r="AQ4532" i="5"/>
  <c r="AT4531" i="5"/>
  <c r="AX4531" i="5" s="1"/>
  <c r="AR4531" i="5"/>
  <c r="AQ4531" i="5"/>
  <c r="AT4530" i="5"/>
  <c r="AR4530" i="5"/>
  <c r="AQ4530" i="5"/>
  <c r="AR4529" i="5"/>
  <c r="AQ4529" i="5"/>
  <c r="AT4528" i="5"/>
  <c r="AR4528" i="5"/>
  <c r="AQ4528" i="5"/>
  <c r="AT4527" i="5"/>
  <c r="AX4527" i="5" s="1"/>
  <c r="AR4527" i="5"/>
  <c r="AQ4527" i="5"/>
  <c r="AT4526" i="5"/>
  <c r="AQ4526" i="5"/>
  <c r="AT4525" i="5"/>
  <c r="AT4524" i="5"/>
  <c r="AX4524" i="5" s="1"/>
  <c r="AQ4524" i="5"/>
  <c r="AT4523" i="5"/>
  <c r="AQ4523" i="5"/>
  <c r="AT4522" i="5"/>
  <c r="AQ4522" i="5"/>
  <c r="AT4521" i="5"/>
  <c r="AV4521" i="5" s="1"/>
  <c r="AT4520" i="5"/>
  <c r="AX4520" i="5" s="1"/>
  <c r="AR4520" i="5"/>
  <c r="AQ4520" i="5"/>
  <c r="AT4519" i="5"/>
  <c r="AR4519" i="5"/>
  <c r="AQ4519" i="5"/>
  <c r="AT4518" i="5"/>
  <c r="AY4518" i="5" s="1"/>
  <c r="AR4518" i="5"/>
  <c r="AQ4518" i="5"/>
  <c r="AR4517" i="5"/>
  <c r="AQ4517" i="5"/>
  <c r="AT4516" i="5"/>
  <c r="AX4516" i="5" s="1"/>
  <c r="AR4516" i="5"/>
  <c r="AQ4516" i="5"/>
  <c r="AT4515" i="5"/>
  <c r="AR4515" i="5"/>
  <c r="AQ4515" i="5"/>
  <c r="AT4514" i="5"/>
  <c r="AY4514" i="5" s="1"/>
  <c r="AQ4514" i="5"/>
  <c r="AT4513" i="5"/>
  <c r="AV4513" i="5" s="1"/>
  <c r="AT4512" i="5"/>
  <c r="AQ4512" i="5"/>
  <c r="AT4511" i="5"/>
  <c r="AQ4511" i="5"/>
  <c r="AT4510" i="5"/>
  <c r="AQ4510" i="5"/>
  <c r="AT4509" i="5"/>
  <c r="AV4509" i="5" s="1"/>
  <c r="AT4508" i="5"/>
  <c r="AX4508" i="5" s="1"/>
  <c r="AR4508" i="5"/>
  <c r="AQ4508" i="5"/>
  <c r="AT4507" i="5"/>
  <c r="AX4507" i="5" s="1"/>
  <c r="AR4507" i="5"/>
  <c r="AQ4507" i="5"/>
  <c r="AT4506" i="5"/>
  <c r="AX4506" i="5" s="1"/>
  <c r="AR4506" i="5"/>
  <c r="AQ4506" i="5"/>
  <c r="AR4505" i="5"/>
  <c r="AQ4505" i="5"/>
  <c r="AT4504" i="5"/>
  <c r="AX4504" i="5" s="1"/>
  <c r="AR4504" i="5"/>
  <c r="AQ4504" i="5"/>
  <c r="AT4503" i="5"/>
  <c r="AX4503" i="5" s="1"/>
  <c r="AR4503" i="5"/>
  <c r="AQ4503" i="5"/>
  <c r="AT4502" i="5"/>
  <c r="AX4502" i="5" s="1"/>
  <c r="AR4502" i="5"/>
  <c r="AQ4502" i="5"/>
  <c r="AT4501" i="5"/>
  <c r="AV4501" i="5" s="1"/>
  <c r="AQ4501" i="5"/>
  <c r="AT4500" i="5"/>
  <c r="AT4499" i="5"/>
  <c r="AX4499" i="5" s="1"/>
  <c r="AQ4499" i="5"/>
  <c r="AT4498" i="5"/>
  <c r="AX4498" i="5" s="1"/>
  <c r="AQ4498" i="5"/>
  <c r="AT4497" i="5"/>
  <c r="AQ4497" i="5"/>
  <c r="AT4496" i="5"/>
  <c r="AX4496" i="5" s="1"/>
  <c r="AT4495" i="5"/>
  <c r="AX4495" i="5" s="1"/>
  <c r="AR4495" i="5"/>
  <c r="AQ4495" i="5"/>
  <c r="AT4494" i="5"/>
  <c r="AX4494" i="5" s="1"/>
  <c r="AR4494" i="5"/>
  <c r="AQ4494" i="5"/>
  <c r="AT4493" i="5"/>
  <c r="AV4493" i="5" s="1"/>
  <c r="AR4493" i="5"/>
  <c r="AQ4493" i="5"/>
  <c r="AR4492" i="5"/>
  <c r="AQ4492" i="5"/>
  <c r="AT4491" i="5"/>
  <c r="AX4491" i="5" s="1"/>
  <c r="AR4491" i="5"/>
  <c r="AQ4491" i="5"/>
  <c r="AT4490" i="5"/>
  <c r="AX4490" i="5" s="1"/>
  <c r="AR4490" i="5"/>
  <c r="AQ4490" i="5"/>
  <c r="AT4489" i="5"/>
  <c r="AV4489" i="5" s="1"/>
  <c r="AQ4489" i="5"/>
  <c r="AT4488" i="5"/>
  <c r="AT4487" i="5"/>
  <c r="AX4487" i="5" s="1"/>
  <c r="AQ4487" i="5"/>
  <c r="AT4486" i="5"/>
  <c r="AX4486" i="5" s="1"/>
  <c r="AQ4486" i="5"/>
  <c r="AT4485" i="5"/>
  <c r="AQ4485" i="5"/>
  <c r="AT4484" i="5"/>
  <c r="AX4484" i="5" s="1"/>
  <c r="AT4483" i="5"/>
  <c r="AX4483" i="5" s="1"/>
  <c r="AR4483" i="5"/>
  <c r="AQ4483" i="5"/>
  <c r="AT4482" i="5"/>
  <c r="AR4482" i="5"/>
  <c r="AQ4482" i="5"/>
  <c r="AT4481" i="5"/>
  <c r="AX4481" i="5" s="1"/>
  <c r="AR4481" i="5"/>
  <c r="AQ4481" i="5"/>
  <c r="AR4480" i="5"/>
  <c r="AQ4480" i="5"/>
  <c r="AT4479" i="5"/>
  <c r="AR4479" i="5"/>
  <c r="AQ4479" i="5"/>
  <c r="AT4478" i="5"/>
  <c r="AY4478" i="5" s="1"/>
  <c r="AR4478" i="5"/>
  <c r="AQ4478" i="5"/>
  <c r="AT4477" i="5"/>
  <c r="AX4477" i="5" s="1"/>
  <c r="AQ4477" i="5"/>
  <c r="AT4476" i="5"/>
  <c r="AT4475" i="5"/>
  <c r="AY4475" i="5" s="1"/>
  <c r="AQ4475" i="5"/>
  <c r="AT4474" i="5"/>
  <c r="AQ4474" i="5"/>
  <c r="AT4473" i="5"/>
  <c r="AU4473" i="5" s="1"/>
  <c r="AQ4473" i="5"/>
  <c r="AT4472" i="5"/>
  <c r="AT4471" i="5"/>
  <c r="AY4471" i="5" s="1"/>
  <c r="AR4471" i="5"/>
  <c r="AQ4471" i="5"/>
  <c r="AT4470" i="5"/>
  <c r="AR4470" i="5"/>
  <c r="AQ4470" i="5"/>
  <c r="AT4469" i="5"/>
  <c r="AY4469" i="5" s="1"/>
  <c r="AR4469" i="5"/>
  <c r="AQ4469" i="5"/>
  <c r="AR4468" i="5"/>
  <c r="AQ4468" i="5"/>
  <c r="AT4467" i="5"/>
  <c r="AR4467" i="5"/>
  <c r="AQ4467" i="5"/>
  <c r="AT4466" i="5"/>
  <c r="AX4466" i="5" s="1"/>
  <c r="AR4466" i="5"/>
  <c r="AQ4466" i="5"/>
  <c r="AT4465" i="5"/>
  <c r="AX4465" i="5" s="1"/>
  <c r="AT4464" i="5"/>
  <c r="AX4464" i="5" s="1"/>
  <c r="AQ4464" i="5"/>
  <c r="AT4463" i="5"/>
  <c r="AY4463" i="5" s="1"/>
  <c r="AQ4463" i="5"/>
  <c r="AT4462" i="5"/>
  <c r="AX4462" i="5" s="1"/>
  <c r="AQ4462" i="5"/>
  <c r="AT4461" i="5"/>
  <c r="AX4461" i="5" s="1"/>
  <c r="AQ4461" i="5"/>
  <c r="AT4460" i="5"/>
  <c r="AT4459" i="5"/>
  <c r="AR4459" i="5"/>
  <c r="AQ4459" i="5"/>
  <c r="AT4458" i="5"/>
  <c r="AR4458" i="5"/>
  <c r="AQ4458" i="5"/>
  <c r="AT4457" i="5"/>
  <c r="AR4457" i="5"/>
  <c r="AQ4457" i="5"/>
  <c r="AR4456" i="5"/>
  <c r="AQ4456" i="5"/>
  <c r="AT4455" i="5"/>
  <c r="AY4455" i="5" s="1"/>
  <c r="AR4455" i="5"/>
  <c r="AQ4455" i="5"/>
  <c r="AT4454" i="5"/>
  <c r="AX4454" i="5" s="1"/>
  <c r="AR4454" i="5"/>
  <c r="AQ4454" i="5"/>
  <c r="AT4453" i="5"/>
  <c r="AT4452" i="5"/>
  <c r="AQ4452" i="5"/>
  <c r="AT4451" i="5"/>
  <c r="AQ4451" i="5"/>
  <c r="AT4450" i="5"/>
  <c r="AQ4450" i="5"/>
  <c r="AT4449" i="5"/>
  <c r="AQ4449" i="5"/>
  <c r="AT4448" i="5"/>
  <c r="AT4447" i="5"/>
  <c r="AY4447" i="5" s="1"/>
  <c r="AR4447" i="5"/>
  <c r="AQ4447" i="5"/>
  <c r="AT4446" i="5"/>
  <c r="AR4446" i="5"/>
  <c r="AQ4446" i="5"/>
  <c r="AT4445" i="5"/>
  <c r="AY4445" i="5" s="1"/>
  <c r="AR4445" i="5"/>
  <c r="AQ4445" i="5"/>
  <c r="AR4444" i="5"/>
  <c r="AQ4444" i="5"/>
  <c r="AT4443" i="5"/>
  <c r="AR4443" i="5"/>
  <c r="AQ4443" i="5"/>
  <c r="AT4442" i="5"/>
  <c r="AX4442" i="5" s="1"/>
  <c r="AR4442" i="5"/>
  <c r="AQ4442" i="5"/>
  <c r="AT4441" i="5"/>
  <c r="AX4441" i="5" s="1"/>
  <c r="AT4440" i="5"/>
  <c r="AX4440" i="5" s="1"/>
  <c r="AQ4440" i="5"/>
  <c r="AT4439" i="5"/>
  <c r="AY4439" i="5" s="1"/>
  <c r="AQ4439" i="5"/>
  <c r="AT4438" i="5"/>
  <c r="AX4438" i="5" s="1"/>
  <c r="AQ4438" i="5"/>
  <c r="AT4437" i="5"/>
  <c r="AX4437" i="5" s="1"/>
  <c r="AT4436" i="5"/>
  <c r="AY4436" i="5" s="1"/>
  <c r="AQ4436" i="5"/>
  <c r="AT4435" i="5"/>
  <c r="AR4435" i="5"/>
  <c r="AQ4435" i="5"/>
  <c r="AT4434" i="5"/>
  <c r="AX4434" i="5" s="1"/>
  <c r="AR4434" i="5"/>
  <c r="AQ4434" i="5"/>
  <c r="AT4433" i="5"/>
  <c r="AR4433" i="5"/>
  <c r="AQ4433" i="5"/>
  <c r="AR4432" i="5"/>
  <c r="AQ4432" i="5"/>
  <c r="AT4431" i="5"/>
  <c r="AR4431" i="5"/>
  <c r="AQ4431" i="5"/>
  <c r="AT4430" i="5"/>
  <c r="AY4430" i="5" s="1"/>
  <c r="AR4430" i="5"/>
  <c r="AQ4430" i="5"/>
  <c r="AT4429" i="5"/>
  <c r="AY4429" i="5" s="1"/>
  <c r="AT4428" i="5"/>
  <c r="AX4428" i="5" s="1"/>
  <c r="AQ4428" i="5"/>
  <c r="AT4427" i="5"/>
  <c r="AQ4427" i="5"/>
  <c r="AT4426" i="5"/>
  <c r="AQ4426" i="5"/>
  <c r="AT4425" i="5"/>
  <c r="AT4424" i="5"/>
  <c r="AQ4424" i="5"/>
  <c r="AT4423" i="5"/>
  <c r="AV4423" i="5" s="1"/>
  <c r="AR4423" i="5"/>
  <c r="AQ4423" i="5"/>
  <c r="AT4422" i="5"/>
  <c r="AV4422" i="5" s="1"/>
  <c r="AR4422" i="5"/>
  <c r="AQ4422" i="5"/>
  <c r="AT4421" i="5"/>
  <c r="AW4421" i="5" s="1"/>
  <c r="AR4421" i="5"/>
  <c r="AQ4421" i="5"/>
  <c r="AR4420" i="5"/>
  <c r="AQ4420" i="5"/>
  <c r="AT4419" i="5"/>
  <c r="AR4419" i="5"/>
  <c r="AQ4419" i="5"/>
  <c r="AT4418" i="5"/>
  <c r="AU4418" i="5" s="1"/>
  <c r="AR4418" i="5"/>
  <c r="AQ4418" i="5"/>
  <c r="AT4417" i="5"/>
  <c r="AY4417" i="5" s="1"/>
  <c r="AR4417" i="5"/>
  <c r="AQ4417" i="5"/>
  <c r="AT4416" i="5"/>
  <c r="AT4415" i="5"/>
  <c r="AX4415" i="5" s="1"/>
  <c r="AQ4415" i="5"/>
  <c r="AT4414" i="5"/>
  <c r="AQ4414" i="5"/>
  <c r="AT4413" i="5"/>
  <c r="AY4413" i="5" s="1"/>
  <c r="AQ4413" i="5"/>
  <c r="AT4412" i="5"/>
  <c r="AT4411" i="5"/>
  <c r="AQ4411" i="5"/>
  <c r="AT4410" i="5"/>
  <c r="AX4410" i="5" s="1"/>
  <c r="AR4410" i="5"/>
  <c r="AQ4410" i="5"/>
  <c r="AT4409" i="5"/>
  <c r="AY4409" i="5" s="1"/>
  <c r="AR4409" i="5"/>
  <c r="AQ4409" i="5"/>
  <c r="AT4408" i="5"/>
  <c r="AR4408" i="5"/>
  <c r="AQ4408" i="5"/>
  <c r="AR4407" i="5"/>
  <c r="AQ4407" i="5"/>
  <c r="AT4406" i="5"/>
  <c r="AR4406" i="5"/>
  <c r="AQ4406" i="5"/>
  <c r="AT4405" i="5"/>
  <c r="AY4405" i="5" s="1"/>
  <c r="AR4405" i="5"/>
  <c r="AQ4405" i="5"/>
  <c r="AT4404" i="5"/>
  <c r="AT4403" i="5"/>
  <c r="AX4403" i="5" s="1"/>
  <c r="AQ4403" i="5"/>
  <c r="AT4402" i="5"/>
  <c r="AQ4402" i="5"/>
  <c r="AT4401" i="5"/>
  <c r="AY4401" i="5" s="1"/>
  <c r="AQ4401" i="5"/>
  <c r="AT4400" i="5"/>
  <c r="AY4400" i="5" s="1"/>
  <c r="AT4399" i="5"/>
  <c r="AQ4399" i="5"/>
  <c r="AT4398" i="5"/>
  <c r="AX4398" i="5" s="1"/>
  <c r="AR4398" i="5"/>
  <c r="AQ4398" i="5"/>
  <c r="AT4397" i="5"/>
  <c r="AY4397" i="5" s="1"/>
  <c r="AR4397" i="5"/>
  <c r="AQ4397" i="5"/>
  <c r="AT4396" i="5"/>
  <c r="AX4396" i="5" s="1"/>
  <c r="AR4396" i="5"/>
  <c r="AQ4396" i="5"/>
  <c r="AR4395" i="5"/>
  <c r="AQ4395" i="5"/>
  <c r="AT4394" i="5"/>
  <c r="AX4394" i="5" s="1"/>
  <c r="AR4394" i="5"/>
  <c r="AQ4394" i="5"/>
  <c r="AT4393" i="5"/>
  <c r="AY4393" i="5" s="1"/>
  <c r="AR4393" i="5"/>
  <c r="AQ4393" i="5"/>
  <c r="AT4392" i="5"/>
  <c r="AY4392" i="5" s="1"/>
  <c r="AT4391" i="5"/>
  <c r="AX4391" i="5" s="1"/>
  <c r="AQ4391" i="5"/>
  <c r="AT4390" i="5"/>
  <c r="AQ4390" i="5"/>
  <c r="AT4389" i="5"/>
  <c r="AQ4389" i="5"/>
  <c r="AT4388" i="5"/>
  <c r="AY4388" i="5" s="1"/>
  <c r="AT4387" i="5"/>
  <c r="AQ4387" i="5"/>
  <c r="AT4386" i="5"/>
  <c r="AW4386" i="5" s="1"/>
  <c r="AR4386" i="5"/>
  <c r="AQ4386" i="5"/>
  <c r="AT4385" i="5"/>
  <c r="AR4385" i="5"/>
  <c r="AQ4385" i="5"/>
  <c r="AT4384" i="5"/>
  <c r="AX4384" i="5" s="1"/>
  <c r="AR4384" i="5"/>
  <c r="AQ4384" i="5"/>
  <c r="AR4383" i="5"/>
  <c r="AQ4383" i="5"/>
  <c r="AT4382" i="5"/>
  <c r="AX4382" i="5" s="1"/>
  <c r="AR4382" i="5"/>
  <c r="AQ4382" i="5"/>
  <c r="AT4381" i="5"/>
  <c r="AY4381" i="5" s="1"/>
  <c r="AR4381" i="5"/>
  <c r="AQ4381" i="5"/>
  <c r="AT4380" i="5"/>
  <c r="AT4379" i="5"/>
  <c r="AX4379" i="5" s="1"/>
  <c r="AQ4379" i="5"/>
  <c r="AT4378" i="5"/>
  <c r="AY4378" i="5" s="1"/>
  <c r="AQ4378" i="5"/>
  <c r="AT4377" i="5"/>
  <c r="AQ4377" i="5"/>
  <c r="AT4376" i="5"/>
  <c r="AT4375" i="5"/>
  <c r="AQ4375" i="5"/>
  <c r="AT4374" i="5"/>
  <c r="AY4374" i="5" s="1"/>
  <c r="AR4374" i="5"/>
  <c r="AQ4374" i="5"/>
  <c r="AT4373" i="5"/>
  <c r="AR4373" i="5"/>
  <c r="AQ4373" i="5"/>
  <c r="AT4372" i="5"/>
  <c r="AX4372" i="5" s="1"/>
  <c r="AR4372" i="5"/>
  <c r="AQ4372" i="5"/>
  <c r="AR4371" i="5"/>
  <c r="AQ4371" i="5"/>
  <c r="AT4370" i="5"/>
  <c r="AX4370" i="5" s="1"/>
  <c r="AR4370" i="5"/>
  <c r="AQ4370" i="5"/>
  <c r="AT4369" i="5"/>
  <c r="AY4369" i="5" s="1"/>
  <c r="AR4369" i="5"/>
  <c r="AQ4369" i="5"/>
  <c r="AT4368" i="5"/>
  <c r="AT4367" i="5"/>
  <c r="AX4367" i="5" s="1"/>
  <c r="AQ4367" i="5"/>
  <c r="AT4366" i="5"/>
  <c r="AX4366" i="5" s="1"/>
  <c r="AQ4366" i="5"/>
  <c r="AT4365" i="5"/>
  <c r="AQ4365" i="5"/>
  <c r="AT4364" i="5"/>
  <c r="AT4363" i="5"/>
  <c r="AQ4363" i="5"/>
  <c r="AT4362" i="5"/>
  <c r="AR4362" i="5"/>
  <c r="AQ4362" i="5"/>
  <c r="AT4361" i="5"/>
  <c r="AR4361" i="5"/>
  <c r="AQ4361" i="5"/>
  <c r="AT4360" i="5"/>
  <c r="AR4360" i="5"/>
  <c r="AQ4360" i="5"/>
  <c r="AR4359" i="5"/>
  <c r="AQ4359" i="5"/>
  <c r="AT4358" i="5"/>
  <c r="AV4358" i="5" s="1"/>
  <c r="AR4358" i="5"/>
  <c r="AQ4358" i="5"/>
  <c r="AT4357" i="5"/>
  <c r="AW4357" i="5" s="1"/>
  <c r="AR4357" i="5"/>
  <c r="AQ4357" i="5"/>
  <c r="AT4356" i="5"/>
  <c r="AR4356" i="5"/>
  <c r="AQ4356" i="5"/>
  <c r="AT4355" i="5"/>
  <c r="AX4355" i="5" s="1"/>
  <c r="AT4354" i="5"/>
  <c r="AV4354" i="5" s="1"/>
  <c r="AQ4354" i="5"/>
  <c r="AT4353" i="5"/>
  <c r="AW4353" i="5" s="1"/>
  <c r="AQ4353" i="5"/>
  <c r="AT4352" i="5"/>
  <c r="AQ4352" i="5"/>
  <c r="AT4351" i="5"/>
  <c r="AX4351" i="5" s="1"/>
  <c r="AT4350" i="5"/>
  <c r="AV4350" i="5" s="1"/>
  <c r="AR4350" i="5"/>
  <c r="AQ4350" i="5"/>
  <c r="AT4349" i="5"/>
  <c r="AR4349" i="5"/>
  <c r="AQ4349" i="5"/>
  <c r="AT4348" i="5"/>
  <c r="AX4348" i="5" s="1"/>
  <c r="AR4348" i="5"/>
  <c r="AQ4348" i="5"/>
  <c r="AR4347" i="5"/>
  <c r="AQ4347" i="5"/>
  <c r="AT4346" i="5"/>
  <c r="AR4346" i="5"/>
  <c r="AQ4346" i="5"/>
  <c r="AT4345" i="5"/>
  <c r="AR4345" i="5"/>
  <c r="AQ4345" i="5"/>
  <c r="AT4344" i="5"/>
  <c r="AX4344" i="5" s="1"/>
  <c r="AQ4344" i="5"/>
  <c r="AT4343" i="5"/>
  <c r="AX4343" i="5" s="1"/>
  <c r="AT4342" i="5"/>
  <c r="AV4342" i="5" s="1"/>
  <c r="AQ4342" i="5"/>
  <c r="AT4341" i="5"/>
  <c r="AX4341" i="5" s="1"/>
  <c r="AQ4341" i="5"/>
  <c r="AT4340" i="5"/>
  <c r="AQ4340" i="5"/>
  <c r="AT4339" i="5"/>
  <c r="AY4339" i="5" s="1"/>
  <c r="AT4338" i="5"/>
  <c r="AV4338" i="5" s="1"/>
  <c r="AR4338" i="5"/>
  <c r="AQ4338" i="5"/>
  <c r="AT4337" i="5"/>
  <c r="AX4337" i="5" s="1"/>
  <c r="AR4337" i="5"/>
  <c r="AQ4337" i="5"/>
  <c r="AT4336" i="5"/>
  <c r="AR4336" i="5"/>
  <c r="AQ4336" i="5"/>
  <c r="AR4335" i="5"/>
  <c r="AQ4335" i="5"/>
  <c r="AT4334" i="5"/>
  <c r="AV4334" i="5" s="1"/>
  <c r="AR4334" i="5"/>
  <c r="AQ4334" i="5"/>
  <c r="AT4333" i="5"/>
  <c r="AX4333" i="5" s="1"/>
  <c r="AR4333" i="5"/>
  <c r="AQ4333" i="5"/>
  <c r="AT4332" i="5"/>
  <c r="AR4332" i="5"/>
  <c r="AQ4332" i="5"/>
  <c r="AT4331" i="5"/>
  <c r="AQ4331" i="5"/>
  <c r="AT4330" i="5"/>
  <c r="AV4330" i="5" s="1"/>
  <c r="AT4329" i="5"/>
  <c r="AX4329" i="5" s="1"/>
  <c r="AQ4329" i="5"/>
  <c r="AT4328" i="5"/>
  <c r="AQ4328" i="5"/>
  <c r="AT4327" i="5"/>
  <c r="AQ4327" i="5"/>
  <c r="AT4326" i="5"/>
  <c r="AV4326" i="5" s="1"/>
  <c r="AT4325" i="5"/>
  <c r="AX4325" i="5" s="1"/>
  <c r="AR4325" i="5"/>
  <c r="AQ4325" i="5"/>
  <c r="AT4324" i="5"/>
  <c r="AR4324" i="5"/>
  <c r="AQ4324" i="5"/>
  <c r="AT4323" i="5"/>
  <c r="AR4323" i="5"/>
  <c r="AQ4323" i="5"/>
  <c r="AR4322" i="5"/>
  <c r="AQ4322" i="5"/>
  <c r="AT4321" i="5"/>
  <c r="AR4321" i="5"/>
  <c r="AQ4321" i="5"/>
  <c r="AT4320" i="5"/>
  <c r="AR4320" i="5"/>
  <c r="AQ4320" i="5"/>
  <c r="AT4319" i="5"/>
  <c r="AX4319" i="5" s="1"/>
  <c r="AQ4319" i="5"/>
  <c r="AT4318" i="5"/>
  <c r="AV4318" i="5" s="1"/>
  <c r="AT4317" i="5"/>
  <c r="AQ4317" i="5"/>
  <c r="AT4316" i="5"/>
  <c r="AQ4316" i="5"/>
  <c r="AT4315" i="5"/>
  <c r="AX4315" i="5" s="1"/>
  <c r="AQ4315" i="5"/>
  <c r="AT4314" i="5"/>
  <c r="AV4314" i="5" s="1"/>
  <c r="AT4313" i="5"/>
  <c r="AR4313" i="5"/>
  <c r="AQ4313" i="5"/>
  <c r="AT4312" i="5"/>
  <c r="AR4312" i="5"/>
  <c r="AQ4312" i="5"/>
  <c r="AT4311" i="5"/>
  <c r="AX4311" i="5" s="1"/>
  <c r="AR4311" i="5"/>
  <c r="AQ4311" i="5"/>
  <c r="AR4310" i="5"/>
  <c r="AQ4310" i="5"/>
  <c r="AT4309" i="5"/>
  <c r="AX4309" i="5" s="1"/>
  <c r="AR4309" i="5"/>
  <c r="AQ4309" i="5"/>
  <c r="AT4308" i="5"/>
  <c r="AR4308" i="5"/>
  <c r="AQ4308" i="5"/>
  <c r="AT4307" i="5"/>
  <c r="AX4307" i="5" s="1"/>
  <c r="AQ4307" i="5"/>
  <c r="AT4306" i="5"/>
  <c r="AT4305" i="5"/>
  <c r="AX4305" i="5" s="1"/>
  <c r="AQ4305" i="5"/>
  <c r="AT4304" i="5"/>
  <c r="AQ4304" i="5"/>
  <c r="AT4303" i="5"/>
  <c r="AQ4303" i="5"/>
  <c r="AT4302" i="5"/>
  <c r="AV4302" i="5" s="1"/>
  <c r="AT4301" i="5"/>
  <c r="AX4301" i="5" s="1"/>
  <c r="AR4301" i="5"/>
  <c r="AQ4301" i="5"/>
  <c r="AT4300" i="5"/>
  <c r="AU4300" i="5" s="1"/>
  <c r="AR4300" i="5"/>
  <c r="AQ4300" i="5"/>
  <c r="AT4299" i="5"/>
  <c r="AR4299" i="5"/>
  <c r="AQ4299" i="5"/>
  <c r="AR4298" i="5"/>
  <c r="AQ4298" i="5"/>
  <c r="AT4297" i="5"/>
  <c r="AR4297" i="5"/>
  <c r="AQ4297" i="5"/>
  <c r="AT4296" i="5"/>
  <c r="AW4296" i="5" s="1"/>
  <c r="AR4296" i="5"/>
  <c r="AQ4296" i="5"/>
  <c r="AT4295" i="5"/>
  <c r="AQ4295" i="5"/>
  <c r="AT4294" i="5"/>
  <c r="AT4293" i="5"/>
  <c r="AQ4293" i="5"/>
  <c r="AT4292" i="5"/>
  <c r="AW4292" i="5" s="1"/>
  <c r="AQ4292" i="5"/>
  <c r="AT4291" i="5"/>
  <c r="AQ4291" i="5"/>
  <c r="AT4290" i="5"/>
  <c r="AT4289" i="5"/>
  <c r="AV4289" i="5" s="1"/>
  <c r="AR4289" i="5"/>
  <c r="AQ4289" i="5"/>
  <c r="AT4288" i="5"/>
  <c r="AW4288" i="5" s="1"/>
  <c r="AR4288" i="5"/>
  <c r="AQ4288" i="5"/>
  <c r="AT4287" i="5"/>
  <c r="AR4287" i="5"/>
  <c r="AQ4287" i="5"/>
  <c r="AR4286" i="5"/>
  <c r="AQ4286" i="5"/>
  <c r="AT4285" i="5"/>
  <c r="AR4285" i="5"/>
  <c r="AQ4285" i="5"/>
  <c r="AT4284" i="5"/>
  <c r="AR4284" i="5"/>
  <c r="AQ4284" i="5"/>
  <c r="AT4283" i="5"/>
  <c r="AQ4283" i="5"/>
  <c r="AT4282" i="5"/>
  <c r="AT4281" i="5"/>
  <c r="AV4281" i="5" s="1"/>
  <c r="AQ4281" i="5"/>
  <c r="AT4280" i="5"/>
  <c r="AQ4280" i="5"/>
  <c r="AT4279" i="5"/>
  <c r="AQ4279" i="5"/>
  <c r="AT4278" i="5"/>
  <c r="AW4278" i="5" s="1"/>
  <c r="AT4277" i="5"/>
  <c r="AV4277" i="5" s="1"/>
  <c r="AR4277" i="5"/>
  <c r="AQ4277" i="5"/>
  <c r="AT4276" i="5"/>
  <c r="AW4276" i="5" s="1"/>
  <c r="AR4276" i="5"/>
  <c r="AQ4276" i="5"/>
  <c r="AT4275" i="5"/>
  <c r="AU4275" i="5" s="1"/>
  <c r="AR4275" i="5"/>
  <c r="AQ4275" i="5"/>
  <c r="AR4274" i="5"/>
  <c r="AQ4274" i="5"/>
  <c r="AT4273" i="5"/>
  <c r="AV4273" i="5" s="1"/>
  <c r="AR4273" i="5"/>
  <c r="AQ4273" i="5"/>
  <c r="AT4272" i="5"/>
  <c r="AW4272" i="5" s="1"/>
  <c r="AR4272" i="5"/>
  <c r="AQ4272" i="5"/>
  <c r="AT4271" i="5"/>
  <c r="AT4270" i="5"/>
  <c r="AQ4270" i="5"/>
  <c r="AT4269" i="5"/>
  <c r="AV4269" i="5" s="1"/>
  <c r="AQ4269" i="5"/>
  <c r="AT4268" i="5"/>
  <c r="AW4268" i="5" s="1"/>
  <c r="AQ4268" i="5"/>
  <c r="AT4267" i="5"/>
  <c r="AX4267" i="5" s="1"/>
  <c r="AQ4267" i="5"/>
  <c r="AT4266" i="5"/>
  <c r="AX4266" i="5" s="1"/>
  <c r="AT4265" i="5"/>
  <c r="AR4265" i="5"/>
  <c r="AQ4265" i="5"/>
  <c r="AT4264" i="5"/>
  <c r="AR4264" i="5"/>
  <c r="AQ4264" i="5"/>
  <c r="AT4263" i="5"/>
  <c r="AR4263" i="5"/>
  <c r="AQ4263" i="5"/>
  <c r="AR4262" i="5"/>
  <c r="AQ4262" i="5"/>
  <c r="AT4261" i="5"/>
  <c r="AR4261" i="5"/>
  <c r="AQ4261" i="5"/>
  <c r="AT4260" i="5"/>
  <c r="AR4260" i="5"/>
  <c r="AQ4260" i="5"/>
  <c r="AT4259" i="5"/>
  <c r="AT4258" i="5"/>
  <c r="AQ4258" i="5"/>
  <c r="AT4257" i="5"/>
  <c r="AQ4257" i="5"/>
  <c r="AT4256" i="5"/>
  <c r="AQ4256" i="5"/>
  <c r="AT4255" i="5"/>
  <c r="AT4254" i="5"/>
  <c r="AQ4254" i="5"/>
  <c r="AT4253" i="5"/>
  <c r="AV4253" i="5" s="1"/>
  <c r="AR4253" i="5"/>
  <c r="AQ4253" i="5"/>
  <c r="AT4252" i="5"/>
  <c r="AY4252" i="5" s="1"/>
  <c r="AR4252" i="5"/>
  <c r="AQ4252" i="5"/>
  <c r="AT4251" i="5"/>
  <c r="AW4251" i="5" s="1"/>
  <c r="AR4251" i="5"/>
  <c r="AQ4251" i="5"/>
  <c r="AR4250" i="5"/>
  <c r="AQ4250" i="5"/>
  <c r="AT4249" i="5"/>
  <c r="AY4249" i="5" s="1"/>
  <c r="AR4249" i="5"/>
  <c r="AQ4249" i="5"/>
  <c r="AT4248" i="5"/>
  <c r="AR4248" i="5"/>
  <c r="AQ4248" i="5"/>
  <c r="AT4247" i="5"/>
  <c r="AW4247" i="5" s="1"/>
  <c r="AR4247" i="5"/>
  <c r="AQ4247" i="5"/>
  <c r="AT4246" i="5"/>
  <c r="AT4245" i="5"/>
  <c r="AY4245" i="5" s="1"/>
  <c r="AQ4245" i="5"/>
  <c r="AT4244" i="5"/>
  <c r="AX4244" i="5" s="1"/>
  <c r="AQ4244" i="5"/>
  <c r="AT4243" i="5"/>
  <c r="AW4243" i="5" s="1"/>
  <c r="AQ4243" i="5"/>
  <c r="AT4242" i="5"/>
  <c r="AT4241" i="5"/>
  <c r="AY4241" i="5" s="1"/>
  <c r="AQ4241" i="5"/>
  <c r="AT4240" i="5"/>
  <c r="AY4240" i="5" s="1"/>
  <c r="AR4240" i="5"/>
  <c r="AQ4240" i="5"/>
  <c r="AT4239" i="5"/>
  <c r="AW4239" i="5" s="1"/>
  <c r="AR4239" i="5"/>
  <c r="AQ4239" i="5"/>
  <c r="AT4238" i="5"/>
  <c r="AR4238" i="5"/>
  <c r="AQ4238" i="5"/>
  <c r="AR4237" i="5"/>
  <c r="AQ4237" i="5"/>
  <c r="AT4236" i="5"/>
  <c r="AR4236" i="5"/>
  <c r="AQ4236" i="5"/>
  <c r="AT4235" i="5"/>
  <c r="AW4235" i="5" s="1"/>
  <c r="AR4235" i="5"/>
  <c r="AQ4235" i="5"/>
  <c r="AT4234" i="5"/>
  <c r="AX4234" i="5" s="1"/>
  <c r="AT4233" i="5"/>
  <c r="AQ4233" i="5"/>
  <c r="AT4232" i="5"/>
  <c r="AX4232" i="5" s="1"/>
  <c r="AQ4232" i="5"/>
  <c r="AT4231" i="5"/>
  <c r="AW4231" i="5" s="1"/>
  <c r="AQ4231" i="5"/>
  <c r="AT4230" i="5"/>
  <c r="AW4230" i="5" s="1"/>
  <c r="AT4229" i="5"/>
  <c r="AQ4229" i="5"/>
  <c r="AT4228" i="5"/>
  <c r="AR4228" i="5"/>
  <c r="AQ4228" i="5"/>
  <c r="AT4227" i="5"/>
  <c r="AW4227" i="5" s="1"/>
  <c r="AR4227" i="5"/>
  <c r="AQ4227" i="5"/>
  <c r="AT4226" i="5"/>
  <c r="AX4226" i="5" s="1"/>
  <c r="AR4226" i="5"/>
  <c r="AQ4226" i="5"/>
  <c r="AR4225" i="5"/>
  <c r="AQ4225" i="5"/>
  <c r="AT4224" i="5"/>
  <c r="AR4224" i="5"/>
  <c r="AQ4224" i="5"/>
  <c r="AT4223" i="5"/>
  <c r="AW4223" i="5" s="1"/>
  <c r="AR4223" i="5"/>
  <c r="AQ4223" i="5"/>
  <c r="AT4222" i="5"/>
  <c r="AT4221" i="5"/>
  <c r="AY4221" i="5" s="1"/>
  <c r="AQ4221" i="5"/>
  <c r="AT4220" i="5"/>
  <c r="AQ4220" i="5"/>
  <c r="AT4219" i="5"/>
  <c r="AW4219" i="5" s="1"/>
  <c r="AQ4219" i="5"/>
  <c r="AT4218" i="5"/>
  <c r="AT4217" i="5"/>
  <c r="AY4217" i="5" s="1"/>
  <c r="AQ4217" i="5"/>
  <c r="AT4216" i="5"/>
  <c r="AY4216" i="5" s="1"/>
  <c r="AR4216" i="5"/>
  <c r="AQ4216" i="5"/>
  <c r="AT4215" i="5"/>
  <c r="AW4215" i="5" s="1"/>
  <c r="AR4215" i="5"/>
  <c r="AQ4215" i="5"/>
  <c r="AT4214" i="5"/>
  <c r="AU4214" i="5" s="1"/>
  <c r="AR4214" i="5"/>
  <c r="AQ4214" i="5"/>
  <c r="AR4213" i="5"/>
  <c r="AQ4213" i="5"/>
  <c r="AT4212" i="5"/>
  <c r="AX4212" i="5" s="1"/>
  <c r="AR4212" i="5"/>
  <c r="AQ4212" i="5"/>
  <c r="AT4211" i="5"/>
  <c r="AX4211" i="5" s="1"/>
  <c r="AR4211" i="5"/>
  <c r="AQ4211" i="5"/>
  <c r="AT4210" i="5"/>
  <c r="AT4209" i="5"/>
  <c r="AY4209" i="5" s="1"/>
  <c r="AQ4209" i="5"/>
  <c r="AT4208" i="5"/>
  <c r="AY4208" i="5" s="1"/>
  <c r="AQ4208" i="5"/>
  <c r="AT4207" i="5"/>
  <c r="AX4207" i="5" s="1"/>
  <c r="AQ4207" i="5"/>
  <c r="AT4206" i="5"/>
  <c r="AT4205" i="5"/>
  <c r="AY4205" i="5" s="1"/>
  <c r="AQ4205" i="5"/>
  <c r="AT4204" i="5"/>
  <c r="AX4204" i="5" s="1"/>
  <c r="AR4204" i="5"/>
  <c r="AQ4204" i="5"/>
  <c r="AT4203" i="5"/>
  <c r="AX4203" i="5" s="1"/>
  <c r="AR4203" i="5"/>
  <c r="AQ4203" i="5"/>
  <c r="AT4202" i="5"/>
  <c r="AX4202" i="5" s="1"/>
  <c r="AR4202" i="5"/>
  <c r="AQ4202" i="5"/>
  <c r="AR4201" i="5"/>
  <c r="AQ4201" i="5"/>
  <c r="AT4200" i="5"/>
  <c r="AR4200" i="5"/>
  <c r="AQ4200" i="5"/>
  <c r="AT4199" i="5"/>
  <c r="AR4199" i="5"/>
  <c r="AQ4199" i="5"/>
  <c r="AT4198" i="5"/>
  <c r="AY4198" i="5" s="1"/>
  <c r="AT4197" i="5"/>
  <c r="AQ4197" i="5"/>
  <c r="AT4196" i="5"/>
  <c r="AQ4196" i="5"/>
  <c r="AT4195" i="5"/>
  <c r="AX4195" i="5" s="1"/>
  <c r="AQ4195" i="5"/>
  <c r="AT4194" i="5"/>
  <c r="AT4193" i="5"/>
  <c r="AQ4193" i="5"/>
  <c r="AT4192" i="5"/>
  <c r="AU4192" i="5" s="1"/>
  <c r="AR4192" i="5"/>
  <c r="AQ4192" i="5"/>
  <c r="AT4191" i="5"/>
  <c r="AR4191" i="5"/>
  <c r="AQ4191" i="5"/>
  <c r="AT4190" i="5"/>
  <c r="AR4190" i="5"/>
  <c r="AQ4190" i="5"/>
  <c r="AR4189" i="5"/>
  <c r="AQ4189" i="5"/>
  <c r="AT4188" i="5"/>
  <c r="AW4188" i="5" s="1"/>
  <c r="AR4188" i="5"/>
  <c r="AQ4188" i="5"/>
  <c r="AT4187" i="5"/>
  <c r="AR4187" i="5"/>
  <c r="AQ4187" i="5"/>
  <c r="AT4186" i="5"/>
  <c r="AR4186" i="5"/>
  <c r="AQ4186" i="5"/>
  <c r="AT4185" i="5"/>
  <c r="AT4184" i="5"/>
  <c r="AQ4184" i="5"/>
  <c r="AT4183" i="5"/>
  <c r="AV4183" i="5" s="1"/>
  <c r="AQ4183" i="5"/>
  <c r="AT4182" i="5"/>
  <c r="AU4182" i="5" s="1"/>
  <c r="AQ4182" i="5"/>
  <c r="AT4181" i="5"/>
  <c r="AT4180" i="5"/>
  <c r="AR4180" i="5"/>
  <c r="AQ4180" i="5"/>
  <c r="AT4179" i="5"/>
  <c r="AX4179" i="5" s="1"/>
  <c r="AR4179" i="5"/>
  <c r="AQ4179" i="5"/>
  <c r="AT4178" i="5"/>
  <c r="AR4178" i="5"/>
  <c r="AQ4178" i="5"/>
  <c r="AR4177" i="5"/>
  <c r="AQ4177" i="5"/>
  <c r="AT4176" i="5"/>
  <c r="AR4176" i="5"/>
  <c r="AQ4176" i="5"/>
  <c r="AT4175" i="5"/>
  <c r="AX4175" i="5" s="1"/>
  <c r="AR4175" i="5"/>
  <c r="AQ4175" i="5"/>
  <c r="AT4174" i="5"/>
  <c r="AQ4174" i="5"/>
  <c r="AT4173" i="5"/>
  <c r="AX4173" i="5" s="1"/>
  <c r="AT4172" i="5"/>
  <c r="AQ4172" i="5"/>
  <c r="AT4171" i="5"/>
  <c r="AQ4171" i="5"/>
  <c r="AT4170" i="5"/>
  <c r="AV4170" i="5" s="1"/>
  <c r="AQ4170" i="5"/>
  <c r="AT4169" i="5"/>
  <c r="AW4169" i="5" s="1"/>
  <c r="AT4168" i="5"/>
  <c r="AW4168" i="5" s="1"/>
  <c r="AR4168" i="5"/>
  <c r="AQ4168" i="5"/>
  <c r="AT4167" i="5"/>
  <c r="AV4167" i="5" s="1"/>
  <c r="AR4167" i="5"/>
  <c r="AQ4167" i="5"/>
  <c r="AT4166" i="5"/>
  <c r="AR4166" i="5"/>
  <c r="AQ4166" i="5"/>
  <c r="AR4165" i="5"/>
  <c r="AQ4165" i="5"/>
  <c r="AT4164" i="5"/>
  <c r="AX4164" i="5" s="1"/>
  <c r="AR4164" i="5"/>
  <c r="AQ4164" i="5"/>
  <c r="AT4163" i="5"/>
  <c r="AX4163" i="5" s="1"/>
  <c r="AR4163" i="5"/>
  <c r="AQ4163" i="5"/>
  <c r="AT4162" i="5"/>
  <c r="AR4162" i="5"/>
  <c r="AQ4162" i="5"/>
  <c r="AT4161" i="5"/>
  <c r="AQ4161" i="5"/>
  <c r="AT4160" i="5"/>
  <c r="AV4160" i="5" s="1"/>
  <c r="AT4159" i="5"/>
  <c r="AX4159" i="5" s="1"/>
  <c r="AQ4159" i="5"/>
  <c r="AT4158" i="5"/>
  <c r="AX4158" i="5" s="1"/>
  <c r="AQ4158" i="5"/>
  <c r="AT4157" i="5"/>
  <c r="AX4157" i="5" s="1"/>
  <c r="AQ4157" i="5"/>
  <c r="AT4156" i="5"/>
  <c r="AV4156" i="5" s="1"/>
  <c r="AT4155" i="5"/>
  <c r="AX4155" i="5" s="1"/>
  <c r="AR4155" i="5"/>
  <c r="AQ4155" i="5"/>
  <c r="AT4154" i="5"/>
  <c r="AR4154" i="5"/>
  <c r="AQ4154" i="5"/>
  <c r="AT4153" i="5"/>
  <c r="AR4153" i="5"/>
  <c r="AQ4153" i="5"/>
  <c r="AR4152" i="5"/>
  <c r="AQ4152" i="5"/>
  <c r="AT4151" i="5"/>
  <c r="AR4151" i="5"/>
  <c r="AQ4151" i="5"/>
  <c r="AT4150" i="5"/>
  <c r="AR4150" i="5"/>
  <c r="AQ4150" i="5"/>
  <c r="AT4149" i="5"/>
  <c r="AQ4149" i="5"/>
  <c r="AT4148" i="5"/>
  <c r="AV4148" i="5" s="1"/>
  <c r="AT4147" i="5"/>
  <c r="AQ4147" i="5"/>
  <c r="AT4146" i="5"/>
  <c r="AQ4146" i="5"/>
  <c r="AT4145" i="5"/>
  <c r="AX4145" i="5" s="1"/>
  <c r="AQ4145" i="5"/>
  <c r="AT4144" i="5"/>
  <c r="AT4143" i="5"/>
  <c r="AX4143" i="5" s="1"/>
  <c r="AR4143" i="5"/>
  <c r="AQ4143" i="5"/>
  <c r="AT4142" i="5"/>
  <c r="AR4142" i="5"/>
  <c r="AQ4142" i="5"/>
  <c r="AT4141" i="5"/>
  <c r="AR4141" i="5"/>
  <c r="AQ4141" i="5"/>
  <c r="AR4140" i="5"/>
  <c r="AQ4140" i="5"/>
  <c r="AT4139" i="5"/>
  <c r="AX4139" i="5" s="1"/>
  <c r="AR4139" i="5"/>
  <c r="AQ4139" i="5"/>
  <c r="AT4138" i="5"/>
  <c r="AR4138" i="5"/>
  <c r="AQ4138" i="5"/>
  <c r="AT4137" i="5"/>
  <c r="AQ4137" i="5"/>
  <c r="AT4136" i="5"/>
  <c r="AV4136" i="5" s="1"/>
  <c r="AT4135" i="5"/>
  <c r="AX4135" i="5" s="1"/>
  <c r="AQ4135" i="5"/>
  <c r="AT4134" i="5"/>
  <c r="AQ4134" i="5"/>
  <c r="AT4133" i="5"/>
  <c r="AQ4133" i="5"/>
  <c r="AT4132" i="5"/>
  <c r="AV4132" i="5" s="1"/>
  <c r="AT4131" i="5"/>
  <c r="AX4131" i="5" s="1"/>
  <c r="AR4131" i="5"/>
  <c r="AQ4131" i="5"/>
  <c r="AT4130" i="5"/>
  <c r="AR4130" i="5"/>
  <c r="AQ4130" i="5"/>
  <c r="AT4129" i="5"/>
  <c r="AR4129" i="5"/>
  <c r="AQ4129" i="5"/>
  <c r="AR4128" i="5"/>
  <c r="AQ4128" i="5"/>
  <c r="AT4127" i="5"/>
  <c r="AX4127" i="5" s="1"/>
  <c r="AR4127" i="5"/>
  <c r="AQ4127" i="5"/>
  <c r="AT4126" i="5"/>
  <c r="AR4126" i="5"/>
  <c r="AQ4126" i="5"/>
  <c r="AT4125" i="5"/>
  <c r="AX4125" i="5" s="1"/>
  <c r="AQ4125" i="5"/>
  <c r="AT4124" i="5"/>
  <c r="AV4124" i="5" s="1"/>
  <c r="AT4123" i="5"/>
  <c r="AX4123" i="5" s="1"/>
  <c r="AQ4123" i="5"/>
  <c r="AT4122" i="5"/>
  <c r="AX4122" i="5" s="1"/>
  <c r="AQ4122" i="5"/>
  <c r="AT4121" i="5"/>
  <c r="AQ4121" i="5"/>
  <c r="AT4120" i="5"/>
  <c r="AT4119" i="5"/>
  <c r="AR4119" i="5"/>
  <c r="AQ4119" i="5"/>
  <c r="AT4118" i="5"/>
  <c r="AX4118" i="5" s="1"/>
  <c r="AR4118" i="5"/>
  <c r="AQ4118" i="5"/>
  <c r="AT4117" i="5"/>
  <c r="AR4117" i="5"/>
  <c r="AQ4117" i="5"/>
  <c r="AR4116" i="5"/>
  <c r="AQ4116" i="5"/>
  <c r="AT4115" i="5"/>
  <c r="AX4115" i="5" s="1"/>
  <c r="AR4115" i="5"/>
  <c r="AQ4115" i="5"/>
  <c r="AT4114" i="5"/>
  <c r="AX4114" i="5" s="1"/>
  <c r="AR4114" i="5"/>
  <c r="AQ4114" i="5"/>
  <c r="AT4113" i="5"/>
  <c r="AX4113" i="5" s="1"/>
  <c r="AQ4113" i="5"/>
  <c r="AT4112" i="5"/>
  <c r="AT4111" i="5"/>
  <c r="AX4111" i="5" s="1"/>
  <c r="AQ4111" i="5"/>
  <c r="AT4110" i="5"/>
  <c r="AX4110" i="5" s="1"/>
  <c r="AQ4110" i="5"/>
  <c r="AT4109" i="5"/>
  <c r="AX4109" i="5" s="1"/>
  <c r="AQ4109" i="5"/>
  <c r="AT4108" i="5"/>
  <c r="AT4107" i="5"/>
  <c r="AY4107" i="5" s="1"/>
  <c r="AR4107" i="5"/>
  <c r="AQ4107" i="5"/>
  <c r="AT4106" i="5"/>
  <c r="AY4106" i="5" s="1"/>
  <c r="AR4106" i="5"/>
  <c r="AQ4106" i="5"/>
  <c r="AT4105" i="5"/>
  <c r="AX4105" i="5" s="1"/>
  <c r="AR4105" i="5"/>
  <c r="AQ4105" i="5"/>
  <c r="AR4104" i="5"/>
  <c r="AQ4104" i="5"/>
  <c r="AT4103" i="5"/>
  <c r="AV4103" i="5" s="1"/>
  <c r="AR4103" i="5"/>
  <c r="AQ4103" i="5"/>
  <c r="AT4102" i="5"/>
  <c r="AW4102" i="5" s="1"/>
  <c r="AR4102" i="5"/>
  <c r="AQ4102" i="5"/>
  <c r="AT4101" i="5"/>
  <c r="AX4101" i="5" s="1"/>
  <c r="AT4100" i="5"/>
  <c r="AQ4100" i="5"/>
  <c r="AT4099" i="5"/>
  <c r="AU4099" i="5" s="1"/>
  <c r="AQ4099" i="5"/>
  <c r="AT4098" i="5"/>
  <c r="AQ4098" i="5"/>
  <c r="AT4097" i="5"/>
  <c r="AY4097" i="5" s="1"/>
  <c r="AQ4097" i="5"/>
  <c r="AT4096" i="5"/>
  <c r="AT4095" i="5"/>
  <c r="AV4095" i="5" s="1"/>
  <c r="AR4095" i="5"/>
  <c r="AQ4095" i="5"/>
  <c r="AT4094" i="5"/>
  <c r="AW4094" i="5" s="1"/>
  <c r="AR4094" i="5"/>
  <c r="AQ4094" i="5"/>
  <c r="AT4093" i="5"/>
  <c r="AR4093" i="5"/>
  <c r="AQ4093" i="5"/>
  <c r="AR4092" i="5"/>
  <c r="AQ4092" i="5"/>
  <c r="AT4091" i="5"/>
  <c r="AV4091" i="5" s="1"/>
  <c r="AR4091" i="5"/>
  <c r="AQ4091" i="5"/>
  <c r="AT4090" i="5"/>
  <c r="AW4090" i="5" s="1"/>
  <c r="AR4090" i="5"/>
  <c r="AQ4090" i="5"/>
  <c r="AT4089" i="5"/>
  <c r="AT4088" i="5"/>
  <c r="AW4088" i="5" s="1"/>
  <c r="AQ4088" i="5"/>
  <c r="AT4087" i="5"/>
  <c r="AV4087" i="5" s="1"/>
  <c r="AQ4087" i="5"/>
  <c r="AT4086" i="5"/>
  <c r="AQ4086" i="5"/>
  <c r="AT4085" i="5"/>
  <c r="AV4085" i="5" s="1"/>
  <c r="AQ4085" i="5"/>
  <c r="AT4084" i="5"/>
  <c r="AX4084" i="5" s="1"/>
  <c r="AT4083" i="5"/>
  <c r="AR4083" i="5"/>
  <c r="AQ4083" i="5"/>
  <c r="AT4082" i="5"/>
  <c r="AR4082" i="5"/>
  <c r="AQ4082" i="5"/>
  <c r="AT4081" i="5"/>
  <c r="AR4081" i="5"/>
  <c r="AQ4081" i="5"/>
  <c r="AR4080" i="5"/>
  <c r="AQ4080" i="5"/>
  <c r="AT4079" i="5"/>
  <c r="AR4079" i="5"/>
  <c r="AQ4079" i="5"/>
  <c r="AT4078" i="5"/>
  <c r="AR4078" i="5"/>
  <c r="AQ4078" i="5"/>
  <c r="AT4077" i="5"/>
  <c r="AY4077" i="5" s="1"/>
  <c r="AR4077" i="5"/>
  <c r="AQ4077" i="5"/>
  <c r="AT4076" i="5"/>
  <c r="AX4076" i="5" s="1"/>
  <c r="AT4075" i="5"/>
  <c r="AQ4075" i="5"/>
  <c r="AT4074" i="5"/>
  <c r="AV4074" i="5" s="1"/>
  <c r="AQ4074" i="5"/>
  <c r="AT4073" i="5"/>
  <c r="AQ4073" i="5"/>
  <c r="AT4072" i="5"/>
  <c r="AT4071" i="5"/>
  <c r="AY4071" i="5" s="1"/>
  <c r="AQ4071" i="5"/>
  <c r="AT4070" i="5"/>
  <c r="AV4070" i="5" s="1"/>
  <c r="AR4070" i="5"/>
  <c r="AQ4070" i="5"/>
  <c r="AT4069" i="5"/>
  <c r="AR4069" i="5"/>
  <c r="AQ4069" i="5"/>
  <c r="AT4068" i="5"/>
  <c r="AR4068" i="5"/>
  <c r="AQ4068" i="5"/>
  <c r="AR4067" i="5"/>
  <c r="AQ4067" i="5"/>
  <c r="AT4066" i="5"/>
  <c r="AV4066" i="5" s="1"/>
  <c r="AR4066" i="5"/>
  <c r="AQ4066" i="5"/>
  <c r="AT4065" i="5"/>
  <c r="AY4065" i="5" s="1"/>
  <c r="AR4065" i="5"/>
  <c r="AQ4065" i="5"/>
  <c r="AT4064" i="5"/>
  <c r="AX4064" i="5" s="1"/>
  <c r="AT4063" i="5"/>
  <c r="AQ4063" i="5"/>
  <c r="AT4062" i="5"/>
  <c r="AV4062" i="5" s="1"/>
  <c r="AQ4062" i="5"/>
  <c r="AT4061" i="5"/>
  <c r="AY4061" i="5" s="1"/>
  <c r="AQ4061" i="5"/>
  <c r="AT4060" i="5"/>
  <c r="AT4059" i="5"/>
  <c r="AQ4059" i="5"/>
  <c r="AT4058" i="5"/>
  <c r="AV4058" i="5" s="1"/>
  <c r="AR4058" i="5"/>
  <c r="AQ4058" i="5"/>
  <c r="AT4057" i="5"/>
  <c r="AY4057" i="5" s="1"/>
  <c r="AR4057" i="5"/>
  <c r="AQ4057" i="5"/>
  <c r="AT4056" i="5"/>
  <c r="AX4056" i="5" s="1"/>
  <c r="AR4056" i="5"/>
  <c r="AQ4056" i="5"/>
  <c r="AR4055" i="5"/>
  <c r="AQ4055" i="5"/>
  <c r="AT4054" i="5"/>
  <c r="AV4054" i="5" s="1"/>
  <c r="AR4054" i="5"/>
  <c r="AQ4054" i="5"/>
  <c r="AT4053" i="5"/>
  <c r="AR4053" i="5"/>
  <c r="AQ4053" i="5"/>
  <c r="AT4052" i="5"/>
  <c r="AX4052" i="5" s="1"/>
  <c r="AT4051" i="5"/>
  <c r="AU4051" i="5" s="1"/>
  <c r="AQ4051" i="5"/>
  <c r="AT4050" i="5"/>
  <c r="AV4050" i="5" s="1"/>
  <c r="AQ4050" i="5"/>
  <c r="AT4049" i="5"/>
  <c r="AQ4049" i="5"/>
  <c r="AT4048" i="5"/>
  <c r="AT4047" i="5"/>
  <c r="AQ4047" i="5"/>
  <c r="AT4046" i="5"/>
  <c r="AV4046" i="5" s="1"/>
  <c r="AR4046" i="5"/>
  <c r="AQ4046" i="5"/>
  <c r="AT4045" i="5"/>
  <c r="AY4045" i="5" s="1"/>
  <c r="AR4045" i="5"/>
  <c r="AQ4045" i="5"/>
  <c r="AT4044" i="5"/>
  <c r="AR4044" i="5"/>
  <c r="AQ4044" i="5"/>
  <c r="AR4043" i="5"/>
  <c r="AQ4043" i="5"/>
  <c r="AT4042" i="5"/>
  <c r="AV4042" i="5" s="1"/>
  <c r="AR4042" i="5"/>
  <c r="AQ4042" i="5"/>
  <c r="AT4041" i="5"/>
  <c r="AR4041" i="5"/>
  <c r="AQ4041" i="5"/>
  <c r="AT4040" i="5"/>
  <c r="AT4039" i="5"/>
  <c r="AX4039" i="5" s="1"/>
  <c r="AQ4039" i="5"/>
  <c r="AT4038" i="5"/>
  <c r="AV4038" i="5" s="1"/>
  <c r="AQ4038" i="5"/>
  <c r="AT4037" i="5"/>
  <c r="AV4037" i="5" s="1"/>
  <c r="AQ4037" i="5"/>
  <c r="AT4036" i="5"/>
  <c r="AX4036" i="5" s="1"/>
  <c r="AT4035" i="5"/>
  <c r="AU4035" i="5" s="1"/>
  <c r="AQ4035" i="5"/>
  <c r="AT4034" i="5"/>
  <c r="AV4034" i="5" s="1"/>
  <c r="AR4034" i="5"/>
  <c r="AQ4034" i="5"/>
  <c r="AT4033" i="5"/>
  <c r="AR4033" i="5"/>
  <c r="AQ4033" i="5"/>
  <c r="AT4032" i="5"/>
  <c r="AX4032" i="5" s="1"/>
  <c r="AR4032" i="5"/>
  <c r="AQ4032" i="5"/>
  <c r="AR4031" i="5"/>
  <c r="AQ4031" i="5"/>
  <c r="AT4030" i="5"/>
  <c r="AV4030" i="5" s="1"/>
  <c r="AR4030" i="5"/>
  <c r="AQ4030" i="5"/>
  <c r="AT4029" i="5"/>
  <c r="AR4029" i="5"/>
  <c r="AQ4029" i="5"/>
  <c r="AT4028" i="5"/>
  <c r="AT4027" i="5"/>
  <c r="AU4027" i="5" s="1"/>
  <c r="AQ4027" i="5"/>
  <c r="AT4026" i="5"/>
  <c r="AX4026" i="5" s="1"/>
  <c r="AQ4026" i="5"/>
  <c r="AT4025" i="5"/>
  <c r="AQ4025" i="5"/>
  <c r="AT4024" i="5"/>
  <c r="AT4023" i="5"/>
  <c r="AQ4023" i="5"/>
  <c r="AT4022" i="5"/>
  <c r="AR4022" i="5"/>
  <c r="AQ4022" i="5"/>
  <c r="AT4021" i="5"/>
  <c r="AU4021" i="5" s="1"/>
  <c r="AR4021" i="5"/>
  <c r="AQ4021" i="5"/>
  <c r="AT4020" i="5"/>
  <c r="AR4020" i="5"/>
  <c r="AQ4020" i="5"/>
  <c r="AR4019" i="5"/>
  <c r="AQ4019" i="5"/>
  <c r="AT4018" i="5"/>
  <c r="AX4018" i="5" s="1"/>
  <c r="AR4018" i="5"/>
  <c r="AQ4018" i="5"/>
  <c r="AT4017" i="5"/>
  <c r="AR4017" i="5"/>
  <c r="AQ4017" i="5"/>
  <c r="AT4016" i="5"/>
  <c r="AT4015" i="5"/>
  <c r="AU4015" i="5" s="1"/>
  <c r="AQ4015" i="5"/>
  <c r="AT4014" i="5"/>
  <c r="AX4014" i="5" s="1"/>
  <c r="AQ4014" i="5"/>
  <c r="AT4013" i="5"/>
  <c r="AQ4013" i="5"/>
  <c r="AT4012" i="5"/>
  <c r="AT4011" i="5"/>
  <c r="AQ4011" i="5"/>
  <c r="AT4010" i="5"/>
  <c r="AX4010" i="5" s="1"/>
  <c r="AR4010" i="5"/>
  <c r="AQ4010" i="5"/>
  <c r="AT4009" i="5"/>
  <c r="AU4009" i="5" s="1"/>
  <c r="AR4009" i="5"/>
  <c r="AQ4009" i="5"/>
  <c r="AT4008" i="5"/>
  <c r="AX4008" i="5" s="1"/>
  <c r="AR4008" i="5"/>
  <c r="AQ4008" i="5"/>
  <c r="AR4007" i="5"/>
  <c r="AQ4007" i="5"/>
  <c r="AT4006" i="5"/>
  <c r="AX4006" i="5" s="1"/>
  <c r="AR4006" i="5"/>
  <c r="AQ4006" i="5"/>
  <c r="AT4005" i="5"/>
  <c r="AV4005" i="5" s="1"/>
  <c r="AR4005" i="5"/>
  <c r="AQ4005" i="5"/>
  <c r="AT4004" i="5"/>
  <c r="AX4004" i="5" s="1"/>
  <c r="AT4003" i="5"/>
  <c r="AY4003" i="5" s="1"/>
  <c r="AT4002" i="5"/>
  <c r="AX4002" i="5" s="1"/>
  <c r="AQ4002" i="5"/>
  <c r="AT4001" i="5"/>
  <c r="AV4001" i="5" s="1"/>
  <c r="AQ4001" i="5"/>
  <c r="AT4000" i="5"/>
  <c r="AV4000" i="5" s="1"/>
  <c r="AT3999" i="5"/>
  <c r="AT3998" i="5"/>
  <c r="AX3998" i="5" s="1"/>
  <c r="AR3998" i="5"/>
  <c r="AQ3998" i="5"/>
  <c r="AT3997" i="5"/>
  <c r="AR3997" i="5"/>
  <c r="AQ3997" i="5"/>
  <c r="AT3996" i="5"/>
  <c r="AX3996" i="5" s="1"/>
  <c r="AR3996" i="5"/>
  <c r="AQ3996" i="5"/>
  <c r="AR3995" i="5"/>
  <c r="AQ3995" i="5"/>
  <c r="AT3994" i="5"/>
  <c r="AX3994" i="5" s="1"/>
  <c r="AR3994" i="5"/>
  <c r="AQ3994" i="5"/>
  <c r="AT3993" i="5"/>
  <c r="AR3993" i="5"/>
  <c r="AQ3993" i="5"/>
  <c r="AT3992" i="5"/>
  <c r="AR3992" i="5"/>
  <c r="AQ3992" i="5"/>
  <c r="AT3991" i="5"/>
  <c r="AQ3991" i="5"/>
  <c r="AT3990" i="5"/>
  <c r="AW3990" i="5" s="1"/>
  <c r="AT3989" i="5"/>
  <c r="AV3989" i="5" s="1"/>
  <c r="AQ3989" i="5"/>
  <c r="AT3988" i="5"/>
  <c r="AW3988" i="5" s="1"/>
  <c r="AQ3988" i="5"/>
  <c r="AT3987" i="5"/>
  <c r="AQ3987" i="5"/>
  <c r="AT3986" i="5"/>
  <c r="AX3986" i="5" s="1"/>
  <c r="AT3985" i="5"/>
  <c r="AR3985" i="5"/>
  <c r="AQ3985" i="5"/>
  <c r="AT3984" i="5"/>
  <c r="AY3984" i="5" s="1"/>
  <c r="AR3984" i="5"/>
  <c r="AQ3984" i="5"/>
  <c r="AT3983" i="5"/>
  <c r="AR3983" i="5"/>
  <c r="AQ3983" i="5"/>
  <c r="AR3982" i="5"/>
  <c r="AQ3982" i="5"/>
  <c r="AT3981" i="5"/>
  <c r="AY3981" i="5" s="1"/>
  <c r="AR3981" i="5"/>
  <c r="AQ3981" i="5"/>
  <c r="AT3980" i="5"/>
  <c r="AR3980" i="5"/>
  <c r="AQ3980" i="5"/>
  <c r="AT3979" i="5"/>
  <c r="AX3979" i="5" s="1"/>
  <c r="AQ3979" i="5"/>
  <c r="AT3978" i="5"/>
  <c r="AX3978" i="5" s="1"/>
  <c r="AT3977" i="5"/>
  <c r="AU3977" i="5" s="1"/>
  <c r="AQ3977" i="5"/>
  <c r="AT3976" i="5"/>
  <c r="AQ3976" i="5"/>
  <c r="AT3975" i="5"/>
  <c r="AX3975" i="5" s="1"/>
  <c r="AQ3975" i="5"/>
  <c r="AT3974" i="5"/>
  <c r="AX3974" i="5" s="1"/>
  <c r="AT3973" i="5"/>
  <c r="AR3973" i="5"/>
  <c r="AQ3973" i="5"/>
  <c r="AT3972" i="5"/>
  <c r="AR3972" i="5"/>
  <c r="AQ3972" i="5"/>
  <c r="AT3971" i="5"/>
  <c r="AX3971" i="5" s="1"/>
  <c r="AR3971" i="5"/>
  <c r="AQ3971" i="5"/>
  <c r="AR3970" i="5"/>
  <c r="AQ3970" i="5"/>
  <c r="AT3969" i="5"/>
  <c r="AX3969" i="5" s="1"/>
  <c r="AR3969" i="5"/>
  <c r="AQ3969" i="5"/>
  <c r="AT3968" i="5"/>
  <c r="AY3968" i="5" s="1"/>
  <c r="AR3968" i="5"/>
  <c r="AQ3968" i="5"/>
  <c r="AT3967" i="5"/>
  <c r="AX3967" i="5" s="1"/>
  <c r="AQ3967" i="5"/>
  <c r="AT3966" i="5"/>
  <c r="AX3966" i="5" s="1"/>
  <c r="AT3965" i="5"/>
  <c r="AY3965" i="5" s="1"/>
  <c r="AQ3965" i="5"/>
  <c r="AT3964" i="5"/>
  <c r="AY3964" i="5" s="1"/>
  <c r="AQ3964" i="5"/>
  <c r="AT3963" i="5"/>
  <c r="AQ3963" i="5"/>
  <c r="AT3962" i="5"/>
  <c r="AX3962" i="5" s="1"/>
  <c r="AT3961" i="5"/>
  <c r="AX3961" i="5" s="1"/>
  <c r="AR3961" i="5"/>
  <c r="AQ3961" i="5"/>
  <c r="AT3960" i="5"/>
  <c r="AY3960" i="5" s="1"/>
  <c r="AR3960" i="5"/>
  <c r="AQ3960" i="5"/>
  <c r="AT3959" i="5"/>
  <c r="AX3959" i="5" s="1"/>
  <c r="AR3959" i="5"/>
  <c r="AQ3959" i="5"/>
  <c r="AR3958" i="5"/>
  <c r="AQ3958" i="5"/>
  <c r="AT3957" i="5"/>
  <c r="AU3957" i="5" s="1"/>
  <c r="AR3957" i="5"/>
  <c r="AQ3957" i="5"/>
  <c r="AT3956" i="5"/>
  <c r="AY3956" i="5" s="1"/>
  <c r="AR3956" i="5"/>
  <c r="AQ3956" i="5"/>
  <c r="AT3955" i="5"/>
  <c r="AU3955" i="5" s="1"/>
  <c r="AQ3955" i="5"/>
  <c r="AT3954" i="5"/>
  <c r="AX3954" i="5" s="1"/>
  <c r="AT3953" i="5"/>
  <c r="AX3953" i="5" s="1"/>
  <c r="AQ3953" i="5"/>
  <c r="AT3952" i="5"/>
  <c r="AY3952" i="5" s="1"/>
  <c r="AQ3952" i="5"/>
  <c r="AT3951" i="5"/>
  <c r="AY3951" i="5" s="1"/>
  <c r="AQ3951" i="5"/>
  <c r="AT3950" i="5"/>
  <c r="AX3950" i="5" s="1"/>
  <c r="AT3949" i="5"/>
  <c r="AX3949" i="5" s="1"/>
  <c r="AR3949" i="5"/>
  <c r="AQ3949" i="5"/>
  <c r="AT3948" i="5"/>
  <c r="AY3948" i="5" s="1"/>
  <c r="AR3948" i="5"/>
  <c r="AQ3948" i="5"/>
  <c r="AT3947" i="5"/>
  <c r="AR3947" i="5"/>
  <c r="AQ3947" i="5"/>
  <c r="AR3946" i="5"/>
  <c r="AQ3946" i="5"/>
  <c r="AT3945" i="5"/>
  <c r="AU3945" i="5" s="1"/>
  <c r="AR3945" i="5"/>
  <c r="AQ3945" i="5"/>
  <c r="AT3944" i="5"/>
  <c r="AR3944" i="5"/>
  <c r="AQ3944" i="5"/>
  <c r="AT3943" i="5"/>
  <c r="AQ3943" i="5"/>
  <c r="AT3942" i="5"/>
  <c r="AX3942" i="5" s="1"/>
  <c r="AT3941" i="5"/>
  <c r="AX3941" i="5" s="1"/>
  <c r="AQ3941" i="5"/>
  <c r="AT3940" i="5"/>
  <c r="AY3940" i="5" s="1"/>
  <c r="AQ3940" i="5"/>
  <c r="AT3939" i="5"/>
  <c r="AX3939" i="5" s="1"/>
  <c r="AQ3939" i="5"/>
  <c r="AT3938" i="5"/>
  <c r="AX3938" i="5" s="1"/>
  <c r="AT3937" i="5"/>
  <c r="AR3937" i="5"/>
  <c r="AQ3937" i="5"/>
  <c r="AT3936" i="5"/>
  <c r="AR3936" i="5"/>
  <c r="AQ3936" i="5"/>
  <c r="AT3935" i="5"/>
  <c r="AR3935" i="5"/>
  <c r="AQ3935" i="5"/>
  <c r="AR3934" i="5"/>
  <c r="AQ3934" i="5"/>
  <c r="AT3933" i="5"/>
  <c r="AR3933" i="5"/>
  <c r="AQ3933" i="5"/>
  <c r="AT3932" i="5"/>
  <c r="AR3932" i="5"/>
  <c r="AQ3932" i="5"/>
  <c r="AT3931" i="5"/>
  <c r="AQ3931" i="5"/>
  <c r="AT3930" i="5"/>
  <c r="AX3930" i="5" s="1"/>
  <c r="AT3929" i="5"/>
  <c r="AQ3929" i="5"/>
  <c r="AT3928" i="5"/>
  <c r="AQ3928" i="5"/>
  <c r="AT3927" i="5"/>
  <c r="AQ3927" i="5"/>
  <c r="AT3926" i="5"/>
  <c r="AX3926" i="5" s="1"/>
  <c r="AT3925" i="5"/>
  <c r="AY3925" i="5" s="1"/>
  <c r="AR3925" i="5"/>
  <c r="AQ3925" i="5"/>
  <c r="AT3924" i="5"/>
  <c r="AR3924" i="5"/>
  <c r="AQ3924" i="5"/>
  <c r="AT3923" i="5"/>
  <c r="AR3923" i="5"/>
  <c r="AQ3923" i="5"/>
  <c r="AR3922" i="5"/>
  <c r="AQ3922" i="5"/>
  <c r="AT3921" i="5"/>
  <c r="AY3921" i="5" s="1"/>
  <c r="AR3921" i="5"/>
  <c r="AQ3921" i="5"/>
  <c r="AT3920" i="5"/>
  <c r="AR3920" i="5"/>
  <c r="AQ3920" i="5"/>
  <c r="AT3919" i="5"/>
  <c r="AX3919" i="5" s="1"/>
  <c r="AT3918" i="5"/>
  <c r="AX3918" i="5" s="1"/>
  <c r="AQ3918" i="5"/>
  <c r="AT3917" i="5"/>
  <c r="AQ3917" i="5"/>
  <c r="AT3916" i="5"/>
  <c r="AY3916" i="5" s="1"/>
  <c r="AQ3916" i="5"/>
  <c r="AT3915" i="5"/>
  <c r="AQ3915" i="5"/>
  <c r="AT3914" i="5"/>
  <c r="AX3914" i="5" s="1"/>
  <c r="AT3913" i="5"/>
  <c r="AR3913" i="5"/>
  <c r="AQ3913" i="5"/>
  <c r="AT3912" i="5"/>
  <c r="AY3912" i="5" s="1"/>
  <c r="AR3912" i="5"/>
  <c r="AQ3912" i="5"/>
  <c r="AT3911" i="5"/>
  <c r="AR3911" i="5"/>
  <c r="AQ3911" i="5"/>
  <c r="AR3910" i="5"/>
  <c r="AQ3910" i="5"/>
  <c r="AT3909" i="5"/>
  <c r="AR3909" i="5"/>
  <c r="AQ3909" i="5"/>
  <c r="AT3908" i="5"/>
  <c r="AR3908" i="5"/>
  <c r="AQ3908" i="5"/>
  <c r="AT3907" i="5"/>
  <c r="AY3907" i="5" s="1"/>
  <c r="AR3907" i="5"/>
  <c r="AQ3907" i="5"/>
  <c r="AT3906" i="5"/>
  <c r="AX3906" i="5" s="1"/>
  <c r="AT3905" i="5"/>
  <c r="AY3905" i="5" s="1"/>
  <c r="AQ3905" i="5"/>
  <c r="AT3904" i="5"/>
  <c r="AV3904" i="5" s="1"/>
  <c r="AQ3904" i="5"/>
  <c r="AT3903" i="5"/>
  <c r="AQ3903" i="5"/>
  <c r="AT3902" i="5"/>
  <c r="AX3902" i="5" s="1"/>
  <c r="AQ3902" i="5"/>
  <c r="AT3901" i="5"/>
  <c r="AX3901" i="5" s="1"/>
  <c r="AT3900" i="5"/>
  <c r="AV3900" i="5" s="1"/>
  <c r="AR3900" i="5"/>
  <c r="AQ3900" i="5"/>
  <c r="AT3899" i="5"/>
  <c r="AX3899" i="5" s="1"/>
  <c r="AR3899" i="5"/>
  <c r="AQ3899" i="5"/>
  <c r="AT3898" i="5"/>
  <c r="AX3898" i="5" s="1"/>
  <c r="AR3898" i="5"/>
  <c r="AQ3898" i="5"/>
  <c r="AR3897" i="5"/>
  <c r="AQ3897" i="5"/>
  <c r="AT3896" i="5"/>
  <c r="AV3896" i="5" s="1"/>
  <c r="AR3896" i="5"/>
  <c r="AQ3896" i="5"/>
  <c r="AT3895" i="5"/>
  <c r="AX3895" i="5" s="1"/>
  <c r="AR3895" i="5"/>
  <c r="AQ3895" i="5"/>
  <c r="AT3894" i="5"/>
  <c r="AX3894" i="5" s="1"/>
  <c r="AT3893" i="5"/>
  <c r="AQ3893" i="5"/>
  <c r="AT3892" i="5"/>
  <c r="AV3892" i="5" s="1"/>
  <c r="AQ3892" i="5"/>
  <c r="AT3891" i="5"/>
  <c r="AX3891" i="5" s="1"/>
  <c r="AQ3891" i="5"/>
  <c r="AT3890" i="5"/>
  <c r="AX3890" i="5" s="1"/>
  <c r="AT3889" i="5"/>
  <c r="AU3889" i="5" s="1"/>
  <c r="AQ3889" i="5"/>
  <c r="AT3888" i="5"/>
  <c r="AV3888" i="5" s="1"/>
  <c r="AR3888" i="5"/>
  <c r="AQ3888" i="5"/>
  <c r="AT3887" i="5"/>
  <c r="AR3887" i="5"/>
  <c r="AQ3887" i="5"/>
  <c r="AT3886" i="5"/>
  <c r="AX3886" i="5" s="1"/>
  <c r="AR3886" i="5"/>
  <c r="AQ3886" i="5"/>
  <c r="AR3885" i="5"/>
  <c r="AQ3885" i="5"/>
  <c r="AT3884" i="5"/>
  <c r="AV3884" i="5" s="1"/>
  <c r="AR3884" i="5"/>
  <c r="AQ3884" i="5"/>
  <c r="AT3883" i="5"/>
  <c r="AR3883" i="5"/>
  <c r="AQ3883" i="5"/>
  <c r="AT3882" i="5"/>
  <c r="AX3882" i="5" s="1"/>
  <c r="AT3881" i="5"/>
  <c r="AQ3881" i="5"/>
  <c r="AT3880" i="5"/>
  <c r="AV3880" i="5" s="1"/>
  <c r="AQ3880" i="5"/>
  <c r="AT3879" i="5"/>
  <c r="AX3879" i="5" s="1"/>
  <c r="AQ3879" i="5"/>
  <c r="AT3878" i="5"/>
  <c r="AX3878" i="5" s="1"/>
  <c r="AT3877" i="5"/>
  <c r="AQ3877" i="5"/>
  <c r="AT3876" i="5"/>
  <c r="AV3876" i="5" s="1"/>
  <c r="AR3876" i="5"/>
  <c r="AQ3876" i="5"/>
  <c r="AT3875" i="5"/>
  <c r="AX3875" i="5" s="1"/>
  <c r="AR3875" i="5"/>
  <c r="AQ3875" i="5"/>
  <c r="AT3874" i="5"/>
  <c r="AX3874" i="5" s="1"/>
  <c r="AR3874" i="5"/>
  <c r="AQ3874" i="5"/>
  <c r="AR3873" i="5"/>
  <c r="AQ3873" i="5"/>
  <c r="AT3872" i="5"/>
  <c r="AV3872" i="5" s="1"/>
  <c r="AR3872" i="5"/>
  <c r="AQ3872" i="5"/>
  <c r="AT3871" i="5"/>
  <c r="AX3871" i="5" s="1"/>
  <c r="AR3871" i="5"/>
  <c r="AQ3871" i="5"/>
  <c r="AT3870" i="5"/>
  <c r="AX3870" i="5" s="1"/>
  <c r="AT3869" i="5"/>
  <c r="AX3869" i="5" s="1"/>
  <c r="AQ3869" i="5"/>
  <c r="AT3868" i="5"/>
  <c r="AV3868" i="5" s="1"/>
  <c r="AQ3868" i="5"/>
  <c r="AT3867" i="5"/>
  <c r="AQ3867" i="5"/>
  <c r="AT3866" i="5"/>
  <c r="AT3865" i="5"/>
  <c r="AX3865" i="5" s="1"/>
  <c r="AQ3865" i="5"/>
  <c r="AT3864" i="5"/>
  <c r="AV3864" i="5" s="1"/>
  <c r="AR3864" i="5"/>
  <c r="AQ3864" i="5"/>
  <c r="AT3863" i="5"/>
  <c r="AX3863" i="5" s="1"/>
  <c r="AR3863" i="5"/>
  <c r="AQ3863" i="5"/>
  <c r="AT3862" i="5"/>
  <c r="AX3862" i="5" s="1"/>
  <c r="AR3862" i="5"/>
  <c r="AQ3862" i="5"/>
  <c r="AR3861" i="5"/>
  <c r="AQ3861" i="5"/>
  <c r="AT3860" i="5"/>
  <c r="AV3860" i="5" s="1"/>
  <c r="AR3860" i="5"/>
  <c r="AQ3860" i="5"/>
  <c r="AT3859" i="5"/>
  <c r="AX3859" i="5" s="1"/>
  <c r="AR3859" i="5"/>
  <c r="AQ3859" i="5"/>
  <c r="AT3858" i="5"/>
  <c r="AX3858" i="5" s="1"/>
  <c r="AT3857" i="5"/>
  <c r="AQ3857" i="5"/>
  <c r="AT3856" i="5"/>
  <c r="AV3856" i="5" s="1"/>
  <c r="AQ3856" i="5"/>
  <c r="AT3855" i="5"/>
  <c r="AQ3855" i="5"/>
  <c r="AT3854" i="5"/>
  <c r="AX3854" i="5" s="1"/>
  <c r="AT3853" i="5"/>
  <c r="AQ3853" i="5"/>
  <c r="AT3852" i="5"/>
  <c r="AV3852" i="5" s="1"/>
  <c r="AR3852" i="5"/>
  <c r="AQ3852" i="5"/>
  <c r="AT3851" i="5"/>
  <c r="AR3851" i="5"/>
  <c r="AQ3851" i="5"/>
  <c r="AT3850" i="5"/>
  <c r="AX3850" i="5" s="1"/>
  <c r="AR3850" i="5"/>
  <c r="AQ3850" i="5"/>
  <c r="AR3849" i="5"/>
  <c r="AQ3849" i="5"/>
  <c r="AT3848" i="5"/>
  <c r="AV3848" i="5" s="1"/>
  <c r="AR3848" i="5"/>
  <c r="AQ3848" i="5"/>
  <c r="AT3847" i="5"/>
  <c r="AV3847" i="5" s="1"/>
  <c r="AR3847" i="5"/>
  <c r="AQ3847" i="5"/>
  <c r="AT3846" i="5"/>
  <c r="AX3846" i="5" s="1"/>
  <c r="AT3845" i="5"/>
  <c r="AT3844" i="5"/>
  <c r="AV3844" i="5" s="1"/>
  <c r="AQ3844" i="5"/>
  <c r="AT3843" i="5"/>
  <c r="AY3843" i="5" s="1"/>
  <c r="AQ3843" i="5"/>
  <c r="AT3842" i="5"/>
  <c r="AT3841" i="5"/>
  <c r="AT3840" i="5"/>
  <c r="AV3840" i="5" s="1"/>
  <c r="AR3840" i="5"/>
  <c r="AQ3840" i="5"/>
  <c r="AT3839" i="5"/>
  <c r="AX3839" i="5" s="1"/>
  <c r="AR3839" i="5"/>
  <c r="AQ3839" i="5"/>
  <c r="AT3838" i="5"/>
  <c r="AX3838" i="5" s="1"/>
  <c r="AR3838" i="5"/>
  <c r="AQ3838" i="5"/>
  <c r="AR3837" i="5"/>
  <c r="AQ3837" i="5"/>
  <c r="AT3836" i="5"/>
  <c r="AV3836" i="5" s="1"/>
  <c r="AR3836" i="5"/>
  <c r="AQ3836" i="5"/>
  <c r="AT3835" i="5"/>
  <c r="AX3835" i="5" s="1"/>
  <c r="AR3835" i="5"/>
  <c r="AQ3835" i="5"/>
  <c r="AT3834" i="5"/>
  <c r="AX3834" i="5" s="1"/>
  <c r="AQ3834" i="5"/>
  <c r="AT3833" i="5"/>
  <c r="AT3832" i="5"/>
  <c r="AQ3832" i="5"/>
  <c r="AT3831" i="5"/>
  <c r="AX3831" i="5" s="1"/>
  <c r="AQ3831" i="5"/>
  <c r="AT3830" i="5"/>
  <c r="AQ3830" i="5"/>
  <c r="AT3829" i="5"/>
  <c r="AX3829" i="5" s="1"/>
  <c r="AT3828" i="5"/>
  <c r="AX3828" i="5" s="1"/>
  <c r="AR3828" i="5"/>
  <c r="AQ3828" i="5"/>
  <c r="AT3827" i="5"/>
  <c r="AX3827" i="5" s="1"/>
  <c r="AR3827" i="5"/>
  <c r="AQ3827" i="5"/>
  <c r="AT3826" i="5"/>
  <c r="AX3826" i="5" s="1"/>
  <c r="AR3826" i="5"/>
  <c r="AQ3826" i="5"/>
  <c r="AR3825" i="5"/>
  <c r="AQ3825" i="5"/>
  <c r="AT3824" i="5"/>
  <c r="AX3824" i="5" s="1"/>
  <c r="AR3824" i="5"/>
  <c r="AQ3824" i="5"/>
  <c r="AT3823" i="5"/>
  <c r="AY3823" i="5" s="1"/>
  <c r="AR3823" i="5"/>
  <c r="AQ3823" i="5"/>
  <c r="AT3822" i="5"/>
  <c r="AR3822" i="5"/>
  <c r="AQ3822" i="5"/>
  <c r="AT3821" i="5"/>
  <c r="AQ3821" i="5"/>
  <c r="AT3820" i="5"/>
  <c r="AX3820" i="5" s="1"/>
  <c r="AT3819" i="5"/>
  <c r="AQ3819" i="5"/>
  <c r="AT3818" i="5"/>
  <c r="AX3818" i="5" s="1"/>
  <c r="AQ3818" i="5"/>
  <c r="AT3817" i="5"/>
  <c r="AQ3817" i="5"/>
  <c r="AT3816" i="5"/>
  <c r="AX3816" i="5" s="1"/>
  <c r="AT3815" i="5"/>
  <c r="AX3815" i="5" s="1"/>
  <c r="AR3815" i="5"/>
  <c r="AQ3815" i="5"/>
  <c r="AT3814" i="5"/>
  <c r="AR3814" i="5"/>
  <c r="AQ3814" i="5"/>
  <c r="AT3813" i="5"/>
  <c r="AR3813" i="5"/>
  <c r="AQ3813" i="5"/>
  <c r="AR3812" i="5"/>
  <c r="AQ3812" i="5"/>
  <c r="AT3811" i="5"/>
  <c r="AY3811" i="5" s="1"/>
  <c r="AR3811" i="5"/>
  <c r="AQ3811" i="5"/>
  <c r="AT3810" i="5"/>
  <c r="AV3810" i="5" s="1"/>
  <c r="AR3810" i="5"/>
  <c r="AQ3810" i="5"/>
  <c r="AT3809" i="5"/>
  <c r="AX3809" i="5" s="1"/>
  <c r="AQ3809" i="5"/>
  <c r="AT3808" i="5"/>
  <c r="AT3807" i="5"/>
  <c r="AQ3807" i="5"/>
  <c r="AT3806" i="5"/>
  <c r="AQ3806" i="5"/>
  <c r="AT3805" i="5"/>
  <c r="AX3805" i="5" s="1"/>
  <c r="AQ3805" i="5"/>
  <c r="AT3804" i="5"/>
  <c r="AX3804" i="5" s="1"/>
  <c r="AT3803" i="5"/>
  <c r="AY3803" i="5" s="1"/>
  <c r="AR3803" i="5"/>
  <c r="AQ3803" i="5"/>
  <c r="AT3802" i="5"/>
  <c r="AR3802" i="5"/>
  <c r="AQ3802" i="5"/>
  <c r="AT3801" i="5"/>
  <c r="AR3801" i="5"/>
  <c r="AQ3801" i="5"/>
  <c r="AR3800" i="5"/>
  <c r="AQ3800" i="5"/>
  <c r="AT3799" i="5"/>
  <c r="AY3799" i="5" s="1"/>
  <c r="AR3799" i="5"/>
  <c r="AQ3799" i="5"/>
  <c r="AT3798" i="5"/>
  <c r="AR3798" i="5"/>
  <c r="AQ3798" i="5"/>
  <c r="AT3797" i="5"/>
  <c r="AX3797" i="5" s="1"/>
  <c r="AQ3797" i="5"/>
  <c r="AT3796" i="5"/>
  <c r="AT3795" i="5"/>
  <c r="AV3795" i="5" s="1"/>
  <c r="AQ3795" i="5"/>
  <c r="AT3794" i="5"/>
  <c r="AX3794" i="5" s="1"/>
  <c r="AQ3794" i="5"/>
  <c r="AT3793" i="5"/>
  <c r="AQ3793" i="5"/>
  <c r="AT3792" i="5"/>
  <c r="AT3791" i="5"/>
  <c r="AR3791" i="5"/>
  <c r="AQ3791" i="5"/>
  <c r="AT3790" i="5"/>
  <c r="AR3790" i="5"/>
  <c r="AQ3790" i="5"/>
  <c r="AT3789" i="5"/>
  <c r="AR3789" i="5"/>
  <c r="AQ3789" i="5"/>
  <c r="AR3788" i="5"/>
  <c r="AQ3788" i="5"/>
  <c r="AT3787" i="5"/>
  <c r="AW3787" i="5" s="1"/>
  <c r="AR3787" i="5"/>
  <c r="AQ3787" i="5"/>
  <c r="AT3786" i="5"/>
  <c r="AU3786" i="5" s="1"/>
  <c r="AR3786" i="5"/>
  <c r="AQ3786" i="5"/>
  <c r="AT3785" i="5"/>
  <c r="AQ3785" i="5"/>
  <c r="AT3784" i="5"/>
  <c r="AV3784" i="5" s="1"/>
  <c r="AT3783" i="5"/>
  <c r="AW3783" i="5" s="1"/>
  <c r="AQ3783" i="5"/>
  <c r="AT3782" i="5"/>
  <c r="AU3782" i="5" s="1"/>
  <c r="AQ3782" i="5"/>
  <c r="AT3781" i="5"/>
  <c r="AQ3781" i="5"/>
  <c r="AT3780" i="5"/>
  <c r="AT3779" i="5"/>
  <c r="AW3779" i="5" s="1"/>
  <c r="AR3779" i="5"/>
  <c r="AQ3779" i="5"/>
  <c r="AT3778" i="5"/>
  <c r="AR3778" i="5"/>
  <c r="AQ3778" i="5"/>
  <c r="AT3777" i="5"/>
  <c r="AY3777" i="5" s="1"/>
  <c r="AR3777" i="5"/>
  <c r="AQ3777" i="5"/>
  <c r="AR3776" i="5"/>
  <c r="AQ3776" i="5"/>
  <c r="AT3775" i="5"/>
  <c r="AW3775" i="5" s="1"/>
  <c r="AR3775" i="5"/>
  <c r="AQ3775" i="5"/>
  <c r="AT3774" i="5"/>
  <c r="AR3774" i="5"/>
  <c r="AQ3774" i="5"/>
  <c r="AT3773" i="5"/>
  <c r="AW3773" i="5" s="1"/>
  <c r="AQ3773" i="5"/>
  <c r="AT3772" i="5"/>
  <c r="AT3771" i="5"/>
  <c r="AW3771" i="5" s="1"/>
  <c r="AQ3771" i="5"/>
  <c r="AT3770" i="5"/>
  <c r="AQ3770" i="5"/>
  <c r="AT3769" i="5"/>
  <c r="AQ3769" i="5"/>
  <c r="AT3768" i="5"/>
  <c r="AT3767" i="5"/>
  <c r="AW3767" i="5" s="1"/>
  <c r="AR3767" i="5"/>
  <c r="AQ3767" i="5"/>
  <c r="AT3766" i="5"/>
  <c r="AR3766" i="5"/>
  <c r="AQ3766" i="5"/>
  <c r="AT3765" i="5"/>
  <c r="AR3765" i="5"/>
  <c r="AQ3765" i="5"/>
  <c r="AR3764" i="5"/>
  <c r="AQ3764" i="5"/>
  <c r="AT3763" i="5"/>
  <c r="AW3763" i="5" s="1"/>
  <c r="AR3763" i="5"/>
  <c r="AQ3763" i="5"/>
  <c r="AT3762" i="5"/>
  <c r="AU3762" i="5" s="1"/>
  <c r="AR3762" i="5"/>
  <c r="AQ3762" i="5"/>
  <c r="AT3761" i="5"/>
  <c r="AQ3761" i="5"/>
  <c r="AT3760" i="5"/>
  <c r="AV3760" i="5" s="1"/>
  <c r="AT3759" i="5"/>
  <c r="AW3759" i="5" s="1"/>
  <c r="AQ3759" i="5"/>
  <c r="AT3758" i="5"/>
  <c r="AQ3758" i="5"/>
  <c r="AT3757" i="5"/>
  <c r="AQ3757" i="5"/>
  <c r="AT3756" i="5"/>
  <c r="AT3755" i="5"/>
  <c r="AW3755" i="5" s="1"/>
  <c r="AR3755" i="5"/>
  <c r="AQ3755" i="5"/>
  <c r="AT3754" i="5"/>
  <c r="AR3754" i="5"/>
  <c r="AQ3754" i="5"/>
  <c r="AT3753" i="5"/>
  <c r="AU3753" i="5" s="1"/>
  <c r="AR3753" i="5"/>
  <c r="AQ3753" i="5"/>
  <c r="AR3752" i="5"/>
  <c r="AQ3752" i="5"/>
  <c r="AT3751" i="5"/>
  <c r="AW3751" i="5" s="1"/>
  <c r="AR3751" i="5"/>
  <c r="AQ3751" i="5"/>
  <c r="AT3750" i="5"/>
  <c r="AV3750" i="5" s="1"/>
  <c r="AR3750" i="5"/>
  <c r="AQ3750" i="5"/>
  <c r="AT3749" i="5"/>
  <c r="AY3749" i="5" s="1"/>
  <c r="AT3748" i="5"/>
  <c r="AV3748" i="5" s="1"/>
  <c r="AQ3748" i="5"/>
  <c r="AT3747" i="5"/>
  <c r="AW3747" i="5" s="1"/>
  <c r="AQ3747" i="5"/>
  <c r="AT3746" i="5"/>
  <c r="AQ3746" i="5"/>
  <c r="AT3745" i="5"/>
  <c r="AX3745" i="5" s="1"/>
  <c r="AQ3745" i="5"/>
  <c r="AT3744" i="5"/>
  <c r="AV3744" i="5" s="1"/>
  <c r="AT3743" i="5"/>
  <c r="AW3743" i="5" s="1"/>
  <c r="AR3743" i="5"/>
  <c r="AQ3743" i="5"/>
  <c r="AT3742" i="5"/>
  <c r="AX3742" i="5" s="1"/>
  <c r="AR3742" i="5"/>
  <c r="AQ3742" i="5"/>
  <c r="AT3741" i="5"/>
  <c r="AY3741" i="5" s="1"/>
  <c r="AR3741" i="5"/>
  <c r="AQ3741" i="5"/>
  <c r="AR3740" i="5"/>
  <c r="AQ3740" i="5"/>
  <c r="AT3739" i="5"/>
  <c r="AW3739" i="5" s="1"/>
  <c r="AR3739" i="5"/>
  <c r="AQ3739" i="5"/>
  <c r="AT3738" i="5"/>
  <c r="AR3738" i="5"/>
  <c r="AQ3738" i="5"/>
  <c r="AT3737" i="5"/>
  <c r="AT3736" i="5"/>
  <c r="AQ3736" i="5"/>
  <c r="AT3735" i="5"/>
  <c r="AW3735" i="5" s="1"/>
  <c r="AQ3735" i="5"/>
  <c r="AT3734" i="5"/>
  <c r="AQ3734" i="5"/>
  <c r="AT3733" i="5"/>
  <c r="AV3733" i="5" s="1"/>
  <c r="AQ3733" i="5"/>
  <c r="AT3732" i="5"/>
  <c r="AT3731" i="5"/>
  <c r="AW3731" i="5" s="1"/>
  <c r="AR3731" i="5"/>
  <c r="AQ3731" i="5"/>
  <c r="AT3730" i="5"/>
  <c r="AX3730" i="5" s="1"/>
  <c r="AR3730" i="5"/>
  <c r="AQ3730" i="5"/>
  <c r="AT3729" i="5"/>
  <c r="AR3729" i="5"/>
  <c r="AQ3729" i="5"/>
  <c r="AR3728" i="5"/>
  <c r="AQ3728" i="5"/>
  <c r="AT3727" i="5"/>
  <c r="AW3727" i="5" s="1"/>
  <c r="AR3727" i="5"/>
  <c r="AQ3727" i="5"/>
  <c r="AT3726" i="5"/>
  <c r="AR3726" i="5"/>
  <c r="AQ3726" i="5"/>
  <c r="AT3725" i="5"/>
  <c r="AY3725" i="5" s="1"/>
  <c r="AT3724" i="5"/>
  <c r="AQ3724" i="5"/>
  <c r="AT3723" i="5"/>
  <c r="AW3723" i="5" s="1"/>
  <c r="AQ3723" i="5"/>
  <c r="AT3722" i="5"/>
  <c r="AX3722" i="5" s="1"/>
  <c r="AQ3722" i="5"/>
  <c r="AT3721" i="5"/>
  <c r="AX3721" i="5" s="1"/>
  <c r="AT3720" i="5"/>
  <c r="AQ3720" i="5"/>
  <c r="AT3719" i="5"/>
  <c r="AW3719" i="5" s="1"/>
  <c r="AR3719" i="5"/>
  <c r="AQ3719" i="5"/>
  <c r="AT3718" i="5"/>
  <c r="AR3718" i="5"/>
  <c r="AQ3718" i="5"/>
  <c r="AT3717" i="5"/>
  <c r="AR3717" i="5"/>
  <c r="AQ3717" i="5"/>
  <c r="AR3716" i="5"/>
  <c r="AQ3716" i="5"/>
  <c r="AT3715" i="5"/>
  <c r="AW3715" i="5" s="1"/>
  <c r="AR3715" i="5"/>
  <c r="AQ3715" i="5"/>
  <c r="AT3714" i="5"/>
  <c r="AV3714" i="5" s="1"/>
  <c r="AR3714" i="5"/>
  <c r="AQ3714" i="5"/>
  <c r="AT3713" i="5"/>
  <c r="AT3712" i="5"/>
  <c r="AQ3712" i="5"/>
  <c r="AT3711" i="5"/>
  <c r="AW3711" i="5" s="1"/>
  <c r="AQ3711" i="5"/>
  <c r="AT3710" i="5"/>
  <c r="AX3710" i="5" s="1"/>
  <c r="AQ3710" i="5"/>
  <c r="AT3709" i="5"/>
  <c r="AX3709" i="5" s="1"/>
  <c r="AT3708" i="5"/>
  <c r="AV3708" i="5" s="1"/>
  <c r="AQ3708" i="5"/>
  <c r="AT3707" i="5"/>
  <c r="AW3707" i="5" s="1"/>
  <c r="AR3707" i="5"/>
  <c r="AQ3707" i="5"/>
  <c r="AT3706" i="5"/>
  <c r="AR3706" i="5"/>
  <c r="AQ3706" i="5"/>
  <c r="AT3705" i="5"/>
  <c r="AR3705" i="5"/>
  <c r="AQ3705" i="5"/>
  <c r="AR3704" i="5"/>
  <c r="AQ3704" i="5"/>
  <c r="AT3703" i="5"/>
  <c r="AW3703" i="5" s="1"/>
  <c r="AR3703" i="5"/>
  <c r="AQ3703" i="5"/>
  <c r="AT3702" i="5"/>
  <c r="AX3702" i="5" s="1"/>
  <c r="AR3702" i="5"/>
  <c r="AQ3702" i="5"/>
  <c r="AT3701" i="5"/>
  <c r="AT3700" i="5"/>
  <c r="AV3700" i="5" s="1"/>
  <c r="AQ3700" i="5"/>
  <c r="AT3699" i="5"/>
  <c r="AW3699" i="5" s="1"/>
  <c r="AQ3699" i="5"/>
  <c r="AT3698" i="5"/>
  <c r="AQ3698" i="5"/>
  <c r="AT3697" i="5"/>
  <c r="AT3696" i="5"/>
  <c r="AQ3696" i="5"/>
  <c r="AT3695" i="5"/>
  <c r="AW3695" i="5" s="1"/>
  <c r="AQ3695" i="5"/>
  <c r="AT3694" i="5"/>
  <c r="AQ3694" i="5"/>
  <c r="AT3693" i="5"/>
  <c r="AQ3693" i="5"/>
  <c r="AT3691" i="5"/>
  <c r="AR3691" i="5"/>
  <c r="AQ3691" i="5"/>
  <c r="AT3690" i="5"/>
  <c r="AR3690" i="5"/>
  <c r="AQ3690" i="5"/>
  <c r="AT3688" i="5"/>
  <c r="AT3687" i="5"/>
  <c r="AX3687" i="5" s="1"/>
  <c r="AQ3687" i="5"/>
  <c r="AT3686" i="5"/>
  <c r="AX3686" i="5" s="1"/>
  <c r="AQ3686" i="5"/>
  <c r="AT3685" i="5"/>
  <c r="AT3684" i="5"/>
  <c r="AV3684" i="5" s="1"/>
  <c r="AT3683" i="5"/>
  <c r="AQ3683" i="5"/>
  <c r="AT3682" i="5"/>
  <c r="AR3682" i="5"/>
  <c r="AQ3682" i="5"/>
  <c r="AT3681" i="5"/>
  <c r="AX3681" i="5" s="1"/>
  <c r="AR3681" i="5"/>
  <c r="AQ3681" i="5"/>
  <c r="AR3680" i="5"/>
  <c r="AQ3680" i="5"/>
  <c r="AT3679" i="5"/>
  <c r="AX3679" i="5" s="1"/>
  <c r="AT3678" i="5"/>
  <c r="AQ3678" i="5"/>
  <c r="AT3677" i="5"/>
  <c r="AT3676" i="5"/>
  <c r="AQ3676" i="5"/>
  <c r="AT3675" i="5"/>
  <c r="AX3675" i="5" s="1"/>
  <c r="AT3674" i="5"/>
  <c r="AQ3674" i="5"/>
  <c r="AT3673" i="5"/>
  <c r="AT3672" i="5"/>
  <c r="AQ3672" i="5"/>
  <c r="AR3671" i="5"/>
  <c r="AQ3671" i="5"/>
  <c r="AT3670" i="5"/>
  <c r="AT3669" i="5"/>
  <c r="AX3669" i="5" s="1"/>
  <c r="AQ3669" i="5"/>
  <c r="AQ3668" i="5"/>
  <c r="AT3667" i="5"/>
  <c r="AX3667" i="5" s="1"/>
  <c r="AQ3667" i="5"/>
  <c r="AT3666" i="5"/>
  <c r="AY3666" i="5" s="1"/>
  <c r="AT3665" i="5"/>
  <c r="AX3665" i="5" s="1"/>
  <c r="AT3664" i="5"/>
  <c r="AV3664" i="5" s="1"/>
  <c r="AQ3664" i="5"/>
  <c r="AT3663" i="5"/>
  <c r="AX3663" i="5" s="1"/>
  <c r="AQ3663" i="5"/>
  <c r="AQ3662" i="5"/>
  <c r="AT3661" i="5"/>
  <c r="AU3661" i="5" s="1"/>
  <c r="AT3660" i="5"/>
  <c r="AV3660" i="5" s="1"/>
  <c r="AQ3660" i="5"/>
  <c r="AT3659" i="5"/>
  <c r="AX3659" i="5" s="1"/>
  <c r="AQ3659" i="5"/>
  <c r="AT3658" i="5"/>
  <c r="AQ3658" i="5"/>
  <c r="AT3657" i="5"/>
  <c r="AQ3656" i="5"/>
  <c r="AT3655" i="5"/>
  <c r="AX3655" i="5" s="1"/>
  <c r="AR3655" i="5"/>
  <c r="AQ3655" i="5"/>
  <c r="AT3654" i="5"/>
  <c r="AX3654" i="5" s="1"/>
  <c r="AR3654" i="5"/>
  <c r="AQ3654" i="5"/>
  <c r="AR3653" i="5"/>
  <c r="AQ3653" i="5"/>
  <c r="AT3652" i="5"/>
  <c r="AV3652" i="5" s="1"/>
  <c r="AT3651" i="5"/>
  <c r="AQ3651" i="5"/>
  <c r="AT3650" i="5"/>
  <c r="AQ3650" i="5"/>
  <c r="AT3649" i="5"/>
  <c r="AU3649" i="5" s="1"/>
  <c r="AQ3649" i="5"/>
  <c r="AT3648" i="5"/>
  <c r="AT3647" i="5"/>
  <c r="AX3647" i="5" s="1"/>
  <c r="AQ3647" i="5"/>
  <c r="AT3646" i="5"/>
  <c r="AR3646" i="5"/>
  <c r="AQ3646" i="5"/>
  <c r="AT3645" i="5"/>
  <c r="AX3645" i="5" s="1"/>
  <c r="AR3645" i="5"/>
  <c r="AQ3645" i="5"/>
  <c r="AR3644" i="5"/>
  <c r="AQ3644" i="5"/>
  <c r="AT3642" i="5"/>
  <c r="AQ3642" i="5"/>
  <c r="AT3641" i="5"/>
  <c r="AQ3641" i="5"/>
  <c r="AT3640" i="5"/>
  <c r="AV3640" i="5" s="1"/>
  <c r="AT3639" i="5"/>
  <c r="AX3639" i="5" s="1"/>
  <c r="AT3638" i="5"/>
  <c r="AX3638" i="5" s="1"/>
  <c r="AT3637" i="5"/>
  <c r="AQ3637" i="5"/>
  <c r="AT3636" i="5"/>
  <c r="AT3635" i="5"/>
  <c r="AX3635" i="5" s="1"/>
  <c r="AT3634" i="5"/>
  <c r="AR3634" i="5"/>
  <c r="AQ3634" i="5"/>
  <c r="AR3633" i="5"/>
  <c r="AQ3633" i="5"/>
  <c r="AT3632" i="5"/>
  <c r="AV3632" i="5" s="1"/>
  <c r="AR3632" i="5"/>
  <c r="AQ3632" i="5"/>
  <c r="AT3630" i="5"/>
  <c r="AV3630" i="5" s="1"/>
  <c r="AQ3630" i="5"/>
  <c r="AT3629" i="5"/>
  <c r="AY3629" i="5" s="1"/>
  <c r="AQ3629" i="5"/>
  <c r="AT3628" i="5"/>
  <c r="AV3628" i="5" s="1"/>
  <c r="AQ3628" i="5"/>
  <c r="AT3627" i="5"/>
  <c r="AX3627" i="5" s="1"/>
  <c r="AT3626" i="5"/>
  <c r="AY3626" i="5" s="1"/>
  <c r="AQ3626" i="5"/>
  <c r="AT3625" i="5"/>
  <c r="AX3625" i="5" s="1"/>
  <c r="AQ3625" i="5"/>
  <c r="AQ3624" i="5"/>
  <c r="AT3623" i="5"/>
  <c r="AX3623" i="5" s="1"/>
  <c r="AT3622" i="5"/>
  <c r="AY3622" i="5" s="1"/>
  <c r="AT3621" i="5"/>
  <c r="AU3621" i="5" s="1"/>
  <c r="AQ3621" i="5"/>
  <c r="AT3620" i="5"/>
  <c r="AV3620" i="5" s="1"/>
  <c r="AQ3620" i="5"/>
  <c r="AQ3619" i="5"/>
  <c r="AT3618" i="5"/>
  <c r="AU3618" i="5" s="1"/>
  <c r="AT3617" i="5"/>
  <c r="AR3617" i="5"/>
  <c r="AQ3617" i="5"/>
  <c r="AT3616" i="5"/>
  <c r="AV3616" i="5" s="1"/>
  <c r="AQ3616" i="5"/>
  <c r="AT3614" i="5"/>
  <c r="AU3614" i="5" s="1"/>
  <c r="AQ3614" i="5"/>
  <c r="AT3613" i="5"/>
  <c r="AV3613" i="5" s="1"/>
  <c r="AT3612" i="5"/>
  <c r="AV3612" i="5" s="1"/>
  <c r="AQ3612" i="5"/>
  <c r="AT3611" i="5"/>
  <c r="AT3610" i="5"/>
  <c r="AY3610" i="5" s="1"/>
  <c r="AQ3610" i="5"/>
  <c r="AT3609" i="5"/>
  <c r="AX3609" i="5" s="1"/>
  <c r="AT3608" i="5"/>
  <c r="AW3608" i="5" s="1"/>
  <c r="AR3608" i="5"/>
  <c r="AQ3608" i="5"/>
  <c r="AR3607" i="5"/>
  <c r="AQ3607" i="5"/>
  <c r="AR3606" i="5"/>
  <c r="AQ3606" i="5"/>
  <c r="AT3605" i="5"/>
  <c r="AV3605" i="5" s="1"/>
  <c r="AQ3605" i="5"/>
  <c r="AT3604" i="5"/>
  <c r="AT3603" i="5"/>
  <c r="AT3602" i="5"/>
  <c r="AU3602" i="5" s="1"/>
  <c r="AQ3602" i="5"/>
  <c r="AT3601" i="5"/>
  <c r="AU3601" i="5" s="1"/>
  <c r="AQ3601" i="5"/>
  <c r="AT3600" i="5"/>
  <c r="AT3599" i="5"/>
  <c r="AY3599" i="5" s="1"/>
  <c r="AT3598" i="5"/>
  <c r="AW3598" i="5" s="1"/>
  <c r="AR3598" i="5"/>
  <c r="AQ3598" i="5"/>
  <c r="AR3597" i="5"/>
  <c r="AQ3597" i="5"/>
  <c r="AT3596" i="5"/>
  <c r="AQ3596" i="5"/>
  <c r="AT3594" i="5"/>
  <c r="AW3594" i="5" s="1"/>
  <c r="AQ3594" i="5"/>
  <c r="AT3593" i="5"/>
  <c r="AQ3593" i="5"/>
  <c r="AT3592" i="5"/>
  <c r="AQ3592" i="5"/>
  <c r="AT3591" i="5"/>
  <c r="AV3591" i="5" s="1"/>
  <c r="AT3590" i="5"/>
  <c r="AQ3590" i="5"/>
  <c r="AT3589" i="5"/>
  <c r="AQ3589" i="5"/>
  <c r="AQ3588" i="5"/>
  <c r="AT3587" i="5"/>
  <c r="AW3587" i="5" s="1"/>
  <c r="AT3586" i="5"/>
  <c r="AT3585" i="5"/>
  <c r="AU3585" i="5" s="1"/>
  <c r="AQ3585" i="5"/>
  <c r="AT3584" i="5"/>
  <c r="AY3584" i="5" s="1"/>
  <c r="AQ3584" i="5"/>
  <c r="AQ3583" i="5"/>
  <c r="AT3582" i="5"/>
  <c r="AX3582" i="5" s="1"/>
  <c r="AT3581" i="5"/>
  <c r="AU3581" i="5" s="1"/>
  <c r="AQ3581" i="5"/>
  <c r="AT3580" i="5"/>
  <c r="AY3580" i="5" s="1"/>
  <c r="AQ3580" i="5"/>
  <c r="AT3578" i="5"/>
  <c r="AT3577" i="5"/>
  <c r="AX3577" i="5" s="1"/>
  <c r="AQ3577" i="5"/>
  <c r="AT3576" i="5"/>
  <c r="AY3576" i="5" s="1"/>
  <c r="AQ3576" i="5"/>
  <c r="AT3575" i="5"/>
  <c r="AW3575" i="5" s="1"/>
  <c r="AQ3574" i="5"/>
  <c r="AT3573" i="5"/>
  <c r="AY3573" i="5" s="1"/>
  <c r="AT3572" i="5"/>
  <c r="AX3572" i="5" s="1"/>
  <c r="AQ3572" i="5"/>
  <c r="AQ3571" i="5"/>
  <c r="AQ3570" i="5"/>
  <c r="AT3569" i="5"/>
  <c r="AV3569" i="5" s="1"/>
  <c r="AT3568" i="5"/>
  <c r="AX3568" i="5" s="1"/>
  <c r="AQ3568" i="5"/>
  <c r="AT3567" i="5"/>
  <c r="AW3567" i="5" s="1"/>
  <c r="AT3566" i="5"/>
  <c r="AQ3566" i="5"/>
  <c r="AQ3565" i="5"/>
  <c r="AT3564" i="5"/>
  <c r="AX3564" i="5" s="1"/>
  <c r="AT3563" i="5"/>
  <c r="AW3563" i="5" s="1"/>
  <c r="AT3562" i="5"/>
  <c r="AT3561" i="5"/>
  <c r="AU3561" i="5" s="1"/>
  <c r="AQ3561" i="5"/>
  <c r="AT3560" i="5"/>
  <c r="AY3560" i="5" s="1"/>
  <c r="AQ3559" i="5"/>
  <c r="AT3557" i="5"/>
  <c r="AQ3557" i="5"/>
  <c r="AQ3556" i="5"/>
  <c r="AT3555" i="5"/>
  <c r="AW3555" i="5" s="1"/>
  <c r="AT3554" i="5"/>
  <c r="AT3553" i="5"/>
  <c r="AU3553" i="5" s="1"/>
  <c r="AT3552" i="5"/>
  <c r="AQ3552" i="5"/>
  <c r="AT3551" i="5"/>
  <c r="AW3551" i="5" s="1"/>
  <c r="AQ3551" i="5"/>
  <c r="AT3549" i="5"/>
  <c r="AU3549" i="5" s="1"/>
  <c r="AT3548" i="5"/>
  <c r="AY3548" i="5" s="1"/>
  <c r="AQ3548" i="5"/>
  <c r="AQ3547" i="5"/>
  <c r="AQ3546" i="5"/>
  <c r="AT3545" i="5"/>
  <c r="AT3544" i="5"/>
  <c r="AX3544" i="5" s="1"/>
  <c r="AQ3544" i="5"/>
  <c r="AT3543" i="5"/>
  <c r="AW3543" i="5" s="1"/>
  <c r="AT3542" i="5"/>
  <c r="AQ3542" i="5"/>
  <c r="AT3540" i="5"/>
  <c r="AT3539" i="5"/>
  <c r="AW3539" i="5" s="1"/>
  <c r="AQ3538" i="5"/>
  <c r="AT3537" i="5"/>
  <c r="AQ3537" i="5"/>
  <c r="AT3536" i="5"/>
  <c r="AT3535" i="5"/>
  <c r="AW3535" i="5" s="1"/>
  <c r="AQ3535" i="5"/>
  <c r="AQ3534" i="5"/>
  <c r="AT3533" i="5"/>
  <c r="AY3533" i="5" s="1"/>
  <c r="AQ3533" i="5"/>
  <c r="AT3531" i="5"/>
  <c r="AW3531" i="5" s="1"/>
  <c r="AT3530" i="5"/>
  <c r="AQ3530" i="5"/>
  <c r="AQ3529" i="5"/>
  <c r="AT3528" i="5"/>
  <c r="AQ3528" i="5"/>
  <c r="AT3527" i="5"/>
  <c r="AW3527" i="5" s="1"/>
  <c r="AT3526" i="5"/>
  <c r="AW3526" i="5" s="1"/>
  <c r="AQ3526" i="5"/>
  <c r="AT3525" i="5"/>
  <c r="AY3525" i="5" s="1"/>
  <c r="AQ3525" i="5"/>
  <c r="AT3524" i="5"/>
  <c r="AQ3524" i="5"/>
  <c r="AT3521" i="5"/>
  <c r="AY3521" i="5" s="1"/>
  <c r="AQ3521" i="5"/>
  <c r="AQ3520" i="5"/>
  <c r="AT3519" i="5"/>
  <c r="AW3519" i="5" s="1"/>
  <c r="AT3518" i="5"/>
  <c r="AT3517" i="5"/>
  <c r="AQ3517" i="5"/>
  <c r="AT3516" i="5"/>
  <c r="AQ3516" i="5"/>
  <c r="AT3515" i="5"/>
  <c r="AW3515" i="5" s="1"/>
  <c r="AT3513" i="5"/>
  <c r="AY3513" i="5" s="1"/>
  <c r="AT3512" i="5"/>
  <c r="AQ3512" i="5"/>
  <c r="AQ3511" i="5"/>
  <c r="AQ3510" i="5"/>
  <c r="AT3509" i="5"/>
  <c r="AY3509" i="5" s="1"/>
  <c r="AT3508" i="5"/>
  <c r="AQ3508" i="5"/>
  <c r="AT3507" i="5"/>
  <c r="AW3507" i="5" s="1"/>
  <c r="AT3506" i="5"/>
  <c r="AQ3506" i="5"/>
  <c r="AT3504" i="5"/>
  <c r="AY3504" i="5" s="1"/>
  <c r="AT3503" i="5"/>
  <c r="AW3503" i="5" s="1"/>
  <c r="AQ3502" i="5"/>
  <c r="AT3501" i="5"/>
  <c r="AT3500" i="5"/>
  <c r="AT3499" i="5"/>
  <c r="AW3499" i="5" s="1"/>
  <c r="AQ3499" i="5"/>
  <c r="AQ3498" i="5"/>
  <c r="AT3497" i="5"/>
  <c r="AQ3497" i="5"/>
  <c r="AT3495" i="5"/>
  <c r="AW3495" i="5" s="1"/>
  <c r="AT3494" i="5"/>
  <c r="AQ3494" i="5"/>
  <c r="AQ3493" i="5"/>
  <c r="AT3492" i="5"/>
  <c r="AT3491" i="5"/>
  <c r="AW3491" i="5" s="1"/>
  <c r="AT3490" i="5"/>
  <c r="AX3490" i="5" s="1"/>
  <c r="AT3489" i="5"/>
  <c r="AY3489" i="5" s="1"/>
  <c r="AQ3489" i="5"/>
  <c r="AT3488" i="5"/>
  <c r="AU3488" i="5" s="1"/>
  <c r="AQ3488" i="5"/>
  <c r="AT3487" i="5"/>
  <c r="AW3487" i="5" s="1"/>
  <c r="AR3486" i="5"/>
  <c r="AQ3486" i="5"/>
  <c r="AR3485" i="5"/>
  <c r="AQ3485" i="5"/>
  <c r="AR3484" i="5"/>
  <c r="AQ3484" i="5"/>
  <c r="AT3483" i="5"/>
  <c r="AW3483" i="5" s="1"/>
  <c r="AT3482" i="5"/>
  <c r="AX3482" i="5" s="1"/>
  <c r="AT3481" i="5"/>
  <c r="AY3481" i="5" s="1"/>
  <c r="AT3480" i="5"/>
  <c r="AQ3480" i="5"/>
  <c r="AT3479" i="5"/>
  <c r="AW3479" i="5" s="1"/>
  <c r="AT3478" i="5"/>
  <c r="AT3477" i="5"/>
  <c r="AY3477" i="5" s="1"/>
  <c r="AR3476" i="5"/>
  <c r="AQ3476" i="5"/>
  <c r="AQ3475" i="5"/>
  <c r="AT3474" i="5"/>
  <c r="AY3474" i="5" s="1"/>
  <c r="AQ3473" i="5"/>
  <c r="AT3472" i="5"/>
  <c r="AQ3472" i="5"/>
  <c r="AT3471" i="5"/>
  <c r="AQ3471" i="5"/>
  <c r="AT3470" i="5"/>
  <c r="AT3469" i="5"/>
  <c r="AY3469" i="5" s="1"/>
  <c r="AT3468" i="5"/>
  <c r="AQ3468" i="5"/>
  <c r="AQ3467" i="5"/>
  <c r="AQ3466" i="5"/>
  <c r="AT3465" i="5"/>
  <c r="AY3465" i="5" s="1"/>
  <c r="AT3464" i="5"/>
  <c r="AQ3464" i="5"/>
  <c r="AT3463" i="5"/>
  <c r="AX3463" i="5" s="1"/>
  <c r="AQ3463" i="5"/>
  <c r="AT3462" i="5"/>
  <c r="AW3462" i="5" s="1"/>
  <c r="AQ3462" i="5"/>
  <c r="AT3460" i="5"/>
  <c r="AW3460" i="5" s="1"/>
  <c r="AQ3460" i="5"/>
  <c r="AT3459" i="5"/>
  <c r="AR3459" i="5"/>
  <c r="AQ3459" i="5"/>
  <c r="AQ3458" i="5"/>
  <c r="AT3456" i="5"/>
  <c r="AT3455" i="5"/>
  <c r="AQ3455" i="5"/>
  <c r="AT3454" i="5"/>
  <c r="AQ3454" i="5"/>
  <c r="AT3453" i="5"/>
  <c r="AT3452" i="5"/>
  <c r="AT3451" i="5"/>
  <c r="AX3451" i="5" s="1"/>
  <c r="AQ3451" i="5"/>
  <c r="AT3450" i="5"/>
  <c r="AR3450" i="5"/>
  <c r="AQ3450" i="5"/>
  <c r="AR3449" i="5"/>
  <c r="AQ3449" i="5"/>
  <c r="AQ3448" i="5"/>
  <c r="AT3447" i="5"/>
  <c r="AT3446" i="5"/>
  <c r="AQ3446" i="5"/>
  <c r="AT3445" i="5"/>
  <c r="AY3445" i="5" s="1"/>
  <c r="AT3444" i="5"/>
  <c r="AY3444" i="5" s="1"/>
  <c r="AQ3444" i="5"/>
  <c r="AT3443" i="5"/>
  <c r="AT3442" i="5"/>
  <c r="AQ3442" i="5"/>
  <c r="AT3441" i="5"/>
  <c r="AR3440" i="5"/>
  <c r="AQ3440" i="5"/>
  <c r="AQ3439" i="5"/>
  <c r="AT3438" i="5"/>
  <c r="AQ3437" i="5"/>
  <c r="AT3436" i="5"/>
  <c r="AQ3436" i="5"/>
  <c r="AT3435" i="5"/>
  <c r="AV3435" i="5" s="1"/>
  <c r="AQ3435" i="5"/>
  <c r="AT3434" i="5"/>
  <c r="AT3433" i="5"/>
  <c r="AX3433" i="5" s="1"/>
  <c r="AT3432" i="5"/>
  <c r="AU3432" i="5" s="1"/>
  <c r="AQ3432" i="5"/>
  <c r="AQ3431" i="5"/>
  <c r="AT3429" i="5"/>
  <c r="AV3429" i="5" s="1"/>
  <c r="AT3428" i="5"/>
  <c r="AV3428" i="5" s="1"/>
  <c r="AT3427" i="5"/>
  <c r="AX3427" i="5" s="1"/>
  <c r="AQ3427" i="5"/>
  <c r="AT3426" i="5"/>
  <c r="AU3426" i="5" s="1"/>
  <c r="AQ3426" i="5"/>
  <c r="AQ3425" i="5"/>
  <c r="AT3424" i="5"/>
  <c r="AT3423" i="5"/>
  <c r="AX3423" i="5" s="1"/>
  <c r="AR3423" i="5"/>
  <c r="AQ3423" i="5"/>
  <c r="AT3422" i="5"/>
  <c r="AX3422" i="5" s="1"/>
  <c r="AQ3422" i="5"/>
  <c r="AQ3420" i="5"/>
  <c r="AT3419" i="5"/>
  <c r="AX3419" i="5" s="1"/>
  <c r="AT3418" i="5"/>
  <c r="AW3418" i="5" s="1"/>
  <c r="AQ3418" i="5"/>
  <c r="AT3417" i="5"/>
  <c r="AX3417" i="5" s="1"/>
  <c r="AT3416" i="5"/>
  <c r="AQ3416" i="5"/>
  <c r="AT3415" i="5"/>
  <c r="AT3414" i="5"/>
  <c r="AW3414" i="5" s="1"/>
  <c r="AQ3414" i="5"/>
  <c r="AR3413" i="5"/>
  <c r="AQ3413" i="5"/>
  <c r="AR3412" i="5"/>
  <c r="AQ3412" i="5"/>
  <c r="AQ3411" i="5"/>
  <c r="AT3410" i="5"/>
  <c r="AT3409" i="5"/>
  <c r="AT3408" i="5"/>
  <c r="AV3408" i="5" s="1"/>
  <c r="AQ3408" i="5"/>
  <c r="AT3407" i="5"/>
  <c r="AX3407" i="5" s="1"/>
  <c r="AQ3407" i="5"/>
  <c r="AT3406" i="5"/>
  <c r="AT3405" i="5"/>
  <c r="AX3405" i="5" s="1"/>
  <c r="AT3404" i="5"/>
  <c r="AW3404" i="5" s="1"/>
  <c r="AR3404" i="5"/>
  <c r="AQ3404" i="5"/>
  <c r="AR3403" i="5"/>
  <c r="AQ3403" i="5"/>
  <c r="AQ3402" i="5"/>
  <c r="AT3400" i="5"/>
  <c r="AU3400" i="5" s="1"/>
  <c r="AQ3400" i="5"/>
  <c r="AT3399" i="5"/>
  <c r="AQ3399" i="5"/>
  <c r="AT3398" i="5"/>
  <c r="AW3398" i="5" s="1"/>
  <c r="AQ3398" i="5"/>
  <c r="AT3397" i="5"/>
  <c r="AT3396" i="5"/>
  <c r="AT3395" i="5"/>
  <c r="AQ3395" i="5"/>
  <c r="AQ3394" i="5"/>
  <c r="AQ3393" i="5"/>
  <c r="AT3392" i="5"/>
  <c r="AT3391" i="5"/>
  <c r="AV3391" i="5" s="1"/>
  <c r="AQ3391" i="5"/>
  <c r="AT3390" i="5"/>
  <c r="AW3390" i="5" s="1"/>
  <c r="AQ3390" i="5"/>
  <c r="AT3389" i="5"/>
  <c r="AQ3389" i="5"/>
  <c r="AT3387" i="5"/>
  <c r="AQ3387" i="5"/>
  <c r="AT3386" i="5"/>
  <c r="AW3386" i="5" s="1"/>
  <c r="AR3386" i="5"/>
  <c r="AQ3386" i="5"/>
  <c r="AQ3384" i="5"/>
  <c r="AT3383" i="5"/>
  <c r="AV3383" i="5" s="1"/>
  <c r="AT3382" i="5"/>
  <c r="AW3382" i="5" s="1"/>
  <c r="AQ3382" i="5"/>
  <c r="AT3381" i="5"/>
  <c r="AX3381" i="5" s="1"/>
  <c r="AQ3381" i="5"/>
  <c r="AT3380" i="5"/>
  <c r="AY3380" i="5" s="1"/>
  <c r="AT3379" i="5"/>
  <c r="AY3379" i="5" s="1"/>
  <c r="AT3378" i="5"/>
  <c r="AW3378" i="5" s="1"/>
  <c r="AQ3378" i="5"/>
  <c r="AT3377" i="5"/>
  <c r="AR3377" i="5"/>
  <c r="AQ3377" i="5"/>
  <c r="AR3376" i="5"/>
  <c r="AQ3376" i="5"/>
  <c r="AT3374" i="5"/>
  <c r="AW3374" i="5" s="1"/>
  <c r="AT3373" i="5"/>
  <c r="AX3373" i="5" s="1"/>
  <c r="AT3372" i="5"/>
  <c r="AQ3372" i="5"/>
  <c r="AT3371" i="5"/>
  <c r="AV3371" i="5" s="1"/>
  <c r="AQ3371" i="5"/>
  <c r="AT3370" i="5"/>
  <c r="AW3370" i="5" s="1"/>
  <c r="AT3369" i="5"/>
  <c r="AU3369" i="5" s="1"/>
  <c r="AQ3369" i="5"/>
  <c r="AT3368" i="5"/>
  <c r="AV3368" i="5" s="1"/>
  <c r="AR3367" i="5"/>
  <c r="AQ3367" i="5"/>
  <c r="AT3365" i="5"/>
  <c r="AX3365" i="5" s="1"/>
  <c r="AQ3365" i="5"/>
  <c r="AQ3364" i="5"/>
  <c r="AT3363" i="5"/>
  <c r="AT3362" i="5"/>
  <c r="AW3362" i="5" s="1"/>
  <c r="AQ3362" i="5"/>
  <c r="AT3361" i="5"/>
  <c r="AT3360" i="5"/>
  <c r="AQ3360" i="5"/>
  <c r="AT3359" i="5"/>
  <c r="AV3359" i="5" s="1"/>
  <c r="AQ3358" i="5"/>
  <c r="AT3357" i="5"/>
  <c r="AT3356" i="5"/>
  <c r="AU3356" i="5" s="1"/>
  <c r="AQ3356" i="5"/>
  <c r="AQ3355" i="5"/>
  <c r="AT3354" i="5"/>
  <c r="AW3354" i="5" s="1"/>
  <c r="AQ3354" i="5"/>
  <c r="AT3353" i="5"/>
  <c r="AU3353" i="5" s="1"/>
  <c r="AT3351" i="5"/>
  <c r="AV3351" i="5" s="1"/>
  <c r="AQ3351" i="5"/>
  <c r="AT3350" i="5"/>
  <c r="AW3350" i="5" s="1"/>
  <c r="AQ3350" i="5"/>
  <c r="AT3348" i="5"/>
  <c r="AT3347" i="5"/>
  <c r="AQ3347" i="5"/>
  <c r="AQ3346" i="5"/>
  <c r="AT3345" i="5"/>
  <c r="AT3344" i="5"/>
  <c r="AY3344" i="5" s="1"/>
  <c r="AT3343" i="5"/>
  <c r="AQ3343" i="5"/>
  <c r="AT3342" i="5"/>
  <c r="AW3342" i="5" s="1"/>
  <c r="AQ3342" i="5"/>
  <c r="AT3341" i="5"/>
  <c r="AQ3341" i="5"/>
  <c r="AT3339" i="5"/>
  <c r="AT3338" i="5"/>
  <c r="AW3338" i="5" s="1"/>
  <c r="AQ3338" i="5"/>
  <c r="AT3336" i="5"/>
  <c r="AV3336" i="5" s="1"/>
  <c r="AQ3336" i="5"/>
  <c r="AT3335" i="5"/>
  <c r="AT3334" i="5"/>
  <c r="AW3334" i="5" s="1"/>
  <c r="AQ3334" i="5"/>
  <c r="AT3333" i="5"/>
  <c r="AX3333" i="5" s="1"/>
  <c r="AT3332" i="5"/>
  <c r="AX3332" i="5" s="1"/>
  <c r="AQ3332" i="5"/>
  <c r="AT3330" i="5"/>
  <c r="AW3330" i="5" s="1"/>
  <c r="AT3329" i="5"/>
  <c r="AX3329" i="5" s="1"/>
  <c r="AQ3329" i="5"/>
  <c r="AQ3328" i="5"/>
  <c r="AT3327" i="5"/>
  <c r="AQ3327" i="5"/>
  <c r="AT3326" i="5"/>
  <c r="AW3326" i="5" s="1"/>
  <c r="AT3325" i="5"/>
  <c r="AT3324" i="5"/>
  <c r="AQ3324" i="5"/>
  <c r="AT3323" i="5"/>
  <c r="AQ3323" i="5"/>
  <c r="AT3321" i="5"/>
  <c r="AT3320" i="5"/>
  <c r="AX3320" i="5" s="1"/>
  <c r="AQ3320" i="5"/>
  <c r="AQ3319" i="5"/>
  <c r="AT3318" i="5"/>
  <c r="AW3318" i="5" s="1"/>
  <c r="AQ3318" i="5"/>
  <c r="AT3317" i="5"/>
  <c r="AX3317" i="5" s="1"/>
  <c r="AQ3316" i="5"/>
  <c r="AT3315" i="5"/>
  <c r="AQ3315" i="5"/>
  <c r="AT3314" i="5"/>
  <c r="AW3314" i="5" s="1"/>
  <c r="AQ3314" i="5"/>
  <c r="AT3312" i="5"/>
  <c r="AT3311" i="5"/>
  <c r="AV3311" i="5" s="1"/>
  <c r="AQ3311" i="5"/>
  <c r="AQ3310" i="5"/>
  <c r="AT3309" i="5"/>
  <c r="AX3309" i="5" s="1"/>
  <c r="AQ3309" i="5"/>
  <c r="AT3308" i="5"/>
  <c r="AY3308" i="5" s="1"/>
  <c r="AT3307" i="5"/>
  <c r="AQ3307" i="5"/>
  <c r="AT3306" i="5"/>
  <c r="AW3306" i="5" s="1"/>
  <c r="AQ3306" i="5"/>
  <c r="AT3305" i="5"/>
  <c r="AX3305" i="5" s="1"/>
  <c r="AQ3305" i="5"/>
  <c r="AT3302" i="5"/>
  <c r="AW3302" i="5" s="1"/>
  <c r="AQ3302" i="5"/>
  <c r="AQ3301" i="5"/>
  <c r="AT3300" i="5"/>
  <c r="AT3299" i="5"/>
  <c r="AV3299" i="5" s="1"/>
  <c r="AT3298" i="5"/>
  <c r="AW3298" i="5" s="1"/>
  <c r="AQ3298" i="5"/>
  <c r="AT3297" i="5"/>
  <c r="AU3297" i="5" s="1"/>
  <c r="AQ3297" i="5"/>
  <c r="AT3296" i="5"/>
  <c r="AV3296" i="5" s="1"/>
  <c r="AT3294" i="5"/>
  <c r="AW3294" i="5" s="1"/>
  <c r="AR3294" i="5"/>
  <c r="AQ3294" i="5"/>
  <c r="AT3293" i="5"/>
  <c r="AX3293" i="5" s="1"/>
  <c r="AQ3292" i="5"/>
  <c r="AQ3291" i="5"/>
  <c r="AT3290" i="5"/>
  <c r="AW3290" i="5" s="1"/>
  <c r="AT3289" i="5"/>
  <c r="AT3288" i="5"/>
  <c r="AY3288" i="5" s="1"/>
  <c r="AT3287" i="5"/>
  <c r="AV3287" i="5" s="1"/>
  <c r="AQ3286" i="5"/>
  <c r="AT3285" i="5"/>
  <c r="AT3284" i="5"/>
  <c r="AT3283" i="5"/>
  <c r="AT3282" i="5"/>
  <c r="AQ3282" i="5"/>
  <c r="AQ3281" i="5"/>
  <c r="AT3280" i="5"/>
  <c r="AQ3279" i="5"/>
  <c r="AT3278" i="5"/>
  <c r="AX3278" i="5" s="1"/>
  <c r="AQ3278" i="5"/>
  <c r="AQ3277" i="5"/>
  <c r="AT3276" i="5"/>
  <c r="AV3276" i="5" s="1"/>
  <c r="AT3275" i="5"/>
  <c r="AT3274" i="5"/>
  <c r="AX3274" i="5" s="1"/>
  <c r="AQ3274" i="5"/>
  <c r="AT3273" i="5"/>
  <c r="AQ3273" i="5"/>
  <c r="AQ3272" i="5"/>
  <c r="AT3271" i="5"/>
  <c r="AV3271" i="5" s="1"/>
  <c r="AT3270" i="5"/>
  <c r="AX3270" i="5" s="1"/>
  <c r="AQ3270" i="5"/>
  <c r="AT3269" i="5"/>
  <c r="AX3269" i="5" s="1"/>
  <c r="AQ3269" i="5"/>
  <c r="AQ3268" i="5"/>
  <c r="AT3266" i="5"/>
  <c r="AT3265" i="5"/>
  <c r="AY3265" i="5" s="1"/>
  <c r="AQ3265" i="5"/>
  <c r="AT3264" i="5"/>
  <c r="AQ3264" i="5"/>
  <c r="AT3262" i="5"/>
  <c r="AT3261" i="5"/>
  <c r="AX3261" i="5" s="1"/>
  <c r="AQ3261" i="5"/>
  <c r="AT3260" i="5"/>
  <c r="AQ3260" i="5"/>
  <c r="AT3258" i="5"/>
  <c r="AX3258" i="5" s="1"/>
  <c r="AT3257" i="5"/>
  <c r="AX3257" i="5" s="1"/>
  <c r="AT3256" i="5"/>
  <c r="AX3256" i="5" s="1"/>
  <c r="AQ3256" i="5"/>
  <c r="AQ3255" i="5"/>
  <c r="AQ3254" i="5"/>
  <c r="AT3253" i="5"/>
  <c r="AU3253" i="5" s="1"/>
  <c r="AT3252" i="5"/>
  <c r="AX3252" i="5" s="1"/>
  <c r="AQ3252" i="5"/>
  <c r="AT3251" i="5"/>
  <c r="AY3251" i="5" s="1"/>
  <c r="AQ3250" i="5"/>
  <c r="AT3249" i="5"/>
  <c r="AT3248" i="5"/>
  <c r="AT3247" i="5"/>
  <c r="AV3247" i="5" s="1"/>
  <c r="AT3246" i="5"/>
  <c r="AX3246" i="5" s="1"/>
  <c r="AQ3246" i="5"/>
  <c r="AQ3245" i="5"/>
  <c r="AT3244" i="5"/>
  <c r="AY3244" i="5" s="1"/>
  <c r="AQ3243" i="5"/>
  <c r="AT3242" i="5"/>
  <c r="AQ3242" i="5"/>
  <c r="AQ3241" i="5"/>
  <c r="AT3240" i="5"/>
  <c r="AT3239" i="5"/>
  <c r="AV3239" i="5" s="1"/>
  <c r="AT3238" i="5"/>
  <c r="AQ3238" i="5"/>
  <c r="AT3237" i="5"/>
  <c r="AU3237" i="5" s="1"/>
  <c r="AQ3237" i="5"/>
  <c r="AQ3236" i="5"/>
  <c r="AT3235" i="5"/>
  <c r="AT3234" i="5"/>
  <c r="AX3234" i="5" s="1"/>
  <c r="AQ3234" i="5"/>
  <c r="AT3233" i="5"/>
  <c r="AQ3233" i="5"/>
  <c r="AQ3232" i="5"/>
  <c r="AT3230" i="5"/>
  <c r="AX3230" i="5" s="1"/>
  <c r="AQ3230" i="5"/>
  <c r="AT3229" i="5"/>
  <c r="AU3229" i="5" s="1"/>
  <c r="AQ3229" i="5"/>
  <c r="AT3228" i="5"/>
  <c r="AQ3228" i="5"/>
  <c r="AQ3227" i="5"/>
  <c r="AT3226" i="5"/>
  <c r="AX3226" i="5" s="1"/>
  <c r="AT3225" i="5"/>
  <c r="AQ3225" i="5"/>
  <c r="AT3224" i="5"/>
  <c r="AQ3224" i="5"/>
  <c r="AQ3223" i="5"/>
  <c r="AT3222" i="5"/>
  <c r="AT3221" i="5"/>
  <c r="AQ3221" i="5"/>
  <c r="AT3220" i="5"/>
  <c r="AQ3220" i="5"/>
  <c r="AT3219" i="5"/>
  <c r="AQ3219" i="5"/>
  <c r="AT3217" i="5"/>
  <c r="AX3217" i="5" s="1"/>
  <c r="AQ3217" i="5"/>
  <c r="AT3216" i="5"/>
  <c r="AY3216" i="5" s="1"/>
  <c r="AQ3216" i="5"/>
  <c r="AT3215" i="5"/>
  <c r="AU3215" i="5" s="1"/>
  <c r="AT3213" i="5"/>
  <c r="AT3212" i="5"/>
  <c r="AY3212" i="5" s="1"/>
  <c r="AQ3212" i="5"/>
  <c r="AT3211" i="5"/>
  <c r="AV3211" i="5" s="1"/>
  <c r="AT3210" i="5"/>
  <c r="AX3210" i="5" s="1"/>
  <c r="AT3209" i="5"/>
  <c r="AT3208" i="5"/>
  <c r="AY3208" i="5" s="1"/>
  <c r="AQ3208" i="5"/>
  <c r="AR3207" i="5"/>
  <c r="AQ3207" i="5"/>
  <c r="AQ3206" i="5"/>
  <c r="AT3204" i="5"/>
  <c r="AT3203" i="5"/>
  <c r="AT3202" i="5"/>
  <c r="AQ3202" i="5"/>
  <c r="AT3201" i="5"/>
  <c r="AU3201" i="5" s="1"/>
  <c r="AT3200" i="5"/>
  <c r="AT3199" i="5"/>
  <c r="AQ3199" i="5"/>
  <c r="AT3197" i="5"/>
  <c r="AQ3197" i="5"/>
  <c r="AT3195" i="5"/>
  <c r="AQ3194" i="5"/>
  <c r="AT3193" i="5"/>
  <c r="AQ3193" i="5"/>
  <c r="AT3192" i="5"/>
  <c r="AT3191" i="5"/>
  <c r="AT3190" i="5"/>
  <c r="AQ3190" i="5"/>
  <c r="AQ3189" i="5"/>
  <c r="AT3188" i="5"/>
  <c r="AY3188" i="5" s="1"/>
  <c r="AQ3188" i="5"/>
  <c r="AT3186" i="5"/>
  <c r="AX3186" i="5" s="1"/>
  <c r="AT3185" i="5"/>
  <c r="AQ3185" i="5"/>
  <c r="AT3184" i="5"/>
  <c r="AQ3184" i="5"/>
  <c r="AT3183" i="5"/>
  <c r="AT3181" i="5"/>
  <c r="AX3181" i="5" s="1"/>
  <c r="AQ3181" i="5"/>
  <c r="AR3180" i="5"/>
  <c r="AQ3180" i="5"/>
  <c r="AT3179" i="5"/>
  <c r="AT3177" i="5"/>
  <c r="AT3176" i="5"/>
  <c r="AY3176" i="5" s="1"/>
  <c r="AQ3176" i="5"/>
  <c r="AT3175" i="5"/>
  <c r="AX3175" i="5" s="1"/>
  <c r="AT3174" i="5"/>
  <c r="AV3174" i="5" s="1"/>
  <c r="AT3173" i="5"/>
  <c r="AT3172" i="5"/>
  <c r="AY3172" i="5" s="1"/>
  <c r="AQ3172" i="5"/>
  <c r="AR3171" i="5"/>
  <c r="AQ3171" i="5"/>
  <c r="AQ3170" i="5"/>
  <c r="AT3168" i="5"/>
  <c r="AY3168" i="5" s="1"/>
  <c r="AQ3168" i="5"/>
  <c r="AT3167" i="5"/>
  <c r="AT3166" i="5"/>
  <c r="AQ3166" i="5"/>
  <c r="AT3165" i="5"/>
  <c r="AT3164" i="5"/>
  <c r="AY3164" i="5" s="1"/>
  <c r="AQ3164" i="5"/>
  <c r="AT3163" i="5"/>
  <c r="AQ3162" i="5"/>
  <c r="AT3161" i="5"/>
  <c r="AQ3160" i="5"/>
  <c r="AT3159" i="5"/>
  <c r="AQ3159" i="5"/>
  <c r="AT3157" i="5"/>
  <c r="AQ3157" i="5"/>
  <c r="AT3156" i="5"/>
  <c r="AY3156" i="5" s="1"/>
  <c r="AT3155" i="5"/>
  <c r="AU3155" i="5" s="1"/>
  <c r="AT3154" i="5"/>
  <c r="AT3153" i="5"/>
  <c r="AQ3153" i="5"/>
  <c r="AT3152" i="5"/>
  <c r="AY3152" i="5" s="1"/>
  <c r="AQ3152" i="5"/>
  <c r="AT3150" i="5"/>
  <c r="AT3149" i="5"/>
  <c r="AT3148" i="5"/>
  <c r="AY3148" i="5" s="1"/>
  <c r="AQ3148" i="5"/>
  <c r="AT3147" i="5"/>
  <c r="AQ3147" i="5"/>
  <c r="AQ3146" i="5"/>
  <c r="AT3145" i="5"/>
  <c r="AT3144" i="5"/>
  <c r="AY3144" i="5" s="1"/>
  <c r="AR3144" i="5"/>
  <c r="AQ3144" i="5"/>
  <c r="AT3143" i="5"/>
  <c r="AU3143" i="5" s="1"/>
  <c r="AR3143" i="5"/>
  <c r="AQ3143" i="5"/>
  <c r="AT3141" i="5"/>
  <c r="AT3140" i="5"/>
  <c r="AY3140" i="5" s="1"/>
  <c r="AT3139" i="5"/>
  <c r="AY3139" i="5" s="1"/>
  <c r="AQ3139" i="5"/>
  <c r="AT3138" i="5"/>
  <c r="AT3137" i="5"/>
  <c r="AX3137" i="5" s="1"/>
  <c r="AT3136" i="5"/>
  <c r="AY3136" i="5" s="1"/>
  <c r="AT3135" i="5"/>
  <c r="AR3135" i="5"/>
  <c r="AQ3135" i="5"/>
  <c r="AT3134" i="5"/>
  <c r="AR3134" i="5"/>
  <c r="AQ3134" i="5"/>
  <c r="AR3133" i="5"/>
  <c r="AQ3133" i="5"/>
  <c r="AT3132" i="5"/>
  <c r="AY3132" i="5" s="1"/>
  <c r="AT3131" i="5"/>
  <c r="AY3131" i="5" s="1"/>
  <c r="AT3130" i="5"/>
  <c r="AT3129" i="5"/>
  <c r="AX3129" i="5" s="1"/>
  <c r="AQ3129" i="5"/>
  <c r="AT3128" i="5"/>
  <c r="AY3128" i="5" s="1"/>
  <c r="AT3127" i="5"/>
  <c r="AU3127" i="5" s="1"/>
  <c r="AT3126" i="5"/>
  <c r="AT3125" i="5"/>
  <c r="AQ3125" i="5"/>
  <c r="AR3124" i="5"/>
  <c r="AQ3124" i="5"/>
  <c r="AT3123" i="5"/>
  <c r="AT3122" i="5"/>
  <c r="AQ3121" i="5"/>
  <c r="AT3120" i="5"/>
  <c r="AY3120" i="5" s="1"/>
  <c r="AQ3120" i="5"/>
  <c r="AT3119" i="5"/>
  <c r="AT3118" i="5"/>
  <c r="AT3117" i="5"/>
  <c r="AT3116" i="5"/>
  <c r="AY3116" i="5" s="1"/>
  <c r="AQ3116" i="5"/>
  <c r="AQ3115" i="5"/>
  <c r="AT3114" i="5"/>
  <c r="AX3114" i="5" s="1"/>
  <c r="AT3113" i="5"/>
  <c r="AX3113" i="5" s="1"/>
  <c r="AT3112" i="5"/>
  <c r="AY3112" i="5" s="1"/>
  <c r="AQ3112" i="5"/>
  <c r="AT3111" i="5"/>
  <c r="AQ3111" i="5"/>
  <c r="AT3110" i="5"/>
  <c r="AT3108" i="5"/>
  <c r="AY3108" i="5" s="1"/>
  <c r="AR3108" i="5"/>
  <c r="AQ3108" i="5"/>
  <c r="AT3107" i="5"/>
  <c r="AX3107" i="5" s="1"/>
  <c r="AR3107" i="5"/>
  <c r="AQ3107" i="5"/>
  <c r="AQ3106" i="5"/>
  <c r="AT3105" i="5"/>
  <c r="AX3105" i="5" s="1"/>
  <c r="AT3104" i="5"/>
  <c r="AY3104" i="5" s="1"/>
  <c r="AQ3104" i="5"/>
  <c r="AT3103" i="5"/>
  <c r="AQ3103" i="5"/>
  <c r="AT3102" i="5"/>
  <c r="AQ3102" i="5"/>
  <c r="AT3101" i="5"/>
  <c r="AX3101" i="5" s="1"/>
  <c r="AT3100" i="5"/>
  <c r="AY3100" i="5" s="1"/>
  <c r="AT3099" i="5"/>
  <c r="AX3099" i="5" s="1"/>
  <c r="AR3099" i="5"/>
  <c r="AQ3099" i="5"/>
  <c r="AT3098" i="5"/>
  <c r="AR3098" i="5"/>
  <c r="AQ3098" i="5"/>
  <c r="AR3097" i="5"/>
  <c r="AQ3097" i="5"/>
  <c r="AT3096" i="5"/>
  <c r="AY3096" i="5" s="1"/>
  <c r="AT3095" i="5"/>
  <c r="AT3094" i="5"/>
  <c r="AQ3094" i="5"/>
  <c r="AT3093" i="5"/>
  <c r="AX3093" i="5" s="1"/>
  <c r="AT3092" i="5"/>
  <c r="AY3092" i="5" s="1"/>
  <c r="AQ3092" i="5"/>
  <c r="AT3091" i="5"/>
  <c r="AT3090" i="5"/>
  <c r="AT3089" i="5"/>
  <c r="AX3089" i="5" s="1"/>
  <c r="AR3088" i="5"/>
  <c r="AQ3088" i="5"/>
  <c r="AT3087" i="5"/>
  <c r="AQ3086" i="5"/>
  <c r="AQ3085" i="5"/>
  <c r="AT3084" i="5"/>
  <c r="AY3084" i="5" s="1"/>
  <c r="AT3083" i="5"/>
  <c r="AU3083" i="5" s="1"/>
  <c r="AT3082" i="5"/>
  <c r="AW3082" i="5" s="1"/>
  <c r="AQ3082" i="5"/>
  <c r="AT3081" i="5"/>
  <c r="AT3080" i="5"/>
  <c r="AY3080" i="5" s="1"/>
  <c r="AQ3079" i="5"/>
  <c r="AT3078" i="5"/>
  <c r="AT3076" i="5"/>
  <c r="AY3076" i="5" s="1"/>
  <c r="AQ3076" i="5"/>
  <c r="AT3075" i="5"/>
  <c r="AU3075" i="5" s="1"/>
  <c r="AT3074" i="5"/>
  <c r="AY3074" i="5" s="1"/>
  <c r="AQ3073" i="5"/>
  <c r="AT3072" i="5"/>
  <c r="AY3072" i="5" s="1"/>
  <c r="AQ3072" i="5"/>
  <c r="AT3071" i="5"/>
  <c r="AQ3070" i="5"/>
  <c r="AT3069" i="5"/>
  <c r="AQ3068" i="5"/>
  <c r="AT3067" i="5"/>
  <c r="AV3067" i="5" s="1"/>
  <c r="AQ3067" i="5"/>
  <c r="AT3066" i="5"/>
  <c r="AV3066" i="5" s="1"/>
  <c r="AT3065" i="5"/>
  <c r="AX3065" i="5" s="1"/>
  <c r="AT3064" i="5"/>
  <c r="AY3064" i="5" s="1"/>
  <c r="AQ3064" i="5"/>
  <c r="AT3063" i="5"/>
  <c r="AQ3063" i="5"/>
  <c r="AT3062" i="5"/>
  <c r="AR3061" i="5"/>
  <c r="AQ3061" i="5"/>
  <c r="AT3060" i="5"/>
  <c r="AY3060" i="5" s="1"/>
  <c r="AQ3059" i="5"/>
  <c r="AT3058" i="5"/>
  <c r="AQ3058" i="5"/>
  <c r="AT3057" i="5"/>
  <c r="AT3056" i="5"/>
  <c r="AY3056" i="5" s="1"/>
  <c r="AT3055" i="5"/>
  <c r="AV3055" i="5" s="1"/>
  <c r="AQ3055" i="5"/>
  <c r="AT3054" i="5"/>
  <c r="AQ3054" i="5"/>
  <c r="AT3053" i="5"/>
  <c r="AT3051" i="5"/>
  <c r="AU3051" i="5" s="1"/>
  <c r="AQ3050" i="5"/>
  <c r="AT3049" i="5"/>
  <c r="AQ3049" i="5"/>
  <c r="AT3047" i="5"/>
  <c r="AV3047" i="5" s="1"/>
  <c r="AT3046" i="5"/>
  <c r="AQ3046" i="5"/>
  <c r="AT3045" i="5"/>
  <c r="AX3045" i="5" s="1"/>
  <c r="AQ3045" i="5"/>
  <c r="AT3044" i="5"/>
  <c r="AY3044" i="5" s="1"/>
  <c r="AQ3043" i="5"/>
  <c r="AT3042" i="5"/>
  <c r="AQ3041" i="5"/>
  <c r="AT3040" i="5"/>
  <c r="AY3040" i="5" s="1"/>
  <c r="AT3039" i="5"/>
  <c r="AT3038" i="5"/>
  <c r="AT3037" i="5"/>
  <c r="AQ3037" i="5"/>
  <c r="AQ3036" i="5"/>
  <c r="AT3035" i="5"/>
  <c r="AR3034" i="5"/>
  <c r="AQ3034" i="5"/>
  <c r="AT3033" i="5"/>
  <c r="AX3033" i="5" s="1"/>
  <c r="AQ3033" i="5"/>
  <c r="AT3031" i="5"/>
  <c r="AY3031" i="5" s="1"/>
  <c r="AT3030" i="5"/>
  <c r="AQ3030" i="5"/>
  <c r="AT3029" i="5"/>
  <c r="AQ3029" i="5"/>
  <c r="AT3028" i="5"/>
  <c r="AY3028" i="5" s="1"/>
  <c r="AT3027" i="5"/>
  <c r="AY3027" i="5" s="1"/>
  <c r="AQ3027" i="5"/>
  <c r="AT3026" i="5"/>
  <c r="AR3025" i="5"/>
  <c r="AQ3025" i="5"/>
  <c r="AQ3024" i="5"/>
  <c r="AT3022" i="5"/>
  <c r="AT3021" i="5"/>
  <c r="AT3020" i="5"/>
  <c r="AY3020" i="5" s="1"/>
  <c r="AQ3020" i="5"/>
  <c r="AT3019" i="5"/>
  <c r="AV3019" i="5" s="1"/>
  <c r="AT3018" i="5"/>
  <c r="AW3018" i="5" s="1"/>
  <c r="AQ3018" i="5"/>
  <c r="AT3017" i="5"/>
  <c r="AW3017" i="5" s="1"/>
  <c r="AT3015" i="5"/>
  <c r="AQ3015" i="5"/>
  <c r="AT3014" i="5"/>
  <c r="AT3013" i="5"/>
  <c r="AY3013" i="5" s="1"/>
  <c r="AQ3013" i="5"/>
  <c r="AQ3012" i="5"/>
  <c r="AT3011" i="5"/>
  <c r="AT3010" i="5"/>
  <c r="AT3009" i="5"/>
  <c r="AY3009" i="5" s="1"/>
  <c r="AT3008" i="5"/>
  <c r="AY3008" i="5" s="1"/>
  <c r="AQ3008" i="5"/>
  <c r="AQ3007" i="5"/>
  <c r="AT3006" i="5"/>
  <c r="AW3006" i="5" s="1"/>
  <c r="AT3005" i="5"/>
  <c r="AX3005" i="5" s="1"/>
  <c r="AT3004" i="5"/>
  <c r="AY3004" i="5" s="1"/>
  <c r="AQ3003" i="5"/>
  <c r="AT3002" i="5"/>
  <c r="AW3002" i="5" s="1"/>
  <c r="AT3001" i="5"/>
  <c r="AQ3000" i="5"/>
  <c r="AT2999" i="5"/>
  <c r="AY2999" i="5" s="1"/>
  <c r="AQ2999" i="5"/>
  <c r="AT2997" i="5"/>
  <c r="AT2996" i="5"/>
  <c r="AY2996" i="5" s="1"/>
  <c r="AT2995" i="5"/>
  <c r="AU2995" i="5" s="1"/>
  <c r="AQ2995" i="5"/>
  <c r="AQ2994" i="5"/>
  <c r="AT2993" i="5"/>
  <c r="AT2992" i="5"/>
  <c r="AY2992" i="5" s="1"/>
  <c r="AT2991" i="5"/>
  <c r="AQ2991" i="5"/>
  <c r="AT2990" i="5"/>
  <c r="AQ2990" i="5"/>
  <c r="AQ2988" i="5"/>
  <c r="AT2987" i="5"/>
  <c r="AV2987" i="5" s="1"/>
  <c r="AT2986" i="5"/>
  <c r="AQ2986" i="5"/>
  <c r="AT2984" i="5"/>
  <c r="AY2984" i="5" s="1"/>
  <c r="AT2983" i="5"/>
  <c r="AT2982" i="5"/>
  <c r="AQ2982" i="5"/>
  <c r="AT2981" i="5"/>
  <c r="AV2981" i="5" s="1"/>
  <c r="AT2979" i="5"/>
  <c r="AT2978" i="5"/>
  <c r="AQ2978" i="5"/>
  <c r="AT2977" i="5"/>
  <c r="AY2977" i="5" s="1"/>
  <c r="AQ2977" i="5"/>
  <c r="AQ2976" i="5"/>
  <c r="AT2975" i="5"/>
  <c r="AT2974" i="5"/>
  <c r="AT2973" i="5"/>
  <c r="AQ2973" i="5"/>
  <c r="AT2972" i="5"/>
  <c r="AY2972" i="5" s="1"/>
  <c r="AT2970" i="5"/>
  <c r="AT2969" i="5"/>
  <c r="AQ2969" i="5"/>
  <c r="AT2968" i="5"/>
  <c r="AY2968" i="5" s="1"/>
  <c r="AQ2967" i="5"/>
  <c r="AT2966" i="5"/>
  <c r="AT2965" i="5"/>
  <c r="AT2964" i="5"/>
  <c r="AY2964" i="5" s="1"/>
  <c r="AQ2964" i="5"/>
  <c r="AQ2963" i="5"/>
  <c r="AT2961" i="5"/>
  <c r="AT2960" i="5"/>
  <c r="AY2960" i="5" s="1"/>
  <c r="AT2959" i="5"/>
  <c r="AQ2959" i="5"/>
  <c r="AQ2958" i="5"/>
  <c r="AT2957" i="5"/>
  <c r="AX2957" i="5" s="1"/>
  <c r="AT2956" i="5"/>
  <c r="AY2956" i="5" s="1"/>
  <c r="AT2955" i="5"/>
  <c r="AQ2955" i="5"/>
  <c r="AT2954" i="5"/>
  <c r="AQ2954" i="5"/>
  <c r="AT2952" i="5"/>
  <c r="AY2952" i="5" s="1"/>
  <c r="AQ2951" i="5"/>
  <c r="AT2950" i="5"/>
  <c r="AQ2950" i="5"/>
  <c r="AQ2949" i="5"/>
  <c r="AT2948" i="5"/>
  <c r="AY2948" i="5" s="1"/>
  <c r="AT2947" i="5"/>
  <c r="AT2946" i="5"/>
  <c r="AW2946" i="5" s="1"/>
  <c r="AQ2946" i="5"/>
  <c r="AT2945" i="5"/>
  <c r="AY2945" i="5" s="1"/>
  <c r="AQ2945" i="5"/>
  <c r="AT2943" i="5"/>
  <c r="AT2942" i="5"/>
  <c r="AW2942" i="5" s="1"/>
  <c r="AT2941" i="5"/>
  <c r="AQ2941" i="5"/>
  <c r="AT2940" i="5"/>
  <c r="AY2940" i="5" s="1"/>
  <c r="AQ2940" i="5"/>
  <c r="AQ2938" i="5"/>
  <c r="AT2937" i="5"/>
  <c r="AY2937" i="5" s="1"/>
  <c r="AQ2937" i="5"/>
  <c r="AT2936" i="5"/>
  <c r="AY2936" i="5" s="1"/>
  <c r="AQ2935" i="5"/>
  <c r="AT2934" i="5"/>
  <c r="AT2933" i="5"/>
  <c r="AQ2933" i="5"/>
  <c r="AT2932" i="5"/>
  <c r="AY2932" i="5" s="1"/>
  <c r="AT2931" i="5"/>
  <c r="AQ2931" i="5"/>
  <c r="AT2930" i="5"/>
  <c r="AQ2929" i="5"/>
  <c r="AT2928" i="5"/>
  <c r="AY2928" i="5" s="1"/>
  <c r="AQ2928" i="5"/>
  <c r="AQ2926" i="5"/>
  <c r="AT2925" i="5"/>
  <c r="AX2925" i="5" s="1"/>
  <c r="AT2924" i="5"/>
  <c r="AY2924" i="5" s="1"/>
  <c r="AT2923" i="5"/>
  <c r="AT2922" i="5"/>
  <c r="AQ2922" i="5"/>
  <c r="AT2921" i="5"/>
  <c r="AU2921" i="5" s="1"/>
  <c r="AT2919" i="5"/>
  <c r="AT2918" i="5"/>
  <c r="AQ2917" i="5"/>
  <c r="AT2916" i="5"/>
  <c r="AY2916" i="5" s="1"/>
  <c r="AQ2915" i="5"/>
  <c r="AT2914" i="5"/>
  <c r="AW2914" i="5" s="1"/>
  <c r="AT2913" i="5"/>
  <c r="AQ2913" i="5"/>
  <c r="AT2912" i="5"/>
  <c r="AY2912" i="5" s="1"/>
  <c r="AT2910" i="5"/>
  <c r="AQ2910" i="5"/>
  <c r="AT2909" i="5"/>
  <c r="AX2909" i="5" s="1"/>
  <c r="AQ2908" i="5"/>
  <c r="AT2907" i="5"/>
  <c r="AT2906" i="5"/>
  <c r="AT2905" i="5"/>
  <c r="AT2904" i="5"/>
  <c r="AY2904" i="5" s="1"/>
  <c r="AQ2904" i="5"/>
  <c r="AQ2903" i="5"/>
  <c r="AT2901" i="5"/>
  <c r="AQ2901" i="5"/>
  <c r="AT2900" i="5"/>
  <c r="AY2900" i="5" s="1"/>
  <c r="AT2898" i="5"/>
  <c r="AQ2898" i="5"/>
  <c r="AT2897" i="5"/>
  <c r="AT2896" i="5"/>
  <c r="AY2896" i="5" s="1"/>
  <c r="AT2895" i="5"/>
  <c r="AT2894" i="5"/>
  <c r="AU2894" i="5" s="1"/>
  <c r="AQ2894" i="5"/>
  <c r="AT2892" i="5"/>
  <c r="AY2892" i="5" s="1"/>
  <c r="AQ2891" i="5"/>
  <c r="AQ2890" i="5"/>
  <c r="AT2889" i="5"/>
  <c r="AQ2889" i="5"/>
  <c r="AT2888" i="5"/>
  <c r="AY2888" i="5" s="1"/>
  <c r="AT2887" i="5"/>
  <c r="AT2886" i="5"/>
  <c r="AT2885" i="5"/>
  <c r="AQ2885" i="5"/>
  <c r="AT2883" i="5"/>
  <c r="AX2883" i="5" s="1"/>
  <c r="AT2882" i="5"/>
  <c r="AQ2881" i="5"/>
  <c r="AT2880" i="5"/>
  <c r="AY2880" i="5" s="1"/>
  <c r="AQ2880" i="5"/>
  <c r="AT2879" i="5"/>
  <c r="AX2879" i="5" s="1"/>
  <c r="AQ2878" i="5"/>
  <c r="AT2877" i="5"/>
  <c r="AT2876" i="5"/>
  <c r="AY2876" i="5" s="1"/>
  <c r="AQ2876" i="5"/>
  <c r="AT2875" i="5"/>
  <c r="AT2874" i="5"/>
  <c r="AY2874" i="5" s="1"/>
  <c r="AQ2873" i="5"/>
  <c r="AT2871" i="5"/>
  <c r="AY2871" i="5" s="1"/>
  <c r="AQ2871" i="5"/>
  <c r="AT2870" i="5"/>
  <c r="AT2869" i="5"/>
  <c r="AX2869" i="5" s="1"/>
  <c r="AQ2869" i="5"/>
  <c r="AT2868" i="5"/>
  <c r="AY2868" i="5" s="1"/>
  <c r="AT2867" i="5"/>
  <c r="AY2867" i="5" s="1"/>
  <c r="AQ2867" i="5"/>
  <c r="AT2865" i="5"/>
  <c r="AX2865" i="5" s="1"/>
  <c r="AR2865" i="5"/>
  <c r="AQ2865" i="5"/>
  <c r="AR2864" i="5"/>
  <c r="AQ2864" i="5"/>
  <c r="AT2862" i="5"/>
  <c r="AT2861" i="5"/>
  <c r="AX2861" i="5" s="1"/>
  <c r="AT2860" i="5"/>
  <c r="AQ2860" i="5"/>
  <c r="AT2859" i="5"/>
  <c r="AT2858" i="5"/>
  <c r="AT2857" i="5"/>
  <c r="AT2856" i="5"/>
  <c r="AX2856" i="5" s="1"/>
  <c r="AR2856" i="5"/>
  <c r="AQ2856" i="5"/>
  <c r="AR2855" i="5"/>
  <c r="AQ2855" i="5"/>
  <c r="AT2853" i="5"/>
  <c r="AX2853" i="5" s="1"/>
  <c r="AQ2853" i="5"/>
  <c r="AT2852" i="5"/>
  <c r="AT2851" i="5"/>
  <c r="AT2850" i="5"/>
  <c r="AT2849" i="5"/>
  <c r="AQ2849" i="5"/>
  <c r="AT2848" i="5"/>
  <c r="AX2848" i="5" s="1"/>
  <c r="AT2847" i="5"/>
  <c r="AU2847" i="5" s="1"/>
  <c r="AQ2847" i="5"/>
  <c r="AT2844" i="5"/>
  <c r="AT2843" i="5"/>
  <c r="AY2843" i="5" s="1"/>
  <c r="AQ2843" i="5"/>
  <c r="AQ2842" i="5"/>
  <c r="AT2841" i="5"/>
  <c r="AT2840" i="5"/>
  <c r="AX2840" i="5" s="1"/>
  <c r="AQ2840" i="5"/>
  <c r="AT2839" i="5"/>
  <c r="AT2838" i="5"/>
  <c r="AQ2838" i="5"/>
  <c r="AQ2837" i="5"/>
  <c r="AT2835" i="5"/>
  <c r="AT2834" i="5"/>
  <c r="AT2833" i="5"/>
  <c r="AX2833" i="5" s="1"/>
  <c r="AQ2833" i="5"/>
  <c r="AT2832" i="5"/>
  <c r="AX2832" i="5" s="1"/>
  <c r="AT2831" i="5"/>
  <c r="AQ2831" i="5"/>
  <c r="AT2829" i="5"/>
  <c r="AX2829" i="5" s="1"/>
  <c r="AR2829" i="5"/>
  <c r="AQ2829" i="5"/>
  <c r="AR2828" i="5"/>
  <c r="AQ2828" i="5"/>
  <c r="AT2826" i="5"/>
  <c r="AT2825" i="5"/>
  <c r="AX2825" i="5" s="1"/>
  <c r="AQ2825" i="5"/>
  <c r="AT2824" i="5"/>
  <c r="AX2824" i="5" s="1"/>
  <c r="AQ2824" i="5"/>
  <c r="AT2823" i="5"/>
  <c r="AV2823" i="5" s="1"/>
  <c r="AT2822" i="5"/>
  <c r="AQ2822" i="5"/>
  <c r="AT2821" i="5"/>
  <c r="AT2820" i="5"/>
  <c r="AX2820" i="5" s="1"/>
  <c r="AR2820" i="5"/>
  <c r="AQ2820" i="5"/>
  <c r="AR2819" i="5"/>
  <c r="AQ2819" i="5"/>
  <c r="AR2818" i="5"/>
  <c r="AQ2818" i="5"/>
  <c r="AT2817" i="5"/>
  <c r="AT2816" i="5"/>
  <c r="AX2816" i="5" s="1"/>
  <c r="AQ2816" i="5"/>
  <c r="AT2815" i="5"/>
  <c r="AT2814" i="5"/>
  <c r="AQ2814" i="5"/>
  <c r="AT2813" i="5"/>
  <c r="AT2812" i="5"/>
  <c r="AT2811" i="5"/>
  <c r="AT2810" i="5"/>
  <c r="AW2810" i="5" s="1"/>
  <c r="AQ2810" i="5"/>
  <c r="AR2809" i="5"/>
  <c r="AQ2809" i="5"/>
  <c r="AT2807" i="5"/>
  <c r="AQ2807" i="5"/>
  <c r="AT2805" i="5"/>
  <c r="AU2805" i="5" s="1"/>
  <c r="AQ2805" i="5"/>
  <c r="AT2804" i="5"/>
  <c r="AX2804" i="5" s="1"/>
  <c r="AT2803" i="5"/>
  <c r="AV2803" i="5" s="1"/>
  <c r="AQ2803" i="5"/>
  <c r="AT2802" i="5"/>
  <c r="AY2802" i="5" s="1"/>
  <c r="AT2801" i="5"/>
  <c r="AX2801" i="5" s="1"/>
  <c r="AQ2801" i="5"/>
  <c r="AQ2800" i="5"/>
  <c r="AT2798" i="5"/>
  <c r="AT2797" i="5"/>
  <c r="AT2796" i="5"/>
  <c r="AX2796" i="5" s="1"/>
  <c r="AQ2796" i="5"/>
  <c r="AT2795" i="5"/>
  <c r="AV2795" i="5" s="1"/>
  <c r="AT2794" i="5"/>
  <c r="AU2794" i="5" s="1"/>
  <c r="AQ2794" i="5"/>
  <c r="AT2792" i="5"/>
  <c r="AR2792" i="5"/>
  <c r="AQ2792" i="5"/>
  <c r="AR2791" i="5"/>
  <c r="AQ2791" i="5"/>
  <c r="AT2789" i="5"/>
  <c r="AV2789" i="5" s="1"/>
  <c r="AQ2789" i="5"/>
  <c r="AT2788" i="5"/>
  <c r="AX2788" i="5" s="1"/>
  <c r="AT2787" i="5"/>
  <c r="AQ2787" i="5"/>
  <c r="AT2786" i="5"/>
  <c r="AX2786" i="5" s="1"/>
  <c r="AT2785" i="5"/>
  <c r="AQ2785" i="5"/>
  <c r="AT2784" i="5"/>
  <c r="AT2783" i="5"/>
  <c r="AR2783" i="5"/>
  <c r="AQ2783" i="5"/>
  <c r="AR2782" i="5"/>
  <c r="AQ2782" i="5"/>
  <c r="AT2780" i="5"/>
  <c r="AQ2780" i="5"/>
  <c r="AT2779" i="5"/>
  <c r="AT2778" i="5"/>
  <c r="AT2777" i="5"/>
  <c r="AW2777" i="5" s="1"/>
  <c r="AT2776" i="5"/>
  <c r="AQ2776" i="5"/>
  <c r="AT2775" i="5"/>
  <c r="AT2774" i="5"/>
  <c r="AQ2773" i="5"/>
  <c r="AT2771" i="5"/>
  <c r="AQ2771" i="5"/>
  <c r="AT2770" i="5"/>
  <c r="AW2770" i="5" s="1"/>
  <c r="AQ2769" i="5"/>
  <c r="AT2768" i="5"/>
  <c r="AX2768" i="5" s="1"/>
  <c r="AT2767" i="5"/>
  <c r="AQ2767" i="5"/>
  <c r="AT2766" i="5"/>
  <c r="AT2765" i="5"/>
  <c r="AX2765" i="5" s="1"/>
  <c r="AQ2765" i="5"/>
  <c r="AQ2764" i="5"/>
  <c r="AQ2763" i="5"/>
  <c r="AT2762" i="5"/>
  <c r="AW2762" i="5" s="1"/>
  <c r="AT2761" i="5"/>
  <c r="AX2761" i="5" s="1"/>
  <c r="AT2760" i="5"/>
  <c r="AX2760" i="5" s="1"/>
  <c r="AQ2760" i="5"/>
  <c r="AT2759" i="5"/>
  <c r="AY2759" i="5" s="1"/>
  <c r="AQ2759" i="5"/>
  <c r="AT2758" i="5"/>
  <c r="AW2758" i="5" s="1"/>
  <c r="AT2756" i="5"/>
  <c r="AR2756" i="5"/>
  <c r="AQ2756" i="5"/>
  <c r="AR2755" i="5"/>
  <c r="AQ2755" i="5"/>
  <c r="AT2753" i="5"/>
  <c r="AU2753" i="5" s="1"/>
  <c r="AT2752" i="5"/>
  <c r="AQ2752" i="5"/>
  <c r="AT2751" i="5"/>
  <c r="AW2751" i="5" s="1"/>
  <c r="AQ2751" i="5"/>
  <c r="AT2750" i="5"/>
  <c r="AX2750" i="5" s="1"/>
  <c r="AT2749" i="5"/>
  <c r="AY2749" i="5" s="1"/>
  <c r="AT2748" i="5"/>
  <c r="AX2748" i="5" s="1"/>
  <c r="AT2747" i="5"/>
  <c r="AR2747" i="5"/>
  <c r="AQ2747" i="5"/>
  <c r="AR2746" i="5"/>
  <c r="AQ2746" i="5"/>
  <c r="AQ2745" i="5"/>
  <c r="AT2744" i="5"/>
  <c r="AX2744" i="5" s="1"/>
  <c r="AT2743" i="5"/>
  <c r="AU2743" i="5" s="1"/>
  <c r="AQ2743" i="5"/>
  <c r="AT2742" i="5"/>
  <c r="AX2742" i="5" s="1"/>
  <c r="AT2741" i="5"/>
  <c r="AT2740" i="5"/>
  <c r="AX2740" i="5" s="1"/>
  <c r="AT2739" i="5"/>
  <c r="AU2739" i="5" s="1"/>
  <c r="AQ2739" i="5"/>
  <c r="AT2738" i="5"/>
  <c r="AT2736" i="5"/>
  <c r="AQ2736" i="5"/>
  <c r="AT2735" i="5"/>
  <c r="AQ2734" i="5"/>
  <c r="AT2732" i="5"/>
  <c r="AX2732" i="5" s="1"/>
  <c r="AQ2732" i="5"/>
  <c r="AT2731" i="5"/>
  <c r="AY2731" i="5" s="1"/>
  <c r="AT2730" i="5"/>
  <c r="AQ2730" i="5"/>
  <c r="AT2729" i="5"/>
  <c r="AQ2728" i="5"/>
  <c r="AT2727" i="5"/>
  <c r="AQ2727" i="5"/>
  <c r="AT2726" i="5"/>
  <c r="AX2726" i="5" s="1"/>
  <c r="AT2724" i="5"/>
  <c r="AT2723" i="5"/>
  <c r="AQ2723" i="5"/>
  <c r="AT2722" i="5"/>
  <c r="AQ2721" i="5"/>
  <c r="AT2720" i="5"/>
  <c r="AX2720" i="5" s="1"/>
  <c r="AQ2719" i="5"/>
  <c r="AT2718" i="5"/>
  <c r="AX2718" i="5" s="1"/>
  <c r="AT2717" i="5"/>
  <c r="AQ2717" i="5"/>
  <c r="AT2715" i="5"/>
  <c r="AW2715" i="5" s="1"/>
  <c r="AT2714" i="5"/>
  <c r="AX2714" i="5" s="1"/>
  <c r="AQ2714" i="5"/>
  <c r="AT2713" i="5"/>
  <c r="AY2713" i="5" s="1"/>
  <c r="AT2712" i="5"/>
  <c r="AX2712" i="5" s="1"/>
  <c r="AT2711" i="5"/>
  <c r="AV2711" i="5" s="1"/>
  <c r="AQ2710" i="5"/>
  <c r="AT2709" i="5"/>
  <c r="AQ2708" i="5"/>
  <c r="AQ2707" i="5"/>
  <c r="AT2706" i="5"/>
  <c r="AX2706" i="5" s="1"/>
  <c r="AT2705" i="5"/>
  <c r="AQ2705" i="5"/>
  <c r="AT2704" i="5"/>
  <c r="AX2704" i="5" s="1"/>
  <c r="AT2703" i="5"/>
  <c r="AQ2703" i="5"/>
  <c r="AT2702" i="5"/>
  <c r="AX2702" i="5" s="1"/>
  <c r="AQ2701" i="5"/>
  <c r="AT2700" i="5"/>
  <c r="AX2700" i="5" s="1"/>
  <c r="AT2699" i="5"/>
  <c r="AV2699" i="5" s="1"/>
  <c r="AQ2699" i="5"/>
  <c r="AQ2698" i="5"/>
  <c r="AT2697" i="5"/>
  <c r="AY2697" i="5" s="1"/>
  <c r="AT2695" i="5"/>
  <c r="AW2695" i="5" s="1"/>
  <c r="AQ2695" i="5"/>
  <c r="AT2694" i="5"/>
  <c r="AX2694" i="5" s="1"/>
  <c r="AQ2694" i="5"/>
  <c r="AT2693" i="5"/>
  <c r="AT2691" i="5"/>
  <c r="AY2691" i="5" s="1"/>
  <c r="AT2690" i="5"/>
  <c r="AX2690" i="5" s="1"/>
  <c r="AQ2690" i="5"/>
  <c r="AQ2689" i="5"/>
  <c r="AT2688" i="5"/>
  <c r="AX2688" i="5" s="1"/>
  <c r="AT2687" i="5"/>
  <c r="AY2687" i="5" s="1"/>
  <c r="AT2686" i="5"/>
  <c r="AX2686" i="5" s="1"/>
  <c r="AQ2686" i="5"/>
  <c r="AT2685" i="5"/>
  <c r="AY2685" i="5" s="1"/>
  <c r="AQ2685" i="5"/>
  <c r="AQ2683" i="5"/>
  <c r="AT2682" i="5"/>
  <c r="AX2682" i="5" s="1"/>
  <c r="AT2681" i="5"/>
  <c r="AQ2681" i="5"/>
  <c r="AT2679" i="5"/>
  <c r="AT2678" i="5"/>
  <c r="AX2678" i="5" s="1"/>
  <c r="AT2677" i="5"/>
  <c r="AY2677" i="5" s="1"/>
  <c r="AQ2677" i="5"/>
  <c r="AT2676" i="5"/>
  <c r="AX2676" i="5" s="1"/>
  <c r="AT2675" i="5"/>
  <c r="AV2675" i="5" s="1"/>
  <c r="AQ2674" i="5"/>
  <c r="AT2673" i="5"/>
  <c r="AY2673" i="5" s="1"/>
  <c r="AQ2672" i="5"/>
  <c r="AQ2671" i="5"/>
  <c r="AT2670" i="5"/>
  <c r="AX2670" i="5" s="1"/>
  <c r="AQ2670" i="5"/>
  <c r="AT2669" i="5"/>
  <c r="AT2668" i="5"/>
  <c r="AT2667" i="5"/>
  <c r="AQ2667" i="5"/>
  <c r="AT2666" i="5"/>
  <c r="AX2666" i="5" s="1"/>
  <c r="AQ2666" i="5"/>
  <c r="AQ2665" i="5"/>
  <c r="AT2664" i="5"/>
  <c r="AX2664" i="5" s="1"/>
  <c r="AT2663" i="5"/>
  <c r="AQ2663" i="5"/>
  <c r="AT2662" i="5"/>
  <c r="AQ2662" i="5"/>
  <c r="AT2661" i="5"/>
  <c r="AQ2661" i="5"/>
  <c r="AT2659" i="5"/>
  <c r="AQ2659" i="5"/>
  <c r="AT2658" i="5"/>
  <c r="AT2657" i="5"/>
  <c r="AQ2656" i="5"/>
  <c r="AT2655" i="5"/>
  <c r="AV2655" i="5" s="1"/>
  <c r="AT2654" i="5"/>
  <c r="AT2653" i="5"/>
  <c r="AV2653" i="5" s="1"/>
  <c r="AQ2653" i="5"/>
  <c r="AT2652" i="5"/>
  <c r="AX2652" i="5" s="1"/>
  <c r="AT2650" i="5"/>
  <c r="AX2650" i="5" s="1"/>
  <c r="AQ2650" i="5"/>
  <c r="AT2649" i="5"/>
  <c r="AQ2648" i="5"/>
  <c r="AQ2647" i="5"/>
  <c r="AT2646" i="5"/>
  <c r="AX2646" i="5" s="1"/>
  <c r="AT2645" i="5"/>
  <c r="AW2645" i="5" s="1"/>
  <c r="AT2644" i="5"/>
  <c r="AX2644" i="5" s="1"/>
  <c r="AQ2644" i="5"/>
  <c r="AT2643" i="5"/>
  <c r="AW2643" i="5" s="1"/>
  <c r="AQ2643" i="5"/>
  <c r="AT2641" i="5"/>
  <c r="AU2641" i="5" s="1"/>
  <c r="AT2640" i="5"/>
  <c r="AX2640" i="5" s="1"/>
  <c r="AT2639" i="5"/>
  <c r="AV2639" i="5" s="1"/>
  <c r="AQ2639" i="5"/>
  <c r="AQ2638" i="5"/>
  <c r="AT2637" i="5"/>
  <c r="AQ2637" i="5"/>
  <c r="AT2635" i="5"/>
  <c r="AY2635" i="5" s="1"/>
  <c r="AQ2635" i="5"/>
  <c r="AT2634" i="5"/>
  <c r="AX2634" i="5" s="1"/>
  <c r="AQ2634" i="5"/>
  <c r="AQ2633" i="5"/>
  <c r="AT2632" i="5"/>
  <c r="AT2631" i="5"/>
  <c r="AY2631" i="5" s="1"/>
  <c r="AT2630" i="5"/>
  <c r="AX2630" i="5" s="1"/>
  <c r="AQ2630" i="5"/>
  <c r="AQ2629" i="5"/>
  <c r="AT2628" i="5"/>
  <c r="AX2628" i="5" s="1"/>
  <c r="AT2627" i="5"/>
  <c r="AW2627" i="5" s="1"/>
  <c r="AT2626" i="5"/>
  <c r="AQ2626" i="5"/>
  <c r="AT2625" i="5"/>
  <c r="AX2625" i="5" s="1"/>
  <c r="AQ2625" i="5"/>
  <c r="AQ2624" i="5"/>
  <c r="AT2622" i="5"/>
  <c r="AT2621" i="5"/>
  <c r="AQ2621" i="5"/>
  <c r="AT2619" i="5"/>
  <c r="AY2619" i="5" s="1"/>
  <c r="AQ2619" i="5"/>
  <c r="AT2618" i="5"/>
  <c r="AT2617" i="5"/>
  <c r="AQ2617" i="5"/>
  <c r="AT2616" i="5"/>
  <c r="AQ2615" i="5"/>
  <c r="AT2614" i="5"/>
  <c r="AX2614" i="5" s="1"/>
  <c r="AT2613" i="5"/>
  <c r="AU2613" i="5" s="1"/>
  <c r="AQ2613" i="5"/>
  <c r="AT2612" i="5"/>
  <c r="AV2612" i="5" s="1"/>
  <c r="AQ2612" i="5"/>
  <c r="AQ2611" i="5"/>
  <c r="AT2610" i="5"/>
  <c r="AQ2610" i="5"/>
  <c r="AT2609" i="5"/>
  <c r="AW2609" i="5" s="1"/>
  <c r="AT2608" i="5"/>
  <c r="AT2607" i="5"/>
  <c r="AQ2607" i="5"/>
  <c r="AT2606" i="5"/>
  <c r="AQ2606" i="5"/>
  <c r="AT2605" i="5"/>
  <c r="AW2605" i="5" s="1"/>
  <c r="AT2603" i="5"/>
  <c r="AY2603" i="5" s="1"/>
  <c r="AQ2602" i="5"/>
  <c r="AT2601" i="5"/>
  <c r="AQ2601" i="5"/>
  <c r="AT2600" i="5"/>
  <c r="AX2600" i="5" s="1"/>
  <c r="AT2598" i="5"/>
  <c r="AQ2598" i="5"/>
  <c r="AT2597" i="5"/>
  <c r="AQ2597" i="5"/>
  <c r="AT2596" i="5"/>
  <c r="AQ2595" i="5"/>
  <c r="AT2594" i="5"/>
  <c r="AQ2593" i="5"/>
  <c r="AT2592" i="5"/>
  <c r="AT2591" i="5"/>
  <c r="AW2591" i="5" s="1"/>
  <c r="AT2590" i="5"/>
  <c r="AX2590" i="5" s="1"/>
  <c r="AT2589" i="5"/>
  <c r="AU2589" i="5" s="1"/>
  <c r="AQ2589" i="5"/>
  <c r="AT2588" i="5"/>
  <c r="AX2588" i="5" s="1"/>
  <c r="AQ2588" i="5"/>
  <c r="AR2586" i="5"/>
  <c r="AQ2586" i="5"/>
  <c r="AT2585" i="5"/>
  <c r="AT2583" i="5"/>
  <c r="AU2583" i="5" s="1"/>
  <c r="AQ2583" i="5"/>
  <c r="AT2582" i="5"/>
  <c r="AX2582" i="5" s="1"/>
  <c r="AT2581" i="5"/>
  <c r="AT2580" i="5"/>
  <c r="AX2580" i="5" s="1"/>
  <c r="AT2579" i="5"/>
  <c r="AQ2579" i="5"/>
  <c r="AT2578" i="5"/>
  <c r="AX2578" i="5" s="1"/>
  <c r="AR2577" i="5"/>
  <c r="AQ2577" i="5"/>
  <c r="AT2576" i="5"/>
  <c r="AX2576" i="5" s="1"/>
  <c r="AQ2575" i="5"/>
  <c r="AT2574" i="5"/>
  <c r="AX2574" i="5" s="1"/>
  <c r="AT2573" i="5"/>
  <c r="AU2573" i="5" s="1"/>
  <c r="AQ2573" i="5"/>
  <c r="AT2572" i="5"/>
  <c r="AX2572" i="5" s="1"/>
  <c r="AT2571" i="5"/>
  <c r="AY2571" i="5" s="1"/>
  <c r="AQ2571" i="5"/>
  <c r="AT2570" i="5"/>
  <c r="AX2570" i="5" s="1"/>
  <c r="AQ2570" i="5"/>
  <c r="AT2569" i="5"/>
  <c r="AY2569" i="5" s="1"/>
  <c r="AT2567" i="5"/>
  <c r="AQ2566" i="5"/>
  <c r="AT2565" i="5"/>
  <c r="AW2565" i="5" s="1"/>
  <c r="AT2564" i="5"/>
  <c r="AQ2564" i="5"/>
  <c r="AT2562" i="5"/>
  <c r="AX2562" i="5" s="1"/>
  <c r="AQ2562" i="5"/>
  <c r="AT2561" i="5"/>
  <c r="AY2561" i="5" s="1"/>
  <c r="AQ2561" i="5"/>
  <c r="AT2560" i="5"/>
  <c r="AT2558" i="5"/>
  <c r="AQ2557" i="5"/>
  <c r="AT2556" i="5"/>
  <c r="AX2556" i="5" s="1"/>
  <c r="AT2555" i="5"/>
  <c r="AV2555" i="5" s="1"/>
  <c r="AT2554" i="5"/>
  <c r="AX2554" i="5" s="1"/>
  <c r="AT2553" i="5"/>
  <c r="AX2553" i="5" s="1"/>
  <c r="AQ2553" i="5"/>
  <c r="AT2552" i="5"/>
  <c r="AX2552" i="5" s="1"/>
  <c r="AQ2551" i="5"/>
  <c r="AR2550" i="5"/>
  <c r="AQ2550" i="5"/>
  <c r="AT2549" i="5"/>
  <c r="AX2549" i="5" s="1"/>
  <c r="AQ2548" i="5"/>
  <c r="AT2547" i="5"/>
  <c r="AU2547" i="5" s="1"/>
  <c r="AT2546" i="5"/>
  <c r="AT2545" i="5"/>
  <c r="AX2545" i="5" s="1"/>
  <c r="AT2544" i="5"/>
  <c r="AV2544" i="5" s="1"/>
  <c r="AQ2544" i="5"/>
  <c r="AT2543" i="5"/>
  <c r="AV2543" i="5" s="1"/>
  <c r="AT2542" i="5"/>
  <c r="AX2542" i="5" s="1"/>
  <c r="AR2541" i="5"/>
  <c r="AQ2541" i="5"/>
  <c r="AT2540" i="5"/>
  <c r="AX2540" i="5" s="1"/>
  <c r="AR2540" i="5"/>
  <c r="AQ2540" i="5"/>
  <c r="AQ2539" i="5"/>
  <c r="AT2537" i="5"/>
  <c r="AW2537" i="5" s="1"/>
  <c r="AQ2537" i="5"/>
  <c r="AT2536" i="5"/>
  <c r="AQ2536" i="5"/>
  <c r="AT2535" i="5"/>
  <c r="AV2535" i="5" s="1"/>
  <c r="AQ2535" i="5"/>
  <c r="AT2534" i="5"/>
  <c r="AT2533" i="5"/>
  <c r="AX2533" i="5" s="1"/>
  <c r="AQ2533" i="5"/>
  <c r="AT2532" i="5"/>
  <c r="AX2532" i="5" s="1"/>
  <c r="AQ2532" i="5"/>
  <c r="AT2531" i="5"/>
  <c r="AV2531" i="5" s="1"/>
  <c r="AQ2531" i="5"/>
  <c r="AT2529" i="5"/>
  <c r="AY2529" i="5" s="1"/>
  <c r="AT2528" i="5"/>
  <c r="AX2528" i="5" s="1"/>
  <c r="AT2527" i="5"/>
  <c r="AV2527" i="5" s="1"/>
  <c r="AQ2527" i="5"/>
  <c r="AQ2526" i="5"/>
  <c r="AT2525" i="5"/>
  <c r="AX2525" i="5" s="1"/>
  <c r="AT2524" i="5"/>
  <c r="AT2523" i="5"/>
  <c r="AV2523" i="5" s="1"/>
  <c r="AQ2523" i="5"/>
  <c r="AT2522" i="5"/>
  <c r="AV2522" i="5" s="1"/>
  <c r="AQ2521" i="5"/>
  <c r="AT2520" i="5"/>
  <c r="AT2519" i="5"/>
  <c r="AY2519" i="5" s="1"/>
  <c r="AT2518" i="5"/>
  <c r="AV2518" i="5" s="1"/>
  <c r="AT2517" i="5"/>
  <c r="AY2517" i="5" s="1"/>
  <c r="AQ2517" i="5"/>
  <c r="AT2516" i="5"/>
  <c r="AT2515" i="5"/>
  <c r="AY2515" i="5" s="1"/>
  <c r="AR2514" i="5"/>
  <c r="AQ2514" i="5"/>
  <c r="AT2513" i="5"/>
  <c r="AR2513" i="5"/>
  <c r="AQ2513" i="5"/>
  <c r="AR2512" i="5"/>
  <c r="AQ2512" i="5"/>
  <c r="AT2511" i="5"/>
  <c r="AV2511" i="5" s="1"/>
  <c r="AT2510" i="5"/>
  <c r="AT2509" i="5"/>
  <c r="AX2509" i="5" s="1"/>
  <c r="AQ2509" i="5"/>
  <c r="AT2508" i="5"/>
  <c r="AV2508" i="5" s="1"/>
  <c r="AQ2508" i="5"/>
  <c r="AT2507" i="5"/>
  <c r="AY2507" i="5" s="1"/>
  <c r="AT2506" i="5"/>
  <c r="AV2506" i="5" s="1"/>
  <c r="AT2505" i="5"/>
  <c r="AY2505" i="5" s="1"/>
  <c r="AR2505" i="5"/>
  <c r="AQ2505" i="5"/>
  <c r="AT2504" i="5"/>
  <c r="AR2504" i="5"/>
  <c r="AQ2504" i="5"/>
  <c r="AR2503" i="5"/>
  <c r="AQ2503" i="5"/>
  <c r="AQ2502" i="5"/>
  <c r="AT2501" i="5"/>
  <c r="AV2501" i="5" s="1"/>
  <c r="AT2500" i="5"/>
  <c r="AQ2500" i="5"/>
  <c r="AT2499" i="5"/>
  <c r="AQ2499" i="5"/>
  <c r="AT2498" i="5"/>
  <c r="AV2498" i="5" s="1"/>
  <c r="AT2497" i="5"/>
  <c r="AT2496" i="5"/>
  <c r="AV2496" i="5" s="1"/>
  <c r="AQ2496" i="5"/>
  <c r="AT2495" i="5"/>
  <c r="AY2495" i="5" s="1"/>
  <c r="AQ2495" i="5"/>
  <c r="AT2493" i="5"/>
  <c r="AQ2493" i="5"/>
  <c r="AT2492" i="5"/>
  <c r="AT2491" i="5"/>
  <c r="AQ2491" i="5"/>
  <c r="AQ2490" i="5"/>
  <c r="AT2489" i="5"/>
  <c r="AU2489" i="5" s="1"/>
  <c r="AQ2489" i="5"/>
  <c r="AT2488" i="5"/>
  <c r="AT2487" i="5"/>
  <c r="AT2486" i="5"/>
  <c r="AQ2486" i="5"/>
  <c r="AQ2485" i="5"/>
  <c r="AT2484" i="5"/>
  <c r="AQ2484" i="5"/>
  <c r="AT2483" i="5"/>
  <c r="AT2482" i="5"/>
  <c r="AT2481" i="5"/>
  <c r="AQ2481" i="5"/>
  <c r="AT2480" i="5"/>
  <c r="AQ2480" i="5"/>
  <c r="AT2479" i="5"/>
  <c r="AR2478" i="5"/>
  <c r="AQ2478" i="5"/>
  <c r="AT2477" i="5"/>
  <c r="AR2477" i="5"/>
  <c r="AQ2477" i="5"/>
  <c r="AR2476" i="5"/>
  <c r="AQ2476" i="5"/>
  <c r="AT2475" i="5"/>
  <c r="AU2475" i="5" s="1"/>
  <c r="AT2474" i="5"/>
  <c r="AV2474" i="5" s="1"/>
  <c r="AT2473" i="5"/>
  <c r="AY2473" i="5" s="1"/>
  <c r="AQ2473" i="5"/>
  <c r="AT2472" i="5"/>
  <c r="AV2472" i="5" s="1"/>
  <c r="AQ2472" i="5"/>
  <c r="AT2471" i="5"/>
  <c r="AU2471" i="5" s="1"/>
  <c r="AT2470" i="5"/>
  <c r="AX2470" i="5" s="1"/>
  <c r="AT2469" i="5"/>
  <c r="AR2469" i="5"/>
  <c r="AQ2469" i="5"/>
  <c r="AT2468" i="5"/>
  <c r="AX2468" i="5" s="1"/>
  <c r="AR2468" i="5"/>
  <c r="AQ2468" i="5"/>
  <c r="AR2467" i="5"/>
  <c r="AQ2467" i="5"/>
  <c r="AT2465" i="5"/>
  <c r="AY2465" i="5" s="1"/>
  <c r="AT2464" i="5"/>
  <c r="AQ2464" i="5"/>
  <c r="AT2463" i="5"/>
  <c r="AU2463" i="5" s="1"/>
  <c r="AQ2463" i="5"/>
  <c r="AT2462" i="5"/>
  <c r="AT2461" i="5"/>
  <c r="AY2461" i="5" s="1"/>
  <c r="AT2460" i="5"/>
  <c r="AT2459" i="5"/>
  <c r="AQ2459" i="5"/>
  <c r="AT2457" i="5"/>
  <c r="AU2457" i="5" s="1"/>
  <c r="AQ2457" i="5"/>
  <c r="AT2455" i="5"/>
  <c r="AT2454" i="5"/>
  <c r="AQ2454" i="5"/>
  <c r="AQ2453" i="5"/>
  <c r="AT2452" i="5"/>
  <c r="AT2451" i="5"/>
  <c r="AY2451" i="5" s="1"/>
  <c r="AT2450" i="5"/>
  <c r="AQ2449" i="5"/>
  <c r="AT2448" i="5"/>
  <c r="AQ2447" i="5"/>
  <c r="AT2446" i="5"/>
  <c r="AV2446" i="5" s="1"/>
  <c r="AT2445" i="5"/>
  <c r="AY2445" i="5" s="1"/>
  <c r="AQ2445" i="5"/>
  <c r="AT2444" i="5"/>
  <c r="AV2444" i="5" s="1"/>
  <c r="AQ2444" i="5"/>
  <c r="AT2443" i="5"/>
  <c r="AU2443" i="5" s="1"/>
  <c r="AT2442" i="5"/>
  <c r="AV2442" i="5" s="1"/>
  <c r="AQ2441" i="5"/>
  <c r="AR2440" i="5"/>
  <c r="AQ2440" i="5"/>
  <c r="AT2439" i="5"/>
  <c r="AU2439" i="5" s="1"/>
  <c r="AT2437" i="5"/>
  <c r="AU2437" i="5" s="1"/>
  <c r="AT2436" i="5"/>
  <c r="AQ2436" i="5"/>
  <c r="AT2435" i="5"/>
  <c r="AQ2435" i="5"/>
  <c r="AT2434" i="5"/>
  <c r="AW2434" i="5" s="1"/>
  <c r="AT2433" i="5"/>
  <c r="AU2433" i="5" s="1"/>
  <c r="AT2432" i="5"/>
  <c r="AQ2432" i="5"/>
  <c r="AR2431" i="5"/>
  <c r="AQ2431" i="5"/>
  <c r="AT2430" i="5"/>
  <c r="AX2430" i="5" s="1"/>
  <c r="AQ2429" i="5"/>
  <c r="AT2428" i="5"/>
  <c r="AV2428" i="5" s="1"/>
  <c r="AT2427" i="5"/>
  <c r="AQ2427" i="5"/>
  <c r="AT2426" i="5"/>
  <c r="AT2425" i="5"/>
  <c r="AQ2425" i="5"/>
  <c r="AT2424" i="5"/>
  <c r="AX2424" i="5" s="1"/>
  <c r="AT2423" i="5"/>
  <c r="AQ2423" i="5"/>
  <c r="AT2421" i="5"/>
  <c r="AX2421" i="5" s="1"/>
  <c r="AQ2420" i="5"/>
  <c r="AT2419" i="5"/>
  <c r="AV2419" i="5" s="1"/>
  <c r="AT2418" i="5"/>
  <c r="AW2418" i="5" s="1"/>
  <c r="AQ2418" i="5"/>
  <c r="AT2416" i="5"/>
  <c r="AQ2416" i="5"/>
  <c r="AT2415" i="5"/>
  <c r="AV2415" i="5" s="1"/>
  <c r="AT2414" i="5"/>
  <c r="AQ2413" i="5"/>
  <c r="AT2412" i="5"/>
  <c r="AQ2411" i="5"/>
  <c r="AT2410" i="5"/>
  <c r="AT2409" i="5"/>
  <c r="AX2409" i="5" s="1"/>
  <c r="AQ2409" i="5"/>
  <c r="AT2408" i="5"/>
  <c r="AT2407" i="5"/>
  <c r="AU2407" i="5" s="1"/>
  <c r="AQ2407" i="5"/>
  <c r="AT2406" i="5"/>
  <c r="AW2406" i="5" s="1"/>
  <c r="AQ2405" i="5"/>
  <c r="AR2404" i="5"/>
  <c r="AQ2404" i="5"/>
  <c r="AT2403" i="5"/>
  <c r="AV2403" i="5" s="1"/>
  <c r="AT2401" i="5"/>
  <c r="AY2401" i="5" s="1"/>
  <c r="AQ2401" i="5"/>
  <c r="AT2400" i="5"/>
  <c r="AT2399" i="5"/>
  <c r="AT2398" i="5"/>
  <c r="AT2397" i="5"/>
  <c r="AQ2397" i="5"/>
  <c r="AT2396" i="5"/>
  <c r="AQ2396" i="5"/>
  <c r="AT2394" i="5"/>
  <c r="AQ2393" i="5"/>
  <c r="AT2392" i="5"/>
  <c r="AX2392" i="5" s="1"/>
  <c r="AQ2392" i="5"/>
  <c r="AQ2391" i="5"/>
  <c r="AT2390" i="5"/>
  <c r="AT2389" i="5"/>
  <c r="AU2389" i="5" s="1"/>
  <c r="AT2388" i="5"/>
  <c r="AQ2388" i="5"/>
  <c r="AT2387" i="5"/>
  <c r="AQ2387" i="5"/>
  <c r="AT2385" i="5"/>
  <c r="AU2385" i="5" s="1"/>
  <c r="AT2384" i="5"/>
  <c r="AQ2384" i="5"/>
  <c r="AT2383" i="5"/>
  <c r="AU2383" i="5" s="1"/>
  <c r="AQ2383" i="5"/>
  <c r="AQ2382" i="5"/>
  <c r="AT2380" i="5"/>
  <c r="AX2380" i="5" s="1"/>
  <c r="AT2379" i="5"/>
  <c r="AQ2379" i="5"/>
  <c r="AT2378" i="5"/>
  <c r="AQ2378" i="5"/>
  <c r="AT2376" i="5"/>
  <c r="AT2375" i="5"/>
  <c r="AQ2375" i="5"/>
  <c r="AT2374" i="5"/>
  <c r="AW2374" i="5" s="1"/>
  <c r="AQ2374" i="5"/>
  <c r="AT2372" i="5"/>
  <c r="AT2371" i="5"/>
  <c r="AU2371" i="5" s="1"/>
  <c r="AT2370" i="5"/>
  <c r="AX2370" i="5" s="1"/>
  <c r="AQ2370" i="5"/>
  <c r="AT2369" i="5"/>
  <c r="AQ2369" i="5"/>
  <c r="AQ2368" i="5"/>
  <c r="AT2367" i="5"/>
  <c r="AT2366" i="5"/>
  <c r="AT2365" i="5"/>
  <c r="AW2365" i="5" s="1"/>
  <c r="AT2363" i="5"/>
  <c r="AW2363" i="5" s="1"/>
  <c r="AQ2363" i="5"/>
  <c r="AT2362" i="5"/>
  <c r="AX2362" i="5" s="1"/>
  <c r="AT2361" i="5"/>
  <c r="AT2360" i="5"/>
  <c r="AX2360" i="5" s="1"/>
  <c r="AQ2359" i="5"/>
  <c r="AT2358" i="5"/>
  <c r="AX2358" i="5" s="1"/>
  <c r="AT2357" i="5"/>
  <c r="AQ2356" i="5"/>
  <c r="AQ2355" i="5"/>
  <c r="AT2354" i="5"/>
  <c r="AQ2354" i="5"/>
  <c r="AT2353" i="5"/>
  <c r="AY2353" i="5" s="1"/>
  <c r="AT2352" i="5"/>
  <c r="AT2351" i="5"/>
  <c r="AQ2351" i="5"/>
  <c r="AQ2350" i="5"/>
  <c r="AT2349" i="5"/>
  <c r="AY2349" i="5" s="1"/>
  <c r="AT2348" i="5"/>
  <c r="AX2348" i="5" s="1"/>
  <c r="AT2347" i="5"/>
  <c r="AQ2347" i="5"/>
  <c r="AQ2346" i="5"/>
  <c r="AT2345" i="5"/>
  <c r="AT2343" i="5"/>
  <c r="AW2343" i="5" s="1"/>
  <c r="AQ2343" i="5"/>
  <c r="AT2342" i="5"/>
  <c r="AQ2342" i="5"/>
  <c r="AQ2341" i="5"/>
  <c r="AT2340" i="5"/>
  <c r="AT2339" i="5"/>
  <c r="AT2338" i="5"/>
  <c r="AX2338" i="5" s="1"/>
  <c r="AQ2338" i="5"/>
  <c r="AQ2337" i="5"/>
  <c r="AT2336" i="5"/>
  <c r="AX2336" i="5" s="1"/>
  <c r="AT2335" i="5"/>
  <c r="AV2335" i="5" s="1"/>
  <c r="AT2334" i="5"/>
  <c r="AX2334" i="5" s="1"/>
  <c r="AQ2334" i="5"/>
  <c r="AT2333" i="5"/>
  <c r="AX2333" i="5" s="1"/>
  <c r="AQ2333" i="5"/>
  <c r="AQ2332" i="5"/>
  <c r="AT2331" i="5"/>
  <c r="AQ2331" i="5"/>
  <c r="AT2330" i="5"/>
  <c r="AX2330" i="5" s="1"/>
  <c r="AT2329" i="5"/>
  <c r="AY2329" i="5" s="1"/>
  <c r="AQ2329" i="5"/>
  <c r="AT2328" i="5"/>
  <c r="AT2327" i="5"/>
  <c r="AV2327" i="5" s="1"/>
  <c r="AQ2327" i="5"/>
  <c r="AT2325" i="5"/>
  <c r="AY2325" i="5" s="1"/>
  <c r="AT2324" i="5"/>
  <c r="AX2324" i="5" s="1"/>
  <c r="AQ2323" i="5"/>
  <c r="AT2322" i="5"/>
  <c r="AX2322" i="5" s="1"/>
  <c r="AQ2322" i="5"/>
  <c r="AT2321" i="5"/>
  <c r="AX2321" i="5" s="1"/>
  <c r="AQ2320" i="5"/>
  <c r="AT2319" i="5"/>
  <c r="AV2319" i="5" s="1"/>
  <c r="AQ2319" i="5"/>
  <c r="AT2318" i="5"/>
  <c r="AX2318" i="5" s="1"/>
  <c r="AQ2318" i="5"/>
  <c r="AT2316" i="5"/>
  <c r="AT2315" i="5"/>
  <c r="AV2315" i="5" s="1"/>
  <c r="AQ2315" i="5"/>
  <c r="AQ2314" i="5"/>
  <c r="AT2313" i="5"/>
  <c r="AY2313" i="5" s="1"/>
  <c r="AQ2313" i="5"/>
  <c r="AT2312" i="5"/>
  <c r="AX2312" i="5" s="1"/>
  <c r="AT2311" i="5"/>
  <c r="AV2311" i="5" s="1"/>
  <c r="AQ2311" i="5"/>
  <c r="AT2310" i="5"/>
  <c r="AX2310" i="5" s="1"/>
  <c r="AQ2310" i="5"/>
  <c r="AT2309" i="5"/>
  <c r="AX2309" i="5" s="1"/>
  <c r="AQ2309" i="5"/>
  <c r="AT2307" i="5"/>
  <c r="AV2307" i="5" s="1"/>
  <c r="AT2306" i="5"/>
  <c r="AX2306" i="5" s="1"/>
  <c r="AQ2306" i="5"/>
  <c r="AT2304" i="5"/>
  <c r="AT2303" i="5"/>
  <c r="AV2303" i="5" s="1"/>
  <c r="AT2302" i="5"/>
  <c r="AX2302" i="5" s="1"/>
  <c r="AQ2302" i="5"/>
  <c r="AT2301" i="5"/>
  <c r="AW2301" i="5" s="1"/>
  <c r="AQ2301" i="5"/>
  <c r="AT2300" i="5"/>
  <c r="AX2300" i="5" s="1"/>
  <c r="AT2298" i="5"/>
  <c r="AX2298" i="5" s="1"/>
  <c r="AT2297" i="5"/>
  <c r="AW2297" i="5" s="1"/>
  <c r="AQ2297" i="5"/>
  <c r="AQ2296" i="5"/>
  <c r="AT2295" i="5"/>
  <c r="AT2294" i="5"/>
  <c r="AT2293" i="5"/>
  <c r="AQ2293" i="5"/>
  <c r="AT2292" i="5"/>
  <c r="AT2291" i="5"/>
  <c r="AY2291" i="5" s="1"/>
  <c r="AQ2290" i="5"/>
  <c r="AT2289" i="5"/>
  <c r="AY2289" i="5" s="1"/>
  <c r="AT2288" i="5"/>
  <c r="AX2288" i="5" s="1"/>
  <c r="AQ2288" i="5"/>
  <c r="AT2286" i="5"/>
  <c r="AT2285" i="5"/>
  <c r="AT2284" i="5"/>
  <c r="AQ2284" i="5"/>
  <c r="AQ2283" i="5"/>
  <c r="AT2282" i="5"/>
  <c r="AQ2281" i="5"/>
  <c r="AT2280" i="5"/>
  <c r="AT2279" i="5"/>
  <c r="AQ2279" i="5"/>
  <c r="AQ2278" i="5"/>
  <c r="AT2277" i="5"/>
  <c r="AT2276" i="5"/>
  <c r="AT2275" i="5"/>
  <c r="AQ2275" i="5"/>
  <c r="AT2274" i="5"/>
  <c r="AX2274" i="5" s="1"/>
  <c r="AQ2274" i="5"/>
  <c r="AT2273" i="5"/>
  <c r="AY2273" i="5" s="1"/>
  <c r="AQ2272" i="5"/>
  <c r="AT2270" i="5"/>
  <c r="AX2270" i="5" s="1"/>
  <c r="AQ2270" i="5"/>
  <c r="AQ2269" i="5"/>
  <c r="AT2268" i="5"/>
  <c r="AT2267" i="5"/>
  <c r="AY2267" i="5" s="1"/>
  <c r="AT2266" i="5"/>
  <c r="AX2266" i="5" s="1"/>
  <c r="AQ2266" i="5"/>
  <c r="AT2265" i="5"/>
  <c r="AQ2265" i="5"/>
  <c r="AT2264" i="5"/>
  <c r="AX2264" i="5" s="1"/>
  <c r="AT2263" i="5"/>
  <c r="AY2263" i="5" s="1"/>
  <c r="AQ2263" i="5"/>
  <c r="AT2262" i="5"/>
  <c r="AR2262" i="5"/>
  <c r="AQ2262" i="5"/>
  <c r="AR2261" i="5"/>
  <c r="AQ2261" i="5"/>
  <c r="AR2260" i="5"/>
  <c r="AQ2260" i="5"/>
  <c r="AT2258" i="5"/>
  <c r="AV2258" i="5" s="1"/>
  <c r="AQ2258" i="5"/>
  <c r="AT2257" i="5"/>
  <c r="AU2257" i="5" s="1"/>
  <c r="AQ2257" i="5"/>
  <c r="AT2256" i="5"/>
  <c r="AX2256" i="5" s="1"/>
  <c r="AT2255" i="5"/>
  <c r="AU2255" i="5" s="1"/>
  <c r="AT2254" i="5"/>
  <c r="AQ2254" i="5"/>
  <c r="AT2253" i="5"/>
  <c r="AX2253" i="5" s="1"/>
  <c r="AQ2253" i="5"/>
  <c r="AQ2251" i="5"/>
  <c r="AT2250" i="5"/>
  <c r="AX2250" i="5" s="1"/>
  <c r="AT2249" i="5"/>
  <c r="AY2249" i="5" s="1"/>
  <c r="AQ2249" i="5"/>
  <c r="AT2248" i="5"/>
  <c r="AQ2248" i="5"/>
  <c r="AQ2247" i="5"/>
  <c r="AT2246" i="5"/>
  <c r="AT2245" i="5"/>
  <c r="AX2245" i="5" s="1"/>
  <c r="AQ2245" i="5"/>
  <c r="AT2244" i="5"/>
  <c r="AQ2243" i="5"/>
  <c r="AQ2242" i="5"/>
  <c r="AT2241" i="5"/>
  <c r="AU2241" i="5" s="1"/>
  <c r="AT2240" i="5"/>
  <c r="AT2239" i="5"/>
  <c r="AY2239" i="5" s="1"/>
  <c r="AQ2239" i="5"/>
  <c r="AT2238" i="5"/>
  <c r="AQ2238" i="5"/>
  <c r="AT2237" i="5"/>
  <c r="AT2236" i="5"/>
  <c r="AR2235" i="5"/>
  <c r="AQ2235" i="5"/>
  <c r="AR2234" i="5"/>
  <c r="AQ2234" i="5"/>
  <c r="AQ2233" i="5"/>
  <c r="AT2232" i="5"/>
  <c r="AT2231" i="5"/>
  <c r="AT2230" i="5"/>
  <c r="AQ2230" i="5"/>
  <c r="AT2229" i="5"/>
  <c r="AY2229" i="5" s="1"/>
  <c r="AQ2229" i="5"/>
  <c r="AT2228" i="5"/>
  <c r="AT2227" i="5"/>
  <c r="AT2226" i="5"/>
  <c r="AX2226" i="5" s="1"/>
  <c r="AR2226" i="5"/>
  <c r="AQ2226" i="5"/>
  <c r="AR2225" i="5"/>
  <c r="AQ2225" i="5"/>
  <c r="AQ2224" i="5"/>
  <c r="AT2222" i="5"/>
  <c r="AX2222" i="5" s="1"/>
  <c r="AT2221" i="5"/>
  <c r="AU2221" i="5" s="1"/>
  <c r="AQ2221" i="5"/>
  <c r="AT2220" i="5"/>
  <c r="AT2219" i="5"/>
  <c r="AT2218" i="5"/>
  <c r="AX2218" i="5" s="1"/>
  <c r="AT2217" i="5"/>
  <c r="AQ2217" i="5"/>
  <c r="AQ2215" i="5"/>
  <c r="AT2214" i="5"/>
  <c r="AT2213" i="5"/>
  <c r="AX2213" i="5" s="1"/>
  <c r="AT2212" i="5"/>
  <c r="AX2212" i="5" s="1"/>
  <c r="AQ2212" i="5"/>
  <c r="AQ2211" i="5"/>
  <c r="AT2210" i="5"/>
  <c r="AV2210" i="5" s="1"/>
  <c r="AT2209" i="5"/>
  <c r="AT2208" i="5"/>
  <c r="AX2208" i="5" s="1"/>
  <c r="AR2208" i="5"/>
  <c r="AQ2208" i="5"/>
  <c r="AQ2206" i="5"/>
  <c r="AT2205" i="5"/>
  <c r="AY2205" i="5" s="1"/>
  <c r="AT2204" i="5"/>
  <c r="AT2203" i="5"/>
  <c r="AU2203" i="5" s="1"/>
  <c r="AT2202" i="5"/>
  <c r="AQ2202" i="5"/>
  <c r="AT2201" i="5"/>
  <c r="AT2200" i="5"/>
  <c r="AT2199" i="5"/>
  <c r="AU2199" i="5" s="1"/>
  <c r="AR2199" i="5"/>
  <c r="AQ2199" i="5"/>
  <c r="AR2198" i="5"/>
  <c r="AQ2198" i="5"/>
  <c r="AT2196" i="5"/>
  <c r="AX2196" i="5" s="1"/>
  <c r="AQ2196" i="5"/>
  <c r="AT2195" i="5"/>
  <c r="AY2195" i="5" s="1"/>
  <c r="AT2194" i="5"/>
  <c r="AQ2194" i="5"/>
  <c r="AT2193" i="5"/>
  <c r="AX2193" i="5" s="1"/>
  <c r="AQ2193" i="5"/>
  <c r="AT2192" i="5"/>
  <c r="AQ2192" i="5"/>
  <c r="AT2191" i="5"/>
  <c r="AV2191" i="5" s="1"/>
  <c r="AT2190" i="5"/>
  <c r="AQ2190" i="5"/>
  <c r="AT2189" i="5"/>
  <c r="AX2189" i="5" s="1"/>
  <c r="AR2189" i="5"/>
  <c r="AQ2189" i="5"/>
  <c r="AR2188" i="5"/>
  <c r="AQ2188" i="5"/>
  <c r="AQ2187" i="5"/>
  <c r="AT2185" i="5"/>
  <c r="AX2185" i="5" s="1"/>
  <c r="AQ2185" i="5"/>
  <c r="AT2184" i="5"/>
  <c r="AX2184" i="5" s="1"/>
  <c r="AQ2184" i="5"/>
  <c r="AT2183" i="5"/>
  <c r="AT2182" i="5"/>
  <c r="AX2182" i="5" s="1"/>
  <c r="AT2181" i="5"/>
  <c r="AQ2181" i="5"/>
  <c r="AT2180" i="5"/>
  <c r="AX2180" i="5" s="1"/>
  <c r="AQ2180" i="5"/>
  <c r="AT2177" i="5"/>
  <c r="AX2177" i="5" s="1"/>
  <c r="AT2176" i="5"/>
  <c r="AQ2176" i="5"/>
  <c r="AT2175" i="5"/>
  <c r="AV2175" i="5" s="1"/>
  <c r="AQ2175" i="5"/>
  <c r="AQ2174" i="5"/>
  <c r="AT2173" i="5"/>
  <c r="AX2173" i="5" s="1"/>
  <c r="AT2172" i="5"/>
  <c r="AX2172" i="5" s="1"/>
  <c r="AQ2172" i="5"/>
  <c r="AT2171" i="5"/>
  <c r="AQ2171" i="5"/>
  <c r="AT2168" i="5"/>
  <c r="AX2168" i="5" s="1"/>
  <c r="AT2167" i="5"/>
  <c r="AQ2167" i="5"/>
  <c r="AT2166" i="5"/>
  <c r="AT2165" i="5"/>
  <c r="AX2165" i="5" s="1"/>
  <c r="AQ2165" i="5"/>
  <c r="AT2164" i="5"/>
  <c r="AX2164" i="5" s="1"/>
  <c r="AT2163" i="5"/>
  <c r="AU2163" i="5" s="1"/>
  <c r="AQ2163" i="5"/>
  <c r="AR2162" i="5"/>
  <c r="AQ2162" i="5"/>
  <c r="AR2161" i="5"/>
  <c r="AQ2161" i="5"/>
  <c r="AT2159" i="5"/>
  <c r="AT2158" i="5"/>
  <c r="AX2158" i="5" s="1"/>
  <c r="AT2157" i="5"/>
  <c r="AY2157" i="5" s="1"/>
  <c r="AQ2157" i="5"/>
  <c r="AT2156" i="5"/>
  <c r="AX2156" i="5" s="1"/>
  <c r="AT2155" i="5"/>
  <c r="AT2154" i="5"/>
  <c r="AT2153" i="5"/>
  <c r="AU2153" i="5" s="1"/>
  <c r="AR2153" i="5"/>
  <c r="AQ2153" i="5"/>
  <c r="AR2152" i="5"/>
  <c r="AQ2152" i="5"/>
  <c r="AT2149" i="5"/>
  <c r="AU2149" i="5" s="1"/>
  <c r="AQ2149" i="5"/>
  <c r="AT2148" i="5"/>
  <c r="AX2148" i="5" s="1"/>
  <c r="AQ2148" i="5"/>
  <c r="AT2147" i="5"/>
  <c r="AV2147" i="5" s="1"/>
  <c r="AT2146" i="5"/>
  <c r="AX2146" i="5" s="1"/>
  <c r="AT2145" i="5"/>
  <c r="AX2145" i="5" s="1"/>
  <c r="AQ2145" i="5"/>
  <c r="AT2144" i="5"/>
  <c r="AX2144" i="5" s="1"/>
  <c r="AQ2144" i="5"/>
  <c r="AQ2143" i="5"/>
  <c r="AT2141" i="5"/>
  <c r="AW2141" i="5" s="1"/>
  <c r="AT2140" i="5"/>
  <c r="AX2140" i="5" s="1"/>
  <c r="AQ2140" i="5"/>
  <c r="AT2139" i="5"/>
  <c r="AQ2139" i="5"/>
  <c r="AT2137" i="5"/>
  <c r="AW2137" i="5" s="1"/>
  <c r="AT2136" i="5"/>
  <c r="AX2136" i="5" s="1"/>
  <c r="AQ2136" i="5"/>
  <c r="AT2135" i="5"/>
  <c r="AV2135" i="5" s="1"/>
  <c r="AQ2134" i="5"/>
  <c r="AT2132" i="5"/>
  <c r="AT2131" i="5"/>
  <c r="AY2131" i="5" s="1"/>
  <c r="AQ2131" i="5"/>
  <c r="AT2130" i="5"/>
  <c r="AX2130" i="5" s="1"/>
  <c r="AT2129" i="5"/>
  <c r="AW2129" i="5" s="1"/>
  <c r="AT2128" i="5"/>
  <c r="AQ2128" i="5"/>
  <c r="AT2127" i="5"/>
  <c r="AQ2126" i="5"/>
  <c r="AR2125" i="5"/>
  <c r="AQ2125" i="5"/>
  <c r="AT2124" i="5"/>
  <c r="AT2123" i="5"/>
  <c r="AU2123" i="5" s="1"/>
  <c r="AQ2123" i="5"/>
  <c r="AT2121" i="5"/>
  <c r="AY2121" i="5" s="1"/>
  <c r="AQ2121" i="5"/>
  <c r="AT2120" i="5"/>
  <c r="AT2119" i="5"/>
  <c r="AQ2119" i="5"/>
  <c r="AT2118" i="5"/>
  <c r="AQ2118" i="5"/>
  <c r="AT2117" i="5"/>
  <c r="AT2115" i="5"/>
  <c r="AU2115" i="5" s="1"/>
  <c r="AT2114" i="5"/>
  <c r="AQ2114" i="5"/>
  <c r="AQ2113" i="5"/>
  <c r="AT2112" i="5"/>
  <c r="AX2112" i="5" s="1"/>
  <c r="AQ2112" i="5"/>
  <c r="AT2111" i="5"/>
  <c r="AT2110" i="5"/>
  <c r="AX2110" i="5" s="1"/>
  <c r="AT2109" i="5"/>
  <c r="AQ2109" i="5"/>
  <c r="AT2108" i="5"/>
  <c r="AX2108" i="5" s="1"/>
  <c r="AQ2108" i="5"/>
  <c r="AT2106" i="5"/>
  <c r="AT2105" i="5"/>
  <c r="AQ2105" i="5"/>
  <c r="AQ2104" i="5"/>
  <c r="AT2103" i="5"/>
  <c r="AY2103" i="5" s="1"/>
  <c r="AQ2103" i="5"/>
  <c r="AT2102" i="5"/>
  <c r="AX2102" i="5" s="1"/>
  <c r="AQ2101" i="5"/>
  <c r="AT2100" i="5"/>
  <c r="AX2100" i="5" s="1"/>
  <c r="AQ2100" i="5"/>
  <c r="AT2099" i="5"/>
  <c r="AQ2099" i="5"/>
  <c r="AT2097" i="5"/>
  <c r="AX2097" i="5" s="1"/>
  <c r="AQ2097" i="5"/>
  <c r="AT2096" i="5"/>
  <c r="AQ2095" i="5"/>
  <c r="AT2094" i="5"/>
  <c r="AT2093" i="5"/>
  <c r="AU2093" i="5" s="1"/>
  <c r="AT2092" i="5"/>
  <c r="AT2091" i="5"/>
  <c r="AU2091" i="5" s="1"/>
  <c r="AQ2091" i="5"/>
  <c r="AT2090" i="5"/>
  <c r="AQ2090" i="5"/>
  <c r="AT2088" i="5"/>
  <c r="AX2088" i="5" s="1"/>
  <c r="AQ2088" i="5"/>
  <c r="AT2087" i="5"/>
  <c r="AT2085" i="5"/>
  <c r="AY2085" i="5" s="1"/>
  <c r="AQ2085" i="5"/>
  <c r="AT2084" i="5"/>
  <c r="AX2084" i="5" s="1"/>
  <c r="AT2083" i="5"/>
  <c r="AU2083" i="5" s="1"/>
  <c r="AT2082" i="5"/>
  <c r="AT2081" i="5"/>
  <c r="AQ2081" i="5"/>
  <c r="AT2079" i="5"/>
  <c r="AY2079" i="5" s="1"/>
  <c r="AQ2079" i="5"/>
  <c r="AT2078" i="5"/>
  <c r="AX2078" i="5" s="1"/>
  <c r="AQ2077" i="5"/>
  <c r="AT2076" i="5"/>
  <c r="AX2076" i="5" s="1"/>
  <c r="AQ2076" i="5"/>
  <c r="AT2075" i="5"/>
  <c r="AT2074" i="5"/>
  <c r="AT2073" i="5"/>
  <c r="AX2073" i="5" s="1"/>
  <c r="AQ2073" i="5"/>
  <c r="AT2072" i="5"/>
  <c r="AQ2072" i="5"/>
  <c r="AT2070" i="5"/>
  <c r="AT2069" i="5"/>
  <c r="AU2069" i="5" s="1"/>
  <c r="AQ2068" i="5"/>
  <c r="AT2067" i="5"/>
  <c r="AU2067" i="5" s="1"/>
  <c r="AT2066" i="5"/>
  <c r="AQ2066" i="5"/>
  <c r="AT2064" i="5"/>
  <c r="AX2064" i="5" s="1"/>
  <c r="AQ2064" i="5"/>
  <c r="AT2063" i="5"/>
  <c r="AQ2063" i="5"/>
  <c r="AT2061" i="5"/>
  <c r="AT2060" i="5"/>
  <c r="AX2060" i="5" s="1"/>
  <c r="AT2059" i="5"/>
  <c r="AU2059" i="5" s="1"/>
  <c r="AQ2059" i="5"/>
  <c r="AT2058" i="5"/>
  <c r="AQ2057" i="5"/>
  <c r="AT2056" i="5"/>
  <c r="AT2055" i="5"/>
  <c r="AY2055" i="5" s="1"/>
  <c r="AQ2055" i="5"/>
  <c r="AT2054" i="5"/>
  <c r="AX2054" i="5" s="1"/>
  <c r="AQ2054" i="5"/>
  <c r="AQ2053" i="5"/>
  <c r="AT2052" i="5"/>
  <c r="AX2052" i="5" s="1"/>
  <c r="AT2051" i="5"/>
  <c r="AW2051" i="5" s="1"/>
  <c r="AT2050" i="5"/>
  <c r="AT2049" i="5"/>
  <c r="AU2049" i="5" s="1"/>
  <c r="AQ2049" i="5"/>
  <c r="AQ2048" i="5"/>
  <c r="AT2047" i="5"/>
  <c r="AV2047" i="5" s="1"/>
  <c r="AT2046" i="5"/>
  <c r="AT2045" i="5"/>
  <c r="AY2045" i="5" s="1"/>
  <c r="AQ2045" i="5"/>
  <c r="AQ2044" i="5"/>
  <c r="AT2043" i="5"/>
  <c r="AT2042" i="5"/>
  <c r="AQ2042" i="5"/>
  <c r="AQ2041" i="5"/>
  <c r="AT2040" i="5"/>
  <c r="AQ2040" i="5"/>
  <c r="AQ2039" i="5"/>
  <c r="AT2038" i="5"/>
  <c r="AT2037" i="5"/>
  <c r="AY2037" i="5" s="1"/>
  <c r="AT2036" i="5"/>
  <c r="AX2036" i="5" s="1"/>
  <c r="AQ2036" i="5"/>
  <c r="AQ2035" i="5"/>
  <c r="AT2034" i="5"/>
  <c r="AT2033" i="5"/>
  <c r="AY2033" i="5" s="1"/>
  <c r="AT2032" i="5"/>
  <c r="AX2032" i="5" s="1"/>
  <c r="AQ2032" i="5"/>
  <c r="AT2031" i="5"/>
  <c r="AQ2031" i="5"/>
  <c r="AQ2030" i="5"/>
  <c r="AT2029" i="5"/>
  <c r="AV2029" i="5" s="1"/>
  <c r="AQ2028" i="5"/>
  <c r="AT2027" i="5"/>
  <c r="AQ2027" i="5"/>
  <c r="AQ2026" i="5"/>
  <c r="AT2025" i="5"/>
  <c r="AY2025" i="5" s="1"/>
  <c r="AT2024" i="5"/>
  <c r="AX2024" i="5" s="1"/>
  <c r="AQ2024" i="5"/>
  <c r="AT2023" i="5"/>
  <c r="AQ2023" i="5"/>
  <c r="AT2022" i="5"/>
  <c r="AW2022" i="5" s="1"/>
  <c r="AQ2022" i="5"/>
  <c r="AT2020" i="5"/>
  <c r="AW2020" i="5" s="1"/>
  <c r="AT2019" i="5"/>
  <c r="AV2019" i="5" s="1"/>
  <c r="AQ2019" i="5"/>
  <c r="AT2018" i="5"/>
  <c r="AV2018" i="5" s="1"/>
  <c r="AQ2018" i="5"/>
  <c r="AQ2017" i="5"/>
  <c r="AT2015" i="5"/>
  <c r="AY2015" i="5" s="1"/>
  <c r="AQ2015" i="5"/>
  <c r="AT2014" i="5"/>
  <c r="AY2014" i="5" s="1"/>
  <c r="AQ2014" i="5"/>
  <c r="AT2013" i="5"/>
  <c r="AY2013" i="5" s="1"/>
  <c r="AT2011" i="5"/>
  <c r="AW2011" i="5" s="1"/>
  <c r="AT2010" i="5"/>
  <c r="AQ2010" i="5"/>
  <c r="AT2009" i="5"/>
  <c r="AY2009" i="5" s="1"/>
  <c r="AQ2008" i="5"/>
  <c r="AT2007" i="5"/>
  <c r="AT2006" i="5"/>
  <c r="AQ2006" i="5"/>
  <c r="AT2005" i="5"/>
  <c r="AQ2005" i="5"/>
  <c r="AQ2004" i="5"/>
  <c r="AT2002" i="5"/>
  <c r="AW2002" i="5" s="1"/>
  <c r="AT2001" i="5"/>
  <c r="AY2001" i="5" s="1"/>
  <c r="AT2000" i="5"/>
  <c r="AQ2000" i="5"/>
  <c r="AQ1999" i="5"/>
  <c r="AT1998" i="5"/>
  <c r="AW1998" i="5" s="1"/>
  <c r="AT1997" i="5"/>
  <c r="AX1997" i="5" s="1"/>
  <c r="AT1996" i="5"/>
  <c r="AX1996" i="5" s="1"/>
  <c r="AQ1996" i="5"/>
  <c r="AT1995" i="5"/>
  <c r="AY1995" i="5" s="1"/>
  <c r="AQ1995" i="5"/>
  <c r="AT1993" i="5"/>
  <c r="AQ1992" i="5"/>
  <c r="AT1991" i="5"/>
  <c r="AQ1991" i="5"/>
  <c r="AQ1990" i="5"/>
  <c r="AT1989" i="5"/>
  <c r="AT1988" i="5"/>
  <c r="AT1987" i="5"/>
  <c r="AQ1987" i="5"/>
  <c r="AT1986" i="5"/>
  <c r="AY1986" i="5" s="1"/>
  <c r="AQ1986" i="5"/>
  <c r="AT1985" i="5"/>
  <c r="AT1984" i="5"/>
  <c r="AW1984" i="5" s="1"/>
  <c r="AR1983" i="5"/>
  <c r="AQ1983" i="5"/>
  <c r="AT1982" i="5"/>
  <c r="AQ1981" i="5"/>
  <c r="AT1979" i="5"/>
  <c r="AV1979" i="5" s="1"/>
  <c r="AQ1979" i="5"/>
  <c r="AT1978" i="5"/>
  <c r="AX1978" i="5" s="1"/>
  <c r="AT1977" i="5"/>
  <c r="AY1977" i="5" s="1"/>
  <c r="AQ1977" i="5"/>
  <c r="AT1976" i="5"/>
  <c r="AW1976" i="5" s="1"/>
  <c r="AT1975" i="5"/>
  <c r="AQ1975" i="5"/>
  <c r="AQ1974" i="5"/>
  <c r="AT1973" i="5"/>
  <c r="AX1973" i="5" s="1"/>
  <c r="AQ1973" i="5"/>
  <c r="AT1971" i="5"/>
  <c r="AV1971" i="5" s="1"/>
  <c r="AT1970" i="5"/>
  <c r="AQ1970" i="5"/>
  <c r="AT1969" i="5"/>
  <c r="AQ1969" i="5"/>
  <c r="AT1967" i="5"/>
  <c r="AY1967" i="5" s="1"/>
  <c r="AT1966" i="5"/>
  <c r="AY1966" i="5" s="1"/>
  <c r="AQ1966" i="5"/>
  <c r="AQ1965" i="5"/>
  <c r="AT1964" i="5"/>
  <c r="AW1964" i="5" s="1"/>
  <c r="AT1962" i="5"/>
  <c r="AQ1962" i="5"/>
  <c r="AT1961" i="5"/>
  <c r="AT1960" i="5"/>
  <c r="AT1959" i="5"/>
  <c r="AT1958" i="5"/>
  <c r="AQ1958" i="5"/>
  <c r="AT1957" i="5"/>
  <c r="AR1956" i="5"/>
  <c r="AQ1956" i="5"/>
  <c r="AT1955" i="5"/>
  <c r="AV1955" i="5" s="1"/>
  <c r="AQ1955" i="5"/>
  <c r="AT1953" i="5"/>
  <c r="AQ1953" i="5"/>
  <c r="AT1952" i="5"/>
  <c r="AT1951" i="5"/>
  <c r="AT1950" i="5"/>
  <c r="AW1950" i="5" s="1"/>
  <c r="AT1949" i="5"/>
  <c r="AU1949" i="5" s="1"/>
  <c r="AQ1949" i="5"/>
  <c r="AT1948" i="5"/>
  <c r="AT1946" i="5"/>
  <c r="AW1946" i="5" s="1"/>
  <c r="AQ1946" i="5"/>
  <c r="AT1944" i="5"/>
  <c r="AQ1944" i="5"/>
  <c r="AT1942" i="5"/>
  <c r="AQ1942" i="5"/>
  <c r="AT1941" i="5"/>
  <c r="AY1941" i="5" s="1"/>
  <c r="AT1940" i="5"/>
  <c r="AW1940" i="5" s="1"/>
  <c r="AT1939" i="5"/>
  <c r="AV1939" i="5" s="1"/>
  <c r="AQ1938" i="5"/>
  <c r="AT1937" i="5"/>
  <c r="AQ1937" i="5"/>
  <c r="AT1935" i="5"/>
  <c r="AT1934" i="5"/>
  <c r="AW1934" i="5" s="1"/>
  <c r="AT1933" i="5"/>
  <c r="AY1933" i="5" s="1"/>
  <c r="AQ1933" i="5"/>
  <c r="AT1932" i="5"/>
  <c r="AQ1931" i="5"/>
  <c r="AT1930" i="5"/>
  <c r="AR1929" i="5"/>
  <c r="AQ1929" i="5"/>
  <c r="AT1928" i="5"/>
  <c r="AQ1927" i="5"/>
  <c r="AT1926" i="5"/>
  <c r="AU1926" i="5" s="1"/>
  <c r="AQ1926" i="5"/>
  <c r="AT1925" i="5"/>
  <c r="AW1925" i="5" s="1"/>
  <c r="AT1924" i="5"/>
  <c r="AQ1924" i="5"/>
  <c r="AT1923" i="5"/>
  <c r="AV1923" i="5" s="1"/>
  <c r="AT1922" i="5"/>
  <c r="AQ1922" i="5"/>
  <c r="AT1921" i="5"/>
  <c r="AR1920" i="5"/>
  <c r="AQ1920" i="5"/>
  <c r="AQ1919" i="5"/>
  <c r="AT1917" i="5"/>
  <c r="AV1917" i="5" s="1"/>
  <c r="AT1916" i="5"/>
  <c r="AW1916" i="5" s="1"/>
  <c r="AT1915" i="5"/>
  <c r="AQ1915" i="5"/>
  <c r="AT1914" i="5"/>
  <c r="AQ1914" i="5"/>
  <c r="AT1913" i="5"/>
  <c r="AX1913" i="5" s="1"/>
  <c r="AT1912" i="5"/>
  <c r="AT1911" i="5"/>
  <c r="AQ1911" i="5"/>
  <c r="AT1910" i="5"/>
  <c r="AW1910" i="5" s="1"/>
  <c r="AR1910" i="5"/>
  <c r="AQ1910" i="5"/>
  <c r="AR1909" i="5"/>
  <c r="AQ1909" i="5"/>
  <c r="AT1908" i="5"/>
  <c r="AX1908" i="5" s="1"/>
  <c r="AQ1907" i="5"/>
  <c r="AT1906" i="5"/>
  <c r="AW1906" i="5" s="1"/>
  <c r="AQ1906" i="5"/>
  <c r="AT1905" i="5"/>
  <c r="AX1905" i="5" s="1"/>
  <c r="AQ1905" i="5"/>
  <c r="AT1904" i="5"/>
  <c r="AT1903" i="5"/>
  <c r="AV1903" i="5" s="1"/>
  <c r="AT1902" i="5"/>
  <c r="AW1902" i="5" s="1"/>
  <c r="AQ1902" i="5"/>
  <c r="AT1901" i="5"/>
  <c r="AY1901" i="5" s="1"/>
  <c r="AQ1901" i="5"/>
  <c r="AT1899" i="5"/>
  <c r="AT1898" i="5"/>
  <c r="AQ1898" i="5"/>
  <c r="AT1897" i="5"/>
  <c r="AX1897" i="5" s="1"/>
  <c r="AQ1897" i="5"/>
  <c r="AT1896" i="5"/>
  <c r="AQ1896" i="5"/>
  <c r="AT1894" i="5"/>
  <c r="AQ1894" i="5"/>
  <c r="AT1893" i="5"/>
  <c r="AR1893" i="5"/>
  <c r="AQ1893" i="5"/>
  <c r="AT1892" i="5"/>
  <c r="AQ1891" i="5"/>
  <c r="AT1890" i="5"/>
  <c r="AT1889" i="5"/>
  <c r="AX1889" i="5" s="1"/>
  <c r="AQ1889" i="5"/>
  <c r="AT1888" i="5"/>
  <c r="AT1887" i="5"/>
  <c r="AV1887" i="5" s="1"/>
  <c r="AQ1887" i="5"/>
  <c r="AT1886" i="5"/>
  <c r="AT1885" i="5"/>
  <c r="AX1885" i="5" s="1"/>
  <c r="AQ1885" i="5"/>
  <c r="AT1884" i="5"/>
  <c r="AR1884" i="5"/>
  <c r="AQ1884" i="5"/>
  <c r="AR1883" i="5"/>
  <c r="AQ1883" i="5"/>
  <c r="AR1882" i="5"/>
  <c r="AQ1882" i="5"/>
  <c r="AT1881" i="5"/>
  <c r="AX1881" i="5" s="1"/>
  <c r="AT1880" i="5"/>
  <c r="AX1880" i="5" s="1"/>
  <c r="AT1879" i="5"/>
  <c r="AQ1879" i="5"/>
  <c r="AT1878" i="5"/>
  <c r="AW1878" i="5" s="1"/>
  <c r="AQ1878" i="5"/>
  <c r="AT1877" i="5"/>
  <c r="AX1877" i="5" s="1"/>
  <c r="AT1876" i="5"/>
  <c r="AX1876" i="5" s="1"/>
  <c r="AT1875" i="5"/>
  <c r="AV1875" i="5" s="1"/>
  <c r="AQ1875" i="5"/>
  <c r="AT1874" i="5"/>
  <c r="AW1874" i="5" s="1"/>
  <c r="AR1874" i="5"/>
  <c r="AQ1874" i="5"/>
  <c r="AR1873" i="5"/>
  <c r="AQ1873" i="5"/>
  <c r="AT1872" i="5"/>
  <c r="AQ1871" i="5"/>
  <c r="AT1870" i="5"/>
  <c r="AQ1870" i="5"/>
  <c r="AT1869" i="5"/>
  <c r="AY1869" i="5" s="1"/>
  <c r="AQ1869" i="5"/>
  <c r="AT1868" i="5"/>
  <c r="AX1868" i="5" s="1"/>
  <c r="AT1867" i="5"/>
  <c r="AV1867" i="5" s="1"/>
  <c r="AT1866" i="5"/>
  <c r="AW1866" i="5" s="1"/>
  <c r="AQ1866" i="5"/>
  <c r="AT1865" i="5"/>
  <c r="AX1865" i="5" s="1"/>
  <c r="AQ1865" i="5"/>
  <c r="AQ1864" i="5"/>
  <c r="AT1863" i="5"/>
  <c r="AT1862" i="5"/>
  <c r="AQ1862" i="5"/>
  <c r="AT1861" i="5"/>
  <c r="AQ1861" i="5"/>
  <c r="AT1860" i="5"/>
  <c r="AX1860" i="5" s="1"/>
  <c r="AQ1860" i="5"/>
  <c r="AT1859" i="5"/>
  <c r="AV1859" i="5" s="1"/>
  <c r="AT1857" i="5"/>
  <c r="AQ1857" i="5"/>
  <c r="AT1856" i="5"/>
  <c r="AR1856" i="5"/>
  <c r="AQ1856" i="5"/>
  <c r="AT1854" i="5"/>
  <c r="AW1854" i="5" s="1"/>
  <c r="AQ1853" i="5"/>
  <c r="AT1852" i="5"/>
  <c r="AT1851" i="5"/>
  <c r="AT1850" i="5"/>
  <c r="AW1850" i="5" s="1"/>
  <c r="AT1849" i="5"/>
  <c r="AY1849" i="5" s="1"/>
  <c r="AQ1849" i="5"/>
  <c r="AT1848" i="5"/>
  <c r="AT1847" i="5"/>
  <c r="AY1847" i="5" s="1"/>
  <c r="AQ1847" i="5"/>
  <c r="AR1846" i="5"/>
  <c r="AQ1846" i="5"/>
  <c r="AT1845" i="5"/>
  <c r="AX1845" i="5" s="1"/>
  <c r="AQ1844" i="5"/>
  <c r="AT1843" i="5"/>
  <c r="AT1842" i="5"/>
  <c r="AW1842" i="5" s="1"/>
  <c r="AQ1842" i="5"/>
  <c r="AT1841" i="5"/>
  <c r="AY1841" i="5" s="1"/>
  <c r="AT1840" i="5"/>
  <c r="AX1840" i="5" s="1"/>
  <c r="AQ1840" i="5"/>
  <c r="AT1839" i="5"/>
  <c r="AT1838" i="5"/>
  <c r="AW1838" i="5" s="1"/>
  <c r="AQ1838" i="5"/>
  <c r="AR1837" i="5"/>
  <c r="AQ1837" i="5"/>
  <c r="AT1836" i="5"/>
  <c r="AQ1835" i="5"/>
  <c r="AQ1834" i="5"/>
  <c r="AT1833" i="5"/>
  <c r="AX1833" i="5" s="1"/>
  <c r="AT1832" i="5"/>
  <c r="AX1832" i="5" s="1"/>
  <c r="AT1831" i="5"/>
  <c r="AT1830" i="5"/>
  <c r="AQ1830" i="5"/>
  <c r="AT1829" i="5"/>
  <c r="AQ1828" i="5"/>
  <c r="AT1827" i="5"/>
  <c r="AQ1826" i="5"/>
  <c r="AT1825" i="5"/>
  <c r="AQ1825" i="5"/>
  <c r="AT1824" i="5"/>
  <c r="AT1823" i="5"/>
  <c r="AY1823" i="5" s="1"/>
  <c r="AQ1822" i="5"/>
  <c r="AT1821" i="5"/>
  <c r="AQ1821" i="5"/>
  <c r="AT1820" i="5"/>
  <c r="AR1819" i="5"/>
  <c r="AQ1819" i="5"/>
  <c r="AT1818" i="5"/>
  <c r="AW1818" i="5" s="1"/>
  <c r="AQ1817" i="5"/>
  <c r="AT1816" i="5"/>
  <c r="AQ1816" i="5"/>
  <c r="AT1815" i="5"/>
  <c r="AV1815" i="5" s="1"/>
  <c r="AT1814" i="5"/>
  <c r="AW1814" i="5" s="1"/>
  <c r="AT1813" i="5"/>
  <c r="AQ1813" i="5"/>
  <c r="AT1812" i="5"/>
  <c r="AQ1812" i="5"/>
  <c r="AT1811" i="5"/>
  <c r="AR1810" i="5"/>
  <c r="AQ1810" i="5"/>
  <c r="AT1809" i="5"/>
  <c r="AY1809" i="5" s="1"/>
  <c r="AR1809" i="5"/>
  <c r="AQ1809" i="5"/>
  <c r="AT1807" i="5"/>
  <c r="AV1807" i="5" s="1"/>
  <c r="AQ1807" i="5"/>
  <c r="AT1806" i="5"/>
  <c r="AW1806" i="5" s="1"/>
  <c r="AT1805" i="5"/>
  <c r="AQ1805" i="5"/>
  <c r="AT1804" i="5"/>
  <c r="AT1803" i="5"/>
  <c r="AV1803" i="5" s="1"/>
  <c r="AQ1803" i="5"/>
  <c r="AT1802" i="5"/>
  <c r="AR1801" i="5"/>
  <c r="AQ1801" i="5"/>
  <c r="AT1800" i="5"/>
  <c r="AQ1800" i="5"/>
  <c r="AT1797" i="5"/>
  <c r="AQ1797" i="5"/>
  <c r="AT1796" i="5"/>
  <c r="AQ1796" i="5"/>
  <c r="AT1795" i="5"/>
  <c r="AV1795" i="5" s="1"/>
  <c r="AT1794" i="5"/>
  <c r="AW1794" i="5" s="1"/>
  <c r="AT1793" i="5"/>
  <c r="AQ1792" i="5"/>
  <c r="AT1791" i="5"/>
  <c r="AQ1791" i="5"/>
  <c r="AT1789" i="5"/>
  <c r="AT1788" i="5"/>
  <c r="AX1788" i="5" s="1"/>
  <c r="AQ1788" i="5"/>
  <c r="AT1787" i="5"/>
  <c r="AQ1787" i="5"/>
  <c r="AT1785" i="5"/>
  <c r="AQ1785" i="5"/>
  <c r="AT1784" i="5"/>
  <c r="AQ1784" i="5"/>
  <c r="AT1782" i="5"/>
  <c r="AT1781" i="5"/>
  <c r="AT1780" i="5"/>
  <c r="AQ1780" i="5"/>
  <c r="AQ1779" i="5"/>
  <c r="AT1778" i="5"/>
  <c r="AW1778" i="5" s="1"/>
  <c r="AT1777" i="5"/>
  <c r="AT1776" i="5"/>
  <c r="AX1776" i="5" s="1"/>
  <c r="AQ1776" i="5"/>
  <c r="AT1775" i="5"/>
  <c r="AQ1775" i="5"/>
  <c r="AT1772" i="5"/>
  <c r="AX1772" i="5" s="1"/>
  <c r="AQ1772" i="5"/>
  <c r="AT1771" i="5"/>
  <c r="AV1771" i="5" s="1"/>
  <c r="AQ1771" i="5"/>
  <c r="AT1769" i="5"/>
  <c r="AX1769" i="5" s="1"/>
  <c r="AT1768" i="5"/>
  <c r="AW1768" i="5" s="1"/>
  <c r="AT1767" i="5"/>
  <c r="AV1767" i="5" s="1"/>
  <c r="AQ1767" i="5"/>
  <c r="AT1766" i="5"/>
  <c r="AQ1766" i="5"/>
  <c r="AT1764" i="5"/>
  <c r="AT1763" i="5"/>
  <c r="AV1763" i="5" s="1"/>
  <c r="AQ1763" i="5"/>
  <c r="AT1762" i="5"/>
  <c r="AW1762" i="5" s="1"/>
  <c r="AQ1762" i="5"/>
  <c r="AQ1761" i="5"/>
  <c r="AT1760" i="5"/>
  <c r="AT1759" i="5"/>
  <c r="AY1759" i="5" s="1"/>
  <c r="AQ1759" i="5"/>
  <c r="AT1758" i="5"/>
  <c r="AY1758" i="5" s="1"/>
  <c r="AT1757" i="5"/>
  <c r="AX1757" i="5" s="1"/>
  <c r="AQ1757" i="5"/>
  <c r="AT1755" i="5"/>
  <c r="AV1755" i="5" s="1"/>
  <c r="AT1754" i="5"/>
  <c r="AW1754" i="5" s="1"/>
  <c r="AQ1754" i="5"/>
  <c r="AT1753" i="5"/>
  <c r="AQ1752" i="5"/>
  <c r="AT1751" i="5"/>
  <c r="AT1750" i="5"/>
  <c r="AQ1750" i="5"/>
  <c r="AQ1749" i="5"/>
  <c r="AT1748" i="5"/>
  <c r="AQ1748" i="5"/>
  <c r="AT1746" i="5"/>
  <c r="AT1745" i="5"/>
  <c r="AX1745" i="5" s="1"/>
  <c r="AQ1745" i="5"/>
  <c r="AT1744" i="5"/>
  <c r="AX1744" i="5" s="1"/>
  <c r="AQ1744" i="5"/>
  <c r="AQ1743" i="5"/>
  <c r="AT1742" i="5"/>
  <c r="AT1741" i="5"/>
  <c r="AT1740" i="5"/>
  <c r="AQ1740" i="5"/>
  <c r="AT1739" i="5"/>
  <c r="AQ1739" i="5"/>
  <c r="AT1736" i="5"/>
  <c r="AX1736" i="5" s="1"/>
  <c r="AQ1736" i="5"/>
  <c r="AT1735" i="5"/>
  <c r="AQ1735" i="5"/>
  <c r="AT1733" i="5"/>
  <c r="AY1733" i="5" s="1"/>
  <c r="AT1732" i="5"/>
  <c r="AQ1732" i="5"/>
  <c r="AT1731" i="5"/>
  <c r="AQ1731" i="5"/>
  <c r="AT1730" i="5"/>
  <c r="AT1728" i="5"/>
  <c r="AX1728" i="5" s="1"/>
  <c r="AT1727" i="5"/>
  <c r="AQ1727" i="5"/>
  <c r="AT1726" i="5"/>
  <c r="AQ1726" i="5"/>
  <c r="AQ1725" i="5"/>
  <c r="AT1724" i="5"/>
  <c r="AT1723" i="5"/>
  <c r="AQ1723" i="5"/>
  <c r="AT1722" i="5"/>
  <c r="AT1721" i="5"/>
  <c r="AX1721" i="5" s="1"/>
  <c r="AQ1721" i="5"/>
  <c r="AT1719" i="5"/>
  <c r="AT1718" i="5"/>
  <c r="AT1717" i="5"/>
  <c r="AQ1717" i="5"/>
  <c r="AQ1716" i="5"/>
  <c r="AT1715" i="5"/>
  <c r="AY1715" i="5" s="1"/>
  <c r="AT1714" i="5"/>
  <c r="AQ1714" i="5"/>
  <c r="AQ1713" i="5"/>
  <c r="AT1712" i="5"/>
  <c r="AQ1712" i="5"/>
  <c r="AQ1711" i="5"/>
  <c r="AT1710" i="5"/>
  <c r="AT1709" i="5"/>
  <c r="AQ1709" i="5"/>
  <c r="AT1708" i="5"/>
  <c r="AU1708" i="5" s="1"/>
  <c r="AQ1708" i="5"/>
  <c r="AT1707" i="5"/>
  <c r="AV1707" i="5" s="1"/>
  <c r="AQ1707" i="5"/>
  <c r="AT1706" i="5"/>
  <c r="AQ1705" i="5"/>
  <c r="AT1704" i="5"/>
  <c r="AT1703" i="5"/>
  <c r="AQ1703" i="5"/>
  <c r="AQ1702" i="5"/>
  <c r="AT1700" i="5"/>
  <c r="AT1699" i="5"/>
  <c r="AQ1699" i="5"/>
  <c r="AT1698" i="5"/>
  <c r="AQ1698" i="5"/>
  <c r="AT1697" i="5"/>
  <c r="AQ1696" i="5"/>
  <c r="AT1695" i="5"/>
  <c r="AT1694" i="5"/>
  <c r="AX1694" i="5" s="1"/>
  <c r="AQ1694" i="5"/>
  <c r="AT1692" i="5"/>
  <c r="AV1692" i="5" s="1"/>
  <c r="AT1691" i="5"/>
  <c r="AY1691" i="5" s="1"/>
  <c r="AT1690" i="5"/>
  <c r="AQ1690" i="5"/>
  <c r="AT1689" i="5"/>
  <c r="AX1689" i="5" s="1"/>
  <c r="AQ1689" i="5"/>
  <c r="AQ1687" i="5"/>
  <c r="AT1686" i="5"/>
  <c r="AT1685" i="5"/>
  <c r="AQ1684" i="5"/>
  <c r="AT1683" i="5"/>
  <c r="AQ1683" i="5"/>
  <c r="AT1682" i="5"/>
  <c r="AT1681" i="5"/>
  <c r="AY1681" i="5" s="1"/>
  <c r="AT1680" i="5"/>
  <c r="AQ1680" i="5"/>
  <c r="AT1679" i="5"/>
  <c r="AQ1679" i="5"/>
  <c r="AT1677" i="5"/>
  <c r="AY1677" i="5" s="1"/>
  <c r="AR1677" i="5"/>
  <c r="AQ1677" i="5"/>
  <c r="AQ1675" i="5"/>
  <c r="AT1674" i="5"/>
  <c r="AX1674" i="5" s="1"/>
  <c r="AQ1674" i="5"/>
  <c r="AT1673" i="5"/>
  <c r="AT1672" i="5"/>
  <c r="AT1671" i="5"/>
  <c r="AQ1671" i="5"/>
  <c r="AT1670" i="5"/>
  <c r="AQ1670" i="5"/>
  <c r="AT1668" i="5"/>
  <c r="AX1668" i="5" s="1"/>
  <c r="AQ1668" i="5"/>
  <c r="AT1667" i="5"/>
  <c r="AY1667" i="5" s="1"/>
  <c r="AQ1666" i="5"/>
  <c r="AT1665" i="5"/>
  <c r="AQ1665" i="5"/>
  <c r="AT1663" i="5"/>
  <c r="AY1663" i="5" s="1"/>
  <c r="AT1662" i="5"/>
  <c r="AW1662" i="5" s="1"/>
  <c r="AQ1662" i="5"/>
  <c r="AT1661" i="5"/>
  <c r="AY1661" i="5" s="1"/>
  <c r="AT1659" i="5"/>
  <c r="AY1659" i="5" s="1"/>
  <c r="AQ1659" i="5"/>
  <c r="AT1658" i="5"/>
  <c r="AT1656" i="5"/>
  <c r="AX1656" i="5" s="1"/>
  <c r="AQ1656" i="5"/>
  <c r="AT1655" i="5"/>
  <c r="AY1655" i="5" s="1"/>
  <c r="AT1654" i="5"/>
  <c r="AT1653" i="5"/>
  <c r="AY1653" i="5" s="1"/>
  <c r="AQ1653" i="5"/>
  <c r="AQ1652" i="5"/>
  <c r="AT1650" i="5"/>
  <c r="AT1649" i="5"/>
  <c r="AY1649" i="5" s="1"/>
  <c r="AQ1648" i="5"/>
  <c r="AT1647" i="5"/>
  <c r="AT1646" i="5"/>
  <c r="AX1646" i="5" s="1"/>
  <c r="AQ1646" i="5"/>
  <c r="AT1645" i="5"/>
  <c r="AT1644" i="5"/>
  <c r="AX1644" i="5" s="1"/>
  <c r="AT1643" i="5"/>
  <c r="AQ1643" i="5"/>
  <c r="AT1642" i="5"/>
  <c r="AT1641" i="5"/>
  <c r="AX1641" i="5" s="1"/>
  <c r="AR1641" i="5"/>
  <c r="AQ1641" i="5"/>
  <c r="AR1640" i="5"/>
  <c r="AQ1640" i="5"/>
  <c r="AT1638" i="5"/>
  <c r="AT1637" i="5"/>
  <c r="AY1637" i="5" s="1"/>
  <c r="AT1636" i="5"/>
  <c r="AQ1636" i="5"/>
  <c r="AT1635" i="5"/>
  <c r="AY1635" i="5" s="1"/>
  <c r="AT1634" i="5"/>
  <c r="AX1634" i="5" s="1"/>
  <c r="AQ1634" i="5"/>
  <c r="AT1633" i="5"/>
  <c r="AY1633" i="5" s="1"/>
  <c r="AT1632" i="5"/>
  <c r="AX1632" i="5" s="1"/>
  <c r="AQ1632" i="5"/>
  <c r="AR1631" i="5"/>
  <c r="AQ1631" i="5"/>
  <c r="AT1629" i="5"/>
  <c r="AQ1628" i="5"/>
  <c r="AT1627" i="5"/>
  <c r="AY1627" i="5" s="1"/>
  <c r="AQ1627" i="5"/>
  <c r="AT1626" i="5"/>
  <c r="AX1626" i="5" s="1"/>
  <c r="AT1625" i="5"/>
  <c r="AT1624" i="5"/>
  <c r="AX1624" i="5" s="1"/>
  <c r="AT1623" i="5"/>
  <c r="AQ1623" i="5"/>
  <c r="AQ1622" i="5"/>
  <c r="AT1620" i="5"/>
  <c r="AX1620" i="5" s="1"/>
  <c r="AT1619" i="5"/>
  <c r="AQ1619" i="5"/>
  <c r="AT1618" i="5"/>
  <c r="AX1618" i="5" s="1"/>
  <c r="AQ1618" i="5"/>
  <c r="AT1617" i="5"/>
  <c r="AY1617" i="5" s="1"/>
  <c r="AT1615" i="5"/>
  <c r="AQ1615" i="5"/>
  <c r="AT1614" i="5"/>
  <c r="AR1614" i="5"/>
  <c r="AQ1614" i="5"/>
  <c r="AR1613" i="5"/>
  <c r="AQ1613" i="5"/>
  <c r="AT1611" i="5"/>
  <c r="AT1610" i="5"/>
  <c r="AQ1610" i="5"/>
  <c r="AT1609" i="5"/>
  <c r="AQ1609" i="5"/>
  <c r="AT1608" i="5"/>
  <c r="AY1608" i="5" s="1"/>
  <c r="AT1607" i="5"/>
  <c r="AW1607" i="5" s="1"/>
  <c r="AT1606" i="5"/>
  <c r="AV1606" i="5" s="1"/>
  <c r="AQ1606" i="5"/>
  <c r="AT1605" i="5"/>
  <c r="AR1605" i="5"/>
  <c r="AQ1605" i="5"/>
  <c r="AR1604" i="5"/>
  <c r="AQ1604" i="5"/>
  <c r="AT1602" i="5"/>
  <c r="AV1602" i="5" s="1"/>
  <c r="AT1601" i="5"/>
  <c r="AW1601" i="5" s="1"/>
  <c r="AQ1601" i="5"/>
  <c r="AT1600" i="5"/>
  <c r="AX1600" i="5" s="1"/>
  <c r="AQ1600" i="5"/>
  <c r="AT1599" i="5"/>
  <c r="AX1599" i="5" s="1"/>
  <c r="AT1598" i="5"/>
  <c r="AV1598" i="5" s="1"/>
  <c r="AT1597" i="5"/>
  <c r="AW1597" i="5" s="1"/>
  <c r="AQ1597" i="5"/>
  <c r="AT1596" i="5"/>
  <c r="AY1596" i="5" s="1"/>
  <c r="AQ1596" i="5"/>
  <c r="AT1593" i="5"/>
  <c r="AX1593" i="5" s="1"/>
  <c r="AT1592" i="5"/>
  <c r="AX1592" i="5" s="1"/>
  <c r="AQ1592" i="5"/>
  <c r="AQ1591" i="5"/>
  <c r="AT1590" i="5"/>
  <c r="AV1590" i="5" s="1"/>
  <c r="AT1589" i="5"/>
  <c r="AX1589" i="5" s="1"/>
  <c r="AT1588" i="5"/>
  <c r="AT1587" i="5"/>
  <c r="AY1587" i="5" s="1"/>
  <c r="AQ1587" i="5"/>
  <c r="AQ1586" i="5"/>
  <c r="AQ1585" i="5"/>
  <c r="AT1584" i="5"/>
  <c r="AX1584" i="5" s="1"/>
  <c r="AT1583" i="5"/>
  <c r="AY1583" i="5" s="1"/>
  <c r="AT1582" i="5"/>
  <c r="AQ1582" i="5"/>
  <c r="AT1581" i="5"/>
  <c r="AQ1581" i="5"/>
  <c r="AT1580" i="5"/>
  <c r="AQ1579" i="5"/>
  <c r="AT1578" i="5"/>
  <c r="AR1578" i="5"/>
  <c r="AQ1578" i="5"/>
  <c r="AT1577" i="5"/>
  <c r="AR1577" i="5"/>
  <c r="AQ1577" i="5"/>
  <c r="AT1574" i="5"/>
  <c r="AT1573" i="5"/>
  <c r="AX1573" i="5" s="1"/>
  <c r="AQ1573" i="5"/>
  <c r="AT1572" i="5"/>
  <c r="AY1572" i="5" s="1"/>
  <c r="AQ1572" i="5"/>
  <c r="AT1571" i="5"/>
  <c r="AT1570" i="5"/>
  <c r="AT1569" i="5"/>
  <c r="AQ1569" i="5"/>
  <c r="AT1568" i="5"/>
  <c r="AY1568" i="5" s="1"/>
  <c r="AR1568" i="5"/>
  <c r="AQ1568" i="5"/>
  <c r="AR1567" i="5"/>
  <c r="AQ1567" i="5"/>
  <c r="AT1565" i="5"/>
  <c r="AT1564" i="5"/>
  <c r="AY1564" i="5" s="1"/>
  <c r="AT1563" i="5"/>
  <c r="AY1563" i="5" s="1"/>
  <c r="AQ1563" i="5"/>
  <c r="AT1562" i="5"/>
  <c r="AV1562" i="5" s="1"/>
  <c r="AT1561" i="5"/>
  <c r="AT1560" i="5"/>
  <c r="AX1560" i="5" s="1"/>
  <c r="AQ1560" i="5"/>
  <c r="AT1559" i="5"/>
  <c r="AY1559" i="5" s="1"/>
  <c r="AR1558" i="5"/>
  <c r="AQ1558" i="5"/>
  <c r="AT1556" i="5"/>
  <c r="AX1556" i="5" s="1"/>
  <c r="AQ1555" i="5"/>
  <c r="AT1554" i="5"/>
  <c r="AQ1554" i="5"/>
  <c r="AT1553" i="5"/>
  <c r="AX1553" i="5" s="1"/>
  <c r="AT1552" i="5"/>
  <c r="AX1552" i="5" s="1"/>
  <c r="AT1551" i="5"/>
  <c r="AQ1551" i="5"/>
  <c r="AT1550" i="5"/>
  <c r="AQ1550" i="5"/>
  <c r="AQ1549" i="5"/>
  <c r="AT1547" i="5"/>
  <c r="AY1547" i="5" s="1"/>
  <c r="AQ1547" i="5"/>
  <c r="AT1546" i="5"/>
  <c r="AV1546" i="5" s="1"/>
  <c r="AT1545" i="5"/>
  <c r="AQ1545" i="5"/>
  <c r="AT1544" i="5"/>
  <c r="AY1544" i="5" s="1"/>
  <c r="AQ1543" i="5"/>
  <c r="AT1542" i="5"/>
  <c r="AV1542" i="5" s="1"/>
  <c r="AT1541" i="5"/>
  <c r="AR1541" i="5"/>
  <c r="AQ1541" i="5"/>
  <c r="AQ1539" i="5"/>
  <c r="AT1538" i="5"/>
  <c r="AV1538" i="5" s="1"/>
  <c r="AT1537" i="5"/>
  <c r="AX1537" i="5" s="1"/>
  <c r="AT1536" i="5"/>
  <c r="AX1536" i="5" s="1"/>
  <c r="AT1535" i="5"/>
  <c r="AY1535" i="5" s="1"/>
  <c r="AQ1535" i="5"/>
  <c r="AT1534" i="5"/>
  <c r="AT1533" i="5"/>
  <c r="AT1532" i="5"/>
  <c r="AX1532" i="5" s="1"/>
  <c r="AR1532" i="5"/>
  <c r="AQ1532" i="5"/>
  <c r="AR1531" i="5"/>
  <c r="AQ1531" i="5"/>
  <c r="AQ1530" i="5"/>
  <c r="AT1529" i="5"/>
  <c r="AX1529" i="5" s="1"/>
  <c r="AT1528" i="5"/>
  <c r="AX1528" i="5" s="1"/>
  <c r="AT1527" i="5"/>
  <c r="AY1527" i="5" s="1"/>
  <c r="AT1526" i="5"/>
  <c r="AV1526" i="5" s="1"/>
  <c r="AQ1526" i="5"/>
  <c r="AT1525" i="5"/>
  <c r="AX1525" i="5" s="1"/>
  <c r="AT1524" i="5"/>
  <c r="AX1524" i="5" s="1"/>
  <c r="AT1523" i="5"/>
  <c r="AY1523" i="5" s="1"/>
  <c r="AQ1522" i="5"/>
  <c r="AQ1521" i="5"/>
  <c r="AT1520" i="5"/>
  <c r="AY1520" i="5" s="1"/>
  <c r="AT1519" i="5"/>
  <c r="AY1519" i="5" s="1"/>
  <c r="AQ1519" i="5"/>
  <c r="AQ1518" i="5"/>
  <c r="AT1517" i="5"/>
  <c r="AX1517" i="5" s="1"/>
  <c r="AQ1517" i="5"/>
  <c r="AT1516" i="5"/>
  <c r="AT1515" i="5"/>
  <c r="AY1515" i="5" s="1"/>
  <c r="AT1514" i="5"/>
  <c r="AV1514" i="5" s="1"/>
  <c r="AQ1513" i="5"/>
  <c r="AT1512" i="5"/>
  <c r="AX1512" i="5" s="1"/>
  <c r="AT1511" i="5"/>
  <c r="AY1511" i="5" s="1"/>
  <c r="AQ1510" i="5"/>
  <c r="AT1509" i="5"/>
  <c r="AX1509" i="5" s="1"/>
  <c r="AT1508" i="5"/>
  <c r="AX1508" i="5" s="1"/>
  <c r="AQ1508" i="5"/>
  <c r="AT1507" i="5"/>
  <c r="AY1507" i="5" s="1"/>
  <c r="AQ1506" i="5"/>
  <c r="AT1505" i="5"/>
  <c r="AX1505" i="5" s="1"/>
  <c r="AQ1505" i="5"/>
  <c r="AT1503" i="5"/>
  <c r="AT1502" i="5"/>
  <c r="AV1502" i="5" s="1"/>
  <c r="AQ1502" i="5"/>
  <c r="AQ1501" i="5"/>
  <c r="AT1500" i="5"/>
  <c r="AT1499" i="5"/>
  <c r="AY1499" i="5" s="1"/>
  <c r="AT1498" i="5"/>
  <c r="AT1497" i="5"/>
  <c r="AQ1497" i="5"/>
  <c r="AT1496" i="5"/>
  <c r="AX1496" i="5" s="1"/>
  <c r="AQ1496" i="5"/>
  <c r="AT1493" i="5"/>
  <c r="AQ1493" i="5"/>
  <c r="AQ1492" i="5"/>
  <c r="AT1491" i="5"/>
  <c r="AY1491" i="5" s="1"/>
  <c r="AT1490" i="5"/>
  <c r="AV1490" i="5" s="1"/>
  <c r="AT1489" i="5"/>
  <c r="AQ1489" i="5"/>
  <c r="AT1488" i="5"/>
  <c r="AQ1488" i="5"/>
  <c r="AT1487" i="5"/>
  <c r="AY1487" i="5" s="1"/>
  <c r="AQ1486" i="5"/>
  <c r="AT1485" i="5"/>
  <c r="AX1485" i="5" s="1"/>
  <c r="AT1484" i="5"/>
  <c r="AY1484" i="5" s="1"/>
  <c r="AQ1484" i="5"/>
  <c r="AQ1483" i="5"/>
  <c r="AT1481" i="5"/>
  <c r="AX1481" i="5" s="1"/>
  <c r="AT1480" i="5"/>
  <c r="AX1480" i="5" s="1"/>
  <c r="AQ1480" i="5"/>
  <c r="AT1479" i="5"/>
  <c r="AY1479" i="5" s="1"/>
  <c r="AT1478" i="5"/>
  <c r="AQ1477" i="5"/>
  <c r="AT1476" i="5"/>
  <c r="AX1476" i="5" s="1"/>
  <c r="AT1475" i="5"/>
  <c r="AQ1474" i="5"/>
  <c r="AT1473" i="5"/>
  <c r="AT1472" i="5"/>
  <c r="AY1472" i="5" s="1"/>
  <c r="AT1471" i="5"/>
  <c r="AY1471" i="5" s="1"/>
  <c r="AQ1471" i="5"/>
  <c r="AQ1470" i="5"/>
  <c r="AT1469" i="5"/>
  <c r="AX1469" i="5" s="1"/>
  <c r="AQ1468" i="5"/>
  <c r="AT1467" i="5"/>
  <c r="AY1467" i="5" s="1"/>
  <c r="AT1466" i="5"/>
  <c r="AV1466" i="5" s="1"/>
  <c r="AQ1465" i="5"/>
  <c r="AT1464" i="5"/>
  <c r="AV1464" i="5" s="1"/>
  <c r="AT1463" i="5"/>
  <c r="AY1463" i="5" s="1"/>
  <c r="AT1462" i="5"/>
  <c r="AV1462" i="5" s="1"/>
  <c r="AT1461" i="5"/>
  <c r="AQ1461" i="5"/>
  <c r="AT1460" i="5"/>
  <c r="AX1460" i="5" s="1"/>
  <c r="AQ1459" i="5"/>
  <c r="AT1457" i="5"/>
  <c r="AX1457" i="5" s="1"/>
  <c r="AQ1457" i="5"/>
  <c r="AQ1456" i="5"/>
  <c r="AT1455" i="5"/>
  <c r="AT1454" i="5"/>
  <c r="AT1453" i="5"/>
  <c r="AQ1453" i="5"/>
  <c r="AT1452" i="5"/>
  <c r="AX1452" i="5" s="1"/>
  <c r="AQ1452" i="5"/>
  <c r="AT1451" i="5"/>
  <c r="AT1449" i="5"/>
  <c r="AX1449" i="5" s="1"/>
  <c r="AT1448" i="5"/>
  <c r="AW1448" i="5" s="1"/>
  <c r="AQ1448" i="5"/>
  <c r="AQ1447" i="5"/>
  <c r="AT1445" i="5"/>
  <c r="AX1445" i="5" s="1"/>
  <c r="AT1444" i="5"/>
  <c r="AQ1444" i="5"/>
  <c r="AT1443" i="5"/>
  <c r="AQ1443" i="5"/>
  <c r="AT1442" i="5"/>
  <c r="AV1442" i="5" s="1"/>
  <c r="AT1440" i="5"/>
  <c r="AX1440" i="5" s="1"/>
  <c r="AT1439" i="5"/>
  <c r="AQ1439" i="5"/>
  <c r="AT1438" i="5"/>
  <c r="AQ1438" i="5"/>
  <c r="AT1437" i="5"/>
  <c r="AT1435" i="5"/>
  <c r="AT1434" i="5"/>
  <c r="AQ1434" i="5"/>
  <c r="AQ1433" i="5"/>
  <c r="AQ1432" i="5"/>
  <c r="AT1431" i="5"/>
  <c r="AT1430" i="5"/>
  <c r="AV1430" i="5" s="1"/>
  <c r="AQ1430" i="5"/>
  <c r="AT1429" i="5"/>
  <c r="AT1428" i="5"/>
  <c r="AX1428" i="5" s="1"/>
  <c r="AQ1428" i="5"/>
  <c r="AT1426" i="5"/>
  <c r="AT1425" i="5"/>
  <c r="AT1424" i="5"/>
  <c r="AQ1424" i="5"/>
  <c r="AQ1423" i="5"/>
  <c r="AT1422" i="5"/>
  <c r="AQ1421" i="5"/>
  <c r="AT1420" i="5"/>
  <c r="AX1420" i="5" s="1"/>
  <c r="AQ1420" i="5"/>
  <c r="AT1419" i="5"/>
  <c r="AY1419" i="5" s="1"/>
  <c r="AQ1419" i="5"/>
  <c r="AT1417" i="5"/>
  <c r="AT1416" i="5"/>
  <c r="AX1416" i="5" s="1"/>
  <c r="AQ1416" i="5"/>
  <c r="AT1415" i="5"/>
  <c r="AY1415" i="5" s="1"/>
  <c r="AQ1415" i="5"/>
  <c r="AQ1414" i="5"/>
  <c r="AT1413" i="5"/>
  <c r="AT1412" i="5"/>
  <c r="AQ1412" i="5"/>
  <c r="AT1411" i="5"/>
  <c r="AQ1411" i="5"/>
  <c r="AT1410" i="5"/>
  <c r="AQ1410" i="5"/>
  <c r="AT1408" i="5"/>
  <c r="AX1408" i="5" s="1"/>
  <c r="AQ1408" i="5"/>
  <c r="AT1407" i="5"/>
  <c r="AY1407" i="5" s="1"/>
  <c r="AT1406" i="5"/>
  <c r="AV1406" i="5" s="1"/>
  <c r="AQ1405" i="5"/>
  <c r="AT1404" i="5"/>
  <c r="AX1404" i="5" s="1"/>
  <c r="AQ1404" i="5"/>
  <c r="AT1403" i="5"/>
  <c r="AY1403" i="5" s="1"/>
  <c r="AT1402" i="5"/>
  <c r="AQ1402" i="5"/>
  <c r="AT1401" i="5"/>
  <c r="AX1401" i="5" s="1"/>
  <c r="AQ1400" i="5"/>
  <c r="AT1399" i="5"/>
  <c r="AT1398" i="5"/>
  <c r="AQ1397" i="5"/>
  <c r="AQ1396" i="5"/>
  <c r="AT1395" i="5"/>
  <c r="AY1395" i="5" s="1"/>
  <c r="AQ1395" i="5"/>
  <c r="AT1394" i="5"/>
  <c r="AV1394" i="5" s="1"/>
  <c r="AT1393" i="5"/>
  <c r="AQ1393" i="5"/>
  <c r="AT1392" i="5"/>
  <c r="AX1392" i="5" s="1"/>
  <c r="AQ1392" i="5"/>
  <c r="AQ1391" i="5"/>
  <c r="AT1390" i="5"/>
  <c r="AT1389" i="5"/>
  <c r="AT1388" i="5"/>
  <c r="AW1388" i="5" s="1"/>
  <c r="AQ1388" i="5"/>
  <c r="AQ1387" i="5"/>
  <c r="AT1386" i="5"/>
  <c r="AQ1386" i="5"/>
  <c r="AT1384" i="5"/>
  <c r="AX1384" i="5" s="1"/>
  <c r="AQ1384" i="5"/>
  <c r="AT1383" i="5"/>
  <c r="AY1383" i="5" s="1"/>
  <c r="AQ1383" i="5"/>
  <c r="AT1381" i="5"/>
  <c r="AX1381" i="5" s="1"/>
  <c r="AT1380" i="5"/>
  <c r="AX1380" i="5" s="1"/>
  <c r="AQ1380" i="5"/>
  <c r="AT1379" i="5"/>
  <c r="AQ1379" i="5"/>
  <c r="AQ1378" i="5"/>
  <c r="AT1377" i="5"/>
  <c r="AT1376" i="5"/>
  <c r="AY1376" i="5" s="1"/>
  <c r="AQ1376" i="5"/>
  <c r="AT1375" i="5"/>
  <c r="AY1375" i="5" s="1"/>
  <c r="AT1374" i="5"/>
  <c r="AV1374" i="5" s="1"/>
  <c r="AQ1374" i="5"/>
  <c r="AQ1373" i="5"/>
  <c r="AT1372" i="5"/>
  <c r="AR1371" i="5"/>
  <c r="AQ1371" i="5"/>
  <c r="AT1370" i="5"/>
  <c r="AQ1369" i="5"/>
  <c r="AT1368" i="5"/>
  <c r="AX1368" i="5" s="1"/>
  <c r="AT1367" i="5"/>
  <c r="AQ1367" i="5"/>
  <c r="AT1366" i="5"/>
  <c r="AV1366" i="5" s="1"/>
  <c r="AT1365" i="5"/>
  <c r="AT1364" i="5"/>
  <c r="AY1364" i="5" s="1"/>
  <c r="AQ1364" i="5"/>
  <c r="AT1363" i="5"/>
  <c r="AR1362" i="5"/>
  <c r="AQ1362" i="5"/>
  <c r="AQ1360" i="5"/>
  <c r="AT1359" i="5"/>
  <c r="AY1359" i="5" s="1"/>
  <c r="AT1358" i="5"/>
  <c r="AV1358" i="5" s="1"/>
  <c r="AQ1358" i="5"/>
  <c r="AT1357" i="5"/>
  <c r="AT1356" i="5"/>
  <c r="AQ1356" i="5"/>
  <c r="AT1355" i="5"/>
  <c r="AQ1355" i="5"/>
  <c r="AT1354" i="5"/>
  <c r="AV1354" i="5" s="1"/>
  <c r="AT1352" i="5"/>
  <c r="AQ1351" i="5"/>
  <c r="AT1350" i="5"/>
  <c r="AV1350" i="5" s="1"/>
  <c r="AT1349" i="5"/>
  <c r="AQ1349" i="5"/>
  <c r="AT1347" i="5"/>
  <c r="AY1347" i="5" s="1"/>
  <c r="AQ1347" i="5"/>
  <c r="AT1346" i="5"/>
  <c r="AV1346" i="5" s="1"/>
  <c r="AT1345" i="5"/>
  <c r="AX1345" i="5" s="1"/>
  <c r="AQ1344" i="5"/>
  <c r="AT1343" i="5"/>
  <c r="AY1343" i="5" s="1"/>
  <c r="AQ1342" i="5"/>
  <c r="AT1341" i="5"/>
  <c r="AX1341" i="5" s="1"/>
  <c r="AT1340" i="5"/>
  <c r="AQ1340" i="5"/>
  <c r="AT1339" i="5"/>
  <c r="AY1339" i="5" s="1"/>
  <c r="AT1338" i="5"/>
  <c r="AV1338" i="5" s="1"/>
  <c r="AQ1338" i="5"/>
  <c r="AT1337" i="5"/>
  <c r="AY1337" i="5" s="1"/>
  <c r="AQ1336" i="5"/>
  <c r="AR1335" i="5"/>
  <c r="AQ1335" i="5"/>
  <c r="AT1334" i="5"/>
  <c r="AT1332" i="5"/>
  <c r="AX1332" i="5" s="1"/>
  <c r="AT1331" i="5"/>
  <c r="AY1331" i="5" s="1"/>
  <c r="AQ1331" i="5"/>
  <c r="AT1330" i="5"/>
  <c r="AX1330" i="5" s="1"/>
  <c r="AT1329" i="5"/>
  <c r="AY1329" i="5" s="1"/>
  <c r="AT1328" i="5"/>
  <c r="AT1327" i="5"/>
  <c r="AQ1327" i="5"/>
  <c r="AR1326" i="5"/>
  <c r="AQ1326" i="5"/>
  <c r="AT1325" i="5"/>
  <c r="AQ1324" i="5"/>
  <c r="AT1323" i="5"/>
  <c r="AT1322" i="5"/>
  <c r="AX1322" i="5" s="1"/>
  <c r="AQ1322" i="5"/>
  <c r="AT1321" i="5"/>
  <c r="AT1320" i="5"/>
  <c r="AX1320" i="5" s="1"/>
  <c r="AQ1320" i="5"/>
  <c r="AT1319" i="5"/>
  <c r="AY1319" i="5" s="1"/>
  <c r="AT1318" i="5"/>
  <c r="AQ1318" i="5"/>
  <c r="AT1316" i="5"/>
  <c r="AQ1315" i="5"/>
  <c r="AT1314" i="5"/>
  <c r="AX1314" i="5" s="1"/>
  <c r="AT1313" i="5"/>
  <c r="AU1313" i="5" s="1"/>
  <c r="AQ1313" i="5"/>
  <c r="AQ1312" i="5"/>
  <c r="AT1311" i="5"/>
  <c r="AT1310" i="5"/>
  <c r="AX1310" i="5" s="1"/>
  <c r="AT1309" i="5"/>
  <c r="AT1308" i="5"/>
  <c r="AX1308" i="5" s="1"/>
  <c r="AQ1308" i="5"/>
  <c r="AT1307" i="5"/>
  <c r="AQ1307" i="5"/>
  <c r="AQ1306" i="5"/>
  <c r="AT1305" i="5"/>
  <c r="AY1305" i="5" s="1"/>
  <c r="AT1304" i="5"/>
  <c r="AQ1304" i="5"/>
  <c r="AT1303" i="5"/>
  <c r="AY1303" i="5" s="1"/>
  <c r="AQ1303" i="5"/>
  <c r="AT1302" i="5"/>
  <c r="AW1302" i="5" s="1"/>
  <c r="AQ1302" i="5"/>
  <c r="AT1301" i="5"/>
  <c r="AQ1300" i="5"/>
  <c r="AT1299" i="5"/>
  <c r="AY1299" i="5" s="1"/>
  <c r="AR1299" i="5"/>
  <c r="AQ1299" i="5"/>
  <c r="AT1298" i="5"/>
  <c r="AR1298" i="5"/>
  <c r="AQ1298" i="5"/>
  <c r="AT1296" i="5"/>
  <c r="AT1295" i="5"/>
  <c r="AY1295" i="5" s="1"/>
  <c r="AQ1295" i="5"/>
  <c r="AT1294" i="5"/>
  <c r="AX1294" i="5" s="1"/>
  <c r="AQ1294" i="5"/>
  <c r="AT1293" i="5"/>
  <c r="AU1293" i="5" s="1"/>
  <c r="AT1292" i="5"/>
  <c r="AT1291" i="5"/>
  <c r="AY1291" i="5" s="1"/>
  <c r="AQ1291" i="5"/>
  <c r="AT1290" i="5"/>
  <c r="AW1290" i="5" s="1"/>
  <c r="AR1290" i="5"/>
  <c r="AQ1290" i="5"/>
  <c r="AT1289" i="5"/>
  <c r="AR1289" i="5"/>
  <c r="AQ1289" i="5"/>
  <c r="AR1288" i="5"/>
  <c r="AQ1288" i="5"/>
  <c r="AT1287" i="5"/>
  <c r="AY1287" i="5" s="1"/>
  <c r="AT1286" i="5"/>
  <c r="AQ1286" i="5"/>
  <c r="AT1285" i="5"/>
  <c r="AY1285" i="5" s="1"/>
  <c r="AT1284" i="5"/>
  <c r="AY1284" i="5" s="1"/>
  <c r="AQ1284" i="5"/>
  <c r="AT1283" i="5"/>
  <c r="AT1282" i="5"/>
  <c r="AX1282" i="5" s="1"/>
  <c r="AQ1282" i="5"/>
  <c r="AT1281" i="5"/>
  <c r="AU1281" i="5" s="1"/>
  <c r="AT1280" i="5"/>
  <c r="AQ1280" i="5"/>
  <c r="AR1279" i="5"/>
  <c r="AQ1279" i="5"/>
  <c r="AT1278" i="5"/>
  <c r="AW1278" i="5" s="1"/>
  <c r="AT1277" i="5"/>
  <c r="AX1277" i="5" s="1"/>
  <c r="AQ1276" i="5"/>
  <c r="AT1275" i="5"/>
  <c r="AQ1275" i="5"/>
  <c r="AT1274" i="5"/>
  <c r="AX1274" i="5" s="1"/>
  <c r="AT1273" i="5"/>
  <c r="AT1272" i="5"/>
  <c r="AX1272" i="5" s="1"/>
  <c r="AR1272" i="5"/>
  <c r="AQ1272" i="5"/>
  <c r="AT1271" i="5"/>
  <c r="AQ1270" i="5"/>
  <c r="AT1269" i="5"/>
  <c r="AY1269" i="5" s="1"/>
  <c r="AQ1269" i="5"/>
  <c r="AT1268" i="5"/>
  <c r="AY1268" i="5" s="1"/>
  <c r="AT1267" i="5"/>
  <c r="AT1266" i="5"/>
  <c r="AX1266" i="5" s="1"/>
  <c r="AQ1266" i="5"/>
  <c r="AT1265" i="5"/>
  <c r="AU1265" i="5" s="1"/>
  <c r="AQ1265" i="5"/>
  <c r="AT1264" i="5"/>
  <c r="AY1264" i="5" s="1"/>
  <c r="AR1263" i="5"/>
  <c r="AQ1263" i="5"/>
  <c r="AT1262" i="5"/>
  <c r="AX1262" i="5" s="1"/>
  <c r="AR1262" i="5"/>
  <c r="AQ1262" i="5"/>
  <c r="AR1261" i="5"/>
  <c r="AQ1261" i="5"/>
  <c r="AT1260" i="5"/>
  <c r="AQ1260" i="5"/>
  <c r="AT1259" i="5"/>
  <c r="AY1259" i="5" s="1"/>
  <c r="AT1258" i="5"/>
  <c r="AX1258" i="5" s="1"/>
  <c r="AQ1258" i="5"/>
  <c r="AT1257" i="5"/>
  <c r="AX1257" i="5" s="1"/>
  <c r="AQ1257" i="5"/>
  <c r="AT1256" i="5"/>
  <c r="AX1256" i="5" s="1"/>
  <c r="AQ1256" i="5"/>
  <c r="AT1255" i="5"/>
  <c r="AY1255" i="5" s="1"/>
  <c r="AT1254" i="5"/>
  <c r="AW1254" i="5" s="1"/>
  <c r="AR1254" i="5"/>
  <c r="AQ1254" i="5"/>
  <c r="AT1253" i="5"/>
  <c r="AY1253" i="5" s="1"/>
  <c r="AR1253" i="5"/>
  <c r="AQ1253" i="5"/>
  <c r="AR1252" i="5"/>
  <c r="AQ1252" i="5"/>
  <c r="AT1250" i="5"/>
  <c r="AX1250" i="5" s="1"/>
  <c r="AQ1250" i="5"/>
  <c r="AT1249" i="5"/>
  <c r="AY1249" i="5" s="1"/>
  <c r="AQ1249" i="5"/>
  <c r="AT1248" i="5"/>
  <c r="AX1248" i="5" s="1"/>
  <c r="AQ1248" i="5"/>
  <c r="AT1247" i="5"/>
  <c r="AY1247" i="5" s="1"/>
  <c r="AT1246" i="5"/>
  <c r="AX1246" i="5" s="1"/>
  <c r="AT1245" i="5"/>
  <c r="AY1245" i="5" s="1"/>
  <c r="AQ1245" i="5"/>
  <c r="AT1244" i="5"/>
  <c r="AX1244" i="5" s="1"/>
  <c r="AQ1244" i="5"/>
  <c r="AT1242" i="5"/>
  <c r="AT1241" i="5"/>
  <c r="AY1241" i="5" s="1"/>
  <c r="AQ1241" i="5"/>
  <c r="AT1240" i="5"/>
  <c r="AQ1240" i="5"/>
  <c r="AQ1239" i="5"/>
  <c r="AT1238" i="5"/>
  <c r="AQ1238" i="5"/>
  <c r="AT1237" i="5"/>
  <c r="AY1237" i="5" s="1"/>
  <c r="AT1236" i="5"/>
  <c r="AX1236" i="5" s="1"/>
  <c r="AT1235" i="5"/>
  <c r="AY1235" i="5" s="1"/>
  <c r="AQ1234" i="5"/>
  <c r="AT1233" i="5"/>
  <c r="AY1233" i="5" s="1"/>
  <c r="AQ1232" i="5"/>
  <c r="AT1231" i="5"/>
  <c r="AT1230" i="5"/>
  <c r="AX1230" i="5" s="1"/>
  <c r="AQ1230" i="5"/>
  <c r="AT1229" i="5"/>
  <c r="AY1229" i="5" s="1"/>
  <c r="AQ1229" i="5"/>
  <c r="AT1228" i="5"/>
  <c r="AY1228" i="5" s="1"/>
  <c r="AQ1227" i="5"/>
  <c r="AT1226" i="5"/>
  <c r="AX1226" i="5" s="1"/>
  <c r="AR1225" i="5"/>
  <c r="AQ1225" i="5"/>
  <c r="AT1224" i="5"/>
  <c r="AX1224" i="5" s="1"/>
  <c r="AQ1223" i="5"/>
  <c r="AT1222" i="5"/>
  <c r="AX1222" i="5" s="1"/>
  <c r="AT1221" i="5"/>
  <c r="AY1221" i="5" s="1"/>
  <c r="AQ1221" i="5"/>
  <c r="AT1220" i="5"/>
  <c r="AT1219" i="5"/>
  <c r="AT1218" i="5"/>
  <c r="AX1218" i="5" s="1"/>
  <c r="AQ1218" i="5"/>
  <c r="AT1217" i="5"/>
  <c r="AR1216" i="5"/>
  <c r="AQ1216" i="5"/>
  <c r="AQ1214" i="5"/>
  <c r="AT1213" i="5"/>
  <c r="AU1213" i="5" s="1"/>
  <c r="AT1212" i="5"/>
  <c r="AT1211" i="5"/>
  <c r="AT1210" i="5"/>
  <c r="AQ1210" i="5"/>
  <c r="AT1209" i="5"/>
  <c r="AY1209" i="5" s="1"/>
  <c r="AT1208" i="5"/>
  <c r="AQ1208" i="5"/>
  <c r="AT1206" i="5"/>
  <c r="AX1206" i="5" s="1"/>
  <c r="AQ1205" i="5"/>
  <c r="AT1204" i="5"/>
  <c r="AQ1203" i="5"/>
  <c r="AT1202" i="5"/>
  <c r="AT1201" i="5"/>
  <c r="AY1201" i="5" s="1"/>
  <c r="AQ1201" i="5"/>
  <c r="AT1200" i="5"/>
  <c r="AT1199" i="5"/>
  <c r="AQ1199" i="5"/>
  <c r="AQ1198" i="5"/>
  <c r="AT1197" i="5"/>
  <c r="AX1197" i="5" s="1"/>
  <c r="AT1195" i="5"/>
  <c r="AT1194" i="5"/>
  <c r="AX1194" i="5" s="1"/>
  <c r="AQ1194" i="5"/>
  <c r="AT1193" i="5"/>
  <c r="AT1192" i="5"/>
  <c r="AQ1192" i="5"/>
  <c r="AT1190" i="5"/>
  <c r="AQ1190" i="5"/>
  <c r="AR1189" i="5"/>
  <c r="AQ1189" i="5"/>
  <c r="AT1188" i="5"/>
  <c r="AT1186" i="5"/>
  <c r="AW1186" i="5" s="1"/>
  <c r="AT1185" i="5"/>
  <c r="AQ1185" i="5"/>
  <c r="AT1184" i="5"/>
  <c r="AT1183" i="5"/>
  <c r="AX1183" i="5" s="1"/>
  <c r="AT1182" i="5"/>
  <c r="AT1181" i="5"/>
  <c r="AQ1181" i="5"/>
  <c r="AR1180" i="5"/>
  <c r="AQ1180" i="5"/>
  <c r="AT1179" i="5"/>
  <c r="AX1179" i="5" s="1"/>
  <c r="AQ1178" i="5"/>
  <c r="AT1177" i="5"/>
  <c r="AY1177" i="5" s="1"/>
  <c r="AT1176" i="5"/>
  <c r="AX1176" i="5" s="1"/>
  <c r="AQ1176" i="5"/>
  <c r="AT1175" i="5"/>
  <c r="AX1175" i="5" s="1"/>
  <c r="AT1174" i="5"/>
  <c r="AW1174" i="5" s="1"/>
  <c r="AQ1174" i="5"/>
  <c r="AT1173" i="5"/>
  <c r="AU1173" i="5" s="1"/>
  <c r="AT1172" i="5"/>
  <c r="AX1172" i="5" s="1"/>
  <c r="AQ1172" i="5"/>
  <c r="AT1170" i="5"/>
  <c r="AW1170" i="5" s="1"/>
  <c r="AQ1169" i="5"/>
  <c r="AT1168" i="5"/>
  <c r="AX1168" i="5" s="1"/>
  <c r="AT1167" i="5"/>
  <c r="AQ1167" i="5"/>
  <c r="AT1165" i="5"/>
  <c r="AY1165" i="5" s="1"/>
  <c r="AQ1165" i="5"/>
  <c r="AT1164" i="5"/>
  <c r="AX1164" i="5" s="1"/>
  <c r="AQ1164" i="5"/>
  <c r="AT1163" i="5"/>
  <c r="AX1163" i="5" s="1"/>
  <c r="AQ1162" i="5"/>
  <c r="AT1161" i="5"/>
  <c r="AY1161" i="5" s="1"/>
  <c r="AT1160" i="5"/>
  <c r="AX1160" i="5" s="1"/>
  <c r="AQ1160" i="5"/>
  <c r="AT1159" i="5"/>
  <c r="AX1159" i="5" s="1"/>
  <c r="AQ1158" i="5"/>
  <c r="AT1157" i="5"/>
  <c r="AY1157" i="5" s="1"/>
  <c r="AT1156" i="5"/>
  <c r="AX1156" i="5" s="1"/>
  <c r="AQ1156" i="5"/>
  <c r="AT1155" i="5"/>
  <c r="AX1155" i="5" s="1"/>
  <c r="AQ1155" i="5"/>
  <c r="AQ1154" i="5"/>
  <c r="AT1152" i="5"/>
  <c r="AT1151" i="5"/>
  <c r="AX1151" i="5" s="1"/>
  <c r="AT1150" i="5"/>
  <c r="AQ1150" i="5"/>
  <c r="AQ1149" i="5"/>
  <c r="AT1148" i="5"/>
  <c r="AX1148" i="5" s="1"/>
  <c r="AT1147" i="5"/>
  <c r="AX1147" i="5" s="1"/>
  <c r="AT1146" i="5"/>
  <c r="AQ1146" i="5"/>
  <c r="AT1145" i="5"/>
  <c r="AY1145" i="5" s="1"/>
  <c r="AQ1145" i="5"/>
  <c r="AT1143" i="5"/>
  <c r="AQ1143" i="5"/>
  <c r="AT1141" i="5"/>
  <c r="AY1141" i="5" s="1"/>
  <c r="AQ1141" i="5"/>
  <c r="AQ1140" i="5"/>
  <c r="AT1139" i="5"/>
  <c r="AX1139" i="5" s="1"/>
  <c r="AT1138" i="5"/>
  <c r="AT1137" i="5"/>
  <c r="AY1137" i="5" s="1"/>
  <c r="AQ1137" i="5"/>
  <c r="AT1136" i="5"/>
  <c r="AX1136" i="5" s="1"/>
  <c r="AQ1136" i="5"/>
  <c r="AT1134" i="5"/>
  <c r="AT1133" i="5"/>
  <c r="AY1133" i="5" s="1"/>
  <c r="AT1132" i="5"/>
  <c r="AX1132" i="5" s="1"/>
  <c r="AQ1132" i="5"/>
  <c r="AQ1131" i="5"/>
  <c r="AQ1130" i="5"/>
  <c r="AT1129" i="5"/>
  <c r="AY1129" i="5" s="1"/>
  <c r="AT1128" i="5"/>
  <c r="AX1128" i="5" s="1"/>
  <c r="AQ1128" i="5"/>
  <c r="AT1127" i="5"/>
  <c r="AX1127" i="5" s="1"/>
  <c r="AQ1126" i="5"/>
  <c r="AT1125" i="5"/>
  <c r="AY1125" i="5" s="1"/>
  <c r="AT1124" i="5"/>
  <c r="AX1124" i="5" s="1"/>
  <c r="AT1123" i="5"/>
  <c r="AX1123" i="5" s="1"/>
  <c r="AQ1122" i="5"/>
  <c r="AT1121" i="5"/>
  <c r="AY1121" i="5" s="1"/>
  <c r="AT1120" i="5"/>
  <c r="AT1119" i="5"/>
  <c r="AX1119" i="5" s="1"/>
  <c r="AQ1119" i="5"/>
  <c r="AQ1118" i="5"/>
  <c r="AQ1117" i="5"/>
  <c r="AT1116" i="5"/>
  <c r="AT1115" i="5"/>
  <c r="AT1114" i="5"/>
  <c r="AQ1113" i="5"/>
  <c r="AT1112" i="5"/>
  <c r="AX1112" i="5" s="1"/>
  <c r="AT1111" i="5"/>
  <c r="AX1111" i="5" s="1"/>
  <c r="AT1110" i="5"/>
  <c r="AX1110" i="5" s="1"/>
  <c r="AT1109" i="5"/>
  <c r="AY1109" i="5" s="1"/>
  <c r="AQ1109" i="5"/>
  <c r="AQ1108" i="5"/>
  <c r="AT1107" i="5"/>
  <c r="AX1107" i="5" s="1"/>
  <c r="AT1105" i="5"/>
  <c r="AQ1105" i="5"/>
  <c r="AQ1104" i="5"/>
  <c r="AT1103" i="5"/>
  <c r="AQ1103" i="5"/>
  <c r="AT1101" i="5"/>
  <c r="AY1101" i="5" s="1"/>
  <c r="AT1100" i="5"/>
  <c r="AQ1100" i="5"/>
  <c r="AQ1099" i="5"/>
  <c r="AT1098" i="5"/>
  <c r="AT1097" i="5"/>
  <c r="AY1097" i="5" s="1"/>
  <c r="AT1096" i="5"/>
  <c r="AX1096" i="5" s="1"/>
  <c r="AT1095" i="5"/>
  <c r="AX1095" i="5" s="1"/>
  <c r="AQ1095" i="5"/>
  <c r="AT1094" i="5"/>
  <c r="AQ1094" i="5"/>
  <c r="AT1092" i="5"/>
  <c r="AX1092" i="5" s="1"/>
  <c r="AT1091" i="5"/>
  <c r="AX1091" i="5" s="1"/>
  <c r="AQ1091" i="5"/>
  <c r="AQ1090" i="5"/>
  <c r="AT1089" i="5"/>
  <c r="AT1088" i="5"/>
  <c r="AX1088" i="5" s="1"/>
  <c r="AT1087" i="5"/>
  <c r="AT1086" i="5"/>
  <c r="AW1086" i="5" s="1"/>
  <c r="AQ1086" i="5"/>
  <c r="AT1085" i="5"/>
  <c r="AY1085" i="5" s="1"/>
  <c r="AT1083" i="5"/>
  <c r="AX1083" i="5" s="1"/>
  <c r="AT1082" i="5"/>
  <c r="AW1082" i="5" s="1"/>
  <c r="AQ1082" i="5"/>
  <c r="AQ1081" i="5"/>
  <c r="AT1080" i="5"/>
  <c r="AT1079" i="5"/>
  <c r="AX1079" i="5" s="1"/>
  <c r="AT1078" i="5"/>
  <c r="AQ1078" i="5"/>
  <c r="AT1077" i="5"/>
  <c r="AY1077" i="5" s="1"/>
  <c r="AT1076" i="5"/>
  <c r="AX1076" i="5" s="1"/>
  <c r="AQ1075" i="5"/>
  <c r="AT1074" i="5"/>
  <c r="AX1074" i="5" s="1"/>
  <c r="AT1073" i="5"/>
  <c r="AQ1072" i="5"/>
  <c r="AT1071" i="5"/>
  <c r="AX1071" i="5" s="1"/>
  <c r="AT1070" i="5"/>
  <c r="AX1070" i="5" s="1"/>
  <c r="AQ1069" i="5"/>
  <c r="AT1068" i="5"/>
  <c r="AX1068" i="5" s="1"/>
  <c r="AQ1068" i="5"/>
  <c r="AT1067" i="5"/>
  <c r="AX1067" i="5" s="1"/>
  <c r="AQ1066" i="5"/>
  <c r="AT1065" i="5"/>
  <c r="AT1064" i="5"/>
  <c r="AX1064" i="5" s="1"/>
  <c r="AQ1064" i="5"/>
  <c r="AQ1063" i="5"/>
  <c r="AT1062" i="5"/>
  <c r="AT1061" i="5"/>
  <c r="AY1061" i="5" s="1"/>
  <c r="AT1060" i="5"/>
  <c r="AQ1060" i="5"/>
  <c r="AT1059" i="5"/>
  <c r="AX1059" i="5" s="1"/>
  <c r="AQ1059" i="5"/>
  <c r="AT1058" i="5"/>
  <c r="AQ1057" i="5"/>
  <c r="AT1056" i="5"/>
  <c r="AX1056" i="5" s="1"/>
  <c r="AT1055" i="5"/>
  <c r="AX1055" i="5" s="1"/>
  <c r="AQ1055" i="5"/>
  <c r="AT1053" i="5"/>
  <c r="AY1053" i="5" s="1"/>
  <c r="AT1052" i="5"/>
  <c r="AX1052" i="5" s="1"/>
  <c r="AT1051" i="5"/>
  <c r="AX1051" i="5" s="1"/>
  <c r="AQ1051" i="5"/>
  <c r="AT1050" i="5"/>
  <c r="AQ1050" i="5"/>
  <c r="AT1049" i="5"/>
  <c r="AY1049" i="5" s="1"/>
  <c r="AQ1048" i="5"/>
  <c r="AT1047" i="5"/>
  <c r="AX1047" i="5" s="1"/>
  <c r="AQ1046" i="5"/>
  <c r="AT1044" i="5"/>
  <c r="AT1043" i="5"/>
  <c r="AX1043" i="5" s="1"/>
  <c r="AT1042" i="5"/>
  <c r="AW1042" i="5" s="1"/>
  <c r="AT1041" i="5"/>
  <c r="AY1041" i="5" s="1"/>
  <c r="AT1040" i="5"/>
  <c r="AX1040" i="5" s="1"/>
  <c r="AT1039" i="5"/>
  <c r="AX1039" i="5" s="1"/>
  <c r="AQ1039" i="5"/>
  <c r="AT1038" i="5"/>
  <c r="AX1038" i="5" s="1"/>
  <c r="AQ1038" i="5"/>
  <c r="AT1035" i="5"/>
  <c r="AX1035" i="5" s="1"/>
  <c r="AT1034" i="5"/>
  <c r="AX1034" i="5" s="1"/>
  <c r="AQ1034" i="5"/>
  <c r="AQ1033" i="5"/>
  <c r="AT1032" i="5"/>
  <c r="AT1031" i="5"/>
  <c r="AT1030" i="5"/>
  <c r="AT1029" i="5"/>
  <c r="AQ1029" i="5"/>
  <c r="AQ1028" i="5"/>
  <c r="AT1026" i="5"/>
  <c r="AX1026" i="5" s="1"/>
  <c r="AT1025" i="5"/>
  <c r="AT1024" i="5"/>
  <c r="AQ1024" i="5"/>
  <c r="AT1023" i="5"/>
  <c r="AT1022" i="5"/>
  <c r="AX1022" i="5" s="1"/>
  <c r="AQ1021" i="5"/>
  <c r="AT1020" i="5"/>
  <c r="AX1020" i="5" s="1"/>
  <c r="AR1020" i="5"/>
  <c r="AQ1020" i="5"/>
  <c r="AR1019" i="5"/>
  <c r="AQ1019" i="5"/>
  <c r="AT1017" i="5"/>
  <c r="AT1016" i="5"/>
  <c r="AX1016" i="5" s="1"/>
  <c r="AQ1016" i="5"/>
  <c r="AT1015" i="5"/>
  <c r="AX1015" i="5" s="1"/>
  <c r="AQ1015" i="5"/>
  <c r="AT1014" i="5"/>
  <c r="AT1013" i="5"/>
  <c r="AY1013" i="5" s="1"/>
  <c r="AT1012" i="5"/>
  <c r="AQ1012" i="5"/>
  <c r="AT1011" i="5"/>
  <c r="AX1011" i="5" s="1"/>
  <c r="AR1011" i="5"/>
  <c r="AQ1011" i="5"/>
  <c r="AR1010" i="5"/>
  <c r="AQ1010" i="5"/>
  <c r="AQ1009" i="5"/>
  <c r="AT1007" i="5"/>
  <c r="AX1007" i="5" s="1"/>
  <c r="AT1006" i="5"/>
  <c r="AQ1006" i="5"/>
  <c r="AT1005" i="5"/>
  <c r="AT1004" i="5"/>
  <c r="AX1004" i="5" s="1"/>
  <c r="AT1003" i="5"/>
  <c r="AX1003" i="5" s="1"/>
  <c r="AT1002" i="5"/>
  <c r="AX1002" i="5" s="1"/>
  <c r="AQ1002" i="5"/>
  <c r="AQ1000" i="5"/>
  <c r="AT999" i="5"/>
  <c r="AX999" i="5" s="1"/>
  <c r="AT998" i="5"/>
  <c r="AW998" i="5" s="1"/>
  <c r="AT997" i="5"/>
  <c r="AY997" i="5" s="1"/>
  <c r="AQ997" i="5"/>
  <c r="AQ996" i="5"/>
  <c r="AT995" i="5"/>
  <c r="AX995" i="5" s="1"/>
  <c r="AT994" i="5"/>
  <c r="AX994" i="5" s="1"/>
  <c r="AT993" i="5"/>
  <c r="AQ992" i="5"/>
  <c r="AQ991" i="5"/>
  <c r="AT990" i="5"/>
  <c r="AT989" i="5"/>
  <c r="AY989" i="5" s="1"/>
  <c r="AT988" i="5"/>
  <c r="AX988" i="5" s="1"/>
  <c r="AQ988" i="5"/>
  <c r="AT987" i="5"/>
  <c r="AX987" i="5" s="1"/>
  <c r="AQ987" i="5"/>
  <c r="AT986" i="5"/>
  <c r="AT985" i="5"/>
  <c r="AY985" i="5" s="1"/>
  <c r="AR984" i="5"/>
  <c r="AQ984" i="5"/>
  <c r="AR983" i="5"/>
  <c r="AQ983" i="5"/>
  <c r="AT981" i="5"/>
  <c r="AY981" i="5" s="1"/>
  <c r="AT980" i="5"/>
  <c r="AX980" i="5" s="1"/>
  <c r="AQ980" i="5"/>
  <c r="AT979" i="5"/>
  <c r="AQ979" i="5"/>
  <c r="AT978" i="5"/>
  <c r="AQ978" i="5"/>
  <c r="AT977" i="5"/>
  <c r="AY977" i="5" s="1"/>
  <c r="AT976" i="5"/>
  <c r="AX976" i="5" s="1"/>
  <c r="AT975" i="5"/>
  <c r="AR975" i="5"/>
  <c r="AQ975" i="5"/>
  <c r="AR974" i="5"/>
  <c r="AQ974" i="5"/>
  <c r="AT971" i="5"/>
  <c r="AX971" i="5" s="1"/>
  <c r="AQ971" i="5"/>
  <c r="AT970" i="5"/>
  <c r="AQ970" i="5"/>
  <c r="AT969" i="5"/>
  <c r="AY969" i="5" s="1"/>
  <c r="AT968" i="5"/>
  <c r="AX968" i="5" s="1"/>
  <c r="AT967" i="5"/>
  <c r="AT966" i="5"/>
  <c r="AX966" i="5" s="1"/>
  <c r="AQ966" i="5"/>
  <c r="AQ964" i="5"/>
  <c r="AT962" i="5"/>
  <c r="AX962" i="5" s="1"/>
  <c r="AT961" i="5"/>
  <c r="AQ961" i="5"/>
  <c r="AQ960" i="5"/>
  <c r="AT959" i="5"/>
  <c r="AX959" i="5" s="1"/>
  <c r="AQ959" i="5"/>
  <c r="AT958" i="5"/>
  <c r="AT957" i="5"/>
  <c r="AY957" i="5" s="1"/>
  <c r="AT956" i="5"/>
  <c r="AX956" i="5" s="1"/>
  <c r="AQ956" i="5"/>
  <c r="AQ955" i="5"/>
  <c r="AT953" i="5"/>
  <c r="AT952" i="5"/>
  <c r="AX952" i="5" s="1"/>
  <c r="AQ952" i="5"/>
  <c r="AT951" i="5"/>
  <c r="AX951" i="5" s="1"/>
  <c r="AQ951" i="5"/>
  <c r="AT950" i="5"/>
  <c r="AW950" i="5" s="1"/>
  <c r="AT949" i="5"/>
  <c r="AY949" i="5" s="1"/>
  <c r="AQ949" i="5"/>
  <c r="AT947" i="5"/>
  <c r="AX947" i="5" s="1"/>
  <c r="AR947" i="5"/>
  <c r="AQ947" i="5"/>
  <c r="AR946" i="5"/>
  <c r="AQ946" i="5"/>
  <c r="AT944" i="5"/>
  <c r="AX944" i="5" s="1"/>
  <c r="AT943" i="5"/>
  <c r="AX943" i="5" s="1"/>
  <c r="AQ943" i="5"/>
  <c r="AT942" i="5"/>
  <c r="AQ942" i="5"/>
  <c r="AT941" i="5"/>
  <c r="AY941" i="5" s="1"/>
  <c r="AT940" i="5"/>
  <c r="AT939" i="5"/>
  <c r="AX939" i="5" s="1"/>
  <c r="AT938" i="5"/>
  <c r="AR938" i="5"/>
  <c r="AQ938" i="5"/>
  <c r="AR937" i="5"/>
  <c r="AQ937" i="5"/>
  <c r="AT935" i="5"/>
  <c r="AX935" i="5" s="1"/>
  <c r="AT934" i="5"/>
  <c r="AW934" i="5" s="1"/>
  <c r="AQ934" i="5"/>
  <c r="AT933" i="5"/>
  <c r="AY933" i="5" s="1"/>
  <c r="AQ933" i="5"/>
  <c r="AT932" i="5"/>
  <c r="AX932" i="5" s="1"/>
  <c r="AT931" i="5"/>
  <c r="AX931" i="5" s="1"/>
  <c r="AT930" i="5"/>
  <c r="AX930" i="5" s="1"/>
  <c r="AQ930" i="5"/>
  <c r="AT929" i="5"/>
  <c r="AQ929" i="5"/>
  <c r="AT926" i="5"/>
  <c r="AX926" i="5" s="1"/>
  <c r="AT925" i="5"/>
  <c r="AQ925" i="5"/>
  <c r="AT924" i="5"/>
  <c r="AQ924" i="5"/>
  <c r="AT922" i="5"/>
  <c r="AX922" i="5" s="1"/>
  <c r="AT921" i="5"/>
  <c r="AY921" i="5" s="1"/>
  <c r="AQ921" i="5"/>
  <c r="AT920" i="5"/>
  <c r="AR920" i="5"/>
  <c r="AQ920" i="5"/>
  <c r="AT917" i="5"/>
  <c r="AT916" i="5"/>
  <c r="AX916" i="5" s="1"/>
  <c r="AQ916" i="5"/>
  <c r="AT915" i="5"/>
  <c r="AX915" i="5" s="1"/>
  <c r="AT914" i="5"/>
  <c r="AT913" i="5"/>
  <c r="AY913" i="5" s="1"/>
  <c r="AT912" i="5"/>
  <c r="AX912" i="5" s="1"/>
  <c r="AQ912" i="5"/>
  <c r="AR911" i="5"/>
  <c r="AQ911" i="5"/>
  <c r="AR910" i="5"/>
  <c r="AQ910" i="5"/>
  <c r="AT908" i="5"/>
  <c r="AX908" i="5" s="1"/>
  <c r="AT907" i="5"/>
  <c r="AT906" i="5"/>
  <c r="AQ906" i="5"/>
  <c r="AT905" i="5"/>
  <c r="AY905" i="5" s="1"/>
  <c r="AT904" i="5"/>
  <c r="AX904" i="5" s="1"/>
  <c r="AT903" i="5"/>
  <c r="AX903" i="5" s="1"/>
  <c r="AT902" i="5"/>
  <c r="AQ902" i="5"/>
  <c r="AR901" i="5"/>
  <c r="AQ901" i="5"/>
  <c r="AQ898" i="5"/>
  <c r="AT897" i="5"/>
  <c r="AT896" i="5"/>
  <c r="AX896" i="5" s="1"/>
  <c r="AT895" i="5"/>
  <c r="AT894" i="5"/>
  <c r="AQ894" i="5"/>
  <c r="AT893" i="5"/>
  <c r="AQ892" i="5"/>
  <c r="AT891" i="5"/>
  <c r="AX891" i="5" s="1"/>
  <c r="AT890" i="5"/>
  <c r="AQ890" i="5"/>
  <c r="AQ889" i="5"/>
  <c r="AT888" i="5"/>
  <c r="AT886" i="5"/>
  <c r="AX886" i="5" s="1"/>
  <c r="AQ886" i="5"/>
  <c r="AT885" i="5"/>
  <c r="AV885" i="5" s="1"/>
  <c r="AQ885" i="5"/>
  <c r="AT884" i="5"/>
  <c r="AW884" i="5" s="1"/>
  <c r="AT882" i="5"/>
  <c r="AQ882" i="5"/>
  <c r="AT881" i="5"/>
  <c r="AQ880" i="5"/>
  <c r="AT879" i="5"/>
  <c r="AX879" i="5" s="1"/>
  <c r="AT878" i="5"/>
  <c r="AV878" i="5" s="1"/>
  <c r="AT877" i="5"/>
  <c r="AV877" i="5" s="1"/>
  <c r="AT876" i="5"/>
  <c r="AW876" i="5" s="1"/>
  <c r="AQ876" i="5"/>
  <c r="AT873" i="5"/>
  <c r="AV873" i="5" s="1"/>
  <c r="AQ873" i="5"/>
  <c r="AT872" i="5"/>
  <c r="AW872" i="5" s="1"/>
  <c r="AQ871" i="5"/>
  <c r="AT870" i="5"/>
  <c r="AX870" i="5" s="1"/>
  <c r="AQ870" i="5"/>
  <c r="AT869" i="5"/>
  <c r="AV869" i="5" s="1"/>
  <c r="AT868" i="5"/>
  <c r="AW868" i="5" s="1"/>
  <c r="AT867" i="5"/>
  <c r="AX867" i="5" s="1"/>
  <c r="AT866" i="5"/>
  <c r="AQ866" i="5"/>
  <c r="AT864" i="5"/>
  <c r="AW864" i="5" s="1"/>
  <c r="AQ864" i="5"/>
  <c r="AQ862" i="5"/>
  <c r="AT861" i="5"/>
  <c r="AV861" i="5" s="1"/>
  <c r="AQ861" i="5"/>
  <c r="AT860" i="5"/>
  <c r="AW860" i="5" s="1"/>
  <c r="AT859" i="5"/>
  <c r="AX859" i="5" s="1"/>
  <c r="AT858" i="5"/>
  <c r="AQ858" i="5"/>
  <c r="AT857" i="5"/>
  <c r="AV857" i="5" s="1"/>
  <c r="AQ857" i="5"/>
  <c r="AT855" i="5"/>
  <c r="AX855" i="5" s="1"/>
  <c r="AT854" i="5"/>
  <c r="AX854" i="5" s="1"/>
  <c r="AQ853" i="5"/>
  <c r="AT852" i="5"/>
  <c r="AQ852" i="5"/>
  <c r="AT850" i="5"/>
  <c r="AT849" i="5"/>
  <c r="AV849" i="5" s="1"/>
  <c r="AQ849" i="5"/>
  <c r="AT848" i="5"/>
  <c r="AW848" i="5" s="1"/>
  <c r="AQ848" i="5"/>
  <c r="AT846" i="5"/>
  <c r="AX846" i="5" s="1"/>
  <c r="AT845" i="5"/>
  <c r="AV845" i="5" s="1"/>
  <c r="AQ845" i="5"/>
  <c r="AQ844" i="5"/>
  <c r="AT843" i="5"/>
  <c r="AX843" i="5" s="1"/>
  <c r="AT842" i="5"/>
  <c r="AX842" i="5" s="1"/>
  <c r="AT841" i="5"/>
  <c r="AV841" i="5" s="1"/>
  <c r="AT840" i="5"/>
  <c r="AW840" i="5" s="1"/>
  <c r="AQ840" i="5"/>
  <c r="AT839" i="5"/>
  <c r="AX839" i="5" s="1"/>
  <c r="AQ839" i="5"/>
  <c r="AT837" i="5"/>
  <c r="AV837" i="5" s="1"/>
  <c r="AT836" i="5"/>
  <c r="AW836" i="5" s="1"/>
  <c r="AQ836" i="5"/>
  <c r="AT834" i="5"/>
  <c r="AX834" i="5" s="1"/>
  <c r="AQ833" i="5"/>
  <c r="AT832" i="5"/>
  <c r="AX832" i="5" s="1"/>
  <c r="AT831" i="5"/>
  <c r="AY831" i="5" s="1"/>
  <c r="AT830" i="5"/>
  <c r="AQ830" i="5"/>
  <c r="AQ829" i="5"/>
  <c r="AT828" i="5"/>
  <c r="AX828" i="5" s="1"/>
  <c r="AT827" i="5"/>
  <c r="AY827" i="5" s="1"/>
  <c r="AQ826" i="5"/>
  <c r="AT825" i="5"/>
  <c r="AW825" i="5" s="1"/>
  <c r="AQ825" i="5"/>
  <c r="AQ824" i="5"/>
  <c r="AT823" i="5"/>
  <c r="AY823" i="5" s="1"/>
  <c r="AT822" i="5"/>
  <c r="AV822" i="5" s="1"/>
  <c r="AQ822" i="5"/>
  <c r="AT821" i="5"/>
  <c r="AW821" i="5" s="1"/>
  <c r="AQ821" i="5"/>
  <c r="AQ820" i="5"/>
  <c r="AT819" i="5"/>
  <c r="AY819" i="5" s="1"/>
  <c r="AT818" i="5"/>
  <c r="AV818" i="5" s="1"/>
  <c r="AT817" i="5"/>
  <c r="AW817" i="5" s="1"/>
  <c r="AQ817" i="5"/>
  <c r="AT816" i="5"/>
  <c r="AX816" i="5" s="1"/>
  <c r="AQ816" i="5"/>
  <c r="AT813" i="5"/>
  <c r="AW813" i="5" s="1"/>
  <c r="AQ813" i="5"/>
  <c r="AT812" i="5"/>
  <c r="AX812" i="5" s="1"/>
  <c r="AQ812" i="5"/>
  <c r="AT810" i="5"/>
  <c r="AV810" i="5" s="1"/>
  <c r="AT809" i="5"/>
  <c r="AW809" i="5" s="1"/>
  <c r="AT808" i="5"/>
  <c r="AX808" i="5" s="1"/>
  <c r="AQ808" i="5"/>
  <c r="AT807" i="5"/>
  <c r="AY807" i="5" s="1"/>
  <c r="AT805" i="5"/>
  <c r="AW805" i="5" s="1"/>
  <c r="AT804" i="5"/>
  <c r="AX804" i="5" s="1"/>
  <c r="AQ804" i="5"/>
  <c r="AT803" i="5"/>
  <c r="AY803" i="5" s="1"/>
  <c r="AQ803" i="5"/>
  <c r="AQ802" i="5"/>
  <c r="AT801" i="5"/>
  <c r="AW801" i="5" s="1"/>
  <c r="AT800" i="5"/>
  <c r="AQ800" i="5"/>
  <c r="AT799" i="5"/>
  <c r="AT798" i="5"/>
  <c r="AV798" i="5" s="1"/>
  <c r="AQ798" i="5"/>
  <c r="AT796" i="5"/>
  <c r="AX796" i="5" s="1"/>
  <c r="AT795" i="5"/>
  <c r="AY795" i="5" s="1"/>
  <c r="AT794" i="5"/>
  <c r="AV794" i="5" s="1"/>
  <c r="AQ794" i="5"/>
  <c r="AQ793" i="5"/>
  <c r="AT792" i="5"/>
  <c r="AX792" i="5" s="1"/>
  <c r="AT791" i="5"/>
  <c r="AY791" i="5" s="1"/>
  <c r="AQ791" i="5"/>
  <c r="AQ790" i="5"/>
  <c r="AT789" i="5"/>
  <c r="AW789" i="5" s="1"/>
  <c r="AQ789" i="5"/>
  <c r="AT787" i="5"/>
  <c r="AY787" i="5" s="1"/>
  <c r="AT786" i="5"/>
  <c r="AV786" i="5" s="1"/>
  <c r="AQ786" i="5"/>
  <c r="AT785" i="5"/>
  <c r="AW785" i="5" s="1"/>
  <c r="AQ785" i="5"/>
  <c r="AQ784" i="5"/>
  <c r="AT783" i="5"/>
  <c r="AY783" i="5" s="1"/>
  <c r="AT782" i="5"/>
  <c r="AV782" i="5" s="1"/>
  <c r="AQ782" i="5"/>
  <c r="AT781" i="5"/>
  <c r="AW781" i="5" s="1"/>
  <c r="AQ781" i="5"/>
  <c r="AT780" i="5"/>
  <c r="AX780" i="5" s="1"/>
  <c r="AQ780" i="5"/>
  <c r="AT777" i="5"/>
  <c r="AW777" i="5" s="1"/>
  <c r="AQ777" i="5"/>
  <c r="AT776" i="5"/>
  <c r="AX776" i="5" s="1"/>
  <c r="AQ776" i="5"/>
  <c r="AT774" i="5"/>
  <c r="AT773" i="5"/>
  <c r="AW773" i="5" s="1"/>
  <c r="AT772" i="5"/>
  <c r="AX772" i="5" s="1"/>
  <c r="AQ772" i="5"/>
  <c r="AT771" i="5"/>
  <c r="AX771" i="5" s="1"/>
  <c r="AT769" i="5"/>
  <c r="AW769" i="5" s="1"/>
  <c r="AQ768" i="5"/>
  <c r="AT767" i="5"/>
  <c r="AX767" i="5" s="1"/>
  <c r="AQ766" i="5"/>
  <c r="AT765" i="5"/>
  <c r="AW765" i="5" s="1"/>
  <c r="AT764" i="5"/>
  <c r="AX764" i="5" s="1"/>
  <c r="AT763" i="5"/>
  <c r="AX763" i="5" s="1"/>
  <c r="AT762" i="5"/>
  <c r="AV762" i="5" s="1"/>
  <c r="AT761" i="5"/>
  <c r="AW761" i="5" s="1"/>
  <c r="AT760" i="5"/>
  <c r="AQ760" i="5"/>
  <c r="AQ759" i="5"/>
  <c r="AT758" i="5"/>
  <c r="AV758" i="5" s="1"/>
  <c r="AQ757" i="5"/>
  <c r="AT756" i="5"/>
  <c r="AQ756" i="5"/>
  <c r="AT755" i="5"/>
  <c r="AT753" i="5"/>
  <c r="AW753" i="5" s="1"/>
  <c r="AQ753" i="5"/>
  <c r="AT752" i="5"/>
  <c r="AQ752" i="5"/>
  <c r="AT751" i="5"/>
  <c r="AX751" i="5" s="1"/>
  <c r="AT749" i="5"/>
  <c r="AW749" i="5" s="1"/>
  <c r="AQ748" i="5"/>
  <c r="AT747" i="5"/>
  <c r="AX747" i="5" s="1"/>
  <c r="AQ747" i="5"/>
  <c r="AT746" i="5"/>
  <c r="AV746" i="5" s="1"/>
  <c r="AT745" i="5"/>
  <c r="AW745" i="5" s="1"/>
  <c r="AT744" i="5"/>
  <c r="AX744" i="5" s="1"/>
  <c r="AQ744" i="5"/>
  <c r="AT743" i="5"/>
  <c r="AX743" i="5" s="1"/>
  <c r="AQ743" i="5"/>
  <c r="AR741" i="5"/>
  <c r="AQ741" i="5"/>
  <c r="AT740" i="5"/>
  <c r="AX740" i="5" s="1"/>
  <c r="AT738" i="5"/>
  <c r="AT737" i="5"/>
  <c r="AW737" i="5" s="1"/>
  <c r="AT736" i="5"/>
  <c r="AT735" i="5"/>
  <c r="AT734" i="5"/>
  <c r="AV734" i="5" s="1"/>
  <c r="AT733" i="5"/>
  <c r="AW733" i="5" s="1"/>
  <c r="AR732" i="5"/>
  <c r="AQ732" i="5"/>
  <c r="AT731" i="5"/>
  <c r="AX731" i="5" s="1"/>
  <c r="AQ731" i="5"/>
  <c r="AT729" i="5"/>
  <c r="AW729" i="5" s="1"/>
  <c r="AQ729" i="5"/>
  <c r="AT728" i="5"/>
  <c r="AX728" i="5" s="1"/>
  <c r="AT727" i="5"/>
  <c r="AX727" i="5" s="1"/>
  <c r="AQ727" i="5"/>
  <c r="AT726" i="5"/>
  <c r="AV726" i="5" s="1"/>
  <c r="AT725" i="5"/>
  <c r="AW725" i="5" s="1"/>
  <c r="AQ725" i="5"/>
  <c r="AT724" i="5"/>
  <c r="AQ723" i="5"/>
  <c r="AT722" i="5"/>
  <c r="AV722" i="5" s="1"/>
  <c r="AT720" i="5"/>
  <c r="AX720" i="5" s="1"/>
  <c r="AT719" i="5"/>
  <c r="AX719" i="5" s="1"/>
  <c r="AQ719" i="5"/>
  <c r="AQ718" i="5"/>
  <c r="AT717" i="5"/>
  <c r="AW717" i="5" s="1"/>
  <c r="AT716" i="5"/>
  <c r="AX716" i="5" s="1"/>
  <c r="AQ716" i="5"/>
  <c r="AT715" i="5"/>
  <c r="AT713" i="5"/>
  <c r="AW713" i="5" s="1"/>
  <c r="AQ713" i="5"/>
  <c r="AT711" i="5"/>
  <c r="AX711" i="5" s="1"/>
  <c r="AT710" i="5"/>
  <c r="AV710" i="5" s="1"/>
  <c r="AT709" i="5"/>
  <c r="AW709" i="5" s="1"/>
  <c r="AQ709" i="5"/>
  <c r="AT708" i="5"/>
  <c r="AX708" i="5" s="1"/>
  <c r="AT707" i="5"/>
  <c r="AW707" i="5" s="1"/>
  <c r="AQ707" i="5"/>
  <c r="AR705" i="5"/>
  <c r="AQ705" i="5"/>
  <c r="AT704" i="5"/>
  <c r="AT702" i="5"/>
  <c r="AV702" i="5" s="1"/>
  <c r="AT701" i="5"/>
  <c r="AW701" i="5" s="1"/>
  <c r="AQ701" i="5"/>
  <c r="AT700" i="5"/>
  <c r="AX700" i="5" s="1"/>
  <c r="AQ700" i="5"/>
  <c r="AT699" i="5"/>
  <c r="AT698" i="5"/>
  <c r="AT697" i="5"/>
  <c r="AW697" i="5" s="1"/>
  <c r="AR696" i="5"/>
  <c r="AQ696" i="5"/>
  <c r="AT695" i="5"/>
  <c r="AX695" i="5" s="1"/>
  <c r="AQ694" i="5"/>
  <c r="AT693" i="5"/>
  <c r="AW693" i="5" s="1"/>
  <c r="AT692" i="5"/>
  <c r="AQ692" i="5"/>
  <c r="AT691" i="5"/>
  <c r="AT690" i="5"/>
  <c r="AV690" i="5" s="1"/>
  <c r="AT689" i="5"/>
  <c r="AW689" i="5" s="1"/>
  <c r="AT688" i="5"/>
  <c r="AX688" i="5" s="1"/>
  <c r="AT687" i="5"/>
  <c r="AQ687" i="5"/>
  <c r="AT686" i="5"/>
  <c r="AV686" i="5" s="1"/>
  <c r="AR685" i="5"/>
  <c r="AQ685" i="5"/>
  <c r="AT684" i="5"/>
  <c r="AT683" i="5"/>
  <c r="AQ683" i="5"/>
  <c r="AQ682" i="5"/>
  <c r="AT681" i="5"/>
  <c r="AW681" i="5" s="1"/>
  <c r="AQ681" i="5"/>
  <c r="AT680" i="5"/>
  <c r="AX680" i="5" s="1"/>
  <c r="AT679" i="5"/>
  <c r="AX679" i="5" s="1"/>
  <c r="AT678" i="5"/>
  <c r="AV678" i="5" s="1"/>
  <c r="AT677" i="5"/>
  <c r="AW677" i="5" s="1"/>
  <c r="AQ677" i="5"/>
  <c r="AQ676" i="5"/>
  <c r="AT675" i="5"/>
  <c r="AX675" i="5" s="1"/>
  <c r="AT674" i="5"/>
  <c r="AV674" i="5" s="1"/>
  <c r="AQ674" i="5"/>
  <c r="AT673" i="5"/>
  <c r="AW673" i="5" s="1"/>
  <c r="AT672" i="5"/>
  <c r="AQ672" i="5"/>
  <c r="AT671" i="5"/>
  <c r="AX671" i="5" s="1"/>
  <c r="AT670" i="5"/>
  <c r="AV670" i="5" s="1"/>
  <c r="AR669" i="5"/>
  <c r="AQ669" i="5"/>
  <c r="AT668" i="5"/>
  <c r="AX668" i="5" s="1"/>
  <c r="AR668" i="5"/>
  <c r="AQ668" i="5"/>
  <c r="AR667" i="5"/>
  <c r="AQ667" i="5"/>
  <c r="AT666" i="5"/>
  <c r="AV666" i="5" s="1"/>
  <c r="AT665" i="5"/>
  <c r="AW665" i="5" s="1"/>
  <c r="AQ665" i="5"/>
  <c r="AT664" i="5"/>
  <c r="AX664" i="5" s="1"/>
  <c r="AQ664" i="5"/>
  <c r="AT663" i="5"/>
  <c r="AX663" i="5" s="1"/>
  <c r="AQ663" i="5"/>
  <c r="AT662" i="5"/>
  <c r="AT661" i="5"/>
  <c r="AW661" i="5" s="1"/>
  <c r="AT660" i="5"/>
  <c r="AX660" i="5" s="1"/>
  <c r="AR660" i="5"/>
  <c r="AQ660" i="5"/>
  <c r="AT659" i="5"/>
  <c r="AX659" i="5" s="1"/>
  <c r="AR659" i="5"/>
  <c r="AQ659" i="5"/>
  <c r="AR658" i="5"/>
  <c r="AQ658" i="5"/>
  <c r="AT656" i="5"/>
  <c r="AQ656" i="5"/>
  <c r="AT655" i="5"/>
  <c r="AQ655" i="5"/>
  <c r="AT654" i="5"/>
  <c r="AT653" i="5"/>
  <c r="AW653" i="5" s="1"/>
  <c r="AT652" i="5"/>
  <c r="AX652" i="5" s="1"/>
  <c r="AQ652" i="5"/>
  <c r="AT651" i="5"/>
  <c r="AX651" i="5" s="1"/>
  <c r="AQ651" i="5"/>
  <c r="AT650" i="5"/>
  <c r="AQ649" i="5"/>
  <c r="AT648" i="5"/>
  <c r="AT647" i="5"/>
  <c r="AQ647" i="5"/>
  <c r="AT646" i="5"/>
  <c r="AQ646" i="5"/>
  <c r="AQ645" i="5"/>
  <c r="AT644" i="5"/>
  <c r="AX644" i="5" s="1"/>
  <c r="AT643" i="5"/>
  <c r="AQ643" i="5"/>
  <c r="AT642" i="5"/>
  <c r="AT641" i="5"/>
  <c r="AW641" i="5" s="1"/>
  <c r="AQ641" i="5"/>
  <c r="AQ640" i="5"/>
  <c r="AT639" i="5"/>
  <c r="AT638" i="5"/>
  <c r="AV638" i="5" s="1"/>
  <c r="AT637" i="5"/>
  <c r="AW637" i="5" s="1"/>
  <c r="AQ637" i="5"/>
  <c r="AT636" i="5"/>
  <c r="AX636" i="5" s="1"/>
  <c r="AQ636" i="5"/>
  <c r="AT635" i="5"/>
  <c r="AX635" i="5" s="1"/>
  <c r="AT634" i="5"/>
  <c r="AV634" i="5" s="1"/>
  <c r="AQ634" i="5"/>
  <c r="AR633" i="5"/>
  <c r="AQ633" i="5"/>
  <c r="AT632" i="5"/>
  <c r="AX632" i="5" s="1"/>
  <c r="AR632" i="5"/>
  <c r="AQ632" i="5"/>
  <c r="AR631" i="5"/>
  <c r="AQ631" i="5"/>
  <c r="AT630" i="5"/>
  <c r="AV630" i="5" s="1"/>
  <c r="AT629" i="5"/>
  <c r="AW629" i="5" s="1"/>
  <c r="AT628" i="5"/>
  <c r="AX628" i="5" s="1"/>
  <c r="AQ628" i="5"/>
  <c r="AT627" i="5"/>
  <c r="AX627" i="5" s="1"/>
  <c r="AQ627" i="5"/>
  <c r="AT626" i="5"/>
  <c r="AV626" i="5" s="1"/>
  <c r="AT625" i="5"/>
  <c r="AW625" i="5" s="1"/>
  <c r="AT624" i="5"/>
  <c r="AX624" i="5" s="1"/>
  <c r="AQ624" i="5"/>
  <c r="AT623" i="5"/>
  <c r="AX623" i="5" s="1"/>
  <c r="AR623" i="5"/>
  <c r="AQ623" i="5"/>
  <c r="AR622" i="5"/>
  <c r="AQ622" i="5"/>
  <c r="AQ621" i="5"/>
  <c r="AT619" i="5"/>
  <c r="AX619" i="5" s="1"/>
  <c r="AQ619" i="5"/>
  <c r="AT618" i="5"/>
  <c r="AV618" i="5" s="1"/>
  <c r="AT617" i="5"/>
  <c r="AW617" i="5" s="1"/>
  <c r="AQ617" i="5"/>
  <c r="AT616" i="5"/>
  <c r="AX616" i="5" s="1"/>
  <c r="AT615" i="5"/>
  <c r="AX615" i="5" s="1"/>
  <c r="AQ615" i="5"/>
  <c r="AT614" i="5"/>
  <c r="AV614" i="5" s="1"/>
  <c r="AQ613" i="5"/>
  <c r="AT612" i="5"/>
  <c r="AX612" i="5" s="1"/>
  <c r="AQ612" i="5"/>
  <c r="AT610" i="5"/>
  <c r="AV610" i="5" s="1"/>
  <c r="AQ610" i="5"/>
  <c r="AT608" i="5"/>
  <c r="AQ608" i="5"/>
  <c r="AT607" i="5"/>
  <c r="AT606" i="5"/>
  <c r="AV606" i="5" s="1"/>
  <c r="AT605" i="5"/>
  <c r="AW605" i="5" s="1"/>
  <c r="AQ604" i="5"/>
  <c r="AT603" i="5"/>
  <c r="AX603" i="5" s="1"/>
  <c r="AQ603" i="5"/>
  <c r="AT601" i="5"/>
  <c r="AW601" i="5" s="1"/>
  <c r="AQ601" i="5"/>
  <c r="AT600" i="5"/>
  <c r="AT599" i="5"/>
  <c r="AX599" i="5" s="1"/>
  <c r="AQ599" i="5"/>
  <c r="AT598" i="5"/>
  <c r="AV598" i="5" s="1"/>
  <c r="AQ597" i="5"/>
  <c r="AT596" i="5"/>
  <c r="AR595" i="5"/>
  <c r="AQ595" i="5"/>
  <c r="AT594" i="5"/>
  <c r="AV594" i="5" s="1"/>
  <c r="AQ594" i="5"/>
  <c r="AT592" i="5"/>
  <c r="AX592" i="5" s="1"/>
  <c r="AQ592" i="5"/>
  <c r="AT591" i="5"/>
  <c r="AX591" i="5" s="1"/>
  <c r="AT590" i="5"/>
  <c r="AQ590" i="5"/>
  <c r="AT589" i="5"/>
  <c r="AW589" i="5" s="1"/>
  <c r="AT588" i="5"/>
  <c r="AQ588" i="5"/>
  <c r="AT587" i="5"/>
  <c r="AX587" i="5" s="1"/>
  <c r="AR586" i="5"/>
  <c r="AQ586" i="5"/>
  <c r="AT585" i="5"/>
  <c r="AW585" i="5" s="1"/>
  <c r="AQ585" i="5"/>
  <c r="AT583" i="5"/>
  <c r="AX583" i="5" s="1"/>
  <c r="AQ583" i="5"/>
  <c r="AT582" i="5"/>
  <c r="AV582" i="5" s="1"/>
  <c r="AT581" i="5"/>
  <c r="AW581" i="5" s="1"/>
  <c r="AQ581" i="5"/>
  <c r="AT580" i="5"/>
  <c r="AX580" i="5" s="1"/>
  <c r="AT579" i="5"/>
  <c r="AQ579" i="5"/>
  <c r="AT578" i="5"/>
  <c r="AV578" i="5" s="1"/>
  <c r="AQ577" i="5"/>
  <c r="AT576" i="5"/>
  <c r="AQ575" i="5"/>
  <c r="AT574" i="5"/>
  <c r="AQ574" i="5"/>
  <c r="AT573" i="5"/>
  <c r="AW573" i="5" s="1"/>
  <c r="AQ572" i="5"/>
  <c r="AT571" i="5"/>
  <c r="AX571" i="5" s="1"/>
  <c r="AT570" i="5"/>
  <c r="AV570" i="5" s="1"/>
  <c r="AQ570" i="5"/>
  <c r="AT569" i="5"/>
  <c r="AW569" i="5" s="1"/>
  <c r="AT567" i="5"/>
  <c r="AX567" i="5" s="1"/>
  <c r="AQ566" i="5"/>
  <c r="AT565" i="5"/>
  <c r="AW565" i="5" s="1"/>
  <c r="AT564" i="5"/>
  <c r="AX564" i="5" s="1"/>
  <c r="AT563" i="5"/>
  <c r="AX563" i="5" s="1"/>
  <c r="AQ563" i="5"/>
  <c r="AT562" i="5"/>
  <c r="AV562" i="5" s="1"/>
  <c r="AT561" i="5"/>
  <c r="AW561" i="5" s="1"/>
  <c r="AQ561" i="5"/>
  <c r="AQ559" i="5"/>
  <c r="AT558" i="5"/>
  <c r="AV558" i="5" s="1"/>
  <c r="AT557" i="5"/>
  <c r="AW557" i="5" s="1"/>
  <c r="AQ557" i="5"/>
  <c r="AT556" i="5"/>
  <c r="AX556" i="5" s="1"/>
  <c r="AQ555" i="5"/>
  <c r="AT554" i="5"/>
  <c r="AV554" i="5" s="1"/>
  <c r="AT553" i="5"/>
  <c r="AW553" i="5" s="1"/>
  <c r="AT552" i="5"/>
  <c r="AX552" i="5" s="1"/>
  <c r="AT551" i="5"/>
  <c r="AX551" i="5" s="1"/>
  <c r="AQ551" i="5"/>
  <c r="AQ550" i="5"/>
  <c r="AT549" i="5"/>
  <c r="AW549" i="5" s="1"/>
  <c r="AQ548" i="5"/>
  <c r="AT547" i="5"/>
  <c r="AX547" i="5" s="1"/>
  <c r="AQ547" i="5"/>
  <c r="AQ546" i="5"/>
  <c r="AT545" i="5"/>
  <c r="AW545" i="5" s="1"/>
  <c r="AT544" i="5"/>
  <c r="AX544" i="5" s="1"/>
  <c r="AT543" i="5"/>
  <c r="AX543" i="5" s="1"/>
  <c r="AQ543" i="5"/>
  <c r="AT542" i="5"/>
  <c r="AV542" i="5" s="1"/>
  <c r="AQ542" i="5"/>
  <c r="AQ541" i="5"/>
  <c r="AT540" i="5"/>
  <c r="AX540" i="5" s="1"/>
  <c r="AT539" i="5"/>
  <c r="AQ539" i="5"/>
  <c r="AT538" i="5"/>
  <c r="AV538" i="5" s="1"/>
  <c r="AQ538" i="5"/>
  <c r="AQ537" i="5"/>
  <c r="AT535" i="5"/>
  <c r="AQ535" i="5"/>
  <c r="AT534" i="5"/>
  <c r="AV534" i="5" s="1"/>
  <c r="AQ534" i="5"/>
  <c r="AT533" i="5"/>
  <c r="AW533" i="5" s="1"/>
  <c r="AQ533" i="5"/>
  <c r="AT531" i="5"/>
  <c r="AX531" i="5" s="1"/>
  <c r="AT530" i="5"/>
  <c r="AV530" i="5" s="1"/>
  <c r="AQ530" i="5"/>
  <c r="AT529" i="5"/>
  <c r="AW529" i="5" s="1"/>
  <c r="AQ529" i="5"/>
  <c r="AT527" i="5"/>
  <c r="AX527" i="5" s="1"/>
  <c r="AT526" i="5"/>
  <c r="AV526" i="5" s="1"/>
  <c r="AQ526" i="5"/>
  <c r="AT525" i="5"/>
  <c r="AW525" i="5" s="1"/>
  <c r="AQ525" i="5"/>
  <c r="AQ524" i="5"/>
  <c r="AT522" i="5"/>
  <c r="AV522" i="5" s="1"/>
  <c r="AT521" i="5"/>
  <c r="AW521" i="5" s="1"/>
  <c r="AT520" i="5"/>
  <c r="AQ520" i="5"/>
  <c r="AQ519" i="5"/>
  <c r="AT518" i="5"/>
  <c r="AV518" i="5" s="1"/>
  <c r="AT517" i="5"/>
  <c r="AW517" i="5" s="1"/>
  <c r="AQ517" i="5"/>
  <c r="AT516" i="5"/>
  <c r="AX516" i="5" s="1"/>
  <c r="AT515" i="5"/>
  <c r="AQ515" i="5"/>
  <c r="AT513" i="5"/>
  <c r="AW513" i="5" s="1"/>
  <c r="AQ512" i="5"/>
  <c r="AT511" i="5"/>
  <c r="AQ511" i="5"/>
  <c r="AQ510" i="5"/>
  <c r="AT509" i="5"/>
  <c r="AW509" i="5" s="1"/>
  <c r="AT508" i="5"/>
  <c r="AX508" i="5" s="1"/>
  <c r="AT507" i="5"/>
  <c r="AX507" i="5" s="1"/>
  <c r="AQ507" i="5"/>
  <c r="AT506" i="5"/>
  <c r="AV506" i="5" s="1"/>
  <c r="AQ506" i="5"/>
  <c r="AT504" i="5"/>
  <c r="AQ504" i="5"/>
  <c r="AT503" i="5"/>
  <c r="AX503" i="5" s="1"/>
  <c r="AT502" i="5"/>
  <c r="AV502" i="5" s="1"/>
  <c r="AQ502" i="5"/>
  <c r="AQ501" i="5"/>
  <c r="AT500" i="5"/>
  <c r="AX500" i="5" s="1"/>
  <c r="AT498" i="5"/>
  <c r="AQ498" i="5"/>
  <c r="AT497" i="5"/>
  <c r="AW497" i="5" s="1"/>
  <c r="AQ497" i="5"/>
  <c r="AT495" i="5"/>
  <c r="AX495" i="5" s="1"/>
  <c r="AQ495" i="5"/>
  <c r="AT494" i="5"/>
  <c r="AV494" i="5" s="1"/>
  <c r="AT493" i="5"/>
  <c r="AW493" i="5" s="1"/>
  <c r="AQ493" i="5"/>
  <c r="AT491" i="5"/>
  <c r="AT490" i="5"/>
  <c r="AV490" i="5" s="1"/>
  <c r="AT489" i="5"/>
  <c r="AW489" i="5" s="1"/>
  <c r="AQ489" i="5"/>
  <c r="AT488" i="5"/>
  <c r="AX488" i="5" s="1"/>
  <c r="AQ488" i="5"/>
  <c r="AQ487" i="5"/>
  <c r="AT486" i="5"/>
  <c r="AV486" i="5" s="1"/>
  <c r="AT485" i="5"/>
  <c r="AW485" i="5" s="1"/>
  <c r="AT484" i="5"/>
  <c r="AT483" i="5"/>
  <c r="AX483" i="5" s="1"/>
  <c r="AQ483" i="5"/>
  <c r="AT482" i="5"/>
  <c r="AV482" i="5" s="1"/>
  <c r="AQ482" i="5"/>
  <c r="AT480" i="5"/>
  <c r="AX480" i="5" s="1"/>
  <c r="AT479" i="5"/>
  <c r="AX479" i="5" s="1"/>
  <c r="AQ479" i="5"/>
  <c r="AQ478" i="5"/>
  <c r="AT477" i="5"/>
  <c r="AW477" i="5" s="1"/>
  <c r="AQ477" i="5"/>
  <c r="AT476" i="5"/>
  <c r="AY476" i="5" s="1"/>
  <c r="AQ475" i="5"/>
  <c r="AT474" i="5"/>
  <c r="AV474" i="5" s="1"/>
  <c r="AQ474" i="5"/>
  <c r="AT473" i="5"/>
  <c r="AW473" i="5" s="1"/>
  <c r="AQ473" i="5"/>
  <c r="AT471" i="5"/>
  <c r="AW471" i="5" s="1"/>
  <c r="AQ471" i="5"/>
  <c r="AT470" i="5"/>
  <c r="AV470" i="5" s="1"/>
  <c r="AQ469" i="5"/>
  <c r="AT468" i="5"/>
  <c r="AX468" i="5" s="1"/>
  <c r="AT467" i="5"/>
  <c r="AX467" i="5" s="1"/>
  <c r="AT466" i="5"/>
  <c r="AV466" i="5" s="1"/>
  <c r="AT465" i="5"/>
  <c r="AW465" i="5" s="1"/>
  <c r="AQ465" i="5"/>
  <c r="AT464" i="5"/>
  <c r="AX464" i="5" s="1"/>
  <c r="AQ464" i="5"/>
  <c r="AT462" i="5"/>
  <c r="AV462" i="5" s="1"/>
  <c r="AQ462" i="5"/>
  <c r="AT461" i="5"/>
  <c r="AW461" i="5" s="1"/>
  <c r="AT459" i="5"/>
  <c r="AX459" i="5" s="1"/>
  <c r="AQ459" i="5"/>
  <c r="AT458" i="5"/>
  <c r="AV458" i="5" s="1"/>
  <c r="AT457" i="5"/>
  <c r="AW457" i="5" s="1"/>
  <c r="AT456" i="5"/>
  <c r="AX456" i="5" s="1"/>
  <c r="AT455" i="5"/>
  <c r="AQ455" i="5"/>
  <c r="AT453" i="5"/>
  <c r="AW453" i="5" s="1"/>
  <c r="AQ453" i="5"/>
  <c r="AT452" i="5"/>
  <c r="AX452" i="5" s="1"/>
  <c r="AQ451" i="5"/>
  <c r="AT450" i="5"/>
  <c r="AV450" i="5" s="1"/>
  <c r="AT449" i="5"/>
  <c r="AW449" i="5" s="1"/>
  <c r="AQ449" i="5"/>
  <c r="AT448" i="5"/>
  <c r="AX448" i="5" s="1"/>
  <c r="AT447" i="5"/>
  <c r="AX447" i="5" s="1"/>
  <c r="AQ447" i="5"/>
  <c r="AT446" i="5"/>
  <c r="AV446" i="5" s="1"/>
  <c r="AQ446" i="5"/>
  <c r="AT444" i="5"/>
  <c r="AX444" i="5" s="1"/>
  <c r="AT443" i="5"/>
  <c r="AQ442" i="5"/>
  <c r="AT441" i="5"/>
  <c r="AW441" i="5" s="1"/>
  <c r="AT440" i="5"/>
  <c r="AX440" i="5" s="1"/>
  <c r="AQ440" i="5"/>
  <c r="AT438" i="5"/>
  <c r="AV438" i="5" s="1"/>
  <c r="AQ438" i="5"/>
  <c r="AT437" i="5"/>
  <c r="AW437" i="5" s="1"/>
  <c r="AQ437" i="5"/>
  <c r="AT435" i="5"/>
  <c r="AX435" i="5" s="1"/>
  <c r="AQ435" i="5"/>
  <c r="AT434" i="5"/>
  <c r="AV434" i="5" s="1"/>
  <c r="AQ433" i="5"/>
  <c r="AT432" i="5"/>
  <c r="AX432" i="5" s="1"/>
  <c r="AT431" i="5"/>
  <c r="AX431" i="5" s="1"/>
  <c r="AQ431" i="5"/>
  <c r="AT430" i="5"/>
  <c r="AV430" i="5" s="1"/>
  <c r="AT429" i="5"/>
  <c r="AW429" i="5" s="1"/>
  <c r="AQ429" i="5"/>
  <c r="AT428" i="5"/>
  <c r="AX428" i="5" s="1"/>
  <c r="AQ428" i="5"/>
  <c r="AT426" i="5"/>
  <c r="AV426" i="5" s="1"/>
  <c r="AQ426" i="5"/>
  <c r="AT425" i="5"/>
  <c r="AW425" i="5" s="1"/>
  <c r="AQ424" i="5"/>
  <c r="AT423" i="5"/>
  <c r="AX423" i="5" s="1"/>
  <c r="AT422" i="5"/>
  <c r="AV422" i="5" s="1"/>
  <c r="AT421" i="5"/>
  <c r="AW421" i="5" s="1"/>
  <c r="AT420" i="5"/>
  <c r="AX420" i="5" s="1"/>
  <c r="AQ420" i="5"/>
  <c r="AT419" i="5"/>
  <c r="AX419" i="5" s="1"/>
  <c r="AT417" i="5"/>
  <c r="AW417" i="5" s="1"/>
  <c r="AT416" i="5"/>
  <c r="AX416" i="5" s="1"/>
  <c r="AQ416" i="5"/>
  <c r="AQ415" i="5"/>
  <c r="AT413" i="5"/>
  <c r="AW413" i="5" s="1"/>
  <c r="AQ413" i="5"/>
  <c r="AT412" i="5"/>
  <c r="AX412" i="5" s="1"/>
  <c r="AQ412" i="5"/>
  <c r="AT411" i="5"/>
  <c r="AX411" i="5" s="1"/>
  <c r="AT410" i="5"/>
  <c r="AV410" i="5" s="1"/>
  <c r="AT409" i="5"/>
  <c r="AW409" i="5" s="1"/>
  <c r="AQ409" i="5"/>
  <c r="AT408" i="5"/>
  <c r="AX408" i="5" s="1"/>
  <c r="AQ407" i="5"/>
  <c r="AT405" i="5"/>
  <c r="AW405" i="5" s="1"/>
  <c r="AT404" i="5"/>
  <c r="AX404" i="5" s="1"/>
  <c r="AT403" i="5"/>
  <c r="AX403" i="5" s="1"/>
  <c r="AQ403" i="5"/>
  <c r="AT402" i="5"/>
  <c r="AV402" i="5" s="1"/>
  <c r="AQ402" i="5"/>
  <c r="AT401" i="5"/>
  <c r="AW401" i="5" s="1"/>
  <c r="AQ400" i="5"/>
  <c r="AT399" i="5"/>
  <c r="AX399" i="5" s="1"/>
  <c r="AR399" i="5"/>
  <c r="AQ399" i="5"/>
  <c r="AR398" i="5"/>
  <c r="AQ398" i="5"/>
  <c r="AT396" i="5"/>
  <c r="AX396" i="5" s="1"/>
  <c r="AT395" i="5"/>
  <c r="AU395" i="5" s="1"/>
  <c r="AQ395" i="5"/>
  <c r="AT394" i="5"/>
  <c r="AV394" i="5" s="1"/>
  <c r="AQ394" i="5"/>
  <c r="AT393" i="5"/>
  <c r="AW393" i="5" s="1"/>
  <c r="AT392" i="5"/>
  <c r="AX392" i="5" s="1"/>
  <c r="AT391" i="5"/>
  <c r="AQ391" i="5"/>
  <c r="AT390" i="5"/>
  <c r="AV390" i="5" s="1"/>
  <c r="AR390" i="5"/>
  <c r="AQ390" i="5"/>
  <c r="AR389" i="5"/>
  <c r="AQ389" i="5"/>
  <c r="AT387" i="5"/>
  <c r="AT386" i="5"/>
  <c r="AV386" i="5" s="1"/>
  <c r="AQ386" i="5"/>
  <c r="AT385" i="5"/>
  <c r="AW385" i="5" s="1"/>
  <c r="AQ385" i="5"/>
  <c r="AT384" i="5"/>
  <c r="AT383" i="5"/>
  <c r="AX383" i="5" s="1"/>
  <c r="AT382" i="5"/>
  <c r="AV382" i="5" s="1"/>
  <c r="AQ382" i="5"/>
  <c r="AT381" i="5"/>
  <c r="AW381" i="5" s="1"/>
  <c r="AQ381" i="5"/>
  <c r="AT378" i="5"/>
  <c r="AV378" i="5" s="1"/>
  <c r="AT377" i="5"/>
  <c r="AW377" i="5" s="1"/>
  <c r="AQ377" i="5"/>
  <c r="AQ376" i="5"/>
  <c r="AT375" i="5"/>
  <c r="AX375" i="5" s="1"/>
  <c r="AT374" i="5"/>
  <c r="AV374" i="5" s="1"/>
  <c r="AT373" i="5"/>
  <c r="AW373" i="5" s="1"/>
  <c r="AQ373" i="5"/>
  <c r="AT372" i="5"/>
  <c r="AQ371" i="5"/>
  <c r="AT369" i="5"/>
  <c r="AW369" i="5" s="1"/>
  <c r="AT368" i="5"/>
  <c r="AT367" i="5"/>
  <c r="AX367" i="5" s="1"/>
  <c r="AQ367" i="5"/>
  <c r="AT366" i="5"/>
  <c r="AV366" i="5" s="1"/>
  <c r="AT365" i="5"/>
  <c r="AW365" i="5" s="1"/>
  <c r="AQ364" i="5"/>
  <c r="AT363" i="5"/>
  <c r="AX363" i="5" s="1"/>
  <c r="AR363" i="5"/>
  <c r="AQ363" i="5"/>
  <c r="AR362" i="5"/>
  <c r="AQ362" i="5"/>
  <c r="AT360" i="5"/>
  <c r="AX360" i="5" s="1"/>
  <c r="AT359" i="5"/>
  <c r="AX359" i="5" s="1"/>
  <c r="AT358" i="5"/>
  <c r="AV358" i="5" s="1"/>
  <c r="AQ358" i="5"/>
  <c r="AT357" i="5"/>
  <c r="AW357" i="5" s="1"/>
  <c r="AT356" i="5"/>
  <c r="AX356" i="5" s="1"/>
  <c r="AT355" i="5"/>
  <c r="AX355" i="5" s="1"/>
  <c r="AT354" i="5"/>
  <c r="AV354" i="5" s="1"/>
  <c r="AR354" i="5"/>
  <c r="AQ354" i="5"/>
  <c r="AR353" i="5"/>
  <c r="AQ353" i="5"/>
  <c r="AT351" i="5"/>
  <c r="AX351" i="5" s="1"/>
  <c r="AQ351" i="5"/>
  <c r="AT350" i="5"/>
  <c r="AV350" i="5" s="1"/>
  <c r="AT349" i="5"/>
  <c r="AW349" i="5" s="1"/>
  <c r="AQ349" i="5"/>
  <c r="AT348" i="5"/>
  <c r="AX348" i="5" s="1"/>
  <c r="AT347" i="5"/>
  <c r="AX347" i="5" s="1"/>
  <c r="AT346" i="5"/>
  <c r="AV346" i="5" s="1"/>
  <c r="AT345" i="5"/>
  <c r="AW345" i="5" s="1"/>
  <c r="AQ345" i="5"/>
  <c r="AT344" i="5"/>
  <c r="AX344" i="5" s="1"/>
  <c r="AR343" i="5"/>
  <c r="AQ343" i="5"/>
  <c r="AQ342" i="5"/>
  <c r="AT341" i="5"/>
  <c r="AW341" i="5" s="1"/>
  <c r="AT339" i="5"/>
  <c r="AQ339" i="5"/>
  <c r="AT338" i="5"/>
  <c r="AV338" i="5" s="1"/>
  <c r="AQ338" i="5"/>
  <c r="AT337" i="5"/>
  <c r="AW337" i="5" s="1"/>
  <c r="AT336" i="5"/>
  <c r="AX336" i="5" s="1"/>
  <c r="AT335" i="5"/>
  <c r="AX335" i="5" s="1"/>
  <c r="AQ335" i="5"/>
  <c r="AQ334" i="5"/>
  <c r="AQ333" i="5"/>
  <c r="AT332" i="5"/>
  <c r="AX332" i="5" s="1"/>
  <c r="AT331" i="5"/>
  <c r="AX331" i="5" s="1"/>
  <c r="AT330" i="5"/>
  <c r="AV330" i="5" s="1"/>
  <c r="AQ330" i="5"/>
  <c r="AT329" i="5"/>
  <c r="AW329" i="5" s="1"/>
  <c r="AQ329" i="5"/>
  <c r="AT328" i="5"/>
  <c r="AX328" i="5" s="1"/>
  <c r="AT326" i="5"/>
  <c r="AR326" i="5"/>
  <c r="AQ326" i="5"/>
  <c r="AR325" i="5"/>
  <c r="AQ325" i="5"/>
  <c r="AT323" i="5"/>
  <c r="AX323" i="5" s="1"/>
  <c r="AT322" i="5"/>
  <c r="AV322" i="5" s="1"/>
  <c r="AT321" i="5"/>
  <c r="AW321" i="5" s="1"/>
  <c r="AQ321" i="5"/>
  <c r="AT320" i="5"/>
  <c r="AX320" i="5" s="1"/>
  <c r="AQ320" i="5"/>
  <c r="AT319" i="5"/>
  <c r="AX319" i="5" s="1"/>
  <c r="AT318" i="5"/>
  <c r="AV318" i="5" s="1"/>
  <c r="AT317" i="5"/>
  <c r="AW317" i="5" s="1"/>
  <c r="AR317" i="5"/>
  <c r="AQ317" i="5"/>
  <c r="AR316" i="5"/>
  <c r="AQ316" i="5"/>
  <c r="AT314" i="5"/>
  <c r="AV314" i="5" s="1"/>
  <c r="AQ314" i="5"/>
  <c r="AT313" i="5"/>
  <c r="AW313" i="5" s="1"/>
  <c r="AT312" i="5"/>
  <c r="AX312" i="5" s="1"/>
  <c r="AT311" i="5"/>
  <c r="AX311" i="5" s="1"/>
  <c r="AQ311" i="5"/>
  <c r="AT310" i="5"/>
  <c r="AV310" i="5" s="1"/>
  <c r="AT309" i="5"/>
  <c r="AW309" i="5" s="1"/>
  <c r="AT308" i="5"/>
  <c r="AX308" i="5" s="1"/>
  <c r="AQ308" i="5"/>
  <c r="AW305" i="5"/>
  <c r="AX304" i="5"/>
  <c r="AQ303" i="5"/>
  <c r="AQ302" i="5"/>
  <c r="AW301" i="5"/>
  <c r="AQ299" i="5"/>
  <c r="AQ298" i="5"/>
  <c r="AQ294" i="5"/>
  <c r="AQ290" i="5"/>
  <c r="AQ289" i="5"/>
  <c r="AQ286" i="5"/>
  <c r="AQ285" i="5"/>
  <c r="AQ280" i="5"/>
  <c r="AQ277" i="5"/>
  <c r="AQ268" i="5"/>
  <c r="AQ262" i="5"/>
  <c r="AQ259" i="5"/>
  <c r="AQ253" i="5"/>
  <c r="AQ250" i="5"/>
  <c r="AQ244" i="5"/>
  <c r="AQ243" i="5"/>
  <c r="AQ237" i="5"/>
  <c r="AQ234" i="5"/>
  <c r="AQ230" i="5"/>
  <c r="AQ228" i="5"/>
  <c r="AQ225" i="5"/>
  <c r="AQ221" i="5"/>
  <c r="AQ219" i="5"/>
  <c r="AQ216" i="5"/>
  <c r="AQ212" i="5"/>
  <c r="AQ207" i="5"/>
  <c r="AQ203" i="5"/>
  <c r="AQ194" i="5"/>
  <c r="AQ191" i="5"/>
  <c r="AQ185" i="5"/>
  <c r="AQ181" i="5"/>
  <c r="AQ176" i="5"/>
  <c r="AQ172" i="5"/>
  <c r="AQ169" i="5"/>
  <c r="AQ159" i="5"/>
  <c r="AQ157" i="5"/>
  <c r="AQ147" i="5"/>
  <c r="AQ139" i="5"/>
  <c r="AQ134" i="5"/>
  <c r="AQ129" i="5"/>
  <c r="AQ125" i="5"/>
  <c r="AQ121" i="5"/>
  <c r="AR120" i="5"/>
  <c r="AQ120" i="5"/>
  <c r="AQ116" i="5"/>
  <c r="AQ112" i="5"/>
  <c r="AR111" i="5"/>
  <c r="AQ111" i="5"/>
  <c r="AQ107" i="5"/>
  <c r="AQ103" i="5"/>
  <c r="AQ96" i="5"/>
  <c r="AQ93" i="5"/>
  <c r="AQ91" i="5"/>
  <c r="AQ87" i="5"/>
  <c r="AR84" i="5"/>
  <c r="AQ84" i="5"/>
  <c r="AQ82" i="5"/>
  <c r="AQ78" i="5"/>
  <c r="AR75" i="5"/>
  <c r="AQ75" i="5"/>
  <c r="AR74" i="5"/>
  <c r="AQ74" i="5"/>
  <c r="AQ73" i="5"/>
  <c r="AQ70" i="5"/>
  <c r="AQ66" i="5"/>
  <c r="AQ64" i="5"/>
  <c r="AQ61" i="5"/>
  <c r="AQ60" i="5"/>
  <c r="AR57" i="5"/>
  <c r="AQ57" i="5"/>
  <c r="AQ55" i="5"/>
  <c r="AQ51" i="5"/>
  <c r="AR48" i="5"/>
  <c r="AQ48" i="5"/>
  <c r="AR47" i="5"/>
  <c r="AQ47" i="5"/>
  <c r="AQ43" i="5"/>
  <c r="AQ42" i="5"/>
  <c r="AQ41" i="5"/>
  <c r="AR39" i="5"/>
  <c r="AQ39" i="5"/>
  <c r="AR38" i="5"/>
  <c r="AQ38" i="5"/>
  <c r="A6" i="5" l="1"/>
  <c r="BL6" i="5" s="1"/>
  <c r="AW2801" i="5"/>
  <c r="AV2810" i="5"/>
  <c r="AU2511" i="5"/>
  <c r="AV2297" i="5"/>
  <c r="AY2335" i="5"/>
  <c r="AV2556" i="5"/>
  <c r="AV2569" i="5"/>
  <c r="AW2603" i="5"/>
  <c r="AV2605" i="5"/>
  <c r="AY3809" i="5"/>
  <c r="AV4056" i="5"/>
  <c r="AU4057" i="5"/>
  <c r="AW4204" i="5"/>
  <c r="AU3907" i="5"/>
  <c r="AV3959" i="5"/>
  <c r="AW3979" i="5"/>
  <c r="AU3320" i="5"/>
  <c r="AY3329" i="5"/>
  <c r="AV403" i="5"/>
  <c r="AY2221" i="5"/>
  <c r="AV787" i="5"/>
  <c r="AV812" i="5"/>
  <c r="AV1388" i="5"/>
  <c r="AU1637" i="5"/>
  <c r="AU1644" i="5"/>
  <c r="AX1768" i="5"/>
  <c r="AV2682" i="5"/>
  <c r="AW2691" i="5"/>
  <c r="AW3065" i="5"/>
  <c r="AV3875" i="5"/>
  <c r="AV399" i="5"/>
  <c r="AV619" i="5"/>
  <c r="AU969" i="5"/>
  <c r="AW3797" i="5"/>
  <c r="AX443" i="5"/>
  <c r="AV443" i="5"/>
  <c r="AX1292" i="5"/>
  <c r="AU1292" i="5"/>
  <c r="AX1334" i="5"/>
  <c r="AW1334" i="5"/>
  <c r="AX2117" i="5"/>
  <c r="AV2117" i="5"/>
  <c r="AX2248" i="5"/>
  <c r="AV2248" i="5"/>
  <c r="AW2898" i="5"/>
  <c r="AV2898" i="5"/>
  <c r="AX3685" i="5"/>
  <c r="AV3685" i="5"/>
  <c r="AX339" i="5"/>
  <c r="AV339" i="5"/>
  <c r="AV738" i="5"/>
  <c r="AW738" i="5"/>
  <c r="AX1325" i="5"/>
  <c r="AU1325" i="5"/>
  <c r="AY4558" i="5"/>
  <c r="AW4558" i="5"/>
  <c r="AX372" i="5"/>
  <c r="AV372" i="5"/>
  <c r="AV498" i="5"/>
  <c r="AW498" i="5"/>
  <c r="AX736" i="5"/>
  <c r="AY736" i="5"/>
  <c r="AV830" i="5"/>
  <c r="AW830" i="5"/>
  <c r="AX1316" i="5"/>
  <c r="AV1316" i="5"/>
  <c r="AX2105" i="5"/>
  <c r="AU2105" i="5"/>
  <c r="AV2105" i="5"/>
  <c r="AV2227" i="5"/>
  <c r="AW2227" i="5"/>
  <c r="AY2227" i="5"/>
  <c r="AV2275" i="5"/>
  <c r="AY2275" i="5"/>
  <c r="AX2875" i="5"/>
  <c r="AU2875" i="5"/>
  <c r="AV3772" i="5"/>
  <c r="AW3772" i="5"/>
  <c r="AX588" i="5"/>
  <c r="AY588" i="5"/>
  <c r="AY2838" i="5"/>
  <c r="AV2838" i="5"/>
  <c r="AX384" i="5"/>
  <c r="AV384" i="5"/>
  <c r="AX368" i="5"/>
  <c r="AU368" i="5"/>
  <c r="AX455" i="5"/>
  <c r="AW455" i="5"/>
  <c r="AU455" i="5"/>
  <c r="AV590" i="5"/>
  <c r="AW590" i="5"/>
  <c r="AY1379" i="5"/>
  <c r="AW1379" i="5"/>
  <c r="AY1551" i="5"/>
  <c r="AV1551" i="5"/>
  <c r="AY2850" i="5"/>
  <c r="AV2850" i="5"/>
  <c r="AW2850" i="5"/>
  <c r="AW2918" i="5"/>
  <c r="AV2918" i="5"/>
  <c r="AW2934" i="5"/>
  <c r="AV2934" i="5"/>
  <c r="AX3770" i="5"/>
  <c r="AY3770" i="5"/>
  <c r="AX3819" i="5"/>
  <c r="AV3819" i="5"/>
  <c r="AW490" i="5"/>
  <c r="AV580" i="5"/>
  <c r="AW582" i="5"/>
  <c r="AY708" i="5"/>
  <c r="AU855" i="5"/>
  <c r="AU1428" i="5"/>
  <c r="AW1460" i="5"/>
  <c r="AV1745" i="5"/>
  <c r="AV1769" i="5"/>
  <c r="AX1854" i="5"/>
  <c r="AU2029" i="5"/>
  <c r="AV2102" i="5"/>
  <c r="AU2175" i="5"/>
  <c r="AV2177" i="5"/>
  <c r="AW2185" i="5"/>
  <c r="AW2189" i="5"/>
  <c r="AU2191" i="5"/>
  <c r="AW2415" i="5"/>
  <c r="AW2853" i="5"/>
  <c r="AW2865" i="5"/>
  <c r="AV2874" i="5"/>
  <c r="AV2883" i="5"/>
  <c r="AW2925" i="5"/>
  <c r="AY3217" i="5"/>
  <c r="AV3525" i="5"/>
  <c r="AW3835" i="5"/>
  <c r="AW3839" i="5"/>
  <c r="AU3843" i="5"/>
  <c r="AU3865" i="5"/>
  <c r="AV3871" i="5"/>
  <c r="AV3878" i="5"/>
  <c r="AU392" i="5"/>
  <c r="AU583" i="5"/>
  <c r="AW634" i="5"/>
  <c r="AU635" i="5"/>
  <c r="AY1148" i="5"/>
  <c r="AV392" i="5"/>
  <c r="AV540" i="5"/>
  <c r="AV547" i="5"/>
  <c r="AV551" i="5"/>
  <c r="AY580" i="5"/>
  <c r="AV583" i="5"/>
  <c r="AU619" i="5"/>
  <c r="AU624" i="5"/>
  <c r="AW626" i="5"/>
  <c r="AV635" i="5"/>
  <c r="AV1039" i="5"/>
  <c r="AV1051" i="5"/>
  <c r="AV1068" i="5"/>
  <c r="AX1233" i="5"/>
  <c r="AV1235" i="5"/>
  <c r="AU1241" i="5"/>
  <c r="AU1677" i="5"/>
  <c r="AW1769" i="5"/>
  <c r="AW2175" i="5"/>
  <c r="AW2177" i="5"/>
  <c r="AW2191" i="5"/>
  <c r="AV3509" i="5"/>
  <c r="AW3871" i="5"/>
  <c r="AX1444" i="5"/>
  <c r="AU1444" i="5"/>
  <c r="AW2974" i="5"/>
  <c r="AU2974" i="5"/>
  <c r="AV3015" i="5"/>
  <c r="AW3015" i="5"/>
  <c r="AU3015" i="5"/>
  <c r="AY3999" i="5"/>
  <c r="AW3999" i="5"/>
  <c r="AP39" i="5"/>
  <c r="AU344" i="5"/>
  <c r="AV363" i="5"/>
  <c r="AV556" i="5"/>
  <c r="AU616" i="5"/>
  <c r="AU644" i="5"/>
  <c r="AU664" i="5"/>
  <c r="AU720" i="5"/>
  <c r="AV791" i="5"/>
  <c r="AV792" i="5"/>
  <c r="AU816" i="5"/>
  <c r="AX872" i="5"/>
  <c r="AU873" i="5"/>
  <c r="AV879" i="5"/>
  <c r="AU891" i="5"/>
  <c r="AU916" i="5"/>
  <c r="AX1086" i="5"/>
  <c r="AV1095" i="5"/>
  <c r="AW1419" i="5"/>
  <c r="AY1443" i="5"/>
  <c r="AW1443" i="5"/>
  <c r="AY1455" i="5"/>
  <c r="AV1455" i="5"/>
  <c r="AX1516" i="5"/>
  <c r="AV1516" i="5"/>
  <c r="AV1896" i="5"/>
  <c r="AX1896" i="5"/>
  <c r="AV2487" i="5"/>
  <c r="AW2487" i="5"/>
  <c r="AU2973" i="5"/>
  <c r="AY2973" i="5"/>
  <c r="AX3117" i="5"/>
  <c r="AW3117" i="5"/>
  <c r="AW3181" i="5"/>
  <c r="AX3634" i="5"/>
  <c r="AY3634" i="5"/>
  <c r="AX4433" i="5"/>
  <c r="AY4433" i="5"/>
  <c r="AU4433" i="5"/>
  <c r="B9" i="5"/>
  <c r="AV344" i="5"/>
  <c r="AU347" i="5"/>
  <c r="AV351" i="5"/>
  <c r="AV355" i="5"/>
  <c r="AU359" i="5"/>
  <c r="AV396" i="5"/>
  <c r="AW411" i="5"/>
  <c r="AW419" i="5"/>
  <c r="AY468" i="5"/>
  <c r="AU516" i="5"/>
  <c r="AV615" i="5"/>
  <c r="AU632" i="5"/>
  <c r="AU663" i="5"/>
  <c r="AU680" i="5"/>
  <c r="AU700" i="5"/>
  <c r="AV711" i="5"/>
  <c r="AU731" i="5"/>
  <c r="AV780" i="5"/>
  <c r="AW810" i="5"/>
  <c r="AV816" i="5"/>
  <c r="AV827" i="5"/>
  <c r="AV828" i="5"/>
  <c r="AV831" i="5"/>
  <c r="AV839" i="5"/>
  <c r="AV891" i="5"/>
  <c r="AW903" i="5"/>
  <c r="AV915" i="5"/>
  <c r="AX1082" i="5"/>
  <c r="AX1254" i="5"/>
  <c r="AU1256" i="5"/>
  <c r="AV1368" i="5"/>
  <c r="AY1451" i="5"/>
  <c r="AV1451" i="5"/>
  <c r="AW1896" i="5"/>
  <c r="AU2487" i="5"/>
  <c r="AV2491" i="5"/>
  <c r="AW2491" i="5"/>
  <c r="AX2498" i="5"/>
  <c r="AU2533" i="5"/>
  <c r="AW2535" i="5"/>
  <c r="AV2657" i="5"/>
  <c r="AY2657" i="5"/>
  <c r="AV3018" i="5"/>
  <c r="AW3022" i="5"/>
  <c r="AV3022" i="5"/>
  <c r="AY3150" i="5"/>
  <c r="AU3150" i="5"/>
  <c r="AX3593" i="5"/>
  <c r="AU3593" i="5"/>
  <c r="AV3634" i="5"/>
  <c r="AX3670" i="5"/>
  <c r="AY3670" i="5"/>
  <c r="AX3678" i="5"/>
  <c r="AV3678" i="5"/>
  <c r="AW3713" i="5"/>
  <c r="AU3713" i="5"/>
  <c r="AX3754" i="5"/>
  <c r="AY3754" i="5"/>
  <c r="AV3780" i="5"/>
  <c r="AW3780" i="5"/>
  <c r="AY3955" i="5"/>
  <c r="AV3956" i="5"/>
  <c r="AX4121" i="5"/>
  <c r="AW4121" i="5"/>
  <c r="AV4121" i="5"/>
  <c r="AX4283" i="5"/>
  <c r="AV4283" i="5"/>
  <c r="AX4287" i="5"/>
  <c r="AV4287" i="5"/>
  <c r="AW4348" i="5"/>
  <c r="AV4417" i="5"/>
  <c r="AX4424" i="5"/>
  <c r="AU4424" i="5"/>
  <c r="AX2489" i="5"/>
  <c r="AW2489" i="5"/>
  <c r="AV2489" i="5"/>
  <c r="AV3617" i="5"/>
  <c r="AY3617" i="5"/>
  <c r="AV3724" i="5"/>
  <c r="AW3724" i="5"/>
  <c r="AX4174" i="5"/>
  <c r="AY4174" i="5"/>
  <c r="AX4196" i="5"/>
  <c r="AW4196" i="5"/>
  <c r="AV4196" i="5"/>
  <c r="AX4300" i="5"/>
  <c r="AV4300" i="5"/>
  <c r="AX4323" i="5"/>
  <c r="AW4323" i="5"/>
  <c r="AV4323" i="5"/>
  <c r="AV348" i="5"/>
  <c r="AV367" i="5"/>
  <c r="AV411" i="5"/>
  <c r="AW474" i="5"/>
  <c r="AU531" i="5"/>
  <c r="AU615" i="5"/>
  <c r="AV659" i="5"/>
  <c r="AY716" i="5"/>
  <c r="AW819" i="5"/>
  <c r="AU1124" i="5"/>
  <c r="AU1132" i="5"/>
  <c r="AX1145" i="5"/>
  <c r="AU1147" i="5"/>
  <c r="AV1163" i="5"/>
  <c r="AV1164" i="5"/>
  <c r="AV1370" i="5"/>
  <c r="AW1370" i="5"/>
  <c r="AU1420" i="5"/>
  <c r="AV1913" i="5"/>
  <c r="AY2661" i="5"/>
  <c r="AU2661" i="5"/>
  <c r="AW3014" i="5"/>
  <c r="AV3014" i="5"/>
  <c r="AX3817" i="5"/>
  <c r="AW3817" i="5"/>
  <c r="AX3957" i="5"/>
  <c r="AW3957" i="5"/>
  <c r="AV4009" i="5"/>
  <c r="AW4009" i="5"/>
  <c r="AU4196" i="5"/>
  <c r="AY344" i="5"/>
  <c r="AW347" i="5"/>
  <c r="AW359" i="5"/>
  <c r="AY516" i="5"/>
  <c r="AV731" i="5"/>
  <c r="AX1388" i="5"/>
  <c r="AU1388" i="5"/>
  <c r="AX1448" i="5"/>
  <c r="AU1448" i="5"/>
  <c r="AX1464" i="5"/>
  <c r="AW1464" i="5"/>
  <c r="AV1478" i="5"/>
  <c r="AW1478" i="5"/>
  <c r="AX1888" i="5"/>
  <c r="AW1888" i="5"/>
  <c r="AV2338" i="5"/>
  <c r="AY2343" i="5"/>
  <c r="AV2421" i="5"/>
  <c r="AU2445" i="5"/>
  <c r="AX2482" i="5"/>
  <c r="AV2482" i="5"/>
  <c r="AU2491" i="5"/>
  <c r="AV2947" i="5"/>
  <c r="AW2947" i="5"/>
  <c r="AU2947" i="5"/>
  <c r="AW2978" i="5"/>
  <c r="AV2978" i="5"/>
  <c r="AV3071" i="5"/>
  <c r="AY3071" i="5"/>
  <c r="AW3135" i="5"/>
  <c r="AU3135" i="5"/>
  <c r="AY3399" i="5"/>
  <c r="AV3399" i="5"/>
  <c r="AX3418" i="5"/>
  <c r="AY3418" i="5"/>
  <c r="AV3419" i="5"/>
  <c r="AX3592" i="5"/>
  <c r="AV3592" i="5"/>
  <c r="AU3678" i="5"/>
  <c r="AV3742" i="5"/>
  <c r="AX3774" i="5"/>
  <c r="AY3774" i="5"/>
  <c r="AX4178" i="5"/>
  <c r="AY4178" i="5"/>
  <c r="AU4178" i="5"/>
  <c r="AX4281" i="5"/>
  <c r="AU4283" i="5"/>
  <c r="AW3089" i="5"/>
  <c r="AW3093" i="5"/>
  <c r="AY3252" i="5"/>
  <c r="AW3879" i="5"/>
  <c r="AW3899" i="5"/>
  <c r="AY3969" i="5"/>
  <c r="AY4027" i="5"/>
  <c r="AY4039" i="5"/>
  <c r="AV326" i="5"/>
  <c r="AW326" i="5"/>
  <c r="AY484" i="5"/>
  <c r="AV484" i="5"/>
  <c r="AV650" i="5"/>
  <c r="AW650" i="5"/>
  <c r="AX752" i="5"/>
  <c r="AU752" i="5"/>
  <c r="AX1024" i="5"/>
  <c r="AV1024" i="5"/>
  <c r="AX1116" i="5"/>
  <c r="AU1116" i="5"/>
  <c r="AY1311" i="5"/>
  <c r="AW1311" i="5"/>
  <c r="AX2388" i="5"/>
  <c r="AW2388" i="5"/>
  <c r="AV2667" i="5"/>
  <c r="AY2667" i="5"/>
  <c r="AW2667" i="5"/>
  <c r="AX3470" i="5"/>
  <c r="AY3470" i="5"/>
  <c r="AW3470" i="5"/>
  <c r="AV574" i="5"/>
  <c r="AW574" i="5"/>
  <c r="AX735" i="5"/>
  <c r="AU735" i="5"/>
  <c r="AX893" i="5"/>
  <c r="AY893" i="5"/>
  <c r="AU968" i="5"/>
  <c r="AU1020" i="5"/>
  <c r="AX1023" i="5"/>
  <c r="AV1023" i="5"/>
  <c r="AX1032" i="5"/>
  <c r="AU1032" i="5"/>
  <c r="AX1115" i="5"/>
  <c r="AU1115" i="5"/>
  <c r="AU1440" i="5"/>
  <c r="AV1519" i="5"/>
  <c r="AW1865" i="5"/>
  <c r="AV2388" i="5"/>
  <c r="AY2601" i="5"/>
  <c r="AU2601" i="5"/>
  <c r="AU2667" i="5"/>
  <c r="AY2886" i="5"/>
  <c r="AW2886" i="5"/>
  <c r="AV2886" i="5"/>
  <c r="AV3002" i="5"/>
  <c r="AU3005" i="5"/>
  <c r="AY3501" i="5"/>
  <c r="AV3501" i="5"/>
  <c r="AX3887" i="5"/>
  <c r="AW3887" i="5"/>
  <c r="AV3887" i="5"/>
  <c r="AV3890" i="5"/>
  <c r="AY3935" i="5"/>
  <c r="AW3935" i="5"/>
  <c r="AX3987" i="5"/>
  <c r="AW3987" i="5"/>
  <c r="AX4137" i="5"/>
  <c r="AV4137" i="5"/>
  <c r="AY4457" i="5"/>
  <c r="AX4457" i="5"/>
  <c r="AX391" i="5"/>
  <c r="AV391" i="5"/>
  <c r="AY412" i="5"/>
  <c r="AU416" i="5"/>
  <c r="AX515" i="5"/>
  <c r="AV515" i="5"/>
  <c r="AX647" i="5"/>
  <c r="AU647" i="5"/>
  <c r="AX655" i="5"/>
  <c r="AU655" i="5"/>
  <c r="AX672" i="5"/>
  <c r="AU672" i="5"/>
  <c r="AX684" i="5"/>
  <c r="AY684" i="5"/>
  <c r="AV684" i="5"/>
  <c r="AX692" i="5"/>
  <c r="AY692" i="5"/>
  <c r="AV692" i="5"/>
  <c r="AX715" i="5"/>
  <c r="AV715" i="5"/>
  <c r="AU715" i="5"/>
  <c r="AX724" i="5"/>
  <c r="AU724" i="5"/>
  <c r="AU859" i="5"/>
  <c r="AX942" i="5"/>
  <c r="AW942" i="5"/>
  <c r="AX967" i="5"/>
  <c r="AV967" i="5"/>
  <c r="AX1031" i="5"/>
  <c r="AU1031" i="5"/>
  <c r="AX1087" i="5"/>
  <c r="AV1087" i="5"/>
  <c r="AV1123" i="5"/>
  <c r="AX1192" i="5"/>
  <c r="AV1192" i="5"/>
  <c r="AX1304" i="5"/>
  <c r="AV1304" i="5"/>
  <c r="AX1352" i="5"/>
  <c r="AU1352" i="5"/>
  <c r="AY1439" i="5"/>
  <c r="AV1439" i="5"/>
  <c r="AX1580" i="5"/>
  <c r="AV1580" i="5"/>
  <c r="AX1829" i="5"/>
  <c r="AV1829" i="5"/>
  <c r="AX1957" i="5"/>
  <c r="AW1957" i="5"/>
  <c r="AV2164" i="5"/>
  <c r="AX2166" i="5"/>
  <c r="AV2166" i="5"/>
  <c r="AV2499" i="5"/>
  <c r="AW2499" i="5"/>
  <c r="AV2600" i="5"/>
  <c r="AX2741" i="5"/>
  <c r="AW2741" i="5"/>
  <c r="AV2741" i="5"/>
  <c r="AX2965" i="5"/>
  <c r="AW2965" i="5"/>
  <c r="AV2965" i="5"/>
  <c r="AX3037" i="5"/>
  <c r="AV3037" i="5"/>
  <c r="AU3037" i="5"/>
  <c r="AX3163" i="5"/>
  <c r="AV3163" i="5"/>
  <c r="AX3289" i="5"/>
  <c r="AY3289" i="5"/>
  <c r="AU3289" i="5"/>
  <c r="AX3321" i="5"/>
  <c r="AU3321" i="5"/>
  <c r="AY3360" i="5"/>
  <c r="AW3360" i="5"/>
  <c r="AV3360" i="5"/>
  <c r="AY3464" i="5"/>
  <c r="AW3464" i="5"/>
  <c r="AX3789" i="5"/>
  <c r="AU3789" i="5"/>
  <c r="AX3847" i="5"/>
  <c r="AW3847" i="5"/>
  <c r="AX3851" i="5"/>
  <c r="AW3851" i="5"/>
  <c r="AV3851" i="5"/>
  <c r="AX3855" i="5"/>
  <c r="AV3855" i="5"/>
  <c r="AX3883" i="5"/>
  <c r="AW3883" i="5"/>
  <c r="AV3883" i="5"/>
  <c r="AX4133" i="5"/>
  <c r="AV4133" i="5"/>
  <c r="AX4154" i="5"/>
  <c r="AV4154" i="5"/>
  <c r="AX4236" i="5"/>
  <c r="AW4236" i="5"/>
  <c r="AX4414" i="5"/>
  <c r="AY4414" i="5"/>
  <c r="AW4414" i="5"/>
  <c r="AX687" i="5"/>
  <c r="AU687" i="5"/>
  <c r="AX699" i="5"/>
  <c r="AV699" i="5"/>
  <c r="AX895" i="5"/>
  <c r="AU895" i="5"/>
  <c r="AY1703" i="5"/>
  <c r="AW1703" i="5"/>
  <c r="AW1796" i="5"/>
  <c r="AX1796" i="5"/>
  <c r="AU2469" i="5"/>
  <c r="AY2469" i="5"/>
  <c r="AX2969" i="5"/>
  <c r="AV2969" i="5"/>
  <c r="AU2969" i="5"/>
  <c r="AV3035" i="5"/>
  <c r="AW3035" i="5"/>
  <c r="AU3035" i="5"/>
  <c r="AX3480" i="5"/>
  <c r="AU3480" i="5"/>
  <c r="AX3991" i="5"/>
  <c r="AU3991" i="5"/>
  <c r="AX4138" i="5"/>
  <c r="AU4138" i="5"/>
  <c r="AX4460" i="5"/>
  <c r="AV4460" i="5"/>
  <c r="AU4460" i="5"/>
  <c r="AU564" i="5"/>
  <c r="AX600" i="5"/>
  <c r="AY600" i="5"/>
  <c r="AX648" i="5"/>
  <c r="AY648" i="5"/>
  <c r="AX656" i="5"/>
  <c r="AV656" i="5"/>
  <c r="AX990" i="5"/>
  <c r="AW990" i="5"/>
  <c r="AV1107" i="5"/>
  <c r="AU1112" i="5"/>
  <c r="AX1185" i="5"/>
  <c r="AY1185" i="5"/>
  <c r="AU1209" i="5"/>
  <c r="AV1311" i="5"/>
  <c r="AX1356" i="5"/>
  <c r="AU1356" i="5"/>
  <c r="AV1570" i="5"/>
  <c r="AW1570" i="5"/>
  <c r="AY1643" i="5"/>
  <c r="AV1643" i="5"/>
  <c r="AX1760" i="5"/>
  <c r="AV1760" i="5"/>
  <c r="AW1978" i="5"/>
  <c r="AV1978" i="5"/>
  <c r="AU1978" i="5"/>
  <c r="AV2742" i="5"/>
  <c r="AY3035" i="5"/>
  <c r="AW3062" i="5"/>
  <c r="AY3062" i="5"/>
  <c r="AU3062" i="5"/>
  <c r="AU3470" i="5"/>
  <c r="AX387" i="5"/>
  <c r="AV387" i="5"/>
  <c r="AX395" i="5"/>
  <c r="AW395" i="5"/>
  <c r="AX511" i="5"/>
  <c r="AV511" i="5"/>
  <c r="AX579" i="5"/>
  <c r="AW579" i="5"/>
  <c r="AV646" i="5"/>
  <c r="AW646" i="5"/>
  <c r="AV654" i="5"/>
  <c r="AW654" i="5"/>
  <c r="AX683" i="5"/>
  <c r="AU683" i="5"/>
  <c r="AX691" i="5"/>
  <c r="AU691" i="5"/>
  <c r="AX707" i="5"/>
  <c r="AV707" i="5"/>
  <c r="AU707" i="5"/>
  <c r="AV840" i="5"/>
  <c r="AX841" i="5"/>
  <c r="AU845" i="5"/>
  <c r="AY896" i="5"/>
  <c r="AY917" i="5"/>
  <c r="AX917" i="5"/>
  <c r="AX940" i="5"/>
  <c r="AU940" i="5"/>
  <c r="AW1030" i="5"/>
  <c r="AX1030" i="5"/>
  <c r="AX1080" i="5"/>
  <c r="AU1080" i="5"/>
  <c r="AX1120" i="5"/>
  <c r="AV1120" i="5"/>
  <c r="AX1188" i="5"/>
  <c r="AU1188" i="5"/>
  <c r="AV1291" i="5"/>
  <c r="AX1340" i="5"/>
  <c r="AW1340" i="5"/>
  <c r="AV1340" i="5"/>
  <c r="AX1488" i="5"/>
  <c r="AU1488" i="5"/>
  <c r="AU1580" i="5"/>
  <c r="AX1704" i="5"/>
  <c r="AU1704" i="5"/>
  <c r="AX1797" i="5"/>
  <c r="AU1797" i="5"/>
  <c r="AX1917" i="5"/>
  <c r="AW1917" i="5"/>
  <c r="AU1939" i="5"/>
  <c r="AU1957" i="5"/>
  <c r="AV1993" i="5"/>
  <c r="AU1993" i="5"/>
  <c r="AX2081" i="5"/>
  <c r="AV2081" i="5"/>
  <c r="AW2307" i="5"/>
  <c r="AW2333" i="5"/>
  <c r="AV2345" i="5"/>
  <c r="AW2345" i="5"/>
  <c r="AW2555" i="5"/>
  <c r="AU2675" i="5"/>
  <c r="AU2711" i="5"/>
  <c r="AW2713" i="5"/>
  <c r="AU2741" i="5"/>
  <c r="AX2797" i="5"/>
  <c r="AW2797" i="5"/>
  <c r="AX2887" i="5"/>
  <c r="AV2887" i="5"/>
  <c r="AU2887" i="5"/>
  <c r="AU2957" i="5"/>
  <c r="AU2965" i="5"/>
  <c r="AW3037" i="5"/>
  <c r="AV3103" i="5"/>
  <c r="AU3103" i="5"/>
  <c r="AX3264" i="5"/>
  <c r="AW3264" i="5"/>
  <c r="AV3264" i="5"/>
  <c r="AY3348" i="5"/>
  <c r="AW3348" i="5"/>
  <c r="AV3348" i="5"/>
  <c r="AX3569" i="5"/>
  <c r="AY3569" i="5"/>
  <c r="AX3642" i="5"/>
  <c r="AY3642" i="5"/>
  <c r="AX3853" i="5"/>
  <c r="AW3853" i="5"/>
  <c r="AU3853" i="5"/>
  <c r="AX4153" i="5"/>
  <c r="AU4153" i="5"/>
  <c r="AX4331" i="5"/>
  <c r="AW4331" i="5"/>
  <c r="AV4476" i="5"/>
  <c r="AW4476" i="5"/>
  <c r="AY4449" i="5"/>
  <c r="AX4449" i="5"/>
  <c r="AY392" i="5"/>
  <c r="AW583" i="5"/>
  <c r="AY3078" i="5"/>
  <c r="AW3078" i="5"/>
  <c r="AY3098" i="5"/>
  <c r="AU3098" i="5"/>
  <c r="AY3228" i="5"/>
  <c r="AV3228" i="5"/>
  <c r="AU3260" i="5"/>
  <c r="AY3260" i="5"/>
  <c r="AX3392" i="5"/>
  <c r="AV3392" i="5"/>
  <c r="AU3392" i="5"/>
  <c r="AX3462" i="5"/>
  <c r="AY3462" i="5"/>
  <c r="AY3497" i="5"/>
  <c r="AV3497" i="5"/>
  <c r="AX3746" i="5"/>
  <c r="AV3746" i="5"/>
  <c r="AU3746" i="5"/>
  <c r="AX3791" i="5"/>
  <c r="AV3791" i="5"/>
  <c r="AU3791" i="5"/>
  <c r="AX3830" i="5"/>
  <c r="AV3830" i="5"/>
  <c r="AX3889" i="5"/>
  <c r="AY3889" i="5"/>
  <c r="AW3889" i="5"/>
  <c r="AX3909" i="5"/>
  <c r="AU3909" i="5"/>
  <c r="AX3931" i="5"/>
  <c r="AU3931" i="5"/>
  <c r="AX4015" i="5"/>
  <c r="AV4015" i="5"/>
  <c r="AX4117" i="5"/>
  <c r="AW4117" i="5"/>
  <c r="AX4149" i="5"/>
  <c r="AW4149" i="5"/>
  <c r="AX4271" i="5"/>
  <c r="AW4271" i="5"/>
  <c r="AX4406" i="5"/>
  <c r="AY4406" i="5"/>
  <c r="AX4448" i="5"/>
  <c r="AW4448" i="5"/>
  <c r="AU4449" i="5"/>
  <c r="AX4515" i="5"/>
  <c r="AV4515" i="5"/>
  <c r="AY4543" i="5"/>
  <c r="AX4559" i="5"/>
  <c r="AY4559" i="5"/>
  <c r="AV419" i="5"/>
  <c r="AU420" i="5"/>
  <c r="AW422" i="5"/>
  <c r="AU428" i="5"/>
  <c r="AW458" i="5"/>
  <c r="AU543" i="5"/>
  <c r="AV552" i="5"/>
  <c r="AU711" i="5"/>
  <c r="AV716" i="5"/>
  <c r="AV939" i="5"/>
  <c r="AX950" i="5"/>
  <c r="AU951" i="5"/>
  <c r="AV999" i="5"/>
  <c r="AX1013" i="5"/>
  <c r="AU1040" i="5"/>
  <c r="AX1042" i="5"/>
  <c r="AU1043" i="5"/>
  <c r="AU1051" i="5"/>
  <c r="AY1052" i="5"/>
  <c r="AU1055" i="5"/>
  <c r="AU1277" i="5"/>
  <c r="AW1303" i="5"/>
  <c r="AW1339" i="5"/>
  <c r="AW1350" i="5"/>
  <c r="AV1460" i="5"/>
  <c r="AU2022" i="5"/>
  <c r="AV3219" i="5"/>
  <c r="AY3219" i="5"/>
  <c r="AX3273" i="5"/>
  <c r="AY3273" i="5"/>
  <c r="AX3345" i="5"/>
  <c r="AY3345" i="5"/>
  <c r="AW3729" i="5"/>
  <c r="AU3729" i="5"/>
  <c r="AV3737" i="5"/>
  <c r="AU3737" i="5"/>
  <c r="AW3790" i="5"/>
  <c r="AX3790" i="5"/>
  <c r="AY3908" i="5"/>
  <c r="AV3908" i="5"/>
  <c r="AX3927" i="5"/>
  <c r="AV3927" i="5"/>
  <c r="AY4073" i="5"/>
  <c r="AU4073" i="5"/>
  <c r="AW4109" i="5"/>
  <c r="AV4113" i="5"/>
  <c r="AV4117" i="5"/>
  <c r="AV4179" i="5"/>
  <c r="AY4202" i="5"/>
  <c r="AW4254" i="5"/>
  <c r="AX4254" i="5"/>
  <c r="AX4418" i="5"/>
  <c r="AY4418" i="5"/>
  <c r="AW4423" i="5"/>
  <c r="AW4440" i="5"/>
  <c r="AU4448" i="5"/>
  <c r="AW4514" i="5"/>
  <c r="AU4515" i="5"/>
  <c r="AY3293" i="5"/>
  <c r="AV3577" i="5"/>
  <c r="AW3620" i="5"/>
  <c r="AU3634" i="5"/>
  <c r="AU3685" i="5"/>
  <c r="AY3686" i="5"/>
  <c r="AU3702" i="5"/>
  <c r="AY3710" i="5"/>
  <c r="AY3730" i="5"/>
  <c r="AU3742" i="5"/>
  <c r="AW3745" i="5"/>
  <c r="AY3795" i="5"/>
  <c r="AU3797" i="5"/>
  <c r="AY3805" i="5"/>
  <c r="AW3809" i="5"/>
  <c r="AV3815" i="5"/>
  <c r="AW3827" i="5"/>
  <c r="AV3859" i="5"/>
  <c r="AV3879" i="5"/>
  <c r="AV3899" i="5"/>
  <c r="AV3916" i="5"/>
  <c r="AU3959" i="5"/>
  <c r="AW3969" i="5"/>
  <c r="AV3979" i="5"/>
  <c r="AV4101" i="5"/>
  <c r="AV4105" i="5"/>
  <c r="AW4232" i="5"/>
  <c r="AY4234" i="5"/>
  <c r="AW4307" i="5"/>
  <c r="AW4319" i="5"/>
  <c r="AU4323" i="5"/>
  <c r="AY4370" i="5"/>
  <c r="AW4374" i="5"/>
  <c r="AX607" i="5"/>
  <c r="AV607" i="5"/>
  <c r="AX639" i="5"/>
  <c r="AV639" i="5"/>
  <c r="AU639" i="5"/>
  <c r="AX643" i="5"/>
  <c r="AV643" i="5"/>
  <c r="AU643" i="5"/>
  <c r="AX800" i="5"/>
  <c r="AW800" i="5"/>
  <c r="AV800" i="5"/>
  <c r="AU800" i="5"/>
  <c r="AW852" i="5"/>
  <c r="AX852" i="5"/>
  <c r="AV852" i="5"/>
  <c r="AV881" i="5"/>
  <c r="AX881" i="5"/>
  <c r="AX888" i="5"/>
  <c r="AY888" i="5"/>
  <c r="AX924" i="5"/>
  <c r="AU924" i="5"/>
  <c r="AX979" i="5"/>
  <c r="AV979" i="5"/>
  <c r="AU979" i="5"/>
  <c r="AX1167" i="5"/>
  <c r="AV1167" i="5"/>
  <c r="AU1167" i="5"/>
  <c r="AW1202" i="5"/>
  <c r="AX1202" i="5"/>
  <c r="AX1260" i="5"/>
  <c r="AU1260" i="5"/>
  <c r="AY1363" i="5"/>
  <c r="AW1363" i="5"/>
  <c r="AV1363" i="5"/>
  <c r="AY1367" i="5"/>
  <c r="AW1367" i="5"/>
  <c r="AX1825" i="5"/>
  <c r="AU1825" i="5"/>
  <c r="AX1937" i="5"/>
  <c r="AU1937" i="5"/>
  <c r="AW1937" i="5"/>
  <c r="AV1937" i="5"/>
  <c r="AV2347" i="5"/>
  <c r="AY2347" i="5"/>
  <c r="AW2347" i="5"/>
  <c r="AX2897" i="5"/>
  <c r="AU2897" i="5"/>
  <c r="AV3416" i="5"/>
  <c r="AW3416" i="5"/>
  <c r="AU3416" i="5"/>
  <c r="AY3512" i="5"/>
  <c r="AU3512" i="5"/>
  <c r="AU3524" i="5"/>
  <c r="AY3524" i="5"/>
  <c r="AY4197" i="5"/>
  <c r="AV4197" i="5"/>
  <c r="AW4264" i="5"/>
  <c r="AX4264" i="5"/>
  <c r="AU312" i="5"/>
  <c r="AU383" i="5"/>
  <c r="AV428" i="5"/>
  <c r="AW450" i="5"/>
  <c r="AX471" i="5"/>
  <c r="AU471" i="5"/>
  <c r="AV476" i="5"/>
  <c r="AV488" i="5"/>
  <c r="AX504" i="5"/>
  <c r="AV504" i="5"/>
  <c r="AX520" i="5"/>
  <c r="AV520" i="5"/>
  <c r="AU520" i="5"/>
  <c r="AV642" i="5"/>
  <c r="AW642" i="5"/>
  <c r="AV662" i="5"/>
  <c r="AW662" i="5"/>
  <c r="AX704" i="5"/>
  <c r="AU704" i="5"/>
  <c r="AX756" i="5"/>
  <c r="AY756" i="5"/>
  <c r="AU756" i="5"/>
  <c r="AX760" i="5"/>
  <c r="AU760" i="5"/>
  <c r="AY799" i="5"/>
  <c r="AW799" i="5"/>
  <c r="AX920" i="5"/>
  <c r="AV920" i="5"/>
  <c r="AX975" i="5"/>
  <c r="AU975" i="5"/>
  <c r="AX1012" i="5"/>
  <c r="AU1012" i="5"/>
  <c r="AX1060" i="5"/>
  <c r="AU1060" i="5"/>
  <c r="AX1103" i="5"/>
  <c r="AV1103" i="5"/>
  <c r="AU1103" i="5"/>
  <c r="AX1143" i="5"/>
  <c r="AW1143" i="5"/>
  <c r="AX1199" i="5"/>
  <c r="AU1199" i="5"/>
  <c r="AX1211" i="5"/>
  <c r="AU1211" i="5"/>
  <c r="AY1615" i="5"/>
  <c r="AW1615" i="5"/>
  <c r="AX1636" i="5"/>
  <c r="AW1636" i="5"/>
  <c r="AV1636" i="5"/>
  <c r="AX1785" i="5"/>
  <c r="AW1785" i="5"/>
  <c r="AX1821" i="5"/>
  <c r="AW1821" i="5"/>
  <c r="AV1821" i="5"/>
  <c r="AU1821" i="5"/>
  <c r="AX1824" i="5"/>
  <c r="AV1824" i="5"/>
  <c r="AV1839" i="5"/>
  <c r="AU1839" i="5"/>
  <c r="AW1894" i="5"/>
  <c r="AV1894" i="5"/>
  <c r="AU1894" i="5"/>
  <c r="AX1921" i="5"/>
  <c r="AW1921" i="5"/>
  <c r="AX1969" i="5"/>
  <c r="AW1969" i="5"/>
  <c r="AV1969" i="5"/>
  <c r="AU1969" i="5"/>
  <c r="AV2127" i="5"/>
  <c r="AW2127" i="5"/>
  <c r="AV2399" i="5"/>
  <c r="AX2399" i="5"/>
  <c r="AW2399" i="5"/>
  <c r="AX2597" i="5"/>
  <c r="AU2597" i="5"/>
  <c r="AX3197" i="5"/>
  <c r="AY3197" i="5"/>
  <c r="AX3590" i="5"/>
  <c r="AU3590" i="5"/>
  <c r="AY3590" i="5"/>
  <c r="AX3682" i="5"/>
  <c r="AY3682" i="5"/>
  <c r="AW4270" i="5"/>
  <c r="AX4270" i="5"/>
  <c r="AV4270" i="5"/>
  <c r="AW4284" i="5"/>
  <c r="AX4284" i="5"/>
  <c r="AU4284" i="5"/>
  <c r="AY312" i="5"/>
  <c r="AW318" i="5"/>
  <c r="AU411" i="5"/>
  <c r="AU419" i="5"/>
  <c r="AW426" i="5"/>
  <c r="AY428" i="5"/>
  <c r="AV435" i="5"/>
  <c r="AV440" i="5"/>
  <c r="AU444" i="5"/>
  <c r="AV448" i="5"/>
  <c r="AV456" i="5"/>
  <c r="AW466" i="5"/>
  <c r="AU468" i="5"/>
  <c r="AV471" i="5"/>
  <c r="AV483" i="5"/>
  <c r="AX491" i="5"/>
  <c r="AV491" i="5"/>
  <c r="AX539" i="5"/>
  <c r="AV539" i="5"/>
  <c r="AX596" i="5"/>
  <c r="AY596" i="5"/>
  <c r="AV596" i="5"/>
  <c r="AX755" i="5"/>
  <c r="AV755" i="5"/>
  <c r="AV774" i="5"/>
  <c r="AW774" i="5"/>
  <c r="AX858" i="5"/>
  <c r="AW858" i="5"/>
  <c r="AY1005" i="5"/>
  <c r="AU1005" i="5"/>
  <c r="AY1017" i="5"/>
  <c r="AX1017" i="5"/>
  <c r="AX1044" i="5"/>
  <c r="AV1044" i="5"/>
  <c r="AY1065" i="5"/>
  <c r="AU1065" i="5"/>
  <c r="AX1195" i="5"/>
  <c r="AU1195" i="5"/>
  <c r="AX1208" i="5"/>
  <c r="AV1208" i="5"/>
  <c r="AX1372" i="5"/>
  <c r="AV1372" i="5"/>
  <c r="AX1412" i="5"/>
  <c r="AW1412" i="5"/>
  <c r="AU1412" i="5"/>
  <c r="AY1431" i="5"/>
  <c r="AW1431" i="5"/>
  <c r="AY1475" i="5"/>
  <c r="AV1475" i="5"/>
  <c r="AX1500" i="5"/>
  <c r="AV1500" i="5"/>
  <c r="AY1611" i="5"/>
  <c r="AW1611" i="5"/>
  <c r="AV1611" i="5"/>
  <c r="AX1893" i="5"/>
  <c r="AU1893" i="5"/>
  <c r="AV2027" i="5"/>
  <c r="AX2027" i="5"/>
  <c r="AW2027" i="5"/>
  <c r="AU2027" i="5"/>
  <c r="AX476" i="5"/>
  <c r="AU476" i="5"/>
  <c r="AY1619" i="5"/>
  <c r="AW1619" i="5"/>
  <c r="AV1619" i="5"/>
  <c r="AY1695" i="5"/>
  <c r="AV1695" i="5"/>
  <c r="AX2038" i="5"/>
  <c r="AV2038" i="5"/>
  <c r="AX3545" i="5"/>
  <c r="AV3545" i="5"/>
  <c r="AY3545" i="5"/>
  <c r="AX4368" i="5"/>
  <c r="AW4368" i="5"/>
  <c r="AV332" i="5"/>
  <c r="AX484" i="5"/>
  <c r="AU484" i="5"/>
  <c r="AX535" i="5"/>
  <c r="AV535" i="5"/>
  <c r="AX576" i="5"/>
  <c r="AU576" i="5"/>
  <c r="AX608" i="5"/>
  <c r="AY608" i="5"/>
  <c r="AU608" i="5"/>
  <c r="AV698" i="5"/>
  <c r="AW698" i="5"/>
  <c r="AX907" i="5"/>
  <c r="AU907" i="5"/>
  <c r="AX1100" i="5"/>
  <c r="AY1100" i="5"/>
  <c r="AV1100" i="5"/>
  <c r="AY1105" i="5"/>
  <c r="AU1105" i="5"/>
  <c r="AX1152" i="5"/>
  <c r="AY1152" i="5"/>
  <c r="AX1296" i="5"/>
  <c r="AW1296" i="5"/>
  <c r="AY1307" i="5"/>
  <c r="AV1307" i="5"/>
  <c r="AY1355" i="5"/>
  <c r="AV1355" i="5"/>
  <c r="AX1424" i="5"/>
  <c r="AW1424" i="5"/>
  <c r="AU1424" i="5"/>
  <c r="AW1605" i="5"/>
  <c r="AV1605" i="5"/>
  <c r="AU1605" i="5"/>
  <c r="AX1609" i="5"/>
  <c r="AY1609" i="5"/>
  <c r="AX1753" i="5"/>
  <c r="AW1753" i="5"/>
  <c r="AV1791" i="5"/>
  <c r="AX1791" i="5"/>
  <c r="AW1836" i="5"/>
  <c r="AX1836" i="5"/>
  <c r="AW1862" i="5"/>
  <c r="AU1862" i="5"/>
  <c r="AX1892" i="5"/>
  <c r="AV1892" i="5"/>
  <c r="AV516" i="5"/>
  <c r="AY540" i="5"/>
  <c r="AW543" i="5"/>
  <c r="AW551" i="5"/>
  <c r="AV632" i="5"/>
  <c r="AY656" i="5"/>
  <c r="AV663" i="5"/>
  <c r="AW699" i="5"/>
  <c r="AW731" i="5"/>
  <c r="AV895" i="5"/>
  <c r="AW915" i="5"/>
  <c r="AY916" i="5"/>
  <c r="AW939" i="5"/>
  <c r="AW967" i="5"/>
  <c r="AV1020" i="5"/>
  <c r="AY1024" i="5"/>
  <c r="AV1032" i="5"/>
  <c r="AW1039" i="5"/>
  <c r="AW1043" i="5"/>
  <c r="AV1080" i="5"/>
  <c r="AW1095" i="5"/>
  <c r="AV1112" i="5"/>
  <c r="AW1123" i="5"/>
  <c r="AV1147" i="5"/>
  <c r="AW1291" i="5"/>
  <c r="AV1292" i="5"/>
  <c r="AW1356" i="5"/>
  <c r="AW1420" i="5"/>
  <c r="AV1428" i="5"/>
  <c r="AW1439" i="5"/>
  <c r="AV1440" i="5"/>
  <c r="AW1519" i="5"/>
  <c r="AX1637" i="5"/>
  <c r="AW1643" i="5"/>
  <c r="AV1644" i="5"/>
  <c r="AY1985" i="5"/>
  <c r="AV1985" i="5"/>
  <c r="AV2056" i="5"/>
  <c r="AX2056" i="5"/>
  <c r="AV2139" i="5"/>
  <c r="AY2139" i="5"/>
  <c r="AW2139" i="5"/>
  <c r="AY2397" i="5"/>
  <c r="AU2397" i="5"/>
  <c r="AX2513" i="5"/>
  <c r="AV2513" i="5"/>
  <c r="AY2617" i="5"/>
  <c r="AW2617" i="5"/>
  <c r="AY2709" i="5"/>
  <c r="AV2709" i="5"/>
  <c r="AU2709" i="5"/>
  <c r="AX2851" i="5"/>
  <c r="AU2851" i="5"/>
  <c r="AW2851" i="5"/>
  <c r="AV2851" i="5"/>
  <c r="AV2931" i="5"/>
  <c r="AU2931" i="5"/>
  <c r="AV3119" i="5"/>
  <c r="AU3119" i="5"/>
  <c r="AX3312" i="5"/>
  <c r="AU3312" i="5"/>
  <c r="AX3397" i="5"/>
  <c r="AU3397" i="5"/>
  <c r="AX3436" i="5"/>
  <c r="AW3436" i="5"/>
  <c r="AX3454" i="5"/>
  <c r="AY3454" i="5"/>
  <c r="AX3540" i="5"/>
  <c r="AV3540" i="5"/>
  <c r="AU3540" i="5"/>
  <c r="AX3557" i="5"/>
  <c r="AU3557" i="5"/>
  <c r="AX3821" i="5"/>
  <c r="AW3821" i="5"/>
  <c r="AX4141" i="5"/>
  <c r="AW4141" i="5"/>
  <c r="AX1173" i="5"/>
  <c r="AU1183" i="5"/>
  <c r="AX1213" i="5"/>
  <c r="AU1248" i="5"/>
  <c r="AY1257" i="5"/>
  <c r="AV1259" i="5"/>
  <c r="AY1281" i="5"/>
  <c r="AX1302" i="5"/>
  <c r="AV1303" i="5"/>
  <c r="AU1304" i="5"/>
  <c r="AX1313" i="5"/>
  <c r="AW1366" i="5"/>
  <c r="AV1380" i="5"/>
  <c r="AV1403" i="5"/>
  <c r="AW1428" i="5"/>
  <c r="AV1471" i="5"/>
  <c r="AW1479" i="5"/>
  <c r="AU1480" i="5"/>
  <c r="AW1499" i="5"/>
  <c r="AW1526" i="5"/>
  <c r="AV1535" i="5"/>
  <c r="AW1580" i="5"/>
  <c r="AW1592" i="5"/>
  <c r="AX1598" i="5"/>
  <c r="AW1600" i="5"/>
  <c r="AX1606" i="5"/>
  <c r="AV1715" i="5"/>
  <c r="AW1815" i="5"/>
  <c r="AW1876" i="5"/>
  <c r="AV1889" i="5"/>
  <c r="AV1905" i="5"/>
  <c r="AU1906" i="5"/>
  <c r="AX1949" i="5"/>
  <c r="AW1949" i="5"/>
  <c r="AU1950" i="5"/>
  <c r="AX1993" i="5"/>
  <c r="AW1993" i="5"/>
  <c r="AV2040" i="5"/>
  <c r="AX2040" i="5"/>
  <c r="AX2608" i="5"/>
  <c r="AV2608" i="5"/>
  <c r="AY2705" i="5"/>
  <c r="AW2705" i="5"/>
  <c r="AW2766" i="5"/>
  <c r="AU2766" i="5"/>
  <c r="AV2766" i="5"/>
  <c r="AW2910" i="5"/>
  <c r="AV2910" i="5"/>
  <c r="AX2997" i="5"/>
  <c r="AU2997" i="5"/>
  <c r="AW2997" i="5"/>
  <c r="AV2997" i="5"/>
  <c r="AW3118" i="5"/>
  <c r="AV3118" i="5"/>
  <c r="AX3213" i="5"/>
  <c r="AY3213" i="5"/>
  <c r="AW3213" i="5"/>
  <c r="AV3347" i="5"/>
  <c r="AW3347" i="5"/>
  <c r="AY3395" i="5"/>
  <c r="AW3395" i="5"/>
  <c r="AX3452" i="5"/>
  <c r="AV3452" i="5"/>
  <c r="AX3769" i="5"/>
  <c r="AV3769" i="5"/>
  <c r="AU3769" i="5"/>
  <c r="AX4222" i="5"/>
  <c r="AW4222" i="5"/>
  <c r="AU4222" i="5"/>
  <c r="AU540" i="5"/>
  <c r="AV544" i="5"/>
  <c r="AU552" i="5"/>
  <c r="AU556" i="5"/>
  <c r="AV763" i="5"/>
  <c r="AU764" i="5"/>
  <c r="AX885" i="5"/>
  <c r="AV903" i="5"/>
  <c r="AU904" i="5"/>
  <c r="AU912" i="5"/>
  <c r="AU915" i="5"/>
  <c r="AU931" i="5"/>
  <c r="AX934" i="5"/>
  <c r="AU935" i="5"/>
  <c r="AU939" i="5"/>
  <c r="AU943" i="5"/>
  <c r="AX998" i="5"/>
  <c r="AU999" i="5"/>
  <c r="AU1004" i="5"/>
  <c r="AU1013" i="5"/>
  <c r="AU1016" i="5"/>
  <c r="AU1023" i="5"/>
  <c r="AU1039" i="5"/>
  <c r="AU1064" i="5"/>
  <c r="AU1067" i="5"/>
  <c r="AU1068" i="5"/>
  <c r="AU1087" i="5"/>
  <c r="AU1091" i="5"/>
  <c r="AU1092" i="5"/>
  <c r="AU1107" i="5"/>
  <c r="AU1119" i="5"/>
  <c r="AU1120" i="5"/>
  <c r="AU1123" i="5"/>
  <c r="AU1155" i="5"/>
  <c r="AY1156" i="5"/>
  <c r="AU1157" i="5"/>
  <c r="AU1159" i="5"/>
  <c r="AU1163" i="5"/>
  <c r="AY1172" i="5"/>
  <c r="AW1175" i="5"/>
  <c r="AV1183" i="5"/>
  <c r="AU1224" i="5"/>
  <c r="AU1496" i="5"/>
  <c r="AW1535" i="5"/>
  <c r="AW1655" i="5"/>
  <c r="AW1659" i="5"/>
  <c r="AU1769" i="5"/>
  <c r="AU1771" i="5"/>
  <c r="AV1772" i="5"/>
  <c r="AW1889" i="5"/>
  <c r="AX2005" i="5"/>
  <c r="AW2005" i="5"/>
  <c r="AX2029" i="5"/>
  <c r="AW2029" i="5"/>
  <c r="AV2132" i="5"/>
  <c r="AX2132" i="5"/>
  <c r="AV2295" i="5"/>
  <c r="AU2295" i="5"/>
  <c r="AY2295" i="5"/>
  <c r="AW2295" i="5"/>
  <c r="AW2681" i="5"/>
  <c r="AY2681" i="5"/>
  <c r="AW2798" i="5"/>
  <c r="AY2798" i="5"/>
  <c r="AX2817" i="5"/>
  <c r="AW2817" i="5"/>
  <c r="AV2943" i="5"/>
  <c r="AU2943" i="5"/>
  <c r="AX2993" i="5"/>
  <c r="AU2993" i="5"/>
  <c r="AX3209" i="5"/>
  <c r="AY3209" i="5"/>
  <c r="AV3339" i="5"/>
  <c r="AW3339" i="5"/>
  <c r="AX3446" i="5"/>
  <c r="AY3446" i="5"/>
  <c r="AX3690" i="5"/>
  <c r="AY3690" i="5"/>
  <c r="AV3696" i="5"/>
  <c r="AW3696" i="5"/>
  <c r="AX3867" i="5"/>
  <c r="AW3867" i="5"/>
  <c r="AV3867" i="5"/>
  <c r="AX2049" i="5"/>
  <c r="AW2049" i="5"/>
  <c r="AX2294" i="5"/>
  <c r="AV2294" i="5"/>
  <c r="AV2339" i="5"/>
  <c r="AY2339" i="5"/>
  <c r="AX2354" i="5"/>
  <c r="AV2354" i="5"/>
  <c r="AX2433" i="5"/>
  <c r="AV2433" i="5"/>
  <c r="AX2497" i="5"/>
  <c r="AV2497" i="5"/>
  <c r="AV2520" i="5"/>
  <c r="AX2520" i="5"/>
  <c r="AV2596" i="5"/>
  <c r="AX2596" i="5"/>
  <c r="AX2605" i="5"/>
  <c r="AU2605" i="5"/>
  <c r="AX2729" i="5"/>
  <c r="AV2729" i="5"/>
  <c r="AW2778" i="5"/>
  <c r="AV2778" i="5"/>
  <c r="AX2841" i="5"/>
  <c r="AW2841" i="5"/>
  <c r="AX2859" i="5"/>
  <c r="AV2859" i="5"/>
  <c r="AY2882" i="5"/>
  <c r="AW2882" i="5"/>
  <c r="AX2905" i="5"/>
  <c r="AW2905" i="5"/>
  <c r="AW2906" i="5"/>
  <c r="AV2906" i="5"/>
  <c r="AV2955" i="5"/>
  <c r="AU2955" i="5"/>
  <c r="AW3030" i="5"/>
  <c r="AV3030" i="5"/>
  <c r="AV3095" i="5"/>
  <c r="AY3095" i="5"/>
  <c r="AX3125" i="5"/>
  <c r="AW3125" i="5"/>
  <c r="AY3163" i="5"/>
  <c r="AX3177" i="5"/>
  <c r="AW3177" i="5"/>
  <c r="AX3414" i="5"/>
  <c r="AY3414" i="5"/>
  <c r="AY3456" i="5"/>
  <c r="AW3456" i="5"/>
  <c r="AY3472" i="5"/>
  <c r="AW3472" i="5"/>
  <c r="AX3552" i="5"/>
  <c r="AW3552" i="5"/>
  <c r="AV3552" i="5"/>
  <c r="AX3573" i="5"/>
  <c r="AV3573" i="5"/>
  <c r="AX3586" i="5"/>
  <c r="AU3586" i="5"/>
  <c r="AX3601" i="5"/>
  <c r="AV3601" i="5"/>
  <c r="AX3610" i="5"/>
  <c r="AU3610" i="5"/>
  <c r="AV3610" i="5"/>
  <c r="AV3648" i="5"/>
  <c r="AW3648" i="5"/>
  <c r="AX3657" i="5"/>
  <c r="AW3657" i="5"/>
  <c r="AX3674" i="5"/>
  <c r="AU3674" i="5"/>
  <c r="AY3674" i="5"/>
  <c r="AX3697" i="5"/>
  <c r="AV3697" i="5"/>
  <c r="AX3705" i="5"/>
  <c r="AW3705" i="5"/>
  <c r="AX3750" i="5"/>
  <c r="AU3750" i="5"/>
  <c r="AX3881" i="5"/>
  <c r="AW3881" i="5"/>
  <c r="AX3911" i="5"/>
  <c r="AV3911" i="5"/>
  <c r="AU3911" i="5"/>
  <c r="AY3920" i="5"/>
  <c r="AV3920" i="5"/>
  <c r="AY3944" i="5"/>
  <c r="AV3944" i="5"/>
  <c r="AW4078" i="5"/>
  <c r="AX4078" i="5"/>
  <c r="AV4078" i="5"/>
  <c r="AW4098" i="5"/>
  <c r="AX4098" i="5"/>
  <c r="AV4098" i="5"/>
  <c r="AX4126" i="5"/>
  <c r="AY4126" i="5"/>
  <c r="AX4130" i="5"/>
  <c r="AV4130" i="5"/>
  <c r="AV4191" i="5"/>
  <c r="AX4191" i="5"/>
  <c r="AX4220" i="5"/>
  <c r="AV4220" i="5"/>
  <c r="AU4220" i="5"/>
  <c r="AX4352" i="5"/>
  <c r="AW4352" i="5"/>
  <c r="AX4364" i="5"/>
  <c r="AV4364" i="5"/>
  <c r="AU4364" i="5"/>
  <c r="AX4472" i="5"/>
  <c r="AW4472" i="5"/>
  <c r="AV4472" i="5"/>
  <c r="AX2181" i="5"/>
  <c r="AV2181" i="5"/>
  <c r="AV2331" i="5"/>
  <c r="AY2331" i="5"/>
  <c r="AV2455" i="5"/>
  <c r="AY2455" i="5"/>
  <c r="AV2483" i="5"/>
  <c r="AU2483" i="5"/>
  <c r="AX2501" i="5"/>
  <c r="AW2501" i="5"/>
  <c r="AV2515" i="5"/>
  <c r="AU2515" i="5"/>
  <c r="AX2594" i="5"/>
  <c r="AV2594" i="5"/>
  <c r="AV2687" i="5"/>
  <c r="AW2687" i="5"/>
  <c r="AU2729" i="5"/>
  <c r="AU2778" i="5"/>
  <c r="AV2811" i="5"/>
  <c r="AU2811" i="5"/>
  <c r="AV2839" i="5"/>
  <c r="AY2839" i="5"/>
  <c r="AY2858" i="5"/>
  <c r="AW2858" i="5"/>
  <c r="AU2859" i="5"/>
  <c r="AU2905" i="5"/>
  <c r="AV2914" i="5"/>
  <c r="AX2921" i="5"/>
  <c r="AW2921" i="5"/>
  <c r="AV2923" i="5"/>
  <c r="AU2923" i="5"/>
  <c r="AV2946" i="5"/>
  <c r="AW2954" i="5"/>
  <c r="AU2954" i="5"/>
  <c r="AY2955" i="5"/>
  <c r="AV2959" i="5"/>
  <c r="AY2959" i="5"/>
  <c r="AX2981" i="5"/>
  <c r="AW2981" i="5"/>
  <c r="AV3027" i="5"/>
  <c r="AU3027" i="5"/>
  <c r="AW3066" i="5"/>
  <c r="AY3066" i="5"/>
  <c r="AU3095" i="5"/>
  <c r="AV3203" i="5"/>
  <c r="AU3203" i="5"/>
  <c r="AX3368" i="5"/>
  <c r="AW3368" i="5"/>
  <c r="AW3379" i="5"/>
  <c r="AU3381" i="5"/>
  <c r="AV3444" i="5"/>
  <c r="AW3444" i="5"/>
  <c r="AV3445" i="5"/>
  <c r="AY3453" i="5"/>
  <c r="AV3453" i="5"/>
  <c r="AX3460" i="5"/>
  <c r="AV3460" i="5"/>
  <c r="AX3474" i="5"/>
  <c r="AW3474" i="5"/>
  <c r="AY3537" i="5"/>
  <c r="AV3537" i="5"/>
  <c r="AU3552" i="5"/>
  <c r="AX3641" i="5"/>
  <c r="AV3641" i="5"/>
  <c r="AW3641" i="5"/>
  <c r="AW3652" i="5"/>
  <c r="AV3672" i="5"/>
  <c r="AW3672" i="5"/>
  <c r="AV3674" i="5"/>
  <c r="AW3697" i="5"/>
  <c r="AU3705" i="5"/>
  <c r="AX3706" i="5"/>
  <c r="AY3706" i="5"/>
  <c r="AX3726" i="5"/>
  <c r="AV3726" i="5"/>
  <c r="AX3762" i="5"/>
  <c r="AV3762" i="5"/>
  <c r="AX3766" i="5"/>
  <c r="AY3766" i="5"/>
  <c r="AX3802" i="5"/>
  <c r="AV3802" i="5"/>
  <c r="AX3857" i="5"/>
  <c r="AY3857" i="5"/>
  <c r="AX3866" i="5"/>
  <c r="AV3866" i="5"/>
  <c r="AW3901" i="5"/>
  <c r="AX3923" i="5"/>
  <c r="AV3923" i="5"/>
  <c r="AU3923" i="5"/>
  <c r="AV3952" i="5"/>
  <c r="AU4001" i="5"/>
  <c r="AU4003" i="5"/>
  <c r="AX4020" i="5"/>
  <c r="AV4020" i="5"/>
  <c r="AU4078" i="5"/>
  <c r="AU4098" i="5"/>
  <c r="AV4125" i="5"/>
  <c r="AU4126" i="5"/>
  <c r="AX4184" i="5"/>
  <c r="AV4184" i="5"/>
  <c r="AX4259" i="5"/>
  <c r="AW4259" i="5"/>
  <c r="AV4259" i="5"/>
  <c r="AX4291" i="5"/>
  <c r="AW4291" i="5"/>
  <c r="AX4362" i="5"/>
  <c r="AY4362" i="5"/>
  <c r="AY4451" i="5"/>
  <c r="AW4451" i="5"/>
  <c r="AV2034" i="5"/>
  <c r="AX2034" i="5"/>
  <c r="AV2123" i="5"/>
  <c r="AW2123" i="5"/>
  <c r="AY2147" i="5"/>
  <c r="AU2181" i="5"/>
  <c r="AX2210" i="5"/>
  <c r="AX2258" i="5"/>
  <c r="AY2265" i="5"/>
  <c r="AU2265" i="5"/>
  <c r="AX2297" i="5"/>
  <c r="AU2297" i="5"/>
  <c r="AV2375" i="5"/>
  <c r="AW2375" i="5"/>
  <c r="AW2455" i="5"/>
  <c r="AU2499" i="5"/>
  <c r="AU2501" i="5"/>
  <c r="AX2510" i="5"/>
  <c r="AV2510" i="5"/>
  <c r="AW2515" i="5"/>
  <c r="AW2553" i="5"/>
  <c r="AY2565" i="5"/>
  <c r="AU2569" i="5"/>
  <c r="AV2603" i="5"/>
  <c r="AU2603" i="5"/>
  <c r="AY2609" i="5"/>
  <c r="AV2609" i="5"/>
  <c r="AU2655" i="5"/>
  <c r="AW2657" i="5"/>
  <c r="AV2666" i="5"/>
  <c r="AV2685" i="5"/>
  <c r="AV2686" i="5"/>
  <c r="AU2687" i="5"/>
  <c r="AX2777" i="5"/>
  <c r="AV2777" i="5"/>
  <c r="AY2778" i="5"/>
  <c r="AX2810" i="5"/>
  <c r="AU2810" i="5"/>
  <c r="AY2811" i="5"/>
  <c r="AY2823" i="5"/>
  <c r="AU2839" i="5"/>
  <c r="AV2858" i="5"/>
  <c r="AV2954" i="5"/>
  <c r="AU2959" i="5"/>
  <c r="AU2978" i="5"/>
  <c r="AU2981" i="5"/>
  <c r="AW3026" i="5"/>
  <c r="AV3026" i="5"/>
  <c r="AW3027" i="5"/>
  <c r="AV3065" i="5"/>
  <c r="AU3066" i="5"/>
  <c r="AY3067" i="5"/>
  <c r="AW3203" i="5"/>
  <c r="AW3217" i="5"/>
  <c r="AV3244" i="5"/>
  <c r="AY3261" i="5"/>
  <c r="AV3288" i="5"/>
  <c r="AW3299" i="5"/>
  <c r="AU3309" i="5"/>
  <c r="AY3324" i="5"/>
  <c r="AU3324" i="5"/>
  <c r="AW3359" i="5"/>
  <c r="AU3368" i="5"/>
  <c r="AU3373" i="5"/>
  <c r="AX3377" i="5"/>
  <c r="AY3377" i="5"/>
  <c r="AV3417" i="5"/>
  <c r="AU3444" i="5"/>
  <c r="AY3517" i="5"/>
  <c r="AV3517" i="5"/>
  <c r="AX3526" i="5"/>
  <c r="AY3526" i="5"/>
  <c r="AU3526" i="5"/>
  <c r="AX3600" i="5"/>
  <c r="AW3600" i="5"/>
  <c r="AX3613" i="5"/>
  <c r="AU3613" i="5"/>
  <c r="AX3621" i="5"/>
  <c r="AV3621" i="5"/>
  <c r="AU3638" i="5"/>
  <c r="AW3640" i="5"/>
  <c r="AU3641" i="5"/>
  <c r="AX3661" i="5"/>
  <c r="AV3661" i="5"/>
  <c r="AX3666" i="5"/>
  <c r="AV3666" i="5"/>
  <c r="AU3666" i="5"/>
  <c r="AV3676" i="5"/>
  <c r="AW3676" i="5"/>
  <c r="AX3694" i="5"/>
  <c r="AU3694" i="5"/>
  <c r="AV3705" i="5"/>
  <c r="AU3726" i="5"/>
  <c r="AX3786" i="5"/>
  <c r="AV3786" i="5"/>
  <c r="AX3801" i="5"/>
  <c r="AY3801" i="5"/>
  <c r="AY3829" i="5"/>
  <c r="AW3857" i="5"/>
  <c r="AX3877" i="5"/>
  <c r="AW3877" i="5"/>
  <c r="AU3877" i="5"/>
  <c r="AX3913" i="5"/>
  <c r="AW3913" i="5"/>
  <c r="AU3913" i="5"/>
  <c r="AW3923" i="5"/>
  <c r="AW3951" i="5"/>
  <c r="AV4041" i="5"/>
  <c r="AW4041" i="5"/>
  <c r="AU4041" i="5"/>
  <c r="AY4041" i="5"/>
  <c r="AW4253" i="5"/>
  <c r="AX4255" i="5"/>
  <c r="AW4255" i="5"/>
  <c r="AV4265" i="5"/>
  <c r="AX4265" i="5"/>
  <c r="AU4265" i="5"/>
  <c r="AX4408" i="5"/>
  <c r="AW4408" i="5"/>
  <c r="AX4551" i="5"/>
  <c r="AU4551" i="5"/>
  <c r="AX4390" i="5"/>
  <c r="AY4390" i="5"/>
  <c r="AX4402" i="5"/>
  <c r="AY4402" i="5"/>
  <c r="AX4452" i="5"/>
  <c r="AW4452" i="5"/>
  <c r="AV4452" i="5"/>
  <c r="AY4550" i="5"/>
  <c r="AW4550" i="5"/>
  <c r="AY4574" i="5"/>
  <c r="AV4574" i="5"/>
  <c r="AX3478" i="5"/>
  <c r="AU3478" i="5"/>
  <c r="AU3536" i="5"/>
  <c r="AY3536" i="5"/>
  <c r="AX3605" i="5"/>
  <c r="AU3605" i="5"/>
  <c r="AX3618" i="5"/>
  <c r="AV3618" i="5"/>
  <c r="AX3630" i="5"/>
  <c r="AU3630" i="5"/>
  <c r="AX3649" i="5"/>
  <c r="AV3649" i="5"/>
  <c r="AX3698" i="5"/>
  <c r="AU3698" i="5"/>
  <c r="AX3714" i="5"/>
  <c r="AY3714" i="5"/>
  <c r="AX3718" i="5"/>
  <c r="AU3718" i="5"/>
  <c r="AX3893" i="5"/>
  <c r="AY3893" i="5"/>
  <c r="AW3893" i="5"/>
  <c r="AX3921" i="5"/>
  <c r="AW3921" i="5"/>
  <c r="AU3921" i="5"/>
  <c r="AY4011" i="5"/>
  <c r="AU4011" i="5"/>
  <c r="AX4040" i="5"/>
  <c r="AV4040" i="5"/>
  <c r="AX4085" i="5"/>
  <c r="AW4085" i="5"/>
  <c r="AV4144" i="5"/>
  <c r="AW4144" i="5"/>
  <c r="AX4194" i="5"/>
  <c r="AW4194" i="5"/>
  <c r="AU4194" i="5"/>
  <c r="AX4214" i="5"/>
  <c r="AW4214" i="5"/>
  <c r="AX4228" i="5"/>
  <c r="AW4228" i="5"/>
  <c r="AV4228" i="5"/>
  <c r="AX4246" i="5"/>
  <c r="AW4246" i="5"/>
  <c r="AU4246" i="5"/>
  <c r="AX4275" i="5"/>
  <c r="AV4275" i="5"/>
  <c r="AX4328" i="5"/>
  <c r="AV4328" i="5"/>
  <c r="AU4328" i="5"/>
  <c r="AX4360" i="5"/>
  <c r="AW4360" i="5"/>
  <c r="AU4390" i="5"/>
  <c r="AU4452" i="5"/>
  <c r="AX4473" i="5"/>
  <c r="AY4473" i="5"/>
  <c r="AW4490" i="5"/>
  <c r="AV4491" i="5"/>
  <c r="AV4503" i="5"/>
  <c r="AY4507" i="5"/>
  <c r="AY4527" i="5"/>
  <c r="AY4531" i="5"/>
  <c r="AU3927" i="5"/>
  <c r="AU3941" i="5"/>
  <c r="AW3961" i="5"/>
  <c r="AV3987" i="5"/>
  <c r="AV4008" i="5"/>
  <c r="AW4087" i="5"/>
  <c r="AU4109" i="5"/>
  <c r="AU4121" i="5"/>
  <c r="AV4164" i="5"/>
  <c r="AU4174" i="5"/>
  <c r="AX4183" i="5"/>
  <c r="AU4202" i="5"/>
  <c r="AU4204" i="5"/>
  <c r="AV4205" i="5"/>
  <c r="AV4212" i="5"/>
  <c r="AY4226" i="5"/>
  <c r="AV4236" i="5"/>
  <c r="AW4267" i="5"/>
  <c r="AU4287" i="5"/>
  <c r="AV4307" i="5"/>
  <c r="AV4543" i="5"/>
  <c r="AY4571" i="5"/>
  <c r="AW310" i="5"/>
  <c r="AW319" i="5"/>
  <c r="AV320" i="5"/>
  <c r="AU323" i="5"/>
  <c r="AU328" i="5"/>
  <c r="AU336" i="5"/>
  <c r="AU356" i="5"/>
  <c r="AV360" i="5"/>
  <c r="AV368" i="5"/>
  <c r="AV375" i="5"/>
  <c r="AW383" i="5"/>
  <c r="AU404" i="5"/>
  <c r="AV408" i="5"/>
  <c r="AU423" i="5"/>
  <c r="AU431" i="5"/>
  <c r="AW434" i="5"/>
  <c r="AV444" i="5"/>
  <c r="AU447" i="5"/>
  <c r="AU452" i="5"/>
  <c r="AU479" i="5"/>
  <c r="AW482" i="5"/>
  <c r="AU495" i="5"/>
  <c r="AU500" i="5"/>
  <c r="AW506" i="5"/>
  <c r="AU508" i="5"/>
  <c r="AY520" i="5"/>
  <c r="AV527" i="5"/>
  <c r="AW531" i="5"/>
  <c r="AV563" i="5"/>
  <c r="AV564" i="5"/>
  <c r="AW567" i="5"/>
  <c r="AW570" i="5"/>
  <c r="AU571" i="5"/>
  <c r="AV576" i="5"/>
  <c r="AU587" i="5"/>
  <c r="AV591" i="5"/>
  <c r="AW594" i="5"/>
  <c r="AV599" i="5"/>
  <c r="AV603" i="5"/>
  <c r="AW610" i="5"/>
  <c r="AW615" i="5"/>
  <c r="AW619" i="5"/>
  <c r="AV628" i="5"/>
  <c r="AY632" i="5"/>
  <c r="AW635" i="5"/>
  <c r="AV636" i="5"/>
  <c r="AV644" i="5"/>
  <c r="AV647" i="5"/>
  <c r="AU651" i="5"/>
  <c r="AV655" i="5"/>
  <c r="AW659" i="5"/>
  <c r="AW663" i="5"/>
  <c r="AV683" i="5"/>
  <c r="AV688" i="5"/>
  <c r="AV691" i="5"/>
  <c r="AV704" i="5"/>
  <c r="AW722" i="5"/>
  <c r="AU728" i="5"/>
  <c r="AY740" i="5"/>
  <c r="AU744" i="5"/>
  <c r="AU747" i="5"/>
  <c r="AY760" i="5"/>
  <c r="AW762" i="5"/>
  <c r="AY764" i="5"/>
  <c r="AU771" i="5"/>
  <c r="AU772" i="5"/>
  <c r="AW786" i="5"/>
  <c r="AV803" i="5"/>
  <c r="AV807" i="5"/>
  <c r="AU808" i="5"/>
  <c r="AW816" i="5"/>
  <c r="AU832" i="5"/>
  <c r="AW845" i="5"/>
  <c r="AV855" i="5"/>
  <c r="AW857" i="5"/>
  <c r="AV859" i="5"/>
  <c r="AU867" i="5"/>
  <c r="AW873" i="5"/>
  <c r="AW878" i="5"/>
  <c r="AW891" i="5"/>
  <c r="AV907" i="5"/>
  <c r="AV912" i="5"/>
  <c r="AY924" i="5"/>
  <c r="AW930" i="5"/>
  <c r="AV931" i="5"/>
  <c r="AV943" i="5"/>
  <c r="AV951" i="5"/>
  <c r="AV975" i="5"/>
  <c r="AX985" i="5"/>
  <c r="AU987" i="5"/>
  <c r="AU1003" i="5"/>
  <c r="AV1012" i="5"/>
  <c r="AU1015" i="5"/>
  <c r="AV1035" i="5"/>
  <c r="AW1047" i="5"/>
  <c r="AX1053" i="5"/>
  <c r="AV1055" i="5"/>
  <c r="AU1056" i="5"/>
  <c r="AU1061" i="5"/>
  <c r="AU1071" i="5"/>
  <c r="AW1087" i="5"/>
  <c r="AV1092" i="5"/>
  <c r="AW1103" i="5"/>
  <c r="AX1105" i="5"/>
  <c r="AV1116" i="5"/>
  <c r="AW1127" i="5"/>
  <c r="AV1139" i="5"/>
  <c r="AU1151" i="5"/>
  <c r="AV1155" i="5"/>
  <c r="AY1160" i="5"/>
  <c r="AY1164" i="5"/>
  <c r="AU1165" i="5"/>
  <c r="AW1167" i="5"/>
  <c r="AV1168" i="5"/>
  <c r="AW1183" i="5"/>
  <c r="AU1236" i="5"/>
  <c r="AU1237" i="5"/>
  <c r="AU1244" i="5"/>
  <c r="AU1245" i="5"/>
  <c r="AV1247" i="5"/>
  <c r="AV1248" i="5"/>
  <c r="AV1255" i="5"/>
  <c r="AU1269" i="5"/>
  <c r="AU1272" i="5"/>
  <c r="AW1299" i="5"/>
  <c r="AU1305" i="5"/>
  <c r="AU1308" i="5"/>
  <c r="AV1320" i="5"/>
  <c r="AV1331" i="5"/>
  <c r="AU1332" i="5"/>
  <c r="AV1352" i="5"/>
  <c r="AW1358" i="5"/>
  <c r="AV1359" i="5"/>
  <c r="AW1374" i="5"/>
  <c r="AV1375" i="5"/>
  <c r="AW1383" i="5"/>
  <c r="AU1384" i="5"/>
  <c r="AU1392" i="5"/>
  <c r="AW1395" i="5"/>
  <c r="AU1404" i="5"/>
  <c r="AW1407" i="5"/>
  <c r="AU1408" i="5"/>
  <c r="AV1415" i="5"/>
  <c r="AU1416" i="5"/>
  <c r="AW1440" i="5"/>
  <c r="AV1444" i="5"/>
  <c r="AU1452" i="5"/>
  <c r="AW1455" i="5"/>
  <c r="AU1476" i="5"/>
  <c r="AV1480" i="5"/>
  <c r="AV1487" i="5"/>
  <c r="AW1490" i="5"/>
  <c r="AW1507" i="5"/>
  <c r="AU1508" i="5"/>
  <c r="AW1511" i="5"/>
  <c r="AW1514" i="5"/>
  <c r="AW1523" i="5"/>
  <c r="AV1524" i="5"/>
  <c r="AV1527" i="5"/>
  <c r="AV1528" i="5"/>
  <c r="AV1532" i="5"/>
  <c r="AV1536" i="5"/>
  <c r="AV1552" i="5"/>
  <c r="AV1556" i="5"/>
  <c r="AW1559" i="5"/>
  <c r="AW1583" i="5"/>
  <c r="AV1584" i="5"/>
  <c r="AW1590" i="5"/>
  <c r="AV1597" i="5"/>
  <c r="AU1598" i="5"/>
  <c r="AW1599" i="5"/>
  <c r="AU1600" i="5"/>
  <c r="AW1620" i="5"/>
  <c r="AU1624" i="5"/>
  <c r="AW1632" i="5"/>
  <c r="AV1656" i="5"/>
  <c r="AX1662" i="5"/>
  <c r="AV1663" i="5"/>
  <c r="AW1667" i="5"/>
  <c r="AW1668" i="5"/>
  <c r="AY1689" i="5"/>
  <c r="AW1691" i="5"/>
  <c r="AX1708" i="5"/>
  <c r="AV1708" i="5"/>
  <c r="AW1730" i="5"/>
  <c r="AX1730" i="5"/>
  <c r="AW1766" i="5"/>
  <c r="AV1766" i="5"/>
  <c r="AY304" i="5"/>
  <c r="AY320" i="5"/>
  <c r="AW323" i="5"/>
  <c r="AY328" i="5"/>
  <c r="AY336" i="5"/>
  <c r="AV356" i="5"/>
  <c r="AY368" i="5"/>
  <c r="AV404" i="5"/>
  <c r="AW423" i="5"/>
  <c r="AV431" i="5"/>
  <c r="AY444" i="5"/>
  <c r="AW447" i="5"/>
  <c r="AY452" i="5"/>
  <c r="AV479" i="5"/>
  <c r="AW495" i="5"/>
  <c r="AY500" i="5"/>
  <c r="AY508" i="5"/>
  <c r="AW563" i="5"/>
  <c r="AY564" i="5"/>
  <c r="AV571" i="5"/>
  <c r="AV587" i="5"/>
  <c r="AW591" i="5"/>
  <c r="AW599" i="5"/>
  <c r="AY644" i="5"/>
  <c r="AW647" i="5"/>
  <c r="AV651" i="5"/>
  <c r="AW655" i="5"/>
  <c r="AW683" i="5"/>
  <c r="AY688" i="5"/>
  <c r="AW691" i="5"/>
  <c r="AY744" i="5"/>
  <c r="AW747" i="5"/>
  <c r="AW771" i="5"/>
  <c r="AV772" i="5"/>
  <c r="AW803" i="5"/>
  <c r="AW807" i="5"/>
  <c r="AV808" i="5"/>
  <c r="AW832" i="5"/>
  <c r="AX845" i="5"/>
  <c r="AW855" i="5"/>
  <c r="AW859" i="5"/>
  <c r="AV867" i="5"/>
  <c r="AX873" i="5"/>
  <c r="AW907" i="5"/>
  <c r="AY912" i="5"/>
  <c r="AW931" i="5"/>
  <c r="AW975" i="5"/>
  <c r="AV987" i="5"/>
  <c r="AV1003" i="5"/>
  <c r="AV1015" i="5"/>
  <c r="AV1056" i="5"/>
  <c r="AV1071" i="5"/>
  <c r="AW1139" i="5"/>
  <c r="AV1151" i="5"/>
  <c r="AW1155" i="5"/>
  <c r="AX1237" i="5"/>
  <c r="AW1244" i="5"/>
  <c r="AW1248" i="5"/>
  <c r="AX1269" i="5"/>
  <c r="AV1272" i="5"/>
  <c r="AV1308" i="5"/>
  <c r="AW1320" i="5"/>
  <c r="AW1331" i="5"/>
  <c r="AV1332" i="5"/>
  <c r="AW1352" i="5"/>
  <c r="AW1384" i="5"/>
  <c r="AW1392" i="5"/>
  <c r="AW1404" i="5"/>
  <c r="AW1408" i="5"/>
  <c r="AW1415" i="5"/>
  <c r="AV1416" i="5"/>
  <c r="AW1444" i="5"/>
  <c r="AW1452" i="5"/>
  <c r="AW1508" i="5"/>
  <c r="AW1524" i="5"/>
  <c r="AW1536" i="5"/>
  <c r="AW1584" i="5"/>
  <c r="AX1597" i="5"/>
  <c r="AW1598" i="5"/>
  <c r="AV1600" i="5"/>
  <c r="AV1624" i="5"/>
  <c r="AW1656" i="5"/>
  <c r="AY1707" i="5"/>
  <c r="AW1707" i="5"/>
  <c r="AY1719" i="5"/>
  <c r="AV1719" i="5"/>
  <c r="AV1735" i="5"/>
  <c r="AU1735" i="5"/>
  <c r="AY356" i="5"/>
  <c r="AY404" i="5"/>
  <c r="AW431" i="5"/>
  <c r="AW479" i="5"/>
  <c r="AW571" i="5"/>
  <c r="AW587" i="5"/>
  <c r="AY772" i="5"/>
  <c r="AW808" i="5"/>
  <c r="AW1003" i="5"/>
  <c r="AW1015" i="5"/>
  <c r="AY1056" i="5"/>
  <c r="AW1071" i="5"/>
  <c r="AW1272" i="5"/>
  <c r="AW1308" i="5"/>
  <c r="AW1416" i="5"/>
  <c r="AX1685" i="5"/>
  <c r="AY1685" i="5"/>
  <c r="AX1692" i="5"/>
  <c r="AW1692" i="5"/>
  <c r="AX1717" i="5"/>
  <c r="AY1717" i="5"/>
  <c r="AV1731" i="5"/>
  <c r="AX1731" i="5"/>
  <c r="AW1750" i="5"/>
  <c r="AV1750" i="5"/>
  <c r="AX1777" i="5"/>
  <c r="AV1777" i="5"/>
  <c r="AX1781" i="5"/>
  <c r="AU1781" i="5"/>
  <c r="AV1781" i="5"/>
  <c r="AX1789" i="5"/>
  <c r="AW1789" i="5"/>
  <c r="AX1800" i="5"/>
  <c r="AV1800" i="5"/>
  <c r="AV311" i="5"/>
  <c r="AU319" i="5"/>
  <c r="AU320" i="5"/>
  <c r="AV1512" i="5"/>
  <c r="AV1523" i="5"/>
  <c r="AU1524" i="5"/>
  <c r="AV1560" i="5"/>
  <c r="AV1583" i="5"/>
  <c r="AU1584" i="5"/>
  <c r="AW1635" i="5"/>
  <c r="AY1641" i="5"/>
  <c r="AV1668" i="5"/>
  <c r="AV1691" i="5"/>
  <c r="AU1692" i="5"/>
  <c r="AX1700" i="5"/>
  <c r="AW1700" i="5"/>
  <c r="AX1712" i="5"/>
  <c r="AU1712" i="5"/>
  <c r="AW1731" i="5"/>
  <c r="AV1744" i="5"/>
  <c r="AW1746" i="5"/>
  <c r="AV1746" i="5"/>
  <c r="AW1767" i="5"/>
  <c r="AU1777" i="5"/>
  <c r="AW1781" i="5"/>
  <c r="AU1753" i="5"/>
  <c r="AU1754" i="5"/>
  <c r="AV1757" i="5"/>
  <c r="AV1762" i="5"/>
  <c r="AX1763" i="5"/>
  <c r="AW1791" i="5"/>
  <c r="AU1829" i="5"/>
  <c r="AV1832" i="5"/>
  <c r="AU1833" i="5"/>
  <c r="AV1840" i="5"/>
  <c r="AV1854" i="5"/>
  <c r="AV1865" i="5"/>
  <c r="AU1866" i="5"/>
  <c r="AW1868" i="5"/>
  <c r="AV1876" i="5"/>
  <c r="AU1877" i="5"/>
  <c r="AW1880" i="5"/>
  <c r="AU1881" i="5"/>
  <c r="AW1885" i="5"/>
  <c r="AV1888" i="5"/>
  <c r="AU1889" i="5"/>
  <c r="AV1902" i="5"/>
  <c r="AU1905" i="5"/>
  <c r="AU1913" i="5"/>
  <c r="AX1916" i="5"/>
  <c r="AU1917" i="5"/>
  <c r="AV1921" i="5"/>
  <c r="AV1925" i="5"/>
  <c r="AX1979" i="5"/>
  <c r="AV1996" i="5"/>
  <c r="AW1997" i="5"/>
  <c r="AX1998" i="5"/>
  <c r="AU2005" i="5"/>
  <c r="AV2025" i="5"/>
  <c r="AV2032" i="5"/>
  <c r="AY2047" i="5"/>
  <c r="AV2054" i="5"/>
  <c r="AV2078" i="5"/>
  <c r="AU2081" i="5"/>
  <c r="AV2097" i="5"/>
  <c r="AU2117" i="5"/>
  <c r="AU2127" i="5"/>
  <c r="AW2135" i="5"/>
  <c r="AW2147" i="5"/>
  <c r="AV2185" i="5"/>
  <c r="AV2189" i="5"/>
  <c r="AW2193" i="5"/>
  <c r="AV2196" i="5"/>
  <c r="AY2241" i="5"/>
  <c r="AW2245" i="5"/>
  <c r="AW2253" i="5"/>
  <c r="AY2257" i="5"/>
  <c r="AW2275" i="5"/>
  <c r="AU2289" i="5"/>
  <c r="AY2301" i="5"/>
  <c r="AV2306" i="5"/>
  <c r="AU2307" i="5"/>
  <c r="AV2309" i="5"/>
  <c r="AY2311" i="5"/>
  <c r="AW2319" i="5"/>
  <c r="AW2321" i="5"/>
  <c r="AW2331" i="5"/>
  <c r="AV2333" i="5"/>
  <c r="AW2335" i="5"/>
  <c r="AW2339" i="5"/>
  <c r="AV2343" i="5"/>
  <c r="AU2343" i="5"/>
  <c r="AV2362" i="5"/>
  <c r="AV2374" i="5"/>
  <c r="AX2406" i="5"/>
  <c r="AX2425" i="5"/>
  <c r="AU2425" i="5"/>
  <c r="AV2425" i="5"/>
  <c r="AV2443" i="5"/>
  <c r="AW2443" i="5"/>
  <c r="AV2479" i="5"/>
  <c r="AU2479" i="5"/>
  <c r="AW2479" i="5"/>
  <c r="AX2342" i="5"/>
  <c r="AV2342" i="5"/>
  <c r="AX2357" i="5"/>
  <c r="AU2357" i="5"/>
  <c r="AV2376" i="5"/>
  <c r="AW2376" i="5"/>
  <c r="AX1814" i="5"/>
  <c r="AV1818" i="5"/>
  <c r="AU1845" i="5"/>
  <c r="AU1850" i="5"/>
  <c r="AW1859" i="5"/>
  <c r="AV1860" i="5"/>
  <c r="AU1867" i="5"/>
  <c r="AU1875" i="5"/>
  <c r="AU1885" i="5"/>
  <c r="AU1887" i="5"/>
  <c r="AU1897" i="5"/>
  <c r="AU1910" i="5"/>
  <c r="AU1923" i="5"/>
  <c r="AV1933" i="5"/>
  <c r="AU1946" i="5"/>
  <c r="AV1964" i="5"/>
  <c r="AU1971" i="5"/>
  <c r="AU1973" i="5"/>
  <c r="AU1997" i="5"/>
  <c r="AU2002" i="5"/>
  <c r="AV2020" i="5"/>
  <c r="AV2024" i="5"/>
  <c r="AU2073" i="5"/>
  <c r="AW2121" i="5"/>
  <c r="AV2130" i="5"/>
  <c r="AV2140" i="5"/>
  <c r="AV2145" i="5"/>
  <c r="AU2165" i="5"/>
  <c r="AV2173" i="5"/>
  <c r="AV2213" i="5"/>
  <c r="AU2245" i="5"/>
  <c r="AU2249" i="5"/>
  <c r="AU2253" i="5"/>
  <c r="AW2303" i="5"/>
  <c r="AW2315" i="5"/>
  <c r="AU2321" i="5"/>
  <c r="AW2327" i="5"/>
  <c r="AV2351" i="5"/>
  <c r="AW2351" i="5"/>
  <c r="AV2357" i="5"/>
  <c r="AV2363" i="5"/>
  <c r="AY2363" i="5"/>
  <c r="AX2369" i="5"/>
  <c r="AV2369" i="5"/>
  <c r="AW2370" i="5"/>
  <c r="AU2370" i="5"/>
  <c r="AX2376" i="5"/>
  <c r="AV2380" i="5"/>
  <c r="AW2392" i="5"/>
  <c r="AW2401" i="5"/>
  <c r="AU2409" i="5"/>
  <c r="AX2477" i="5"/>
  <c r="AU2477" i="5"/>
  <c r="AV2477" i="5"/>
  <c r="AX2481" i="5"/>
  <c r="AV2481" i="5"/>
  <c r="AW2481" i="5"/>
  <c r="AX1803" i="5"/>
  <c r="AV1845" i="5"/>
  <c r="AV1850" i="5"/>
  <c r="AW1860" i="5"/>
  <c r="AU1865" i="5"/>
  <c r="AW1867" i="5"/>
  <c r="AV1868" i="5"/>
  <c r="AU1874" i="5"/>
  <c r="AU1878" i="5"/>
  <c r="AV1880" i="5"/>
  <c r="AV1885" i="5"/>
  <c r="AU1902" i="5"/>
  <c r="AU1903" i="5"/>
  <c r="AV1908" i="5"/>
  <c r="AV1916" i="5"/>
  <c r="AU1921" i="5"/>
  <c r="AX1923" i="5"/>
  <c r="AU1934" i="5"/>
  <c r="AV1941" i="5"/>
  <c r="AU1955" i="5"/>
  <c r="AX1964" i="5"/>
  <c r="AW1973" i="5"/>
  <c r="AU1979" i="5"/>
  <c r="AV1997" i="5"/>
  <c r="AU1998" i="5"/>
  <c r="AU2019" i="5"/>
  <c r="AX2020" i="5"/>
  <c r="AV2036" i="5"/>
  <c r="AU2047" i="5"/>
  <c r="AV2073" i="5"/>
  <c r="AU2097" i="5"/>
  <c r="AU2135" i="5"/>
  <c r="AW2145" i="5"/>
  <c r="AW2157" i="5"/>
  <c r="AV2165" i="5"/>
  <c r="AW2173" i="5"/>
  <c r="AU2185" i="5"/>
  <c r="AU2189" i="5"/>
  <c r="AV2193" i="5"/>
  <c r="AW2213" i="5"/>
  <c r="AV2245" i="5"/>
  <c r="AV2250" i="5"/>
  <c r="AV2253" i="5"/>
  <c r="AU2275" i="5"/>
  <c r="AV2302" i="5"/>
  <c r="AY2303" i="5"/>
  <c r="AU2309" i="5"/>
  <c r="AW2311" i="5"/>
  <c r="AY2315" i="5"/>
  <c r="AV2318" i="5"/>
  <c r="AU2319" i="5"/>
  <c r="AV2321" i="5"/>
  <c r="AY2327" i="5"/>
  <c r="AV2330" i="5"/>
  <c r="AU2331" i="5"/>
  <c r="AU2333" i="5"/>
  <c r="AX2345" i="5"/>
  <c r="AU2345" i="5"/>
  <c r="AY2351" i="5"/>
  <c r="AW2357" i="5"/>
  <c r="AU2363" i="5"/>
  <c r="AU2369" i="5"/>
  <c r="AV2370" i="5"/>
  <c r="AV2407" i="5"/>
  <c r="AX2407" i="5"/>
  <c r="AV2409" i="5"/>
  <c r="AV2435" i="5"/>
  <c r="AW2435" i="5"/>
  <c r="AV2452" i="5"/>
  <c r="AX2452" i="5"/>
  <c r="AW2477" i="5"/>
  <c r="AU2415" i="5"/>
  <c r="AU2421" i="5"/>
  <c r="AW2424" i="5"/>
  <c r="AX2428" i="5"/>
  <c r="AV2434" i="5"/>
  <c r="AU2455" i="5"/>
  <c r="AU2461" i="5"/>
  <c r="AV2468" i="5"/>
  <c r="AV2470" i="5"/>
  <c r="AX2508" i="5"/>
  <c r="AW2509" i="5"/>
  <c r="AX2522" i="5"/>
  <c r="AW2523" i="5"/>
  <c r="AV2525" i="5"/>
  <c r="AW2527" i="5"/>
  <c r="AW2531" i="5"/>
  <c r="AW2533" i="5"/>
  <c r="AU2535" i="5"/>
  <c r="AY2543" i="5"/>
  <c r="AX2544" i="5"/>
  <c r="AV2545" i="5"/>
  <c r="AW2549" i="5"/>
  <c r="AV2553" i="5"/>
  <c r="AW2589" i="5"/>
  <c r="AY2591" i="5"/>
  <c r="AW2597" i="5"/>
  <c r="AX2612" i="5"/>
  <c r="AU2617" i="5"/>
  <c r="AW2625" i="5"/>
  <c r="AY2639" i="5"/>
  <c r="AY2645" i="5"/>
  <c r="AV2646" i="5"/>
  <c r="AW2653" i="5"/>
  <c r="AY2655" i="5"/>
  <c r="AY2675" i="5"/>
  <c r="AU2685" i="5"/>
  <c r="AW2699" i="5"/>
  <c r="AV2702" i="5"/>
  <c r="AY2711" i="5"/>
  <c r="AU2713" i="5"/>
  <c r="AV2714" i="5"/>
  <c r="AY2715" i="5"/>
  <c r="AY2750" i="5"/>
  <c r="AY2751" i="5"/>
  <c r="AV2758" i="5"/>
  <c r="AV2761" i="5"/>
  <c r="AV2762" i="5"/>
  <c r="AW2765" i="5"/>
  <c r="AY2766" i="5"/>
  <c r="AU2770" i="5"/>
  <c r="AV2786" i="5"/>
  <c r="AU2795" i="5"/>
  <c r="AU2797" i="5"/>
  <c r="AU2798" i="5"/>
  <c r="AV2801" i="5"/>
  <c r="AY2803" i="5"/>
  <c r="AU2823" i="5"/>
  <c r="AW2833" i="5"/>
  <c r="AW2861" i="5"/>
  <c r="AW2867" i="5"/>
  <c r="AW2869" i="5"/>
  <c r="AW2871" i="5"/>
  <c r="AW2874" i="5"/>
  <c r="AV2875" i="5"/>
  <c r="AU2879" i="5"/>
  <c r="AY2883" i="5"/>
  <c r="AW2897" i="5"/>
  <c r="AW2909" i="5"/>
  <c r="AW2923" i="5"/>
  <c r="AW2931" i="5"/>
  <c r="AW2937" i="5"/>
  <c r="AW2943" i="5"/>
  <c r="AY2947" i="5"/>
  <c r="AV2957" i="5"/>
  <c r="AV2974" i="5"/>
  <c r="AU2987" i="5"/>
  <c r="AV2993" i="5"/>
  <c r="AV3005" i="5"/>
  <c r="AV3006" i="5"/>
  <c r="AW3009" i="5"/>
  <c r="AU3019" i="5"/>
  <c r="AU3033" i="5"/>
  <c r="AV3045" i="5"/>
  <c r="AU3047" i="5"/>
  <c r="AU3055" i="5"/>
  <c r="AV3062" i="5"/>
  <c r="AW3074" i="5"/>
  <c r="AV3082" i="5"/>
  <c r="AU3099" i="5"/>
  <c r="AY3103" i="5"/>
  <c r="AW3105" i="5"/>
  <c r="AU3107" i="5"/>
  <c r="AU3114" i="5"/>
  <c r="AY3119" i="5"/>
  <c r="AW2525" i="5"/>
  <c r="AY2589" i="5"/>
  <c r="AY2653" i="5"/>
  <c r="AY2699" i="5"/>
  <c r="AW2761" i="5"/>
  <c r="AV2770" i="5"/>
  <c r="AY2795" i="5"/>
  <c r="AV2797" i="5"/>
  <c r="AV2798" i="5"/>
  <c r="AV2879" i="5"/>
  <c r="AY2923" i="5"/>
  <c r="AY2987" i="5"/>
  <c r="AW3005" i="5"/>
  <c r="AW3019" i="5"/>
  <c r="AV3033" i="5"/>
  <c r="AW3045" i="5"/>
  <c r="AY3047" i="5"/>
  <c r="AY3055" i="5"/>
  <c r="AV3099" i="5"/>
  <c r="AV3107" i="5"/>
  <c r="AV3114" i="5"/>
  <c r="AX3149" i="5"/>
  <c r="AW3149" i="5"/>
  <c r="AX3159" i="5"/>
  <c r="AU3159" i="5"/>
  <c r="AV3159" i="5"/>
  <c r="AX3167" i="5"/>
  <c r="AU3167" i="5"/>
  <c r="AV3167" i="5"/>
  <c r="AU2625" i="5"/>
  <c r="AU2639" i="5"/>
  <c r="AU2750" i="5"/>
  <c r="AV2882" i="5"/>
  <c r="AU2883" i="5"/>
  <c r="AU2925" i="5"/>
  <c r="AY3019" i="5"/>
  <c r="AU3067" i="5"/>
  <c r="AU3071" i="5"/>
  <c r="AW3101" i="5"/>
  <c r="AY3107" i="5"/>
  <c r="AW3113" i="5"/>
  <c r="AW3114" i="5"/>
  <c r="AW3129" i="5"/>
  <c r="AX3135" i="5"/>
  <c r="AV3135" i="5"/>
  <c r="AW3137" i="5"/>
  <c r="AW3139" i="5"/>
  <c r="AW2483" i="5"/>
  <c r="AX2496" i="5"/>
  <c r="AW2497" i="5"/>
  <c r="AV2509" i="5"/>
  <c r="AW2511" i="5"/>
  <c r="AW2513" i="5"/>
  <c r="AU2523" i="5"/>
  <c r="AU2525" i="5"/>
  <c r="AU2527" i="5"/>
  <c r="AU2531" i="5"/>
  <c r="AV2532" i="5"/>
  <c r="AV2533" i="5"/>
  <c r="AW2543" i="5"/>
  <c r="AU2545" i="5"/>
  <c r="AV2549" i="5"/>
  <c r="AY2555" i="5"/>
  <c r="AV2562" i="5"/>
  <c r="AV2588" i="5"/>
  <c r="AV2597" i="5"/>
  <c r="AW2601" i="5"/>
  <c r="AV2625" i="5"/>
  <c r="AW2639" i="5"/>
  <c r="AW2655" i="5"/>
  <c r="AW2661" i="5"/>
  <c r="AW2675" i="5"/>
  <c r="AV2678" i="5"/>
  <c r="AV2690" i="5"/>
  <c r="AU2699" i="5"/>
  <c r="AV2706" i="5"/>
  <c r="AW2711" i="5"/>
  <c r="AV2718" i="5"/>
  <c r="AV2726" i="5"/>
  <c r="AV2750" i="5"/>
  <c r="AU2751" i="5"/>
  <c r="AU2758" i="5"/>
  <c r="AU2761" i="5"/>
  <c r="AU2762" i="5"/>
  <c r="AV2765" i="5"/>
  <c r="AU2786" i="5"/>
  <c r="AU2803" i="5"/>
  <c r="AW2825" i="5"/>
  <c r="AW2829" i="5"/>
  <c r="AW2838" i="5"/>
  <c r="AX3147" i="5"/>
  <c r="AU3147" i="5"/>
  <c r="AV3147" i="5"/>
  <c r="AX3153" i="5"/>
  <c r="AW3153" i="5"/>
  <c r="AX3161" i="5"/>
  <c r="AW3161" i="5"/>
  <c r="AU3175" i="5"/>
  <c r="AV3188" i="5"/>
  <c r="AU3197" i="5"/>
  <c r="AY3203" i="5"/>
  <c r="AV3208" i="5"/>
  <c r="AU3209" i="5"/>
  <c r="AY3211" i="5"/>
  <c r="AV3251" i="5"/>
  <c r="AU3252" i="5"/>
  <c r="AV3256" i="5"/>
  <c r="AU3257" i="5"/>
  <c r="AV3269" i="5"/>
  <c r="AU3273" i="5"/>
  <c r="AY3305" i="5"/>
  <c r="AW3311" i="5"/>
  <c r="AW3312" i="5"/>
  <c r="AY3317" i="5"/>
  <c r="AW3320" i="5"/>
  <c r="AU3329" i="5"/>
  <c r="AV3332" i="5"/>
  <c r="AY3333" i="5"/>
  <c r="AW3351" i="5"/>
  <c r="AY3356" i="5"/>
  <c r="AV3365" i="5"/>
  <c r="AV3379" i="5"/>
  <c r="AY3400" i="5"/>
  <c r="AW3408" i="5"/>
  <c r="AY3416" i="5"/>
  <c r="AY3422" i="5"/>
  <c r="AY3428" i="5"/>
  <c r="AX3435" i="5"/>
  <c r="AU3436" i="5"/>
  <c r="AW3446" i="5"/>
  <c r="AW3454" i="5"/>
  <c r="AU3462" i="5"/>
  <c r="AY3478" i="5"/>
  <c r="AW3480" i="5"/>
  <c r="AW3482" i="5"/>
  <c r="AY3488" i="5"/>
  <c r="AV3489" i="5"/>
  <c r="AY3490" i="5"/>
  <c r="AV3521" i="5"/>
  <c r="AV3544" i="5"/>
  <c r="AU3545" i="5"/>
  <c r="AY3557" i="5"/>
  <c r="AV3564" i="5"/>
  <c r="AV3568" i="5"/>
  <c r="AU3569" i="5"/>
  <c r="AV3572" i="5"/>
  <c r="AU3573" i="5"/>
  <c r="AU3577" i="5"/>
  <c r="AY3582" i="5"/>
  <c r="AV3594" i="5"/>
  <c r="AW3601" i="5"/>
  <c r="AX3608" i="5"/>
  <c r="AU3609" i="5"/>
  <c r="AW3613" i="5"/>
  <c r="AW3616" i="5"/>
  <c r="AU3617" i="5"/>
  <c r="AY3618" i="5"/>
  <c r="AW3621" i="5"/>
  <c r="AV3622" i="5"/>
  <c r="AU3625" i="5"/>
  <c r="AW3628" i="5"/>
  <c r="AU3629" i="5"/>
  <c r="AW3632" i="5"/>
  <c r="AV3638" i="5"/>
  <c r="AW3645" i="5"/>
  <c r="AW3649" i="5"/>
  <c r="AY3654" i="5"/>
  <c r="AU3665" i="5"/>
  <c r="AU3669" i="5"/>
  <c r="AU3681" i="5"/>
  <c r="AV3702" i="5"/>
  <c r="AV3721" i="5"/>
  <c r="AU3722" i="5"/>
  <c r="AX3729" i="5"/>
  <c r="AV3729" i="5"/>
  <c r="AX3733" i="5"/>
  <c r="AU3733" i="5"/>
  <c r="AX3737" i="5"/>
  <c r="AW3737" i="5"/>
  <c r="AW3744" i="5"/>
  <c r="AW3748" i="5"/>
  <c r="AX3758" i="5"/>
  <c r="AV3758" i="5"/>
  <c r="AU3758" i="5"/>
  <c r="AX3773" i="5"/>
  <c r="AV3773" i="5"/>
  <c r="AU3773" i="5"/>
  <c r="AX3813" i="5"/>
  <c r="AY3813" i="5"/>
  <c r="AU3163" i="5"/>
  <c r="AV3175" i="5"/>
  <c r="AW3188" i="5"/>
  <c r="AW3197" i="5"/>
  <c r="AW3209" i="5"/>
  <c r="AW3219" i="5"/>
  <c r="AW3251" i="5"/>
  <c r="AV3252" i="5"/>
  <c r="AY3257" i="5"/>
  <c r="AU3261" i="5"/>
  <c r="AU3264" i="5"/>
  <c r="AW3271" i="5"/>
  <c r="AV3273" i="5"/>
  <c r="AU3293" i="5"/>
  <c r="AW3332" i="5"/>
  <c r="AY3408" i="5"/>
  <c r="AV3436" i="5"/>
  <c r="AW3564" i="5"/>
  <c r="AV3609" i="5"/>
  <c r="AV3625" i="5"/>
  <c r="AY3638" i="5"/>
  <c r="AV3665" i="5"/>
  <c r="AV3669" i="5"/>
  <c r="AV3681" i="5"/>
  <c r="AW3721" i="5"/>
  <c r="AX3738" i="5"/>
  <c r="AY3738" i="5"/>
  <c r="AX3778" i="5"/>
  <c r="AV3778" i="5"/>
  <c r="AX3781" i="5"/>
  <c r="AW3781" i="5"/>
  <c r="AW3669" i="5"/>
  <c r="AW3681" i="5"/>
  <c r="AW3700" i="5"/>
  <c r="AU3709" i="5"/>
  <c r="AX3713" i="5"/>
  <c r="AV3713" i="5"/>
  <c r="AV3720" i="5"/>
  <c r="AW3720" i="5"/>
  <c r="AY3757" i="5"/>
  <c r="AW3757" i="5"/>
  <c r="AV3757" i="5"/>
  <c r="AX3765" i="5"/>
  <c r="AV3765" i="5"/>
  <c r="AU3765" i="5"/>
  <c r="AU3778" i="5"/>
  <c r="AV3150" i="5"/>
  <c r="AW3211" i="5"/>
  <c r="AV3212" i="5"/>
  <c r="AU3256" i="5"/>
  <c r="AU3269" i="5"/>
  <c r="AU3305" i="5"/>
  <c r="AY3309" i="5"/>
  <c r="AV3312" i="5"/>
  <c r="AU3317" i="5"/>
  <c r="AV3320" i="5"/>
  <c r="AY3321" i="5"/>
  <c r="AU3332" i="5"/>
  <c r="AU3333" i="5"/>
  <c r="AV3344" i="5"/>
  <c r="AU3365" i="5"/>
  <c r="AY3373" i="5"/>
  <c r="AY3381" i="5"/>
  <c r="AY3397" i="5"/>
  <c r="AW3399" i="5"/>
  <c r="AY3405" i="5"/>
  <c r="AU3408" i="5"/>
  <c r="AW3422" i="5"/>
  <c r="AW3428" i="5"/>
  <c r="AW3452" i="5"/>
  <c r="AW3478" i="5"/>
  <c r="AV3479" i="5"/>
  <c r="AV3480" i="5"/>
  <c r="AU3482" i="5"/>
  <c r="AW3490" i="5"/>
  <c r="AV3513" i="5"/>
  <c r="AV3533" i="5"/>
  <c r="AU3544" i="5"/>
  <c r="AV3557" i="5"/>
  <c r="AU3564" i="5"/>
  <c r="AU3568" i="5"/>
  <c r="AU3572" i="5"/>
  <c r="AU3582" i="5"/>
  <c r="AY3586" i="5"/>
  <c r="AV3593" i="5"/>
  <c r="AU3594" i="5"/>
  <c r="AU3599" i="5"/>
  <c r="AW3612" i="5"/>
  <c r="AX3734" i="5"/>
  <c r="AY3734" i="5"/>
  <c r="AX3753" i="5"/>
  <c r="AW3753" i="5"/>
  <c r="AV3753" i="5"/>
  <c r="AW3765" i="5"/>
  <c r="AX3782" i="5"/>
  <c r="AV3782" i="5"/>
  <c r="AV3789" i="5"/>
  <c r="AY3797" i="5"/>
  <c r="AW3815" i="5"/>
  <c r="AV3818" i="5"/>
  <c r="AW3819" i="5"/>
  <c r="AW3831" i="5"/>
  <c r="AV3854" i="5"/>
  <c r="AW3855" i="5"/>
  <c r="AW3859" i="5"/>
  <c r="AV3863" i="5"/>
  <c r="AW3865" i="5"/>
  <c r="AW3869" i="5"/>
  <c r="AW3875" i="5"/>
  <c r="AY3877" i="5"/>
  <c r="AY3881" i="5"/>
  <c r="AV3891" i="5"/>
  <c r="AV3895" i="5"/>
  <c r="AY3901" i="5"/>
  <c r="AW3909" i="5"/>
  <c r="AY3913" i="5"/>
  <c r="AU3919" i="5"/>
  <c r="AV3931" i="5"/>
  <c r="AU3939" i="5"/>
  <c r="AW3941" i="5"/>
  <c r="AV3948" i="5"/>
  <c r="AU3949" i="5"/>
  <c r="AW3953" i="5"/>
  <c r="AY3957" i="5"/>
  <c r="AW3959" i="5"/>
  <c r="AY3961" i="5"/>
  <c r="AU3967" i="5"/>
  <c r="AU3971" i="5"/>
  <c r="AU3975" i="5"/>
  <c r="AX3990" i="5"/>
  <c r="AV3991" i="5"/>
  <c r="AW4001" i="5"/>
  <c r="AV4004" i="5"/>
  <c r="AU4005" i="5"/>
  <c r="AU4037" i="5"/>
  <c r="AV4076" i="5"/>
  <c r="AU4077" i="5"/>
  <c r="AW4101" i="5"/>
  <c r="AX4102" i="5"/>
  <c r="AU4103" i="5"/>
  <c r="AW4105" i="5"/>
  <c r="AV4109" i="5"/>
  <c r="AY4110" i="5"/>
  <c r="AW4113" i="5"/>
  <c r="AV4114" i="5"/>
  <c r="AY4130" i="5"/>
  <c r="AW4136" i="5"/>
  <c r="AY4138" i="5"/>
  <c r="AV4153" i="5"/>
  <c r="AU4157" i="5"/>
  <c r="AU4158" i="5"/>
  <c r="AW4164" i="5"/>
  <c r="AW4167" i="5"/>
  <c r="AX4167" i="5"/>
  <c r="AX4168" i="5"/>
  <c r="AV4168" i="5"/>
  <c r="AU4168" i="5"/>
  <c r="AX4188" i="5"/>
  <c r="AV4188" i="5"/>
  <c r="AU4188" i="5"/>
  <c r="AY4193" i="5"/>
  <c r="AV4193" i="5"/>
  <c r="AX4206" i="5"/>
  <c r="AY4206" i="5"/>
  <c r="AV4306" i="5"/>
  <c r="AW4306" i="5"/>
  <c r="AX4340" i="5"/>
  <c r="AY4340" i="5"/>
  <c r="AW3789" i="5"/>
  <c r="AW3863" i="5"/>
  <c r="AY3865" i="5"/>
  <c r="AY3869" i="5"/>
  <c r="AW3891" i="5"/>
  <c r="AW3895" i="5"/>
  <c r="AV3919" i="5"/>
  <c r="AW3931" i="5"/>
  <c r="AV3939" i="5"/>
  <c r="AW3949" i="5"/>
  <c r="AY3953" i="5"/>
  <c r="AV3967" i="5"/>
  <c r="AV3971" i="5"/>
  <c r="AV3975" i="5"/>
  <c r="AW3991" i="5"/>
  <c r="AY4001" i="5"/>
  <c r="AW4005" i="5"/>
  <c r="AW4037" i="5"/>
  <c r="AX4103" i="5"/>
  <c r="AW4153" i="5"/>
  <c r="AW4157" i="5"/>
  <c r="AV4158" i="5"/>
  <c r="AX4181" i="5"/>
  <c r="AV4181" i="5"/>
  <c r="AV4187" i="5"/>
  <c r="AX4187" i="5"/>
  <c r="AX4192" i="5"/>
  <c r="AW4192" i="5"/>
  <c r="AV4192" i="5"/>
  <c r="AX4238" i="5"/>
  <c r="AW4238" i="5"/>
  <c r="AU4238" i="5"/>
  <c r="AV4261" i="5"/>
  <c r="AX4261" i="5"/>
  <c r="AW4261" i="5"/>
  <c r="AU4261" i="5"/>
  <c r="AV4285" i="5"/>
  <c r="AX4285" i="5"/>
  <c r="AU4285" i="5"/>
  <c r="AX4295" i="5"/>
  <c r="AW4295" i="5"/>
  <c r="AX4324" i="5"/>
  <c r="AY4324" i="5"/>
  <c r="AV4324" i="5"/>
  <c r="AW3939" i="5"/>
  <c r="AW3967" i="5"/>
  <c r="AW3971" i="5"/>
  <c r="AW4039" i="5"/>
  <c r="AX4088" i="5"/>
  <c r="AV4094" i="5"/>
  <c r="AW4095" i="5"/>
  <c r="AU4101" i="5"/>
  <c r="AU4113" i="5"/>
  <c r="AY4118" i="5"/>
  <c r="AY4122" i="5"/>
  <c r="AW4124" i="5"/>
  <c r="AU4130" i="5"/>
  <c r="AW4132" i="5"/>
  <c r="AU4141" i="5"/>
  <c r="AV4145" i="5"/>
  <c r="AU4149" i="5"/>
  <c r="AY4158" i="5"/>
  <c r="AW4160" i="5"/>
  <c r="AU4164" i="5"/>
  <c r="AV4173" i="5"/>
  <c r="AV4175" i="5"/>
  <c r="AX4198" i="5"/>
  <c r="AW4198" i="5"/>
  <c r="AU4198" i="5"/>
  <c r="AX4230" i="5"/>
  <c r="AY4230" i="5"/>
  <c r="AY4233" i="5"/>
  <c r="AV4233" i="5"/>
  <c r="AW4260" i="5"/>
  <c r="AX4260" i="5"/>
  <c r="AX4263" i="5"/>
  <c r="AW4263" i="5"/>
  <c r="AV4263" i="5"/>
  <c r="AU4263" i="5"/>
  <c r="AV4293" i="5"/>
  <c r="AW4293" i="5"/>
  <c r="AX4182" i="5"/>
  <c r="AY4182" i="5"/>
  <c r="AX4185" i="5"/>
  <c r="AV4185" i="5"/>
  <c r="AX4279" i="5"/>
  <c r="AW4279" i="5"/>
  <c r="AV4279" i="5"/>
  <c r="AX4303" i="5"/>
  <c r="AW4303" i="5"/>
  <c r="AV4303" i="5"/>
  <c r="AU4303" i="5"/>
  <c r="AX4308" i="5"/>
  <c r="AY4308" i="5"/>
  <c r="AX4327" i="5"/>
  <c r="AW4327" i="5"/>
  <c r="AV4355" i="5"/>
  <c r="AU4366" i="5"/>
  <c r="AW4372" i="5"/>
  <c r="AU4378" i="5"/>
  <c r="AV4381" i="5"/>
  <c r="AU4382" i="5"/>
  <c r="AU4384" i="5"/>
  <c r="AV4393" i="5"/>
  <c r="AU4394" i="5"/>
  <c r="AU4396" i="5"/>
  <c r="AW4434" i="5"/>
  <c r="AY4437" i="5"/>
  <c r="AU4461" i="5"/>
  <c r="AY4465" i="5"/>
  <c r="AW4466" i="5"/>
  <c r="AW4471" i="5"/>
  <c r="AV4494" i="5"/>
  <c r="AU4495" i="5"/>
  <c r="AU4499" i="5"/>
  <c r="AU4506" i="5"/>
  <c r="AW4513" i="5"/>
  <c r="AY4524" i="5"/>
  <c r="AW4537" i="5"/>
  <c r="AV4538" i="5"/>
  <c r="AV4554" i="5"/>
  <c r="AU4569" i="5"/>
  <c r="AV4570" i="5"/>
  <c r="AY4194" i="5"/>
  <c r="AU4244" i="5"/>
  <c r="AV4249" i="5"/>
  <c r="AV4254" i="5"/>
  <c r="AU4255" i="5"/>
  <c r="AU4271" i="5"/>
  <c r="AW4275" i="5"/>
  <c r="AX4278" i="5"/>
  <c r="AW4287" i="5"/>
  <c r="AX4288" i="5"/>
  <c r="AU4289" i="5"/>
  <c r="AV4292" i="5"/>
  <c r="AW4302" i="5"/>
  <c r="AV4315" i="5"/>
  <c r="AY4328" i="5"/>
  <c r="AV4344" i="5"/>
  <c r="AW4350" i="5"/>
  <c r="AU4353" i="5"/>
  <c r="AU4354" i="5"/>
  <c r="AW4355" i="5"/>
  <c r="AX4357" i="5"/>
  <c r="AX4358" i="5"/>
  <c r="AW4366" i="5"/>
  <c r="AU4368" i="5"/>
  <c r="AW4382" i="5"/>
  <c r="AV4384" i="5"/>
  <c r="AV4388" i="5"/>
  <c r="AW4394" i="5"/>
  <c r="AV4396" i="5"/>
  <c r="AW4398" i="5"/>
  <c r="AU4408" i="5"/>
  <c r="AY4441" i="5"/>
  <c r="AW4442" i="5"/>
  <c r="AW4447" i="5"/>
  <c r="AW4454" i="5"/>
  <c r="AW4455" i="5"/>
  <c r="AW4460" i="5"/>
  <c r="AY4461" i="5"/>
  <c r="AU4464" i="5"/>
  <c r="AX4469" i="5"/>
  <c r="AV4475" i="5"/>
  <c r="AU4483" i="5"/>
  <c r="AU4486" i="5"/>
  <c r="AU4487" i="5"/>
  <c r="AV4495" i="5"/>
  <c r="AU4498" i="5"/>
  <c r="AV4499" i="5"/>
  <c r="AV4506" i="5"/>
  <c r="AV4518" i="5"/>
  <c r="AW4538" i="5"/>
  <c r="AW4545" i="5"/>
  <c r="AW4554" i="5"/>
  <c r="AW4563" i="5"/>
  <c r="AW4567" i="5"/>
  <c r="AW4569" i="5"/>
  <c r="AV4244" i="5"/>
  <c r="AV4255" i="5"/>
  <c r="AV4271" i="5"/>
  <c r="AW4289" i="5"/>
  <c r="AW4311" i="5"/>
  <c r="AW4314" i="5"/>
  <c r="AW4315" i="5"/>
  <c r="AW4344" i="5"/>
  <c r="AX4350" i="5"/>
  <c r="AV4353" i="5"/>
  <c r="AW4354" i="5"/>
  <c r="AV4368" i="5"/>
  <c r="AY4382" i="5"/>
  <c r="AW4384" i="5"/>
  <c r="AY4394" i="5"/>
  <c r="AW4396" i="5"/>
  <c r="AU4402" i="5"/>
  <c r="AV4405" i="5"/>
  <c r="AU4406" i="5"/>
  <c r="AV4408" i="5"/>
  <c r="AW4410" i="5"/>
  <c r="AU4414" i="5"/>
  <c r="AU4428" i="5"/>
  <c r="AX4445" i="5"/>
  <c r="AV4451" i="5"/>
  <c r="AV4463" i="5"/>
  <c r="AW4464" i="5"/>
  <c r="AU4472" i="5"/>
  <c r="AV4478" i="5"/>
  <c r="AY4483" i="5"/>
  <c r="AW4486" i="5"/>
  <c r="AY4487" i="5"/>
  <c r="AW4489" i="5"/>
  <c r="AU4490" i="5"/>
  <c r="AY4495" i="5"/>
  <c r="AY4499" i="5"/>
  <c r="AW4501" i="5"/>
  <c r="AU4502" i="5"/>
  <c r="AU4503" i="5"/>
  <c r="AW4506" i="5"/>
  <c r="AV4507" i="5"/>
  <c r="AV4559" i="5"/>
  <c r="AY4567" i="5"/>
  <c r="AY4569" i="5"/>
  <c r="AY331" i="5"/>
  <c r="AY459" i="5"/>
  <c r="AY467" i="5"/>
  <c r="AY503" i="5"/>
  <c r="AY623" i="5"/>
  <c r="AY675" i="5"/>
  <c r="AY796" i="5"/>
  <c r="AY804" i="5"/>
  <c r="AY947" i="5"/>
  <c r="AY971" i="5"/>
  <c r="AY995" i="5"/>
  <c r="AY1011" i="5"/>
  <c r="AY1083" i="5"/>
  <c r="AY1111" i="5"/>
  <c r="AX1280" i="5"/>
  <c r="AW1280" i="5"/>
  <c r="AV1280" i="5"/>
  <c r="AU1280" i="5"/>
  <c r="AY1327" i="5"/>
  <c r="AW1327" i="5"/>
  <c r="AV1327" i="5"/>
  <c r="AV1386" i="5"/>
  <c r="AW1386" i="5"/>
  <c r="AV1390" i="5"/>
  <c r="AW1390" i="5"/>
  <c r="AV1402" i="5"/>
  <c r="AW1402" i="5"/>
  <c r="AV1410" i="5"/>
  <c r="AW1410" i="5"/>
  <c r="AV1426" i="5"/>
  <c r="AW1426" i="5"/>
  <c r="AV1574" i="5"/>
  <c r="AW1574" i="5"/>
  <c r="AY1671" i="5"/>
  <c r="AW1671" i="5"/>
  <c r="AV1671" i="5"/>
  <c r="AX1680" i="5"/>
  <c r="AW1680" i="5"/>
  <c r="AV1680" i="5"/>
  <c r="AU1680" i="5"/>
  <c r="AX1813" i="5"/>
  <c r="AW1813" i="5"/>
  <c r="AV1813" i="5"/>
  <c r="AU1813" i="5"/>
  <c r="AW1830" i="5"/>
  <c r="AX1830" i="5"/>
  <c r="AV1830" i="5"/>
  <c r="AU1830" i="5"/>
  <c r="AX1861" i="5"/>
  <c r="AW1861" i="5"/>
  <c r="AV1861" i="5"/>
  <c r="AU1861" i="5"/>
  <c r="AX1961" i="5"/>
  <c r="AU1961" i="5"/>
  <c r="AW1961" i="5"/>
  <c r="AY1961" i="5"/>
  <c r="AV1961" i="5"/>
  <c r="AX1989" i="5"/>
  <c r="AW1989" i="5"/>
  <c r="AU1989" i="5"/>
  <c r="AY1989" i="5"/>
  <c r="AV1989" i="5"/>
  <c r="AX2941" i="5"/>
  <c r="AV2941" i="5"/>
  <c r="AU2941" i="5"/>
  <c r="AY2941" i="5"/>
  <c r="AW2941" i="5"/>
  <c r="AV2979" i="5"/>
  <c r="AY2979" i="5"/>
  <c r="AU2979" i="5"/>
  <c r="AX3500" i="5"/>
  <c r="AW3500" i="5"/>
  <c r="AV3500" i="5"/>
  <c r="AY3500" i="5"/>
  <c r="AU3500" i="5"/>
  <c r="AW3596" i="5"/>
  <c r="AV3596" i="5"/>
  <c r="AX3596" i="5"/>
  <c r="AU308" i="5"/>
  <c r="AW311" i="5"/>
  <c r="AV312" i="5"/>
  <c r="AW314" i="5"/>
  <c r="AY319" i="5"/>
  <c r="AY323" i="5"/>
  <c r="AU331" i="5"/>
  <c r="AY332" i="5"/>
  <c r="AU335" i="5"/>
  <c r="AW339" i="5"/>
  <c r="AY347" i="5"/>
  <c r="AY348" i="5"/>
  <c r="AW351" i="5"/>
  <c r="AW355" i="5"/>
  <c r="AY359" i="5"/>
  <c r="AY360" i="5"/>
  <c r="AW363" i="5"/>
  <c r="AW367" i="5"/>
  <c r="AY372" i="5"/>
  <c r="AW375" i="5"/>
  <c r="AY383" i="5"/>
  <c r="AY384" i="5"/>
  <c r="AW387" i="5"/>
  <c r="AW391" i="5"/>
  <c r="AY395" i="5"/>
  <c r="AY396" i="5"/>
  <c r="AW399" i="5"/>
  <c r="AW403" i="5"/>
  <c r="AY408" i="5"/>
  <c r="AV416" i="5"/>
  <c r="AY419" i="5"/>
  <c r="AV420" i="5"/>
  <c r="AY423" i="5"/>
  <c r="AW430" i="5"/>
  <c r="AU432" i="5"/>
  <c r="AW435" i="5"/>
  <c r="AW438" i="5"/>
  <c r="AY440" i="5"/>
  <c r="AW443" i="5"/>
  <c r="AY447" i="5"/>
  <c r="AY448" i="5"/>
  <c r="AY455" i="5"/>
  <c r="AY456" i="5"/>
  <c r="AU459" i="5"/>
  <c r="AU464" i="5"/>
  <c r="AU467" i="5"/>
  <c r="AW470" i="5"/>
  <c r="AU480" i="5"/>
  <c r="AW483" i="5"/>
  <c r="AW486" i="5"/>
  <c r="AY488" i="5"/>
  <c r="AW491" i="5"/>
  <c r="AY495" i="5"/>
  <c r="AU503" i="5"/>
  <c r="AY504" i="5"/>
  <c r="AU507" i="5"/>
  <c r="AW511" i="5"/>
  <c r="AW515" i="5"/>
  <c r="AW527" i="5"/>
  <c r="AY531" i="5"/>
  <c r="AW535" i="5"/>
  <c r="AW539" i="5"/>
  <c r="AY543" i="5"/>
  <c r="AY544" i="5"/>
  <c r="AW547" i="5"/>
  <c r="AY556" i="5"/>
  <c r="AY567" i="5"/>
  <c r="AY579" i="5"/>
  <c r="AU592" i="5"/>
  <c r="AW603" i="5"/>
  <c r="AW607" i="5"/>
  <c r="AU612" i="5"/>
  <c r="AY615" i="5"/>
  <c r="AV616" i="5"/>
  <c r="AY619" i="5"/>
  <c r="AU623" i="5"/>
  <c r="AV624" i="5"/>
  <c r="AU627" i="5"/>
  <c r="AY628" i="5"/>
  <c r="AW630" i="5"/>
  <c r="AY636" i="5"/>
  <c r="AW638" i="5"/>
  <c r="AW651" i="5"/>
  <c r="AU652" i="5"/>
  <c r="AY659" i="5"/>
  <c r="AU660" i="5"/>
  <c r="AY663" i="5"/>
  <c r="AV664" i="5"/>
  <c r="AU668" i="5"/>
  <c r="AW670" i="5"/>
  <c r="AU671" i="5"/>
  <c r="AV672" i="5"/>
  <c r="AU675" i="5"/>
  <c r="AW678" i="5"/>
  <c r="AU679" i="5"/>
  <c r="AV680" i="5"/>
  <c r="AW686" i="5"/>
  <c r="AV687" i="5"/>
  <c r="AW690" i="5"/>
  <c r="AU695" i="5"/>
  <c r="AY699" i="5"/>
  <c r="AV700" i="5"/>
  <c r="AW710" i="5"/>
  <c r="AW715" i="5"/>
  <c r="AU719" i="5"/>
  <c r="AV720" i="5"/>
  <c r="AV724" i="5"/>
  <c r="AU727" i="5"/>
  <c r="AV728" i="5"/>
  <c r="AW734" i="5"/>
  <c r="AV735" i="5"/>
  <c r="AU743" i="5"/>
  <c r="AV744" i="5"/>
  <c r="AY747" i="5"/>
  <c r="AU751" i="5"/>
  <c r="AV752" i="5"/>
  <c r="AW755" i="5"/>
  <c r="AW758" i="5"/>
  <c r="AW763" i="5"/>
  <c r="AU767" i="5"/>
  <c r="AY771" i="5"/>
  <c r="AU776" i="5"/>
  <c r="AY780" i="5"/>
  <c r="AV783" i="5"/>
  <c r="AY792" i="5"/>
  <c r="AV795" i="5"/>
  <c r="AU796" i="5"/>
  <c r="AW798" i="5"/>
  <c r="AU804" i="5"/>
  <c r="AW812" i="5"/>
  <c r="AW818" i="5"/>
  <c r="AV823" i="5"/>
  <c r="AW828" i="5"/>
  <c r="AY832" i="5"/>
  <c r="AW839" i="5"/>
  <c r="AU843" i="5"/>
  <c r="AW846" i="5"/>
  <c r="AX857" i="5"/>
  <c r="AX878" i="5"/>
  <c r="AW879" i="5"/>
  <c r="AY903" i="5"/>
  <c r="AV904" i="5"/>
  <c r="AU905" i="5"/>
  <c r="AU908" i="5"/>
  <c r="AY920" i="5"/>
  <c r="AW922" i="5"/>
  <c r="AV924" i="5"/>
  <c r="AU932" i="5"/>
  <c r="AV935" i="5"/>
  <c r="AY939" i="5"/>
  <c r="AV940" i="5"/>
  <c r="AW943" i="5"/>
  <c r="AU944" i="5"/>
  <c r="AU947" i="5"/>
  <c r="AW951" i="5"/>
  <c r="AU952" i="5"/>
  <c r="AU956" i="5"/>
  <c r="AU957" i="5"/>
  <c r="AU959" i="5"/>
  <c r="AW962" i="5"/>
  <c r="AY967" i="5"/>
  <c r="AV968" i="5"/>
  <c r="AX969" i="5"/>
  <c r="AU971" i="5"/>
  <c r="AU976" i="5"/>
  <c r="AX977" i="5"/>
  <c r="AW979" i="5"/>
  <c r="AU980" i="5"/>
  <c r="AW987" i="5"/>
  <c r="AU988" i="5"/>
  <c r="AU995" i="5"/>
  <c r="AW999" i="5"/>
  <c r="AY1003" i="5"/>
  <c r="AV1004" i="5"/>
  <c r="AX1005" i="5"/>
  <c r="AU1007" i="5"/>
  <c r="AU1011" i="5"/>
  <c r="AY1012" i="5"/>
  <c r="AY1015" i="5"/>
  <c r="AV1016" i="5"/>
  <c r="AY1020" i="5"/>
  <c r="AW1023" i="5"/>
  <c r="AV1031" i="5"/>
  <c r="AY1032" i="5"/>
  <c r="AW1035" i="5"/>
  <c r="AY1039" i="5"/>
  <c r="AV1040" i="5"/>
  <c r="AV1043" i="5"/>
  <c r="AY1044" i="5"/>
  <c r="AY1047" i="5"/>
  <c r="AU1049" i="5"/>
  <c r="AW1055" i="5"/>
  <c r="AU1059" i="5"/>
  <c r="AV1060" i="5"/>
  <c r="AX1061" i="5"/>
  <c r="AV1064" i="5"/>
  <c r="AX1065" i="5"/>
  <c r="AV1067" i="5"/>
  <c r="AY1068" i="5"/>
  <c r="AU1076" i="5"/>
  <c r="AU1077" i="5"/>
  <c r="AU1079" i="5"/>
  <c r="AU1083" i="5"/>
  <c r="AU1088" i="5"/>
  <c r="AV1091" i="5"/>
  <c r="AY1092" i="5"/>
  <c r="AY1095" i="5"/>
  <c r="AU1096" i="5"/>
  <c r="AU1097" i="5"/>
  <c r="AY1103" i="5"/>
  <c r="AW1107" i="5"/>
  <c r="AU1111" i="5"/>
  <c r="AY1112" i="5"/>
  <c r="AV1115" i="5"/>
  <c r="AY1116" i="5"/>
  <c r="AV1119" i="5"/>
  <c r="AY1120" i="5"/>
  <c r="AU1121" i="5"/>
  <c r="AY1123" i="5"/>
  <c r="AV1124" i="5"/>
  <c r="AU1125" i="5"/>
  <c r="AY1127" i="5"/>
  <c r="AU1128" i="5"/>
  <c r="AV1132" i="5"/>
  <c r="AU1136" i="5"/>
  <c r="AY1143" i="5"/>
  <c r="AW1151" i="5"/>
  <c r="AV1159" i="5"/>
  <c r="AW1163" i="5"/>
  <c r="AX1165" i="5"/>
  <c r="AY1168" i="5"/>
  <c r="AY1173" i="5"/>
  <c r="AY1175" i="5"/>
  <c r="AU1176" i="5"/>
  <c r="AU1179" i="5"/>
  <c r="AY1181" i="5"/>
  <c r="AX1181" i="5"/>
  <c r="AU1181" i="5"/>
  <c r="AX1184" i="5"/>
  <c r="AY1184" i="5"/>
  <c r="AV1184" i="5"/>
  <c r="AU1184" i="5"/>
  <c r="AX1220" i="5"/>
  <c r="AW1220" i="5"/>
  <c r="AV1220" i="5"/>
  <c r="AU1220" i="5"/>
  <c r="AX1228" i="5"/>
  <c r="AW1228" i="5"/>
  <c r="AV1228" i="5"/>
  <c r="AU1228" i="5"/>
  <c r="AY1231" i="5"/>
  <c r="AW1231" i="5"/>
  <c r="AV1231" i="5"/>
  <c r="AY1267" i="5"/>
  <c r="AW1267" i="5"/>
  <c r="AV1267" i="5"/>
  <c r="AY1280" i="5"/>
  <c r="AX1284" i="5"/>
  <c r="AW1284" i="5"/>
  <c r="AV1284" i="5"/>
  <c r="AU1284" i="5"/>
  <c r="AY1301" i="5"/>
  <c r="AU1301" i="5"/>
  <c r="AV1422" i="5"/>
  <c r="AW1422" i="5"/>
  <c r="AY1435" i="5"/>
  <c r="AW1435" i="5"/>
  <c r="AV1435" i="5"/>
  <c r="AV1438" i="5"/>
  <c r="AW1438" i="5"/>
  <c r="AX1472" i="5"/>
  <c r="AW1472" i="5"/>
  <c r="AV1472" i="5"/>
  <c r="AU1472" i="5"/>
  <c r="AV1498" i="5"/>
  <c r="AW1498" i="5"/>
  <c r="AX1544" i="5"/>
  <c r="AW1544" i="5"/>
  <c r="AV1544" i="5"/>
  <c r="AU1544" i="5"/>
  <c r="AY1571" i="5"/>
  <c r="AW1571" i="5"/>
  <c r="AV1571" i="5"/>
  <c r="AV1578" i="5"/>
  <c r="AW1578" i="5"/>
  <c r="AX1608" i="5"/>
  <c r="AW1608" i="5"/>
  <c r="AV1608" i="5"/>
  <c r="AU1608" i="5"/>
  <c r="AY1680" i="5"/>
  <c r="AY1697" i="5"/>
  <c r="AX1697" i="5"/>
  <c r="AX1709" i="5"/>
  <c r="AY1709" i="5"/>
  <c r="AU1709" i="5"/>
  <c r="AW1722" i="5"/>
  <c r="AU1722" i="5"/>
  <c r="AX1740" i="5"/>
  <c r="AW1740" i="5"/>
  <c r="AV1740" i="5"/>
  <c r="AX1805" i="5"/>
  <c r="AW1805" i="5"/>
  <c r="AV1805" i="5"/>
  <c r="AU1805" i="5"/>
  <c r="AX1812" i="5"/>
  <c r="AV1812" i="5"/>
  <c r="AY1813" i="5"/>
  <c r="AX1857" i="5"/>
  <c r="AW1857" i="5"/>
  <c r="AV1857" i="5"/>
  <c r="AU1857" i="5"/>
  <c r="AY1861" i="5"/>
  <c r="AV1863" i="5"/>
  <c r="AW1863" i="5"/>
  <c r="AU1863" i="5"/>
  <c r="AV1879" i="5"/>
  <c r="AU1879" i="5"/>
  <c r="AV1911" i="5"/>
  <c r="AX1911" i="5"/>
  <c r="AW1911" i="5"/>
  <c r="AU1911" i="5"/>
  <c r="AW1922" i="5"/>
  <c r="AV1922" i="5"/>
  <c r="AU1922" i="5"/>
  <c r="AV1935" i="5"/>
  <c r="AU1935" i="5"/>
  <c r="AX1935" i="5"/>
  <c r="AW1935" i="5"/>
  <c r="AV1959" i="5"/>
  <c r="AX1959" i="5"/>
  <c r="AU1959" i="5"/>
  <c r="AW1959" i="5"/>
  <c r="AX2204" i="5"/>
  <c r="AV2204" i="5"/>
  <c r="AX2209" i="5"/>
  <c r="AW2209" i="5"/>
  <c r="AV2209" i="5"/>
  <c r="AU2209" i="5"/>
  <c r="AY2209" i="5"/>
  <c r="AX2277" i="5"/>
  <c r="AW2277" i="5"/>
  <c r="AV2277" i="5"/>
  <c r="AU2277" i="5"/>
  <c r="AY2277" i="5"/>
  <c r="AV308" i="5"/>
  <c r="AY311" i="5"/>
  <c r="AV331" i="5"/>
  <c r="AV335" i="5"/>
  <c r="AY339" i="5"/>
  <c r="AY351" i="5"/>
  <c r="AY355" i="5"/>
  <c r="AY363" i="5"/>
  <c r="AY367" i="5"/>
  <c r="AY375" i="5"/>
  <c r="AY387" i="5"/>
  <c r="AY391" i="5"/>
  <c r="AY399" i="5"/>
  <c r="AY403" i="5"/>
  <c r="AY411" i="5"/>
  <c r="AU412" i="5"/>
  <c r="AY416" i="5"/>
  <c r="AY420" i="5"/>
  <c r="AV432" i="5"/>
  <c r="AY435" i="5"/>
  <c r="AY443" i="5"/>
  <c r="AV459" i="5"/>
  <c r="AV464" i="5"/>
  <c r="AV467" i="5"/>
  <c r="AV480" i="5"/>
  <c r="AY483" i="5"/>
  <c r="AY491" i="5"/>
  <c r="AV503" i="5"/>
  <c r="AV507" i="5"/>
  <c r="AY511" i="5"/>
  <c r="AY515" i="5"/>
  <c r="AY527" i="5"/>
  <c r="AY535" i="5"/>
  <c r="AY539" i="5"/>
  <c r="AY547" i="5"/>
  <c r="AY551" i="5"/>
  <c r="AY552" i="5"/>
  <c r="AY563" i="5"/>
  <c r="AU567" i="5"/>
  <c r="AY571" i="5"/>
  <c r="AY576" i="5"/>
  <c r="AU579" i="5"/>
  <c r="AU588" i="5"/>
  <c r="AY591" i="5"/>
  <c r="AV592" i="5"/>
  <c r="AY599" i="5"/>
  <c r="AU600" i="5"/>
  <c r="AY603" i="5"/>
  <c r="AY607" i="5"/>
  <c r="AV612" i="5"/>
  <c r="AY616" i="5"/>
  <c r="AW618" i="5"/>
  <c r="AV623" i="5"/>
  <c r="AY624" i="5"/>
  <c r="AV627" i="5"/>
  <c r="AW639" i="5"/>
  <c r="AW643" i="5"/>
  <c r="AY647" i="5"/>
  <c r="AU648" i="5"/>
  <c r="AY651" i="5"/>
  <c r="AV652" i="5"/>
  <c r="AY655" i="5"/>
  <c r="AU656" i="5"/>
  <c r="AU659" i="5"/>
  <c r="AV660" i="5"/>
  <c r="AY664" i="5"/>
  <c r="AW666" i="5"/>
  <c r="AV668" i="5"/>
  <c r="AV671" i="5"/>
  <c r="AY672" i="5"/>
  <c r="AW674" i="5"/>
  <c r="AV675" i="5"/>
  <c r="AV679" i="5"/>
  <c r="AY680" i="5"/>
  <c r="AY683" i="5"/>
  <c r="AU684" i="5"/>
  <c r="AW687" i="5"/>
  <c r="AU688" i="5"/>
  <c r="AY691" i="5"/>
  <c r="AU692" i="5"/>
  <c r="AV695" i="5"/>
  <c r="AU699" i="5"/>
  <c r="AY700" i="5"/>
  <c r="AW702" i="5"/>
  <c r="AY704" i="5"/>
  <c r="AY707" i="5"/>
  <c r="AU708" i="5"/>
  <c r="AW711" i="5"/>
  <c r="AY715" i="5"/>
  <c r="AU716" i="5"/>
  <c r="AV719" i="5"/>
  <c r="AY720" i="5"/>
  <c r="AY724" i="5"/>
  <c r="AW726" i="5"/>
  <c r="AV727" i="5"/>
  <c r="AY728" i="5"/>
  <c r="AY731" i="5"/>
  <c r="AW735" i="5"/>
  <c r="AU736" i="5"/>
  <c r="AU740" i="5"/>
  <c r="AV743" i="5"/>
  <c r="AV751" i="5"/>
  <c r="AY752" i="5"/>
  <c r="AY755" i="5"/>
  <c r="AY763" i="5"/>
  <c r="AV767" i="5"/>
  <c r="AV776" i="5"/>
  <c r="AW783" i="5"/>
  <c r="AW795" i="5"/>
  <c r="AV796" i="5"/>
  <c r="AV804" i="5"/>
  <c r="AY812" i="5"/>
  <c r="AW823" i="5"/>
  <c r="AY828" i="5"/>
  <c r="AY839" i="5"/>
  <c r="AV843" i="5"/>
  <c r="AW867" i="5"/>
  <c r="AV868" i="5"/>
  <c r="AW869" i="5"/>
  <c r="AU872" i="5"/>
  <c r="AY879" i="5"/>
  <c r="AV884" i="5"/>
  <c r="AU888" i="5"/>
  <c r="AY891" i="5"/>
  <c r="AU893" i="5"/>
  <c r="AW895" i="5"/>
  <c r="AU896" i="5"/>
  <c r="AU903" i="5"/>
  <c r="AY904" i="5"/>
  <c r="AX905" i="5"/>
  <c r="AY907" i="5"/>
  <c r="AV908" i="5"/>
  <c r="AU913" i="5"/>
  <c r="AV932" i="5"/>
  <c r="AW935" i="5"/>
  <c r="AY940" i="5"/>
  <c r="AY943" i="5"/>
  <c r="AV944" i="5"/>
  <c r="AV947" i="5"/>
  <c r="AY951" i="5"/>
  <c r="AV952" i="5"/>
  <c r="AV956" i="5"/>
  <c r="AX957" i="5"/>
  <c r="AV959" i="5"/>
  <c r="AU967" i="5"/>
  <c r="AY968" i="5"/>
  <c r="AV971" i="5"/>
  <c r="AY975" i="5"/>
  <c r="AV976" i="5"/>
  <c r="AY979" i="5"/>
  <c r="AV980" i="5"/>
  <c r="AY987" i="5"/>
  <c r="AV988" i="5"/>
  <c r="AV995" i="5"/>
  <c r="AY999" i="5"/>
  <c r="AY1004" i="5"/>
  <c r="AV1007" i="5"/>
  <c r="AV1011" i="5"/>
  <c r="AY1016" i="5"/>
  <c r="AY1023" i="5"/>
  <c r="AU1024" i="5"/>
  <c r="AW1031" i="5"/>
  <c r="AY1035" i="5"/>
  <c r="AY1040" i="5"/>
  <c r="AU1047" i="5"/>
  <c r="AX1049" i="5"/>
  <c r="AW1051" i="5"/>
  <c r="AU1052" i="5"/>
  <c r="AY1055" i="5"/>
  <c r="AV1059" i="5"/>
  <c r="AY1060" i="5"/>
  <c r="AY1064" i="5"/>
  <c r="AW1067" i="5"/>
  <c r="AY1071" i="5"/>
  <c r="AV1076" i="5"/>
  <c r="AX1077" i="5"/>
  <c r="AV1079" i="5"/>
  <c r="AY1080" i="5"/>
  <c r="AV1083" i="5"/>
  <c r="AY1087" i="5"/>
  <c r="AV1088" i="5"/>
  <c r="AW1091" i="5"/>
  <c r="AU1095" i="5"/>
  <c r="AV1096" i="5"/>
  <c r="AX1097" i="5"/>
  <c r="AU1100" i="5"/>
  <c r="AY1107" i="5"/>
  <c r="AV1111" i="5"/>
  <c r="AW1115" i="5"/>
  <c r="AW1119" i="5"/>
  <c r="AX1121" i="5"/>
  <c r="AY1124" i="5"/>
  <c r="AX1125" i="5"/>
  <c r="AU1127" i="5"/>
  <c r="AV1128" i="5"/>
  <c r="AY1132" i="5"/>
  <c r="AU1133" i="5"/>
  <c r="AV1136" i="5"/>
  <c r="AU1137" i="5"/>
  <c r="AY1139" i="5"/>
  <c r="AU1143" i="5"/>
  <c r="AW1147" i="5"/>
  <c r="AU1148" i="5"/>
  <c r="AY1151" i="5"/>
  <c r="AU1152" i="5"/>
  <c r="AY1155" i="5"/>
  <c r="AU1156" i="5"/>
  <c r="AW1159" i="5"/>
  <c r="AU1160" i="5"/>
  <c r="AY1163" i="5"/>
  <c r="AU1164" i="5"/>
  <c r="AU1172" i="5"/>
  <c r="AU1175" i="5"/>
  <c r="AV1176" i="5"/>
  <c r="AV1179" i="5"/>
  <c r="AW1190" i="5"/>
  <c r="AX1190" i="5"/>
  <c r="AX1200" i="5"/>
  <c r="AY1200" i="5"/>
  <c r="AV1200" i="5"/>
  <c r="AU1200" i="5"/>
  <c r="AX1204" i="5"/>
  <c r="AY1204" i="5"/>
  <c r="AV1204" i="5"/>
  <c r="AU1204" i="5"/>
  <c r="AY1220" i="5"/>
  <c r="AX1240" i="5"/>
  <c r="AW1240" i="5"/>
  <c r="AV1240" i="5"/>
  <c r="AU1240" i="5"/>
  <c r="AY1275" i="5"/>
  <c r="AW1275" i="5"/>
  <c r="AV1275" i="5"/>
  <c r="AY1289" i="5"/>
  <c r="AX1289" i="5"/>
  <c r="AU1289" i="5"/>
  <c r="AX1328" i="5"/>
  <c r="AW1328" i="5"/>
  <c r="AV1328" i="5"/>
  <c r="AU1328" i="5"/>
  <c r="AV1434" i="5"/>
  <c r="AW1434" i="5"/>
  <c r="AV1454" i="5"/>
  <c r="AW1454" i="5"/>
  <c r="AX1588" i="5"/>
  <c r="AW1588" i="5"/>
  <c r="AV1588" i="5"/>
  <c r="AU1588" i="5"/>
  <c r="AY1623" i="5"/>
  <c r="AW1623" i="5"/>
  <c r="AV1623" i="5"/>
  <c r="AX1654" i="5"/>
  <c r="AW1654" i="5"/>
  <c r="AX1672" i="5"/>
  <c r="AW1672" i="5"/>
  <c r="AV1672" i="5"/>
  <c r="AU1672" i="5"/>
  <c r="AY1679" i="5"/>
  <c r="AW1679" i="5"/>
  <c r="AV1679" i="5"/>
  <c r="AY1683" i="5"/>
  <c r="AW1683" i="5"/>
  <c r="AV1683" i="5"/>
  <c r="AV1739" i="5"/>
  <c r="AU1739" i="5"/>
  <c r="AX1741" i="5"/>
  <c r="AW1741" i="5"/>
  <c r="AV1741" i="5"/>
  <c r="AU1741" i="5"/>
  <c r="AV1751" i="5"/>
  <c r="AX1751" i="5"/>
  <c r="AW1751" i="5"/>
  <c r="AU1751" i="5"/>
  <c r="AX1793" i="5"/>
  <c r="AW1793" i="5"/>
  <c r="AV1793" i="5"/>
  <c r="AU1793" i="5"/>
  <c r="AW1802" i="5"/>
  <c r="AX1802" i="5"/>
  <c r="AV1802" i="5"/>
  <c r="AU1802" i="5"/>
  <c r="AY1805" i="5"/>
  <c r="AX1820" i="5"/>
  <c r="AW1820" i="5"/>
  <c r="AV1820" i="5"/>
  <c r="AX1856" i="5"/>
  <c r="AV1856" i="5"/>
  <c r="AY1857" i="5"/>
  <c r="AX1869" i="5"/>
  <c r="AW1869" i="5"/>
  <c r="AV1869" i="5"/>
  <c r="AU1869" i="5"/>
  <c r="AV1915" i="5"/>
  <c r="AW1915" i="5"/>
  <c r="AU1915" i="5"/>
  <c r="AW1958" i="5"/>
  <c r="AU1958" i="5"/>
  <c r="AX1958" i="5"/>
  <c r="AV1958" i="5"/>
  <c r="AW1962" i="5"/>
  <c r="AU1962" i="5"/>
  <c r="AV1962" i="5"/>
  <c r="AV2043" i="5"/>
  <c r="AU2043" i="5"/>
  <c r="AY2043" i="5"/>
  <c r="AW2043" i="5"/>
  <c r="AV2119" i="5"/>
  <c r="AY2119" i="5"/>
  <c r="AW2119" i="5"/>
  <c r="AU2119" i="5"/>
  <c r="AX2237" i="5"/>
  <c r="AW2237" i="5"/>
  <c r="AV2237" i="5"/>
  <c r="AU2237" i="5"/>
  <c r="AY2237" i="5"/>
  <c r="AX2293" i="5"/>
  <c r="AW2293" i="5"/>
  <c r="AV2293" i="5"/>
  <c r="AU2293" i="5"/>
  <c r="AY2293" i="5"/>
  <c r="AX2560" i="5"/>
  <c r="AV2560" i="5"/>
  <c r="AV2567" i="5"/>
  <c r="AY2567" i="5"/>
  <c r="AW2567" i="5"/>
  <c r="AU2567" i="5"/>
  <c r="AX2581" i="5"/>
  <c r="AW2581" i="5"/>
  <c r="AV2581" i="5"/>
  <c r="AU2581" i="5"/>
  <c r="AY2581" i="5"/>
  <c r="AX2598" i="5"/>
  <c r="AV2598" i="5"/>
  <c r="AV2607" i="5"/>
  <c r="AW2607" i="5"/>
  <c r="AY2607" i="5"/>
  <c r="AU2607" i="5"/>
  <c r="AX2637" i="5"/>
  <c r="AV2637" i="5"/>
  <c r="AW2637" i="5"/>
  <c r="AU2637" i="5"/>
  <c r="AY2637" i="5"/>
  <c r="AX2654" i="5"/>
  <c r="AV2654" i="5"/>
  <c r="AX2717" i="5"/>
  <c r="AW2717" i="5"/>
  <c r="AY2717" i="5"/>
  <c r="AV2717" i="5"/>
  <c r="AU2717" i="5"/>
  <c r="AV2735" i="5"/>
  <c r="AY2735" i="5"/>
  <c r="AW2735" i="5"/>
  <c r="AU2735" i="5"/>
  <c r="AY335" i="5"/>
  <c r="AY507" i="5"/>
  <c r="AY627" i="5"/>
  <c r="AY671" i="5"/>
  <c r="AY679" i="5"/>
  <c r="AY695" i="5"/>
  <c r="AY719" i="5"/>
  <c r="AY727" i="5"/>
  <c r="AY743" i="5"/>
  <c r="AY751" i="5"/>
  <c r="AY767" i="5"/>
  <c r="AY843" i="5"/>
  <c r="AY959" i="5"/>
  <c r="AY1007" i="5"/>
  <c r="AY1059" i="5"/>
  <c r="AY1079" i="5"/>
  <c r="AY1179" i="5"/>
  <c r="AX1264" i="5"/>
  <c r="AW1264" i="5"/>
  <c r="AV1264" i="5"/>
  <c r="AU1264" i="5"/>
  <c r="AX1273" i="5"/>
  <c r="AU1273" i="5"/>
  <c r="AY1323" i="5"/>
  <c r="AW1323" i="5"/>
  <c r="AV1323" i="5"/>
  <c r="AX1376" i="5"/>
  <c r="AW1376" i="5"/>
  <c r="AV1376" i="5"/>
  <c r="AU1376" i="5"/>
  <c r="AV1398" i="5"/>
  <c r="AW1398" i="5"/>
  <c r="AX1484" i="5"/>
  <c r="AW1484" i="5"/>
  <c r="AV1484" i="5"/>
  <c r="AU1484" i="5"/>
  <c r="AV1550" i="5"/>
  <c r="AW1550" i="5"/>
  <c r="AX1568" i="5"/>
  <c r="AW1568" i="5"/>
  <c r="AV1568" i="5"/>
  <c r="AU1568" i="5"/>
  <c r="AY1647" i="5"/>
  <c r="AW1647" i="5"/>
  <c r="AV1647" i="5"/>
  <c r="AX1682" i="5"/>
  <c r="AW1682" i="5"/>
  <c r="AV1723" i="5"/>
  <c r="AU1723" i="5"/>
  <c r="AX1809" i="5"/>
  <c r="AW1809" i="5"/>
  <c r="AV1809" i="5"/>
  <c r="AU1809" i="5"/>
  <c r="AX1848" i="5"/>
  <c r="AV1848" i="5"/>
  <c r="AW1914" i="5"/>
  <c r="AV1914" i="5"/>
  <c r="AU1914" i="5"/>
  <c r="AV1928" i="5"/>
  <c r="AX1928" i="5"/>
  <c r="AW1928" i="5"/>
  <c r="AX1953" i="5"/>
  <c r="AU1953" i="5"/>
  <c r="AW1953" i="5"/>
  <c r="AY1953" i="5"/>
  <c r="AV1953" i="5"/>
  <c r="AX2050" i="5"/>
  <c r="AV2050" i="5"/>
  <c r="AX2217" i="5"/>
  <c r="AW2217" i="5"/>
  <c r="AV2217" i="5"/>
  <c r="AU2217" i="5"/>
  <c r="AY2217" i="5"/>
  <c r="AX2913" i="5"/>
  <c r="AW2913" i="5"/>
  <c r="AV2913" i="5"/>
  <c r="AY2913" i="5"/>
  <c r="AU2913" i="5"/>
  <c r="AW2922" i="5"/>
  <c r="AV2922" i="5"/>
  <c r="AW2982" i="5"/>
  <c r="AY2982" i="5"/>
  <c r="AV2982" i="5"/>
  <c r="AU2982" i="5"/>
  <c r="AV3039" i="5"/>
  <c r="AW3039" i="5"/>
  <c r="AU3039" i="5"/>
  <c r="AY3039" i="5"/>
  <c r="AX3054" i="5"/>
  <c r="AV3054" i="5"/>
  <c r="AU3054" i="5"/>
  <c r="AY3054" i="5"/>
  <c r="AW3054" i="5"/>
  <c r="AX3081" i="5"/>
  <c r="AW3081" i="5"/>
  <c r="AV3081" i="5"/>
  <c r="AY3220" i="5"/>
  <c r="AV3220" i="5"/>
  <c r="AY3307" i="5"/>
  <c r="AV3307" i="5"/>
  <c r="AU3307" i="5"/>
  <c r="AW3307" i="5"/>
  <c r="AX3506" i="5"/>
  <c r="AW3506" i="5"/>
  <c r="AU3506" i="5"/>
  <c r="AY3506" i="5"/>
  <c r="AV3732" i="5"/>
  <c r="AW3732" i="5"/>
  <c r="AV3756" i="5"/>
  <c r="AW3756" i="5"/>
  <c r="AX3785" i="5"/>
  <c r="AW3785" i="5"/>
  <c r="AV3785" i="5"/>
  <c r="AU3785" i="5"/>
  <c r="AY3785" i="5"/>
  <c r="AY3936" i="5"/>
  <c r="AV3936" i="5"/>
  <c r="AV4013" i="5"/>
  <c r="AY4013" i="5"/>
  <c r="AW4013" i="5"/>
  <c r="AU4013" i="5"/>
  <c r="AV4166" i="5"/>
  <c r="AW4166" i="5"/>
  <c r="AU4166" i="5"/>
  <c r="AX4171" i="5"/>
  <c r="AV4171" i="5"/>
  <c r="AX4380" i="5"/>
  <c r="AW4380" i="5"/>
  <c r="AY4380" i="5"/>
  <c r="AV4380" i="5"/>
  <c r="AU4380" i="5"/>
  <c r="AY308" i="5"/>
  <c r="AU311" i="5"/>
  <c r="AV319" i="5"/>
  <c r="AW322" i="5"/>
  <c r="AV323" i="5"/>
  <c r="AV328" i="5"/>
  <c r="AW330" i="5"/>
  <c r="AW331" i="5"/>
  <c r="AU332" i="5"/>
  <c r="AW335" i="5"/>
  <c r="AV336" i="5"/>
  <c r="AW338" i="5"/>
  <c r="AU339" i="5"/>
  <c r="AW346" i="5"/>
  <c r="AV347" i="5"/>
  <c r="AU348" i="5"/>
  <c r="AW350" i="5"/>
  <c r="AU351" i="5"/>
  <c r="AW354" i="5"/>
  <c r="AU355" i="5"/>
  <c r="AW358" i="5"/>
  <c r="AV359" i="5"/>
  <c r="AU360" i="5"/>
  <c r="AU363" i="5"/>
  <c r="AW366" i="5"/>
  <c r="AU367" i="5"/>
  <c r="AU372" i="5"/>
  <c r="AW374" i="5"/>
  <c r="AU375" i="5"/>
  <c r="AW378" i="5"/>
  <c r="AW382" i="5"/>
  <c r="AV383" i="5"/>
  <c r="AU384" i="5"/>
  <c r="AW386" i="5"/>
  <c r="AU387" i="5"/>
  <c r="AW390" i="5"/>
  <c r="AU391" i="5"/>
  <c r="AW394" i="5"/>
  <c r="AV395" i="5"/>
  <c r="AU396" i="5"/>
  <c r="AU399" i="5"/>
  <c r="AW402" i="5"/>
  <c r="AU403" i="5"/>
  <c r="AU408" i="5"/>
  <c r="AW410" i="5"/>
  <c r="AV412" i="5"/>
  <c r="AV423" i="5"/>
  <c r="AY431" i="5"/>
  <c r="AY432" i="5"/>
  <c r="AU435" i="5"/>
  <c r="AU440" i="5"/>
  <c r="AU443" i="5"/>
  <c r="AW446" i="5"/>
  <c r="AV447" i="5"/>
  <c r="AU448" i="5"/>
  <c r="AV452" i="5"/>
  <c r="AV455" i="5"/>
  <c r="AU456" i="5"/>
  <c r="AW459" i="5"/>
  <c r="AW462" i="5"/>
  <c r="AY464" i="5"/>
  <c r="AW467" i="5"/>
  <c r="AV468" i="5"/>
  <c r="AY471" i="5"/>
  <c r="AY479" i="5"/>
  <c r="AY480" i="5"/>
  <c r="AU483" i="5"/>
  <c r="AU488" i="5"/>
  <c r="AU491" i="5"/>
  <c r="AW494" i="5"/>
  <c r="AV495" i="5"/>
  <c r="AV500" i="5"/>
  <c r="AW502" i="5"/>
  <c r="AW503" i="5"/>
  <c r="AU504" i="5"/>
  <c r="AW507" i="5"/>
  <c r="AV508" i="5"/>
  <c r="AU511" i="5"/>
  <c r="AU515" i="5"/>
  <c r="AW518" i="5"/>
  <c r="AW522" i="5"/>
  <c r="AW526" i="5"/>
  <c r="AU527" i="5"/>
  <c r="AW530" i="5"/>
  <c r="AV531" i="5"/>
  <c r="AW534" i="5"/>
  <c r="AU535" i="5"/>
  <c r="AW538" i="5"/>
  <c r="AU539" i="5"/>
  <c r="AW542" i="5"/>
  <c r="AV543" i="5"/>
  <c r="AU544" i="5"/>
  <c r="AU547" i="5"/>
  <c r="AU551" i="5"/>
  <c r="AW554" i="5"/>
  <c r="AW558" i="5"/>
  <c r="AW562" i="5"/>
  <c r="AU563" i="5"/>
  <c r="AV567" i="5"/>
  <c r="AW578" i="5"/>
  <c r="AV579" i="5"/>
  <c r="AU580" i="5"/>
  <c r="AY583" i="5"/>
  <c r="AY587" i="5"/>
  <c r="AV588" i="5"/>
  <c r="AU591" i="5"/>
  <c r="AY592" i="5"/>
  <c r="AU596" i="5"/>
  <c r="AW598" i="5"/>
  <c r="AU599" i="5"/>
  <c r="AV600" i="5"/>
  <c r="AU603" i="5"/>
  <c r="AW606" i="5"/>
  <c r="AU607" i="5"/>
  <c r="AV608" i="5"/>
  <c r="AY612" i="5"/>
  <c r="AW614" i="5"/>
  <c r="AW623" i="5"/>
  <c r="AW627" i="5"/>
  <c r="AU628" i="5"/>
  <c r="AY635" i="5"/>
  <c r="AU636" i="5"/>
  <c r="AY639" i="5"/>
  <c r="AY643" i="5"/>
  <c r="AV648" i="5"/>
  <c r="AY652" i="5"/>
  <c r="AY660" i="5"/>
  <c r="AY668" i="5"/>
  <c r="AW671" i="5"/>
  <c r="AW675" i="5"/>
  <c r="AW679" i="5"/>
  <c r="AY687" i="5"/>
  <c r="AW695" i="5"/>
  <c r="AV708" i="5"/>
  <c r="AY711" i="5"/>
  <c r="AW719" i="5"/>
  <c r="AW727" i="5"/>
  <c r="AY735" i="5"/>
  <c r="AV736" i="5"/>
  <c r="AV740" i="5"/>
  <c r="AW743" i="5"/>
  <c r="AW746" i="5"/>
  <c r="AV747" i="5"/>
  <c r="AW751" i="5"/>
  <c r="AU755" i="5"/>
  <c r="AV756" i="5"/>
  <c r="AV760" i="5"/>
  <c r="AU763" i="5"/>
  <c r="AV764" i="5"/>
  <c r="AW767" i="5"/>
  <c r="AV771" i="5"/>
  <c r="AY776" i="5"/>
  <c r="AU780" i="5"/>
  <c r="AW782" i="5"/>
  <c r="AW787" i="5"/>
  <c r="AW791" i="5"/>
  <c r="AU792" i="5"/>
  <c r="AW794" i="5"/>
  <c r="AW796" i="5"/>
  <c r="AV799" i="5"/>
  <c r="AY800" i="5"/>
  <c r="AW804" i="5"/>
  <c r="AY808" i="5"/>
  <c r="AU812" i="5"/>
  <c r="AY816" i="5"/>
  <c r="AV819" i="5"/>
  <c r="AW822" i="5"/>
  <c r="AW827" i="5"/>
  <c r="AU828" i="5"/>
  <c r="AW831" i="5"/>
  <c r="AV832" i="5"/>
  <c r="AU839" i="5"/>
  <c r="AX840" i="5"/>
  <c r="AW841" i="5"/>
  <c r="AW843" i="5"/>
  <c r="AX848" i="5"/>
  <c r="AX849" i="5"/>
  <c r="AY855" i="5"/>
  <c r="AU857" i="5"/>
  <c r="AY859" i="5"/>
  <c r="AX864" i="5"/>
  <c r="AY867" i="5"/>
  <c r="AX868" i="5"/>
  <c r="AX869" i="5"/>
  <c r="AV872" i="5"/>
  <c r="AU879" i="5"/>
  <c r="AX884" i="5"/>
  <c r="AW885" i="5"/>
  <c r="AV888" i="5"/>
  <c r="AY895" i="5"/>
  <c r="AV896" i="5"/>
  <c r="AY908" i="5"/>
  <c r="AX913" i="5"/>
  <c r="AY915" i="5"/>
  <c r="AV916" i="5"/>
  <c r="AU917" i="5"/>
  <c r="AU920" i="5"/>
  <c r="AY931" i="5"/>
  <c r="AY932" i="5"/>
  <c r="AY935" i="5"/>
  <c r="AY944" i="5"/>
  <c r="AW947" i="5"/>
  <c r="AY952" i="5"/>
  <c r="AY956" i="5"/>
  <c r="AW959" i="5"/>
  <c r="AW971" i="5"/>
  <c r="AY976" i="5"/>
  <c r="AY980" i="5"/>
  <c r="AY988" i="5"/>
  <c r="AW995" i="5"/>
  <c r="AW1007" i="5"/>
  <c r="AW1011" i="5"/>
  <c r="AY1031" i="5"/>
  <c r="AW1034" i="5"/>
  <c r="AU1035" i="5"/>
  <c r="AW1038" i="5"/>
  <c r="AY1043" i="5"/>
  <c r="AU1044" i="5"/>
  <c r="AV1047" i="5"/>
  <c r="AY1051" i="5"/>
  <c r="AV1052" i="5"/>
  <c r="AW1059" i="5"/>
  <c r="AY1067" i="5"/>
  <c r="AY1076" i="5"/>
  <c r="AW1079" i="5"/>
  <c r="AW1083" i="5"/>
  <c r="AY1088" i="5"/>
  <c r="AY1091" i="5"/>
  <c r="AY1096" i="5"/>
  <c r="AW1111" i="5"/>
  <c r="AY1115" i="5"/>
  <c r="AY1119" i="5"/>
  <c r="AV1127" i="5"/>
  <c r="AY1128" i="5"/>
  <c r="AX1133" i="5"/>
  <c r="AY1136" i="5"/>
  <c r="AX1137" i="5"/>
  <c r="AU1139" i="5"/>
  <c r="AV1143" i="5"/>
  <c r="AU1145" i="5"/>
  <c r="AY1147" i="5"/>
  <c r="AV1148" i="5"/>
  <c r="AV1152" i="5"/>
  <c r="AV1156" i="5"/>
  <c r="AY1159" i="5"/>
  <c r="AV1160" i="5"/>
  <c r="AU1161" i="5"/>
  <c r="AY1167" i="5"/>
  <c r="AU1168" i="5"/>
  <c r="AV1172" i="5"/>
  <c r="AV1175" i="5"/>
  <c r="AY1176" i="5"/>
  <c r="AU1177" i="5"/>
  <c r="AW1179" i="5"/>
  <c r="AX1193" i="5"/>
  <c r="AU1193" i="5"/>
  <c r="AX1210" i="5"/>
  <c r="AW1210" i="5"/>
  <c r="AX1212" i="5"/>
  <c r="AY1212" i="5"/>
  <c r="AV1212" i="5"/>
  <c r="AU1212" i="5"/>
  <c r="AY1219" i="5"/>
  <c r="AW1219" i="5"/>
  <c r="AV1219" i="5"/>
  <c r="AY1240" i="5"/>
  <c r="AX1268" i="5"/>
  <c r="AW1268" i="5"/>
  <c r="AV1268" i="5"/>
  <c r="AU1268" i="5"/>
  <c r="AY1271" i="5"/>
  <c r="AW1271" i="5"/>
  <c r="AV1271" i="5"/>
  <c r="AY1283" i="5"/>
  <c r="AW1283" i="5"/>
  <c r="AV1283" i="5"/>
  <c r="AY1309" i="5"/>
  <c r="AU1309" i="5"/>
  <c r="AY1328" i="5"/>
  <c r="AX1364" i="5"/>
  <c r="AW1364" i="5"/>
  <c r="AV1364" i="5"/>
  <c r="AU1364" i="5"/>
  <c r="AY1399" i="5"/>
  <c r="AW1399" i="5"/>
  <c r="AV1399" i="5"/>
  <c r="AY1411" i="5"/>
  <c r="AW1411" i="5"/>
  <c r="AV1411" i="5"/>
  <c r="AY1503" i="5"/>
  <c r="AW1503" i="5"/>
  <c r="AV1503" i="5"/>
  <c r="AX1520" i="5"/>
  <c r="AW1520" i="5"/>
  <c r="AV1520" i="5"/>
  <c r="AU1520" i="5"/>
  <c r="AV1534" i="5"/>
  <c r="AW1534" i="5"/>
  <c r="AV1554" i="5"/>
  <c r="AW1554" i="5"/>
  <c r="AX1564" i="5"/>
  <c r="AW1564" i="5"/>
  <c r="AV1564" i="5"/>
  <c r="AU1564" i="5"/>
  <c r="AX1572" i="5"/>
  <c r="AW1572" i="5"/>
  <c r="AV1572" i="5"/>
  <c r="AU1572" i="5"/>
  <c r="AV1582" i="5"/>
  <c r="AW1582" i="5"/>
  <c r="AY1588" i="5"/>
  <c r="AX1596" i="5"/>
  <c r="AW1596" i="5"/>
  <c r="AV1596" i="5"/>
  <c r="AU1596" i="5"/>
  <c r="AY1629" i="5"/>
  <c r="AX1629" i="5"/>
  <c r="AU1629" i="5"/>
  <c r="AY1672" i="5"/>
  <c r="AY1699" i="5"/>
  <c r="AW1699" i="5"/>
  <c r="AV1699" i="5"/>
  <c r="AX1724" i="5"/>
  <c r="AW1724" i="5"/>
  <c r="AV1724" i="5"/>
  <c r="AX1733" i="5"/>
  <c r="AW1733" i="5"/>
  <c r="AV1733" i="5"/>
  <c r="AU1733" i="5"/>
  <c r="AY1741" i="5"/>
  <c r="AW1782" i="5"/>
  <c r="AX1782" i="5"/>
  <c r="AV1782" i="5"/>
  <c r="AU1782" i="5"/>
  <c r="AX1784" i="5"/>
  <c r="AW1784" i="5"/>
  <c r="AY1793" i="5"/>
  <c r="AX1841" i="5"/>
  <c r="AW1841" i="5"/>
  <c r="AV1841" i="5"/>
  <c r="AU1841" i="5"/>
  <c r="AV1843" i="5"/>
  <c r="AW1843" i="5"/>
  <c r="AU1843" i="5"/>
  <c r="AX1849" i="5"/>
  <c r="AW1849" i="5"/>
  <c r="AV1849" i="5"/>
  <c r="AU1849" i="5"/>
  <c r="AX1852" i="5"/>
  <c r="AV1852" i="5"/>
  <c r="AX1872" i="5"/>
  <c r="AV1872" i="5"/>
  <c r="AW1886" i="5"/>
  <c r="AU1886" i="5"/>
  <c r="AX1901" i="5"/>
  <c r="AW1901" i="5"/>
  <c r="AV1901" i="5"/>
  <c r="AU1901" i="5"/>
  <c r="AX2082" i="5"/>
  <c r="AV2082" i="5"/>
  <c r="AV2087" i="5"/>
  <c r="AW2087" i="5"/>
  <c r="AU2087" i="5"/>
  <c r="AY2087" i="5"/>
  <c r="AX2109" i="5"/>
  <c r="AW2109" i="5"/>
  <c r="AV2109" i="5"/>
  <c r="AU2109" i="5"/>
  <c r="AY2109" i="5"/>
  <c r="AV2231" i="5"/>
  <c r="AY2231" i="5"/>
  <c r="AW2231" i="5"/>
  <c r="AU2231" i="5"/>
  <c r="AX2412" i="5"/>
  <c r="AV2412" i="5"/>
  <c r="AW2414" i="5"/>
  <c r="AV2414" i="5"/>
  <c r="AU2414" i="5"/>
  <c r="AX2414" i="5"/>
  <c r="AX2493" i="5"/>
  <c r="AV2493" i="5"/>
  <c r="AU2493" i="5"/>
  <c r="AW2493" i="5"/>
  <c r="AY2493" i="5"/>
  <c r="AV1188" i="5"/>
  <c r="AY1192" i="5"/>
  <c r="AV1195" i="5"/>
  <c r="AV1199" i="5"/>
  <c r="AY1208" i="5"/>
  <c r="AX1209" i="5"/>
  <c r="AV1211" i="5"/>
  <c r="AY1213" i="5"/>
  <c r="AV1224" i="5"/>
  <c r="AW1235" i="5"/>
  <c r="AV1236" i="5"/>
  <c r="AX1241" i="5"/>
  <c r="AY1244" i="5"/>
  <c r="AW1247" i="5"/>
  <c r="AW1255" i="5"/>
  <c r="AV1256" i="5"/>
  <c r="AW1259" i="5"/>
  <c r="AV1260" i="5"/>
  <c r="AY1272" i="5"/>
  <c r="AY1277" i="5"/>
  <c r="AW1292" i="5"/>
  <c r="AY1296" i="5"/>
  <c r="AW1304" i="5"/>
  <c r="AX1305" i="5"/>
  <c r="AW1307" i="5"/>
  <c r="AW1316" i="5"/>
  <c r="AY1320" i="5"/>
  <c r="AY1325" i="5"/>
  <c r="AY1356" i="5"/>
  <c r="AW1368" i="5"/>
  <c r="AW1372" i="5"/>
  <c r="AW1375" i="5"/>
  <c r="AW1380" i="5"/>
  <c r="AV1384" i="5"/>
  <c r="AY1388" i="5"/>
  <c r="AV1392" i="5"/>
  <c r="AW1403" i="5"/>
  <c r="AV1404" i="5"/>
  <c r="AV1408" i="5"/>
  <c r="AY1412" i="5"/>
  <c r="AV1420" i="5"/>
  <c r="AY1424" i="5"/>
  <c r="AY1448" i="5"/>
  <c r="AY1452" i="5"/>
  <c r="AY1464" i="5"/>
  <c r="AW1471" i="5"/>
  <c r="AW1475" i="5"/>
  <c r="AV1476" i="5"/>
  <c r="AW1480" i="5"/>
  <c r="AW1487" i="5"/>
  <c r="AV1488" i="5"/>
  <c r="AV1496" i="5"/>
  <c r="AW1500" i="5"/>
  <c r="AV1508" i="5"/>
  <c r="AW1512" i="5"/>
  <c r="AW1516" i="5"/>
  <c r="AW1528" i="5"/>
  <c r="AW1532" i="5"/>
  <c r="AW1551" i="5"/>
  <c r="AW1552" i="5"/>
  <c r="AW1556" i="5"/>
  <c r="AW1560" i="5"/>
  <c r="AY1592" i="5"/>
  <c r="AY1620" i="5"/>
  <c r="AY1632" i="5"/>
  <c r="AY1636" i="5"/>
  <c r="AW1644" i="5"/>
  <c r="AY1656" i="5"/>
  <c r="AW1663" i="5"/>
  <c r="AY1668" i="5"/>
  <c r="AX1677" i="5"/>
  <c r="AY1692" i="5"/>
  <c r="AW1695" i="5"/>
  <c r="AY1700" i="5"/>
  <c r="AV1704" i="5"/>
  <c r="AW1708" i="5"/>
  <c r="AV1712" i="5"/>
  <c r="AW1715" i="5"/>
  <c r="AW1719" i="5"/>
  <c r="AW1735" i="5"/>
  <c r="AW1745" i="5"/>
  <c r="AX1746" i="5"/>
  <c r="AX1750" i="5"/>
  <c r="AY1753" i="5"/>
  <c r="AW1757" i="5"/>
  <c r="AW1772" i="5"/>
  <c r="AY1785" i="5"/>
  <c r="AY1789" i="5"/>
  <c r="AV1797" i="5"/>
  <c r="AX1815" i="5"/>
  <c r="AV1825" i="5"/>
  <c r="AW1829" i="5"/>
  <c r="AV1833" i="5"/>
  <c r="AW1839" i="5"/>
  <c r="AW1840" i="5"/>
  <c r="AX1850" i="5"/>
  <c r="AY1865" i="5"/>
  <c r="AV1874" i="5"/>
  <c r="AW1875" i="5"/>
  <c r="AV1877" i="5"/>
  <c r="AV1881" i="5"/>
  <c r="AY1885" i="5"/>
  <c r="AY1889" i="5"/>
  <c r="AV1893" i="5"/>
  <c r="AV1897" i="5"/>
  <c r="AX1902" i="5"/>
  <c r="AW1903" i="5"/>
  <c r="AW1905" i="5"/>
  <c r="AW1908" i="5"/>
  <c r="AV1910" i="5"/>
  <c r="AW1913" i="5"/>
  <c r="AY1917" i="5"/>
  <c r="AY1921" i="5"/>
  <c r="AW1923" i="5"/>
  <c r="AX1933" i="5"/>
  <c r="AW1933" i="5"/>
  <c r="AU1933" i="5"/>
  <c r="AX1944" i="5"/>
  <c r="AV1944" i="5"/>
  <c r="AW1982" i="5"/>
  <c r="AU1982" i="5"/>
  <c r="AX1984" i="5"/>
  <c r="AV1984" i="5"/>
  <c r="AV2011" i="5"/>
  <c r="AU2011" i="5"/>
  <c r="AX2072" i="5"/>
  <c r="AV2072" i="5"/>
  <c r="AV2075" i="5"/>
  <c r="AY2075" i="5"/>
  <c r="AW2075" i="5"/>
  <c r="AU2075" i="5"/>
  <c r="AX2106" i="5"/>
  <c r="AV2106" i="5"/>
  <c r="AV2111" i="5"/>
  <c r="AW2111" i="5"/>
  <c r="AU2111" i="5"/>
  <c r="AY2111" i="5"/>
  <c r="AV2155" i="5"/>
  <c r="AW2155" i="5"/>
  <c r="AU2155" i="5"/>
  <c r="AY2155" i="5"/>
  <c r="AV2159" i="5"/>
  <c r="AW2159" i="5"/>
  <c r="AU2159" i="5"/>
  <c r="AY2159" i="5"/>
  <c r="AX2201" i="5"/>
  <c r="AV2201" i="5"/>
  <c r="AU2201" i="5"/>
  <c r="AW2201" i="5"/>
  <c r="AV2219" i="5"/>
  <c r="AW2219" i="5"/>
  <c r="AU2219" i="5"/>
  <c r="AY2219" i="5"/>
  <c r="AX2232" i="5"/>
  <c r="AV2232" i="5"/>
  <c r="AX2236" i="5"/>
  <c r="AV2236" i="5"/>
  <c r="AV2279" i="5"/>
  <c r="AY2279" i="5"/>
  <c r="AW2279" i="5"/>
  <c r="AU2279" i="5"/>
  <c r="AX2285" i="5"/>
  <c r="AW2285" i="5"/>
  <c r="AV2285" i="5"/>
  <c r="AU2285" i="5"/>
  <c r="AV2367" i="5"/>
  <c r="AX2367" i="5"/>
  <c r="AU2367" i="5"/>
  <c r="AV2423" i="5"/>
  <c r="AX2423" i="5"/>
  <c r="AU2423" i="5"/>
  <c r="AV2484" i="5"/>
  <c r="AX2484" i="5"/>
  <c r="AX2505" i="5"/>
  <c r="AV2505" i="5"/>
  <c r="AU2505" i="5"/>
  <c r="AW2505" i="5"/>
  <c r="AX2536" i="5"/>
  <c r="AV2536" i="5"/>
  <c r="AX2558" i="5"/>
  <c r="AV2558" i="5"/>
  <c r="AV2579" i="5"/>
  <c r="AU2579" i="5"/>
  <c r="AY2579" i="5"/>
  <c r="AW2579" i="5"/>
  <c r="AX2649" i="5"/>
  <c r="AV2649" i="5"/>
  <c r="AY2649" i="5"/>
  <c r="AW2649" i="5"/>
  <c r="AU2649" i="5"/>
  <c r="AV2659" i="5"/>
  <c r="AW2659" i="5"/>
  <c r="AY2659" i="5"/>
  <c r="AU2659" i="5"/>
  <c r="AV2723" i="5"/>
  <c r="AW2723" i="5"/>
  <c r="AU2723" i="5"/>
  <c r="AY2723" i="5"/>
  <c r="AX2730" i="5"/>
  <c r="AV2730" i="5"/>
  <c r="AV2779" i="5"/>
  <c r="AY2779" i="5"/>
  <c r="AU2779" i="5"/>
  <c r="AX2813" i="5"/>
  <c r="AW2813" i="5"/>
  <c r="AV2813" i="5"/>
  <c r="AV2895" i="5"/>
  <c r="AY2895" i="5"/>
  <c r="AU2895" i="5"/>
  <c r="AV2919" i="5"/>
  <c r="AY2919" i="5"/>
  <c r="AW2919" i="5"/>
  <c r="AU2919" i="5"/>
  <c r="AX3029" i="5"/>
  <c r="AW3029" i="5"/>
  <c r="AV3029" i="5"/>
  <c r="AY3029" i="5"/>
  <c r="AU3029" i="5"/>
  <c r="AX3069" i="5"/>
  <c r="AW3069" i="5"/>
  <c r="AV3069" i="5"/>
  <c r="AX3110" i="5"/>
  <c r="AV3110" i="5"/>
  <c r="AU3110" i="5"/>
  <c r="AY3110" i="5"/>
  <c r="AW3110" i="5"/>
  <c r="AW3126" i="5"/>
  <c r="AV3126" i="5"/>
  <c r="AX3562" i="5"/>
  <c r="AY3562" i="5"/>
  <c r="AU3562" i="5"/>
  <c r="AX3589" i="5"/>
  <c r="AV3589" i="5"/>
  <c r="AU3589" i="5"/>
  <c r="AY3589" i="5"/>
  <c r="AX3717" i="5"/>
  <c r="AW3717" i="5"/>
  <c r="AV3717" i="5"/>
  <c r="AU3717" i="5"/>
  <c r="AY3717" i="5"/>
  <c r="AY1183" i="5"/>
  <c r="AU1185" i="5"/>
  <c r="AY1188" i="5"/>
  <c r="AW1195" i="5"/>
  <c r="AU1197" i="5"/>
  <c r="AW1199" i="5"/>
  <c r="AW1211" i="5"/>
  <c r="AW1224" i="5"/>
  <c r="AW1236" i="5"/>
  <c r="AW1256" i="5"/>
  <c r="AU1257" i="5"/>
  <c r="AW1260" i="5"/>
  <c r="AW1282" i="5"/>
  <c r="AU1285" i="5"/>
  <c r="AV1287" i="5"/>
  <c r="AY1292" i="5"/>
  <c r="AV1295" i="5"/>
  <c r="AU1296" i="5"/>
  <c r="AV1299" i="5"/>
  <c r="AY1304" i="5"/>
  <c r="AY1316" i="5"/>
  <c r="AV1319" i="5"/>
  <c r="AU1320" i="5"/>
  <c r="AU1329" i="5"/>
  <c r="AW1332" i="5"/>
  <c r="AY1340" i="5"/>
  <c r="AV1343" i="5"/>
  <c r="AW1346" i="5"/>
  <c r="AV1347" i="5"/>
  <c r="AY1368" i="5"/>
  <c r="AY1372" i="5"/>
  <c r="AY1380" i="5"/>
  <c r="AY1460" i="5"/>
  <c r="AV1463" i="5"/>
  <c r="AU1464" i="5"/>
  <c r="AW1466" i="5"/>
  <c r="AV1467" i="5"/>
  <c r="AW1476" i="5"/>
  <c r="AV1479" i="5"/>
  <c r="AY1480" i="5"/>
  <c r="AW1488" i="5"/>
  <c r="AV1491" i="5"/>
  <c r="AW1496" i="5"/>
  <c r="AY1500" i="5"/>
  <c r="AY1512" i="5"/>
  <c r="AV1515" i="5"/>
  <c r="AY1516" i="5"/>
  <c r="AY1528" i="5"/>
  <c r="AY1532" i="5"/>
  <c r="AY1536" i="5"/>
  <c r="AV1547" i="5"/>
  <c r="AY1552" i="5"/>
  <c r="AY1556" i="5"/>
  <c r="AY1560" i="5"/>
  <c r="AV1563" i="5"/>
  <c r="AY1580" i="5"/>
  <c r="AY1584" i="5"/>
  <c r="AV1587" i="5"/>
  <c r="AU1592" i="5"/>
  <c r="AX1605" i="5"/>
  <c r="AU1606" i="5"/>
  <c r="AW1618" i="5"/>
  <c r="AU1620" i="5"/>
  <c r="AW1624" i="5"/>
  <c r="AV1627" i="5"/>
  <c r="AU1632" i="5"/>
  <c r="AW1634" i="5"/>
  <c r="AV1635" i="5"/>
  <c r="AU1636" i="5"/>
  <c r="AY1644" i="5"/>
  <c r="AX1649" i="5"/>
  <c r="AV1655" i="5"/>
  <c r="AU1656" i="5"/>
  <c r="AV1659" i="5"/>
  <c r="AV1667" i="5"/>
  <c r="AU1668" i="5"/>
  <c r="AU1685" i="5"/>
  <c r="AU1700" i="5"/>
  <c r="AW1704" i="5"/>
  <c r="AY1708" i="5"/>
  <c r="AW1712" i="5"/>
  <c r="AU1721" i="5"/>
  <c r="AX1735" i="5"/>
  <c r="AW1736" i="5"/>
  <c r="AY1745" i="5"/>
  <c r="AY1757" i="5"/>
  <c r="AY1769" i="5"/>
  <c r="AV1776" i="5"/>
  <c r="AW1777" i="5"/>
  <c r="AV1778" i="5"/>
  <c r="AY1781" i="5"/>
  <c r="AU1785" i="5"/>
  <c r="AV1788" i="5"/>
  <c r="AU1789" i="5"/>
  <c r="AU1794" i="5"/>
  <c r="AU1795" i="5"/>
  <c r="AW1797" i="5"/>
  <c r="AU1803" i="5"/>
  <c r="AU1806" i="5"/>
  <c r="AU1807" i="5"/>
  <c r="AU1814" i="5"/>
  <c r="AY1821" i="5"/>
  <c r="AW1825" i="5"/>
  <c r="AY1829" i="5"/>
  <c r="AW1833" i="5"/>
  <c r="AV1836" i="5"/>
  <c r="AU1838" i="5"/>
  <c r="AW1845" i="5"/>
  <c r="AU1854" i="5"/>
  <c r="AU1859" i="5"/>
  <c r="AW1877" i="5"/>
  <c r="AW1881" i="5"/>
  <c r="AW1893" i="5"/>
  <c r="AW1897" i="5"/>
  <c r="AX1903" i="5"/>
  <c r="AY1905" i="5"/>
  <c r="AX1910" i="5"/>
  <c r="AY1913" i="5"/>
  <c r="AX1925" i="5"/>
  <c r="AY1925" i="5"/>
  <c r="AX1932" i="5"/>
  <c r="AV1932" i="5"/>
  <c r="AV1951" i="5"/>
  <c r="AU1951" i="5"/>
  <c r="AX1951" i="5"/>
  <c r="AW1970" i="5"/>
  <c r="AU1970" i="5"/>
  <c r="AV1975" i="5"/>
  <c r="AU1975" i="5"/>
  <c r="AX1977" i="5"/>
  <c r="AW1977" i="5"/>
  <c r="AU1977" i="5"/>
  <c r="AX1988" i="5"/>
  <c r="AV1988" i="5"/>
  <c r="AV1991" i="5"/>
  <c r="AU1991" i="5"/>
  <c r="AX2001" i="5"/>
  <c r="AW2001" i="5"/>
  <c r="AU2001" i="5"/>
  <c r="AW2006" i="5"/>
  <c r="AX2006" i="5"/>
  <c r="AU2006" i="5"/>
  <c r="AV2007" i="5"/>
  <c r="AU2007" i="5"/>
  <c r="AX2007" i="5"/>
  <c r="AX2009" i="5"/>
  <c r="AW2009" i="5"/>
  <c r="AU2009" i="5"/>
  <c r="AW2010" i="5"/>
  <c r="AU2010" i="5"/>
  <c r="AX2013" i="5"/>
  <c r="AU2013" i="5"/>
  <c r="AW2013" i="5"/>
  <c r="AW2018" i="5"/>
  <c r="AU2018" i="5"/>
  <c r="AV2031" i="5"/>
  <c r="AU2031" i="5"/>
  <c r="AX2033" i="5"/>
  <c r="AW2033" i="5"/>
  <c r="AU2033" i="5"/>
  <c r="AX2037" i="5"/>
  <c r="AU2037" i="5"/>
  <c r="AW2037" i="5"/>
  <c r="AX2045" i="5"/>
  <c r="AU2045" i="5"/>
  <c r="AW2045" i="5"/>
  <c r="AX2061" i="5"/>
  <c r="AW2061" i="5"/>
  <c r="AV2061" i="5"/>
  <c r="AU2061" i="5"/>
  <c r="AX2074" i="5"/>
  <c r="AV2074" i="5"/>
  <c r="AX2096" i="5"/>
  <c r="AV2096" i="5"/>
  <c r="AV2099" i="5"/>
  <c r="AY2099" i="5"/>
  <c r="AW2099" i="5"/>
  <c r="AU2099" i="5"/>
  <c r="AX2118" i="5"/>
  <c r="AV2118" i="5"/>
  <c r="AV2167" i="5"/>
  <c r="AY2167" i="5"/>
  <c r="AW2167" i="5"/>
  <c r="AU2167" i="5"/>
  <c r="AV2171" i="5"/>
  <c r="AY2171" i="5"/>
  <c r="AW2171" i="5"/>
  <c r="AU2171" i="5"/>
  <c r="AX2190" i="5"/>
  <c r="AV2190" i="5"/>
  <c r="AY2201" i="5"/>
  <c r="AX2205" i="5"/>
  <c r="AV2205" i="5"/>
  <c r="AU2205" i="5"/>
  <c r="AW2205" i="5"/>
  <c r="AX2244" i="5"/>
  <c r="AV2244" i="5"/>
  <c r="AX2254" i="5"/>
  <c r="AV2254" i="5"/>
  <c r="AX2280" i="5"/>
  <c r="AV2280" i="5"/>
  <c r="AX2284" i="5"/>
  <c r="AV2284" i="5"/>
  <c r="AY2285" i="5"/>
  <c r="AX2329" i="5"/>
  <c r="AW2329" i="5"/>
  <c r="AV2329" i="5"/>
  <c r="AU2329" i="5"/>
  <c r="AX2353" i="5"/>
  <c r="AW2353" i="5"/>
  <c r="AV2353" i="5"/>
  <c r="AU2353" i="5"/>
  <c r="AX2361" i="5"/>
  <c r="AV2361" i="5"/>
  <c r="AU2361" i="5"/>
  <c r="AW2361" i="5"/>
  <c r="AX2366" i="5"/>
  <c r="AV2366" i="5"/>
  <c r="AX2396" i="5"/>
  <c r="AV2396" i="5"/>
  <c r="AW2398" i="5"/>
  <c r="AV2398" i="5"/>
  <c r="AU2398" i="5"/>
  <c r="AX2398" i="5"/>
  <c r="AX2473" i="5"/>
  <c r="AW2473" i="5"/>
  <c r="AV2473" i="5"/>
  <c r="AU2473" i="5"/>
  <c r="AX2517" i="5"/>
  <c r="AV2517" i="5"/>
  <c r="AU2517" i="5"/>
  <c r="AW2517" i="5"/>
  <c r="AX2534" i="5"/>
  <c r="AV2534" i="5"/>
  <c r="AX2546" i="5"/>
  <c r="AV2546" i="5"/>
  <c r="AX2606" i="5"/>
  <c r="AV2606" i="5"/>
  <c r="AV2632" i="5"/>
  <c r="AX2632" i="5"/>
  <c r="AX2658" i="5"/>
  <c r="AV2658" i="5"/>
  <c r="AV2663" i="5"/>
  <c r="AY2663" i="5"/>
  <c r="AW2663" i="5"/>
  <c r="AU2663" i="5"/>
  <c r="AX2669" i="5"/>
  <c r="AV2669" i="5"/>
  <c r="AY2669" i="5"/>
  <c r="AW2669" i="5"/>
  <c r="AU2669" i="5"/>
  <c r="AV2727" i="5"/>
  <c r="AW2727" i="5"/>
  <c r="AU2727" i="5"/>
  <c r="AY2727" i="5"/>
  <c r="AV2767" i="5"/>
  <c r="AY2767" i="5"/>
  <c r="AU2767" i="5"/>
  <c r="AX2849" i="5"/>
  <c r="AW2849" i="5"/>
  <c r="AV2907" i="5"/>
  <c r="AY2907" i="5"/>
  <c r="AU2907" i="5"/>
  <c r="AX2933" i="5"/>
  <c r="AV2933" i="5"/>
  <c r="AU2933" i="5"/>
  <c r="AY2933" i="5"/>
  <c r="AW2933" i="5"/>
  <c r="AX2961" i="5"/>
  <c r="AW2961" i="5"/>
  <c r="AV2961" i="5"/>
  <c r="AY2961" i="5"/>
  <c r="AU2961" i="5"/>
  <c r="AV2975" i="5"/>
  <c r="AY2975" i="5"/>
  <c r="AU2975" i="5"/>
  <c r="AV2991" i="5"/>
  <c r="AW2991" i="5"/>
  <c r="AU2991" i="5"/>
  <c r="AY2991" i="5"/>
  <c r="AV3011" i="5"/>
  <c r="AY3011" i="5"/>
  <c r="AW3011" i="5"/>
  <c r="AU3011" i="5"/>
  <c r="AY3200" i="5"/>
  <c r="AV3200" i="5"/>
  <c r="AY3204" i="5"/>
  <c r="AV3204" i="5"/>
  <c r="AX3285" i="5"/>
  <c r="AY3285" i="5"/>
  <c r="AV3285" i="5"/>
  <c r="AU3285" i="5"/>
  <c r="AX3450" i="5"/>
  <c r="AY3450" i="5"/>
  <c r="AW3450" i="5"/>
  <c r="AU3450" i="5"/>
  <c r="AX3492" i="5"/>
  <c r="AW3492" i="5"/>
  <c r="AV3492" i="5"/>
  <c r="AY3492" i="5"/>
  <c r="AU3492" i="5"/>
  <c r="AX3530" i="5"/>
  <c r="AW3530" i="5"/>
  <c r="AU3530" i="5"/>
  <c r="AY3530" i="5"/>
  <c r="AX3701" i="5"/>
  <c r="AW3701" i="5"/>
  <c r="AV3701" i="5"/>
  <c r="AU3701" i="5"/>
  <c r="AY3701" i="5"/>
  <c r="AU1192" i="5"/>
  <c r="AY1195" i="5"/>
  <c r="AY1199" i="5"/>
  <c r="AU1201" i="5"/>
  <c r="AU1208" i="5"/>
  <c r="AY1211" i="5"/>
  <c r="AU1221" i="5"/>
  <c r="AY1224" i="5"/>
  <c r="AU1233" i="5"/>
  <c r="AY1236" i="5"/>
  <c r="AV1244" i="5"/>
  <c r="AY1248" i="5"/>
  <c r="AX1249" i="5"/>
  <c r="AY1256" i="5"/>
  <c r="AY1260" i="5"/>
  <c r="AX1285" i="5"/>
  <c r="AW1287" i="5"/>
  <c r="AW1295" i="5"/>
  <c r="AV1296" i="5"/>
  <c r="AY1308" i="5"/>
  <c r="AU1316" i="5"/>
  <c r="AW1319" i="5"/>
  <c r="AX1329" i="5"/>
  <c r="AY1332" i="5"/>
  <c r="AW1338" i="5"/>
  <c r="AV1339" i="5"/>
  <c r="AU1340" i="5"/>
  <c r="AW1343" i="5"/>
  <c r="AW1347" i="5"/>
  <c r="AY1352" i="5"/>
  <c r="AW1354" i="5"/>
  <c r="AW1355" i="5"/>
  <c r="AV1356" i="5"/>
  <c r="AW1359" i="5"/>
  <c r="AV1367" i="5"/>
  <c r="AU1368" i="5"/>
  <c r="AU1372" i="5"/>
  <c r="AV1379" i="5"/>
  <c r="AU1380" i="5"/>
  <c r="AV1383" i="5"/>
  <c r="AY1384" i="5"/>
  <c r="AY1392" i="5"/>
  <c r="AW1394" i="5"/>
  <c r="AV1395" i="5"/>
  <c r="AY1404" i="5"/>
  <c r="AW1406" i="5"/>
  <c r="AV1407" i="5"/>
  <c r="AY1408" i="5"/>
  <c r="AV1412" i="5"/>
  <c r="AY1416" i="5"/>
  <c r="AV1419" i="5"/>
  <c r="AY1420" i="5"/>
  <c r="AV1424" i="5"/>
  <c r="AY1428" i="5"/>
  <c r="AW1430" i="5"/>
  <c r="AV1431" i="5"/>
  <c r="AY1440" i="5"/>
  <c r="AW1442" i="5"/>
  <c r="AV1443" i="5"/>
  <c r="AY1444" i="5"/>
  <c r="AV1448" i="5"/>
  <c r="AW1451" i="5"/>
  <c r="AV1452" i="5"/>
  <c r="AU1460" i="5"/>
  <c r="AW1462" i="5"/>
  <c r="AW1463" i="5"/>
  <c r="AW1467" i="5"/>
  <c r="AY1476" i="5"/>
  <c r="AY1488" i="5"/>
  <c r="AW1491" i="5"/>
  <c r="AY1496" i="5"/>
  <c r="AV1499" i="5"/>
  <c r="AU1500" i="5"/>
  <c r="AW1502" i="5"/>
  <c r="AV1507" i="5"/>
  <c r="AY1508" i="5"/>
  <c r="AV1511" i="5"/>
  <c r="AU1512" i="5"/>
  <c r="AW1515" i="5"/>
  <c r="AU1516" i="5"/>
  <c r="AY1524" i="5"/>
  <c r="AW1527" i="5"/>
  <c r="AU1528" i="5"/>
  <c r="AU1532" i="5"/>
  <c r="AU1536" i="5"/>
  <c r="AW1538" i="5"/>
  <c r="AW1542" i="5"/>
  <c r="AW1546" i="5"/>
  <c r="AW1547" i="5"/>
  <c r="AU1552" i="5"/>
  <c r="AU1556" i="5"/>
  <c r="AV1559" i="5"/>
  <c r="AU1560" i="5"/>
  <c r="AW1562" i="5"/>
  <c r="AW1563" i="5"/>
  <c r="AW1587" i="5"/>
  <c r="AV1592" i="5"/>
  <c r="AU1597" i="5"/>
  <c r="AY1600" i="5"/>
  <c r="AX1601" i="5"/>
  <c r="AX1602" i="5"/>
  <c r="AW1606" i="5"/>
  <c r="AV1615" i="5"/>
  <c r="AV1620" i="5"/>
  <c r="AY1624" i="5"/>
  <c r="AW1627" i="5"/>
  <c r="AV1632" i="5"/>
  <c r="AV1700" i="5"/>
  <c r="AV1703" i="5"/>
  <c r="AY1704" i="5"/>
  <c r="AY1712" i="5"/>
  <c r="AU1717" i="5"/>
  <c r="AY1721" i="5"/>
  <c r="AV1728" i="5"/>
  <c r="AV1730" i="5"/>
  <c r="AU1745" i="5"/>
  <c r="AU1750" i="5"/>
  <c r="AV1753" i="5"/>
  <c r="AU1755" i="5"/>
  <c r="AU1757" i="5"/>
  <c r="AX1762" i="5"/>
  <c r="AW1763" i="5"/>
  <c r="AU1766" i="5"/>
  <c r="AU1767" i="5"/>
  <c r="AY1777" i="5"/>
  <c r="AX1778" i="5"/>
  <c r="AV1785" i="5"/>
  <c r="AV1789" i="5"/>
  <c r="AV1794" i="5"/>
  <c r="AW1795" i="5"/>
  <c r="AY1797" i="5"/>
  <c r="AW1803" i="5"/>
  <c r="AV1806" i="5"/>
  <c r="AW1807" i="5"/>
  <c r="AV1814" i="5"/>
  <c r="AU1815" i="5"/>
  <c r="AU1818" i="5"/>
  <c r="AY1825" i="5"/>
  <c r="AY1833" i="5"/>
  <c r="AU1842" i="5"/>
  <c r="AY1845" i="5"/>
  <c r="AY1877" i="5"/>
  <c r="AY1881" i="5"/>
  <c r="AY1893" i="5"/>
  <c r="AY1897" i="5"/>
  <c r="AU1925" i="5"/>
  <c r="AW1926" i="5"/>
  <c r="AV1926" i="5"/>
  <c r="AV1940" i="5"/>
  <c r="AX1940" i="5"/>
  <c r="AX1941" i="5"/>
  <c r="AW1941" i="5"/>
  <c r="AU1941" i="5"/>
  <c r="AW1951" i="5"/>
  <c r="AV1970" i="5"/>
  <c r="AX1976" i="5"/>
  <c r="AV1976" i="5"/>
  <c r="AV1977" i="5"/>
  <c r="AX1985" i="5"/>
  <c r="AU1985" i="5"/>
  <c r="AW1985" i="5"/>
  <c r="AW1991" i="5"/>
  <c r="AV2001" i="5"/>
  <c r="AV2006" i="5"/>
  <c r="AW2007" i="5"/>
  <c r="AV2009" i="5"/>
  <c r="AV2010" i="5"/>
  <c r="AV2013" i="5"/>
  <c r="AV2023" i="5"/>
  <c r="AU2023" i="5"/>
  <c r="AX2025" i="5"/>
  <c r="AU2025" i="5"/>
  <c r="AW2025" i="5"/>
  <c r="AV2033" i="5"/>
  <c r="AV2037" i="5"/>
  <c r="AV2045" i="5"/>
  <c r="AV2051" i="5"/>
  <c r="AU2051" i="5"/>
  <c r="AY2051" i="5"/>
  <c r="AX2058" i="5"/>
  <c r="AV2058" i="5"/>
  <c r="AY2061" i="5"/>
  <c r="AV2063" i="5"/>
  <c r="AW2063" i="5"/>
  <c r="AU2063" i="5"/>
  <c r="AY2063" i="5"/>
  <c r="AX2085" i="5"/>
  <c r="AW2085" i="5"/>
  <c r="AV2085" i="5"/>
  <c r="AU2085" i="5"/>
  <c r="AX2128" i="5"/>
  <c r="AV2128" i="5"/>
  <c r="AX2154" i="5"/>
  <c r="AV2154" i="5"/>
  <c r="AV2183" i="5"/>
  <c r="AY2183" i="5"/>
  <c r="AW2183" i="5"/>
  <c r="AU2183" i="5"/>
  <c r="AX2214" i="5"/>
  <c r="AV2214" i="5"/>
  <c r="AX2229" i="5"/>
  <c r="AW2229" i="5"/>
  <c r="AV2229" i="5"/>
  <c r="AU2229" i="5"/>
  <c r="AX2273" i="5"/>
  <c r="AW2273" i="5"/>
  <c r="AV2273" i="5"/>
  <c r="AU2273" i="5"/>
  <c r="AX2313" i="5"/>
  <c r="AV2313" i="5"/>
  <c r="AU2313" i="5"/>
  <c r="AW2313" i="5"/>
  <c r="AX2325" i="5"/>
  <c r="AV2325" i="5"/>
  <c r="AU2325" i="5"/>
  <c r="AW2325" i="5"/>
  <c r="AX2349" i="5"/>
  <c r="AV2349" i="5"/>
  <c r="AU2349" i="5"/>
  <c r="AW2349" i="5"/>
  <c r="AY2361" i="5"/>
  <c r="AV2387" i="5"/>
  <c r="AW2387" i="5"/>
  <c r="AW2390" i="5"/>
  <c r="AX2390" i="5"/>
  <c r="AU2390" i="5"/>
  <c r="AX2408" i="5"/>
  <c r="AW2408" i="5"/>
  <c r="AV2450" i="5"/>
  <c r="AX2450" i="5"/>
  <c r="AV2459" i="5"/>
  <c r="AW2459" i="5"/>
  <c r="AU2459" i="5"/>
  <c r="AY2459" i="5"/>
  <c r="AX2465" i="5"/>
  <c r="AV2465" i="5"/>
  <c r="AU2465" i="5"/>
  <c r="AW2465" i="5"/>
  <c r="AX2480" i="5"/>
  <c r="AV2480" i="5"/>
  <c r="AX2529" i="5"/>
  <c r="AW2529" i="5"/>
  <c r="AV2529" i="5"/>
  <c r="AU2529" i="5"/>
  <c r="AX2585" i="5"/>
  <c r="AV2585" i="5"/>
  <c r="AY2585" i="5"/>
  <c r="AW2585" i="5"/>
  <c r="AU2585" i="5"/>
  <c r="AX2621" i="5"/>
  <c r="AW2621" i="5"/>
  <c r="AY2621" i="5"/>
  <c r="AV2621" i="5"/>
  <c r="AU2621" i="5"/>
  <c r="AX2693" i="5"/>
  <c r="AV2693" i="5"/>
  <c r="AY2693" i="5"/>
  <c r="AW2693" i="5"/>
  <c r="AU2693" i="5"/>
  <c r="AV2783" i="5"/>
  <c r="AY2783" i="5"/>
  <c r="AU2783" i="5"/>
  <c r="AX2821" i="5"/>
  <c r="AW2821" i="5"/>
  <c r="AV2831" i="5"/>
  <c r="AY2831" i="5"/>
  <c r="AU2831" i="5"/>
  <c r="AX2885" i="5"/>
  <c r="AW2885" i="5"/>
  <c r="AW2986" i="5"/>
  <c r="AV2986" i="5"/>
  <c r="AU2986" i="5"/>
  <c r="AY2986" i="5"/>
  <c r="AW3010" i="5"/>
  <c r="AV3010" i="5"/>
  <c r="AX3057" i="5"/>
  <c r="AW3057" i="5"/>
  <c r="AV3057" i="5"/>
  <c r="AV3063" i="5"/>
  <c r="AY3063" i="5"/>
  <c r="AU3063" i="5"/>
  <c r="AX3102" i="5"/>
  <c r="AV3102" i="5"/>
  <c r="AU3102" i="5"/>
  <c r="AY3102" i="5"/>
  <c r="AW3102" i="5"/>
  <c r="AW3122" i="5"/>
  <c r="AV3122" i="5"/>
  <c r="AY3138" i="5"/>
  <c r="AW3138" i="5"/>
  <c r="AV3138" i="5"/>
  <c r="AX3141" i="5"/>
  <c r="AW3141" i="5"/>
  <c r="AY3192" i="5"/>
  <c r="AV3192" i="5"/>
  <c r="AV3195" i="5"/>
  <c r="AY3195" i="5"/>
  <c r="AW3195" i="5"/>
  <c r="AU3195" i="5"/>
  <c r="AX3518" i="5"/>
  <c r="AW3518" i="5"/>
  <c r="AU3518" i="5"/>
  <c r="AY3518" i="5"/>
  <c r="AY3603" i="5"/>
  <c r="AX3603" i="5"/>
  <c r="AU3603" i="5"/>
  <c r="AV1934" i="5"/>
  <c r="AY1937" i="5"/>
  <c r="AW1939" i="5"/>
  <c r="AV1946" i="5"/>
  <c r="AY1949" i="5"/>
  <c r="AV1950" i="5"/>
  <c r="AV1957" i="5"/>
  <c r="AY1969" i="5"/>
  <c r="AY1973" i="5"/>
  <c r="AY2005" i="5"/>
  <c r="AW2019" i="5"/>
  <c r="AW2024" i="5"/>
  <c r="AY2049" i="5"/>
  <c r="AV2055" i="5"/>
  <c r="AW2055" i="5"/>
  <c r="AU2055" i="5"/>
  <c r="AX2069" i="5"/>
  <c r="AW2069" i="5"/>
  <c r="AV2069" i="5"/>
  <c r="AV2079" i="5"/>
  <c r="AW2079" i="5"/>
  <c r="AU2079" i="5"/>
  <c r="AX2093" i="5"/>
  <c r="AW2093" i="5"/>
  <c r="AV2093" i="5"/>
  <c r="AV2103" i="5"/>
  <c r="AW2103" i="5"/>
  <c r="AU2103" i="5"/>
  <c r="AX2120" i="5"/>
  <c r="AV2120" i="5"/>
  <c r="AX2129" i="5"/>
  <c r="AV2129" i="5"/>
  <c r="AU2129" i="5"/>
  <c r="AX2137" i="5"/>
  <c r="AV2137" i="5"/>
  <c r="AU2137" i="5"/>
  <c r="AX2141" i="5"/>
  <c r="AV2141" i="5"/>
  <c r="AU2141" i="5"/>
  <c r="AX2149" i="5"/>
  <c r="AW2149" i="5"/>
  <c r="AV2149" i="5"/>
  <c r="AX2153" i="5"/>
  <c r="AW2153" i="5"/>
  <c r="AV2153" i="5"/>
  <c r="AV2195" i="5"/>
  <c r="AW2195" i="5"/>
  <c r="AU2195" i="5"/>
  <c r="AV2199" i="5"/>
  <c r="AY2199" i="5"/>
  <c r="AW2199" i="5"/>
  <c r="AV2203" i="5"/>
  <c r="AY2203" i="5"/>
  <c r="AW2203" i="5"/>
  <c r="AX2240" i="5"/>
  <c r="AV2240" i="5"/>
  <c r="AX2246" i="5"/>
  <c r="AV2246" i="5"/>
  <c r="AX2257" i="5"/>
  <c r="AW2257" i="5"/>
  <c r="AV2257" i="5"/>
  <c r="AX2262" i="5"/>
  <c r="AV2262" i="5"/>
  <c r="AV2267" i="5"/>
  <c r="AW2267" i="5"/>
  <c r="AU2267" i="5"/>
  <c r="AV2291" i="5"/>
  <c r="AW2291" i="5"/>
  <c r="AU2291" i="5"/>
  <c r="AX2301" i="5"/>
  <c r="AV2301" i="5"/>
  <c r="AU2301" i="5"/>
  <c r="AX2365" i="5"/>
  <c r="AV2365" i="5"/>
  <c r="AU2365" i="5"/>
  <c r="AX2385" i="5"/>
  <c r="AW2385" i="5"/>
  <c r="AV2385" i="5"/>
  <c r="AX2389" i="5"/>
  <c r="AW2389" i="5"/>
  <c r="AV2389" i="5"/>
  <c r="AX2437" i="5"/>
  <c r="AW2437" i="5"/>
  <c r="AV2437" i="5"/>
  <c r="AX2454" i="5"/>
  <c r="AV2454" i="5"/>
  <c r="AX2457" i="5"/>
  <c r="AW2457" i="5"/>
  <c r="AV2457" i="5"/>
  <c r="AV2463" i="5"/>
  <c r="AY2463" i="5"/>
  <c r="AW2463" i="5"/>
  <c r="AX2469" i="5"/>
  <c r="AW2469" i="5"/>
  <c r="AV2469" i="5"/>
  <c r="AV2475" i="5"/>
  <c r="AY2475" i="5"/>
  <c r="AW2475" i="5"/>
  <c r="AX2488" i="5"/>
  <c r="AV2488" i="5"/>
  <c r="AV2492" i="5"/>
  <c r="AX2492" i="5"/>
  <c r="AV2495" i="5"/>
  <c r="AW2495" i="5"/>
  <c r="AU2495" i="5"/>
  <c r="AV2516" i="5"/>
  <c r="AX2516" i="5"/>
  <c r="AV2519" i="5"/>
  <c r="AW2519" i="5"/>
  <c r="AU2519" i="5"/>
  <c r="AX2537" i="5"/>
  <c r="AV2537" i="5"/>
  <c r="AU2537" i="5"/>
  <c r="AX2564" i="5"/>
  <c r="AV2564" i="5"/>
  <c r="AX2573" i="5"/>
  <c r="AW2573" i="5"/>
  <c r="AY2573" i="5"/>
  <c r="AV2573" i="5"/>
  <c r="AX2610" i="5"/>
  <c r="AV2610" i="5"/>
  <c r="AX2641" i="5"/>
  <c r="AV2641" i="5"/>
  <c r="AY2641" i="5"/>
  <c r="AW2641" i="5"/>
  <c r="AX2662" i="5"/>
  <c r="AV2662" i="5"/>
  <c r="AX2673" i="5"/>
  <c r="AW2673" i="5"/>
  <c r="AV2673" i="5"/>
  <c r="AU2673" i="5"/>
  <c r="AV2679" i="5"/>
  <c r="AU2679" i="5"/>
  <c r="AY2679" i="5"/>
  <c r="AW2679" i="5"/>
  <c r="AX2738" i="5"/>
  <c r="AV2738" i="5"/>
  <c r="AW2747" i="5"/>
  <c r="AY2747" i="5"/>
  <c r="AU2747" i="5"/>
  <c r="AW2774" i="5"/>
  <c r="AY2774" i="5"/>
  <c r="AV2774" i="5"/>
  <c r="AU2774" i="5"/>
  <c r="AW2794" i="5"/>
  <c r="AY2794" i="5"/>
  <c r="AV2794" i="5"/>
  <c r="AX2805" i="5"/>
  <c r="AW2805" i="5"/>
  <c r="AV2805" i="5"/>
  <c r="AY2805" i="5"/>
  <c r="AX2835" i="5"/>
  <c r="AY2835" i="5"/>
  <c r="AV2835" i="5"/>
  <c r="AU2835" i="5"/>
  <c r="AY2870" i="5"/>
  <c r="AW2870" i="5"/>
  <c r="AV2870" i="5"/>
  <c r="AX2889" i="5"/>
  <c r="AW2889" i="5"/>
  <c r="AW2990" i="5"/>
  <c r="AV2990" i="5"/>
  <c r="AX3001" i="5"/>
  <c r="AV3001" i="5"/>
  <c r="AU3001" i="5"/>
  <c r="AY3001" i="5"/>
  <c r="AW3001" i="5"/>
  <c r="AX3017" i="5"/>
  <c r="AV3017" i="5"/>
  <c r="AU3017" i="5"/>
  <c r="AY3017" i="5"/>
  <c r="AX3021" i="5"/>
  <c r="AW3021" i="5"/>
  <c r="AV3021" i="5"/>
  <c r="AY3021" i="5"/>
  <c r="AU3021" i="5"/>
  <c r="AW3042" i="5"/>
  <c r="AV3042" i="5"/>
  <c r="AU3042" i="5"/>
  <c r="AY3042" i="5"/>
  <c r="AX3058" i="5"/>
  <c r="AV3058" i="5"/>
  <c r="AU3058" i="5"/>
  <c r="AY3058" i="5"/>
  <c r="AW3058" i="5"/>
  <c r="AV3123" i="5"/>
  <c r="AY3123" i="5"/>
  <c r="AU3123" i="5"/>
  <c r="AY3134" i="5"/>
  <c r="AW3134" i="5"/>
  <c r="AV3134" i="5"/>
  <c r="AX3165" i="5"/>
  <c r="AW3165" i="5"/>
  <c r="AX3173" i="5"/>
  <c r="AW3173" i="5"/>
  <c r="AX3179" i="5"/>
  <c r="AV3179" i="5"/>
  <c r="AU3179" i="5"/>
  <c r="AY3179" i="5"/>
  <c r="AW3179" i="5"/>
  <c r="AY3240" i="5"/>
  <c r="AV3240" i="5"/>
  <c r="AY3248" i="5"/>
  <c r="AV3248" i="5"/>
  <c r="AU3248" i="5"/>
  <c r="AX3265" i="5"/>
  <c r="AV3265" i="5"/>
  <c r="AU3265" i="5"/>
  <c r="AX3508" i="5"/>
  <c r="AW3508" i="5"/>
  <c r="AV3508" i="5"/>
  <c r="AY3508" i="5"/>
  <c r="AU3508" i="5"/>
  <c r="AX3761" i="5"/>
  <c r="AW3761" i="5"/>
  <c r="AV3761" i="5"/>
  <c r="AU3761" i="5"/>
  <c r="AY3761" i="5"/>
  <c r="AV1949" i="5"/>
  <c r="AY1957" i="5"/>
  <c r="AW1971" i="5"/>
  <c r="AV1973" i="5"/>
  <c r="AW1979" i="5"/>
  <c r="AY1993" i="5"/>
  <c r="AY1997" i="5"/>
  <c r="AV1998" i="5"/>
  <c r="AV2005" i="5"/>
  <c r="AY2029" i="5"/>
  <c r="AW2032" i="5"/>
  <c r="AW2047" i="5"/>
  <c r="AV2049" i="5"/>
  <c r="AV2059" i="5"/>
  <c r="AY2059" i="5"/>
  <c r="AW2059" i="5"/>
  <c r="AV2067" i="5"/>
  <c r="AY2067" i="5"/>
  <c r="AW2067" i="5"/>
  <c r="AY2069" i="5"/>
  <c r="AV2083" i="5"/>
  <c r="AY2083" i="5"/>
  <c r="AW2083" i="5"/>
  <c r="AV2091" i="5"/>
  <c r="AY2091" i="5"/>
  <c r="AW2091" i="5"/>
  <c r="AY2093" i="5"/>
  <c r="AV2115" i="5"/>
  <c r="AY2115" i="5"/>
  <c r="AW2115" i="5"/>
  <c r="AX2121" i="5"/>
  <c r="AV2121" i="5"/>
  <c r="AU2121" i="5"/>
  <c r="AX2124" i="5"/>
  <c r="AV2124" i="5"/>
  <c r="AY2129" i="5"/>
  <c r="AV2131" i="5"/>
  <c r="AW2131" i="5"/>
  <c r="AU2131" i="5"/>
  <c r="AY2137" i="5"/>
  <c r="AY2141" i="5"/>
  <c r="AY2149" i="5"/>
  <c r="AY2153" i="5"/>
  <c r="AX2157" i="5"/>
  <c r="AV2157" i="5"/>
  <c r="AU2157" i="5"/>
  <c r="AV2163" i="5"/>
  <c r="AY2163" i="5"/>
  <c r="AW2163" i="5"/>
  <c r="AX2176" i="5"/>
  <c r="AV2176" i="5"/>
  <c r="AX2221" i="5"/>
  <c r="AW2221" i="5"/>
  <c r="AV2221" i="5"/>
  <c r="AV2239" i="5"/>
  <c r="AW2239" i="5"/>
  <c r="AU2239" i="5"/>
  <c r="AX2241" i="5"/>
  <c r="AW2241" i="5"/>
  <c r="AV2241" i="5"/>
  <c r="AX2249" i="5"/>
  <c r="AW2249" i="5"/>
  <c r="AV2249" i="5"/>
  <c r="AV2255" i="5"/>
  <c r="AY2255" i="5"/>
  <c r="AW2255" i="5"/>
  <c r="AV2263" i="5"/>
  <c r="AW2263" i="5"/>
  <c r="AU2263" i="5"/>
  <c r="AX2265" i="5"/>
  <c r="AW2265" i="5"/>
  <c r="AV2265" i="5"/>
  <c r="AX2289" i="5"/>
  <c r="AW2289" i="5"/>
  <c r="AV2289" i="5"/>
  <c r="AY2365" i="5"/>
  <c r="AV2371" i="5"/>
  <c r="AX2371" i="5"/>
  <c r="AW2371" i="5"/>
  <c r="AV2383" i="5"/>
  <c r="AX2383" i="5"/>
  <c r="AW2383" i="5"/>
  <c r="AY2385" i="5"/>
  <c r="AY2389" i="5"/>
  <c r="AX2397" i="5"/>
  <c r="AW2397" i="5"/>
  <c r="AV2397" i="5"/>
  <c r="AX2401" i="5"/>
  <c r="AV2401" i="5"/>
  <c r="AU2401" i="5"/>
  <c r="AW2430" i="5"/>
  <c r="AV2430" i="5"/>
  <c r="AU2430" i="5"/>
  <c r="AY2437" i="5"/>
  <c r="AV2439" i="5"/>
  <c r="AY2439" i="5"/>
  <c r="AW2439" i="5"/>
  <c r="AX2445" i="5"/>
  <c r="AW2445" i="5"/>
  <c r="AV2445" i="5"/>
  <c r="AV2448" i="5"/>
  <c r="AX2448" i="5"/>
  <c r="AV2451" i="5"/>
  <c r="AW2451" i="5"/>
  <c r="AU2451" i="5"/>
  <c r="AY2457" i="5"/>
  <c r="AX2461" i="5"/>
  <c r="AW2461" i="5"/>
  <c r="AV2461" i="5"/>
  <c r="AV2471" i="5"/>
  <c r="AY2471" i="5"/>
  <c r="AW2471" i="5"/>
  <c r="AV2486" i="5"/>
  <c r="AX2486" i="5"/>
  <c r="AX2500" i="5"/>
  <c r="AV2500" i="5"/>
  <c r="AV2504" i="5"/>
  <c r="AX2504" i="5"/>
  <c r="AV2507" i="5"/>
  <c r="AW2507" i="5"/>
  <c r="AU2507" i="5"/>
  <c r="AX2524" i="5"/>
  <c r="AV2524" i="5"/>
  <c r="AY2537" i="5"/>
  <c r="AV2547" i="5"/>
  <c r="AY2547" i="5"/>
  <c r="AW2547" i="5"/>
  <c r="AX2561" i="5"/>
  <c r="AU2561" i="5"/>
  <c r="AW2561" i="5"/>
  <c r="AV2561" i="5"/>
  <c r="AV2583" i="5"/>
  <c r="AY2583" i="5"/>
  <c r="AW2583" i="5"/>
  <c r="AX2613" i="5"/>
  <c r="AV2613" i="5"/>
  <c r="AY2613" i="5"/>
  <c r="AW2613" i="5"/>
  <c r="AV2643" i="5"/>
  <c r="AU2643" i="5"/>
  <c r="AY2643" i="5"/>
  <c r="AX2677" i="5"/>
  <c r="AV2677" i="5"/>
  <c r="AW2677" i="5"/>
  <c r="AU2677" i="5"/>
  <c r="AX2697" i="5"/>
  <c r="AW2697" i="5"/>
  <c r="AV2697" i="5"/>
  <c r="AU2697" i="5"/>
  <c r="AV2703" i="5"/>
  <c r="AU2703" i="5"/>
  <c r="AY2703" i="5"/>
  <c r="AW2703" i="5"/>
  <c r="AX2722" i="5"/>
  <c r="AV2722" i="5"/>
  <c r="AX2753" i="5"/>
  <c r="AW2753" i="5"/>
  <c r="AV2753" i="5"/>
  <c r="AY2753" i="5"/>
  <c r="AV2775" i="5"/>
  <c r="AY2775" i="5"/>
  <c r="AU2775" i="5"/>
  <c r="AX2785" i="5"/>
  <c r="AW2785" i="5"/>
  <c r="AV2785" i="5"/>
  <c r="AV2815" i="5"/>
  <c r="AY2815" i="5"/>
  <c r="AU2815" i="5"/>
  <c r="AW2930" i="5"/>
  <c r="AV2930" i="5"/>
  <c r="AW2950" i="5"/>
  <c r="AY2950" i="5"/>
  <c r="AV2950" i="5"/>
  <c r="AU2950" i="5"/>
  <c r="AX3049" i="5"/>
  <c r="AW3049" i="5"/>
  <c r="AV3049" i="5"/>
  <c r="AV3091" i="5"/>
  <c r="AY3091" i="5"/>
  <c r="AU3091" i="5"/>
  <c r="AX3185" i="5"/>
  <c r="AY3185" i="5"/>
  <c r="AU3185" i="5"/>
  <c r="AV3191" i="5"/>
  <c r="AW3191" i="5"/>
  <c r="AX3221" i="5"/>
  <c r="AY3221" i="5"/>
  <c r="AW3221" i="5"/>
  <c r="AU3221" i="5"/>
  <c r="AX3233" i="5"/>
  <c r="AY3233" i="5"/>
  <c r="AW3233" i="5"/>
  <c r="AU3233" i="5"/>
  <c r="AX3325" i="5"/>
  <c r="AY3325" i="5"/>
  <c r="AU3325" i="5"/>
  <c r="AV3335" i="5"/>
  <c r="AW3335" i="5"/>
  <c r="AV3343" i="5"/>
  <c r="AW3343" i="5"/>
  <c r="AY3372" i="5"/>
  <c r="AV3372" i="5"/>
  <c r="AX3389" i="5"/>
  <c r="AY3389" i="5"/>
  <c r="AU3389" i="5"/>
  <c r="AX3404" i="5"/>
  <c r="AV3404" i="5"/>
  <c r="AU3404" i="5"/>
  <c r="AY3404" i="5"/>
  <c r="AX3410" i="5"/>
  <c r="AW3410" i="5"/>
  <c r="AU3410" i="5"/>
  <c r="AY3410" i="5"/>
  <c r="AV3432" i="5"/>
  <c r="AY3432" i="5"/>
  <c r="AW3432" i="5"/>
  <c r="AX3434" i="5"/>
  <c r="AY3434" i="5"/>
  <c r="AW3434" i="5"/>
  <c r="AU3434" i="5"/>
  <c r="AX3442" i="5"/>
  <c r="AY3442" i="5"/>
  <c r="AW3442" i="5"/>
  <c r="AU3442" i="5"/>
  <c r="AX4023" i="5"/>
  <c r="AW4023" i="5"/>
  <c r="AV4023" i="5"/>
  <c r="AY4023" i="5"/>
  <c r="AU4023" i="5"/>
  <c r="AV4120" i="5"/>
  <c r="AW4120" i="5"/>
  <c r="AX4129" i="5"/>
  <c r="AW4129" i="5"/>
  <c r="AV4129" i="5"/>
  <c r="AU4129" i="5"/>
  <c r="AY4129" i="5"/>
  <c r="AX4186" i="5"/>
  <c r="AY4186" i="5"/>
  <c r="AW4186" i="5"/>
  <c r="AU4186" i="5"/>
  <c r="AX4200" i="5"/>
  <c r="AW4200" i="5"/>
  <c r="AV4200" i="5"/>
  <c r="AU4200" i="5"/>
  <c r="AY4200" i="5"/>
  <c r="AW2073" i="5"/>
  <c r="AW2081" i="5"/>
  <c r="AW2097" i="5"/>
  <c r="AW2105" i="5"/>
  <c r="AW2117" i="5"/>
  <c r="AY2123" i="5"/>
  <c r="AY2127" i="5"/>
  <c r="AY2135" i="5"/>
  <c r="AY2145" i="5"/>
  <c r="AW2165" i="5"/>
  <c r="AY2173" i="5"/>
  <c r="AY2175" i="5"/>
  <c r="AY2177" i="5"/>
  <c r="AW2181" i="5"/>
  <c r="AY2185" i="5"/>
  <c r="AY2189" i="5"/>
  <c r="AY2191" i="5"/>
  <c r="AY2193" i="5"/>
  <c r="AY2213" i="5"/>
  <c r="AY2245" i="5"/>
  <c r="AY2253" i="5"/>
  <c r="AY2307" i="5"/>
  <c r="AW2309" i="5"/>
  <c r="AY2319" i="5"/>
  <c r="AW2369" i="5"/>
  <c r="AW2409" i="5"/>
  <c r="AX2415" i="5"/>
  <c r="AW2421" i="5"/>
  <c r="AW2425" i="5"/>
  <c r="AW2433" i="5"/>
  <c r="AY2443" i="5"/>
  <c r="AY2477" i="5"/>
  <c r="AY2479" i="5"/>
  <c r="AY2481" i="5"/>
  <c r="AY2483" i="5"/>
  <c r="AY2487" i="5"/>
  <c r="AY2489" i="5"/>
  <c r="AY2491" i="5"/>
  <c r="AY2497" i="5"/>
  <c r="AY2499" i="5"/>
  <c r="AY2501" i="5"/>
  <c r="AY2509" i="5"/>
  <c r="AY2511" i="5"/>
  <c r="AY2513" i="5"/>
  <c r="AY2523" i="5"/>
  <c r="AY2525" i="5"/>
  <c r="AY2527" i="5"/>
  <c r="AY2531" i="5"/>
  <c r="AY2535" i="5"/>
  <c r="AW2545" i="5"/>
  <c r="AY2549" i="5"/>
  <c r="AY2553" i="5"/>
  <c r="AX2565" i="5"/>
  <c r="AV2565" i="5"/>
  <c r="AV2571" i="5"/>
  <c r="AW2571" i="5"/>
  <c r="AX2592" i="5"/>
  <c r="AV2592" i="5"/>
  <c r="AV2619" i="5"/>
  <c r="AW2619" i="5"/>
  <c r="AV2627" i="5"/>
  <c r="AY2627" i="5"/>
  <c r="AV2631" i="5"/>
  <c r="AU2631" i="5"/>
  <c r="AV2635" i="5"/>
  <c r="AW2635" i="5"/>
  <c r="AX2645" i="5"/>
  <c r="AV2645" i="5"/>
  <c r="AX2657" i="5"/>
  <c r="AU2657" i="5"/>
  <c r="AX2681" i="5"/>
  <c r="AV2681" i="5"/>
  <c r="AV2695" i="5"/>
  <c r="AY2695" i="5"/>
  <c r="AX2705" i="5"/>
  <c r="AV2705" i="5"/>
  <c r="AX2749" i="5"/>
  <c r="AW2749" i="5"/>
  <c r="AV2749" i="5"/>
  <c r="AX2759" i="5"/>
  <c r="AU2759" i="5"/>
  <c r="AV2771" i="5"/>
  <c r="AY2771" i="5"/>
  <c r="AU2771" i="5"/>
  <c r="AW2814" i="5"/>
  <c r="AV2814" i="5"/>
  <c r="AU2814" i="5"/>
  <c r="AY2822" i="5"/>
  <c r="AW2822" i="5"/>
  <c r="AW2826" i="5"/>
  <c r="AV2826" i="5"/>
  <c r="AY2834" i="5"/>
  <c r="AW2834" i="5"/>
  <c r="AX2857" i="5"/>
  <c r="AW2857" i="5"/>
  <c r="AX2877" i="5"/>
  <c r="AW2877" i="5"/>
  <c r="AX2901" i="5"/>
  <c r="AW2901" i="5"/>
  <c r="AX2945" i="5"/>
  <c r="AV2945" i="5"/>
  <c r="AU2945" i="5"/>
  <c r="AW2966" i="5"/>
  <c r="AV2966" i="5"/>
  <c r="AU2966" i="5"/>
  <c r="AW2970" i="5"/>
  <c r="AV2970" i="5"/>
  <c r="AU2970" i="5"/>
  <c r="AX2977" i="5"/>
  <c r="AW2977" i="5"/>
  <c r="AV2977" i="5"/>
  <c r="AV2995" i="5"/>
  <c r="AY2995" i="5"/>
  <c r="AW2995" i="5"/>
  <c r="AX3013" i="5"/>
  <c r="AW3013" i="5"/>
  <c r="AV3013" i="5"/>
  <c r="AW3038" i="5"/>
  <c r="AV3038" i="5"/>
  <c r="AW3046" i="5"/>
  <c r="AY3046" i="5"/>
  <c r="AV3046" i="5"/>
  <c r="AV3051" i="5"/>
  <c r="AY3051" i="5"/>
  <c r="AX3053" i="5"/>
  <c r="AW3053" i="5"/>
  <c r="AV3053" i="5"/>
  <c r="AX3074" i="5"/>
  <c r="AV3074" i="5"/>
  <c r="AU3074" i="5"/>
  <c r="AV3087" i="5"/>
  <c r="AY3087" i="5"/>
  <c r="AY3090" i="5"/>
  <c r="AW3090" i="5"/>
  <c r="AV3090" i="5"/>
  <c r="AY3094" i="5"/>
  <c r="AW3094" i="5"/>
  <c r="AV3094" i="5"/>
  <c r="AX3111" i="5"/>
  <c r="AY3111" i="5"/>
  <c r="AV3111" i="5"/>
  <c r="AY3130" i="5"/>
  <c r="AW3130" i="5"/>
  <c r="AX3131" i="5"/>
  <c r="AV3131" i="5"/>
  <c r="AU3131" i="5"/>
  <c r="AX3145" i="5"/>
  <c r="AW3145" i="5"/>
  <c r="AY3154" i="5"/>
  <c r="AW3154" i="5"/>
  <c r="AV3154" i="5"/>
  <c r="AX3157" i="5"/>
  <c r="AW3157" i="5"/>
  <c r="AY3166" i="5"/>
  <c r="AW3166" i="5"/>
  <c r="AY3184" i="5"/>
  <c r="AV3184" i="5"/>
  <c r="AV3199" i="5"/>
  <c r="AY3199" i="5"/>
  <c r="AW3199" i="5"/>
  <c r="AV3235" i="5"/>
  <c r="AY3235" i="5"/>
  <c r="AW3235" i="5"/>
  <c r="AU3235" i="5"/>
  <c r="AY3276" i="5"/>
  <c r="AW3276" i="5"/>
  <c r="AV3283" i="5"/>
  <c r="AW3283" i="5"/>
  <c r="AY3391" i="5"/>
  <c r="AW3391" i="5"/>
  <c r="AV3424" i="5"/>
  <c r="AY3424" i="5"/>
  <c r="AW3424" i="5"/>
  <c r="AU3424" i="5"/>
  <c r="AX3468" i="5"/>
  <c r="AW3468" i="5"/>
  <c r="AV3468" i="5"/>
  <c r="AY3468" i="5"/>
  <c r="AU3468" i="5"/>
  <c r="AV2052" i="5"/>
  <c r="AY2073" i="5"/>
  <c r="AV2076" i="5"/>
  <c r="AY2081" i="5"/>
  <c r="AY2097" i="5"/>
  <c r="AV2100" i="5"/>
  <c r="AY2105" i="5"/>
  <c r="AY2117" i="5"/>
  <c r="AU2139" i="5"/>
  <c r="AU2145" i="5"/>
  <c r="AU2147" i="5"/>
  <c r="AY2165" i="5"/>
  <c r="AU2173" i="5"/>
  <c r="AU2177" i="5"/>
  <c r="AY2181" i="5"/>
  <c r="AU2193" i="5"/>
  <c r="AU2213" i="5"/>
  <c r="AU2227" i="5"/>
  <c r="AY2297" i="5"/>
  <c r="AV2298" i="5"/>
  <c r="AU2303" i="5"/>
  <c r="AY2309" i="5"/>
  <c r="AV2310" i="5"/>
  <c r="AU2311" i="5"/>
  <c r="AU2315" i="5"/>
  <c r="AY2321" i="5"/>
  <c r="AV2322" i="5"/>
  <c r="AU2327" i="5"/>
  <c r="AY2333" i="5"/>
  <c r="AV2334" i="5"/>
  <c r="AU2335" i="5"/>
  <c r="AU2339" i="5"/>
  <c r="AY2345" i="5"/>
  <c r="AU2347" i="5"/>
  <c r="AU2351" i="5"/>
  <c r="AY2357" i="5"/>
  <c r="AV2358" i="5"/>
  <c r="AY2369" i="5"/>
  <c r="AU2399" i="5"/>
  <c r="AW2403" i="5"/>
  <c r="AU2406" i="5"/>
  <c r="AY2409" i="5"/>
  <c r="AV2418" i="5"/>
  <c r="AW2419" i="5"/>
  <c r="AY2421" i="5"/>
  <c r="AY2425" i="5"/>
  <c r="AY2433" i="5"/>
  <c r="AU2481" i="5"/>
  <c r="AU2497" i="5"/>
  <c r="AX2506" i="5"/>
  <c r="AU2509" i="5"/>
  <c r="AU2513" i="5"/>
  <c r="AX2518" i="5"/>
  <c r="AY2533" i="5"/>
  <c r="AU2543" i="5"/>
  <c r="AY2545" i="5"/>
  <c r="AU2549" i="5"/>
  <c r="AV2552" i="5"/>
  <c r="AU2553" i="5"/>
  <c r="AU2555" i="5"/>
  <c r="AU2565" i="5"/>
  <c r="AX2569" i="5"/>
  <c r="AW2569" i="5"/>
  <c r="AU2571" i="5"/>
  <c r="AX2589" i="5"/>
  <c r="AV2589" i="5"/>
  <c r="AV2591" i="5"/>
  <c r="AU2591" i="5"/>
  <c r="AX2601" i="5"/>
  <c r="AV2601" i="5"/>
  <c r="AX2609" i="5"/>
  <c r="AU2609" i="5"/>
  <c r="AX2617" i="5"/>
  <c r="AV2617" i="5"/>
  <c r="AU2619" i="5"/>
  <c r="AU2627" i="5"/>
  <c r="AW2631" i="5"/>
  <c r="AU2635" i="5"/>
  <c r="AU2645" i="5"/>
  <c r="AV2650" i="5"/>
  <c r="AX2653" i="5"/>
  <c r="AU2653" i="5"/>
  <c r="AX2661" i="5"/>
  <c r="AV2661" i="5"/>
  <c r="AV2670" i="5"/>
  <c r="AU2681" i="5"/>
  <c r="AX2685" i="5"/>
  <c r="AW2685" i="5"/>
  <c r="AV2691" i="5"/>
  <c r="AU2691" i="5"/>
  <c r="AV2694" i="5"/>
  <c r="AU2695" i="5"/>
  <c r="AU2705" i="5"/>
  <c r="AX2709" i="5"/>
  <c r="AW2709" i="5"/>
  <c r="AX2713" i="5"/>
  <c r="AV2713" i="5"/>
  <c r="AV2715" i="5"/>
  <c r="AU2715" i="5"/>
  <c r="AV2731" i="5"/>
  <c r="AW2731" i="5"/>
  <c r="AU2731" i="5"/>
  <c r="AV2739" i="5"/>
  <c r="AY2739" i="5"/>
  <c r="AW2739" i="5"/>
  <c r="AV2743" i="5"/>
  <c r="AY2743" i="5"/>
  <c r="AW2743" i="5"/>
  <c r="AU2749" i="5"/>
  <c r="AV2787" i="5"/>
  <c r="AY2787" i="5"/>
  <c r="AU2787" i="5"/>
  <c r="AX2789" i="5"/>
  <c r="AW2789" i="5"/>
  <c r="AW2802" i="5"/>
  <c r="AV2802" i="5"/>
  <c r="AU2802" i="5"/>
  <c r="AV2807" i="5"/>
  <c r="AY2807" i="5"/>
  <c r="AU2807" i="5"/>
  <c r="AY2814" i="5"/>
  <c r="AV2822" i="5"/>
  <c r="AV2834" i="5"/>
  <c r="AX2843" i="5"/>
  <c r="AV2843" i="5"/>
  <c r="AU2843" i="5"/>
  <c r="AX2847" i="5"/>
  <c r="AY2847" i="5"/>
  <c r="AV2847" i="5"/>
  <c r="AY2862" i="5"/>
  <c r="AW2862" i="5"/>
  <c r="AV2862" i="5"/>
  <c r="AX2867" i="5"/>
  <c r="AV2867" i="5"/>
  <c r="AU2867" i="5"/>
  <c r="AX2871" i="5"/>
  <c r="AV2871" i="5"/>
  <c r="AU2871" i="5"/>
  <c r="AW2894" i="5"/>
  <c r="AY2894" i="5"/>
  <c r="AV2894" i="5"/>
  <c r="AV2901" i="5"/>
  <c r="AX2937" i="5"/>
  <c r="AV2937" i="5"/>
  <c r="AU2937" i="5"/>
  <c r="AV2942" i="5"/>
  <c r="AW2945" i="5"/>
  <c r="AY2966" i="5"/>
  <c r="AY2970" i="5"/>
  <c r="AX2973" i="5"/>
  <c r="AW2973" i="5"/>
  <c r="AV2973" i="5"/>
  <c r="AU2977" i="5"/>
  <c r="AV2983" i="5"/>
  <c r="AY2983" i="5"/>
  <c r="AU2983" i="5"/>
  <c r="AV2999" i="5"/>
  <c r="AW2999" i="5"/>
  <c r="AU2999" i="5"/>
  <c r="AX3009" i="5"/>
  <c r="AV3009" i="5"/>
  <c r="AU3009" i="5"/>
  <c r="AU3013" i="5"/>
  <c r="AV3031" i="5"/>
  <c r="AW3031" i="5"/>
  <c r="AU3031" i="5"/>
  <c r="AU3046" i="5"/>
  <c r="AV3075" i="5"/>
  <c r="AY3075" i="5"/>
  <c r="AX3078" i="5"/>
  <c r="AV3078" i="5"/>
  <c r="AU3078" i="5"/>
  <c r="AV3083" i="5"/>
  <c r="AY3083" i="5"/>
  <c r="AU3087" i="5"/>
  <c r="AX3098" i="5"/>
  <c r="AW3098" i="5"/>
  <c r="AV3098" i="5"/>
  <c r="AU3111" i="5"/>
  <c r="AV3127" i="5"/>
  <c r="AY3127" i="5"/>
  <c r="AV3130" i="5"/>
  <c r="AW3131" i="5"/>
  <c r="AX3139" i="5"/>
  <c r="AV3139" i="5"/>
  <c r="AU3139" i="5"/>
  <c r="AX3143" i="5"/>
  <c r="AY3143" i="5"/>
  <c r="AV3143" i="5"/>
  <c r="AX3155" i="5"/>
  <c r="AY3155" i="5"/>
  <c r="AV3155" i="5"/>
  <c r="AV3166" i="5"/>
  <c r="AY3174" i="5"/>
  <c r="AW3174" i="5"/>
  <c r="AV3183" i="5"/>
  <c r="AW3183" i="5"/>
  <c r="AX3193" i="5"/>
  <c r="AY3193" i="5"/>
  <c r="AU3193" i="5"/>
  <c r="AU3199" i="5"/>
  <c r="AX3201" i="5"/>
  <c r="AY3201" i="5"/>
  <c r="AW3201" i="5"/>
  <c r="AX3225" i="5"/>
  <c r="AY3225" i="5"/>
  <c r="AW3225" i="5"/>
  <c r="AU3225" i="5"/>
  <c r="AY3284" i="5"/>
  <c r="AW3284" i="5"/>
  <c r="AV3284" i="5"/>
  <c r="AY3300" i="5"/>
  <c r="AW3300" i="5"/>
  <c r="AV3300" i="5"/>
  <c r="AV3323" i="5"/>
  <c r="AW3323" i="5"/>
  <c r="AX3361" i="5"/>
  <c r="AY3361" i="5"/>
  <c r="AU3361" i="5"/>
  <c r="AY3383" i="5"/>
  <c r="AW3383" i="5"/>
  <c r="AY3387" i="5"/>
  <c r="AW3387" i="5"/>
  <c r="AV3387" i="5"/>
  <c r="AX3396" i="5"/>
  <c r="AV3396" i="5"/>
  <c r="AU3396" i="5"/>
  <c r="AY3396" i="5"/>
  <c r="AW3396" i="5"/>
  <c r="AX3438" i="5"/>
  <c r="AY3438" i="5"/>
  <c r="AW3438" i="5"/>
  <c r="AU3438" i="5"/>
  <c r="AW3471" i="5"/>
  <c r="AV3471" i="5"/>
  <c r="AX3516" i="5"/>
  <c r="AW3516" i="5"/>
  <c r="AV3516" i="5"/>
  <c r="AY3516" i="5"/>
  <c r="AU3516" i="5"/>
  <c r="AX3528" i="5"/>
  <c r="AW3528" i="5"/>
  <c r="AV3528" i="5"/>
  <c r="AY3528" i="5"/>
  <c r="AU3528" i="5"/>
  <c r="AY2597" i="5"/>
  <c r="AY2605" i="5"/>
  <c r="AY2625" i="5"/>
  <c r="AW2729" i="5"/>
  <c r="AY2741" i="5"/>
  <c r="AY2758" i="5"/>
  <c r="AY2761" i="5"/>
  <c r="AY2762" i="5"/>
  <c r="AY2770" i="5"/>
  <c r="AW2786" i="5"/>
  <c r="AY2810" i="5"/>
  <c r="AY2851" i="5"/>
  <c r="AW2859" i="5"/>
  <c r="AW2875" i="5"/>
  <c r="AY2879" i="5"/>
  <c r="AY2887" i="5"/>
  <c r="AY2921" i="5"/>
  <c r="AY2925" i="5"/>
  <c r="AY2931" i="5"/>
  <c r="AY2943" i="5"/>
  <c r="AW2957" i="5"/>
  <c r="AY2965" i="5"/>
  <c r="AW2969" i="5"/>
  <c r="AY2974" i="5"/>
  <c r="AY2978" i="5"/>
  <c r="AY2981" i="5"/>
  <c r="AW2993" i="5"/>
  <c r="AY2997" i="5"/>
  <c r="AY3005" i="5"/>
  <c r="AY3015" i="5"/>
  <c r="AW3033" i="5"/>
  <c r="AY3037" i="5"/>
  <c r="AY3099" i="5"/>
  <c r="AY3114" i="5"/>
  <c r="AY3135" i="5"/>
  <c r="AY3147" i="5"/>
  <c r="AW3150" i="5"/>
  <c r="AY3159" i="5"/>
  <c r="AW3167" i="5"/>
  <c r="AW3175" i="5"/>
  <c r="AV3215" i="5"/>
  <c r="AY3215" i="5"/>
  <c r="AW3215" i="5"/>
  <c r="AX3237" i="5"/>
  <c r="AY3237" i="5"/>
  <c r="AW3237" i="5"/>
  <c r="AX3249" i="5"/>
  <c r="AY3249" i="5"/>
  <c r="AU3249" i="5"/>
  <c r="AX3260" i="5"/>
  <c r="AW3260" i="5"/>
  <c r="AV3260" i="5"/>
  <c r="AV3275" i="5"/>
  <c r="AW3275" i="5"/>
  <c r="AY3280" i="5"/>
  <c r="AW3280" i="5"/>
  <c r="AV3280" i="5"/>
  <c r="AX3297" i="5"/>
  <c r="AY3297" i="5"/>
  <c r="AV3315" i="5"/>
  <c r="AW3315" i="5"/>
  <c r="AX3324" i="5"/>
  <c r="AW3324" i="5"/>
  <c r="AV3324" i="5"/>
  <c r="AX3353" i="5"/>
  <c r="AY3353" i="5"/>
  <c r="AV3353" i="5"/>
  <c r="AX3357" i="5"/>
  <c r="AY3357" i="5"/>
  <c r="AU3357" i="5"/>
  <c r="AV3363" i="5"/>
  <c r="AW3363" i="5"/>
  <c r="AX3369" i="5"/>
  <c r="AY3369" i="5"/>
  <c r="AX3400" i="5"/>
  <c r="AW3400" i="5"/>
  <c r="AV3400" i="5"/>
  <c r="AY3441" i="5"/>
  <c r="AV3441" i="5"/>
  <c r="AX3494" i="5"/>
  <c r="AW3494" i="5"/>
  <c r="AU3494" i="5"/>
  <c r="AX3504" i="5"/>
  <c r="AW3504" i="5"/>
  <c r="AV3504" i="5"/>
  <c r="AX3542" i="5"/>
  <c r="AY3542" i="5"/>
  <c r="AU3542" i="5"/>
  <c r="AX3548" i="5"/>
  <c r="AV3548" i="5"/>
  <c r="AU3548" i="5"/>
  <c r="AX3554" i="5"/>
  <c r="AY3554" i="5"/>
  <c r="AU3554" i="5"/>
  <c r="AX3560" i="5"/>
  <c r="AV3560" i="5"/>
  <c r="AU3560" i="5"/>
  <c r="AX3566" i="5"/>
  <c r="AY3566" i="5"/>
  <c r="AU3566" i="5"/>
  <c r="AX3576" i="5"/>
  <c r="AV3576" i="5"/>
  <c r="AU3576" i="5"/>
  <c r="AX3578" i="5"/>
  <c r="AY3578" i="5"/>
  <c r="AX3580" i="5"/>
  <c r="AV3580" i="5"/>
  <c r="AU3580" i="5"/>
  <c r="AX3584" i="5"/>
  <c r="AV3584" i="5"/>
  <c r="AU3584" i="5"/>
  <c r="AX3602" i="5"/>
  <c r="AY3602" i="5"/>
  <c r="AV3602" i="5"/>
  <c r="AX3637" i="5"/>
  <c r="AW3637" i="5"/>
  <c r="AV3637" i="5"/>
  <c r="AU3637" i="5"/>
  <c r="AX3650" i="5"/>
  <c r="AY3650" i="5"/>
  <c r="AV3650" i="5"/>
  <c r="AU3650" i="5"/>
  <c r="AX3673" i="5"/>
  <c r="AW3673" i="5"/>
  <c r="AV3673" i="5"/>
  <c r="AU3673" i="5"/>
  <c r="AV3688" i="5"/>
  <c r="AW3688" i="5"/>
  <c r="AX3693" i="5"/>
  <c r="AW3693" i="5"/>
  <c r="AV3693" i="5"/>
  <c r="AU3693" i="5"/>
  <c r="AY3693" i="5"/>
  <c r="AX3792" i="5"/>
  <c r="AV3792" i="5"/>
  <c r="AX3823" i="5"/>
  <c r="AW3823" i="5"/>
  <c r="AV3823" i="5"/>
  <c r="AU3823" i="5"/>
  <c r="AX3833" i="5"/>
  <c r="AY3833" i="5"/>
  <c r="AW3833" i="5"/>
  <c r="AU3833" i="5"/>
  <c r="AY2729" i="5"/>
  <c r="AY2786" i="5"/>
  <c r="AY2859" i="5"/>
  <c r="AY2875" i="5"/>
  <c r="AY2957" i="5"/>
  <c r="AY2969" i="5"/>
  <c r="AY2993" i="5"/>
  <c r="AY3033" i="5"/>
  <c r="AY3167" i="5"/>
  <c r="AY3175" i="5"/>
  <c r="AY3224" i="5"/>
  <c r="AV3224" i="5"/>
  <c r="AX3229" i="5"/>
  <c r="AY3229" i="5"/>
  <c r="AW3229" i="5"/>
  <c r="AX3253" i="5"/>
  <c r="AY3253" i="5"/>
  <c r="AY3296" i="5"/>
  <c r="AW3296" i="5"/>
  <c r="AX3308" i="5"/>
  <c r="AV3308" i="5"/>
  <c r="AU3308" i="5"/>
  <c r="AV3327" i="5"/>
  <c r="AW3327" i="5"/>
  <c r="AY3336" i="5"/>
  <c r="AW3336" i="5"/>
  <c r="AX3341" i="5"/>
  <c r="AY3341" i="5"/>
  <c r="AU3341" i="5"/>
  <c r="AX3356" i="5"/>
  <c r="AW3356" i="5"/>
  <c r="AV3356" i="5"/>
  <c r="AX3380" i="5"/>
  <c r="AV3380" i="5"/>
  <c r="AU3380" i="5"/>
  <c r="AX3426" i="5"/>
  <c r="AY3426" i="5"/>
  <c r="AW3426" i="5"/>
  <c r="AV3433" i="5"/>
  <c r="AX3456" i="5"/>
  <c r="AV3456" i="5"/>
  <c r="AU3456" i="5"/>
  <c r="AX3464" i="5"/>
  <c r="AV3464" i="5"/>
  <c r="AU3464" i="5"/>
  <c r="AX3472" i="5"/>
  <c r="AV3472" i="5"/>
  <c r="AU3472" i="5"/>
  <c r="AX3488" i="5"/>
  <c r="AW3488" i="5"/>
  <c r="AV3488" i="5"/>
  <c r="AY3494" i="5"/>
  <c r="AU3504" i="5"/>
  <c r="AX3512" i="5"/>
  <c r="AW3512" i="5"/>
  <c r="AV3512" i="5"/>
  <c r="AX3524" i="5"/>
  <c r="AW3524" i="5"/>
  <c r="AV3524" i="5"/>
  <c r="AX3536" i="5"/>
  <c r="AW3536" i="5"/>
  <c r="AV3536" i="5"/>
  <c r="AW3548" i="5"/>
  <c r="AX3549" i="5"/>
  <c r="AY3549" i="5"/>
  <c r="AV3549" i="5"/>
  <c r="AX3553" i="5"/>
  <c r="AY3553" i="5"/>
  <c r="AV3553" i="5"/>
  <c r="AW3560" i="5"/>
  <c r="AX3561" i="5"/>
  <c r="AY3561" i="5"/>
  <c r="AV3561" i="5"/>
  <c r="AW3576" i="5"/>
  <c r="AU3578" i="5"/>
  <c r="AW3580" i="5"/>
  <c r="AX3581" i="5"/>
  <c r="AY3581" i="5"/>
  <c r="AV3581" i="5"/>
  <c r="AW3584" i="5"/>
  <c r="AX3585" i="5"/>
  <c r="AY3585" i="5"/>
  <c r="AV3585" i="5"/>
  <c r="AX3614" i="5"/>
  <c r="AV3614" i="5"/>
  <c r="AY3614" i="5"/>
  <c r="AY3637" i="5"/>
  <c r="AX3646" i="5"/>
  <c r="AY3646" i="5"/>
  <c r="AV3646" i="5"/>
  <c r="AU3646" i="5"/>
  <c r="AY3673" i="5"/>
  <c r="AX3677" i="5"/>
  <c r="AW3677" i="5"/>
  <c r="AV3677" i="5"/>
  <c r="AU3677" i="5"/>
  <c r="AY3677" i="5"/>
  <c r="AX3822" i="5"/>
  <c r="AV3822" i="5"/>
  <c r="AW3256" i="5"/>
  <c r="AY3264" i="5"/>
  <c r="AY3269" i="5"/>
  <c r="AY3312" i="5"/>
  <c r="AY3320" i="5"/>
  <c r="AY3332" i="5"/>
  <c r="AY3365" i="5"/>
  <c r="AY3368" i="5"/>
  <c r="AY3392" i="5"/>
  <c r="AY3452" i="5"/>
  <c r="AY3460" i="5"/>
  <c r="AY3482" i="5"/>
  <c r="AW3540" i="5"/>
  <c r="AW3544" i="5"/>
  <c r="AY3552" i="5"/>
  <c r="AY3564" i="5"/>
  <c r="AW3568" i="5"/>
  <c r="AW3572" i="5"/>
  <c r="AY3577" i="5"/>
  <c r="AW3593" i="5"/>
  <c r="AY3601" i="5"/>
  <c r="AW3605" i="5"/>
  <c r="AW3609" i="5"/>
  <c r="AX3617" i="5"/>
  <c r="AW3617" i="5"/>
  <c r="AX3622" i="5"/>
  <c r="AU3622" i="5"/>
  <c r="AX3626" i="5"/>
  <c r="AV3626" i="5"/>
  <c r="AU3626" i="5"/>
  <c r="AX3629" i="5"/>
  <c r="AW3629" i="5"/>
  <c r="AV3629" i="5"/>
  <c r="AV3636" i="5"/>
  <c r="AW3636" i="5"/>
  <c r="AV3768" i="5"/>
  <c r="AW3768" i="5"/>
  <c r="AX3777" i="5"/>
  <c r="AW3777" i="5"/>
  <c r="AV3777" i="5"/>
  <c r="AU3777" i="5"/>
  <c r="AX3793" i="5"/>
  <c r="AY3793" i="5"/>
  <c r="AW3793" i="5"/>
  <c r="AU3793" i="5"/>
  <c r="AX3803" i="5"/>
  <c r="AW3803" i="5"/>
  <c r="AV3803" i="5"/>
  <c r="AU3803" i="5"/>
  <c r="AX3811" i="5"/>
  <c r="AW3811" i="5"/>
  <c r="AV3811" i="5"/>
  <c r="AU3811" i="5"/>
  <c r="AX3929" i="5"/>
  <c r="AY3929" i="5"/>
  <c r="AW3929" i="5"/>
  <c r="AU3929" i="5"/>
  <c r="AY3976" i="5"/>
  <c r="AV3976" i="5"/>
  <c r="AX3983" i="5"/>
  <c r="AV3983" i="5"/>
  <c r="AU3983" i="5"/>
  <c r="AY3983" i="5"/>
  <c r="AW3983" i="5"/>
  <c r="AV3993" i="5"/>
  <c r="AW3993" i="5"/>
  <c r="AV3997" i="5"/>
  <c r="AW3997" i="5"/>
  <c r="AU3997" i="5"/>
  <c r="AY3997" i="5"/>
  <c r="AV4017" i="5"/>
  <c r="AY4017" i="5"/>
  <c r="AW4017" i="5"/>
  <c r="AU4017" i="5"/>
  <c r="AV4029" i="5"/>
  <c r="AW4029" i="5"/>
  <c r="AU4029" i="5"/>
  <c r="AY4029" i="5"/>
  <c r="AX4044" i="5"/>
  <c r="AV4044" i="5"/>
  <c r="AX4063" i="5"/>
  <c r="AY4063" i="5"/>
  <c r="AW4063" i="5"/>
  <c r="AU4063" i="5"/>
  <c r="AX4069" i="5"/>
  <c r="AW4069" i="5"/>
  <c r="AV4069" i="5"/>
  <c r="AY4069" i="5"/>
  <c r="AU4069" i="5"/>
  <c r="AX4081" i="5"/>
  <c r="AV4081" i="5"/>
  <c r="AU4081" i="5"/>
  <c r="AY4081" i="5"/>
  <c r="AW4081" i="5"/>
  <c r="AX4089" i="5"/>
  <c r="AV4089" i="5"/>
  <c r="AU4089" i="5"/>
  <c r="AY4089" i="5"/>
  <c r="AW4089" i="5"/>
  <c r="AW4096" i="5"/>
  <c r="AX4096" i="5"/>
  <c r="AV4096" i="5"/>
  <c r="AU3211" i="5"/>
  <c r="AU3213" i="5"/>
  <c r="AV3216" i="5"/>
  <c r="AU3217" i="5"/>
  <c r="AU3219" i="5"/>
  <c r="AW3239" i="5"/>
  <c r="AW3247" i="5"/>
  <c r="AY3256" i="5"/>
  <c r="AW3287" i="5"/>
  <c r="AU3345" i="5"/>
  <c r="AW3371" i="5"/>
  <c r="AU3377" i="5"/>
  <c r="AV3395" i="5"/>
  <c r="AU3405" i="5"/>
  <c r="AU3414" i="5"/>
  <c r="AU3418" i="5"/>
  <c r="AU3422" i="5"/>
  <c r="AU3428" i="5"/>
  <c r="AY3436" i="5"/>
  <c r="AU3446" i="5"/>
  <c r="AU3452" i="5"/>
  <c r="AU3454" i="5"/>
  <c r="AU3460" i="5"/>
  <c r="AV3465" i="5"/>
  <c r="AU3474" i="5"/>
  <c r="AY3480" i="5"/>
  <c r="AU3490" i="5"/>
  <c r="AY3540" i="5"/>
  <c r="AY3544" i="5"/>
  <c r="AY3568" i="5"/>
  <c r="AY3572" i="5"/>
  <c r="AY3593" i="5"/>
  <c r="AY3605" i="5"/>
  <c r="AY3609" i="5"/>
  <c r="AX3658" i="5"/>
  <c r="AY3658" i="5"/>
  <c r="AV3658" i="5"/>
  <c r="AU3658" i="5"/>
  <c r="AV3712" i="5"/>
  <c r="AW3712" i="5"/>
  <c r="AX3725" i="5"/>
  <c r="AW3725" i="5"/>
  <c r="AV3725" i="5"/>
  <c r="AU3725" i="5"/>
  <c r="AV3736" i="5"/>
  <c r="AW3736" i="5"/>
  <c r="AX3741" i="5"/>
  <c r="AW3741" i="5"/>
  <c r="AV3741" i="5"/>
  <c r="AU3741" i="5"/>
  <c r="AX3749" i="5"/>
  <c r="AW3749" i="5"/>
  <c r="AV3749" i="5"/>
  <c r="AU3749" i="5"/>
  <c r="AX3799" i="5"/>
  <c r="AW3799" i="5"/>
  <c r="AV3799" i="5"/>
  <c r="AU3799" i="5"/>
  <c r="AV3807" i="5"/>
  <c r="AY3807" i="5"/>
  <c r="AW3807" i="5"/>
  <c r="AU3807" i="5"/>
  <c r="AX3903" i="5"/>
  <c r="AV3903" i="5"/>
  <c r="AU3903" i="5"/>
  <c r="AY3903" i="5"/>
  <c r="AW3903" i="5"/>
  <c r="AX3917" i="5"/>
  <c r="AW3917" i="5"/>
  <c r="AU3917" i="5"/>
  <c r="AY3917" i="5"/>
  <c r="AX3937" i="5"/>
  <c r="AY3937" i="5"/>
  <c r="AW3937" i="5"/>
  <c r="AU3937" i="5"/>
  <c r="AX3947" i="5"/>
  <c r="AW3947" i="5"/>
  <c r="AV3947" i="5"/>
  <c r="AY3947" i="5"/>
  <c r="AU3947" i="5"/>
  <c r="AX3973" i="5"/>
  <c r="AW3973" i="5"/>
  <c r="AU3973" i="5"/>
  <c r="AY3973" i="5"/>
  <c r="AX4016" i="5"/>
  <c r="AV4016" i="5"/>
  <c r="AX4060" i="5"/>
  <c r="AV4060" i="5"/>
  <c r="AX4068" i="5"/>
  <c r="AV4068" i="5"/>
  <c r="AW4086" i="5"/>
  <c r="AV4086" i="5"/>
  <c r="AY3645" i="5"/>
  <c r="AY3657" i="5"/>
  <c r="AV3694" i="5"/>
  <c r="AY3697" i="5"/>
  <c r="AV3698" i="5"/>
  <c r="AV3709" i="5"/>
  <c r="AV3718" i="5"/>
  <c r="AY3721" i="5"/>
  <c r="AV3722" i="5"/>
  <c r="AY3745" i="5"/>
  <c r="AY3781" i="5"/>
  <c r="AY3817" i="5"/>
  <c r="AY3821" i="5"/>
  <c r="AY3827" i="5"/>
  <c r="AY3831" i="5"/>
  <c r="AY3835" i="5"/>
  <c r="AY3839" i="5"/>
  <c r="AX3841" i="5"/>
  <c r="AW3841" i="5"/>
  <c r="AX3842" i="5"/>
  <c r="AV3842" i="5"/>
  <c r="AW3843" i="5"/>
  <c r="AX3845" i="5"/>
  <c r="AY3845" i="5"/>
  <c r="AW3845" i="5"/>
  <c r="AX3915" i="5"/>
  <c r="AW3915" i="5"/>
  <c r="AV3915" i="5"/>
  <c r="AX3933" i="5"/>
  <c r="AW3933" i="5"/>
  <c r="AU3933" i="5"/>
  <c r="AX3943" i="5"/>
  <c r="AV3943" i="5"/>
  <c r="AU3943" i="5"/>
  <c r="AX3963" i="5"/>
  <c r="AW3963" i="5"/>
  <c r="AV3963" i="5"/>
  <c r="AY3972" i="5"/>
  <c r="AV3972" i="5"/>
  <c r="AX3985" i="5"/>
  <c r="AY3985" i="5"/>
  <c r="AW3985" i="5"/>
  <c r="AW3992" i="5"/>
  <c r="AV3992" i="5"/>
  <c r="AV4025" i="5"/>
  <c r="AY4025" i="5"/>
  <c r="AW4025" i="5"/>
  <c r="AX4028" i="5"/>
  <c r="AV4028" i="5"/>
  <c r="AV4033" i="5"/>
  <c r="AY4033" i="5"/>
  <c r="AW4033" i="5"/>
  <c r="AX4047" i="5"/>
  <c r="AW4047" i="5"/>
  <c r="AU4047" i="5"/>
  <c r="AX4049" i="5"/>
  <c r="AW4049" i="5"/>
  <c r="AV4049" i="5"/>
  <c r="AX4053" i="5"/>
  <c r="AW4053" i="5"/>
  <c r="AV4053" i="5"/>
  <c r="AX4072" i="5"/>
  <c r="AV4072" i="5"/>
  <c r="AX4075" i="5"/>
  <c r="AY4075" i="5"/>
  <c r="AW4075" i="5"/>
  <c r="AW4082" i="5"/>
  <c r="AX4082" i="5"/>
  <c r="AV4083" i="5"/>
  <c r="AX4083" i="5"/>
  <c r="AU4083" i="5"/>
  <c r="AX4093" i="5"/>
  <c r="AW4093" i="5"/>
  <c r="AV4093" i="5"/>
  <c r="AX4106" i="5"/>
  <c r="AV4106" i="5"/>
  <c r="AU4106" i="5"/>
  <c r="AV4112" i="5"/>
  <c r="AW4112" i="5"/>
  <c r="AX4142" i="5"/>
  <c r="AY4142" i="5"/>
  <c r="AV4142" i="5"/>
  <c r="AU4142" i="5"/>
  <c r="AX4150" i="5"/>
  <c r="AY4150" i="5"/>
  <c r="AV4150" i="5"/>
  <c r="AU4150" i="5"/>
  <c r="AX4176" i="5"/>
  <c r="AW4176" i="5"/>
  <c r="AV4176" i="5"/>
  <c r="AU4176" i="5"/>
  <c r="AX4180" i="5"/>
  <c r="AW4180" i="5"/>
  <c r="AV4180" i="5"/>
  <c r="AU4180" i="5"/>
  <c r="AX4312" i="5"/>
  <c r="AY4312" i="5"/>
  <c r="AV4312" i="5"/>
  <c r="AU4312" i="5"/>
  <c r="AX4320" i="5"/>
  <c r="AY4320" i="5"/>
  <c r="AV4320" i="5"/>
  <c r="AU4320" i="5"/>
  <c r="AX4336" i="5"/>
  <c r="AY4336" i="5"/>
  <c r="AV4336" i="5"/>
  <c r="AU4336" i="5"/>
  <c r="AW4349" i="5"/>
  <c r="AX4349" i="5"/>
  <c r="AV4349" i="5"/>
  <c r="AU4349" i="5"/>
  <c r="AX4356" i="5"/>
  <c r="AW4356" i="5"/>
  <c r="AV4356" i="5"/>
  <c r="AU4356" i="5"/>
  <c r="AY4356" i="5"/>
  <c r="AY3613" i="5"/>
  <c r="AY3621" i="5"/>
  <c r="AW3625" i="5"/>
  <c r="AY3630" i="5"/>
  <c r="AY3641" i="5"/>
  <c r="AU3642" i="5"/>
  <c r="AU3645" i="5"/>
  <c r="AY3649" i="5"/>
  <c r="AU3654" i="5"/>
  <c r="AU3657" i="5"/>
  <c r="AW3660" i="5"/>
  <c r="AW3661" i="5"/>
  <c r="AW3664" i="5"/>
  <c r="AW3665" i="5"/>
  <c r="AY3669" i="5"/>
  <c r="AU3670" i="5"/>
  <c r="AY3678" i="5"/>
  <c r="AY3681" i="5"/>
  <c r="AU3682" i="5"/>
  <c r="AW3684" i="5"/>
  <c r="AW3685" i="5"/>
  <c r="AU3686" i="5"/>
  <c r="AU3690" i="5"/>
  <c r="AY3694" i="5"/>
  <c r="AU3697" i="5"/>
  <c r="AY3698" i="5"/>
  <c r="AY3702" i="5"/>
  <c r="AY3705" i="5"/>
  <c r="AU3706" i="5"/>
  <c r="AW3708" i="5"/>
  <c r="AW3709" i="5"/>
  <c r="AU3710" i="5"/>
  <c r="AY3713" i="5"/>
  <c r="AU3714" i="5"/>
  <c r="AY3718" i="5"/>
  <c r="AU3721" i="5"/>
  <c r="AY3722" i="5"/>
  <c r="AY3726" i="5"/>
  <c r="AY3729" i="5"/>
  <c r="AU3730" i="5"/>
  <c r="AW3733" i="5"/>
  <c r="AU3734" i="5"/>
  <c r="AY3737" i="5"/>
  <c r="AU3738" i="5"/>
  <c r="AY3742" i="5"/>
  <c r="AU3745" i="5"/>
  <c r="AY3746" i="5"/>
  <c r="AY3750" i="5"/>
  <c r="AY3753" i="5"/>
  <c r="AU3754" i="5"/>
  <c r="AY3758" i="5"/>
  <c r="AW3760" i="5"/>
  <c r="AY3762" i="5"/>
  <c r="AY3765" i="5"/>
  <c r="AU3766" i="5"/>
  <c r="AW3769" i="5"/>
  <c r="AU3770" i="5"/>
  <c r="AY3773" i="5"/>
  <c r="AU3774" i="5"/>
  <c r="AY3778" i="5"/>
  <c r="AU3781" i="5"/>
  <c r="AY3782" i="5"/>
  <c r="AW3784" i="5"/>
  <c r="AY3786" i="5"/>
  <c r="AY3789" i="5"/>
  <c r="AV3790" i="5"/>
  <c r="AW3791" i="5"/>
  <c r="AV3794" i="5"/>
  <c r="AU3795" i="5"/>
  <c r="AU3801" i="5"/>
  <c r="AV3804" i="5"/>
  <c r="AU3805" i="5"/>
  <c r="AU3813" i="5"/>
  <c r="AY3815" i="5"/>
  <c r="AY3819" i="5"/>
  <c r="AV3826" i="5"/>
  <c r="AU3827" i="5"/>
  <c r="AU3829" i="5"/>
  <c r="AU3831" i="5"/>
  <c r="AV3834" i="5"/>
  <c r="AU3835" i="5"/>
  <c r="AV3838" i="5"/>
  <c r="AU3839" i="5"/>
  <c r="AU3841" i="5"/>
  <c r="AU3845" i="5"/>
  <c r="AX3905" i="5"/>
  <c r="AW3905" i="5"/>
  <c r="AU3905" i="5"/>
  <c r="AU3915" i="5"/>
  <c r="AX3925" i="5"/>
  <c r="AW3925" i="5"/>
  <c r="AU3925" i="5"/>
  <c r="AY3928" i="5"/>
  <c r="AV3928" i="5"/>
  <c r="AY3932" i="5"/>
  <c r="AV3932" i="5"/>
  <c r="AY3933" i="5"/>
  <c r="AV3940" i="5"/>
  <c r="AW3943" i="5"/>
  <c r="AX3945" i="5"/>
  <c r="AY3945" i="5"/>
  <c r="AW3945" i="5"/>
  <c r="AX3951" i="5"/>
  <c r="AV3951" i="5"/>
  <c r="AU3951" i="5"/>
  <c r="AX3955" i="5"/>
  <c r="AW3955" i="5"/>
  <c r="AV3955" i="5"/>
  <c r="AU3963" i="5"/>
  <c r="AX3977" i="5"/>
  <c r="AY3977" i="5"/>
  <c r="AW3977" i="5"/>
  <c r="AX3981" i="5"/>
  <c r="AW3981" i="5"/>
  <c r="AU3981" i="5"/>
  <c r="AV3984" i="5"/>
  <c r="AU3985" i="5"/>
  <c r="AX3999" i="5"/>
  <c r="AV3999" i="5"/>
  <c r="AU3999" i="5"/>
  <c r="AX4003" i="5"/>
  <c r="AW4003" i="5"/>
  <c r="AV4003" i="5"/>
  <c r="AX4012" i="5"/>
  <c r="AV4012" i="5"/>
  <c r="AV4021" i="5"/>
  <c r="AY4021" i="5"/>
  <c r="AW4021" i="5"/>
  <c r="AU4025" i="5"/>
  <c r="AX4027" i="5"/>
  <c r="AW4027" i="5"/>
  <c r="AV4027" i="5"/>
  <c r="AV4032" i="5"/>
  <c r="AU4033" i="5"/>
  <c r="AV4036" i="5"/>
  <c r="AY4047" i="5"/>
  <c r="AU4049" i="5"/>
  <c r="AV4052" i="5"/>
  <c r="AU4053" i="5"/>
  <c r="AX4059" i="5"/>
  <c r="AW4059" i="5"/>
  <c r="AU4059" i="5"/>
  <c r="AX4061" i="5"/>
  <c r="AW4061" i="5"/>
  <c r="AV4061" i="5"/>
  <c r="AX4065" i="5"/>
  <c r="AW4065" i="5"/>
  <c r="AV4065" i="5"/>
  <c r="AU4075" i="5"/>
  <c r="AV4079" i="5"/>
  <c r="AW4079" i="5"/>
  <c r="AU4079" i="5"/>
  <c r="AU4082" i="5"/>
  <c r="AU4093" i="5"/>
  <c r="AX4097" i="5"/>
  <c r="AV4097" i="5"/>
  <c r="AU4097" i="5"/>
  <c r="AX4100" i="5"/>
  <c r="AW4100" i="5"/>
  <c r="AX4108" i="5"/>
  <c r="AW4108" i="5"/>
  <c r="AX4134" i="5"/>
  <c r="AY4134" i="5"/>
  <c r="AV4134" i="5"/>
  <c r="AU4134" i="5"/>
  <c r="AV4162" i="5"/>
  <c r="AX4162" i="5"/>
  <c r="AX4172" i="5"/>
  <c r="AW4172" i="5"/>
  <c r="AV4172" i="5"/>
  <c r="AU4172" i="5"/>
  <c r="AY4176" i="5"/>
  <c r="AY4180" i="5"/>
  <c r="AY3625" i="5"/>
  <c r="AV3642" i="5"/>
  <c r="AV3645" i="5"/>
  <c r="AV3654" i="5"/>
  <c r="AV3657" i="5"/>
  <c r="AY3661" i="5"/>
  <c r="AY3665" i="5"/>
  <c r="AV3670" i="5"/>
  <c r="AV3682" i="5"/>
  <c r="AY3685" i="5"/>
  <c r="AV3686" i="5"/>
  <c r="AV3690" i="5"/>
  <c r="AV3706" i="5"/>
  <c r="AY3709" i="5"/>
  <c r="AV3710" i="5"/>
  <c r="AV3730" i="5"/>
  <c r="AY3733" i="5"/>
  <c r="AV3734" i="5"/>
  <c r="AV3738" i="5"/>
  <c r="AV3745" i="5"/>
  <c r="AV3754" i="5"/>
  <c r="AV3766" i="5"/>
  <c r="AY3769" i="5"/>
  <c r="AV3770" i="5"/>
  <c r="AV3774" i="5"/>
  <c r="AV3781" i="5"/>
  <c r="AY3791" i="5"/>
  <c r="AW3795" i="5"/>
  <c r="AW3801" i="5"/>
  <c r="AW3805" i="5"/>
  <c r="AU3809" i="5"/>
  <c r="AW3813" i="5"/>
  <c r="AU3815" i="5"/>
  <c r="AU3817" i="5"/>
  <c r="AU3819" i="5"/>
  <c r="AU3821" i="5"/>
  <c r="AV3827" i="5"/>
  <c r="AW3829" i="5"/>
  <c r="AV3831" i="5"/>
  <c r="AV3835" i="5"/>
  <c r="AV3839" i="5"/>
  <c r="AY3841" i="5"/>
  <c r="AX3843" i="5"/>
  <c r="AV3843" i="5"/>
  <c r="AX3907" i="5"/>
  <c r="AW3907" i="5"/>
  <c r="AV3907" i="5"/>
  <c r="AY3915" i="5"/>
  <c r="AY3924" i="5"/>
  <c r="AV3924" i="5"/>
  <c r="AX3935" i="5"/>
  <c r="AV3935" i="5"/>
  <c r="AU3935" i="5"/>
  <c r="AY3943" i="5"/>
  <c r="AY3963" i="5"/>
  <c r="AX3965" i="5"/>
  <c r="AW3965" i="5"/>
  <c r="AU3965" i="5"/>
  <c r="AY3980" i="5"/>
  <c r="AV3980" i="5"/>
  <c r="AW3994" i="5"/>
  <c r="AV3994" i="5"/>
  <c r="AX4011" i="5"/>
  <c r="AW4011" i="5"/>
  <c r="AV4011" i="5"/>
  <c r="AX4024" i="5"/>
  <c r="AV4024" i="5"/>
  <c r="AX4035" i="5"/>
  <c r="AY4035" i="5"/>
  <c r="AW4035" i="5"/>
  <c r="AV4045" i="5"/>
  <c r="AW4045" i="5"/>
  <c r="AU4045" i="5"/>
  <c r="AX4048" i="5"/>
  <c r="AV4048" i="5"/>
  <c r="AY4049" i="5"/>
  <c r="AX4051" i="5"/>
  <c r="AY4051" i="5"/>
  <c r="AW4051" i="5"/>
  <c r="AY4053" i="5"/>
  <c r="AX4057" i="5"/>
  <c r="AW4057" i="5"/>
  <c r="AV4057" i="5"/>
  <c r="AY4059" i="5"/>
  <c r="AU4061" i="5"/>
  <c r="AV4064" i="5"/>
  <c r="AU4065" i="5"/>
  <c r="AX4071" i="5"/>
  <c r="AW4071" i="5"/>
  <c r="AU4071" i="5"/>
  <c r="AX4073" i="5"/>
  <c r="AW4073" i="5"/>
  <c r="AV4073" i="5"/>
  <c r="AX4077" i="5"/>
  <c r="AW4077" i="5"/>
  <c r="AV4077" i="5"/>
  <c r="AX4079" i="5"/>
  <c r="AY4093" i="5"/>
  <c r="AW4097" i="5"/>
  <c r="AV4099" i="5"/>
  <c r="AX4099" i="5"/>
  <c r="AW4099" i="5"/>
  <c r="AX4146" i="5"/>
  <c r="AY4146" i="5"/>
  <c r="AV4146" i="5"/>
  <c r="AU4146" i="5"/>
  <c r="AW4161" i="5"/>
  <c r="AX4161" i="5"/>
  <c r="AY4172" i="5"/>
  <c r="AX4190" i="5"/>
  <c r="AY4190" i="5"/>
  <c r="AW4190" i="5"/>
  <c r="AU4190" i="5"/>
  <c r="AY4114" i="5"/>
  <c r="AW4125" i="5"/>
  <c r="AW4133" i="5"/>
  <c r="AW4137" i="5"/>
  <c r="AY4141" i="5"/>
  <c r="AW4145" i="5"/>
  <c r="AY4149" i="5"/>
  <c r="AY4154" i="5"/>
  <c r="AY4157" i="5"/>
  <c r="AW4184" i="5"/>
  <c r="AX4208" i="5"/>
  <c r="AW4208" i="5"/>
  <c r="AV4208" i="5"/>
  <c r="AU4208" i="5"/>
  <c r="AX4210" i="5"/>
  <c r="AY4210" i="5"/>
  <c r="AW4210" i="5"/>
  <c r="AU4210" i="5"/>
  <c r="AX4216" i="5"/>
  <c r="AW4216" i="5"/>
  <c r="AV4216" i="5"/>
  <c r="AU4216" i="5"/>
  <c r="AX4218" i="5"/>
  <c r="AY4218" i="5"/>
  <c r="AW4218" i="5"/>
  <c r="AU4218" i="5"/>
  <c r="AX4240" i="5"/>
  <c r="AW4240" i="5"/>
  <c r="AV4240" i="5"/>
  <c r="AU4240" i="5"/>
  <c r="AX4242" i="5"/>
  <c r="AY4242" i="5"/>
  <c r="AW4242" i="5"/>
  <c r="AU4242" i="5"/>
  <c r="AV4257" i="5"/>
  <c r="AX4257" i="5"/>
  <c r="AU4257" i="5"/>
  <c r="AW4280" i="5"/>
  <c r="AX4280" i="5"/>
  <c r="AV4280" i="5"/>
  <c r="AU4280" i="5"/>
  <c r="AX4299" i="5"/>
  <c r="AW4299" i="5"/>
  <c r="AV4299" i="5"/>
  <c r="AU4299" i="5"/>
  <c r="AX4332" i="5"/>
  <c r="AY4332" i="5"/>
  <c r="AV4332" i="5"/>
  <c r="AU4332" i="5"/>
  <c r="AY4385" i="5"/>
  <c r="AV4385" i="5"/>
  <c r="AW4523" i="5"/>
  <c r="AX4523" i="5"/>
  <c r="AV4523" i="5"/>
  <c r="AU4523" i="5"/>
  <c r="AX4525" i="5"/>
  <c r="AW4525" i="5"/>
  <c r="AV4549" i="5"/>
  <c r="AW4549" i="5"/>
  <c r="AV4557" i="5"/>
  <c r="AW4557" i="5"/>
  <c r="AY4562" i="5"/>
  <c r="AW4562" i="5"/>
  <c r="AV4562" i="5"/>
  <c r="AY3847" i="5"/>
  <c r="AY3851" i="5"/>
  <c r="AY3853" i="5"/>
  <c r="AY3855" i="5"/>
  <c r="AY3859" i="5"/>
  <c r="AY3863" i="5"/>
  <c r="AY3867" i="5"/>
  <c r="AY3871" i="5"/>
  <c r="AY3875" i="5"/>
  <c r="AY3879" i="5"/>
  <c r="AY3883" i="5"/>
  <c r="AY3887" i="5"/>
  <c r="AY3891" i="5"/>
  <c r="AY3895" i="5"/>
  <c r="AY3899" i="5"/>
  <c r="AY3909" i="5"/>
  <c r="AW3911" i="5"/>
  <c r="AW3919" i="5"/>
  <c r="AY3923" i="5"/>
  <c r="AW3927" i="5"/>
  <c r="AY3931" i="5"/>
  <c r="AY3939" i="5"/>
  <c r="AY3941" i="5"/>
  <c r="AY3949" i="5"/>
  <c r="AY3971" i="5"/>
  <c r="AW3975" i="5"/>
  <c r="AY3979" i="5"/>
  <c r="AY3991" i="5"/>
  <c r="AY4005" i="5"/>
  <c r="AY4009" i="5"/>
  <c r="AW4015" i="5"/>
  <c r="AY4037" i="5"/>
  <c r="AY4085" i="5"/>
  <c r="AY4105" i="5"/>
  <c r="AU4110" i="5"/>
  <c r="AY4117" i="5"/>
  <c r="AU4118" i="5"/>
  <c r="AU4122" i="5"/>
  <c r="AY4125" i="5"/>
  <c r="AY4133" i="5"/>
  <c r="AY4137" i="5"/>
  <c r="AY4145" i="5"/>
  <c r="AY4184" i="5"/>
  <c r="AX4224" i="5"/>
  <c r="AW4224" i="5"/>
  <c r="AV4224" i="5"/>
  <c r="AU4224" i="5"/>
  <c r="AX4248" i="5"/>
  <c r="AW4248" i="5"/>
  <c r="AV4248" i="5"/>
  <c r="AU4248" i="5"/>
  <c r="AY4299" i="5"/>
  <c r="AX4361" i="5"/>
  <c r="AV4361" i="5"/>
  <c r="AX4474" i="5"/>
  <c r="AW4474" i="5"/>
  <c r="AV4485" i="5"/>
  <c r="AW4485" i="5"/>
  <c r="AV4497" i="5"/>
  <c r="AW4497" i="5"/>
  <c r="AY4510" i="5"/>
  <c r="AW4510" i="5"/>
  <c r="AV4510" i="5"/>
  <c r="AV3846" i="5"/>
  <c r="AU3847" i="5"/>
  <c r="AV3850" i="5"/>
  <c r="AU3851" i="5"/>
  <c r="AU3855" i="5"/>
  <c r="AU3857" i="5"/>
  <c r="AV3858" i="5"/>
  <c r="AU3859" i="5"/>
  <c r="AV3862" i="5"/>
  <c r="AU3863" i="5"/>
  <c r="AU3867" i="5"/>
  <c r="AU3869" i="5"/>
  <c r="AV3870" i="5"/>
  <c r="AU3871" i="5"/>
  <c r="AV3874" i="5"/>
  <c r="AU3875" i="5"/>
  <c r="AU3879" i="5"/>
  <c r="AU3881" i="5"/>
  <c r="AV3882" i="5"/>
  <c r="AU3883" i="5"/>
  <c r="AV3886" i="5"/>
  <c r="AU3887" i="5"/>
  <c r="AU3891" i="5"/>
  <c r="AU3893" i="5"/>
  <c r="AV3894" i="5"/>
  <c r="AU3895" i="5"/>
  <c r="AV3898" i="5"/>
  <c r="AU3899" i="5"/>
  <c r="AU3901" i="5"/>
  <c r="AY3911" i="5"/>
  <c r="AV3912" i="5"/>
  <c r="AY3919" i="5"/>
  <c r="AY3927" i="5"/>
  <c r="AU3953" i="5"/>
  <c r="AY3959" i="5"/>
  <c r="AV3960" i="5"/>
  <c r="AU3961" i="5"/>
  <c r="AV3964" i="5"/>
  <c r="AY3967" i="5"/>
  <c r="AV3968" i="5"/>
  <c r="AU3969" i="5"/>
  <c r="AY3975" i="5"/>
  <c r="AU3979" i="5"/>
  <c r="AU3987" i="5"/>
  <c r="AV3990" i="5"/>
  <c r="AY4015" i="5"/>
  <c r="AU4039" i="5"/>
  <c r="AU4085" i="5"/>
  <c r="AV4088" i="5"/>
  <c r="AY4101" i="5"/>
  <c r="AU4102" i="5"/>
  <c r="AU4105" i="5"/>
  <c r="AY4109" i="5"/>
  <c r="AV4110" i="5"/>
  <c r="AY4113" i="5"/>
  <c r="AU4114" i="5"/>
  <c r="AU4117" i="5"/>
  <c r="AV4118" i="5"/>
  <c r="AY4121" i="5"/>
  <c r="AV4122" i="5"/>
  <c r="AU4125" i="5"/>
  <c r="AV4126" i="5"/>
  <c r="AU4133" i="5"/>
  <c r="AU4137" i="5"/>
  <c r="AV4138" i="5"/>
  <c r="AV4141" i="5"/>
  <c r="AU4145" i="5"/>
  <c r="AW4148" i="5"/>
  <c r="AV4149" i="5"/>
  <c r="AY4153" i="5"/>
  <c r="AU4154" i="5"/>
  <c r="AW4156" i="5"/>
  <c r="AV4157" i="5"/>
  <c r="AY4164" i="5"/>
  <c r="AY4168" i="5"/>
  <c r="AW4174" i="5"/>
  <c r="AW4178" i="5"/>
  <c r="AW4182" i="5"/>
  <c r="AU4184" i="5"/>
  <c r="AY4188" i="5"/>
  <c r="AY4192" i="5"/>
  <c r="AY4196" i="5"/>
  <c r="AW4202" i="5"/>
  <c r="AY4224" i="5"/>
  <c r="AY4229" i="5"/>
  <c r="AV4229" i="5"/>
  <c r="AY4248" i="5"/>
  <c r="AX4252" i="5"/>
  <c r="AW4252" i="5"/>
  <c r="AV4252" i="5"/>
  <c r="AU4252" i="5"/>
  <c r="AW4256" i="5"/>
  <c r="AX4256" i="5"/>
  <c r="AU4256" i="5"/>
  <c r="AX4258" i="5"/>
  <c r="AW4258" i="5"/>
  <c r="AX4294" i="5"/>
  <c r="AW4294" i="5"/>
  <c r="AV4294" i="5"/>
  <c r="AX4304" i="5"/>
  <c r="AY4304" i="5"/>
  <c r="AV4304" i="5"/>
  <c r="AU4304" i="5"/>
  <c r="AX4316" i="5"/>
  <c r="AY4316" i="5"/>
  <c r="AV4316" i="5"/>
  <c r="AU4316" i="5"/>
  <c r="AX4339" i="5"/>
  <c r="AW4339" i="5"/>
  <c r="AV4339" i="5"/>
  <c r="AU4339" i="5"/>
  <c r="AY4373" i="5"/>
  <c r="AV4373" i="5"/>
  <c r="AX4376" i="5"/>
  <c r="AW4376" i="5"/>
  <c r="AY4376" i="5"/>
  <c r="AV4376" i="5"/>
  <c r="AU4376" i="5"/>
  <c r="AX4416" i="5"/>
  <c r="AW4416" i="5"/>
  <c r="AV4416" i="5"/>
  <c r="AU4416" i="5"/>
  <c r="AY4416" i="5"/>
  <c r="AY4204" i="5"/>
  <c r="AW4212" i="5"/>
  <c r="AY4232" i="5"/>
  <c r="AY4267" i="5"/>
  <c r="AY4291" i="5"/>
  <c r="AY4295" i="5"/>
  <c r="AY4311" i="5"/>
  <c r="AY4319" i="5"/>
  <c r="AY4327" i="5"/>
  <c r="AY4331" i="5"/>
  <c r="AY4348" i="5"/>
  <c r="AY4352" i="5"/>
  <c r="AY4360" i="5"/>
  <c r="AY4372" i="5"/>
  <c r="AY4377" i="5"/>
  <c r="AV4377" i="5"/>
  <c r="AX4404" i="5"/>
  <c r="AW4404" i="5"/>
  <c r="AV4404" i="5"/>
  <c r="AU4404" i="5"/>
  <c r="AX4412" i="5"/>
  <c r="AW4412" i="5"/>
  <c r="AV4412" i="5"/>
  <c r="AU4412" i="5"/>
  <c r="AW4425" i="5"/>
  <c r="AX4425" i="5"/>
  <c r="AU4425" i="5"/>
  <c r="AX4427" i="5"/>
  <c r="AW4427" i="5"/>
  <c r="AY4435" i="5"/>
  <c r="AW4435" i="5"/>
  <c r="AV4435" i="5"/>
  <c r="AX4450" i="5"/>
  <c r="AW4450" i="5"/>
  <c r="AY4467" i="5"/>
  <c r="AW4467" i="5"/>
  <c r="AV4467" i="5"/>
  <c r="AY4534" i="5"/>
  <c r="AW4534" i="5"/>
  <c r="AV4534" i="5"/>
  <c r="AY4546" i="5"/>
  <c r="AW4546" i="5"/>
  <c r="AV4546" i="5"/>
  <c r="AU4206" i="5"/>
  <c r="AY4212" i="5"/>
  <c r="AY4214" i="5"/>
  <c r="AW4220" i="5"/>
  <c r="AV4221" i="5"/>
  <c r="AY4222" i="5"/>
  <c r="AU4226" i="5"/>
  <c r="AY4228" i="5"/>
  <c r="AU4232" i="5"/>
  <c r="AU4234" i="5"/>
  <c r="AY4236" i="5"/>
  <c r="AY4238" i="5"/>
  <c r="AW4244" i="5"/>
  <c r="AV4245" i="5"/>
  <c r="AY4246" i="5"/>
  <c r="AY4255" i="5"/>
  <c r="AY4259" i="5"/>
  <c r="AU4260" i="5"/>
  <c r="AU4267" i="5"/>
  <c r="AY4271" i="5"/>
  <c r="AV4272" i="5"/>
  <c r="AW4273" i="5"/>
  <c r="AY4279" i="5"/>
  <c r="AU4281" i="5"/>
  <c r="AW4283" i="5"/>
  <c r="AY4287" i="5"/>
  <c r="AU4288" i="5"/>
  <c r="AX4289" i="5"/>
  <c r="AU4291" i="5"/>
  <c r="AU4295" i="5"/>
  <c r="AY4300" i="5"/>
  <c r="AY4303" i="5"/>
  <c r="AY4307" i="5"/>
  <c r="AU4308" i="5"/>
  <c r="AU4311" i="5"/>
  <c r="AY4315" i="5"/>
  <c r="AU4319" i="5"/>
  <c r="AU4327" i="5"/>
  <c r="AU4331" i="5"/>
  <c r="AW4342" i="5"/>
  <c r="AY4344" i="5"/>
  <c r="AU4348" i="5"/>
  <c r="AU4352" i="5"/>
  <c r="AU4360" i="5"/>
  <c r="AU4362" i="5"/>
  <c r="AW4364" i="5"/>
  <c r="AY4366" i="5"/>
  <c r="AY4368" i="5"/>
  <c r="AV4369" i="5"/>
  <c r="AU4370" i="5"/>
  <c r="AU4372" i="5"/>
  <c r="AX4392" i="5"/>
  <c r="AW4392" i="5"/>
  <c r="AV4392" i="5"/>
  <c r="AU4392" i="5"/>
  <c r="AY4404" i="5"/>
  <c r="AY4412" i="5"/>
  <c r="AY4443" i="5"/>
  <c r="AW4443" i="5"/>
  <c r="AV4443" i="5"/>
  <c r="AX4511" i="5"/>
  <c r="AY4511" i="5"/>
  <c r="AV4511" i="5"/>
  <c r="AU4511" i="5"/>
  <c r="AX4519" i="5"/>
  <c r="AW4519" i="5"/>
  <c r="AV4519" i="5"/>
  <c r="AU4519" i="5"/>
  <c r="AY4522" i="5"/>
  <c r="AW4522" i="5"/>
  <c r="AV4522" i="5"/>
  <c r="AY4526" i="5"/>
  <c r="AW4526" i="5"/>
  <c r="AV4526" i="5"/>
  <c r="AY4530" i="5"/>
  <c r="AW4530" i="5"/>
  <c r="AV4530" i="5"/>
  <c r="AV4204" i="5"/>
  <c r="AW4206" i="5"/>
  <c r="AV4209" i="5"/>
  <c r="AU4212" i="5"/>
  <c r="AV4217" i="5"/>
  <c r="AY4220" i="5"/>
  <c r="AW4226" i="5"/>
  <c r="AU4228" i="5"/>
  <c r="AU4230" i="5"/>
  <c r="AV4232" i="5"/>
  <c r="AW4234" i="5"/>
  <c r="AU4236" i="5"/>
  <c r="AV4241" i="5"/>
  <c r="AY4244" i="5"/>
  <c r="AU4259" i="5"/>
  <c r="AV4260" i="5"/>
  <c r="AY4263" i="5"/>
  <c r="AU4264" i="5"/>
  <c r="AW4266" i="5"/>
  <c r="AV4267" i="5"/>
  <c r="AY4275" i="5"/>
  <c r="AV4278" i="5"/>
  <c r="AU4279" i="5"/>
  <c r="AW4281" i="5"/>
  <c r="AY4283" i="5"/>
  <c r="AV4288" i="5"/>
  <c r="AV4291" i="5"/>
  <c r="AV4295" i="5"/>
  <c r="AU4307" i="5"/>
  <c r="AV4308" i="5"/>
  <c r="AV4311" i="5"/>
  <c r="AU4315" i="5"/>
  <c r="AW4318" i="5"/>
  <c r="AV4319" i="5"/>
  <c r="AY4323" i="5"/>
  <c r="AU4324" i="5"/>
  <c r="AW4326" i="5"/>
  <c r="AV4327" i="5"/>
  <c r="AW4330" i="5"/>
  <c r="AV4331" i="5"/>
  <c r="AW4334" i="5"/>
  <c r="AW4338" i="5"/>
  <c r="AU4340" i="5"/>
  <c r="AU4344" i="5"/>
  <c r="AV4348" i="5"/>
  <c r="AU4350" i="5"/>
  <c r="AV4352" i="5"/>
  <c r="AV4360" i="5"/>
  <c r="AW4362" i="5"/>
  <c r="AY4364" i="5"/>
  <c r="AW4370" i="5"/>
  <c r="AV4372" i="5"/>
  <c r="AX4374" i="5"/>
  <c r="AU4374" i="5"/>
  <c r="AX4378" i="5"/>
  <c r="AW4378" i="5"/>
  <c r="AX4386" i="5"/>
  <c r="AU4386" i="5"/>
  <c r="AY4386" i="5"/>
  <c r="AX4388" i="5"/>
  <c r="AW4388" i="5"/>
  <c r="AU4388" i="5"/>
  <c r="AY4389" i="5"/>
  <c r="AV4389" i="5"/>
  <c r="AX4400" i="5"/>
  <c r="AW4400" i="5"/>
  <c r="AV4400" i="5"/>
  <c r="AU4400" i="5"/>
  <c r="AV4426" i="5"/>
  <c r="AX4426" i="5"/>
  <c r="AU4426" i="5"/>
  <c r="AW4431" i="5"/>
  <c r="AV4431" i="5"/>
  <c r="AX4436" i="5"/>
  <c r="AW4436" i="5"/>
  <c r="AV4436" i="5"/>
  <c r="AU4436" i="5"/>
  <c r="AX4453" i="5"/>
  <c r="AY4453" i="5"/>
  <c r="AU4453" i="5"/>
  <c r="AY4459" i="5"/>
  <c r="AW4459" i="5"/>
  <c r="AV4459" i="5"/>
  <c r="AX4479" i="5"/>
  <c r="AY4479" i="5"/>
  <c r="AV4479" i="5"/>
  <c r="AU4479" i="5"/>
  <c r="AY4482" i="5"/>
  <c r="AW4482" i="5"/>
  <c r="AV4482" i="5"/>
  <c r="AY4519" i="5"/>
  <c r="AX4535" i="5"/>
  <c r="AY4535" i="5"/>
  <c r="AV4535" i="5"/>
  <c r="AU4535" i="5"/>
  <c r="AX4539" i="5"/>
  <c r="AW4539" i="5"/>
  <c r="AV4539" i="5"/>
  <c r="AU4539" i="5"/>
  <c r="AX4547" i="5"/>
  <c r="AW4547" i="5"/>
  <c r="AV4547" i="5"/>
  <c r="AU4547" i="5"/>
  <c r="AX4555" i="5"/>
  <c r="AY4555" i="5"/>
  <c r="AV4555" i="5"/>
  <c r="AU4555" i="5"/>
  <c r="AY4398" i="5"/>
  <c r="AW4406" i="5"/>
  <c r="AY4410" i="5"/>
  <c r="AW4418" i="5"/>
  <c r="AX4423" i="5"/>
  <c r="AV4424" i="5"/>
  <c r="AV4428" i="5"/>
  <c r="AY4440" i="5"/>
  <c r="AY4448" i="5"/>
  <c r="AY4464" i="5"/>
  <c r="AY4472" i="5"/>
  <c r="AW4475" i="5"/>
  <c r="AX4476" i="5"/>
  <c r="AW4478" i="5"/>
  <c r="AV4486" i="5"/>
  <c r="AV4490" i="5"/>
  <c r="AY4491" i="5"/>
  <c r="AW4494" i="5"/>
  <c r="AV4498" i="5"/>
  <c r="AV4502" i="5"/>
  <c r="AY4503" i="5"/>
  <c r="AW4515" i="5"/>
  <c r="AW4518" i="5"/>
  <c r="AV4551" i="5"/>
  <c r="AY4563" i="5"/>
  <c r="AW4424" i="5"/>
  <c r="AW4428" i="5"/>
  <c r="AU4437" i="5"/>
  <c r="AV4439" i="5"/>
  <c r="AU4440" i="5"/>
  <c r="AY4494" i="5"/>
  <c r="AW4498" i="5"/>
  <c r="AW4502" i="5"/>
  <c r="AY4506" i="5"/>
  <c r="AU4507" i="5"/>
  <c r="AW4509" i="5"/>
  <c r="AV4514" i="5"/>
  <c r="AY4515" i="5"/>
  <c r="AW4521" i="5"/>
  <c r="AU4527" i="5"/>
  <c r="AU4531" i="5"/>
  <c r="AW4533" i="5"/>
  <c r="AV4542" i="5"/>
  <c r="AY4551" i="5"/>
  <c r="AU4563" i="5"/>
  <c r="AU4571" i="5"/>
  <c r="AW4573" i="5"/>
  <c r="AY4384" i="5"/>
  <c r="AW4390" i="5"/>
  <c r="AY4396" i="5"/>
  <c r="AV4397" i="5"/>
  <c r="AU4398" i="5"/>
  <c r="AV4401" i="5"/>
  <c r="AW4402" i="5"/>
  <c r="AY4408" i="5"/>
  <c r="AV4409" i="5"/>
  <c r="AU4410" i="5"/>
  <c r="AV4413" i="5"/>
  <c r="AV4421" i="5"/>
  <c r="AW4422" i="5"/>
  <c r="AY4424" i="5"/>
  <c r="AY4428" i="5"/>
  <c r="AW4438" i="5"/>
  <c r="AW4439" i="5"/>
  <c r="AV4440" i="5"/>
  <c r="AU4441" i="5"/>
  <c r="AV4447" i="5"/>
  <c r="AV4448" i="5"/>
  <c r="AY4452" i="5"/>
  <c r="AV4455" i="5"/>
  <c r="AY4460" i="5"/>
  <c r="AW4462" i="5"/>
  <c r="AW4463" i="5"/>
  <c r="AV4464" i="5"/>
  <c r="AU4465" i="5"/>
  <c r="AV4471" i="5"/>
  <c r="AU4476" i="5"/>
  <c r="AV4483" i="5"/>
  <c r="AY4486" i="5"/>
  <c r="AV4487" i="5"/>
  <c r="AY4490" i="5"/>
  <c r="AU4491" i="5"/>
  <c r="AW4493" i="5"/>
  <c r="AU4494" i="5"/>
  <c r="AY4498" i="5"/>
  <c r="AY4502" i="5"/>
  <c r="AV4527" i="5"/>
  <c r="AV4531" i="5"/>
  <c r="AW4542" i="5"/>
  <c r="AU4543" i="5"/>
  <c r="AV4550" i="5"/>
  <c r="AV4558" i="5"/>
  <c r="AU4559" i="5"/>
  <c r="AW4561" i="5"/>
  <c r="AV4563" i="5"/>
  <c r="AV4566" i="5"/>
  <c r="AU4567" i="5"/>
  <c r="AW4571" i="5"/>
  <c r="AX301" i="5"/>
  <c r="AX305" i="5"/>
  <c r="AX309" i="5"/>
  <c r="AX313" i="5"/>
  <c r="AX317" i="5"/>
  <c r="AX321" i="5"/>
  <c r="AX329" i="5"/>
  <c r="AX337" i="5"/>
  <c r="AX341" i="5"/>
  <c r="AX345" i="5"/>
  <c r="AX349" i="5"/>
  <c r="AX357" i="5"/>
  <c r="AX365" i="5"/>
  <c r="AX369" i="5"/>
  <c r="AX373" i="5"/>
  <c r="AX377" i="5"/>
  <c r="AX381" i="5"/>
  <c r="AX385" i="5"/>
  <c r="AX393" i="5"/>
  <c r="AX401" i="5"/>
  <c r="AX405" i="5"/>
  <c r="AX409" i="5"/>
  <c r="AX413" i="5"/>
  <c r="AX417" i="5"/>
  <c r="AX421" i="5"/>
  <c r="AX425" i="5"/>
  <c r="AX429" i="5"/>
  <c r="AX437" i="5"/>
  <c r="AX441" i="5"/>
  <c r="AX449" i="5"/>
  <c r="AX453" i="5"/>
  <c r="AX457" i="5"/>
  <c r="AX461" i="5"/>
  <c r="AX465" i="5"/>
  <c r="AX473" i="5"/>
  <c r="AX477" i="5"/>
  <c r="AX485" i="5"/>
  <c r="AX489" i="5"/>
  <c r="AX493" i="5"/>
  <c r="AX497" i="5"/>
  <c r="AX509" i="5"/>
  <c r="AX513" i="5"/>
  <c r="AX517" i="5"/>
  <c r="AX521" i="5"/>
  <c r="AX525" i="5"/>
  <c r="AX529" i="5"/>
  <c r="AX533" i="5"/>
  <c r="AX545" i="5"/>
  <c r="AX549" i="5"/>
  <c r="AX553" i="5"/>
  <c r="AX557" i="5"/>
  <c r="AX561" i="5"/>
  <c r="AX565" i="5"/>
  <c r="AX569" i="5"/>
  <c r="AX573" i="5"/>
  <c r="AX581" i="5"/>
  <c r="AX585" i="5"/>
  <c r="AX589" i="5"/>
  <c r="AX601" i="5"/>
  <c r="AX605" i="5"/>
  <c r="AX617" i="5"/>
  <c r="AX625" i="5"/>
  <c r="AX629" i="5"/>
  <c r="AX637" i="5"/>
  <c r="AX641" i="5"/>
  <c r="AX653" i="5"/>
  <c r="AX661" i="5"/>
  <c r="AX665" i="5"/>
  <c r="AX673" i="5"/>
  <c r="AX677" i="5"/>
  <c r="AX681" i="5"/>
  <c r="AX689" i="5"/>
  <c r="AX693" i="5"/>
  <c r="AX697" i="5"/>
  <c r="AX701" i="5"/>
  <c r="AX709" i="5"/>
  <c r="AX713" i="5"/>
  <c r="AX717" i="5"/>
  <c r="AX725" i="5"/>
  <c r="AX729" i="5"/>
  <c r="AX733" i="5"/>
  <c r="AX737" i="5"/>
  <c r="AX745" i="5"/>
  <c r="AX749" i="5"/>
  <c r="AX753" i="5"/>
  <c r="AX761" i="5"/>
  <c r="AX765" i="5"/>
  <c r="AX769" i="5"/>
  <c r="AX773" i="5"/>
  <c r="AX777" i="5"/>
  <c r="AX781" i="5"/>
  <c r="AX785" i="5"/>
  <c r="AX789" i="5"/>
  <c r="AX801" i="5"/>
  <c r="AX805" i="5"/>
  <c r="AX809" i="5"/>
  <c r="AX813" i="5"/>
  <c r="AX817" i="5"/>
  <c r="AX821" i="5"/>
  <c r="AX825" i="5"/>
  <c r="AY836" i="5"/>
  <c r="AY837" i="5"/>
  <c r="AY850" i="5"/>
  <c r="AU850" i="5"/>
  <c r="AY860" i="5"/>
  <c r="AY861" i="5"/>
  <c r="AY866" i="5"/>
  <c r="AU866" i="5"/>
  <c r="AY876" i="5"/>
  <c r="AY877" i="5"/>
  <c r="AY882" i="5"/>
  <c r="AU882" i="5"/>
  <c r="AW897" i="5"/>
  <c r="AV897" i="5"/>
  <c r="AW925" i="5"/>
  <c r="AV925" i="5"/>
  <c r="AW929" i="5"/>
  <c r="AV929" i="5"/>
  <c r="AV938" i="5"/>
  <c r="AY938" i="5"/>
  <c r="AU938" i="5"/>
  <c r="AW953" i="5"/>
  <c r="AV953" i="5"/>
  <c r="AW961" i="5"/>
  <c r="AV961" i="5"/>
  <c r="AV970" i="5"/>
  <c r="AY970" i="5"/>
  <c r="AU970" i="5"/>
  <c r="AV978" i="5"/>
  <c r="AY978" i="5"/>
  <c r="AU978" i="5"/>
  <c r="AV986" i="5"/>
  <c r="AY986" i="5"/>
  <c r="AU986" i="5"/>
  <c r="AW993" i="5"/>
  <c r="AV993" i="5"/>
  <c r="AW1025" i="5"/>
  <c r="AV1025" i="5"/>
  <c r="AW1029" i="5"/>
  <c r="AV1029" i="5"/>
  <c r="AV1050" i="5"/>
  <c r="AY1050" i="5"/>
  <c r="AU1050" i="5"/>
  <c r="AW1073" i="5"/>
  <c r="AV1073" i="5"/>
  <c r="AW1089" i="5"/>
  <c r="AV1089" i="5"/>
  <c r="AV1094" i="5"/>
  <c r="AY1094" i="5"/>
  <c r="AU1094" i="5"/>
  <c r="AV1098" i="5"/>
  <c r="AY1098" i="5"/>
  <c r="AU1098" i="5"/>
  <c r="AW1193" i="5"/>
  <c r="AV1193" i="5"/>
  <c r="AW1197" i="5"/>
  <c r="AV1197" i="5"/>
  <c r="AW1209" i="5"/>
  <c r="AV1209" i="5"/>
  <c r="AW1217" i="5"/>
  <c r="AV1217" i="5"/>
  <c r="AU1229" i="5"/>
  <c r="AV1238" i="5"/>
  <c r="AY1238" i="5"/>
  <c r="AU1238" i="5"/>
  <c r="AV1242" i="5"/>
  <c r="AY1242" i="5"/>
  <c r="AU1242" i="5"/>
  <c r="AW1246" i="5"/>
  <c r="AW1250" i="5"/>
  <c r="AW1257" i="5"/>
  <c r="AV1257" i="5"/>
  <c r="AW1265" i="5"/>
  <c r="AV1265" i="5"/>
  <c r="AW1273" i="5"/>
  <c r="AV1273" i="5"/>
  <c r="AV1290" i="5"/>
  <c r="AY1290" i="5"/>
  <c r="AU1290" i="5"/>
  <c r="AW1293" i="5"/>
  <c r="AV1293" i="5"/>
  <c r="AV1298" i="5"/>
  <c r="AY1298" i="5"/>
  <c r="AU1298" i="5"/>
  <c r="AW1310" i="5"/>
  <c r="AW1313" i="5"/>
  <c r="AV1313" i="5"/>
  <c r="AV1318" i="5"/>
  <c r="AY1318" i="5"/>
  <c r="AU1318" i="5"/>
  <c r="AW1321" i="5"/>
  <c r="AV1321" i="5"/>
  <c r="AW1330" i="5"/>
  <c r="AX1337" i="5"/>
  <c r="AW1357" i="5"/>
  <c r="AV1357" i="5"/>
  <c r="AY1357" i="5"/>
  <c r="AU1357" i="5"/>
  <c r="AW1393" i="5"/>
  <c r="AV1393" i="5"/>
  <c r="AY1393" i="5"/>
  <c r="AU1393" i="5"/>
  <c r="AW1413" i="5"/>
  <c r="AV1413" i="5"/>
  <c r="AY1413" i="5"/>
  <c r="AU1413" i="5"/>
  <c r="AW1445" i="5"/>
  <c r="AV1445" i="5"/>
  <c r="AY1445" i="5"/>
  <c r="AU1445" i="5"/>
  <c r="AW1449" i="5"/>
  <c r="AV1449" i="5"/>
  <c r="AY1449" i="5"/>
  <c r="AU1449" i="5"/>
  <c r="AW1457" i="5"/>
  <c r="AV1457" i="5"/>
  <c r="AY1457" i="5"/>
  <c r="AU1457" i="5"/>
  <c r="AW1461" i="5"/>
  <c r="AV1461" i="5"/>
  <c r="AY1461" i="5"/>
  <c r="AU1461" i="5"/>
  <c r="AW1545" i="5"/>
  <c r="AV1545" i="5"/>
  <c r="AY1545" i="5"/>
  <c r="AU1545" i="5"/>
  <c r="AW1561" i="5"/>
  <c r="AV1561" i="5"/>
  <c r="AY1561" i="5"/>
  <c r="AU1561" i="5"/>
  <c r="AW1581" i="5"/>
  <c r="AV1581" i="5"/>
  <c r="AY1581" i="5"/>
  <c r="AU1581" i="5"/>
  <c r="AW1589" i="5"/>
  <c r="AV1589" i="5"/>
  <c r="AY1589" i="5"/>
  <c r="AU1589" i="5"/>
  <c r="AV1610" i="5"/>
  <c r="AY1610" i="5"/>
  <c r="AU1610" i="5"/>
  <c r="AX1610" i="5"/>
  <c r="AW1610" i="5"/>
  <c r="AW1710" i="5"/>
  <c r="AV1710" i="5"/>
  <c r="AY1710" i="5"/>
  <c r="AU1710" i="5"/>
  <c r="AX1710" i="5"/>
  <c r="AV1787" i="5"/>
  <c r="AX1787" i="5"/>
  <c r="AW1787" i="5"/>
  <c r="AU1787" i="5"/>
  <c r="AY1787" i="5"/>
  <c r="AW1890" i="5"/>
  <c r="AX1890" i="5"/>
  <c r="AV1890" i="5"/>
  <c r="AU1890" i="5"/>
  <c r="AY1890" i="5"/>
  <c r="AW2202" i="5"/>
  <c r="AY2202" i="5"/>
  <c r="AU2202" i="5"/>
  <c r="AX2202" i="5"/>
  <c r="AV2202" i="5"/>
  <c r="AV2292" i="5"/>
  <c r="AY2292" i="5"/>
  <c r="AU2292" i="5"/>
  <c r="AW2292" i="5"/>
  <c r="AX2292" i="5"/>
  <c r="AY2432" i="5"/>
  <c r="AU2432" i="5"/>
  <c r="AW2432" i="5"/>
  <c r="AV2432" i="5"/>
  <c r="AX2432" i="5"/>
  <c r="AY301" i="5"/>
  <c r="AY305" i="5"/>
  <c r="AU309" i="5"/>
  <c r="AY309" i="5"/>
  <c r="AX310" i="5"/>
  <c r="AU313" i="5"/>
  <c r="AY313" i="5"/>
  <c r="AX314" i="5"/>
  <c r="AU317" i="5"/>
  <c r="AY317" i="5"/>
  <c r="AX318" i="5"/>
  <c r="AU321" i="5"/>
  <c r="AY321" i="5"/>
  <c r="AX322" i="5"/>
  <c r="AX326" i="5"/>
  <c r="AU329" i="5"/>
  <c r="AY329" i="5"/>
  <c r="AX330" i="5"/>
  <c r="AU337" i="5"/>
  <c r="AY337" i="5"/>
  <c r="AX338" i="5"/>
  <c r="AU341" i="5"/>
  <c r="AY341" i="5"/>
  <c r="AU345" i="5"/>
  <c r="AY345" i="5"/>
  <c r="AX346" i="5"/>
  <c r="AU349" i="5"/>
  <c r="AY349" i="5"/>
  <c r="AX350" i="5"/>
  <c r="AX354" i="5"/>
  <c r="AU357" i="5"/>
  <c r="AY357" i="5"/>
  <c r="AX358" i="5"/>
  <c r="AU365" i="5"/>
  <c r="AY365" i="5"/>
  <c r="AX366" i="5"/>
  <c r="AU369" i="5"/>
  <c r="AY369" i="5"/>
  <c r="AU373" i="5"/>
  <c r="AY373" i="5"/>
  <c r="AX374" i="5"/>
  <c r="AU377" i="5"/>
  <c r="AY377" i="5"/>
  <c r="AX378" i="5"/>
  <c r="AU381" i="5"/>
  <c r="AY381" i="5"/>
  <c r="AX382" i="5"/>
  <c r="AU385" i="5"/>
  <c r="AY385" i="5"/>
  <c r="AX386" i="5"/>
  <c r="AX390" i="5"/>
  <c r="AU393" i="5"/>
  <c r="AY393" i="5"/>
  <c r="AX394" i="5"/>
  <c r="AU401" i="5"/>
  <c r="AY401" i="5"/>
  <c r="AX402" i="5"/>
  <c r="AU405" i="5"/>
  <c r="AY405" i="5"/>
  <c r="AU409" i="5"/>
  <c r="AY409" i="5"/>
  <c r="AX410" i="5"/>
  <c r="AU413" i="5"/>
  <c r="AY413" i="5"/>
  <c r="AU417" i="5"/>
  <c r="AY417" i="5"/>
  <c r="AU421" i="5"/>
  <c r="AY421" i="5"/>
  <c r="AX422" i="5"/>
  <c r="AU425" i="5"/>
  <c r="AY425" i="5"/>
  <c r="AX426" i="5"/>
  <c r="AU429" i="5"/>
  <c r="AY429" i="5"/>
  <c r="AX430" i="5"/>
  <c r="AX434" i="5"/>
  <c r="AU437" i="5"/>
  <c r="AY437" i="5"/>
  <c r="AX438" i="5"/>
  <c r="AU441" i="5"/>
  <c r="AY441" i="5"/>
  <c r="AX446" i="5"/>
  <c r="AU449" i="5"/>
  <c r="AY449" i="5"/>
  <c r="AX450" i="5"/>
  <c r="AU453" i="5"/>
  <c r="AY453" i="5"/>
  <c r="AU457" i="5"/>
  <c r="AY457" i="5"/>
  <c r="AX458" i="5"/>
  <c r="AU461" i="5"/>
  <c r="AY461" i="5"/>
  <c r="AX462" i="5"/>
  <c r="AU465" i="5"/>
  <c r="AY465" i="5"/>
  <c r="AX466" i="5"/>
  <c r="AX470" i="5"/>
  <c r="AU473" i="5"/>
  <c r="AY473" i="5"/>
  <c r="AX474" i="5"/>
  <c r="AU477" i="5"/>
  <c r="AY477" i="5"/>
  <c r="AX482" i="5"/>
  <c r="AU485" i="5"/>
  <c r="AY485" i="5"/>
  <c r="AX486" i="5"/>
  <c r="AU489" i="5"/>
  <c r="AY489" i="5"/>
  <c r="AX490" i="5"/>
  <c r="AU493" i="5"/>
  <c r="AY493" i="5"/>
  <c r="AX494" i="5"/>
  <c r="AU497" i="5"/>
  <c r="AY497" i="5"/>
  <c r="AX498" i="5"/>
  <c r="AX502" i="5"/>
  <c r="AX506" i="5"/>
  <c r="AU509" i="5"/>
  <c r="AY509" i="5"/>
  <c r="AU513" i="5"/>
  <c r="AY513" i="5"/>
  <c r="AU517" i="5"/>
  <c r="AY517" i="5"/>
  <c r="AX518" i="5"/>
  <c r="AU521" i="5"/>
  <c r="AY521" i="5"/>
  <c r="AX522" i="5"/>
  <c r="AU525" i="5"/>
  <c r="AY525" i="5"/>
  <c r="AX526" i="5"/>
  <c r="AU529" i="5"/>
  <c r="AY529" i="5"/>
  <c r="AX530" i="5"/>
  <c r="AU533" i="5"/>
  <c r="AY533" i="5"/>
  <c r="AX534" i="5"/>
  <c r="AX538" i="5"/>
  <c r="AX542" i="5"/>
  <c r="AU545" i="5"/>
  <c r="AY545" i="5"/>
  <c r="AU549" i="5"/>
  <c r="AY549" i="5"/>
  <c r="AU553" i="5"/>
  <c r="AY553" i="5"/>
  <c r="AX554" i="5"/>
  <c r="AU557" i="5"/>
  <c r="AY557" i="5"/>
  <c r="AX558" i="5"/>
  <c r="AU561" i="5"/>
  <c r="AY561" i="5"/>
  <c r="AX562" i="5"/>
  <c r="AU565" i="5"/>
  <c r="AY565" i="5"/>
  <c r="AU569" i="5"/>
  <c r="AY569" i="5"/>
  <c r="AX570" i="5"/>
  <c r="AU573" i="5"/>
  <c r="AY573" i="5"/>
  <c r="AX574" i="5"/>
  <c r="AX578" i="5"/>
  <c r="AU581" i="5"/>
  <c r="AY581" i="5"/>
  <c r="AX582" i="5"/>
  <c r="AU585" i="5"/>
  <c r="AY585" i="5"/>
  <c r="AU589" i="5"/>
  <c r="AY589" i="5"/>
  <c r="AX590" i="5"/>
  <c r="AX594" i="5"/>
  <c r="AX598" i="5"/>
  <c r="AU601" i="5"/>
  <c r="AY601" i="5"/>
  <c r="AU605" i="5"/>
  <c r="AY605" i="5"/>
  <c r="AX606" i="5"/>
  <c r="AX610" i="5"/>
  <c r="AX614" i="5"/>
  <c r="AU617" i="5"/>
  <c r="AY617" i="5"/>
  <c r="AX618" i="5"/>
  <c r="AU625" i="5"/>
  <c r="AY625" i="5"/>
  <c r="AX626" i="5"/>
  <c r="AU629" i="5"/>
  <c r="AY629" i="5"/>
  <c r="AX630" i="5"/>
  <c r="AX634" i="5"/>
  <c r="AU637" i="5"/>
  <c r="AY637" i="5"/>
  <c r="AX638" i="5"/>
  <c r="AU641" i="5"/>
  <c r="AY641" i="5"/>
  <c r="AX642" i="5"/>
  <c r="AX646" i="5"/>
  <c r="AX650" i="5"/>
  <c r="AU653" i="5"/>
  <c r="AY653" i="5"/>
  <c r="AX654" i="5"/>
  <c r="AU661" i="5"/>
  <c r="AY661" i="5"/>
  <c r="AX662" i="5"/>
  <c r="AU665" i="5"/>
  <c r="AY665" i="5"/>
  <c r="AX666" i="5"/>
  <c r="AX670" i="5"/>
  <c r="AU673" i="5"/>
  <c r="AY673" i="5"/>
  <c r="AX674" i="5"/>
  <c r="AU677" i="5"/>
  <c r="AY677" i="5"/>
  <c r="AX678" i="5"/>
  <c r="AU681" i="5"/>
  <c r="AY681" i="5"/>
  <c r="AX686" i="5"/>
  <c r="AU689" i="5"/>
  <c r="AY689" i="5"/>
  <c r="AX690" i="5"/>
  <c r="AU693" i="5"/>
  <c r="AY693" i="5"/>
  <c r="AU697" i="5"/>
  <c r="AY697" i="5"/>
  <c r="AX698" i="5"/>
  <c r="AU701" i="5"/>
  <c r="AY701" i="5"/>
  <c r="AX702" i="5"/>
  <c r="AU709" i="5"/>
  <c r="AY709" i="5"/>
  <c r="AX710" i="5"/>
  <c r="AU713" i="5"/>
  <c r="AY713" i="5"/>
  <c r="AU717" i="5"/>
  <c r="AY717" i="5"/>
  <c r="AX722" i="5"/>
  <c r="AU725" i="5"/>
  <c r="AY725" i="5"/>
  <c r="AX726" i="5"/>
  <c r="AU729" i="5"/>
  <c r="AY729" i="5"/>
  <c r="AU733" i="5"/>
  <c r="AY733" i="5"/>
  <c r="AX734" i="5"/>
  <c r="AU737" i="5"/>
  <c r="AY737" i="5"/>
  <c r="AX738" i="5"/>
  <c r="AU745" i="5"/>
  <c r="AY745" i="5"/>
  <c r="AX746" i="5"/>
  <c r="AU749" i="5"/>
  <c r="AY749" i="5"/>
  <c r="AU753" i="5"/>
  <c r="AY753" i="5"/>
  <c r="AX758" i="5"/>
  <c r="AU761" i="5"/>
  <c r="AY761" i="5"/>
  <c r="AX762" i="5"/>
  <c r="AU765" i="5"/>
  <c r="AY765" i="5"/>
  <c r="AU769" i="5"/>
  <c r="AY769" i="5"/>
  <c r="AU773" i="5"/>
  <c r="AY773" i="5"/>
  <c r="AX774" i="5"/>
  <c r="AU777" i="5"/>
  <c r="AY777" i="5"/>
  <c r="AU781" i="5"/>
  <c r="AY781" i="5"/>
  <c r="AX782" i="5"/>
  <c r="AU785" i="5"/>
  <c r="AY785" i="5"/>
  <c r="AX786" i="5"/>
  <c r="AU789" i="5"/>
  <c r="AY789" i="5"/>
  <c r="AX794" i="5"/>
  <c r="AX798" i="5"/>
  <c r="AU801" i="5"/>
  <c r="AY801" i="5"/>
  <c r="AU805" i="5"/>
  <c r="AY805" i="5"/>
  <c r="AU809" i="5"/>
  <c r="AY809" i="5"/>
  <c r="AX810" i="5"/>
  <c r="AU813" i="5"/>
  <c r="AY813" i="5"/>
  <c r="AU817" i="5"/>
  <c r="AY817" i="5"/>
  <c r="AX818" i="5"/>
  <c r="AU821" i="5"/>
  <c r="AY821" i="5"/>
  <c r="AX822" i="5"/>
  <c r="AU825" i="5"/>
  <c r="AY825" i="5"/>
  <c r="AX830" i="5"/>
  <c r="AY834" i="5"/>
  <c r="AU834" i="5"/>
  <c r="AU836" i="5"/>
  <c r="AU837" i="5"/>
  <c r="AY842" i="5"/>
  <c r="AU842" i="5"/>
  <c r="AY848" i="5"/>
  <c r="AY849" i="5"/>
  <c r="AV850" i="5"/>
  <c r="AY854" i="5"/>
  <c r="AU854" i="5"/>
  <c r="AU860" i="5"/>
  <c r="AU861" i="5"/>
  <c r="AY864" i="5"/>
  <c r="AV866" i="5"/>
  <c r="AY870" i="5"/>
  <c r="AU870" i="5"/>
  <c r="AU876" i="5"/>
  <c r="AU877" i="5"/>
  <c r="AY881" i="5"/>
  <c r="AV882" i="5"/>
  <c r="AY886" i="5"/>
  <c r="AU886" i="5"/>
  <c r="AV890" i="5"/>
  <c r="AY890" i="5"/>
  <c r="AU890" i="5"/>
  <c r="AV894" i="5"/>
  <c r="AY894" i="5"/>
  <c r="AU894" i="5"/>
  <c r="AU897" i="5"/>
  <c r="AV902" i="5"/>
  <c r="AY902" i="5"/>
  <c r="AU902" i="5"/>
  <c r="AV906" i="5"/>
  <c r="AY906" i="5"/>
  <c r="AU906" i="5"/>
  <c r="AV914" i="5"/>
  <c r="AY914" i="5"/>
  <c r="AU914" i="5"/>
  <c r="AW921" i="5"/>
  <c r="AV921" i="5"/>
  <c r="AU925" i="5"/>
  <c r="AU929" i="5"/>
  <c r="AW933" i="5"/>
  <c r="AV933" i="5"/>
  <c r="AW938" i="5"/>
  <c r="AW941" i="5"/>
  <c r="AV941" i="5"/>
  <c r="AW949" i="5"/>
  <c r="AV949" i="5"/>
  <c r="AU953" i="5"/>
  <c r="AV958" i="5"/>
  <c r="AY958" i="5"/>
  <c r="AU958" i="5"/>
  <c r="AU961" i="5"/>
  <c r="AV966" i="5"/>
  <c r="AY966" i="5"/>
  <c r="AU966" i="5"/>
  <c r="AW970" i="5"/>
  <c r="AW978" i="5"/>
  <c r="AW981" i="5"/>
  <c r="AV981" i="5"/>
  <c r="AW986" i="5"/>
  <c r="AW989" i="5"/>
  <c r="AV989" i="5"/>
  <c r="AU993" i="5"/>
  <c r="AW997" i="5"/>
  <c r="AV997" i="5"/>
  <c r="AV1006" i="5"/>
  <c r="AY1006" i="5"/>
  <c r="AU1006" i="5"/>
  <c r="AV1014" i="5"/>
  <c r="AY1014" i="5"/>
  <c r="AU1014" i="5"/>
  <c r="AU1025" i="5"/>
  <c r="AU1029" i="5"/>
  <c r="AV1030" i="5"/>
  <c r="AY1030" i="5"/>
  <c r="AU1030" i="5"/>
  <c r="AW1041" i="5"/>
  <c r="AV1041" i="5"/>
  <c r="AW1050" i="5"/>
  <c r="AV1058" i="5"/>
  <c r="AY1058" i="5"/>
  <c r="AU1058" i="5"/>
  <c r="AV1062" i="5"/>
  <c r="AY1062" i="5"/>
  <c r="AU1062" i="5"/>
  <c r="AU1073" i="5"/>
  <c r="AV1078" i="5"/>
  <c r="AY1078" i="5"/>
  <c r="AU1078" i="5"/>
  <c r="AW1085" i="5"/>
  <c r="AV1085" i="5"/>
  <c r="AU1089" i="5"/>
  <c r="AW1094" i="5"/>
  <c r="AW1098" i="5"/>
  <c r="AW1101" i="5"/>
  <c r="AV1101" i="5"/>
  <c r="AW1109" i="5"/>
  <c r="AV1109" i="5"/>
  <c r="AV1114" i="5"/>
  <c r="AY1114" i="5"/>
  <c r="AU1114" i="5"/>
  <c r="AW1129" i="5"/>
  <c r="AV1129" i="5"/>
  <c r="AV1134" i="5"/>
  <c r="AY1134" i="5"/>
  <c r="AU1134" i="5"/>
  <c r="AV1138" i="5"/>
  <c r="AY1138" i="5"/>
  <c r="AU1138" i="5"/>
  <c r="AW1141" i="5"/>
  <c r="AV1141" i="5"/>
  <c r="AV1146" i="5"/>
  <c r="AY1146" i="5"/>
  <c r="AU1146" i="5"/>
  <c r="AV1150" i="5"/>
  <c r="AY1150" i="5"/>
  <c r="AU1150" i="5"/>
  <c r="AX1157" i="5"/>
  <c r="AX1161" i="5"/>
  <c r="AW1165" i="5"/>
  <c r="AV1165" i="5"/>
  <c r="AV1170" i="5"/>
  <c r="AY1170" i="5"/>
  <c r="AU1170" i="5"/>
  <c r="AV1174" i="5"/>
  <c r="AY1174" i="5"/>
  <c r="AU1174" i="5"/>
  <c r="AW1177" i="5"/>
  <c r="AV1177" i="5"/>
  <c r="AV1182" i="5"/>
  <c r="AY1182" i="5"/>
  <c r="AU1182" i="5"/>
  <c r="AV1186" i="5"/>
  <c r="AY1186" i="5"/>
  <c r="AU1186" i="5"/>
  <c r="AW1201" i="5"/>
  <c r="AV1201" i="5"/>
  <c r="AW1213" i="5"/>
  <c r="AV1213" i="5"/>
  <c r="AU1217" i="5"/>
  <c r="AX1221" i="5"/>
  <c r="AV1222" i="5"/>
  <c r="AY1222" i="5"/>
  <c r="AU1222" i="5"/>
  <c r="AV1226" i="5"/>
  <c r="AY1226" i="5"/>
  <c r="AU1226" i="5"/>
  <c r="AX1229" i="5"/>
  <c r="AV1230" i="5"/>
  <c r="AY1230" i="5"/>
  <c r="AU1230" i="5"/>
  <c r="AW1238" i="5"/>
  <c r="AW1242" i="5"/>
  <c r="AW1245" i="5"/>
  <c r="AV1245" i="5"/>
  <c r="AW1249" i="5"/>
  <c r="AV1249" i="5"/>
  <c r="AW1253" i="5"/>
  <c r="AV1253" i="5"/>
  <c r="AV1278" i="5"/>
  <c r="AY1278" i="5"/>
  <c r="AU1278" i="5"/>
  <c r="AW1281" i="5"/>
  <c r="AV1281" i="5"/>
  <c r="AV1286" i="5"/>
  <c r="AY1286" i="5"/>
  <c r="AU1286" i="5"/>
  <c r="AW1298" i="5"/>
  <c r="AW1301" i="5"/>
  <c r="AV1301" i="5"/>
  <c r="AW1309" i="5"/>
  <c r="AV1309" i="5"/>
  <c r="AW1318" i="5"/>
  <c r="AU1321" i="5"/>
  <c r="AW1329" i="5"/>
  <c r="AV1329" i="5"/>
  <c r="AV1334" i="5"/>
  <c r="AY1334" i="5"/>
  <c r="AU1334" i="5"/>
  <c r="AW1349" i="5"/>
  <c r="AV1349" i="5"/>
  <c r="AY1349" i="5"/>
  <c r="AU1349" i="5"/>
  <c r="AX1357" i="5"/>
  <c r="AW1365" i="5"/>
  <c r="AV1365" i="5"/>
  <c r="AY1365" i="5"/>
  <c r="AU1365" i="5"/>
  <c r="AW1377" i="5"/>
  <c r="AV1377" i="5"/>
  <c r="AY1377" i="5"/>
  <c r="AU1377" i="5"/>
  <c r="AX1393" i="5"/>
  <c r="AX1413" i="5"/>
  <c r="AW1425" i="5"/>
  <c r="AV1425" i="5"/>
  <c r="AY1425" i="5"/>
  <c r="AU1425" i="5"/>
  <c r="AW1453" i="5"/>
  <c r="AV1453" i="5"/>
  <c r="AY1453" i="5"/>
  <c r="AU1453" i="5"/>
  <c r="AX1461" i="5"/>
  <c r="AW1469" i="5"/>
  <c r="AV1469" i="5"/>
  <c r="AY1469" i="5"/>
  <c r="AU1469" i="5"/>
  <c r="AW1473" i="5"/>
  <c r="AV1473" i="5"/>
  <c r="AY1473" i="5"/>
  <c r="AU1473" i="5"/>
  <c r="AW1489" i="5"/>
  <c r="AV1489" i="5"/>
  <c r="AY1489" i="5"/>
  <c r="AU1489" i="5"/>
  <c r="AW1493" i="5"/>
  <c r="AV1493" i="5"/>
  <c r="AY1493" i="5"/>
  <c r="AU1493" i="5"/>
  <c r="AW1497" i="5"/>
  <c r="AV1497" i="5"/>
  <c r="AY1497" i="5"/>
  <c r="AU1497" i="5"/>
  <c r="AW1517" i="5"/>
  <c r="AV1517" i="5"/>
  <c r="AY1517" i="5"/>
  <c r="AU1517" i="5"/>
  <c r="AW1541" i="5"/>
  <c r="AV1541" i="5"/>
  <c r="AY1541" i="5"/>
  <c r="AU1541" i="5"/>
  <c r="AX1545" i="5"/>
  <c r="AX1561" i="5"/>
  <c r="AW1569" i="5"/>
  <c r="AV1569" i="5"/>
  <c r="AY1569" i="5"/>
  <c r="AU1569" i="5"/>
  <c r="AW1577" i="5"/>
  <c r="AV1577" i="5"/>
  <c r="AY1577" i="5"/>
  <c r="AU1577" i="5"/>
  <c r="AX1581" i="5"/>
  <c r="AW1625" i="5"/>
  <c r="AV1625" i="5"/>
  <c r="AY1625" i="5"/>
  <c r="AX1625" i="5"/>
  <c r="AU1625" i="5"/>
  <c r="AV1642" i="5"/>
  <c r="AY1642" i="5"/>
  <c r="AU1642" i="5"/>
  <c r="AX1642" i="5"/>
  <c r="AW1642" i="5"/>
  <c r="AV1650" i="5"/>
  <c r="AY1650" i="5"/>
  <c r="AU1650" i="5"/>
  <c r="AX1650" i="5"/>
  <c r="AW1650" i="5"/>
  <c r="AV1727" i="5"/>
  <c r="AX1727" i="5"/>
  <c r="AW1727" i="5"/>
  <c r="AU1727" i="5"/>
  <c r="AY1727" i="5"/>
  <c r="AV1831" i="5"/>
  <c r="AX1831" i="5"/>
  <c r="AW1831" i="5"/>
  <c r="AU1831" i="5"/>
  <c r="AY1831" i="5"/>
  <c r="AV1899" i="5"/>
  <c r="AX1899" i="5"/>
  <c r="AW1899" i="5"/>
  <c r="AU1899" i="5"/>
  <c r="AY1899" i="5"/>
  <c r="AW1942" i="5"/>
  <c r="AX1942" i="5"/>
  <c r="AV1942" i="5"/>
  <c r="AU1942" i="5"/>
  <c r="AY1942" i="5"/>
  <c r="AW304" i="5"/>
  <c r="AW308" i="5"/>
  <c r="AV309" i="5"/>
  <c r="AU310" i="5"/>
  <c r="AY310" i="5"/>
  <c r="AW312" i="5"/>
  <c r="AV313" i="5"/>
  <c r="AU314" i="5"/>
  <c r="AY314" i="5"/>
  <c r="AV317" i="5"/>
  <c r="AU318" i="5"/>
  <c r="AY318" i="5"/>
  <c r="AW320" i="5"/>
  <c r="AV321" i="5"/>
  <c r="AU322" i="5"/>
  <c r="AY322" i="5"/>
  <c r="AU326" i="5"/>
  <c r="AY326" i="5"/>
  <c r="AW328" i="5"/>
  <c r="AV329" i="5"/>
  <c r="AU330" i="5"/>
  <c r="AY330" i="5"/>
  <c r="AW332" i="5"/>
  <c r="AW336" i="5"/>
  <c r="AV337" i="5"/>
  <c r="AU338" i="5"/>
  <c r="AY338" i="5"/>
  <c r="AV341" i="5"/>
  <c r="AW344" i="5"/>
  <c r="AV345" i="5"/>
  <c r="AU346" i="5"/>
  <c r="AY346" i="5"/>
  <c r="AW348" i="5"/>
  <c r="AV349" i="5"/>
  <c r="AU350" i="5"/>
  <c r="AY350" i="5"/>
  <c r="AU354" i="5"/>
  <c r="AY354" i="5"/>
  <c r="AW356" i="5"/>
  <c r="AV357" i="5"/>
  <c r="AU358" i="5"/>
  <c r="AY358" i="5"/>
  <c r="AW360" i="5"/>
  <c r="AV365" i="5"/>
  <c r="AU366" i="5"/>
  <c r="AY366" i="5"/>
  <c r="AW368" i="5"/>
  <c r="AV369" i="5"/>
  <c r="AW372" i="5"/>
  <c r="AV373" i="5"/>
  <c r="AU374" i="5"/>
  <c r="AY374" i="5"/>
  <c r="AV377" i="5"/>
  <c r="AU378" i="5"/>
  <c r="AY378" i="5"/>
  <c r="AV381" i="5"/>
  <c r="AU382" i="5"/>
  <c r="AY382" i="5"/>
  <c r="AW384" i="5"/>
  <c r="AV385" i="5"/>
  <c r="AU386" i="5"/>
  <c r="AY386" i="5"/>
  <c r="AU390" i="5"/>
  <c r="AY390" i="5"/>
  <c r="AW392" i="5"/>
  <c r="AV393" i="5"/>
  <c r="AU394" i="5"/>
  <c r="AY394" i="5"/>
  <c r="AW396" i="5"/>
  <c r="AV401" i="5"/>
  <c r="AU402" i="5"/>
  <c r="AY402" i="5"/>
  <c r="AW404" i="5"/>
  <c r="AV405" i="5"/>
  <c r="AW408" i="5"/>
  <c r="AV409" i="5"/>
  <c r="AU410" i="5"/>
  <c r="AY410" i="5"/>
  <c r="AW412" i="5"/>
  <c r="AV413" i="5"/>
  <c r="AW416" i="5"/>
  <c r="AV417" i="5"/>
  <c r="AW420" i="5"/>
  <c r="AV421" i="5"/>
  <c r="AU422" i="5"/>
  <c r="AY422" i="5"/>
  <c r="AV425" i="5"/>
  <c r="AU426" i="5"/>
  <c r="AY426" i="5"/>
  <c r="AW428" i="5"/>
  <c r="AV429" i="5"/>
  <c r="AU430" i="5"/>
  <c r="AY430" i="5"/>
  <c r="AW432" i="5"/>
  <c r="AU434" i="5"/>
  <c r="AY434" i="5"/>
  <c r="AV437" i="5"/>
  <c r="AU438" i="5"/>
  <c r="AY438" i="5"/>
  <c r="AW440" i="5"/>
  <c r="AV441" i="5"/>
  <c r="AW444" i="5"/>
  <c r="AU446" i="5"/>
  <c r="AY446" i="5"/>
  <c r="AW448" i="5"/>
  <c r="AV449" i="5"/>
  <c r="AU450" i="5"/>
  <c r="AY450" i="5"/>
  <c r="AW452" i="5"/>
  <c r="AV453" i="5"/>
  <c r="AW456" i="5"/>
  <c r="AV457" i="5"/>
  <c r="AU458" i="5"/>
  <c r="AY458" i="5"/>
  <c r="AV461" i="5"/>
  <c r="AU462" i="5"/>
  <c r="AY462" i="5"/>
  <c r="AW464" i="5"/>
  <c r="AV465" i="5"/>
  <c r="AU466" i="5"/>
  <c r="AY466" i="5"/>
  <c r="AW468" i="5"/>
  <c r="AU470" i="5"/>
  <c r="AY470" i="5"/>
  <c r="AV473" i="5"/>
  <c r="AU474" i="5"/>
  <c r="AY474" i="5"/>
  <c r="AW476" i="5"/>
  <c r="AV477" i="5"/>
  <c r="AW480" i="5"/>
  <c r="AU482" i="5"/>
  <c r="AY482" i="5"/>
  <c r="AW484" i="5"/>
  <c r="AV485" i="5"/>
  <c r="AU486" i="5"/>
  <c r="AY486" i="5"/>
  <c r="AW488" i="5"/>
  <c r="AV489" i="5"/>
  <c r="AU490" i="5"/>
  <c r="AY490" i="5"/>
  <c r="AV493" i="5"/>
  <c r="AU494" i="5"/>
  <c r="AY494" i="5"/>
  <c r="AV497" i="5"/>
  <c r="AU498" i="5"/>
  <c r="AY498" i="5"/>
  <c r="AW500" i="5"/>
  <c r="AU502" i="5"/>
  <c r="AY502" i="5"/>
  <c r="AW504" i="5"/>
  <c r="AU506" i="5"/>
  <c r="AY506" i="5"/>
  <c r="AW508" i="5"/>
  <c r="AV509" i="5"/>
  <c r="AV513" i="5"/>
  <c r="AW516" i="5"/>
  <c r="AV517" i="5"/>
  <c r="AU518" i="5"/>
  <c r="AY518" i="5"/>
  <c r="AW520" i="5"/>
  <c r="AV521" i="5"/>
  <c r="AU522" i="5"/>
  <c r="AY522" i="5"/>
  <c r="AV525" i="5"/>
  <c r="AU526" i="5"/>
  <c r="AY526" i="5"/>
  <c r="AV529" i="5"/>
  <c r="AU530" i="5"/>
  <c r="AY530" i="5"/>
  <c r="AV533" i="5"/>
  <c r="AU534" i="5"/>
  <c r="AY534" i="5"/>
  <c r="AU538" i="5"/>
  <c r="AY538" i="5"/>
  <c r="AW540" i="5"/>
  <c r="AU542" i="5"/>
  <c r="AY542" i="5"/>
  <c r="AW544" i="5"/>
  <c r="AV545" i="5"/>
  <c r="AV549" i="5"/>
  <c r="AW552" i="5"/>
  <c r="AV553" i="5"/>
  <c r="AU554" i="5"/>
  <c r="AY554" i="5"/>
  <c r="AW556" i="5"/>
  <c r="AV557" i="5"/>
  <c r="AU558" i="5"/>
  <c r="AY558" i="5"/>
  <c r="AV561" i="5"/>
  <c r="AU562" i="5"/>
  <c r="AY562" i="5"/>
  <c r="AW564" i="5"/>
  <c r="AV565" i="5"/>
  <c r="AV569" i="5"/>
  <c r="AU570" i="5"/>
  <c r="AY570" i="5"/>
  <c r="AV573" i="5"/>
  <c r="AU574" i="5"/>
  <c r="AY574" i="5"/>
  <c r="AW576" i="5"/>
  <c r="AU578" i="5"/>
  <c r="AY578" i="5"/>
  <c r="AW580" i="5"/>
  <c r="AV581" i="5"/>
  <c r="AU582" i="5"/>
  <c r="AY582" i="5"/>
  <c r="AV585" i="5"/>
  <c r="AW588" i="5"/>
  <c r="AV589" i="5"/>
  <c r="AU590" i="5"/>
  <c r="AY590" i="5"/>
  <c r="AW592" i="5"/>
  <c r="AU594" i="5"/>
  <c r="AY594" i="5"/>
  <c r="AW596" i="5"/>
  <c r="AU598" i="5"/>
  <c r="AY598" i="5"/>
  <c r="AW600" i="5"/>
  <c r="AV601" i="5"/>
  <c r="AV605" i="5"/>
  <c r="AU606" i="5"/>
  <c r="AY606" i="5"/>
  <c r="AW608" i="5"/>
  <c r="AU610" i="5"/>
  <c r="AY610" i="5"/>
  <c r="AW612" i="5"/>
  <c r="AU614" i="5"/>
  <c r="AY614" i="5"/>
  <c r="AW616" i="5"/>
  <c r="AV617" i="5"/>
  <c r="AU618" i="5"/>
  <c r="AY618" i="5"/>
  <c r="AW624" i="5"/>
  <c r="AV625" i="5"/>
  <c r="AU626" i="5"/>
  <c r="AY626" i="5"/>
  <c r="AW628" i="5"/>
  <c r="AV629" i="5"/>
  <c r="AU630" i="5"/>
  <c r="AY630" i="5"/>
  <c r="AW632" i="5"/>
  <c r="AU634" i="5"/>
  <c r="AY634" i="5"/>
  <c r="AW636" i="5"/>
  <c r="AV637" i="5"/>
  <c r="AU638" i="5"/>
  <c r="AY638" i="5"/>
  <c r="AV641" i="5"/>
  <c r="AU642" i="5"/>
  <c r="AY642" i="5"/>
  <c r="AW644" i="5"/>
  <c r="AU646" i="5"/>
  <c r="AY646" i="5"/>
  <c r="AW648" i="5"/>
  <c r="AU650" i="5"/>
  <c r="AY650" i="5"/>
  <c r="AW652" i="5"/>
  <c r="AV653" i="5"/>
  <c r="AU654" i="5"/>
  <c r="AY654" i="5"/>
  <c r="AW656" i="5"/>
  <c r="AW660" i="5"/>
  <c r="AV661" i="5"/>
  <c r="AU662" i="5"/>
  <c r="AY662" i="5"/>
  <c r="AW664" i="5"/>
  <c r="AV665" i="5"/>
  <c r="AU666" i="5"/>
  <c r="AY666" i="5"/>
  <c r="AW668" i="5"/>
  <c r="AU670" i="5"/>
  <c r="AY670" i="5"/>
  <c r="AW672" i="5"/>
  <c r="AV673" i="5"/>
  <c r="AU674" i="5"/>
  <c r="AY674" i="5"/>
  <c r="AV677" i="5"/>
  <c r="AU678" i="5"/>
  <c r="AY678" i="5"/>
  <c r="AW680" i="5"/>
  <c r="AV681" i="5"/>
  <c r="AW684" i="5"/>
  <c r="AU686" i="5"/>
  <c r="AY686" i="5"/>
  <c r="AW688" i="5"/>
  <c r="AV689" i="5"/>
  <c r="AU690" i="5"/>
  <c r="AY690" i="5"/>
  <c r="AW692" i="5"/>
  <c r="AV693" i="5"/>
  <c r="AV697" i="5"/>
  <c r="AU698" i="5"/>
  <c r="AY698" i="5"/>
  <c r="AW700" i="5"/>
  <c r="AV701" i="5"/>
  <c r="AU702" i="5"/>
  <c r="AY702" i="5"/>
  <c r="AW704" i="5"/>
  <c r="AW708" i="5"/>
  <c r="AV709" i="5"/>
  <c r="AU710" i="5"/>
  <c r="AY710" i="5"/>
  <c r="AV713" i="5"/>
  <c r="AW716" i="5"/>
  <c r="AV717" i="5"/>
  <c r="AW720" i="5"/>
  <c r="AU722" i="5"/>
  <c r="AY722" i="5"/>
  <c r="AW724" i="5"/>
  <c r="AV725" i="5"/>
  <c r="AU726" i="5"/>
  <c r="AY726" i="5"/>
  <c r="AW728" i="5"/>
  <c r="AV729" i="5"/>
  <c r="AV733" i="5"/>
  <c r="AU734" i="5"/>
  <c r="AY734" i="5"/>
  <c r="AW736" i="5"/>
  <c r="AV737" i="5"/>
  <c r="AU738" i="5"/>
  <c r="AY738" i="5"/>
  <c r="AW740" i="5"/>
  <c r="AW744" i="5"/>
  <c r="AV745" i="5"/>
  <c r="AU746" i="5"/>
  <c r="AY746" i="5"/>
  <c r="AV749" i="5"/>
  <c r="AW752" i="5"/>
  <c r="AV753" i="5"/>
  <c r="AW756" i="5"/>
  <c r="AU758" i="5"/>
  <c r="AY758" i="5"/>
  <c r="AW760" i="5"/>
  <c r="AV761" i="5"/>
  <c r="AU762" i="5"/>
  <c r="AY762" i="5"/>
  <c r="AW764" i="5"/>
  <c r="AV765" i="5"/>
  <c r="AV769" i="5"/>
  <c r="AW772" i="5"/>
  <c r="AV773" i="5"/>
  <c r="AU774" i="5"/>
  <c r="AY774" i="5"/>
  <c r="AW776" i="5"/>
  <c r="AV777" i="5"/>
  <c r="AW780" i="5"/>
  <c r="AV781" i="5"/>
  <c r="AU782" i="5"/>
  <c r="AY782" i="5"/>
  <c r="AX783" i="5"/>
  <c r="AV785" i="5"/>
  <c r="AU786" i="5"/>
  <c r="AY786" i="5"/>
  <c r="AX787" i="5"/>
  <c r="AV789" i="5"/>
  <c r="AX791" i="5"/>
  <c r="AW792" i="5"/>
  <c r="AU794" i="5"/>
  <c r="AY794" i="5"/>
  <c r="AX795" i="5"/>
  <c r="AU798" i="5"/>
  <c r="AY798" i="5"/>
  <c r="AX799" i="5"/>
  <c r="AV801" i="5"/>
  <c r="AX803" i="5"/>
  <c r="AV805" i="5"/>
  <c r="AX807" i="5"/>
  <c r="AV809" i="5"/>
  <c r="AU810" i="5"/>
  <c r="AY810" i="5"/>
  <c r="AV813" i="5"/>
  <c r="AV817" i="5"/>
  <c r="AU818" i="5"/>
  <c r="AY818" i="5"/>
  <c r="AX819" i="5"/>
  <c r="AV821" i="5"/>
  <c r="AU822" i="5"/>
  <c r="AY822" i="5"/>
  <c r="AX823" i="5"/>
  <c r="AV825" i="5"/>
  <c r="AX827" i="5"/>
  <c r="AU830" i="5"/>
  <c r="AY830" i="5"/>
  <c r="AX831" i="5"/>
  <c r="AV834" i="5"/>
  <c r="AV836" i="5"/>
  <c r="AW837" i="5"/>
  <c r="AY840" i="5"/>
  <c r="AY841" i="5"/>
  <c r="AV842" i="5"/>
  <c r="AY846" i="5"/>
  <c r="AU846" i="5"/>
  <c r="AU848" i="5"/>
  <c r="AU849" i="5"/>
  <c r="AW850" i="5"/>
  <c r="AY852" i="5"/>
  <c r="AV854" i="5"/>
  <c r="AY858" i="5"/>
  <c r="AU858" i="5"/>
  <c r="AV860" i="5"/>
  <c r="AW861" i="5"/>
  <c r="AU864" i="5"/>
  <c r="AW866" i="5"/>
  <c r="AY868" i="5"/>
  <c r="AY869" i="5"/>
  <c r="AV870" i="5"/>
  <c r="AV876" i="5"/>
  <c r="AW877" i="5"/>
  <c r="AU881" i="5"/>
  <c r="AW882" i="5"/>
  <c r="AY884" i="5"/>
  <c r="AY885" i="5"/>
  <c r="AV886" i="5"/>
  <c r="AW890" i="5"/>
  <c r="AW894" i="5"/>
  <c r="AX897" i="5"/>
  <c r="AW902" i="5"/>
  <c r="AW906" i="5"/>
  <c r="AW914" i="5"/>
  <c r="AU921" i="5"/>
  <c r="AX925" i="5"/>
  <c r="AV926" i="5"/>
  <c r="AY926" i="5"/>
  <c r="AU926" i="5"/>
  <c r="AX929" i="5"/>
  <c r="AV930" i="5"/>
  <c r="AY930" i="5"/>
  <c r="AU930" i="5"/>
  <c r="AU933" i="5"/>
  <c r="AX938" i="5"/>
  <c r="AU941" i="5"/>
  <c r="AU949" i="5"/>
  <c r="AX953" i="5"/>
  <c r="AW958" i="5"/>
  <c r="AX961" i="5"/>
  <c r="AV962" i="5"/>
  <c r="AY962" i="5"/>
  <c r="AU962" i="5"/>
  <c r="AW966" i="5"/>
  <c r="AW969" i="5"/>
  <c r="AV969" i="5"/>
  <c r="AX970" i="5"/>
  <c r="AW977" i="5"/>
  <c r="AV977" i="5"/>
  <c r="AX978" i="5"/>
  <c r="AU981" i="5"/>
  <c r="AW985" i="5"/>
  <c r="AV985" i="5"/>
  <c r="AX986" i="5"/>
  <c r="AU989" i="5"/>
  <c r="AX993" i="5"/>
  <c r="AV994" i="5"/>
  <c r="AY994" i="5"/>
  <c r="AU994" i="5"/>
  <c r="AU997" i="5"/>
  <c r="AV1002" i="5"/>
  <c r="AY1002" i="5"/>
  <c r="AU1002" i="5"/>
  <c r="AW1006" i="5"/>
  <c r="AW1014" i="5"/>
  <c r="AW1017" i="5"/>
  <c r="AV1017" i="5"/>
  <c r="AV1022" i="5"/>
  <c r="AY1022" i="5"/>
  <c r="AU1022" i="5"/>
  <c r="AX1025" i="5"/>
  <c r="AV1026" i="5"/>
  <c r="AY1026" i="5"/>
  <c r="AU1026" i="5"/>
  <c r="AX1029" i="5"/>
  <c r="AU1041" i="5"/>
  <c r="AV1042" i="5"/>
  <c r="AY1042" i="5"/>
  <c r="AU1042" i="5"/>
  <c r="AW1049" i="5"/>
  <c r="AV1049" i="5"/>
  <c r="AX1050" i="5"/>
  <c r="AW1053" i="5"/>
  <c r="AV1053" i="5"/>
  <c r="AW1058" i="5"/>
  <c r="AW1062" i="5"/>
  <c r="AW1065" i="5"/>
  <c r="AV1065" i="5"/>
  <c r="AV1070" i="5"/>
  <c r="AY1070" i="5"/>
  <c r="AU1070" i="5"/>
  <c r="AX1073" i="5"/>
  <c r="AV1074" i="5"/>
  <c r="AY1074" i="5"/>
  <c r="AU1074" i="5"/>
  <c r="AW1078" i="5"/>
  <c r="AU1085" i="5"/>
  <c r="AX1089" i="5"/>
  <c r="AX1094" i="5"/>
  <c r="AW1097" i="5"/>
  <c r="AV1097" i="5"/>
  <c r="AX1098" i="5"/>
  <c r="AU1101" i="5"/>
  <c r="AU1109" i="5"/>
  <c r="AV1110" i="5"/>
  <c r="AY1110" i="5"/>
  <c r="AU1110" i="5"/>
  <c r="AW1114" i="5"/>
  <c r="AU1129" i="5"/>
  <c r="AW1134" i="5"/>
  <c r="AW1138" i="5"/>
  <c r="AU1141" i="5"/>
  <c r="AW1146" i="5"/>
  <c r="AW1150" i="5"/>
  <c r="AW1182" i="5"/>
  <c r="AV1194" i="5"/>
  <c r="AY1194" i="5"/>
  <c r="AU1194" i="5"/>
  <c r="AV1206" i="5"/>
  <c r="AY1206" i="5"/>
  <c r="AU1206" i="5"/>
  <c r="AV1210" i="5"/>
  <c r="AY1210" i="5"/>
  <c r="AU1210" i="5"/>
  <c r="AX1217" i="5"/>
  <c r="AV1218" i="5"/>
  <c r="AY1218" i="5"/>
  <c r="AU1218" i="5"/>
  <c r="AW1222" i="5"/>
  <c r="AW1226" i="5"/>
  <c r="AW1230" i="5"/>
  <c r="AW1233" i="5"/>
  <c r="AV1233" i="5"/>
  <c r="AW1237" i="5"/>
  <c r="AV1237" i="5"/>
  <c r="AX1238" i="5"/>
  <c r="AW1241" i="5"/>
  <c r="AV1241" i="5"/>
  <c r="AX1242" i="5"/>
  <c r="AU1249" i="5"/>
  <c r="AU1253" i="5"/>
  <c r="AV1258" i="5"/>
  <c r="AY1258" i="5"/>
  <c r="AU1258" i="5"/>
  <c r="AV1262" i="5"/>
  <c r="AY1262" i="5"/>
  <c r="AU1262" i="5"/>
  <c r="AX1265" i="5"/>
  <c r="AV1266" i="5"/>
  <c r="AY1266" i="5"/>
  <c r="AU1266" i="5"/>
  <c r="AV1274" i="5"/>
  <c r="AY1274" i="5"/>
  <c r="AU1274" i="5"/>
  <c r="AW1286" i="5"/>
  <c r="AW1289" i="5"/>
  <c r="AV1289" i="5"/>
  <c r="AX1290" i="5"/>
  <c r="AX1293" i="5"/>
  <c r="AV1294" i="5"/>
  <c r="AY1294" i="5"/>
  <c r="AU1294" i="5"/>
  <c r="AX1298" i="5"/>
  <c r="AV1314" i="5"/>
  <c r="AY1314" i="5"/>
  <c r="AU1314" i="5"/>
  <c r="AX1318" i="5"/>
  <c r="AX1321" i="5"/>
  <c r="AV1322" i="5"/>
  <c r="AY1322" i="5"/>
  <c r="AU1322" i="5"/>
  <c r="AW1337" i="5"/>
  <c r="AV1337" i="5"/>
  <c r="AW1341" i="5"/>
  <c r="AV1341" i="5"/>
  <c r="AY1341" i="5"/>
  <c r="AU1341" i="5"/>
  <c r="AX1349" i="5"/>
  <c r="AX1365" i="5"/>
  <c r="AX1377" i="5"/>
  <c r="AW1389" i="5"/>
  <c r="AV1389" i="5"/>
  <c r="AY1389" i="5"/>
  <c r="AU1389" i="5"/>
  <c r="AW1417" i="5"/>
  <c r="AV1417" i="5"/>
  <c r="AY1417" i="5"/>
  <c r="AU1417" i="5"/>
  <c r="AX1425" i="5"/>
  <c r="AW1429" i="5"/>
  <c r="AV1429" i="5"/>
  <c r="AY1429" i="5"/>
  <c r="AU1429" i="5"/>
  <c r="AW1437" i="5"/>
  <c r="AV1437" i="5"/>
  <c r="AY1437" i="5"/>
  <c r="AU1437" i="5"/>
  <c r="AX1453" i="5"/>
  <c r="AX1473" i="5"/>
  <c r="AX1489" i="5"/>
  <c r="AX1493" i="5"/>
  <c r="AX1497" i="5"/>
  <c r="AW1533" i="5"/>
  <c r="AV1533" i="5"/>
  <c r="AY1533" i="5"/>
  <c r="AU1533" i="5"/>
  <c r="AX1541" i="5"/>
  <c r="AW1565" i="5"/>
  <c r="AV1565" i="5"/>
  <c r="AY1565" i="5"/>
  <c r="AU1565" i="5"/>
  <c r="AX1569" i="5"/>
  <c r="AX1577" i="5"/>
  <c r="AW1645" i="5"/>
  <c r="AV1645" i="5"/>
  <c r="AY1645" i="5"/>
  <c r="AX1645" i="5"/>
  <c r="AU1645" i="5"/>
  <c r="AW1665" i="5"/>
  <c r="AV1665" i="5"/>
  <c r="AY1665" i="5"/>
  <c r="AX1665" i="5"/>
  <c r="AU1665" i="5"/>
  <c r="AV1670" i="5"/>
  <c r="AY1670" i="5"/>
  <c r="AU1670" i="5"/>
  <c r="AX1670" i="5"/>
  <c r="AW1670" i="5"/>
  <c r="AW1718" i="5"/>
  <c r="AV1718" i="5"/>
  <c r="AY1718" i="5"/>
  <c r="AU1718" i="5"/>
  <c r="AX1718" i="5"/>
  <c r="AW1726" i="5"/>
  <c r="AX1726" i="5"/>
  <c r="AV1726" i="5"/>
  <c r="AU1726" i="5"/>
  <c r="AY1726" i="5"/>
  <c r="AW1742" i="5"/>
  <c r="AX1742" i="5"/>
  <c r="AV1742" i="5"/>
  <c r="AU1742" i="5"/>
  <c r="AY1742" i="5"/>
  <c r="AV1827" i="5"/>
  <c r="AX1827" i="5"/>
  <c r="AW1827" i="5"/>
  <c r="AU1827" i="5"/>
  <c r="AY1827" i="5"/>
  <c r="AY1948" i="5"/>
  <c r="AU1948" i="5"/>
  <c r="AX1948" i="5"/>
  <c r="AW1948" i="5"/>
  <c r="AV1948" i="5"/>
  <c r="AW2090" i="5"/>
  <c r="AY2090" i="5"/>
  <c r="AU2090" i="5"/>
  <c r="AX2090" i="5"/>
  <c r="AV2090" i="5"/>
  <c r="AW2094" i="5"/>
  <c r="AY2094" i="5"/>
  <c r="AU2094" i="5"/>
  <c r="AX2094" i="5"/>
  <c r="AV2094" i="5"/>
  <c r="AW2282" i="5"/>
  <c r="AY2282" i="5"/>
  <c r="AU2282" i="5"/>
  <c r="AX2282" i="5"/>
  <c r="AV2282" i="5"/>
  <c r="AU783" i="5"/>
  <c r="AU787" i="5"/>
  <c r="AU791" i="5"/>
  <c r="AU795" i="5"/>
  <c r="AU799" i="5"/>
  <c r="AU803" i="5"/>
  <c r="AU807" i="5"/>
  <c r="AU819" i="5"/>
  <c r="AU823" i="5"/>
  <c r="AU827" i="5"/>
  <c r="AU831" i="5"/>
  <c r="AW834" i="5"/>
  <c r="AX836" i="5"/>
  <c r="AX837" i="5"/>
  <c r="AU840" i="5"/>
  <c r="AU841" i="5"/>
  <c r="AW842" i="5"/>
  <c r="AY845" i="5"/>
  <c r="AV846" i="5"/>
  <c r="AV848" i="5"/>
  <c r="AW849" i="5"/>
  <c r="AX850" i="5"/>
  <c r="AU852" i="5"/>
  <c r="AW854" i="5"/>
  <c r="AY857" i="5"/>
  <c r="AV858" i="5"/>
  <c r="AX860" i="5"/>
  <c r="AX861" i="5"/>
  <c r="AV864" i="5"/>
  <c r="AX866" i="5"/>
  <c r="AU868" i="5"/>
  <c r="AU869" i="5"/>
  <c r="AW870" i="5"/>
  <c r="AY872" i="5"/>
  <c r="AY873" i="5"/>
  <c r="AX876" i="5"/>
  <c r="AX877" i="5"/>
  <c r="AY878" i="5"/>
  <c r="AU878" i="5"/>
  <c r="AW881" i="5"/>
  <c r="AX882" i="5"/>
  <c r="AU884" i="5"/>
  <c r="AU885" i="5"/>
  <c r="AW886" i="5"/>
  <c r="AX890" i="5"/>
  <c r="AW893" i="5"/>
  <c r="AV893" i="5"/>
  <c r="AX894" i="5"/>
  <c r="AY897" i="5"/>
  <c r="AX902" i="5"/>
  <c r="AW905" i="5"/>
  <c r="AV905" i="5"/>
  <c r="AX906" i="5"/>
  <c r="AW913" i="5"/>
  <c r="AV913" i="5"/>
  <c r="AX914" i="5"/>
  <c r="AW917" i="5"/>
  <c r="AV917" i="5"/>
  <c r="AX921" i="5"/>
  <c r="AV922" i="5"/>
  <c r="AY922" i="5"/>
  <c r="AU922" i="5"/>
  <c r="AY925" i="5"/>
  <c r="AW926" i="5"/>
  <c r="AY929" i="5"/>
  <c r="AX933" i="5"/>
  <c r="AV934" i="5"/>
  <c r="AY934" i="5"/>
  <c r="AU934" i="5"/>
  <c r="AX941" i="5"/>
  <c r="AV942" i="5"/>
  <c r="AY942" i="5"/>
  <c r="AU942" i="5"/>
  <c r="AX949" i="5"/>
  <c r="AV950" i="5"/>
  <c r="AY950" i="5"/>
  <c r="AU950" i="5"/>
  <c r="AY953" i="5"/>
  <c r="AW957" i="5"/>
  <c r="AV957" i="5"/>
  <c r="AX958" i="5"/>
  <c r="AY961" i="5"/>
  <c r="AU977" i="5"/>
  <c r="AX981" i="5"/>
  <c r="AU985" i="5"/>
  <c r="AX989" i="5"/>
  <c r="AV990" i="5"/>
  <c r="AY990" i="5"/>
  <c r="AU990" i="5"/>
  <c r="AY993" i="5"/>
  <c r="AW994" i="5"/>
  <c r="AX997" i="5"/>
  <c r="AV998" i="5"/>
  <c r="AY998" i="5"/>
  <c r="AU998" i="5"/>
  <c r="AW1002" i="5"/>
  <c r="AW1005" i="5"/>
  <c r="AV1005" i="5"/>
  <c r="AX1006" i="5"/>
  <c r="AW1013" i="5"/>
  <c r="AV1013" i="5"/>
  <c r="AX1014" i="5"/>
  <c r="AU1017" i="5"/>
  <c r="AW1022" i="5"/>
  <c r="AY1025" i="5"/>
  <c r="AW1026" i="5"/>
  <c r="AY1029" i="5"/>
  <c r="AV1034" i="5"/>
  <c r="AY1034" i="5"/>
  <c r="AU1034" i="5"/>
  <c r="AV1038" i="5"/>
  <c r="AY1038" i="5"/>
  <c r="AU1038" i="5"/>
  <c r="AX1041" i="5"/>
  <c r="AU1053" i="5"/>
  <c r="AX1058" i="5"/>
  <c r="AW1061" i="5"/>
  <c r="AV1061" i="5"/>
  <c r="AX1062" i="5"/>
  <c r="AW1070" i="5"/>
  <c r="AY1073" i="5"/>
  <c r="AW1074" i="5"/>
  <c r="AW1077" i="5"/>
  <c r="AV1077" i="5"/>
  <c r="AX1078" i="5"/>
  <c r="AV1082" i="5"/>
  <c r="AY1082" i="5"/>
  <c r="AU1082" i="5"/>
  <c r="AX1085" i="5"/>
  <c r="AV1086" i="5"/>
  <c r="AY1086" i="5"/>
  <c r="AU1086" i="5"/>
  <c r="AY1089" i="5"/>
  <c r="AX1101" i="5"/>
  <c r="AW1105" i="5"/>
  <c r="AV1105" i="5"/>
  <c r="AX1109" i="5"/>
  <c r="AW1110" i="5"/>
  <c r="AX1114" i="5"/>
  <c r="AW1121" i="5"/>
  <c r="AV1121" i="5"/>
  <c r="AW1125" i="5"/>
  <c r="AV1125" i="5"/>
  <c r="AX1129" i="5"/>
  <c r="AW1133" i="5"/>
  <c r="AV1133" i="5"/>
  <c r="AX1134" i="5"/>
  <c r="AW1137" i="5"/>
  <c r="AV1137" i="5"/>
  <c r="AX1138" i="5"/>
  <c r="AX1141" i="5"/>
  <c r="AW1145" i="5"/>
  <c r="AV1145" i="5"/>
  <c r="AX1146" i="5"/>
  <c r="AX1150" i="5"/>
  <c r="AW1157" i="5"/>
  <c r="AV1157" i="5"/>
  <c r="AW1161" i="5"/>
  <c r="AV1161" i="5"/>
  <c r="AX1170" i="5"/>
  <c r="AW1173" i="5"/>
  <c r="AV1173" i="5"/>
  <c r="AX1174" i="5"/>
  <c r="AX1177" i="5"/>
  <c r="AW1181" i="5"/>
  <c r="AV1181" i="5"/>
  <c r="AX1182" i="5"/>
  <c r="AW1185" i="5"/>
  <c r="AV1185" i="5"/>
  <c r="AX1186" i="5"/>
  <c r="AV1190" i="5"/>
  <c r="AY1190" i="5"/>
  <c r="AU1190" i="5"/>
  <c r="AY1193" i="5"/>
  <c r="AW1194" i="5"/>
  <c r="AY1197" i="5"/>
  <c r="AX1201" i="5"/>
  <c r="AV1202" i="5"/>
  <c r="AY1202" i="5"/>
  <c r="AU1202" i="5"/>
  <c r="AW1206" i="5"/>
  <c r="AY1217" i="5"/>
  <c r="AW1218" i="5"/>
  <c r="AW1221" i="5"/>
  <c r="AV1221" i="5"/>
  <c r="AW1229" i="5"/>
  <c r="AV1229" i="5"/>
  <c r="AX1245" i="5"/>
  <c r="AV1246" i="5"/>
  <c r="AY1246" i="5"/>
  <c r="AU1246" i="5"/>
  <c r="AV1250" i="5"/>
  <c r="AY1250" i="5"/>
  <c r="AU1250" i="5"/>
  <c r="AX1253" i="5"/>
  <c r="AV1254" i="5"/>
  <c r="AY1254" i="5"/>
  <c r="AU1254" i="5"/>
  <c r="AW1258" i="5"/>
  <c r="AW1262" i="5"/>
  <c r="AY1265" i="5"/>
  <c r="AW1266" i="5"/>
  <c r="AW1269" i="5"/>
  <c r="AV1269" i="5"/>
  <c r="AY1273" i="5"/>
  <c r="AW1274" i="5"/>
  <c r="AW1277" i="5"/>
  <c r="AV1277" i="5"/>
  <c r="AX1278" i="5"/>
  <c r="AX1281" i="5"/>
  <c r="AV1282" i="5"/>
  <c r="AY1282" i="5"/>
  <c r="AU1282" i="5"/>
  <c r="AW1285" i="5"/>
  <c r="AV1285" i="5"/>
  <c r="AX1286" i="5"/>
  <c r="AY1293" i="5"/>
  <c r="AW1294" i="5"/>
  <c r="AX1301" i="5"/>
  <c r="AV1302" i="5"/>
  <c r="AY1302" i="5"/>
  <c r="AU1302" i="5"/>
  <c r="AW1305" i="5"/>
  <c r="AV1305" i="5"/>
  <c r="AX1309" i="5"/>
  <c r="AV1310" i="5"/>
  <c r="AY1310" i="5"/>
  <c r="AU1310" i="5"/>
  <c r="AY1313" i="5"/>
  <c r="AW1314" i="5"/>
  <c r="AY1321" i="5"/>
  <c r="AW1322" i="5"/>
  <c r="AW1325" i="5"/>
  <c r="AV1325" i="5"/>
  <c r="AV1330" i="5"/>
  <c r="AY1330" i="5"/>
  <c r="AU1330" i="5"/>
  <c r="AU1337" i="5"/>
  <c r="AW1345" i="5"/>
  <c r="AV1345" i="5"/>
  <c r="AY1345" i="5"/>
  <c r="AU1345" i="5"/>
  <c r="AW1381" i="5"/>
  <c r="AV1381" i="5"/>
  <c r="AY1381" i="5"/>
  <c r="AU1381" i="5"/>
  <c r="AX1389" i="5"/>
  <c r="AW1401" i="5"/>
  <c r="AV1401" i="5"/>
  <c r="AY1401" i="5"/>
  <c r="AU1401" i="5"/>
  <c r="AX1417" i="5"/>
  <c r="AX1429" i="5"/>
  <c r="AX1437" i="5"/>
  <c r="AW1481" i="5"/>
  <c r="AV1481" i="5"/>
  <c r="AY1481" i="5"/>
  <c r="AU1481" i="5"/>
  <c r="AW1485" i="5"/>
  <c r="AV1485" i="5"/>
  <c r="AY1485" i="5"/>
  <c r="AU1485" i="5"/>
  <c r="AW1505" i="5"/>
  <c r="AV1505" i="5"/>
  <c r="AY1505" i="5"/>
  <c r="AU1505" i="5"/>
  <c r="AW1509" i="5"/>
  <c r="AV1509" i="5"/>
  <c r="AY1509" i="5"/>
  <c r="AU1509" i="5"/>
  <c r="AW1525" i="5"/>
  <c r="AV1525" i="5"/>
  <c r="AY1525" i="5"/>
  <c r="AU1525" i="5"/>
  <c r="AW1529" i="5"/>
  <c r="AV1529" i="5"/>
  <c r="AY1529" i="5"/>
  <c r="AU1529" i="5"/>
  <c r="AX1533" i="5"/>
  <c r="AW1537" i="5"/>
  <c r="AV1537" i="5"/>
  <c r="AY1537" i="5"/>
  <c r="AU1537" i="5"/>
  <c r="AW1553" i="5"/>
  <c r="AV1553" i="5"/>
  <c r="AY1553" i="5"/>
  <c r="AU1553" i="5"/>
  <c r="AX1565" i="5"/>
  <c r="AW1573" i="5"/>
  <c r="AV1573" i="5"/>
  <c r="AY1573" i="5"/>
  <c r="AU1573" i="5"/>
  <c r="AW1593" i="5"/>
  <c r="AV1593" i="5"/>
  <c r="AY1593" i="5"/>
  <c r="AU1593" i="5"/>
  <c r="AV1614" i="5"/>
  <c r="AY1614" i="5"/>
  <c r="AU1614" i="5"/>
  <c r="AX1614" i="5"/>
  <c r="AW1614" i="5"/>
  <c r="AW1673" i="5"/>
  <c r="AV1673" i="5"/>
  <c r="AY1673" i="5"/>
  <c r="AX1673" i="5"/>
  <c r="AU1673" i="5"/>
  <c r="AV1690" i="5"/>
  <c r="AY1690" i="5"/>
  <c r="AU1690" i="5"/>
  <c r="AX1690" i="5"/>
  <c r="AW1690" i="5"/>
  <c r="AV1698" i="5"/>
  <c r="AY1698" i="5"/>
  <c r="AU1698" i="5"/>
  <c r="AX1698" i="5"/>
  <c r="AW1698" i="5"/>
  <c r="AY1764" i="5"/>
  <c r="AU1764" i="5"/>
  <c r="AX1764" i="5"/>
  <c r="AW1764" i="5"/>
  <c r="AV1764" i="5"/>
  <c r="AW1870" i="5"/>
  <c r="AX1870" i="5"/>
  <c r="AV1870" i="5"/>
  <c r="AU1870" i="5"/>
  <c r="AY1870" i="5"/>
  <c r="AY1960" i="5"/>
  <c r="AU1960" i="5"/>
  <c r="AX1960" i="5"/>
  <c r="AW1960" i="5"/>
  <c r="AV1960" i="5"/>
  <c r="AW2042" i="5"/>
  <c r="AY2042" i="5"/>
  <c r="AU2042" i="5"/>
  <c r="AX2042" i="5"/>
  <c r="AV2042" i="5"/>
  <c r="AW2046" i="5"/>
  <c r="AY2046" i="5"/>
  <c r="AU2046" i="5"/>
  <c r="AX2046" i="5"/>
  <c r="AV2046" i="5"/>
  <c r="AX1338" i="5"/>
  <c r="AX1346" i="5"/>
  <c r="AX1350" i="5"/>
  <c r="AX1354" i="5"/>
  <c r="AX1358" i="5"/>
  <c r="AX1366" i="5"/>
  <c r="AX1370" i="5"/>
  <c r="AX1374" i="5"/>
  <c r="AX1386" i="5"/>
  <c r="AX1390" i="5"/>
  <c r="AX1394" i="5"/>
  <c r="AX1398" i="5"/>
  <c r="AX1402" i="5"/>
  <c r="AX1406" i="5"/>
  <c r="AX1410" i="5"/>
  <c r="AX1422" i="5"/>
  <c r="AX1426" i="5"/>
  <c r="AX1430" i="5"/>
  <c r="AX1434" i="5"/>
  <c r="AX1438" i="5"/>
  <c r="AX1442" i="5"/>
  <c r="AX1454" i="5"/>
  <c r="AX1462" i="5"/>
  <c r="AX1466" i="5"/>
  <c r="AX1478" i="5"/>
  <c r="AX1490" i="5"/>
  <c r="AX1498" i="5"/>
  <c r="AX1502" i="5"/>
  <c r="AX1514" i="5"/>
  <c r="AX1526" i="5"/>
  <c r="AX1534" i="5"/>
  <c r="AX1538" i="5"/>
  <c r="AX1542" i="5"/>
  <c r="AX1546" i="5"/>
  <c r="AX1550" i="5"/>
  <c r="AX1554" i="5"/>
  <c r="AX1562" i="5"/>
  <c r="AX1570" i="5"/>
  <c r="AX1574" i="5"/>
  <c r="AX1578" i="5"/>
  <c r="AX1582" i="5"/>
  <c r="AX1590" i="5"/>
  <c r="AY1601" i="5"/>
  <c r="AY1602" i="5"/>
  <c r="AW1617" i="5"/>
  <c r="AV1617" i="5"/>
  <c r="AW1633" i="5"/>
  <c r="AV1633" i="5"/>
  <c r="AV1638" i="5"/>
  <c r="AY1638" i="5"/>
  <c r="AU1638" i="5"/>
  <c r="AW1653" i="5"/>
  <c r="AV1653" i="5"/>
  <c r="AV1658" i="5"/>
  <c r="AY1658" i="5"/>
  <c r="AU1658" i="5"/>
  <c r="AW1661" i="5"/>
  <c r="AV1661" i="5"/>
  <c r="AW1681" i="5"/>
  <c r="AV1681" i="5"/>
  <c r="AV1686" i="5"/>
  <c r="AY1686" i="5"/>
  <c r="AU1686" i="5"/>
  <c r="AW1714" i="5"/>
  <c r="AV1714" i="5"/>
  <c r="AY1714" i="5"/>
  <c r="AU1714" i="5"/>
  <c r="AY1748" i="5"/>
  <c r="AU1748" i="5"/>
  <c r="AX1748" i="5"/>
  <c r="AW1748" i="5"/>
  <c r="AV1748" i="5"/>
  <c r="AV1775" i="5"/>
  <c r="AX1775" i="5"/>
  <c r="AW1775" i="5"/>
  <c r="AU1775" i="5"/>
  <c r="AV1811" i="5"/>
  <c r="AX1811" i="5"/>
  <c r="AW1811" i="5"/>
  <c r="AU1811" i="5"/>
  <c r="AV1851" i="5"/>
  <c r="AX1851" i="5"/>
  <c r="AW1851" i="5"/>
  <c r="AU1851" i="5"/>
  <c r="AW1898" i="5"/>
  <c r="AX1898" i="5"/>
  <c r="AV1898" i="5"/>
  <c r="AU1898" i="5"/>
  <c r="AY1904" i="5"/>
  <c r="AU1904" i="5"/>
  <c r="AX1904" i="5"/>
  <c r="AW1904" i="5"/>
  <c r="AV1904" i="5"/>
  <c r="AW1930" i="5"/>
  <c r="AX1930" i="5"/>
  <c r="AV1930" i="5"/>
  <c r="AU1930" i="5"/>
  <c r="AV1987" i="5"/>
  <c r="AX1987" i="5"/>
  <c r="AW1987" i="5"/>
  <c r="AU1987" i="5"/>
  <c r="AY2000" i="5"/>
  <c r="AU2000" i="5"/>
  <c r="AX2000" i="5"/>
  <c r="AW2000" i="5"/>
  <c r="AV2000" i="5"/>
  <c r="AY2092" i="5"/>
  <c r="AU2092" i="5"/>
  <c r="AW2092" i="5"/>
  <c r="AX2092" i="5"/>
  <c r="AV2092" i="5"/>
  <c r="AY2220" i="5"/>
  <c r="AU2220" i="5"/>
  <c r="AW2220" i="5"/>
  <c r="AX2220" i="5"/>
  <c r="AV2220" i="5"/>
  <c r="AY2228" i="5"/>
  <c r="AU2228" i="5"/>
  <c r="AW2228" i="5"/>
  <c r="AX2228" i="5"/>
  <c r="AV2228" i="5"/>
  <c r="AW2230" i="5"/>
  <c r="AY2230" i="5"/>
  <c r="AU2230" i="5"/>
  <c r="AX2230" i="5"/>
  <c r="AV2230" i="5"/>
  <c r="AW2286" i="5"/>
  <c r="AY2286" i="5"/>
  <c r="AU2286" i="5"/>
  <c r="AX2286" i="5"/>
  <c r="AV2286" i="5"/>
  <c r="AV2316" i="5"/>
  <c r="AY2316" i="5"/>
  <c r="AU2316" i="5"/>
  <c r="AW2316" i="5"/>
  <c r="AX2316" i="5"/>
  <c r="AV2328" i="5"/>
  <c r="AY2328" i="5"/>
  <c r="AU2328" i="5"/>
  <c r="AW2328" i="5"/>
  <c r="AX2328" i="5"/>
  <c r="AV2340" i="5"/>
  <c r="AY2340" i="5"/>
  <c r="AU2340" i="5"/>
  <c r="AW2340" i="5"/>
  <c r="AX2340" i="5"/>
  <c r="AV2352" i="5"/>
  <c r="AY2352" i="5"/>
  <c r="AU2352" i="5"/>
  <c r="AW2352" i="5"/>
  <c r="AX2352" i="5"/>
  <c r="AW888" i="5"/>
  <c r="AW896" i="5"/>
  <c r="AW904" i="5"/>
  <c r="AW908" i="5"/>
  <c r="AW912" i="5"/>
  <c r="AW916" i="5"/>
  <c r="AW920" i="5"/>
  <c r="AW924" i="5"/>
  <c r="AW932" i="5"/>
  <c r="AW940" i="5"/>
  <c r="AW944" i="5"/>
  <c r="AW952" i="5"/>
  <c r="AW956" i="5"/>
  <c r="AW968" i="5"/>
  <c r="AW976" i="5"/>
  <c r="AW980" i="5"/>
  <c r="AW988" i="5"/>
  <c r="AW1004" i="5"/>
  <c r="AW1012" i="5"/>
  <c r="AW1016" i="5"/>
  <c r="AW1020" i="5"/>
  <c r="AW1024" i="5"/>
  <c r="AW1032" i="5"/>
  <c r="AW1040" i="5"/>
  <c r="AW1044" i="5"/>
  <c r="AW1052" i="5"/>
  <c r="AW1056" i="5"/>
  <c r="AW1060" i="5"/>
  <c r="AW1064" i="5"/>
  <c r="AW1068" i="5"/>
  <c r="AW1076" i="5"/>
  <c r="AW1080" i="5"/>
  <c r="AW1088" i="5"/>
  <c r="AW1092" i="5"/>
  <c r="AW1096" i="5"/>
  <c r="AW1100" i="5"/>
  <c r="AW1112" i="5"/>
  <c r="AW1116" i="5"/>
  <c r="AW1120" i="5"/>
  <c r="AW1124" i="5"/>
  <c r="AW1128" i="5"/>
  <c r="AW1132" i="5"/>
  <c r="AW1136" i="5"/>
  <c r="AW1148" i="5"/>
  <c r="AW1152" i="5"/>
  <c r="AW1156" i="5"/>
  <c r="AW1160" i="5"/>
  <c r="AW1164" i="5"/>
  <c r="AW1168" i="5"/>
  <c r="AW1172" i="5"/>
  <c r="AW1176" i="5"/>
  <c r="AW1184" i="5"/>
  <c r="AW1188" i="5"/>
  <c r="AW1192" i="5"/>
  <c r="AW1200" i="5"/>
  <c r="AW1204" i="5"/>
  <c r="AW1208" i="5"/>
  <c r="AW1212" i="5"/>
  <c r="AX1219" i="5"/>
  <c r="AX1231" i="5"/>
  <c r="AX1235" i="5"/>
  <c r="AX1247" i="5"/>
  <c r="AX1255" i="5"/>
  <c r="AX1259" i="5"/>
  <c r="AX1267" i="5"/>
  <c r="AX1271" i="5"/>
  <c r="AX1275" i="5"/>
  <c r="AX1283" i="5"/>
  <c r="AX1287" i="5"/>
  <c r="AX1291" i="5"/>
  <c r="AX1295" i="5"/>
  <c r="AX1299" i="5"/>
  <c r="AX1303" i="5"/>
  <c r="AX1307" i="5"/>
  <c r="AX1311" i="5"/>
  <c r="AX1319" i="5"/>
  <c r="AX1323" i="5"/>
  <c r="AX1327" i="5"/>
  <c r="AX1331" i="5"/>
  <c r="AU1338" i="5"/>
  <c r="AY1338" i="5"/>
  <c r="AX1339" i="5"/>
  <c r="AX1343" i="5"/>
  <c r="AU1346" i="5"/>
  <c r="AY1346" i="5"/>
  <c r="AX1347" i="5"/>
  <c r="AU1350" i="5"/>
  <c r="AY1350" i="5"/>
  <c r="AU1354" i="5"/>
  <c r="AY1354" i="5"/>
  <c r="AX1355" i="5"/>
  <c r="AU1358" i="5"/>
  <c r="AY1358" i="5"/>
  <c r="AX1359" i="5"/>
  <c r="AX1363" i="5"/>
  <c r="AU1366" i="5"/>
  <c r="AY1366" i="5"/>
  <c r="AX1367" i="5"/>
  <c r="AU1370" i="5"/>
  <c r="AY1370" i="5"/>
  <c r="AU1374" i="5"/>
  <c r="AY1374" i="5"/>
  <c r="AX1375" i="5"/>
  <c r="AX1379" i="5"/>
  <c r="AX1383" i="5"/>
  <c r="AU1386" i="5"/>
  <c r="AY1386" i="5"/>
  <c r="AU1390" i="5"/>
  <c r="AY1390" i="5"/>
  <c r="AU1394" i="5"/>
  <c r="AY1394" i="5"/>
  <c r="AX1395" i="5"/>
  <c r="AU1398" i="5"/>
  <c r="AY1398" i="5"/>
  <c r="AX1399" i="5"/>
  <c r="AU1402" i="5"/>
  <c r="AY1402" i="5"/>
  <c r="AX1403" i="5"/>
  <c r="AU1406" i="5"/>
  <c r="AY1406" i="5"/>
  <c r="AX1407" i="5"/>
  <c r="AU1410" i="5"/>
  <c r="AY1410" i="5"/>
  <c r="AX1411" i="5"/>
  <c r="AX1415" i="5"/>
  <c r="AX1419" i="5"/>
  <c r="AU1422" i="5"/>
  <c r="AY1422" i="5"/>
  <c r="AU1426" i="5"/>
  <c r="AY1426" i="5"/>
  <c r="AU1430" i="5"/>
  <c r="AY1430" i="5"/>
  <c r="AX1431" i="5"/>
  <c r="AU1434" i="5"/>
  <c r="AY1434" i="5"/>
  <c r="AX1435" i="5"/>
  <c r="AU1438" i="5"/>
  <c r="AY1438" i="5"/>
  <c r="AX1439" i="5"/>
  <c r="AU1442" i="5"/>
  <c r="AY1442" i="5"/>
  <c r="AX1443" i="5"/>
  <c r="AX1451" i="5"/>
  <c r="AU1454" i="5"/>
  <c r="AY1454" i="5"/>
  <c r="AX1455" i="5"/>
  <c r="AU1462" i="5"/>
  <c r="AY1462" i="5"/>
  <c r="AX1463" i="5"/>
  <c r="AU1466" i="5"/>
  <c r="AY1466" i="5"/>
  <c r="AX1467" i="5"/>
  <c r="AX1471" i="5"/>
  <c r="AX1475" i="5"/>
  <c r="AU1478" i="5"/>
  <c r="AY1478" i="5"/>
  <c r="AX1479" i="5"/>
  <c r="AX1487" i="5"/>
  <c r="AU1490" i="5"/>
  <c r="AY1490" i="5"/>
  <c r="AX1491" i="5"/>
  <c r="AU1498" i="5"/>
  <c r="AY1498" i="5"/>
  <c r="AX1499" i="5"/>
  <c r="AU1502" i="5"/>
  <c r="AY1502" i="5"/>
  <c r="AX1503" i="5"/>
  <c r="AX1507" i="5"/>
  <c r="AX1511" i="5"/>
  <c r="AU1514" i="5"/>
  <c r="AY1514" i="5"/>
  <c r="AX1515" i="5"/>
  <c r="AX1519" i="5"/>
  <c r="AX1523" i="5"/>
  <c r="AU1526" i="5"/>
  <c r="AY1526" i="5"/>
  <c r="AX1527" i="5"/>
  <c r="AU1534" i="5"/>
  <c r="AY1534" i="5"/>
  <c r="AX1535" i="5"/>
  <c r="AU1538" i="5"/>
  <c r="AY1538" i="5"/>
  <c r="AU1542" i="5"/>
  <c r="AY1542" i="5"/>
  <c r="AU1546" i="5"/>
  <c r="AY1546" i="5"/>
  <c r="AX1547" i="5"/>
  <c r="AU1550" i="5"/>
  <c r="AY1550" i="5"/>
  <c r="AX1551" i="5"/>
  <c r="AU1554" i="5"/>
  <c r="AY1554" i="5"/>
  <c r="AX1559" i="5"/>
  <c r="AU1562" i="5"/>
  <c r="AY1562" i="5"/>
  <c r="AX1563" i="5"/>
  <c r="AU1570" i="5"/>
  <c r="AY1570" i="5"/>
  <c r="AX1571" i="5"/>
  <c r="AU1574" i="5"/>
  <c r="AY1574" i="5"/>
  <c r="AU1578" i="5"/>
  <c r="AY1578" i="5"/>
  <c r="AU1582" i="5"/>
  <c r="AY1582" i="5"/>
  <c r="AX1583" i="5"/>
  <c r="AX1587" i="5"/>
  <c r="AU1590" i="5"/>
  <c r="AY1590" i="5"/>
  <c r="AY1599" i="5"/>
  <c r="AU1599" i="5"/>
  <c r="AU1601" i="5"/>
  <c r="AU1602" i="5"/>
  <c r="AY1607" i="5"/>
  <c r="AU1607" i="5"/>
  <c r="AX1607" i="5"/>
  <c r="AW1609" i="5"/>
  <c r="AV1609" i="5"/>
  <c r="AU1617" i="5"/>
  <c r="AV1626" i="5"/>
  <c r="AY1626" i="5"/>
  <c r="AU1626" i="5"/>
  <c r="AU1633" i="5"/>
  <c r="AW1638" i="5"/>
  <c r="AW1641" i="5"/>
  <c r="AV1641" i="5"/>
  <c r="AV1646" i="5"/>
  <c r="AY1646" i="5"/>
  <c r="AU1646" i="5"/>
  <c r="AW1649" i="5"/>
  <c r="AV1649" i="5"/>
  <c r="AU1653" i="5"/>
  <c r="AW1658" i="5"/>
  <c r="AU1661" i="5"/>
  <c r="AV1674" i="5"/>
  <c r="AY1674" i="5"/>
  <c r="AU1674" i="5"/>
  <c r="AU1681" i="5"/>
  <c r="AW1686" i="5"/>
  <c r="AW1689" i="5"/>
  <c r="AV1689" i="5"/>
  <c r="AV1694" i="5"/>
  <c r="AY1694" i="5"/>
  <c r="AU1694" i="5"/>
  <c r="AW1697" i="5"/>
  <c r="AV1697" i="5"/>
  <c r="AW1706" i="5"/>
  <c r="AV1706" i="5"/>
  <c r="AY1706" i="5"/>
  <c r="AU1706" i="5"/>
  <c r="AX1714" i="5"/>
  <c r="AY1732" i="5"/>
  <c r="AU1732" i="5"/>
  <c r="AX1732" i="5"/>
  <c r="AW1732" i="5"/>
  <c r="AV1732" i="5"/>
  <c r="AY1775" i="5"/>
  <c r="AY1804" i="5"/>
  <c r="AU1804" i="5"/>
  <c r="AX1804" i="5"/>
  <c r="AW1804" i="5"/>
  <c r="AV1804" i="5"/>
  <c r="AY1811" i="5"/>
  <c r="AY1816" i="5"/>
  <c r="AU1816" i="5"/>
  <c r="AX1816" i="5"/>
  <c r="AW1816" i="5"/>
  <c r="AV1816" i="5"/>
  <c r="AV1823" i="5"/>
  <c r="AX1823" i="5"/>
  <c r="AW1823" i="5"/>
  <c r="AU1823" i="5"/>
  <c r="AY1851" i="5"/>
  <c r="AY1884" i="5"/>
  <c r="AU1884" i="5"/>
  <c r="AX1884" i="5"/>
  <c r="AW1884" i="5"/>
  <c r="AV1884" i="5"/>
  <c r="AY1898" i="5"/>
  <c r="AY1924" i="5"/>
  <c r="AU1924" i="5"/>
  <c r="AX1924" i="5"/>
  <c r="AW1924" i="5"/>
  <c r="AV1924" i="5"/>
  <c r="AY1930" i="5"/>
  <c r="AW1966" i="5"/>
  <c r="AX1966" i="5"/>
  <c r="AV1966" i="5"/>
  <c r="AU1966" i="5"/>
  <c r="AV1967" i="5"/>
  <c r="AX1967" i="5"/>
  <c r="AW1967" i="5"/>
  <c r="AU1967" i="5"/>
  <c r="AW1986" i="5"/>
  <c r="AX1986" i="5"/>
  <c r="AV1986" i="5"/>
  <c r="AU1986" i="5"/>
  <c r="AY1987" i="5"/>
  <c r="AV1995" i="5"/>
  <c r="AX1995" i="5"/>
  <c r="AW1995" i="5"/>
  <c r="AU1995" i="5"/>
  <c r="AW2014" i="5"/>
  <c r="AX2014" i="5"/>
  <c r="AV2014" i="5"/>
  <c r="AU2014" i="5"/>
  <c r="AV2015" i="5"/>
  <c r="AX2015" i="5"/>
  <c r="AW2015" i="5"/>
  <c r="AU2015" i="5"/>
  <c r="AW2066" i="5"/>
  <c r="AY2066" i="5"/>
  <c r="AU2066" i="5"/>
  <c r="AX2066" i="5"/>
  <c r="AV2066" i="5"/>
  <c r="AW2070" i="5"/>
  <c r="AY2070" i="5"/>
  <c r="AU2070" i="5"/>
  <c r="AX2070" i="5"/>
  <c r="AV2070" i="5"/>
  <c r="AW2114" i="5"/>
  <c r="AY2114" i="5"/>
  <c r="AU2114" i="5"/>
  <c r="AX2114" i="5"/>
  <c r="AV2114" i="5"/>
  <c r="AV2427" i="5"/>
  <c r="AW2427" i="5"/>
  <c r="AU2427" i="5"/>
  <c r="AX2427" i="5"/>
  <c r="AY2427" i="5"/>
  <c r="AU1219" i="5"/>
  <c r="AU1231" i="5"/>
  <c r="AU1235" i="5"/>
  <c r="AU1247" i="5"/>
  <c r="AU1255" i="5"/>
  <c r="AU1259" i="5"/>
  <c r="AU1267" i="5"/>
  <c r="AU1271" i="5"/>
  <c r="AU1275" i="5"/>
  <c r="AU1283" i="5"/>
  <c r="AU1287" i="5"/>
  <c r="AU1291" i="5"/>
  <c r="AU1295" i="5"/>
  <c r="AU1299" i="5"/>
  <c r="AU1303" i="5"/>
  <c r="AU1307" i="5"/>
  <c r="AU1311" i="5"/>
  <c r="AU1319" i="5"/>
  <c r="AU1323" i="5"/>
  <c r="AU1327" i="5"/>
  <c r="AU1331" i="5"/>
  <c r="AU1339" i="5"/>
  <c r="AU1343" i="5"/>
  <c r="AU1347" i="5"/>
  <c r="AU1355" i="5"/>
  <c r="AU1359" i="5"/>
  <c r="AU1363" i="5"/>
  <c r="AU1367" i="5"/>
  <c r="AU1375" i="5"/>
  <c r="AU1379" i="5"/>
  <c r="AU1383" i="5"/>
  <c r="AU1395" i="5"/>
  <c r="AU1399" i="5"/>
  <c r="AU1403" i="5"/>
  <c r="AU1407" i="5"/>
  <c r="AU1411" i="5"/>
  <c r="AU1415" i="5"/>
  <c r="AU1419" i="5"/>
  <c r="AU1431" i="5"/>
  <c r="AU1435" i="5"/>
  <c r="AU1439" i="5"/>
  <c r="AU1443" i="5"/>
  <c r="AU1451" i="5"/>
  <c r="AU1455" i="5"/>
  <c r="AU1463" i="5"/>
  <c r="AU1467" i="5"/>
  <c r="AU1471" i="5"/>
  <c r="AU1475" i="5"/>
  <c r="AU1479" i="5"/>
  <c r="AU1487" i="5"/>
  <c r="AU1491" i="5"/>
  <c r="AU1499" i="5"/>
  <c r="AU1503" i="5"/>
  <c r="AU1507" i="5"/>
  <c r="AU1511" i="5"/>
  <c r="AU1515" i="5"/>
  <c r="AU1519" i="5"/>
  <c r="AU1523" i="5"/>
  <c r="AU1527" i="5"/>
  <c r="AU1535" i="5"/>
  <c r="AU1547" i="5"/>
  <c r="AU1551" i="5"/>
  <c r="AU1559" i="5"/>
  <c r="AU1563" i="5"/>
  <c r="AU1571" i="5"/>
  <c r="AU1583" i="5"/>
  <c r="AU1587" i="5"/>
  <c r="AY1597" i="5"/>
  <c r="AY1598" i="5"/>
  <c r="AV1599" i="5"/>
  <c r="AV1601" i="5"/>
  <c r="AW1602" i="5"/>
  <c r="AY1605" i="5"/>
  <c r="AY1606" i="5"/>
  <c r="AV1607" i="5"/>
  <c r="AU1609" i="5"/>
  <c r="AX1617" i="5"/>
  <c r="AV1618" i="5"/>
  <c r="AY1618" i="5"/>
  <c r="AU1618" i="5"/>
  <c r="AW1626" i="5"/>
  <c r="AW1629" i="5"/>
  <c r="AV1629" i="5"/>
  <c r="AX1633" i="5"/>
  <c r="AV1634" i="5"/>
  <c r="AY1634" i="5"/>
  <c r="AU1634" i="5"/>
  <c r="AW1637" i="5"/>
  <c r="AV1637" i="5"/>
  <c r="AX1638" i="5"/>
  <c r="AU1641" i="5"/>
  <c r="AW1646" i="5"/>
  <c r="AU1649" i="5"/>
  <c r="AX1653" i="5"/>
  <c r="AV1654" i="5"/>
  <c r="AY1654" i="5"/>
  <c r="AU1654" i="5"/>
  <c r="AX1658" i="5"/>
  <c r="AX1661" i="5"/>
  <c r="AV1662" i="5"/>
  <c r="AY1662" i="5"/>
  <c r="AU1662" i="5"/>
  <c r="AW1674" i="5"/>
  <c r="AW1677" i="5"/>
  <c r="AV1677" i="5"/>
  <c r="AX1681" i="5"/>
  <c r="AV1682" i="5"/>
  <c r="AY1682" i="5"/>
  <c r="AU1682" i="5"/>
  <c r="AW1685" i="5"/>
  <c r="AV1685" i="5"/>
  <c r="AX1686" i="5"/>
  <c r="AU1689" i="5"/>
  <c r="AW1694" i="5"/>
  <c r="AU1697" i="5"/>
  <c r="AX1706" i="5"/>
  <c r="AW1758" i="5"/>
  <c r="AX1758" i="5"/>
  <c r="AV1758" i="5"/>
  <c r="AU1758" i="5"/>
  <c r="AV1759" i="5"/>
  <c r="AX1759" i="5"/>
  <c r="AW1759" i="5"/>
  <c r="AU1759" i="5"/>
  <c r="AY1780" i="5"/>
  <c r="AU1780" i="5"/>
  <c r="AX1780" i="5"/>
  <c r="AW1780" i="5"/>
  <c r="AV1780" i="5"/>
  <c r="AV1847" i="5"/>
  <c r="AX1847" i="5"/>
  <c r="AW1847" i="5"/>
  <c r="AU1847" i="5"/>
  <c r="AY1912" i="5"/>
  <c r="AU1912" i="5"/>
  <c r="AX1912" i="5"/>
  <c r="AW1912" i="5"/>
  <c r="AV1912" i="5"/>
  <c r="AY1952" i="5"/>
  <c r="AU1952" i="5"/>
  <c r="AX1952" i="5"/>
  <c r="AW1952" i="5"/>
  <c r="AV1952" i="5"/>
  <c r="AY2192" i="5"/>
  <c r="AU2192" i="5"/>
  <c r="AW2192" i="5"/>
  <c r="AX2192" i="5"/>
  <c r="AV2192" i="5"/>
  <c r="AW2194" i="5"/>
  <c r="AY2194" i="5"/>
  <c r="AU2194" i="5"/>
  <c r="AX2194" i="5"/>
  <c r="AV2194" i="5"/>
  <c r="AY2200" i="5"/>
  <c r="AU2200" i="5"/>
  <c r="AW2200" i="5"/>
  <c r="AX2200" i="5"/>
  <c r="AV2200" i="5"/>
  <c r="AW2238" i="5"/>
  <c r="AY2238" i="5"/>
  <c r="AU2238" i="5"/>
  <c r="AX2238" i="5"/>
  <c r="AV2238" i="5"/>
  <c r="AY2268" i="5"/>
  <c r="AU2268" i="5"/>
  <c r="AW2268" i="5"/>
  <c r="AX2268" i="5"/>
  <c r="AV2268" i="5"/>
  <c r="AY2276" i="5"/>
  <c r="AU2276" i="5"/>
  <c r="AW2276" i="5"/>
  <c r="AX2276" i="5"/>
  <c r="AV2276" i="5"/>
  <c r="AW2426" i="5"/>
  <c r="AV2426" i="5"/>
  <c r="AU2426" i="5"/>
  <c r="AX2426" i="5"/>
  <c r="AY2426" i="5"/>
  <c r="AX1611" i="5"/>
  <c r="AX1615" i="5"/>
  <c r="AX1619" i="5"/>
  <c r="AX1623" i="5"/>
  <c r="AX1627" i="5"/>
  <c r="AX1635" i="5"/>
  <c r="AX1643" i="5"/>
  <c r="AX1647" i="5"/>
  <c r="AX1655" i="5"/>
  <c r="AX1659" i="5"/>
  <c r="AX1663" i="5"/>
  <c r="AX1667" i="5"/>
  <c r="AX1671" i="5"/>
  <c r="AX1679" i="5"/>
  <c r="AX1683" i="5"/>
  <c r="AX1691" i="5"/>
  <c r="AX1695" i="5"/>
  <c r="AX1699" i="5"/>
  <c r="AX1703" i="5"/>
  <c r="AX1707" i="5"/>
  <c r="AV1709" i="5"/>
  <c r="AX1715" i="5"/>
  <c r="AV1717" i="5"/>
  <c r="AX1719" i="5"/>
  <c r="AV1721" i="5"/>
  <c r="AV1722" i="5"/>
  <c r="AW1723" i="5"/>
  <c r="AW1728" i="5"/>
  <c r="AY1730" i="5"/>
  <c r="AY1731" i="5"/>
  <c r="AY1736" i="5"/>
  <c r="AU1736" i="5"/>
  <c r="AW1739" i="5"/>
  <c r="AW1744" i="5"/>
  <c r="AY1746" i="5"/>
  <c r="AV1754" i="5"/>
  <c r="AW1755" i="5"/>
  <c r="AW1760" i="5"/>
  <c r="AY1762" i="5"/>
  <c r="AY1763" i="5"/>
  <c r="AX1766" i="5"/>
  <c r="AX1767" i="5"/>
  <c r="AY1768" i="5"/>
  <c r="AU1768" i="5"/>
  <c r="AW1771" i="5"/>
  <c r="AW1776" i="5"/>
  <c r="AY1778" i="5"/>
  <c r="AY1784" i="5"/>
  <c r="AU1784" i="5"/>
  <c r="AW1788" i="5"/>
  <c r="AY1791" i="5"/>
  <c r="AX1794" i="5"/>
  <c r="AX1795" i="5"/>
  <c r="AY1796" i="5"/>
  <c r="AU1796" i="5"/>
  <c r="AW1800" i="5"/>
  <c r="AY1802" i="5"/>
  <c r="AY1803" i="5"/>
  <c r="AX1806" i="5"/>
  <c r="AX1807" i="5"/>
  <c r="AW1812" i="5"/>
  <c r="AY1814" i="5"/>
  <c r="AY1815" i="5"/>
  <c r="AX1818" i="5"/>
  <c r="AY1820" i="5"/>
  <c r="AU1820" i="5"/>
  <c r="AW1824" i="5"/>
  <c r="AY1830" i="5"/>
  <c r="AW1832" i="5"/>
  <c r="AY1836" i="5"/>
  <c r="AU1836" i="5"/>
  <c r="AV1838" i="5"/>
  <c r="AX1839" i="5"/>
  <c r="AY1840" i="5"/>
  <c r="AU1840" i="5"/>
  <c r="AV1842" i="5"/>
  <c r="AX1843" i="5"/>
  <c r="AW1848" i="5"/>
  <c r="AY1850" i="5"/>
  <c r="AW1852" i="5"/>
  <c r="AY1854" i="5"/>
  <c r="AW1856" i="5"/>
  <c r="AX1859" i="5"/>
  <c r="AY1860" i="5"/>
  <c r="AU1860" i="5"/>
  <c r="AV1862" i="5"/>
  <c r="AX1863" i="5"/>
  <c r="AV1866" i="5"/>
  <c r="AX1867" i="5"/>
  <c r="AY1868" i="5"/>
  <c r="AU1868" i="5"/>
  <c r="AW1872" i="5"/>
  <c r="AX1874" i="5"/>
  <c r="AX1875" i="5"/>
  <c r="AY1876" i="5"/>
  <c r="AU1876" i="5"/>
  <c r="AV1878" i="5"/>
  <c r="AW1879" i="5"/>
  <c r="AV1886" i="5"/>
  <c r="AW1887" i="5"/>
  <c r="AW1892" i="5"/>
  <c r="AX1894" i="5"/>
  <c r="AY1896" i="5"/>
  <c r="AU1896" i="5"/>
  <c r="AY1902" i="5"/>
  <c r="AY1903" i="5"/>
  <c r="AV1906" i="5"/>
  <c r="AY1910" i="5"/>
  <c r="AY1911" i="5"/>
  <c r="AX1914" i="5"/>
  <c r="AX1915" i="5"/>
  <c r="AY1916" i="5"/>
  <c r="AU1916" i="5"/>
  <c r="AX1922" i="5"/>
  <c r="AY1923" i="5"/>
  <c r="AX1926" i="5"/>
  <c r="AY1928" i="5"/>
  <c r="AU1928" i="5"/>
  <c r="AW1932" i="5"/>
  <c r="AX1934" i="5"/>
  <c r="AY1935" i="5"/>
  <c r="AX1939" i="5"/>
  <c r="AY1940" i="5"/>
  <c r="AU1940" i="5"/>
  <c r="AW1944" i="5"/>
  <c r="AX1946" i="5"/>
  <c r="AX1950" i="5"/>
  <c r="AY1951" i="5"/>
  <c r="AW1955" i="5"/>
  <c r="AY1958" i="5"/>
  <c r="AY1959" i="5"/>
  <c r="AX1962" i="5"/>
  <c r="AY1964" i="5"/>
  <c r="AU1964" i="5"/>
  <c r="AX1970" i="5"/>
  <c r="AX1971" i="5"/>
  <c r="AW1975" i="5"/>
  <c r="AY1978" i="5"/>
  <c r="AY1979" i="5"/>
  <c r="AV1982" i="5"/>
  <c r="AW1988" i="5"/>
  <c r="AX1991" i="5"/>
  <c r="AW1996" i="5"/>
  <c r="AY1998" i="5"/>
  <c r="AV2002" i="5"/>
  <c r="AY2006" i="5"/>
  <c r="AY2007" i="5"/>
  <c r="AX2010" i="5"/>
  <c r="AX2011" i="5"/>
  <c r="AX2018" i="5"/>
  <c r="AX2019" i="5"/>
  <c r="AY2020" i="5"/>
  <c r="AU2020" i="5"/>
  <c r="AV2022" i="5"/>
  <c r="AW2023" i="5"/>
  <c r="AY2027" i="5"/>
  <c r="AW2031" i="5"/>
  <c r="AY2036" i="5"/>
  <c r="AU2036" i="5"/>
  <c r="AW2036" i="5"/>
  <c r="AW2038" i="5"/>
  <c r="AY2038" i="5"/>
  <c r="AU2038" i="5"/>
  <c r="AY2040" i="5"/>
  <c r="AU2040" i="5"/>
  <c r="AW2040" i="5"/>
  <c r="AY2060" i="5"/>
  <c r="AU2060" i="5"/>
  <c r="AW2060" i="5"/>
  <c r="AY2064" i="5"/>
  <c r="AU2064" i="5"/>
  <c r="AW2064" i="5"/>
  <c r="AY2084" i="5"/>
  <c r="AU2084" i="5"/>
  <c r="AW2084" i="5"/>
  <c r="AY2088" i="5"/>
  <c r="AU2088" i="5"/>
  <c r="AW2088" i="5"/>
  <c r="AY2108" i="5"/>
  <c r="AU2108" i="5"/>
  <c r="AW2108" i="5"/>
  <c r="AW2110" i="5"/>
  <c r="AY2110" i="5"/>
  <c r="AU2110" i="5"/>
  <c r="AY2112" i="5"/>
  <c r="AU2112" i="5"/>
  <c r="AW2112" i="5"/>
  <c r="AY2136" i="5"/>
  <c r="AU2136" i="5"/>
  <c r="AW2136" i="5"/>
  <c r="AY2144" i="5"/>
  <c r="AU2144" i="5"/>
  <c r="AW2144" i="5"/>
  <c r="AW2146" i="5"/>
  <c r="AY2146" i="5"/>
  <c r="AU2146" i="5"/>
  <c r="AY2148" i="5"/>
  <c r="AU2148" i="5"/>
  <c r="AW2148" i="5"/>
  <c r="AY2156" i="5"/>
  <c r="AU2156" i="5"/>
  <c r="AW2156" i="5"/>
  <c r="AW2158" i="5"/>
  <c r="AY2158" i="5"/>
  <c r="AU2158" i="5"/>
  <c r="AY2168" i="5"/>
  <c r="AU2168" i="5"/>
  <c r="AW2168" i="5"/>
  <c r="AY2172" i="5"/>
  <c r="AU2172" i="5"/>
  <c r="AW2172" i="5"/>
  <c r="AY2180" i="5"/>
  <c r="AU2180" i="5"/>
  <c r="AW2180" i="5"/>
  <c r="AW2182" i="5"/>
  <c r="AY2182" i="5"/>
  <c r="AU2182" i="5"/>
  <c r="AY2184" i="5"/>
  <c r="AU2184" i="5"/>
  <c r="AW2184" i="5"/>
  <c r="AY2208" i="5"/>
  <c r="AU2208" i="5"/>
  <c r="AW2208" i="5"/>
  <c r="AY2212" i="5"/>
  <c r="AU2212" i="5"/>
  <c r="AW2212" i="5"/>
  <c r="AW2218" i="5"/>
  <c r="AY2218" i="5"/>
  <c r="AU2218" i="5"/>
  <c r="AW2222" i="5"/>
  <c r="AY2222" i="5"/>
  <c r="AU2222" i="5"/>
  <c r="AW2226" i="5"/>
  <c r="AY2226" i="5"/>
  <c r="AU2226" i="5"/>
  <c r="AY2256" i="5"/>
  <c r="AU2256" i="5"/>
  <c r="AW2256" i="5"/>
  <c r="AY2264" i="5"/>
  <c r="AU2264" i="5"/>
  <c r="AW2264" i="5"/>
  <c r="AW2266" i="5"/>
  <c r="AY2266" i="5"/>
  <c r="AU2266" i="5"/>
  <c r="AW2270" i="5"/>
  <c r="AY2270" i="5"/>
  <c r="AU2270" i="5"/>
  <c r="AW2274" i="5"/>
  <c r="AY2274" i="5"/>
  <c r="AU2274" i="5"/>
  <c r="AV2304" i="5"/>
  <c r="AY2304" i="5"/>
  <c r="AU2304" i="5"/>
  <c r="AW2304" i="5"/>
  <c r="AW2378" i="5"/>
  <c r="AV2378" i="5"/>
  <c r="AU2378" i="5"/>
  <c r="AX2378" i="5"/>
  <c r="AV2379" i="5"/>
  <c r="AW2379" i="5"/>
  <c r="AU2379" i="5"/>
  <c r="AX2379" i="5"/>
  <c r="AY2384" i="5"/>
  <c r="AU2384" i="5"/>
  <c r="AW2384" i="5"/>
  <c r="AV2384" i="5"/>
  <c r="AX2384" i="5"/>
  <c r="AW2394" i="5"/>
  <c r="AV2394" i="5"/>
  <c r="AU2394" i="5"/>
  <c r="AX2394" i="5"/>
  <c r="AW2410" i="5"/>
  <c r="AV2410" i="5"/>
  <c r="AU2410" i="5"/>
  <c r="AX2410" i="5"/>
  <c r="AY2416" i="5"/>
  <c r="AU2416" i="5"/>
  <c r="AW2416" i="5"/>
  <c r="AV2416" i="5"/>
  <c r="AX2416" i="5"/>
  <c r="AU1611" i="5"/>
  <c r="AU1615" i="5"/>
  <c r="AU1619" i="5"/>
  <c r="AU1623" i="5"/>
  <c r="AU1627" i="5"/>
  <c r="AU1635" i="5"/>
  <c r="AU1643" i="5"/>
  <c r="AU1647" i="5"/>
  <c r="AU1655" i="5"/>
  <c r="AU1659" i="5"/>
  <c r="AU1663" i="5"/>
  <c r="AU1667" i="5"/>
  <c r="AU1671" i="5"/>
  <c r="AU1679" i="5"/>
  <c r="AU1683" i="5"/>
  <c r="AU1691" i="5"/>
  <c r="AU1695" i="5"/>
  <c r="AU1699" i="5"/>
  <c r="AU1703" i="5"/>
  <c r="AU1707" i="5"/>
  <c r="AW1709" i="5"/>
  <c r="AU1715" i="5"/>
  <c r="AW1717" i="5"/>
  <c r="AU1719" i="5"/>
  <c r="AW1721" i="5"/>
  <c r="AX1722" i="5"/>
  <c r="AX1723" i="5"/>
  <c r="AY1724" i="5"/>
  <c r="AU1724" i="5"/>
  <c r="AU1730" i="5"/>
  <c r="AU1731" i="5"/>
  <c r="AY1735" i="5"/>
  <c r="AV1736" i="5"/>
  <c r="AX1739" i="5"/>
  <c r="AY1740" i="5"/>
  <c r="AU1740" i="5"/>
  <c r="AU1746" i="5"/>
  <c r="AY1750" i="5"/>
  <c r="AY1751" i="5"/>
  <c r="AX1754" i="5"/>
  <c r="AX1755" i="5"/>
  <c r="AU1762" i="5"/>
  <c r="AU1763" i="5"/>
  <c r="AY1766" i="5"/>
  <c r="AY1767" i="5"/>
  <c r="AV1768" i="5"/>
  <c r="AX1771" i="5"/>
  <c r="AY1772" i="5"/>
  <c r="AU1772" i="5"/>
  <c r="AU1778" i="5"/>
  <c r="AY1782" i="5"/>
  <c r="AV1784" i="5"/>
  <c r="AU1791" i="5"/>
  <c r="AY1794" i="5"/>
  <c r="AY1795" i="5"/>
  <c r="AV1796" i="5"/>
  <c r="AY1806" i="5"/>
  <c r="AY1807" i="5"/>
  <c r="AY1818" i="5"/>
  <c r="AX1838" i="5"/>
  <c r="AY1839" i="5"/>
  <c r="AX1842" i="5"/>
  <c r="AY1843" i="5"/>
  <c r="AY1859" i="5"/>
  <c r="AX1862" i="5"/>
  <c r="AY1863" i="5"/>
  <c r="AX1866" i="5"/>
  <c r="AY1867" i="5"/>
  <c r="AY1874" i="5"/>
  <c r="AY1875" i="5"/>
  <c r="AX1878" i="5"/>
  <c r="AX1879" i="5"/>
  <c r="AY1880" i="5"/>
  <c r="AU1880" i="5"/>
  <c r="AX1886" i="5"/>
  <c r="AX1887" i="5"/>
  <c r="AY1888" i="5"/>
  <c r="AU1888" i="5"/>
  <c r="AY1894" i="5"/>
  <c r="AX1906" i="5"/>
  <c r="AY1908" i="5"/>
  <c r="AU1908" i="5"/>
  <c r="AY1914" i="5"/>
  <c r="AY1915" i="5"/>
  <c r="AY1922" i="5"/>
  <c r="AY1926" i="5"/>
  <c r="AY1934" i="5"/>
  <c r="AY1939" i="5"/>
  <c r="AY1946" i="5"/>
  <c r="AY1950" i="5"/>
  <c r="AX1955" i="5"/>
  <c r="AY1962" i="5"/>
  <c r="AY1970" i="5"/>
  <c r="AY1971" i="5"/>
  <c r="AX1975" i="5"/>
  <c r="AY1976" i="5"/>
  <c r="AU1976" i="5"/>
  <c r="AX1982" i="5"/>
  <c r="AY1984" i="5"/>
  <c r="AU1984" i="5"/>
  <c r="AY1991" i="5"/>
  <c r="AX2002" i="5"/>
  <c r="AY2010" i="5"/>
  <c r="AY2011" i="5"/>
  <c r="AY2018" i="5"/>
  <c r="AY2019" i="5"/>
  <c r="AX2022" i="5"/>
  <c r="AX2023" i="5"/>
  <c r="AY2024" i="5"/>
  <c r="AU2024" i="5"/>
  <c r="AX2031" i="5"/>
  <c r="AY2032" i="5"/>
  <c r="AU2032" i="5"/>
  <c r="AW2034" i="5"/>
  <c r="AY2034" i="5"/>
  <c r="AU2034" i="5"/>
  <c r="AW2054" i="5"/>
  <c r="AY2054" i="5"/>
  <c r="AU2054" i="5"/>
  <c r="AY2056" i="5"/>
  <c r="AU2056" i="5"/>
  <c r="AW2056" i="5"/>
  <c r="AW2058" i="5"/>
  <c r="AY2058" i="5"/>
  <c r="AU2058" i="5"/>
  <c r="AV2060" i="5"/>
  <c r="AV2064" i="5"/>
  <c r="AW2078" i="5"/>
  <c r="AY2078" i="5"/>
  <c r="AU2078" i="5"/>
  <c r="AW2082" i="5"/>
  <c r="AY2082" i="5"/>
  <c r="AU2082" i="5"/>
  <c r="AV2084" i="5"/>
  <c r="AV2088" i="5"/>
  <c r="AW2102" i="5"/>
  <c r="AY2102" i="5"/>
  <c r="AU2102" i="5"/>
  <c r="AW2106" i="5"/>
  <c r="AY2106" i="5"/>
  <c r="AU2106" i="5"/>
  <c r="AV2108" i="5"/>
  <c r="AV2110" i="5"/>
  <c r="AV2112" i="5"/>
  <c r="AY2120" i="5"/>
  <c r="AU2120" i="5"/>
  <c r="AW2120" i="5"/>
  <c r="AY2124" i="5"/>
  <c r="AU2124" i="5"/>
  <c r="AW2124" i="5"/>
  <c r="AY2132" i="5"/>
  <c r="AU2132" i="5"/>
  <c r="AW2132" i="5"/>
  <c r="AV2136" i="5"/>
  <c r="AY2140" i="5"/>
  <c r="AU2140" i="5"/>
  <c r="AW2140" i="5"/>
  <c r="AV2144" i="5"/>
  <c r="AV2146" i="5"/>
  <c r="AV2148" i="5"/>
  <c r="AW2154" i="5"/>
  <c r="AY2154" i="5"/>
  <c r="AU2154" i="5"/>
  <c r="AV2156" i="5"/>
  <c r="AV2158" i="5"/>
  <c r="AY2164" i="5"/>
  <c r="AU2164" i="5"/>
  <c r="AW2164" i="5"/>
  <c r="AW2166" i="5"/>
  <c r="AY2166" i="5"/>
  <c r="AU2166" i="5"/>
  <c r="AV2168" i="5"/>
  <c r="AV2172" i="5"/>
  <c r="AY2176" i="5"/>
  <c r="AU2176" i="5"/>
  <c r="AW2176" i="5"/>
  <c r="AV2180" i="5"/>
  <c r="AV2182" i="5"/>
  <c r="AV2184" i="5"/>
  <c r="AW2190" i="5"/>
  <c r="AY2190" i="5"/>
  <c r="AU2190" i="5"/>
  <c r="AY2204" i="5"/>
  <c r="AU2204" i="5"/>
  <c r="AW2204" i="5"/>
  <c r="AV2208" i="5"/>
  <c r="AW2210" i="5"/>
  <c r="AY2210" i="5"/>
  <c r="AU2210" i="5"/>
  <c r="AV2212" i="5"/>
  <c r="AW2214" i="5"/>
  <c r="AY2214" i="5"/>
  <c r="AU2214" i="5"/>
  <c r="AV2218" i="5"/>
  <c r="AV2222" i="5"/>
  <c r="AV2226" i="5"/>
  <c r="AY2244" i="5"/>
  <c r="AU2244" i="5"/>
  <c r="AW2244" i="5"/>
  <c r="AY2248" i="5"/>
  <c r="AU2248" i="5"/>
  <c r="AW2248" i="5"/>
  <c r="AW2254" i="5"/>
  <c r="AY2254" i="5"/>
  <c r="AU2254" i="5"/>
  <c r="AV2256" i="5"/>
  <c r="AW2258" i="5"/>
  <c r="AY2258" i="5"/>
  <c r="AU2258" i="5"/>
  <c r="AW2262" i="5"/>
  <c r="AY2262" i="5"/>
  <c r="AU2262" i="5"/>
  <c r="AV2264" i="5"/>
  <c r="AV2266" i="5"/>
  <c r="AV2270" i="5"/>
  <c r="AV2274" i="5"/>
  <c r="AV2288" i="5"/>
  <c r="AY2288" i="5"/>
  <c r="AU2288" i="5"/>
  <c r="AW2288" i="5"/>
  <c r="AV2300" i="5"/>
  <c r="AY2300" i="5"/>
  <c r="AU2300" i="5"/>
  <c r="AW2300" i="5"/>
  <c r="AX2304" i="5"/>
  <c r="AV2312" i="5"/>
  <c r="AY2312" i="5"/>
  <c r="AU2312" i="5"/>
  <c r="AW2312" i="5"/>
  <c r="AV2324" i="5"/>
  <c r="AY2324" i="5"/>
  <c r="AU2324" i="5"/>
  <c r="AW2324" i="5"/>
  <c r="AV2336" i="5"/>
  <c r="AY2336" i="5"/>
  <c r="AU2336" i="5"/>
  <c r="AW2336" i="5"/>
  <c r="AV2348" i="5"/>
  <c r="AY2348" i="5"/>
  <c r="AU2348" i="5"/>
  <c r="AW2348" i="5"/>
  <c r="AV2360" i="5"/>
  <c r="AY2360" i="5"/>
  <c r="AU2360" i="5"/>
  <c r="AW2360" i="5"/>
  <c r="AY2372" i="5"/>
  <c r="AU2372" i="5"/>
  <c r="AW2372" i="5"/>
  <c r="AV2372" i="5"/>
  <c r="AX2372" i="5"/>
  <c r="AY2378" i="5"/>
  <c r="AY2379" i="5"/>
  <c r="AY2394" i="5"/>
  <c r="AY2400" i="5"/>
  <c r="AU2400" i="5"/>
  <c r="AW2400" i="5"/>
  <c r="AV2400" i="5"/>
  <c r="AX2400" i="5"/>
  <c r="AY2410" i="5"/>
  <c r="AW2462" i="5"/>
  <c r="AY2462" i="5"/>
  <c r="AU2462" i="5"/>
  <c r="AX2462" i="5"/>
  <c r="AV2462" i="5"/>
  <c r="AY1722" i="5"/>
  <c r="AY1723" i="5"/>
  <c r="AY1728" i="5"/>
  <c r="AU1728" i="5"/>
  <c r="AY1739" i="5"/>
  <c r="AY1744" i="5"/>
  <c r="AU1744" i="5"/>
  <c r="AY1754" i="5"/>
  <c r="AY1755" i="5"/>
  <c r="AY1760" i="5"/>
  <c r="AU1760" i="5"/>
  <c r="AY1771" i="5"/>
  <c r="AY1776" i="5"/>
  <c r="AU1776" i="5"/>
  <c r="AY1788" i="5"/>
  <c r="AU1788" i="5"/>
  <c r="AY1800" i="5"/>
  <c r="AU1800" i="5"/>
  <c r="AY1812" i="5"/>
  <c r="AU1812" i="5"/>
  <c r="AY1824" i="5"/>
  <c r="AU1824" i="5"/>
  <c r="AY1832" i="5"/>
  <c r="AU1832" i="5"/>
  <c r="AY1838" i="5"/>
  <c r="AY1842" i="5"/>
  <c r="AY1848" i="5"/>
  <c r="AU1848" i="5"/>
  <c r="AY1852" i="5"/>
  <c r="AU1852" i="5"/>
  <c r="AY1856" i="5"/>
  <c r="AU1856" i="5"/>
  <c r="AY1862" i="5"/>
  <c r="AY1866" i="5"/>
  <c r="AY1872" i="5"/>
  <c r="AU1872" i="5"/>
  <c r="AY1878" i="5"/>
  <c r="AY1879" i="5"/>
  <c r="AY1886" i="5"/>
  <c r="AY1887" i="5"/>
  <c r="AY1892" i="5"/>
  <c r="AU1892" i="5"/>
  <c r="AY1906" i="5"/>
  <c r="AY1932" i="5"/>
  <c r="AU1932" i="5"/>
  <c r="AY1944" i="5"/>
  <c r="AU1944" i="5"/>
  <c r="AY1955" i="5"/>
  <c r="AY1975" i="5"/>
  <c r="AY1982" i="5"/>
  <c r="AY1988" i="5"/>
  <c r="AU1988" i="5"/>
  <c r="AY1996" i="5"/>
  <c r="AU1996" i="5"/>
  <c r="AY2002" i="5"/>
  <c r="AY2022" i="5"/>
  <c r="AY2023" i="5"/>
  <c r="AY2031" i="5"/>
  <c r="AW2050" i="5"/>
  <c r="AY2050" i="5"/>
  <c r="AU2050" i="5"/>
  <c r="AY2052" i="5"/>
  <c r="AU2052" i="5"/>
  <c r="AW2052" i="5"/>
  <c r="AY2072" i="5"/>
  <c r="AU2072" i="5"/>
  <c r="AW2072" i="5"/>
  <c r="AW2074" i="5"/>
  <c r="AY2074" i="5"/>
  <c r="AU2074" i="5"/>
  <c r="AY2076" i="5"/>
  <c r="AU2076" i="5"/>
  <c r="AW2076" i="5"/>
  <c r="AY2096" i="5"/>
  <c r="AU2096" i="5"/>
  <c r="AW2096" i="5"/>
  <c r="AY2100" i="5"/>
  <c r="AU2100" i="5"/>
  <c r="AW2100" i="5"/>
  <c r="AW2118" i="5"/>
  <c r="AY2118" i="5"/>
  <c r="AU2118" i="5"/>
  <c r="AY2128" i="5"/>
  <c r="AU2128" i="5"/>
  <c r="AW2128" i="5"/>
  <c r="AW2130" i="5"/>
  <c r="AY2130" i="5"/>
  <c r="AU2130" i="5"/>
  <c r="AY2196" i="5"/>
  <c r="AU2196" i="5"/>
  <c r="AW2196" i="5"/>
  <c r="AY2232" i="5"/>
  <c r="AU2232" i="5"/>
  <c r="AW2232" i="5"/>
  <c r="AY2236" i="5"/>
  <c r="AU2236" i="5"/>
  <c r="AW2236" i="5"/>
  <c r="AY2240" i="5"/>
  <c r="AU2240" i="5"/>
  <c r="AW2240" i="5"/>
  <c r="AW2246" i="5"/>
  <c r="AY2246" i="5"/>
  <c r="AU2246" i="5"/>
  <c r="AW2250" i="5"/>
  <c r="AY2250" i="5"/>
  <c r="AU2250" i="5"/>
  <c r="AY2280" i="5"/>
  <c r="AU2280" i="5"/>
  <c r="AW2280" i="5"/>
  <c r="AY2284" i="5"/>
  <c r="AU2284" i="5"/>
  <c r="AW2284" i="5"/>
  <c r="AY2436" i="5"/>
  <c r="AU2436" i="5"/>
  <c r="AW2436" i="5"/>
  <c r="AX2436" i="5"/>
  <c r="AV2436" i="5"/>
  <c r="AY2460" i="5"/>
  <c r="AU2460" i="5"/>
  <c r="AW2460" i="5"/>
  <c r="AX2460" i="5"/>
  <c r="AV2460" i="5"/>
  <c r="AY2464" i="5"/>
  <c r="AU2464" i="5"/>
  <c r="AW2464" i="5"/>
  <c r="AX2464" i="5"/>
  <c r="AV2464" i="5"/>
  <c r="AX2043" i="5"/>
  <c r="AX2047" i="5"/>
  <c r="AX2051" i="5"/>
  <c r="AX2055" i="5"/>
  <c r="AX2059" i="5"/>
  <c r="AX2063" i="5"/>
  <c r="AX2067" i="5"/>
  <c r="AX2075" i="5"/>
  <c r="AX2079" i="5"/>
  <c r="AX2083" i="5"/>
  <c r="AX2087" i="5"/>
  <c r="AX2091" i="5"/>
  <c r="AX2099" i="5"/>
  <c r="AX2103" i="5"/>
  <c r="AX2111" i="5"/>
  <c r="AX2115" i="5"/>
  <c r="AX2119" i="5"/>
  <c r="AX2123" i="5"/>
  <c r="AX2127" i="5"/>
  <c r="AX2131" i="5"/>
  <c r="AX2135" i="5"/>
  <c r="AX2139" i="5"/>
  <c r="AX2147" i="5"/>
  <c r="AX2155" i="5"/>
  <c r="AX2159" i="5"/>
  <c r="AX2163" i="5"/>
  <c r="AX2167" i="5"/>
  <c r="AX2171" i="5"/>
  <c r="AX2175" i="5"/>
  <c r="AX2183" i="5"/>
  <c r="AX2191" i="5"/>
  <c r="AX2195" i="5"/>
  <c r="AX2199" i="5"/>
  <c r="AX2203" i="5"/>
  <c r="AX2219" i="5"/>
  <c r="AX2227" i="5"/>
  <c r="AX2231" i="5"/>
  <c r="AX2239" i="5"/>
  <c r="AX2255" i="5"/>
  <c r="AX2263" i="5"/>
  <c r="AX2267" i="5"/>
  <c r="AX2275" i="5"/>
  <c r="AX2279" i="5"/>
  <c r="AX2291" i="5"/>
  <c r="AU2294" i="5"/>
  <c r="AY2294" i="5"/>
  <c r="AX2295" i="5"/>
  <c r="AU2298" i="5"/>
  <c r="AY2298" i="5"/>
  <c r="AU2302" i="5"/>
  <c r="AY2302" i="5"/>
  <c r="AX2303" i="5"/>
  <c r="AU2306" i="5"/>
  <c r="AY2306" i="5"/>
  <c r="AX2307" i="5"/>
  <c r="AU2310" i="5"/>
  <c r="AY2310" i="5"/>
  <c r="AX2311" i="5"/>
  <c r="AX2315" i="5"/>
  <c r="AU2318" i="5"/>
  <c r="AY2318" i="5"/>
  <c r="AX2319" i="5"/>
  <c r="AU2322" i="5"/>
  <c r="AY2322" i="5"/>
  <c r="AX2327" i="5"/>
  <c r="AU2330" i="5"/>
  <c r="AY2330" i="5"/>
  <c r="AX2331" i="5"/>
  <c r="AU2334" i="5"/>
  <c r="AY2334" i="5"/>
  <c r="AX2335" i="5"/>
  <c r="AU2338" i="5"/>
  <c r="AY2338" i="5"/>
  <c r="AX2339" i="5"/>
  <c r="AU2342" i="5"/>
  <c r="AY2342" i="5"/>
  <c r="AX2343" i="5"/>
  <c r="AX2347" i="5"/>
  <c r="AX2351" i="5"/>
  <c r="AU2354" i="5"/>
  <c r="AY2354" i="5"/>
  <c r="AU2358" i="5"/>
  <c r="AY2358" i="5"/>
  <c r="AU2362" i="5"/>
  <c r="AY2362" i="5"/>
  <c r="AX2363" i="5"/>
  <c r="AU2366" i="5"/>
  <c r="AY2366" i="5"/>
  <c r="AY2367" i="5"/>
  <c r="AU2374" i="5"/>
  <c r="AU2375" i="5"/>
  <c r="AY2380" i="5"/>
  <c r="AU2380" i="5"/>
  <c r="AU2387" i="5"/>
  <c r="AY2390" i="5"/>
  <c r="AV2392" i="5"/>
  <c r="AY2396" i="5"/>
  <c r="AU2396" i="5"/>
  <c r="AU2403" i="5"/>
  <c r="AY2406" i="5"/>
  <c r="AY2407" i="5"/>
  <c r="AV2408" i="5"/>
  <c r="AY2412" i="5"/>
  <c r="AU2412" i="5"/>
  <c r="AU2418" i="5"/>
  <c r="AU2419" i="5"/>
  <c r="AY2423" i="5"/>
  <c r="AV2424" i="5"/>
  <c r="AY2428" i="5"/>
  <c r="AU2428" i="5"/>
  <c r="AU2434" i="5"/>
  <c r="AU2435" i="5"/>
  <c r="AW2442" i="5"/>
  <c r="AY2442" i="5"/>
  <c r="AU2442" i="5"/>
  <c r="AY2444" i="5"/>
  <c r="AU2444" i="5"/>
  <c r="AW2444" i="5"/>
  <c r="AW2446" i="5"/>
  <c r="AY2446" i="5"/>
  <c r="AU2446" i="5"/>
  <c r="AY2472" i="5"/>
  <c r="AU2472" i="5"/>
  <c r="AW2472" i="5"/>
  <c r="AW2474" i="5"/>
  <c r="AY2474" i="5"/>
  <c r="AU2474" i="5"/>
  <c r="AY2480" i="5"/>
  <c r="AU2480" i="5"/>
  <c r="AW2480" i="5"/>
  <c r="AW2482" i="5"/>
  <c r="AY2482" i="5"/>
  <c r="AU2482" i="5"/>
  <c r="AV2528" i="5"/>
  <c r="AV2540" i="5"/>
  <c r="AV2542" i="5"/>
  <c r="AV2554" i="5"/>
  <c r="AY2560" i="5"/>
  <c r="AU2560" i="5"/>
  <c r="AW2560" i="5"/>
  <c r="AY2564" i="5"/>
  <c r="AU2564" i="5"/>
  <c r="AW2564" i="5"/>
  <c r="AW2570" i="5"/>
  <c r="AY2570" i="5"/>
  <c r="AU2570" i="5"/>
  <c r="AV2572" i="5"/>
  <c r="AW2574" i="5"/>
  <c r="AY2574" i="5"/>
  <c r="AU2574" i="5"/>
  <c r="AV2576" i="5"/>
  <c r="AW2578" i="5"/>
  <c r="AY2578" i="5"/>
  <c r="AU2578" i="5"/>
  <c r="AV2580" i="5"/>
  <c r="AV2582" i="5"/>
  <c r="AV2590" i="5"/>
  <c r="AY2608" i="5"/>
  <c r="AU2608" i="5"/>
  <c r="AW2608" i="5"/>
  <c r="AY2612" i="5"/>
  <c r="AU2612" i="5"/>
  <c r="AW2612" i="5"/>
  <c r="AY2616" i="5"/>
  <c r="AU2616" i="5"/>
  <c r="AW2616" i="5"/>
  <c r="AW2618" i="5"/>
  <c r="AY2618" i="5"/>
  <c r="AU2618" i="5"/>
  <c r="AW2622" i="5"/>
  <c r="AY2622" i="5"/>
  <c r="AU2622" i="5"/>
  <c r="AW2626" i="5"/>
  <c r="AY2626" i="5"/>
  <c r="AU2626" i="5"/>
  <c r="AV2628" i="5"/>
  <c r="AV2630" i="5"/>
  <c r="AV2634" i="5"/>
  <c r="AV2640" i="5"/>
  <c r="AY2780" i="5"/>
  <c r="AU2780" i="5"/>
  <c r="AW2780" i="5"/>
  <c r="AV2780" i="5"/>
  <c r="AX2780" i="5"/>
  <c r="AY2556" i="5"/>
  <c r="AU2556" i="5"/>
  <c r="AW2556" i="5"/>
  <c r="AW2558" i="5"/>
  <c r="AY2558" i="5"/>
  <c r="AU2558" i="5"/>
  <c r="AW2562" i="5"/>
  <c r="AY2562" i="5"/>
  <c r="AU2562" i="5"/>
  <c r="AV2570" i="5"/>
  <c r="AV2574" i="5"/>
  <c r="AV2578" i="5"/>
  <c r="AY2596" i="5"/>
  <c r="AU2596" i="5"/>
  <c r="AW2596" i="5"/>
  <c r="AY2600" i="5"/>
  <c r="AU2600" i="5"/>
  <c r="AW2600" i="5"/>
  <c r="AW2606" i="5"/>
  <c r="AY2606" i="5"/>
  <c r="AU2606" i="5"/>
  <c r="AW2610" i="5"/>
  <c r="AY2610" i="5"/>
  <c r="AU2610" i="5"/>
  <c r="AW2614" i="5"/>
  <c r="AY2614" i="5"/>
  <c r="AU2614" i="5"/>
  <c r="AV2616" i="5"/>
  <c r="AV2618" i="5"/>
  <c r="AV2622" i="5"/>
  <c r="AV2626" i="5"/>
  <c r="AY2644" i="5"/>
  <c r="AU2644" i="5"/>
  <c r="AW2644" i="5"/>
  <c r="AW2646" i="5"/>
  <c r="AY2646" i="5"/>
  <c r="AU2646" i="5"/>
  <c r="AV2668" i="5"/>
  <c r="AY2668" i="5"/>
  <c r="AU2668" i="5"/>
  <c r="AW2668" i="5"/>
  <c r="AV2704" i="5"/>
  <c r="AY2704" i="5"/>
  <c r="AU2704" i="5"/>
  <c r="AW2704" i="5"/>
  <c r="AV2724" i="5"/>
  <c r="AY2724" i="5"/>
  <c r="AU2724" i="5"/>
  <c r="AW2724" i="5"/>
  <c r="AV2736" i="5"/>
  <c r="AY2736" i="5"/>
  <c r="AU2736" i="5"/>
  <c r="AW2736" i="5"/>
  <c r="AV2752" i="5"/>
  <c r="AY2752" i="5"/>
  <c r="AU2752" i="5"/>
  <c r="AW2752" i="5"/>
  <c r="AY2792" i="5"/>
  <c r="AU2792" i="5"/>
  <c r="AW2792" i="5"/>
  <c r="AV2792" i="5"/>
  <c r="AX2792" i="5"/>
  <c r="AW2294" i="5"/>
  <c r="AW2298" i="5"/>
  <c r="AW2302" i="5"/>
  <c r="AW2306" i="5"/>
  <c r="AW2310" i="5"/>
  <c r="AW2318" i="5"/>
  <c r="AW2322" i="5"/>
  <c r="AW2330" i="5"/>
  <c r="AW2334" i="5"/>
  <c r="AW2338" i="5"/>
  <c r="AW2342" i="5"/>
  <c r="AW2354" i="5"/>
  <c r="AW2358" i="5"/>
  <c r="AW2362" i="5"/>
  <c r="AW2366" i="5"/>
  <c r="AW2367" i="5"/>
  <c r="AY2370" i="5"/>
  <c r="AY2371" i="5"/>
  <c r="AX2374" i="5"/>
  <c r="AX2375" i="5"/>
  <c r="AY2376" i="5"/>
  <c r="AU2376" i="5"/>
  <c r="AW2380" i="5"/>
  <c r="AY2383" i="5"/>
  <c r="AX2387" i="5"/>
  <c r="AY2388" i="5"/>
  <c r="AU2388" i="5"/>
  <c r="AV2390" i="5"/>
  <c r="AW2396" i="5"/>
  <c r="AY2398" i="5"/>
  <c r="AY2399" i="5"/>
  <c r="AX2403" i="5"/>
  <c r="AV2406" i="5"/>
  <c r="AW2407" i="5"/>
  <c r="AW2412" i="5"/>
  <c r="AY2414" i="5"/>
  <c r="AY2415" i="5"/>
  <c r="AX2418" i="5"/>
  <c r="AX2419" i="5"/>
  <c r="AW2423" i="5"/>
  <c r="AW2428" i="5"/>
  <c r="AY2430" i="5"/>
  <c r="AX2434" i="5"/>
  <c r="AX2435" i="5"/>
  <c r="AX2442" i="5"/>
  <c r="AX2444" i="5"/>
  <c r="AX2446" i="5"/>
  <c r="AW2454" i="5"/>
  <c r="AY2454" i="5"/>
  <c r="AU2454" i="5"/>
  <c r="AY2468" i="5"/>
  <c r="AU2468" i="5"/>
  <c r="AW2468" i="5"/>
  <c r="AW2470" i="5"/>
  <c r="AY2470" i="5"/>
  <c r="AU2470" i="5"/>
  <c r="AX2472" i="5"/>
  <c r="AX2474" i="5"/>
  <c r="AY2488" i="5"/>
  <c r="AU2488" i="5"/>
  <c r="AW2488" i="5"/>
  <c r="AY2496" i="5"/>
  <c r="AU2496" i="5"/>
  <c r="AW2496" i="5"/>
  <c r="AW2498" i="5"/>
  <c r="AY2498" i="5"/>
  <c r="AU2498" i="5"/>
  <c r="AY2500" i="5"/>
  <c r="AU2500" i="5"/>
  <c r="AW2500" i="5"/>
  <c r="AY2508" i="5"/>
  <c r="AU2508" i="5"/>
  <c r="AW2508" i="5"/>
  <c r="AW2510" i="5"/>
  <c r="AY2510" i="5"/>
  <c r="AU2510" i="5"/>
  <c r="AY2520" i="5"/>
  <c r="AU2520" i="5"/>
  <c r="AW2520" i="5"/>
  <c r="AW2522" i="5"/>
  <c r="AY2522" i="5"/>
  <c r="AU2522" i="5"/>
  <c r="AY2524" i="5"/>
  <c r="AU2524" i="5"/>
  <c r="AW2524" i="5"/>
  <c r="AY2532" i="5"/>
  <c r="AU2532" i="5"/>
  <c r="AW2532" i="5"/>
  <c r="AW2534" i="5"/>
  <c r="AY2534" i="5"/>
  <c r="AU2534" i="5"/>
  <c r="AY2536" i="5"/>
  <c r="AU2536" i="5"/>
  <c r="AW2536" i="5"/>
  <c r="AY2544" i="5"/>
  <c r="AU2544" i="5"/>
  <c r="AW2544" i="5"/>
  <c r="AW2546" i="5"/>
  <c r="AY2546" i="5"/>
  <c r="AU2546" i="5"/>
  <c r="AY2552" i="5"/>
  <c r="AU2552" i="5"/>
  <c r="AW2552" i="5"/>
  <c r="AY2588" i="5"/>
  <c r="AU2588" i="5"/>
  <c r="AW2588" i="5"/>
  <c r="AY2592" i="5"/>
  <c r="AU2592" i="5"/>
  <c r="AW2592" i="5"/>
  <c r="AW2594" i="5"/>
  <c r="AY2594" i="5"/>
  <c r="AU2594" i="5"/>
  <c r="AW2598" i="5"/>
  <c r="AY2598" i="5"/>
  <c r="AU2598" i="5"/>
  <c r="AV2614" i="5"/>
  <c r="AX2616" i="5"/>
  <c r="AX2618" i="5"/>
  <c r="AX2622" i="5"/>
  <c r="AX2626" i="5"/>
  <c r="AY2632" i="5"/>
  <c r="AU2632" i="5"/>
  <c r="AW2632" i="5"/>
  <c r="AV2644" i="5"/>
  <c r="AX2668" i="5"/>
  <c r="AX2724" i="5"/>
  <c r="AX2736" i="5"/>
  <c r="AV2748" i="5"/>
  <c r="AY2748" i="5"/>
  <c r="AU2748" i="5"/>
  <c r="AW2748" i="5"/>
  <c r="AX2752" i="5"/>
  <c r="AY2852" i="5"/>
  <c r="AU2852" i="5"/>
  <c r="AW2852" i="5"/>
  <c r="AV2852" i="5"/>
  <c r="AX2852" i="5"/>
  <c r="AY2374" i="5"/>
  <c r="AY2375" i="5"/>
  <c r="AY2387" i="5"/>
  <c r="AY2392" i="5"/>
  <c r="AU2392" i="5"/>
  <c r="AY2403" i="5"/>
  <c r="AY2408" i="5"/>
  <c r="AU2408" i="5"/>
  <c r="AY2418" i="5"/>
  <c r="AY2419" i="5"/>
  <c r="AY2424" i="5"/>
  <c r="AU2424" i="5"/>
  <c r="AY2434" i="5"/>
  <c r="AY2435" i="5"/>
  <c r="AY2448" i="5"/>
  <c r="AU2448" i="5"/>
  <c r="AW2448" i="5"/>
  <c r="AW2450" i="5"/>
  <c r="AY2450" i="5"/>
  <c r="AU2450" i="5"/>
  <c r="AY2452" i="5"/>
  <c r="AU2452" i="5"/>
  <c r="AW2452" i="5"/>
  <c r="AY2484" i="5"/>
  <c r="AU2484" i="5"/>
  <c r="AW2484" i="5"/>
  <c r="AW2486" i="5"/>
  <c r="AY2486" i="5"/>
  <c r="AU2486" i="5"/>
  <c r="AY2492" i="5"/>
  <c r="AU2492" i="5"/>
  <c r="AW2492" i="5"/>
  <c r="AY2504" i="5"/>
  <c r="AU2504" i="5"/>
  <c r="AW2504" i="5"/>
  <c r="AW2506" i="5"/>
  <c r="AY2506" i="5"/>
  <c r="AU2506" i="5"/>
  <c r="AY2516" i="5"/>
  <c r="AU2516" i="5"/>
  <c r="AW2516" i="5"/>
  <c r="AW2518" i="5"/>
  <c r="AY2518" i="5"/>
  <c r="AU2518" i="5"/>
  <c r="AY2528" i="5"/>
  <c r="AU2528" i="5"/>
  <c r="AW2528" i="5"/>
  <c r="AY2540" i="5"/>
  <c r="AU2540" i="5"/>
  <c r="AW2540" i="5"/>
  <c r="AW2542" i="5"/>
  <c r="AY2542" i="5"/>
  <c r="AU2542" i="5"/>
  <c r="AW2554" i="5"/>
  <c r="AY2554" i="5"/>
  <c r="AU2554" i="5"/>
  <c r="AY2572" i="5"/>
  <c r="AU2572" i="5"/>
  <c r="AW2572" i="5"/>
  <c r="AY2576" i="5"/>
  <c r="AU2576" i="5"/>
  <c r="AW2576" i="5"/>
  <c r="AY2580" i="5"/>
  <c r="AU2580" i="5"/>
  <c r="AW2580" i="5"/>
  <c r="AW2582" i="5"/>
  <c r="AY2582" i="5"/>
  <c r="AU2582" i="5"/>
  <c r="AW2590" i="5"/>
  <c r="AY2590" i="5"/>
  <c r="AU2590" i="5"/>
  <c r="AY2628" i="5"/>
  <c r="AU2628" i="5"/>
  <c r="AW2628" i="5"/>
  <c r="AW2630" i="5"/>
  <c r="AY2630" i="5"/>
  <c r="AU2630" i="5"/>
  <c r="AW2634" i="5"/>
  <c r="AY2634" i="5"/>
  <c r="AU2634" i="5"/>
  <c r="AY2640" i="5"/>
  <c r="AU2640" i="5"/>
  <c r="AW2640" i="5"/>
  <c r="AV2652" i="5"/>
  <c r="AY2652" i="5"/>
  <c r="AU2652" i="5"/>
  <c r="AW2652" i="5"/>
  <c r="AV2664" i="5"/>
  <c r="AY2664" i="5"/>
  <c r="AU2664" i="5"/>
  <c r="AW2664" i="5"/>
  <c r="AV2676" i="5"/>
  <c r="AY2676" i="5"/>
  <c r="AU2676" i="5"/>
  <c r="AW2676" i="5"/>
  <c r="AV2688" i="5"/>
  <c r="AY2688" i="5"/>
  <c r="AU2688" i="5"/>
  <c r="AW2688" i="5"/>
  <c r="AV2700" i="5"/>
  <c r="AY2700" i="5"/>
  <c r="AU2700" i="5"/>
  <c r="AW2700" i="5"/>
  <c r="AV2712" i="5"/>
  <c r="AY2712" i="5"/>
  <c r="AU2712" i="5"/>
  <c r="AW2712" i="5"/>
  <c r="AV2720" i="5"/>
  <c r="AY2720" i="5"/>
  <c r="AU2720" i="5"/>
  <c r="AW2720" i="5"/>
  <c r="AV2732" i="5"/>
  <c r="AY2732" i="5"/>
  <c r="AU2732" i="5"/>
  <c r="AW2732" i="5"/>
  <c r="AV2740" i="5"/>
  <c r="AY2740" i="5"/>
  <c r="AU2740" i="5"/>
  <c r="AW2740" i="5"/>
  <c r="AV2744" i="5"/>
  <c r="AY2744" i="5"/>
  <c r="AU2744" i="5"/>
  <c r="AW2744" i="5"/>
  <c r="AY2756" i="5"/>
  <c r="AU2756" i="5"/>
  <c r="AV2756" i="5"/>
  <c r="AX2756" i="5"/>
  <c r="AW2756" i="5"/>
  <c r="AY2776" i="5"/>
  <c r="AU2776" i="5"/>
  <c r="AW2776" i="5"/>
  <c r="AV2776" i="5"/>
  <c r="AX2776" i="5"/>
  <c r="AY2784" i="5"/>
  <c r="AU2784" i="5"/>
  <c r="AW2784" i="5"/>
  <c r="AV2784" i="5"/>
  <c r="AX2784" i="5"/>
  <c r="AY2812" i="5"/>
  <c r="AU2812" i="5"/>
  <c r="AW2812" i="5"/>
  <c r="AV2812" i="5"/>
  <c r="AX2812" i="5"/>
  <c r="AX2439" i="5"/>
  <c r="AX2443" i="5"/>
  <c r="AX2451" i="5"/>
  <c r="AX2455" i="5"/>
  <c r="AX2459" i="5"/>
  <c r="AX2463" i="5"/>
  <c r="AX2471" i="5"/>
  <c r="AX2475" i="5"/>
  <c r="AX2479" i="5"/>
  <c r="AX2483" i="5"/>
  <c r="AX2487" i="5"/>
  <c r="AX2491" i="5"/>
  <c r="AX2495" i="5"/>
  <c r="AX2499" i="5"/>
  <c r="AX2507" i="5"/>
  <c r="AX2511" i="5"/>
  <c r="AX2515" i="5"/>
  <c r="AX2519" i="5"/>
  <c r="AX2523" i="5"/>
  <c r="AX2527" i="5"/>
  <c r="AX2531" i="5"/>
  <c r="AX2535" i="5"/>
  <c r="AX2543" i="5"/>
  <c r="AX2547" i="5"/>
  <c r="AX2555" i="5"/>
  <c r="AX2567" i="5"/>
  <c r="AX2571" i="5"/>
  <c r="AX2579" i="5"/>
  <c r="AX2583" i="5"/>
  <c r="AX2591" i="5"/>
  <c r="AX2603" i="5"/>
  <c r="AX2607" i="5"/>
  <c r="AX2619" i="5"/>
  <c r="AX2627" i="5"/>
  <c r="AX2631" i="5"/>
  <c r="AX2635" i="5"/>
  <c r="AX2639" i="5"/>
  <c r="AX2643" i="5"/>
  <c r="AU2650" i="5"/>
  <c r="AY2650" i="5"/>
  <c r="AU2654" i="5"/>
  <c r="AY2654" i="5"/>
  <c r="AX2655" i="5"/>
  <c r="AU2658" i="5"/>
  <c r="AY2658" i="5"/>
  <c r="AX2659" i="5"/>
  <c r="AU2662" i="5"/>
  <c r="AY2662" i="5"/>
  <c r="AX2663" i="5"/>
  <c r="AU2666" i="5"/>
  <c r="AY2666" i="5"/>
  <c r="AX2667" i="5"/>
  <c r="AU2670" i="5"/>
  <c r="AY2670" i="5"/>
  <c r="AX2675" i="5"/>
  <c r="AU2678" i="5"/>
  <c r="AY2678" i="5"/>
  <c r="AX2679" i="5"/>
  <c r="AU2682" i="5"/>
  <c r="AY2682" i="5"/>
  <c r="AU2686" i="5"/>
  <c r="AY2686" i="5"/>
  <c r="AX2687" i="5"/>
  <c r="AU2690" i="5"/>
  <c r="AY2690" i="5"/>
  <c r="AX2691" i="5"/>
  <c r="AU2694" i="5"/>
  <c r="AY2694" i="5"/>
  <c r="AX2695" i="5"/>
  <c r="AX2699" i="5"/>
  <c r="AU2702" i="5"/>
  <c r="AY2702" i="5"/>
  <c r="AX2703" i="5"/>
  <c r="AU2706" i="5"/>
  <c r="AY2706" i="5"/>
  <c r="AX2711" i="5"/>
  <c r="AU2714" i="5"/>
  <c r="AY2714" i="5"/>
  <c r="AX2715" i="5"/>
  <c r="AU2718" i="5"/>
  <c r="AY2718" i="5"/>
  <c r="AU2722" i="5"/>
  <c r="AY2722" i="5"/>
  <c r="AX2723" i="5"/>
  <c r="AU2726" i="5"/>
  <c r="AY2726" i="5"/>
  <c r="AX2727" i="5"/>
  <c r="AU2730" i="5"/>
  <c r="AY2730" i="5"/>
  <c r="AX2731" i="5"/>
  <c r="AX2735" i="5"/>
  <c r="AU2738" i="5"/>
  <c r="AY2738" i="5"/>
  <c r="AX2739" i="5"/>
  <c r="AU2742" i="5"/>
  <c r="AY2742" i="5"/>
  <c r="AX2743" i="5"/>
  <c r="AX2747" i="5"/>
  <c r="AX2751" i="5"/>
  <c r="AY2760" i="5"/>
  <c r="AU2760" i="5"/>
  <c r="AW2760" i="5"/>
  <c r="AV2760" i="5"/>
  <c r="AY2768" i="5"/>
  <c r="AU2768" i="5"/>
  <c r="AW2768" i="5"/>
  <c r="AV2768" i="5"/>
  <c r="AY2788" i="5"/>
  <c r="AU2788" i="5"/>
  <c r="AW2788" i="5"/>
  <c r="AV2788" i="5"/>
  <c r="AY2796" i="5"/>
  <c r="AU2796" i="5"/>
  <c r="AW2796" i="5"/>
  <c r="AV2796" i="5"/>
  <c r="AY2820" i="5"/>
  <c r="AU2820" i="5"/>
  <c r="AW2820" i="5"/>
  <c r="AV2820" i="5"/>
  <c r="AY2840" i="5"/>
  <c r="AU2840" i="5"/>
  <c r="AW2840" i="5"/>
  <c r="AV2840" i="5"/>
  <c r="AY2856" i="5"/>
  <c r="AU2856" i="5"/>
  <c r="AW2856" i="5"/>
  <c r="AV2856" i="5"/>
  <c r="AW2650" i="5"/>
  <c r="AW2654" i="5"/>
  <c r="AW2658" i="5"/>
  <c r="AW2662" i="5"/>
  <c r="AW2666" i="5"/>
  <c r="AW2670" i="5"/>
  <c r="AW2678" i="5"/>
  <c r="AW2682" i="5"/>
  <c r="AW2686" i="5"/>
  <c r="AW2690" i="5"/>
  <c r="AW2694" i="5"/>
  <c r="AW2702" i="5"/>
  <c r="AW2706" i="5"/>
  <c r="AW2714" i="5"/>
  <c r="AW2718" i="5"/>
  <c r="AW2722" i="5"/>
  <c r="AW2726" i="5"/>
  <c r="AW2730" i="5"/>
  <c r="AW2738" i="5"/>
  <c r="AW2742" i="5"/>
  <c r="AV2747" i="5"/>
  <c r="AW2750" i="5"/>
  <c r="AV2751" i="5"/>
  <c r="AV2759" i="5"/>
  <c r="AW2759" i="5"/>
  <c r="AY2844" i="5"/>
  <c r="AU2844" i="5"/>
  <c r="AW2844" i="5"/>
  <c r="AV2844" i="5"/>
  <c r="AY2860" i="5"/>
  <c r="AU2860" i="5"/>
  <c r="AW2860" i="5"/>
  <c r="AV2860" i="5"/>
  <c r="AY2804" i="5"/>
  <c r="AU2804" i="5"/>
  <c r="AW2804" i="5"/>
  <c r="AV2804" i="5"/>
  <c r="AY2816" i="5"/>
  <c r="AU2816" i="5"/>
  <c r="AW2816" i="5"/>
  <c r="AV2816" i="5"/>
  <c r="AY2824" i="5"/>
  <c r="AU2824" i="5"/>
  <c r="AW2824" i="5"/>
  <c r="AV2824" i="5"/>
  <c r="AY2832" i="5"/>
  <c r="AU2832" i="5"/>
  <c r="AW2832" i="5"/>
  <c r="AV2832" i="5"/>
  <c r="AX2844" i="5"/>
  <c r="AY2848" i="5"/>
  <c r="AU2848" i="5"/>
  <c r="AW2848" i="5"/>
  <c r="AV2848" i="5"/>
  <c r="AX2860" i="5"/>
  <c r="AX2758" i="5"/>
  <c r="AX2762" i="5"/>
  <c r="AU2765" i="5"/>
  <c r="AY2765" i="5"/>
  <c r="AX2766" i="5"/>
  <c r="AW2767" i="5"/>
  <c r="AX2770" i="5"/>
  <c r="AW2771" i="5"/>
  <c r="AX2774" i="5"/>
  <c r="AW2775" i="5"/>
  <c r="AU2777" i="5"/>
  <c r="AY2777" i="5"/>
  <c r="AX2778" i="5"/>
  <c r="AW2779" i="5"/>
  <c r="AW2783" i="5"/>
  <c r="AU2785" i="5"/>
  <c r="AY2785" i="5"/>
  <c r="AW2787" i="5"/>
  <c r="AU2789" i="5"/>
  <c r="AY2789" i="5"/>
  <c r="AX2794" i="5"/>
  <c r="AW2795" i="5"/>
  <c r="AY2797" i="5"/>
  <c r="AX2798" i="5"/>
  <c r="AU2801" i="5"/>
  <c r="AY2801" i="5"/>
  <c r="AX2802" i="5"/>
  <c r="AW2803" i="5"/>
  <c r="AW2807" i="5"/>
  <c r="AW2811" i="5"/>
  <c r="AU2813" i="5"/>
  <c r="AY2813" i="5"/>
  <c r="AX2814" i="5"/>
  <c r="AW2815" i="5"/>
  <c r="AU2817" i="5"/>
  <c r="AY2817" i="5"/>
  <c r="AU2821" i="5"/>
  <c r="AY2821" i="5"/>
  <c r="AX2822" i="5"/>
  <c r="AW2823" i="5"/>
  <c r="AU2825" i="5"/>
  <c r="AY2825" i="5"/>
  <c r="AX2826" i="5"/>
  <c r="AU2829" i="5"/>
  <c r="AY2829" i="5"/>
  <c r="AW2831" i="5"/>
  <c r="AU2833" i="5"/>
  <c r="AY2833" i="5"/>
  <c r="AX2834" i="5"/>
  <c r="AW2835" i="5"/>
  <c r="AX2838" i="5"/>
  <c r="AW2839" i="5"/>
  <c r="AU2841" i="5"/>
  <c r="AY2841" i="5"/>
  <c r="AW2843" i="5"/>
  <c r="AW2847" i="5"/>
  <c r="AU2849" i="5"/>
  <c r="AY2849" i="5"/>
  <c r="AX2850" i="5"/>
  <c r="AU2853" i="5"/>
  <c r="AY2853" i="5"/>
  <c r="AU2857" i="5"/>
  <c r="AY2857" i="5"/>
  <c r="AX2858" i="5"/>
  <c r="AU2861" i="5"/>
  <c r="AY2861" i="5"/>
  <c r="AX2862" i="5"/>
  <c r="AU2865" i="5"/>
  <c r="AY2865" i="5"/>
  <c r="AV2868" i="5"/>
  <c r="AU2869" i="5"/>
  <c r="AY2869" i="5"/>
  <c r="AX2870" i="5"/>
  <c r="AX2874" i="5"/>
  <c r="AV2876" i="5"/>
  <c r="AU2877" i="5"/>
  <c r="AY2877" i="5"/>
  <c r="AW2879" i="5"/>
  <c r="AV2880" i="5"/>
  <c r="AX2882" i="5"/>
  <c r="AW2883" i="5"/>
  <c r="AU2885" i="5"/>
  <c r="AY2885" i="5"/>
  <c r="AX2886" i="5"/>
  <c r="AW2887" i="5"/>
  <c r="AV2888" i="5"/>
  <c r="AU2889" i="5"/>
  <c r="AY2889" i="5"/>
  <c r="AV2892" i="5"/>
  <c r="AX2894" i="5"/>
  <c r="AW2895" i="5"/>
  <c r="AV2896" i="5"/>
  <c r="AY2897" i="5"/>
  <c r="AX2898" i="5"/>
  <c r="AV2900" i="5"/>
  <c r="AU2901" i="5"/>
  <c r="AY2901" i="5"/>
  <c r="AV2904" i="5"/>
  <c r="AY2905" i="5"/>
  <c r="AX2906" i="5"/>
  <c r="AW2907" i="5"/>
  <c r="AU2909" i="5"/>
  <c r="AY2909" i="5"/>
  <c r="AX2910" i="5"/>
  <c r="AV2912" i="5"/>
  <c r="AX2914" i="5"/>
  <c r="AV2916" i="5"/>
  <c r="AX2918" i="5"/>
  <c r="AX2922" i="5"/>
  <c r="AV2924" i="5"/>
  <c r="AV2928" i="5"/>
  <c r="AX2930" i="5"/>
  <c r="AV2932" i="5"/>
  <c r="AX2934" i="5"/>
  <c r="AV2936" i="5"/>
  <c r="AV2940" i="5"/>
  <c r="AX2942" i="5"/>
  <c r="AX2946" i="5"/>
  <c r="AV2948" i="5"/>
  <c r="AX2950" i="5"/>
  <c r="AV2952" i="5"/>
  <c r="AX2954" i="5"/>
  <c r="AW2955" i="5"/>
  <c r="AV2956" i="5"/>
  <c r="AW2959" i="5"/>
  <c r="AV2960" i="5"/>
  <c r="AV2964" i="5"/>
  <c r="AX2966" i="5"/>
  <c r="AV2968" i="5"/>
  <c r="AX2970" i="5"/>
  <c r="AV2972" i="5"/>
  <c r="AX2974" i="5"/>
  <c r="AW2975" i="5"/>
  <c r="AX2978" i="5"/>
  <c r="AW2979" i="5"/>
  <c r="AX2982" i="5"/>
  <c r="AW2983" i="5"/>
  <c r="AV2984" i="5"/>
  <c r="AX2986" i="5"/>
  <c r="AW2987" i="5"/>
  <c r="AX2990" i="5"/>
  <c r="AV2992" i="5"/>
  <c r="AV2996" i="5"/>
  <c r="AX3002" i="5"/>
  <c r="AV3004" i="5"/>
  <c r="AX3006" i="5"/>
  <c r="AV3008" i="5"/>
  <c r="AX3010" i="5"/>
  <c r="AX3014" i="5"/>
  <c r="AX3018" i="5"/>
  <c r="AV3020" i="5"/>
  <c r="AX3022" i="5"/>
  <c r="AX3026" i="5"/>
  <c r="AV3028" i="5"/>
  <c r="AX3030" i="5"/>
  <c r="AX3038" i="5"/>
  <c r="AV3040" i="5"/>
  <c r="AX3042" i="5"/>
  <c r="AV3044" i="5"/>
  <c r="AU3045" i="5"/>
  <c r="AY3045" i="5"/>
  <c r="AX3046" i="5"/>
  <c r="AW3047" i="5"/>
  <c r="AU3049" i="5"/>
  <c r="AY3049" i="5"/>
  <c r="AW3051" i="5"/>
  <c r="AU3053" i="5"/>
  <c r="AY3053" i="5"/>
  <c r="AW3055" i="5"/>
  <c r="AV3056" i="5"/>
  <c r="AU3057" i="5"/>
  <c r="AY3057" i="5"/>
  <c r="AV3060" i="5"/>
  <c r="AX3062" i="5"/>
  <c r="AW3063" i="5"/>
  <c r="AV3064" i="5"/>
  <c r="AU3065" i="5"/>
  <c r="AY3065" i="5"/>
  <c r="AX3066" i="5"/>
  <c r="AW3067" i="5"/>
  <c r="AU3069" i="5"/>
  <c r="AY3069" i="5"/>
  <c r="AW3071" i="5"/>
  <c r="AV3072" i="5"/>
  <c r="AW3075" i="5"/>
  <c r="AV3076" i="5"/>
  <c r="AV3080" i="5"/>
  <c r="AU3081" i="5"/>
  <c r="AY3081" i="5"/>
  <c r="AX3082" i="5"/>
  <c r="AW3083" i="5"/>
  <c r="AV3084" i="5"/>
  <c r="AW3087" i="5"/>
  <c r="AU3089" i="5"/>
  <c r="AY3089" i="5"/>
  <c r="AX3090" i="5"/>
  <c r="AW3091" i="5"/>
  <c r="AV3092" i="5"/>
  <c r="AU3093" i="5"/>
  <c r="AY3093" i="5"/>
  <c r="AX3094" i="5"/>
  <c r="AW3095" i="5"/>
  <c r="AV3096" i="5"/>
  <c r="AW3099" i="5"/>
  <c r="AV3100" i="5"/>
  <c r="AU3101" i="5"/>
  <c r="AY3101" i="5"/>
  <c r="AW3103" i="5"/>
  <c r="AV3104" i="5"/>
  <c r="AU3105" i="5"/>
  <c r="AY3105" i="5"/>
  <c r="AW3107" i="5"/>
  <c r="AV3108" i="5"/>
  <c r="AW3111" i="5"/>
  <c r="AV3112" i="5"/>
  <c r="AU3113" i="5"/>
  <c r="AY3113" i="5"/>
  <c r="AV3116" i="5"/>
  <c r="AU3117" i="5"/>
  <c r="AY3117" i="5"/>
  <c r="AX3118" i="5"/>
  <c r="AW3119" i="5"/>
  <c r="AV3120" i="5"/>
  <c r="AX3122" i="5"/>
  <c r="AW3123" i="5"/>
  <c r="AU3125" i="5"/>
  <c r="AY3125" i="5"/>
  <c r="AX3126" i="5"/>
  <c r="AW3127" i="5"/>
  <c r="AV3128" i="5"/>
  <c r="AU3129" i="5"/>
  <c r="AY3129" i="5"/>
  <c r="AX3130" i="5"/>
  <c r="AV3132" i="5"/>
  <c r="AX3134" i="5"/>
  <c r="AV3136" i="5"/>
  <c r="AU3137" i="5"/>
  <c r="AY3137" i="5"/>
  <c r="AX3138" i="5"/>
  <c r="AV3140" i="5"/>
  <c r="AU3141" i="5"/>
  <c r="AY3141" i="5"/>
  <c r="AW3143" i="5"/>
  <c r="AV3144" i="5"/>
  <c r="AU3145" i="5"/>
  <c r="AY3145" i="5"/>
  <c r="AW3147" i="5"/>
  <c r="AV3148" i="5"/>
  <c r="AU3149" i="5"/>
  <c r="AY3149" i="5"/>
  <c r="AX3150" i="5"/>
  <c r="AV3152" i="5"/>
  <c r="AU3153" i="5"/>
  <c r="AY3153" i="5"/>
  <c r="AX3154" i="5"/>
  <c r="AW3155" i="5"/>
  <c r="AV3156" i="5"/>
  <c r="AU3157" i="5"/>
  <c r="AY3157" i="5"/>
  <c r="AW3159" i="5"/>
  <c r="AU3161" i="5"/>
  <c r="AY3161" i="5"/>
  <c r="AW3163" i="5"/>
  <c r="AV3164" i="5"/>
  <c r="AU3165" i="5"/>
  <c r="AY3165" i="5"/>
  <c r="AX3166" i="5"/>
  <c r="AV3168" i="5"/>
  <c r="AV3172" i="5"/>
  <c r="AU3173" i="5"/>
  <c r="AY3173" i="5"/>
  <c r="AX3174" i="5"/>
  <c r="AV3176" i="5"/>
  <c r="AU3177" i="5"/>
  <c r="AY3177" i="5"/>
  <c r="AU3181" i="5"/>
  <c r="AY3181" i="5"/>
  <c r="AW3202" i="5"/>
  <c r="AV3202" i="5"/>
  <c r="AY3202" i="5"/>
  <c r="AU3202" i="5"/>
  <c r="AW3222" i="5"/>
  <c r="AV3222" i="5"/>
  <c r="AY3222" i="5"/>
  <c r="AU3222" i="5"/>
  <c r="AW3282" i="5"/>
  <c r="AV3282" i="5"/>
  <c r="AY3282" i="5"/>
  <c r="AU3282" i="5"/>
  <c r="AX2767" i="5"/>
  <c r="AX2771" i="5"/>
  <c r="AX2775" i="5"/>
  <c r="AX2779" i="5"/>
  <c r="AX2783" i="5"/>
  <c r="AX2787" i="5"/>
  <c r="AX2795" i="5"/>
  <c r="AX2803" i="5"/>
  <c r="AX2807" i="5"/>
  <c r="AX2811" i="5"/>
  <c r="AX2815" i="5"/>
  <c r="AV2817" i="5"/>
  <c r="AV2821" i="5"/>
  <c r="AU2822" i="5"/>
  <c r="AX2823" i="5"/>
  <c r="AV2825" i="5"/>
  <c r="AU2826" i="5"/>
  <c r="AY2826" i="5"/>
  <c r="AV2829" i="5"/>
  <c r="AX2831" i="5"/>
  <c r="AV2833" i="5"/>
  <c r="AU2834" i="5"/>
  <c r="AU2838" i="5"/>
  <c r="AX2839" i="5"/>
  <c r="AV2841" i="5"/>
  <c r="AV2849" i="5"/>
  <c r="AU2850" i="5"/>
  <c r="AV2853" i="5"/>
  <c r="AV2857" i="5"/>
  <c r="AU2858" i="5"/>
  <c r="AV2861" i="5"/>
  <c r="AU2862" i="5"/>
  <c r="AV2865" i="5"/>
  <c r="AW2868" i="5"/>
  <c r="AV2869" i="5"/>
  <c r="AU2870" i="5"/>
  <c r="AU2874" i="5"/>
  <c r="AW2876" i="5"/>
  <c r="AV2877" i="5"/>
  <c r="AW2880" i="5"/>
  <c r="AU2882" i="5"/>
  <c r="AV2885" i="5"/>
  <c r="AU2886" i="5"/>
  <c r="AW2888" i="5"/>
  <c r="AV2889" i="5"/>
  <c r="AW2892" i="5"/>
  <c r="AX2895" i="5"/>
  <c r="AW2896" i="5"/>
  <c r="AV2897" i="5"/>
  <c r="AU2898" i="5"/>
  <c r="AY2898" i="5"/>
  <c r="AW2900" i="5"/>
  <c r="AW2904" i="5"/>
  <c r="AV2905" i="5"/>
  <c r="AU2906" i="5"/>
  <c r="AY2906" i="5"/>
  <c r="AX2907" i="5"/>
  <c r="AV2909" i="5"/>
  <c r="AU2910" i="5"/>
  <c r="AY2910" i="5"/>
  <c r="AW2912" i="5"/>
  <c r="AU2914" i="5"/>
  <c r="AY2914" i="5"/>
  <c r="AW2916" i="5"/>
  <c r="AU2918" i="5"/>
  <c r="AY2918" i="5"/>
  <c r="AX2919" i="5"/>
  <c r="AV2921" i="5"/>
  <c r="AU2922" i="5"/>
  <c r="AY2922" i="5"/>
  <c r="AX2923" i="5"/>
  <c r="AW2924" i="5"/>
  <c r="AV2925" i="5"/>
  <c r="AW2928" i="5"/>
  <c r="AU2930" i="5"/>
  <c r="AY2930" i="5"/>
  <c r="AX2931" i="5"/>
  <c r="AW2932" i="5"/>
  <c r="AU2934" i="5"/>
  <c r="AY2934" i="5"/>
  <c r="AW2936" i="5"/>
  <c r="AW2940" i="5"/>
  <c r="AU2942" i="5"/>
  <c r="AY2942" i="5"/>
  <c r="AX2943" i="5"/>
  <c r="AU2946" i="5"/>
  <c r="AY2946" i="5"/>
  <c r="AX2947" i="5"/>
  <c r="AW2948" i="5"/>
  <c r="AW2952" i="5"/>
  <c r="AY2954" i="5"/>
  <c r="AX2955" i="5"/>
  <c r="AW2956" i="5"/>
  <c r="AX2959" i="5"/>
  <c r="AW2960" i="5"/>
  <c r="AW2964" i="5"/>
  <c r="AW2968" i="5"/>
  <c r="AW2972" i="5"/>
  <c r="AX2975" i="5"/>
  <c r="AX2979" i="5"/>
  <c r="AX2983" i="5"/>
  <c r="AW2984" i="5"/>
  <c r="AX2987" i="5"/>
  <c r="AU2990" i="5"/>
  <c r="AY2990" i="5"/>
  <c r="AX2991" i="5"/>
  <c r="AW2992" i="5"/>
  <c r="AX2995" i="5"/>
  <c r="AW2996" i="5"/>
  <c r="AX2999" i="5"/>
  <c r="AU3002" i="5"/>
  <c r="AY3002" i="5"/>
  <c r="AW3004" i="5"/>
  <c r="AU3006" i="5"/>
  <c r="AY3006" i="5"/>
  <c r="AW3008" i="5"/>
  <c r="AU3010" i="5"/>
  <c r="AY3010" i="5"/>
  <c r="AX3011" i="5"/>
  <c r="AU3014" i="5"/>
  <c r="AY3014" i="5"/>
  <c r="AX3015" i="5"/>
  <c r="AU3018" i="5"/>
  <c r="AY3018" i="5"/>
  <c r="AX3019" i="5"/>
  <c r="AW3020" i="5"/>
  <c r="AU3022" i="5"/>
  <c r="AY3022" i="5"/>
  <c r="AU3026" i="5"/>
  <c r="AY3026" i="5"/>
  <c r="AX3027" i="5"/>
  <c r="AW3028" i="5"/>
  <c r="AU3030" i="5"/>
  <c r="AY3030" i="5"/>
  <c r="AX3031" i="5"/>
  <c r="AX3035" i="5"/>
  <c r="AU3038" i="5"/>
  <c r="AY3038" i="5"/>
  <c r="AX3039" i="5"/>
  <c r="AW3040" i="5"/>
  <c r="AW3044" i="5"/>
  <c r="AX3047" i="5"/>
  <c r="AX3051" i="5"/>
  <c r="AX3055" i="5"/>
  <c r="AW3056" i="5"/>
  <c r="AW3060" i="5"/>
  <c r="AX3063" i="5"/>
  <c r="AW3064" i="5"/>
  <c r="AX3067" i="5"/>
  <c r="AX3071" i="5"/>
  <c r="AW3072" i="5"/>
  <c r="AX3075" i="5"/>
  <c r="AW3076" i="5"/>
  <c r="AW3080" i="5"/>
  <c r="AU3082" i="5"/>
  <c r="AY3082" i="5"/>
  <c r="AX3083" i="5"/>
  <c r="AW3084" i="5"/>
  <c r="AX3087" i="5"/>
  <c r="AV3089" i="5"/>
  <c r="AU3090" i="5"/>
  <c r="AX3091" i="5"/>
  <c r="AW3092" i="5"/>
  <c r="AV3093" i="5"/>
  <c r="AU3094" i="5"/>
  <c r="AX3095" i="5"/>
  <c r="AW3096" i="5"/>
  <c r="AW3100" i="5"/>
  <c r="AV3101" i="5"/>
  <c r="AX3103" i="5"/>
  <c r="AW3104" i="5"/>
  <c r="AV3105" i="5"/>
  <c r="AW3108" i="5"/>
  <c r="AW3112" i="5"/>
  <c r="AV3113" i="5"/>
  <c r="AW3116" i="5"/>
  <c r="AV3117" i="5"/>
  <c r="AU3118" i="5"/>
  <c r="AY3118" i="5"/>
  <c r="AX3119" i="5"/>
  <c r="AW3120" i="5"/>
  <c r="AU3122" i="5"/>
  <c r="AY3122" i="5"/>
  <c r="AX3123" i="5"/>
  <c r="AV3125" i="5"/>
  <c r="AU3126" i="5"/>
  <c r="AY3126" i="5"/>
  <c r="AX3127" i="5"/>
  <c r="AW3128" i="5"/>
  <c r="AV3129" i="5"/>
  <c r="AU3130" i="5"/>
  <c r="AW3132" i="5"/>
  <c r="AU3134" i="5"/>
  <c r="AW3136" i="5"/>
  <c r="AV3137" i="5"/>
  <c r="AU3138" i="5"/>
  <c r="AW3140" i="5"/>
  <c r="AV3141" i="5"/>
  <c r="AW3144" i="5"/>
  <c r="AV3145" i="5"/>
  <c r="AW3148" i="5"/>
  <c r="AV3149" i="5"/>
  <c r="AW3152" i="5"/>
  <c r="AV3153" i="5"/>
  <c r="AU3154" i="5"/>
  <c r="AW3156" i="5"/>
  <c r="AV3157" i="5"/>
  <c r="AV3161" i="5"/>
  <c r="AW3164" i="5"/>
  <c r="AV3165" i="5"/>
  <c r="AU3166" i="5"/>
  <c r="AW3168" i="5"/>
  <c r="AW3172" i="5"/>
  <c r="AV3173" i="5"/>
  <c r="AU3174" i="5"/>
  <c r="AW3176" i="5"/>
  <c r="AV3177" i="5"/>
  <c r="AV3181" i="5"/>
  <c r="AW3186" i="5"/>
  <c r="AV3186" i="5"/>
  <c r="AY3186" i="5"/>
  <c r="AU3186" i="5"/>
  <c r="AX3202" i="5"/>
  <c r="AX3222" i="5"/>
  <c r="AW3234" i="5"/>
  <c r="AV3234" i="5"/>
  <c r="AY3234" i="5"/>
  <c r="AU3234" i="5"/>
  <c r="AW3258" i="5"/>
  <c r="AV3258" i="5"/>
  <c r="AY3258" i="5"/>
  <c r="AU3258" i="5"/>
  <c r="AW3278" i="5"/>
  <c r="AV3278" i="5"/>
  <c r="AY3278" i="5"/>
  <c r="AU3278" i="5"/>
  <c r="AX3282" i="5"/>
  <c r="AX2868" i="5"/>
  <c r="AX2876" i="5"/>
  <c r="AX2880" i="5"/>
  <c r="AX2888" i="5"/>
  <c r="AX2892" i="5"/>
  <c r="AX2896" i="5"/>
  <c r="AX2900" i="5"/>
  <c r="AX2904" i="5"/>
  <c r="AX2912" i="5"/>
  <c r="AX2916" i="5"/>
  <c r="AX2924" i="5"/>
  <c r="AX2928" i="5"/>
  <c r="AX2932" i="5"/>
  <c r="AX2936" i="5"/>
  <c r="AX2940" i="5"/>
  <c r="AX2948" i="5"/>
  <c r="AX2952" i="5"/>
  <c r="AX2956" i="5"/>
  <c r="AX2960" i="5"/>
  <c r="AX2964" i="5"/>
  <c r="AX2968" i="5"/>
  <c r="AX2972" i="5"/>
  <c r="AX2984" i="5"/>
  <c r="AX2992" i="5"/>
  <c r="AX2996" i="5"/>
  <c r="AX3004" i="5"/>
  <c r="AX3008" i="5"/>
  <c r="AX3020" i="5"/>
  <c r="AX3028" i="5"/>
  <c r="AX3040" i="5"/>
  <c r="AX3044" i="5"/>
  <c r="AX3056" i="5"/>
  <c r="AX3060" i="5"/>
  <c r="AX3064" i="5"/>
  <c r="AX3072" i="5"/>
  <c r="AX3076" i="5"/>
  <c r="AX3080" i="5"/>
  <c r="AX3084" i="5"/>
  <c r="AX3092" i="5"/>
  <c r="AX3096" i="5"/>
  <c r="AX3100" i="5"/>
  <c r="AX3104" i="5"/>
  <c r="AX3108" i="5"/>
  <c r="AX3112" i="5"/>
  <c r="AX3116" i="5"/>
  <c r="AX3120" i="5"/>
  <c r="AX3128" i="5"/>
  <c r="AX3132" i="5"/>
  <c r="AX3136" i="5"/>
  <c r="AX3140" i="5"/>
  <c r="AX3144" i="5"/>
  <c r="AX3148" i="5"/>
  <c r="AX3152" i="5"/>
  <c r="AX3156" i="5"/>
  <c r="AX3164" i="5"/>
  <c r="AX3168" i="5"/>
  <c r="AX3172" i="5"/>
  <c r="AX3176" i="5"/>
  <c r="AW3190" i="5"/>
  <c r="AV3190" i="5"/>
  <c r="AY3190" i="5"/>
  <c r="AU3190" i="5"/>
  <c r="AW3238" i="5"/>
  <c r="AV3238" i="5"/>
  <c r="AY3238" i="5"/>
  <c r="AU3238" i="5"/>
  <c r="AW3242" i="5"/>
  <c r="AV3242" i="5"/>
  <c r="AY3242" i="5"/>
  <c r="AU3242" i="5"/>
  <c r="AW3262" i="5"/>
  <c r="AV3262" i="5"/>
  <c r="AY3262" i="5"/>
  <c r="AU3262" i="5"/>
  <c r="AW3266" i="5"/>
  <c r="AV3266" i="5"/>
  <c r="AY3266" i="5"/>
  <c r="AU3266" i="5"/>
  <c r="AU2868" i="5"/>
  <c r="AU2876" i="5"/>
  <c r="AU2880" i="5"/>
  <c r="AU2888" i="5"/>
  <c r="AU2892" i="5"/>
  <c r="AU2896" i="5"/>
  <c r="AU2900" i="5"/>
  <c r="AU2904" i="5"/>
  <c r="AU2912" i="5"/>
  <c r="AU2916" i="5"/>
  <c r="AU2924" i="5"/>
  <c r="AU2928" i="5"/>
  <c r="AU2932" i="5"/>
  <c r="AU2936" i="5"/>
  <c r="AU2940" i="5"/>
  <c r="AU2948" i="5"/>
  <c r="AU2952" i="5"/>
  <c r="AU2956" i="5"/>
  <c r="AU2960" i="5"/>
  <c r="AU2964" i="5"/>
  <c r="AU2968" i="5"/>
  <c r="AU2972" i="5"/>
  <c r="AU2984" i="5"/>
  <c r="AU2992" i="5"/>
  <c r="AU2996" i="5"/>
  <c r="AU3004" i="5"/>
  <c r="AU3008" i="5"/>
  <c r="AU3020" i="5"/>
  <c r="AU3028" i="5"/>
  <c r="AU3040" i="5"/>
  <c r="AU3044" i="5"/>
  <c r="AU3056" i="5"/>
  <c r="AU3060" i="5"/>
  <c r="AU3064" i="5"/>
  <c r="AU3072" i="5"/>
  <c r="AU3076" i="5"/>
  <c r="AU3080" i="5"/>
  <c r="AU3084" i="5"/>
  <c r="AU3092" i="5"/>
  <c r="AU3096" i="5"/>
  <c r="AU3100" i="5"/>
  <c r="AU3104" i="5"/>
  <c r="AU3108" i="5"/>
  <c r="AU3112" i="5"/>
  <c r="AU3116" i="5"/>
  <c r="AU3120" i="5"/>
  <c r="AU3128" i="5"/>
  <c r="AU3132" i="5"/>
  <c r="AU3136" i="5"/>
  <c r="AU3140" i="5"/>
  <c r="AU3144" i="5"/>
  <c r="AU3148" i="5"/>
  <c r="AU3152" i="5"/>
  <c r="AU3156" i="5"/>
  <c r="AU3164" i="5"/>
  <c r="AU3168" i="5"/>
  <c r="AU3172" i="5"/>
  <c r="AU3176" i="5"/>
  <c r="AX3190" i="5"/>
  <c r="AW3210" i="5"/>
  <c r="AV3210" i="5"/>
  <c r="AY3210" i="5"/>
  <c r="AU3210" i="5"/>
  <c r="AW3226" i="5"/>
  <c r="AV3226" i="5"/>
  <c r="AY3226" i="5"/>
  <c r="AU3226" i="5"/>
  <c r="AW3230" i="5"/>
  <c r="AV3230" i="5"/>
  <c r="AY3230" i="5"/>
  <c r="AU3230" i="5"/>
  <c r="AX3238" i="5"/>
  <c r="AX3242" i="5"/>
  <c r="AW3246" i="5"/>
  <c r="AV3246" i="5"/>
  <c r="AY3246" i="5"/>
  <c r="AU3246" i="5"/>
  <c r="AX3262" i="5"/>
  <c r="AX3266" i="5"/>
  <c r="AW3270" i="5"/>
  <c r="AV3270" i="5"/>
  <c r="AY3270" i="5"/>
  <c r="AU3270" i="5"/>
  <c r="AW3274" i="5"/>
  <c r="AV3274" i="5"/>
  <c r="AY3274" i="5"/>
  <c r="AU3274" i="5"/>
  <c r="AX3290" i="5"/>
  <c r="AX3294" i="5"/>
  <c r="AX3298" i="5"/>
  <c r="AX3302" i="5"/>
  <c r="AX3306" i="5"/>
  <c r="AX3314" i="5"/>
  <c r="AX3318" i="5"/>
  <c r="AX3326" i="5"/>
  <c r="AX3330" i="5"/>
  <c r="AX3334" i="5"/>
  <c r="AX3338" i="5"/>
  <c r="AX3342" i="5"/>
  <c r="AX3350" i="5"/>
  <c r="AX3354" i="5"/>
  <c r="AX3362" i="5"/>
  <c r="AX3370" i="5"/>
  <c r="AX3374" i="5"/>
  <c r="AX3378" i="5"/>
  <c r="AX3382" i="5"/>
  <c r="AX3386" i="5"/>
  <c r="AX3390" i="5"/>
  <c r="AX3398" i="5"/>
  <c r="AX3406" i="5"/>
  <c r="AV3406" i="5"/>
  <c r="AY3409" i="5"/>
  <c r="AU3409" i="5"/>
  <c r="AW3409" i="5"/>
  <c r="AW3415" i="5"/>
  <c r="AY3415" i="5"/>
  <c r="AU3415" i="5"/>
  <c r="AY3429" i="5"/>
  <c r="AU3429" i="5"/>
  <c r="AW3429" i="5"/>
  <c r="AW3447" i="5"/>
  <c r="AV3447" i="5"/>
  <c r="AY3447" i="5"/>
  <c r="AU3447" i="5"/>
  <c r="AW3455" i="5"/>
  <c r="AV3455" i="5"/>
  <c r="AY3455" i="5"/>
  <c r="AU3455" i="5"/>
  <c r="AW3459" i="5"/>
  <c r="AV3459" i="5"/>
  <c r="AY3459" i="5"/>
  <c r="AU3459" i="5"/>
  <c r="AX3183" i="5"/>
  <c r="AW3184" i="5"/>
  <c r="AV3185" i="5"/>
  <c r="AX3191" i="5"/>
  <c r="AW3192" i="5"/>
  <c r="AV3193" i="5"/>
  <c r="AX3195" i="5"/>
  <c r="AV3197" i="5"/>
  <c r="AX3199" i="5"/>
  <c r="AW3200" i="5"/>
  <c r="AV3201" i="5"/>
  <c r="AX3203" i="5"/>
  <c r="AW3204" i="5"/>
  <c r="AW3208" i="5"/>
  <c r="AV3209" i="5"/>
  <c r="AX3211" i="5"/>
  <c r="AW3212" i="5"/>
  <c r="AV3213" i="5"/>
  <c r="AX3215" i="5"/>
  <c r="AW3216" i="5"/>
  <c r="AV3217" i="5"/>
  <c r="AX3219" i="5"/>
  <c r="AW3220" i="5"/>
  <c r="AV3221" i="5"/>
  <c r="AW3224" i="5"/>
  <c r="AV3225" i="5"/>
  <c r="AW3228" i="5"/>
  <c r="AV3229" i="5"/>
  <c r="AV3233" i="5"/>
  <c r="AX3235" i="5"/>
  <c r="AV3237" i="5"/>
  <c r="AX3239" i="5"/>
  <c r="AW3240" i="5"/>
  <c r="AW3244" i="5"/>
  <c r="AX3247" i="5"/>
  <c r="AW3248" i="5"/>
  <c r="AV3249" i="5"/>
  <c r="AX3251" i="5"/>
  <c r="AW3252" i="5"/>
  <c r="AV3253" i="5"/>
  <c r="AV3257" i="5"/>
  <c r="AV3261" i="5"/>
  <c r="AX3271" i="5"/>
  <c r="AX3275" i="5"/>
  <c r="AX3283" i="5"/>
  <c r="AX3287" i="5"/>
  <c r="AW3288" i="5"/>
  <c r="AV3289" i="5"/>
  <c r="AU3290" i="5"/>
  <c r="AY3290" i="5"/>
  <c r="AV3293" i="5"/>
  <c r="AU3294" i="5"/>
  <c r="AY3294" i="5"/>
  <c r="AV3297" i="5"/>
  <c r="AU3298" i="5"/>
  <c r="AY3298" i="5"/>
  <c r="AX3299" i="5"/>
  <c r="AU3302" i="5"/>
  <c r="AY3302" i="5"/>
  <c r="AV3305" i="5"/>
  <c r="AU3306" i="5"/>
  <c r="AY3306" i="5"/>
  <c r="AX3307" i="5"/>
  <c r="AW3308" i="5"/>
  <c r="AV3309" i="5"/>
  <c r="AX3311" i="5"/>
  <c r="AU3314" i="5"/>
  <c r="AY3314" i="5"/>
  <c r="AX3315" i="5"/>
  <c r="AV3317" i="5"/>
  <c r="AU3318" i="5"/>
  <c r="AY3318" i="5"/>
  <c r="AV3321" i="5"/>
  <c r="AX3323" i="5"/>
  <c r="AV3325" i="5"/>
  <c r="AU3326" i="5"/>
  <c r="AY3326" i="5"/>
  <c r="AX3327" i="5"/>
  <c r="AV3329" i="5"/>
  <c r="AU3330" i="5"/>
  <c r="AY3330" i="5"/>
  <c r="AV3333" i="5"/>
  <c r="AU3334" i="5"/>
  <c r="AY3334" i="5"/>
  <c r="AX3335" i="5"/>
  <c r="AU3338" i="5"/>
  <c r="AY3338" i="5"/>
  <c r="AX3339" i="5"/>
  <c r="AV3341" i="5"/>
  <c r="AU3342" i="5"/>
  <c r="AY3342" i="5"/>
  <c r="AX3343" i="5"/>
  <c r="AW3344" i="5"/>
  <c r="AV3345" i="5"/>
  <c r="AX3347" i="5"/>
  <c r="AU3350" i="5"/>
  <c r="AY3350" i="5"/>
  <c r="AX3351" i="5"/>
  <c r="AU3354" i="5"/>
  <c r="AY3354" i="5"/>
  <c r="AV3357" i="5"/>
  <c r="AX3359" i="5"/>
  <c r="AV3361" i="5"/>
  <c r="AU3362" i="5"/>
  <c r="AY3362" i="5"/>
  <c r="AX3363" i="5"/>
  <c r="AV3369" i="5"/>
  <c r="AU3370" i="5"/>
  <c r="AY3370" i="5"/>
  <c r="AX3371" i="5"/>
  <c r="AW3372" i="5"/>
  <c r="AV3373" i="5"/>
  <c r="AU3374" i="5"/>
  <c r="AY3374" i="5"/>
  <c r="AV3377" i="5"/>
  <c r="AU3378" i="5"/>
  <c r="AY3378" i="5"/>
  <c r="AX3379" i="5"/>
  <c r="AW3380" i="5"/>
  <c r="AV3381" i="5"/>
  <c r="AU3382" i="5"/>
  <c r="AY3382" i="5"/>
  <c r="AX3383" i="5"/>
  <c r="AU3386" i="5"/>
  <c r="AY3386" i="5"/>
  <c r="AX3387" i="5"/>
  <c r="AV3389" i="5"/>
  <c r="AU3390" i="5"/>
  <c r="AY3390" i="5"/>
  <c r="AX3391" i="5"/>
  <c r="AW3392" i="5"/>
  <c r="AX3395" i="5"/>
  <c r="AV3397" i="5"/>
  <c r="AU3398" i="5"/>
  <c r="AY3398" i="5"/>
  <c r="AX3399" i="5"/>
  <c r="AV3405" i="5"/>
  <c r="AU3406" i="5"/>
  <c r="AW3407" i="5"/>
  <c r="AY3407" i="5"/>
  <c r="AU3407" i="5"/>
  <c r="AV3409" i="5"/>
  <c r="AV3415" i="5"/>
  <c r="AW3423" i="5"/>
  <c r="AY3423" i="5"/>
  <c r="AU3423" i="5"/>
  <c r="AW3427" i="5"/>
  <c r="AY3427" i="5"/>
  <c r="AU3427" i="5"/>
  <c r="AW3443" i="5"/>
  <c r="AV3443" i="5"/>
  <c r="AY3443" i="5"/>
  <c r="AU3443" i="5"/>
  <c r="AX3447" i="5"/>
  <c r="AW3451" i="5"/>
  <c r="AV3451" i="5"/>
  <c r="AY3451" i="5"/>
  <c r="AU3451" i="5"/>
  <c r="AX3455" i="5"/>
  <c r="AX3459" i="5"/>
  <c r="AW3463" i="5"/>
  <c r="AV3463" i="5"/>
  <c r="AY3463" i="5"/>
  <c r="AU3463" i="5"/>
  <c r="AU3183" i="5"/>
  <c r="AY3183" i="5"/>
  <c r="AX3184" i="5"/>
  <c r="AW3185" i="5"/>
  <c r="AX3188" i="5"/>
  <c r="AU3191" i="5"/>
  <c r="AY3191" i="5"/>
  <c r="AX3192" i="5"/>
  <c r="AW3193" i="5"/>
  <c r="AX3200" i="5"/>
  <c r="AX3204" i="5"/>
  <c r="AX3208" i="5"/>
  <c r="AX3212" i="5"/>
  <c r="AX3216" i="5"/>
  <c r="AX3220" i="5"/>
  <c r="AX3224" i="5"/>
  <c r="AX3228" i="5"/>
  <c r="AU3239" i="5"/>
  <c r="AY3239" i="5"/>
  <c r="AX3240" i="5"/>
  <c r="AX3244" i="5"/>
  <c r="AU3247" i="5"/>
  <c r="AY3247" i="5"/>
  <c r="AX3248" i="5"/>
  <c r="AW3249" i="5"/>
  <c r="AU3251" i="5"/>
  <c r="AW3253" i="5"/>
  <c r="AW3257" i="5"/>
  <c r="AW3261" i="5"/>
  <c r="AW3265" i="5"/>
  <c r="AW3269" i="5"/>
  <c r="AU3271" i="5"/>
  <c r="AY3271" i="5"/>
  <c r="AW3273" i="5"/>
  <c r="AU3275" i="5"/>
  <c r="AY3275" i="5"/>
  <c r="AX3276" i="5"/>
  <c r="AX3280" i="5"/>
  <c r="AU3283" i="5"/>
  <c r="AY3283" i="5"/>
  <c r="AX3284" i="5"/>
  <c r="AW3285" i="5"/>
  <c r="AU3287" i="5"/>
  <c r="AY3287" i="5"/>
  <c r="AX3288" i="5"/>
  <c r="AW3289" i="5"/>
  <c r="AV3290" i="5"/>
  <c r="AW3293" i="5"/>
  <c r="AV3294" i="5"/>
  <c r="AX3296" i="5"/>
  <c r="AW3297" i="5"/>
  <c r="AV3298" i="5"/>
  <c r="AU3299" i="5"/>
  <c r="AY3299" i="5"/>
  <c r="AX3300" i="5"/>
  <c r="AV3302" i="5"/>
  <c r="AW3305" i="5"/>
  <c r="AV3306" i="5"/>
  <c r="AW3309" i="5"/>
  <c r="AU3311" i="5"/>
  <c r="AY3311" i="5"/>
  <c r="AV3314" i="5"/>
  <c r="AU3315" i="5"/>
  <c r="AY3315" i="5"/>
  <c r="AW3317" i="5"/>
  <c r="AV3318" i="5"/>
  <c r="AW3321" i="5"/>
  <c r="AU3323" i="5"/>
  <c r="AY3323" i="5"/>
  <c r="AW3325" i="5"/>
  <c r="AV3326" i="5"/>
  <c r="AU3327" i="5"/>
  <c r="AY3327" i="5"/>
  <c r="AW3329" i="5"/>
  <c r="AV3330" i="5"/>
  <c r="AW3333" i="5"/>
  <c r="AV3334" i="5"/>
  <c r="AU3335" i="5"/>
  <c r="AY3335" i="5"/>
  <c r="AX3336" i="5"/>
  <c r="AV3338" i="5"/>
  <c r="AU3339" i="5"/>
  <c r="AY3339" i="5"/>
  <c r="AW3341" i="5"/>
  <c r="AV3342" i="5"/>
  <c r="AU3343" i="5"/>
  <c r="AY3343" i="5"/>
  <c r="AX3344" i="5"/>
  <c r="AW3345" i="5"/>
  <c r="AU3347" i="5"/>
  <c r="AY3347" i="5"/>
  <c r="AX3348" i="5"/>
  <c r="AV3350" i="5"/>
  <c r="AU3351" i="5"/>
  <c r="AY3351" i="5"/>
  <c r="AW3353" i="5"/>
  <c r="AV3354" i="5"/>
  <c r="AW3357" i="5"/>
  <c r="AU3359" i="5"/>
  <c r="AY3359" i="5"/>
  <c r="AX3360" i="5"/>
  <c r="AW3361" i="5"/>
  <c r="AV3362" i="5"/>
  <c r="AU3363" i="5"/>
  <c r="AY3363" i="5"/>
  <c r="AW3365" i="5"/>
  <c r="AW3369" i="5"/>
  <c r="AV3370" i="5"/>
  <c r="AU3371" i="5"/>
  <c r="AY3371" i="5"/>
  <c r="AX3372" i="5"/>
  <c r="AW3373" i="5"/>
  <c r="AV3374" i="5"/>
  <c r="AW3377" i="5"/>
  <c r="AV3378" i="5"/>
  <c r="AU3379" i="5"/>
  <c r="AW3381" i="5"/>
  <c r="AV3382" i="5"/>
  <c r="AU3383" i="5"/>
  <c r="AV3386" i="5"/>
  <c r="AU3387" i="5"/>
  <c r="AW3389" i="5"/>
  <c r="AV3390" i="5"/>
  <c r="AU3391" i="5"/>
  <c r="AU3395" i="5"/>
  <c r="AW3397" i="5"/>
  <c r="AV3398" i="5"/>
  <c r="AU3399" i="5"/>
  <c r="AW3405" i="5"/>
  <c r="AW3406" i="5"/>
  <c r="AV3407" i="5"/>
  <c r="AX3409" i="5"/>
  <c r="AX3415" i="5"/>
  <c r="AW3419" i="5"/>
  <c r="AY3419" i="5"/>
  <c r="AU3419" i="5"/>
  <c r="AV3423" i="5"/>
  <c r="AV3427" i="5"/>
  <c r="AX3429" i="5"/>
  <c r="AY3433" i="5"/>
  <c r="AU3433" i="5"/>
  <c r="AW3433" i="5"/>
  <c r="AW3435" i="5"/>
  <c r="AY3435" i="5"/>
  <c r="AU3435" i="5"/>
  <c r="AX3443" i="5"/>
  <c r="AU3184" i="5"/>
  <c r="AU3188" i="5"/>
  <c r="AU3192" i="5"/>
  <c r="AU3200" i="5"/>
  <c r="AU3204" i="5"/>
  <c r="AU3208" i="5"/>
  <c r="AU3212" i="5"/>
  <c r="AU3216" i="5"/>
  <c r="AU3220" i="5"/>
  <c r="AU3224" i="5"/>
  <c r="AU3228" i="5"/>
  <c r="AU3240" i="5"/>
  <c r="AU3244" i="5"/>
  <c r="AU3276" i="5"/>
  <c r="AU3280" i="5"/>
  <c r="AU3284" i="5"/>
  <c r="AU3288" i="5"/>
  <c r="AU3296" i="5"/>
  <c r="AU3300" i="5"/>
  <c r="AU3336" i="5"/>
  <c r="AU3344" i="5"/>
  <c r="AU3348" i="5"/>
  <c r="AU3360" i="5"/>
  <c r="AU3372" i="5"/>
  <c r="AY3406" i="5"/>
  <c r="AY3417" i="5"/>
  <c r="AU3417" i="5"/>
  <c r="AW3417" i="5"/>
  <c r="AV3469" i="5"/>
  <c r="AX3471" i="5"/>
  <c r="AV3477" i="5"/>
  <c r="AX3479" i="5"/>
  <c r="AV3481" i="5"/>
  <c r="AX3483" i="5"/>
  <c r="AX3487" i="5"/>
  <c r="AX3491" i="5"/>
  <c r="AX3495" i="5"/>
  <c r="AX3499" i="5"/>
  <c r="AX3503" i="5"/>
  <c r="AX3507" i="5"/>
  <c r="AX3515" i="5"/>
  <c r="AX3519" i="5"/>
  <c r="AX3527" i="5"/>
  <c r="AX3531" i="5"/>
  <c r="AX3535" i="5"/>
  <c r="AX3539" i="5"/>
  <c r="AX3543" i="5"/>
  <c r="AX3551" i="5"/>
  <c r="AX3555" i="5"/>
  <c r="AX3563" i="5"/>
  <c r="AX3567" i="5"/>
  <c r="AX3575" i="5"/>
  <c r="AX3587" i="5"/>
  <c r="AY3591" i="5"/>
  <c r="AY3598" i="5"/>
  <c r="AV3604" i="5"/>
  <c r="AY3604" i="5"/>
  <c r="AU3604" i="5"/>
  <c r="AW3611" i="5"/>
  <c r="AV3611" i="5"/>
  <c r="AY3611" i="5"/>
  <c r="AW3651" i="5"/>
  <c r="AV3651" i="5"/>
  <c r="AY3651" i="5"/>
  <c r="AU3651" i="5"/>
  <c r="AW3683" i="5"/>
  <c r="AV3683" i="5"/>
  <c r="AY3683" i="5"/>
  <c r="AU3683" i="5"/>
  <c r="AW3691" i="5"/>
  <c r="AV3691" i="5"/>
  <c r="AY3691" i="5"/>
  <c r="AU3691" i="5"/>
  <c r="AX3408" i="5"/>
  <c r="AV3410" i="5"/>
  <c r="AV3414" i="5"/>
  <c r="AX3416" i="5"/>
  <c r="AV3418" i="5"/>
  <c r="AV3422" i="5"/>
  <c r="AX3424" i="5"/>
  <c r="AV3426" i="5"/>
  <c r="AX3428" i="5"/>
  <c r="AX3432" i="5"/>
  <c r="AV3434" i="5"/>
  <c r="AV3438" i="5"/>
  <c r="AW3441" i="5"/>
  <c r="AV3442" i="5"/>
  <c r="AX3444" i="5"/>
  <c r="AW3445" i="5"/>
  <c r="AV3446" i="5"/>
  <c r="AV3450" i="5"/>
  <c r="AW3453" i="5"/>
  <c r="AV3454" i="5"/>
  <c r="AV3462" i="5"/>
  <c r="AW3465" i="5"/>
  <c r="AW3469" i="5"/>
  <c r="AV3470" i="5"/>
  <c r="AU3471" i="5"/>
  <c r="AY3471" i="5"/>
  <c r="AV3474" i="5"/>
  <c r="AW3477" i="5"/>
  <c r="AV3478" i="5"/>
  <c r="AU3479" i="5"/>
  <c r="AY3479" i="5"/>
  <c r="AW3481" i="5"/>
  <c r="AV3482" i="5"/>
  <c r="AU3483" i="5"/>
  <c r="AY3483" i="5"/>
  <c r="AU3487" i="5"/>
  <c r="AY3487" i="5"/>
  <c r="AW3489" i="5"/>
  <c r="AV3490" i="5"/>
  <c r="AU3491" i="5"/>
  <c r="AY3491" i="5"/>
  <c r="AV3494" i="5"/>
  <c r="AU3495" i="5"/>
  <c r="AY3495" i="5"/>
  <c r="AW3497" i="5"/>
  <c r="AU3499" i="5"/>
  <c r="AY3499" i="5"/>
  <c r="AW3501" i="5"/>
  <c r="AU3503" i="5"/>
  <c r="AY3503" i="5"/>
  <c r="AV3506" i="5"/>
  <c r="AU3507" i="5"/>
  <c r="AY3507" i="5"/>
  <c r="AW3509" i="5"/>
  <c r="AW3513" i="5"/>
  <c r="AU3515" i="5"/>
  <c r="AY3515" i="5"/>
  <c r="AW3517" i="5"/>
  <c r="AV3518" i="5"/>
  <c r="AU3519" i="5"/>
  <c r="AY3519" i="5"/>
  <c r="AW3521" i="5"/>
  <c r="AW3525" i="5"/>
  <c r="AV3526" i="5"/>
  <c r="AU3527" i="5"/>
  <c r="AY3527" i="5"/>
  <c r="AV3530" i="5"/>
  <c r="AU3531" i="5"/>
  <c r="AY3531" i="5"/>
  <c r="AW3533" i="5"/>
  <c r="AU3535" i="5"/>
  <c r="AY3535" i="5"/>
  <c r="AW3537" i="5"/>
  <c r="AU3539" i="5"/>
  <c r="AY3539" i="5"/>
  <c r="AV3542" i="5"/>
  <c r="AU3543" i="5"/>
  <c r="AY3543" i="5"/>
  <c r="AW3545" i="5"/>
  <c r="AW3549" i="5"/>
  <c r="AU3551" i="5"/>
  <c r="AY3551" i="5"/>
  <c r="AW3553" i="5"/>
  <c r="AV3554" i="5"/>
  <c r="AU3555" i="5"/>
  <c r="AY3555" i="5"/>
  <c r="AW3557" i="5"/>
  <c r="AW3561" i="5"/>
  <c r="AV3562" i="5"/>
  <c r="AU3563" i="5"/>
  <c r="AY3563" i="5"/>
  <c r="AV3566" i="5"/>
  <c r="AU3567" i="5"/>
  <c r="AY3567" i="5"/>
  <c r="AW3569" i="5"/>
  <c r="AW3573" i="5"/>
  <c r="AU3575" i="5"/>
  <c r="AY3575" i="5"/>
  <c r="AW3577" i="5"/>
  <c r="AV3578" i="5"/>
  <c r="AW3581" i="5"/>
  <c r="AV3582" i="5"/>
  <c r="AW3585" i="5"/>
  <c r="AV3586" i="5"/>
  <c r="AU3587" i="5"/>
  <c r="AY3587" i="5"/>
  <c r="AW3589" i="5"/>
  <c r="AV3590" i="5"/>
  <c r="AU3591" i="5"/>
  <c r="AW3592" i="5"/>
  <c r="AX3594" i="5"/>
  <c r="AY3596" i="5"/>
  <c r="AU3596" i="5"/>
  <c r="AU3598" i="5"/>
  <c r="AX3599" i="5"/>
  <c r="AV3600" i="5"/>
  <c r="AY3600" i="5"/>
  <c r="AU3600" i="5"/>
  <c r="AW3604" i="5"/>
  <c r="AU3611" i="5"/>
  <c r="AW3623" i="5"/>
  <c r="AV3623" i="5"/>
  <c r="AY3623" i="5"/>
  <c r="AU3623" i="5"/>
  <c r="AW3635" i="5"/>
  <c r="AV3635" i="5"/>
  <c r="AY3635" i="5"/>
  <c r="AU3635" i="5"/>
  <c r="AX3651" i="5"/>
  <c r="AW3655" i="5"/>
  <c r="AV3655" i="5"/>
  <c r="AY3655" i="5"/>
  <c r="AU3655" i="5"/>
  <c r="AW3663" i="5"/>
  <c r="AV3663" i="5"/>
  <c r="AY3663" i="5"/>
  <c r="AU3663" i="5"/>
  <c r="AX3683" i="5"/>
  <c r="AX3691" i="5"/>
  <c r="AX3441" i="5"/>
  <c r="AX3445" i="5"/>
  <c r="AX3453" i="5"/>
  <c r="AX3465" i="5"/>
  <c r="AX3469" i="5"/>
  <c r="AX3477" i="5"/>
  <c r="AX3481" i="5"/>
  <c r="AV3483" i="5"/>
  <c r="AV3487" i="5"/>
  <c r="AX3489" i="5"/>
  <c r="AV3491" i="5"/>
  <c r="AV3495" i="5"/>
  <c r="AX3497" i="5"/>
  <c r="AV3499" i="5"/>
  <c r="AX3501" i="5"/>
  <c r="AV3503" i="5"/>
  <c r="AV3507" i="5"/>
  <c r="AX3509" i="5"/>
  <c r="AX3513" i="5"/>
  <c r="AV3515" i="5"/>
  <c r="AX3517" i="5"/>
  <c r="AV3519" i="5"/>
  <c r="AX3521" i="5"/>
  <c r="AX3525" i="5"/>
  <c r="AV3527" i="5"/>
  <c r="AV3531" i="5"/>
  <c r="AX3533" i="5"/>
  <c r="AV3535" i="5"/>
  <c r="AX3537" i="5"/>
  <c r="AV3539" i="5"/>
  <c r="AW3542" i="5"/>
  <c r="AV3543" i="5"/>
  <c r="AV3551" i="5"/>
  <c r="AW3554" i="5"/>
  <c r="AV3555" i="5"/>
  <c r="AW3562" i="5"/>
  <c r="AV3563" i="5"/>
  <c r="AW3566" i="5"/>
  <c r="AV3567" i="5"/>
  <c r="AV3575" i="5"/>
  <c r="AW3578" i="5"/>
  <c r="AW3582" i="5"/>
  <c r="AW3586" i="5"/>
  <c r="AV3587" i="5"/>
  <c r="AW3590" i="5"/>
  <c r="AW3591" i="5"/>
  <c r="AY3594" i="5"/>
  <c r="AV3598" i="5"/>
  <c r="AW3603" i="5"/>
  <c r="AV3603" i="5"/>
  <c r="AX3604" i="5"/>
  <c r="AV3608" i="5"/>
  <c r="AY3608" i="5"/>
  <c r="AU3608" i="5"/>
  <c r="AX3611" i="5"/>
  <c r="AW3647" i="5"/>
  <c r="AV3647" i="5"/>
  <c r="AY3647" i="5"/>
  <c r="AU3647" i="5"/>
  <c r="AW3659" i="5"/>
  <c r="AV3659" i="5"/>
  <c r="AY3659" i="5"/>
  <c r="AU3659" i="5"/>
  <c r="AW3667" i="5"/>
  <c r="AV3667" i="5"/>
  <c r="AY3667" i="5"/>
  <c r="AU3667" i="5"/>
  <c r="AW3675" i="5"/>
  <c r="AV3675" i="5"/>
  <c r="AY3675" i="5"/>
  <c r="AU3675" i="5"/>
  <c r="AU3441" i="5"/>
  <c r="AU3445" i="5"/>
  <c r="AU3453" i="5"/>
  <c r="AU3465" i="5"/>
  <c r="AU3469" i="5"/>
  <c r="AU3477" i="5"/>
  <c r="AU3481" i="5"/>
  <c r="AU3489" i="5"/>
  <c r="AU3497" i="5"/>
  <c r="AU3501" i="5"/>
  <c r="AU3509" i="5"/>
  <c r="AU3513" i="5"/>
  <c r="AU3517" i="5"/>
  <c r="AU3521" i="5"/>
  <c r="AU3525" i="5"/>
  <c r="AU3533" i="5"/>
  <c r="AU3537" i="5"/>
  <c r="AX3591" i="5"/>
  <c r="AY3592" i="5"/>
  <c r="AU3592" i="5"/>
  <c r="AX3598" i="5"/>
  <c r="AW3599" i="5"/>
  <c r="AV3599" i="5"/>
  <c r="AW3627" i="5"/>
  <c r="AV3627" i="5"/>
  <c r="AY3627" i="5"/>
  <c r="AU3627" i="5"/>
  <c r="AW3639" i="5"/>
  <c r="AV3639" i="5"/>
  <c r="AY3639" i="5"/>
  <c r="AU3639" i="5"/>
  <c r="AW3679" i="5"/>
  <c r="AV3679" i="5"/>
  <c r="AY3679" i="5"/>
  <c r="AU3679" i="5"/>
  <c r="AW3687" i="5"/>
  <c r="AV3687" i="5"/>
  <c r="AY3687" i="5"/>
  <c r="AU3687" i="5"/>
  <c r="AX3695" i="5"/>
  <c r="AX3699" i="5"/>
  <c r="AX3703" i="5"/>
  <c r="AX3707" i="5"/>
  <c r="AX3711" i="5"/>
  <c r="AX3715" i="5"/>
  <c r="AX3719" i="5"/>
  <c r="AX3723" i="5"/>
  <c r="AX3727" i="5"/>
  <c r="AX3731" i="5"/>
  <c r="AX3735" i="5"/>
  <c r="AX3739" i="5"/>
  <c r="AX3743" i="5"/>
  <c r="AX3747" i="5"/>
  <c r="AX3751" i="5"/>
  <c r="AX3755" i="5"/>
  <c r="AX3759" i="5"/>
  <c r="AX3763" i="5"/>
  <c r="AX3767" i="5"/>
  <c r="AX3771" i="5"/>
  <c r="AX3775" i="5"/>
  <c r="AX3779" i="5"/>
  <c r="AX3783" i="5"/>
  <c r="AX3787" i="5"/>
  <c r="AY3808" i="5"/>
  <c r="AU3808" i="5"/>
  <c r="AW3808" i="5"/>
  <c r="AW3810" i="5"/>
  <c r="AY3810" i="5"/>
  <c r="AU3810" i="5"/>
  <c r="AV3816" i="5"/>
  <c r="AY3816" i="5"/>
  <c r="AU3816" i="5"/>
  <c r="AW3816" i="5"/>
  <c r="AV3824" i="5"/>
  <c r="AY3824" i="5"/>
  <c r="AU3824" i="5"/>
  <c r="AW3824" i="5"/>
  <c r="AX3612" i="5"/>
  <c r="AX3616" i="5"/>
  <c r="AX3620" i="5"/>
  <c r="AX3628" i="5"/>
  <c r="AX3632" i="5"/>
  <c r="AX3636" i="5"/>
  <c r="AX3640" i="5"/>
  <c r="AX3648" i="5"/>
  <c r="AX3652" i="5"/>
  <c r="AX3660" i="5"/>
  <c r="AX3664" i="5"/>
  <c r="AX3672" i="5"/>
  <c r="AX3676" i="5"/>
  <c r="AX3684" i="5"/>
  <c r="AX3688" i="5"/>
  <c r="AU3695" i="5"/>
  <c r="AY3695" i="5"/>
  <c r="AX3696" i="5"/>
  <c r="AU3699" i="5"/>
  <c r="AY3699" i="5"/>
  <c r="AX3700" i="5"/>
  <c r="AU3703" i="5"/>
  <c r="AY3703" i="5"/>
  <c r="AU3707" i="5"/>
  <c r="AY3707" i="5"/>
  <c r="AX3708" i="5"/>
  <c r="AU3711" i="5"/>
  <c r="AY3711" i="5"/>
  <c r="AX3712" i="5"/>
  <c r="AU3715" i="5"/>
  <c r="AY3715" i="5"/>
  <c r="AU3719" i="5"/>
  <c r="AY3719" i="5"/>
  <c r="AX3720" i="5"/>
  <c r="AU3723" i="5"/>
  <c r="AY3723" i="5"/>
  <c r="AX3724" i="5"/>
  <c r="AU3727" i="5"/>
  <c r="AY3727" i="5"/>
  <c r="AU3731" i="5"/>
  <c r="AY3731" i="5"/>
  <c r="AX3732" i="5"/>
  <c r="AU3735" i="5"/>
  <c r="AY3735" i="5"/>
  <c r="AX3736" i="5"/>
  <c r="AU3739" i="5"/>
  <c r="AY3739" i="5"/>
  <c r="AU3743" i="5"/>
  <c r="AY3743" i="5"/>
  <c r="AX3744" i="5"/>
  <c r="AU3747" i="5"/>
  <c r="AY3747" i="5"/>
  <c r="AX3748" i="5"/>
  <c r="AU3751" i="5"/>
  <c r="AY3751" i="5"/>
  <c r="AU3755" i="5"/>
  <c r="AY3755" i="5"/>
  <c r="AX3756" i="5"/>
  <c r="AU3759" i="5"/>
  <c r="AY3759" i="5"/>
  <c r="AX3760" i="5"/>
  <c r="AU3763" i="5"/>
  <c r="AY3763" i="5"/>
  <c r="AU3767" i="5"/>
  <c r="AY3767" i="5"/>
  <c r="AX3768" i="5"/>
  <c r="AU3771" i="5"/>
  <c r="AY3771" i="5"/>
  <c r="AX3772" i="5"/>
  <c r="AU3775" i="5"/>
  <c r="AY3775" i="5"/>
  <c r="AU3779" i="5"/>
  <c r="AY3779" i="5"/>
  <c r="AX3780" i="5"/>
  <c r="AU3783" i="5"/>
  <c r="AY3783" i="5"/>
  <c r="AX3784" i="5"/>
  <c r="AU3787" i="5"/>
  <c r="AY3787" i="5"/>
  <c r="AY3796" i="5"/>
  <c r="AU3796" i="5"/>
  <c r="AW3796" i="5"/>
  <c r="AW3798" i="5"/>
  <c r="AY3798" i="5"/>
  <c r="AU3798" i="5"/>
  <c r="AW3806" i="5"/>
  <c r="AY3806" i="5"/>
  <c r="AU3806" i="5"/>
  <c r="AV3808" i="5"/>
  <c r="AW3814" i="5"/>
  <c r="AY3814" i="5"/>
  <c r="AU3814" i="5"/>
  <c r="AV3832" i="5"/>
  <c r="AY3832" i="5"/>
  <c r="AU3832" i="5"/>
  <c r="AW3832" i="5"/>
  <c r="AW3602" i="5"/>
  <c r="AW3610" i="5"/>
  <c r="AU3612" i="5"/>
  <c r="AY3612" i="5"/>
  <c r="AW3614" i="5"/>
  <c r="AU3616" i="5"/>
  <c r="AY3616" i="5"/>
  <c r="AW3618" i="5"/>
  <c r="AU3620" i="5"/>
  <c r="AY3620" i="5"/>
  <c r="AW3622" i="5"/>
  <c r="AW3626" i="5"/>
  <c r="AU3628" i="5"/>
  <c r="AY3628" i="5"/>
  <c r="AW3630" i="5"/>
  <c r="AU3632" i="5"/>
  <c r="AY3632" i="5"/>
  <c r="AW3634" i="5"/>
  <c r="AU3636" i="5"/>
  <c r="AY3636" i="5"/>
  <c r="AW3638" i="5"/>
  <c r="AU3640" i="5"/>
  <c r="AY3640" i="5"/>
  <c r="AW3642" i="5"/>
  <c r="AW3646" i="5"/>
  <c r="AU3648" i="5"/>
  <c r="AY3648" i="5"/>
  <c r="AW3650" i="5"/>
  <c r="AU3652" i="5"/>
  <c r="AY3652" i="5"/>
  <c r="AW3654" i="5"/>
  <c r="AW3658" i="5"/>
  <c r="AU3660" i="5"/>
  <c r="AY3660" i="5"/>
  <c r="AU3664" i="5"/>
  <c r="AY3664" i="5"/>
  <c r="AW3666" i="5"/>
  <c r="AW3670" i="5"/>
  <c r="AU3672" i="5"/>
  <c r="AY3672" i="5"/>
  <c r="AW3674" i="5"/>
  <c r="AU3676" i="5"/>
  <c r="AY3676" i="5"/>
  <c r="AW3678" i="5"/>
  <c r="AW3682" i="5"/>
  <c r="AU3684" i="5"/>
  <c r="AY3684" i="5"/>
  <c r="AW3686" i="5"/>
  <c r="AU3688" i="5"/>
  <c r="AY3688" i="5"/>
  <c r="AW3690" i="5"/>
  <c r="AW3694" i="5"/>
  <c r="AV3695" i="5"/>
  <c r="AU3696" i="5"/>
  <c r="AY3696" i="5"/>
  <c r="AW3698" i="5"/>
  <c r="AV3699" i="5"/>
  <c r="AU3700" i="5"/>
  <c r="AY3700" i="5"/>
  <c r="AW3702" i="5"/>
  <c r="AV3703" i="5"/>
  <c r="AW3706" i="5"/>
  <c r="AV3707" i="5"/>
  <c r="AU3708" i="5"/>
  <c r="AY3708" i="5"/>
  <c r="AW3710" i="5"/>
  <c r="AV3711" i="5"/>
  <c r="AU3712" i="5"/>
  <c r="AY3712" i="5"/>
  <c r="AW3714" i="5"/>
  <c r="AV3715" i="5"/>
  <c r="AW3718" i="5"/>
  <c r="AV3719" i="5"/>
  <c r="AU3720" i="5"/>
  <c r="AY3720" i="5"/>
  <c r="AW3722" i="5"/>
  <c r="AV3723" i="5"/>
  <c r="AU3724" i="5"/>
  <c r="AY3724" i="5"/>
  <c r="AW3726" i="5"/>
  <c r="AV3727" i="5"/>
  <c r="AW3730" i="5"/>
  <c r="AV3731" i="5"/>
  <c r="AU3732" i="5"/>
  <c r="AY3732" i="5"/>
  <c r="AW3734" i="5"/>
  <c r="AV3735" i="5"/>
  <c r="AU3736" i="5"/>
  <c r="AY3736" i="5"/>
  <c r="AW3738" i="5"/>
  <c r="AV3739" i="5"/>
  <c r="AW3742" i="5"/>
  <c r="AV3743" i="5"/>
  <c r="AU3744" i="5"/>
  <c r="AY3744" i="5"/>
  <c r="AW3746" i="5"/>
  <c r="AV3747" i="5"/>
  <c r="AU3748" i="5"/>
  <c r="AY3748" i="5"/>
  <c r="AW3750" i="5"/>
  <c r="AV3751" i="5"/>
  <c r="AW3754" i="5"/>
  <c r="AV3755" i="5"/>
  <c r="AU3756" i="5"/>
  <c r="AY3756" i="5"/>
  <c r="AX3757" i="5"/>
  <c r="AW3758" i="5"/>
  <c r="AV3759" i="5"/>
  <c r="AU3760" i="5"/>
  <c r="AY3760" i="5"/>
  <c r="AW3762" i="5"/>
  <c r="AV3763" i="5"/>
  <c r="AW3766" i="5"/>
  <c r="AV3767" i="5"/>
  <c r="AU3768" i="5"/>
  <c r="AY3768" i="5"/>
  <c r="AW3770" i="5"/>
  <c r="AV3771" i="5"/>
  <c r="AU3772" i="5"/>
  <c r="AY3772" i="5"/>
  <c r="AW3774" i="5"/>
  <c r="AV3775" i="5"/>
  <c r="AW3778" i="5"/>
  <c r="AV3779" i="5"/>
  <c r="AU3780" i="5"/>
  <c r="AY3780" i="5"/>
  <c r="AW3782" i="5"/>
  <c r="AV3783" i="5"/>
  <c r="AU3784" i="5"/>
  <c r="AY3784" i="5"/>
  <c r="AW3786" i="5"/>
  <c r="AV3787" i="5"/>
  <c r="AY3790" i="5"/>
  <c r="AU3790" i="5"/>
  <c r="AW3794" i="5"/>
  <c r="AY3794" i="5"/>
  <c r="AU3794" i="5"/>
  <c r="AV3796" i="5"/>
  <c r="AV3798" i="5"/>
  <c r="AW3802" i="5"/>
  <c r="AY3802" i="5"/>
  <c r="AU3802" i="5"/>
  <c r="AY3804" i="5"/>
  <c r="AU3804" i="5"/>
  <c r="AW3804" i="5"/>
  <c r="AV3806" i="5"/>
  <c r="AX3808" i="5"/>
  <c r="AX3810" i="5"/>
  <c r="AV3814" i="5"/>
  <c r="AV3820" i="5"/>
  <c r="AY3820" i="5"/>
  <c r="AU3820" i="5"/>
  <c r="AW3820" i="5"/>
  <c r="AX3832" i="5"/>
  <c r="AU3757" i="5"/>
  <c r="AY3792" i="5"/>
  <c r="AU3792" i="5"/>
  <c r="AW3792" i="5"/>
  <c r="AX3796" i="5"/>
  <c r="AX3798" i="5"/>
  <c r="AX3806" i="5"/>
  <c r="AX3814" i="5"/>
  <c r="AV3828" i="5"/>
  <c r="AY3828" i="5"/>
  <c r="AU3828" i="5"/>
  <c r="AW3828" i="5"/>
  <c r="AV3793" i="5"/>
  <c r="AX3795" i="5"/>
  <c r="AV3797" i="5"/>
  <c r="AV3801" i="5"/>
  <c r="AV3805" i="5"/>
  <c r="AX3807" i="5"/>
  <c r="AV3809" i="5"/>
  <c r="AV3813" i="5"/>
  <c r="AV3817" i="5"/>
  <c r="AU3818" i="5"/>
  <c r="AY3818" i="5"/>
  <c r="AV3821" i="5"/>
  <c r="AU3822" i="5"/>
  <c r="AY3822" i="5"/>
  <c r="AU3826" i="5"/>
  <c r="AY3826" i="5"/>
  <c r="AV3829" i="5"/>
  <c r="AU3830" i="5"/>
  <c r="AY3830" i="5"/>
  <c r="AV3833" i="5"/>
  <c r="AU3834" i="5"/>
  <c r="AY3834" i="5"/>
  <c r="AW3836" i="5"/>
  <c r="AU3838" i="5"/>
  <c r="AY3838" i="5"/>
  <c r="AW3840" i="5"/>
  <c r="AV3841" i="5"/>
  <c r="AU3842" i="5"/>
  <c r="AY3842" i="5"/>
  <c r="AW3844" i="5"/>
  <c r="AV3845" i="5"/>
  <c r="AU3846" i="5"/>
  <c r="AY3846" i="5"/>
  <c r="AW3848" i="5"/>
  <c r="AU3850" i="5"/>
  <c r="AY3850" i="5"/>
  <c r="AW3852" i="5"/>
  <c r="AV3853" i="5"/>
  <c r="AU3854" i="5"/>
  <c r="AY3854" i="5"/>
  <c r="AW3856" i="5"/>
  <c r="AV3857" i="5"/>
  <c r="AU3858" i="5"/>
  <c r="AY3858" i="5"/>
  <c r="AW3860" i="5"/>
  <c r="AU3862" i="5"/>
  <c r="AY3862" i="5"/>
  <c r="AW3864" i="5"/>
  <c r="AV3865" i="5"/>
  <c r="AU3866" i="5"/>
  <c r="AY3866" i="5"/>
  <c r="AW3868" i="5"/>
  <c r="AV3869" i="5"/>
  <c r="AU3870" i="5"/>
  <c r="AY3870" i="5"/>
  <c r="AW3872" i="5"/>
  <c r="AU3874" i="5"/>
  <c r="AY3874" i="5"/>
  <c r="AW3876" i="5"/>
  <c r="AV3877" i="5"/>
  <c r="AU3878" i="5"/>
  <c r="AY3878" i="5"/>
  <c r="AW3880" i="5"/>
  <c r="AV3881" i="5"/>
  <c r="AU3882" i="5"/>
  <c r="AY3882" i="5"/>
  <c r="AW3884" i="5"/>
  <c r="AU3886" i="5"/>
  <c r="AY3886" i="5"/>
  <c r="AW3888" i="5"/>
  <c r="AV3889" i="5"/>
  <c r="AU3890" i="5"/>
  <c r="AY3890" i="5"/>
  <c r="AW3892" i="5"/>
  <c r="AV3893" i="5"/>
  <c r="AU3894" i="5"/>
  <c r="AY3894" i="5"/>
  <c r="AW3896" i="5"/>
  <c r="AU3898" i="5"/>
  <c r="AY3898" i="5"/>
  <c r="AW3900" i="5"/>
  <c r="AV3901" i="5"/>
  <c r="AU3902" i="5"/>
  <c r="AY3902" i="5"/>
  <c r="AW3904" i="5"/>
  <c r="AV3905" i="5"/>
  <c r="AU3906" i="5"/>
  <c r="AY3906" i="5"/>
  <c r="AW3908" i="5"/>
  <c r="AV3909" i="5"/>
  <c r="AW3912" i="5"/>
  <c r="AV3913" i="5"/>
  <c r="AU3914" i="5"/>
  <c r="AY3914" i="5"/>
  <c r="AW3916" i="5"/>
  <c r="AV3917" i="5"/>
  <c r="AU3918" i="5"/>
  <c r="AY3918" i="5"/>
  <c r="AW3920" i="5"/>
  <c r="AV3921" i="5"/>
  <c r="AW3924" i="5"/>
  <c r="AV3925" i="5"/>
  <c r="AU3926" i="5"/>
  <c r="AY3926" i="5"/>
  <c r="AW3928" i="5"/>
  <c r="AV3929" i="5"/>
  <c r="AU3930" i="5"/>
  <c r="AY3930" i="5"/>
  <c r="AW3932" i="5"/>
  <c r="AV3933" i="5"/>
  <c r="AW3936" i="5"/>
  <c r="AV3937" i="5"/>
  <c r="AU3938" i="5"/>
  <c r="AY3938" i="5"/>
  <c r="AW3940" i="5"/>
  <c r="AV3941" i="5"/>
  <c r="AU3942" i="5"/>
  <c r="AY3942" i="5"/>
  <c r="AW3944" i="5"/>
  <c r="AV3945" i="5"/>
  <c r="AW3948" i="5"/>
  <c r="AV3949" i="5"/>
  <c r="AU3950" i="5"/>
  <c r="AY3950" i="5"/>
  <c r="AW3952" i="5"/>
  <c r="AV3953" i="5"/>
  <c r="AU3954" i="5"/>
  <c r="AY3954" i="5"/>
  <c r="AW3956" i="5"/>
  <c r="AV3957" i="5"/>
  <c r="AW3960" i="5"/>
  <c r="AV3961" i="5"/>
  <c r="AU3962" i="5"/>
  <c r="AY3962" i="5"/>
  <c r="AW3964" i="5"/>
  <c r="AV3965" i="5"/>
  <c r="AU3966" i="5"/>
  <c r="AY3966" i="5"/>
  <c r="AW3968" i="5"/>
  <c r="AV3969" i="5"/>
  <c r="AW3972" i="5"/>
  <c r="AV3973" i="5"/>
  <c r="AU3974" i="5"/>
  <c r="AY3974" i="5"/>
  <c r="AW3976" i="5"/>
  <c r="AV3977" i="5"/>
  <c r="AU3978" i="5"/>
  <c r="AY3978" i="5"/>
  <c r="AW3980" i="5"/>
  <c r="AV3981" i="5"/>
  <c r="AW3984" i="5"/>
  <c r="AV3985" i="5"/>
  <c r="AU3986" i="5"/>
  <c r="AY3986" i="5"/>
  <c r="AY3987" i="5"/>
  <c r="AU3988" i="5"/>
  <c r="AU3989" i="5"/>
  <c r="AX3992" i="5"/>
  <c r="AX3993" i="5"/>
  <c r="AY3994" i="5"/>
  <c r="AU3994" i="5"/>
  <c r="AW4000" i="5"/>
  <c r="AY4000" i="5"/>
  <c r="AU4000" i="5"/>
  <c r="AV4002" i="5"/>
  <c r="AV4010" i="5"/>
  <c r="AY4010" i="5"/>
  <c r="AU4010" i="5"/>
  <c r="AW4010" i="5"/>
  <c r="AV4018" i="5"/>
  <c r="AY4018" i="5"/>
  <c r="AU4018" i="5"/>
  <c r="AW4018" i="5"/>
  <c r="AX3836" i="5"/>
  <c r="AX3840" i="5"/>
  <c r="AX3844" i="5"/>
  <c r="AX3848" i="5"/>
  <c r="AX3852" i="5"/>
  <c r="AX3856" i="5"/>
  <c r="AX3860" i="5"/>
  <c r="AX3864" i="5"/>
  <c r="AX3868" i="5"/>
  <c r="AX3872" i="5"/>
  <c r="AX3876" i="5"/>
  <c r="AX3880" i="5"/>
  <c r="AX3884" i="5"/>
  <c r="AX3888" i="5"/>
  <c r="AX3892" i="5"/>
  <c r="AX3896" i="5"/>
  <c r="AX3900" i="5"/>
  <c r="AV3902" i="5"/>
  <c r="AX3904" i="5"/>
  <c r="AV3906" i="5"/>
  <c r="AX3908" i="5"/>
  <c r="AX3912" i="5"/>
  <c r="AV3914" i="5"/>
  <c r="AX3916" i="5"/>
  <c r="AV3918" i="5"/>
  <c r="AX3920" i="5"/>
  <c r="AX3924" i="5"/>
  <c r="AV3926" i="5"/>
  <c r="AX3928" i="5"/>
  <c r="AV3930" i="5"/>
  <c r="AX3932" i="5"/>
  <c r="AX3936" i="5"/>
  <c r="AV3938" i="5"/>
  <c r="AX3940" i="5"/>
  <c r="AV3942" i="5"/>
  <c r="AX3944" i="5"/>
  <c r="AX3948" i="5"/>
  <c r="AV3950" i="5"/>
  <c r="AX3952" i="5"/>
  <c r="AV3954" i="5"/>
  <c r="AX3956" i="5"/>
  <c r="AX3960" i="5"/>
  <c r="AV3962" i="5"/>
  <c r="AX3964" i="5"/>
  <c r="AV3966" i="5"/>
  <c r="AX3968" i="5"/>
  <c r="AX3972" i="5"/>
  <c r="AV3974" i="5"/>
  <c r="AX3976" i="5"/>
  <c r="AV3978" i="5"/>
  <c r="AX3980" i="5"/>
  <c r="AX3984" i="5"/>
  <c r="AV3986" i="5"/>
  <c r="AV3988" i="5"/>
  <c r="AW3989" i="5"/>
  <c r="AY3992" i="5"/>
  <c r="AY3993" i="5"/>
  <c r="AW3996" i="5"/>
  <c r="AY3996" i="5"/>
  <c r="AU3996" i="5"/>
  <c r="AY3998" i="5"/>
  <c r="AU3998" i="5"/>
  <c r="AW3998" i="5"/>
  <c r="AV4026" i="5"/>
  <c r="AY4026" i="5"/>
  <c r="AU4026" i="5"/>
  <c r="AW4026" i="5"/>
  <c r="AW3818" i="5"/>
  <c r="AW3822" i="5"/>
  <c r="AW3826" i="5"/>
  <c r="AW3830" i="5"/>
  <c r="AW3834" i="5"/>
  <c r="AU3836" i="5"/>
  <c r="AY3836" i="5"/>
  <c r="AW3838" i="5"/>
  <c r="AU3840" i="5"/>
  <c r="AY3840" i="5"/>
  <c r="AW3842" i="5"/>
  <c r="AU3844" i="5"/>
  <c r="AY3844" i="5"/>
  <c r="AW3846" i="5"/>
  <c r="AU3848" i="5"/>
  <c r="AY3848" i="5"/>
  <c r="AW3850" i="5"/>
  <c r="AU3852" i="5"/>
  <c r="AY3852" i="5"/>
  <c r="AW3854" i="5"/>
  <c r="AU3856" i="5"/>
  <c r="AY3856" i="5"/>
  <c r="AW3858" i="5"/>
  <c r="AU3860" i="5"/>
  <c r="AY3860" i="5"/>
  <c r="AW3862" i="5"/>
  <c r="AU3864" i="5"/>
  <c r="AY3864" i="5"/>
  <c r="AW3866" i="5"/>
  <c r="AU3868" i="5"/>
  <c r="AY3868" i="5"/>
  <c r="AW3870" i="5"/>
  <c r="AU3872" i="5"/>
  <c r="AY3872" i="5"/>
  <c r="AW3874" i="5"/>
  <c r="AU3876" i="5"/>
  <c r="AY3876" i="5"/>
  <c r="AW3878" i="5"/>
  <c r="AU3880" i="5"/>
  <c r="AY3880" i="5"/>
  <c r="AW3882" i="5"/>
  <c r="AU3884" i="5"/>
  <c r="AY3884" i="5"/>
  <c r="AW3886" i="5"/>
  <c r="AU3888" i="5"/>
  <c r="AY3888" i="5"/>
  <c r="AW3890" i="5"/>
  <c r="AU3892" i="5"/>
  <c r="AY3892" i="5"/>
  <c r="AW3894" i="5"/>
  <c r="AU3896" i="5"/>
  <c r="AY3896" i="5"/>
  <c r="AW3898" i="5"/>
  <c r="AU3900" i="5"/>
  <c r="AY3900" i="5"/>
  <c r="AW3902" i="5"/>
  <c r="AU3904" i="5"/>
  <c r="AY3904" i="5"/>
  <c r="AW3906" i="5"/>
  <c r="AU3908" i="5"/>
  <c r="AU3912" i="5"/>
  <c r="AW3914" i="5"/>
  <c r="AU3916" i="5"/>
  <c r="AW3918" i="5"/>
  <c r="AU3920" i="5"/>
  <c r="AU3924" i="5"/>
  <c r="AW3926" i="5"/>
  <c r="AU3928" i="5"/>
  <c r="AW3930" i="5"/>
  <c r="AU3932" i="5"/>
  <c r="AU3936" i="5"/>
  <c r="AW3938" i="5"/>
  <c r="AU3940" i="5"/>
  <c r="AW3942" i="5"/>
  <c r="AU3944" i="5"/>
  <c r="AU3948" i="5"/>
  <c r="AW3950" i="5"/>
  <c r="AU3952" i="5"/>
  <c r="AW3954" i="5"/>
  <c r="AU3956" i="5"/>
  <c r="AU3960" i="5"/>
  <c r="AW3962" i="5"/>
  <c r="AU3964" i="5"/>
  <c r="AW3966" i="5"/>
  <c r="AU3968" i="5"/>
  <c r="AU3972" i="5"/>
  <c r="AW3974" i="5"/>
  <c r="AU3976" i="5"/>
  <c r="AW3978" i="5"/>
  <c r="AU3980" i="5"/>
  <c r="AU3984" i="5"/>
  <c r="AW3986" i="5"/>
  <c r="AX3988" i="5"/>
  <c r="AX3989" i="5"/>
  <c r="AY3990" i="5"/>
  <c r="AU3990" i="5"/>
  <c r="AU3992" i="5"/>
  <c r="AU3993" i="5"/>
  <c r="AV3996" i="5"/>
  <c r="AV3998" i="5"/>
  <c r="AX4000" i="5"/>
  <c r="AV4006" i="5"/>
  <c r="AY4006" i="5"/>
  <c r="AU4006" i="5"/>
  <c r="AW4006" i="5"/>
  <c r="AV4022" i="5"/>
  <c r="AY4022" i="5"/>
  <c r="AU4022" i="5"/>
  <c r="AW4022" i="5"/>
  <c r="AY3988" i="5"/>
  <c r="AY3989" i="5"/>
  <c r="AY4002" i="5"/>
  <c r="AU4002" i="5"/>
  <c r="AW4002" i="5"/>
  <c r="AV4014" i="5"/>
  <c r="AY4014" i="5"/>
  <c r="AU4014" i="5"/>
  <c r="AW4014" i="5"/>
  <c r="AX4022" i="5"/>
  <c r="AX3997" i="5"/>
  <c r="AX4001" i="5"/>
  <c r="AU4004" i="5"/>
  <c r="AY4004" i="5"/>
  <c r="AX4005" i="5"/>
  <c r="AU4008" i="5"/>
  <c r="AY4008" i="5"/>
  <c r="AX4009" i="5"/>
  <c r="AU4012" i="5"/>
  <c r="AY4012" i="5"/>
  <c r="AX4013" i="5"/>
  <c r="AU4016" i="5"/>
  <c r="AY4016" i="5"/>
  <c r="AX4017" i="5"/>
  <c r="AU4020" i="5"/>
  <c r="AY4020" i="5"/>
  <c r="AX4021" i="5"/>
  <c r="AU4024" i="5"/>
  <c r="AY4024" i="5"/>
  <c r="AX4025" i="5"/>
  <c r="AU4028" i="5"/>
  <c r="AY4028" i="5"/>
  <c r="AX4029" i="5"/>
  <c r="AW4030" i="5"/>
  <c r="AU4032" i="5"/>
  <c r="AY4032" i="5"/>
  <c r="AX4033" i="5"/>
  <c r="AW4034" i="5"/>
  <c r="AV4035" i="5"/>
  <c r="AU4036" i="5"/>
  <c r="AY4036" i="5"/>
  <c r="AX4037" i="5"/>
  <c r="AW4038" i="5"/>
  <c r="AV4039" i="5"/>
  <c r="AU4040" i="5"/>
  <c r="AY4040" i="5"/>
  <c r="AX4041" i="5"/>
  <c r="AW4042" i="5"/>
  <c r="AU4044" i="5"/>
  <c r="AY4044" i="5"/>
  <c r="AX4045" i="5"/>
  <c r="AW4046" i="5"/>
  <c r="AV4047" i="5"/>
  <c r="AU4048" i="5"/>
  <c r="AY4048" i="5"/>
  <c r="AW4050" i="5"/>
  <c r="AV4051" i="5"/>
  <c r="AU4052" i="5"/>
  <c r="AY4052" i="5"/>
  <c r="AW4054" i="5"/>
  <c r="AU4056" i="5"/>
  <c r="AY4056" i="5"/>
  <c r="AW4058" i="5"/>
  <c r="AV4059" i="5"/>
  <c r="AU4060" i="5"/>
  <c r="AY4060" i="5"/>
  <c r="AW4062" i="5"/>
  <c r="AV4063" i="5"/>
  <c r="AU4064" i="5"/>
  <c r="AY4064" i="5"/>
  <c r="AW4066" i="5"/>
  <c r="AU4068" i="5"/>
  <c r="AY4068" i="5"/>
  <c r="AW4070" i="5"/>
  <c r="AV4071" i="5"/>
  <c r="AU4072" i="5"/>
  <c r="AY4072" i="5"/>
  <c r="AW4074" i="5"/>
  <c r="AV4075" i="5"/>
  <c r="AU4076" i="5"/>
  <c r="AY4076" i="5"/>
  <c r="AY4078" i="5"/>
  <c r="AY4079" i="5"/>
  <c r="AV4082" i="5"/>
  <c r="AW4083" i="5"/>
  <c r="AU4086" i="5"/>
  <c r="AU4087" i="5"/>
  <c r="AX4090" i="5"/>
  <c r="AX4091" i="5"/>
  <c r="AU4094" i="5"/>
  <c r="AU4095" i="5"/>
  <c r="AY4098" i="5"/>
  <c r="AY4099" i="5"/>
  <c r="AV4100" i="5"/>
  <c r="AV4102" i="5"/>
  <c r="AW4103" i="5"/>
  <c r="AW4111" i="5"/>
  <c r="AV4111" i="5"/>
  <c r="AY4111" i="5"/>
  <c r="AU4111" i="5"/>
  <c r="AW4115" i="5"/>
  <c r="AV4115" i="5"/>
  <c r="AY4115" i="5"/>
  <c r="AU4115" i="5"/>
  <c r="AW4131" i="5"/>
  <c r="AV4131" i="5"/>
  <c r="AY4131" i="5"/>
  <c r="AU4131" i="5"/>
  <c r="AX4030" i="5"/>
  <c r="AX4034" i="5"/>
  <c r="AX4038" i="5"/>
  <c r="AX4042" i="5"/>
  <c r="AX4046" i="5"/>
  <c r="AX4050" i="5"/>
  <c r="AX4054" i="5"/>
  <c r="AX4058" i="5"/>
  <c r="AX4062" i="5"/>
  <c r="AX4066" i="5"/>
  <c r="AX4070" i="5"/>
  <c r="AX4074" i="5"/>
  <c r="AY4084" i="5"/>
  <c r="AU4084" i="5"/>
  <c r="AY4090" i="5"/>
  <c r="AY4091" i="5"/>
  <c r="AW4107" i="5"/>
  <c r="AV4107" i="5"/>
  <c r="AW4119" i="5"/>
  <c r="AV4119" i="5"/>
  <c r="AY4119" i="5"/>
  <c r="AU4119" i="5"/>
  <c r="AW4147" i="5"/>
  <c r="AV4147" i="5"/>
  <c r="AY4147" i="5"/>
  <c r="AU4147" i="5"/>
  <c r="AW4151" i="5"/>
  <c r="AV4151" i="5"/>
  <c r="AY4151" i="5"/>
  <c r="AU4151" i="5"/>
  <c r="AW4004" i="5"/>
  <c r="AW4008" i="5"/>
  <c r="AW4012" i="5"/>
  <c r="AW4016" i="5"/>
  <c r="AW4020" i="5"/>
  <c r="AW4024" i="5"/>
  <c r="AW4028" i="5"/>
  <c r="AU4030" i="5"/>
  <c r="AY4030" i="5"/>
  <c r="AW4032" i="5"/>
  <c r="AU4034" i="5"/>
  <c r="AY4034" i="5"/>
  <c r="AW4036" i="5"/>
  <c r="AU4038" i="5"/>
  <c r="AY4038" i="5"/>
  <c r="AW4040" i="5"/>
  <c r="AU4042" i="5"/>
  <c r="AY4042" i="5"/>
  <c r="AW4044" i="5"/>
  <c r="AU4046" i="5"/>
  <c r="AY4046" i="5"/>
  <c r="AW4048" i="5"/>
  <c r="AU4050" i="5"/>
  <c r="AY4050" i="5"/>
  <c r="AW4052" i="5"/>
  <c r="AU4054" i="5"/>
  <c r="AY4054" i="5"/>
  <c r="AW4056" i="5"/>
  <c r="AU4058" i="5"/>
  <c r="AY4058" i="5"/>
  <c r="AW4060" i="5"/>
  <c r="AU4062" i="5"/>
  <c r="AY4062" i="5"/>
  <c r="AW4064" i="5"/>
  <c r="AU4066" i="5"/>
  <c r="AY4066" i="5"/>
  <c r="AW4068" i="5"/>
  <c r="AU4070" i="5"/>
  <c r="AY4070" i="5"/>
  <c r="AW4072" i="5"/>
  <c r="AU4074" i="5"/>
  <c r="AY4074" i="5"/>
  <c r="AW4076" i="5"/>
  <c r="AY4082" i="5"/>
  <c r="AY4083" i="5"/>
  <c r="AV4084" i="5"/>
  <c r="AX4086" i="5"/>
  <c r="AX4087" i="5"/>
  <c r="AY4088" i="5"/>
  <c r="AU4088" i="5"/>
  <c r="AU4090" i="5"/>
  <c r="AU4091" i="5"/>
  <c r="AX4094" i="5"/>
  <c r="AX4095" i="5"/>
  <c r="AY4096" i="5"/>
  <c r="AU4096" i="5"/>
  <c r="AY4102" i="5"/>
  <c r="AY4103" i="5"/>
  <c r="AU4107" i="5"/>
  <c r="AV4108" i="5"/>
  <c r="AY4108" i="5"/>
  <c r="AU4108" i="5"/>
  <c r="AX4119" i="5"/>
  <c r="AW4135" i="5"/>
  <c r="AV4135" i="5"/>
  <c r="AY4135" i="5"/>
  <c r="AU4135" i="5"/>
  <c r="AW4139" i="5"/>
  <c r="AV4139" i="5"/>
  <c r="AY4139" i="5"/>
  <c r="AU4139" i="5"/>
  <c r="AX4147" i="5"/>
  <c r="AX4151" i="5"/>
  <c r="AW4155" i="5"/>
  <c r="AV4155" i="5"/>
  <c r="AY4155" i="5"/>
  <c r="AU4155" i="5"/>
  <c r="AW4084" i="5"/>
  <c r="AY4086" i="5"/>
  <c r="AY4087" i="5"/>
  <c r="AV4090" i="5"/>
  <c r="AW4091" i="5"/>
  <c r="AY4094" i="5"/>
  <c r="AY4095" i="5"/>
  <c r="AY4100" i="5"/>
  <c r="AU4100" i="5"/>
  <c r="AX4107" i="5"/>
  <c r="AW4123" i="5"/>
  <c r="AV4123" i="5"/>
  <c r="AY4123" i="5"/>
  <c r="AU4123" i="5"/>
  <c r="AW4127" i="5"/>
  <c r="AV4127" i="5"/>
  <c r="AY4127" i="5"/>
  <c r="AU4127" i="5"/>
  <c r="AW4143" i="5"/>
  <c r="AV4143" i="5"/>
  <c r="AY4143" i="5"/>
  <c r="AU4143" i="5"/>
  <c r="AX4112" i="5"/>
  <c r="AX4120" i="5"/>
  <c r="AX4124" i="5"/>
  <c r="AX4132" i="5"/>
  <c r="AX4136" i="5"/>
  <c r="AX4144" i="5"/>
  <c r="AX4148" i="5"/>
  <c r="AX4156" i="5"/>
  <c r="AU4159" i="5"/>
  <c r="AY4159" i="5"/>
  <c r="AX4160" i="5"/>
  <c r="AY4161" i="5"/>
  <c r="AY4162" i="5"/>
  <c r="AV4163" i="5"/>
  <c r="AU4169" i="5"/>
  <c r="AU4170" i="5"/>
  <c r="AW4199" i="5"/>
  <c r="AV4199" i="5"/>
  <c r="AY4199" i="5"/>
  <c r="AU4199" i="5"/>
  <c r="AW4106" i="5"/>
  <c r="AW4110" i="5"/>
  <c r="AU4112" i="5"/>
  <c r="AY4112" i="5"/>
  <c r="AW4114" i="5"/>
  <c r="AW4118" i="5"/>
  <c r="AU4120" i="5"/>
  <c r="AY4120" i="5"/>
  <c r="AW4122" i="5"/>
  <c r="AU4124" i="5"/>
  <c r="AY4124" i="5"/>
  <c r="AW4126" i="5"/>
  <c r="AW4130" i="5"/>
  <c r="AU4132" i="5"/>
  <c r="AY4132" i="5"/>
  <c r="AW4134" i="5"/>
  <c r="AU4136" i="5"/>
  <c r="AY4136" i="5"/>
  <c r="AW4138" i="5"/>
  <c r="AW4142" i="5"/>
  <c r="AU4144" i="5"/>
  <c r="AY4144" i="5"/>
  <c r="AW4146" i="5"/>
  <c r="AU4148" i="5"/>
  <c r="AY4148" i="5"/>
  <c r="AW4150" i="5"/>
  <c r="AW4154" i="5"/>
  <c r="AU4156" i="5"/>
  <c r="AY4156" i="5"/>
  <c r="AW4158" i="5"/>
  <c r="AV4159" i="5"/>
  <c r="AU4160" i="5"/>
  <c r="AY4160" i="5"/>
  <c r="AU4161" i="5"/>
  <c r="AU4162" i="5"/>
  <c r="AW4163" i="5"/>
  <c r="AX4166" i="5"/>
  <c r="AY4167" i="5"/>
  <c r="AU4167" i="5"/>
  <c r="AV4169" i="5"/>
  <c r="AW4170" i="5"/>
  <c r="AW4171" i="5"/>
  <c r="AY4171" i="5"/>
  <c r="AU4171" i="5"/>
  <c r="AY4173" i="5"/>
  <c r="AU4173" i="5"/>
  <c r="AW4173" i="5"/>
  <c r="AW4175" i="5"/>
  <c r="AY4175" i="5"/>
  <c r="AU4175" i="5"/>
  <c r="AW4183" i="5"/>
  <c r="AY4183" i="5"/>
  <c r="AU4183" i="5"/>
  <c r="AY4185" i="5"/>
  <c r="AU4185" i="5"/>
  <c r="AW4185" i="5"/>
  <c r="AW4187" i="5"/>
  <c r="AY4187" i="5"/>
  <c r="AU4187" i="5"/>
  <c r="AW4195" i="5"/>
  <c r="AV4195" i="5"/>
  <c r="AY4195" i="5"/>
  <c r="AU4195" i="5"/>
  <c r="AX4199" i="5"/>
  <c r="AW4203" i="5"/>
  <c r="AV4203" i="5"/>
  <c r="AY4203" i="5"/>
  <c r="AU4203" i="5"/>
  <c r="AW4159" i="5"/>
  <c r="AV4161" i="5"/>
  <c r="AW4162" i="5"/>
  <c r="AY4166" i="5"/>
  <c r="AX4169" i="5"/>
  <c r="AX4170" i="5"/>
  <c r="AW4179" i="5"/>
  <c r="AY4179" i="5"/>
  <c r="AU4179" i="5"/>
  <c r="AY4181" i="5"/>
  <c r="AU4181" i="5"/>
  <c r="AW4181" i="5"/>
  <c r="AW4191" i="5"/>
  <c r="AY4191" i="5"/>
  <c r="AU4191" i="5"/>
  <c r="AW4211" i="5"/>
  <c r="AV4211" i="5"/>
  <c r="AY4211" i="5"/>
  <c r="AU4211" i="5"/>
  <c r="AY4163" i="5"/>
  <c r="AU4163" i="5"/>
  <c r="AY4169" i="5"/>
  <c r="AY4170" i="5"/>
  <c r="AW4207" i="5"/>
  <c r="AV4207" i="5"/>
  <c r="AY4207" i="5"/>
  <c r="AU4207" i="5"/>
  <c r="AX4215" i="5"/>
  <c r="AX4219" i="5"/>
  <c r="AX4223" i="5"/>
  <c r="AX4227" i="5"/>
  <c r="AX4231" i="5"/>
  <c r="AX4235" i="5"/>
  <c r="AX4239" i="5"/>
  <c r="AX4243" i="5"/>
  <c r="AX4247" i="5"/>
  <c r="AX4251" i="5"/>
  <c r="AY4268" i="5"/>
  <c r="AY4269" i="5"/>
  <c r="AY4276" i="5"/>
  <c r="AY4277" i="5"/>
  <c r="AY4282" i="5"/>
  <c r="AU4282" i="5"/>
  <c r="AY4290" i="5"/>
  <c r="AU4290" i="5"/>
  <c r="AY4296" i="5"/>
  <c r="AW4297" i="5"/>
  <c r="AV4297" i="5"/>
  <c r="AW4313" i="5"/>
  <c r="AV4313" i="5"/>
  <c r="AY4313" i="5"/>
  <c r="AU4313" i="5"/>
  <c r="AW4500" i="5"/>
  <c r="AV4500" i="5"/>
  <c r="AY4500" i="5"/>
  <c r="AU4500" i="5"/>
  <c r="AX4500" i="5"/>
  <c r="AV4174" i="5"/>
  <c r="AV4178" i="5"/>
  <c r="AV4182" i="5"/>
  <c r="AV4186" i="5"/>
  <c r="AV4190" i="5"/>
  <c r="AW4193" i="5"/>
  <c r="AV4194" i="5"/>
  <c r="AW4197" i="5"/>
  <c r="AV4198" i="5"/>
  <c r="AV4202" i="5"/>
  <c r="AW4205" i="5"/>
  <c r="AV4206" i="5"/>
  <c r="AW4209" i="5"/>
  <c r="AV4210" i="5"/>
  <c r="AV4214" i="5"/>
  <c r="AU4215" i="5"/>
  <c r="AY4215" i="5"/>
  <c r="AW4217" i="5"/>
  <c r="AV4218" i="5"/>
  <c r="AU4219" i="5"/>
  <c r="AY4219" i="5"/>
  <c r="AW4221" i="5"/>
  <c r="AV4222" i="5"/>
  <c r="AU4223" i="5"/>
  <c r="AY4223" i="5"/>
  <c r="AV4226" i="5"/>
  <c r="AU4227" i="5"/>
  <c r="AY4227" i="5"/>
  <c r="AW4229" i="5"/>
  <c r="AV4230" i="5"/>
  <c r="AU4231" i="5"/>
  <c r="AY4231" i="5"/>
  <c r="AW4233" i="5"/>
  <c r="AV4234" i="5"/>
  <c r="AU4235" i="5"/>
  <c r="AY4235" i="5"/>
  <c r="AV4238" i="5"/>
  <c r="AU4239" i="5"/>
  <c r="AY4239" i="5"/>
  <c r="AW4241" i="5"/>
  <c r="AV4242" i="5"/>
  <c r="AU4243" i="5"/>
  <c r="AY4243" i="5"/>
  <c r="AW4245" i="5"/>
  <c r="AV4246" i="5"/>
  <c r="AU4247" i="5"/>
  <c r="AY4247" i="5"/>
  <c r="AW4249" i="5"/>
  <c r="AU4251" i="5"/>
  <c r="AY4251" i="5"/>
  <c r="AX4253" i="5"/>
  <c r="AY4254" i="5"/>
  <c r="AU4254" i="5"/>
  <c r="AV4256" i="5"/>
  <c r="AW4257" i="5"/>
  <c r="AY4260" i="5"/>
  <c r="AY4261" i="5"/>
  <c r="AV4264" i="5"/>
  <c r="AW4265" i="5"/>
  <c r="AU4268" i="5"/>
  <c r="AU4269" i="5"/>
  <c r="AX4272" i="5"/>
  <c r="AX4273" i="5"/>
  <c r="AU4276" i="5"/>
  <c r="AU4277" i="5"/>
  <c r="AY4280" i="5"/>
  <c r="AY4281" i="5"/>
  <c r="AV4282" i="5"/>
  <c r="AV4284" i="5"/>
  <c r="AW4285" i="5"/>
  <c r="AY4288" i="5"/>
  <c r="AY4289" i="5"/>
  <c r="AV4290" i="5"/>
  <c r="AX4292" i="5"/>
  <c r="AX4293" i="5"/>
  <c r="AY4294" i="5"/>
  <c r="AU4294" i="5"/>
  <c r="AU4296" i="5"/>
  <c r="AU4297" i="5"/>
  <c r="AW4301" i="5"/>
  <c r="AV4301" i="5"/>
  <c r="AY4301" i="5"/>
  <c r="AU4301" i="5"/>
  <c r="AX4313" i="5"/>
  <c r="AW4329" i="5"/>
  <c r="AV4329" i="5"/>
  <c r="AY4329" i="5"/>
  <c r="AU4329" i="5"/>
  <c r="AW4333" i="5"/>
  <c r="AV4333" i="5"/>
  <c r="AY4333" i="5"/>
  <c r="AU4333" i="5"/>
  <c r="AW4341" i="5"/>
  <c r="AV4341" i="5"/>
  <c r="AY4341" i="5"/>
  <c r="AU4341" i="5"/>
  <c r="AW4419" i="5"/>
  <c r="AV4419" i="5"/>
  <c r="AY4419" i="5"/>
  <c r="AU4419" i="5"/>
  <c r="AX4419" i="5"/>
  <c r="AX4193" i="5"/>
  <c r="AX4197" i="5"/>
  <c r="AX4205" i="5"/>
  <c r="AX4209" i="5"/>
  <c r="AV4215" i="5"/>
  <c r="AX4217" i="5"/>
  <c r="AV4219" i="5"/>
  <c r="AX4221" i="5"/>
  <c r="AV4223" i="5"/>
  <c r="AV4227" i="5"/>
  <c r="AX4229" i="5"/>
  <c r="AV4231" i="5"/>
  <c r="AX4233" i="5"/>
  <c r="AV4235" i="5"/>
  <c r="AV4239" i="5"/>
  <c r="AX4241" i="5"/>
  <c r="AV4243" i="5"/>
  <c r="AX4245" i="5"/>
  <c r="AV4247" i="5"/>
  <c r="AX4249" i="5"/>
  <c r="AV4251" i="5"/>
  <c r="AY4253" i="5"/>
  <c r="AY4258" i="5"/>
  <c r="AU4258" i="5"/>
  <c r="AY4266" i="5"/>
  <c r="AU4266" i="5"/>
  <c r="AV4268" i="5"/>
  <c r="AW4269" i="5"/>
  <c r="AY4272" i="5"/>
  <c r="AY4273" i="5"/>
  <c r="AV4276" i="5"/>
  <c r="AW4277" i="5"/>
  <c r="AW4282" i="5"/>
  <c r="AW4290" i="5"/>
  <c r="AY4292" i="5"/>
  <c r="AY4293" i="5"/>
  <c r="AV4296" i="5"/>
  <c r="AX4297" i="5"/>
  <c r="AW4317" i="5"/>
  <c r="AV4317" i="5"/>
  <c r="AY4317" i="5"/>
  <c r="AU4317" i="5"/>
  <c r="AW4321" i="5"/>
  <c r="AV4321" i="5"/>
  <c r="AY4321" i="5"/>
  <c r="AU4321" i="5"/>
  <c r="AW4345" i="5"/>
  <c r="AX4345" i="5"/>
  <c r="AV4345" i="5"/>
  <c r="AU4345" i="5"/>
  <c r="AV4346" i="5"/>
  <c r="AX4346" i="5"/>
  <c r="AW4346" i="5"/>
  <c r="AU4346" i="5"/>
  <c r="AU4193" i="5"/>
  <c r="AU4197" i="5"/>
  <c r="AU4205" i="5"/>
  <c r="AU4209" i="5"/>
  <c r="AU4217" i="5"/>
  <c r="AU4221" i="5"/>
  <c r="AU4229" i="5"/>
  <c r="AU4233" i="5"/>
  <c r="AU4241" i="5"/>
  <c r="AU4245" i="5"/>
  <c r="AU4249" i="5"/>
  <c r="AU4253" i="5"/>
  <c r="AY4256" i="5"/>
  <c r="AY4257" i="5"/>
  <c r="AV4258" i="5"/>
  <c r="AY4264" i="5"/>
  <c r="AY4265" i="5"/>
  <c r="AV4266" i="5"/>
  <c r="AX4268" i="5"/>
  <c r="AX4269" i="5"/>
  <c r="AY4270" i="5"/>
  <c r="AU4270" i="5"/>
  <c r="AU4272" i="5"/>
  <c r="AU4273" i="5"/>
  <c r="AX4276" i="5"/>
  <c r="AX4277" i="5"/>
  <c r="AY4278" i="5"/>
  <c r="AU4278" i="5"/>
  <c r="AX4282" i="5"/>
  <c r="AY4284" i="5"/>
  <c r="AY4285" i="5"/>
  <c r="AX4290" i="5"/>
  <c r="AU4292" i="5"/>
  <c r="AU4293" i="5"/>
  <c r="AX4296" i="5"/>
  <c r="AY4297" i="5"/>
  <c r="AW4305" i="5"/>
  <c r="AV4305" i="5"/>
  <c r="AY4305" i="5"/>
  <c r="AU4305" i="5"/>
  <c r="AW4309" i="5"/>
  <c r="AV4309" i="5"/>
  <c r="AY4309" i="5"/>
  <c r="AU4309" i="5"/>
  <c r="AX4317" i="5"/>
  <c r="AX4321" i="5"/>
  <c r="AW4325" i="5"/>
  <c r="AV4325" i="5"/>
  <c r="AY4325" i="5"/>
  <c r="AU4325" i="5"/>
  <c r="AW4337" i="5"/>
  <c r="AV4337" i="5"/>
  <c r="AY4337" i="5"/>
  <c r="AU4337" i="5"/>
  <c r="AY4345" i="5"/>
  <c r="AY4346" i="5"/>
  <c r="AY4365" i="5"/>
  <c r="AU4365" i="5"/>
  <c r="AW4365" i="5"/>
  <c r="AX4365" i="5"/>
  <c r="AV4365" i="5"/>
  <c r="AX4302" i="5"/>
  <c r="AX4306" i="5"/>
  <c r="AX4314" i="5"/>
  <c r="AX4318" i="5"/>
  <c r="AX4326" i="5"/>
  <c r="AX4330" i="5"/>
  <c r="AX4334" i="5"/>
  <c r="AX4338" i="5"/>
  <c r="AV4340" i="5"/>
  <c r="AX4342" i="5"/>
  <c r="AY4343" i="5"/>
  <c r="AU4343" i="5"/>
  <c r="AY4351" i="5"/>
  <c r="AU4351" i="5"/>
  <c r="AY4357" i="5"/>
  <c r="AY4358" i="5"/>
  <c r="AW4363" i="5"/>
  <c r="AY4363" i="5"/>
  <c r="AU4363" i="5"/>
  <c r="AW4375" i="5"/>
  <c r="AV4375" i="5"/>
  <c r="AY4375" i="5"/>
  <c r="AU4375" i="5"/>
  <c r="AW4387" i="5"/>
  <c r="AV4387" i="5"/>
  <c r="AY4387" i="5"/>
  <c r="AU4387" i="5"/>
  <c r="AW4399" i="5"/>
  <c r="AV4399" i="5"/>
  <c r="AY4399" i="5"/>
  <c r="AU4399" i="5"/>
  <c r="AW4411" i="5"/>
  <c r="AV4411" i="5"/>
  <c r="AY4411" i="5"/>
  <c r="AU4411" i="5"/>
  <c r="AV4446" i="5"/>
  <c r="AY4446" i="5"/>
  <c r="AU4446" i="5"/>
  <c r="AX4446" i="5"/>
  <c r="AW4446" i="5"/>
  <c r="AV4458" i="5"/>
  <c r="AY4458" i="5"/>
  <c r="AU4458" i="5"/>
  <c r="AX4458" i="5"/>
  <c r="AW4458" i="5"/>
  <c r="AV4470" i="5"/>
  <c r="AY4470" i="5"/>
  <c r="AU4470" i="5"/>
  <c r="AX4470" i="5"/>
  <c r="AW4470" i="5"/>
  <c r="AW4300" i="5"/>
  <c r="AU4302" i="5"/>
  <c r="AY4302" i="5"/>
  <c r="AW4304" i="5"/>
  <c r="AU4306" i="5"/>
  <c r="AY4306" i="5"/>
  <c r="AW4308" i="5"/>
  <c r="AW4312" i="5"/>
  <c r="AU4314" i="5"/>
  <c r="AY4314" i="5"/>
  <c r="AW4316" i="5"/>
  <c r="AU4318" i="5"/>
  <c r="AY4318" i="5"/>
  <c r="AW4320" i="5"/>
  <c r="AW4324" i="5"/>
  <c r="AU4326" i="5"/>
  <c r="AY4326" i="5"/>
  <c r="AW4328" i="5"/>
  <c r="AU4330" i="5"/>
  <c r="AY4330" i="5"/>
  <c r="AW4332" i="5"/>
  <c r="AU4334" i="5"/>
  <c r="AY4334" i="5"/>
  <c r="AW4336" i="5"/>
  <c r="AU4338" i="5"/>
  <c r="AY4338" i="5"/>
  <c r="AW4340" i="5"/>
  <c r="AU4342" i="5"/>
  <c r="AY4342" i="5"/>
  <c r="AV4343" i="5"/>
  <c r="AY4349" i="5"/>
  <c r="AY4350" i="5"/>
  <c r="AV4351" i="5"/>
  <c r="AX4353" i="5"/>
  <c r="AX4354" i="5"/>
  <c r="AY4355" i="5"/>
  <c r="AU4355" i="5"/>
  <c r="AU4357" i="5"/>
  <c r="AU4358" i="5"/>
  <c r="AY4361" i="5"/>
  <c r="AU4361" i="5"/>
  <c r="AW4361" i="5"/>
  <c r="AV4363" i="5"/>
  <c r="AX4375" i="5"/>
  <c r="AX4387" i="5"/>
  <c r="AX4399" i="5"/>
  <c r="AX4411" i="5"/>
  <c r="AW4343" i="5"/>
  <c r="AW4351" i="5"/>
  <c r="AY4353" i="5"/>
  <c r="AY4354" i="5"/>
  <c r="AV4357" i="5"/>
  <c r="AW4358" i="5"/>
  <c r="AX4363" i="5"/>
  <c r="AW4367" i="5"/>
  <c r="AV4367" i="5"/>
  <c r="AY4367" i="5"/>
  <c r="AU4367" i="5"/>
  <c r="AW4379" i="5"/>
  <c r="AV4379" i="5"/>
  <c r="AY4379" i="5"/>
  <c r="AU4379" i="5"/>
  <c r="AW4391" i="5"/>
  <c r="AV4391" i="5"/>
  <c r="AY4391" i="5"/>
  <c r="AU4391" i="5"/>
  <c r="AW4403" i="5"/>
  <c r="AV4403" i="5"/>
  <c r="AY4403" i="5"/>
  <c r="AU4403" i="5"/>
  <c r="AW4415" i="5"/>
  <c r="AV4415" i="5"/>
  <c r="AY4415" i="5"/>
  <c r="AU4415" i="5"/>
  <c r="AW4429" i="5"/>
  <c r="AX4429" i="5"/>
  <c r="AV4429" i="5"/>
  <c r="AU4429" i="5"/>
  <c r="AV4430" i="5"/>
  <c r="AX4430" i="5"/>
  <c r="AW4430" i="5"/>
  <c r="AU4430" i="5"/>
  <c r="AV4362" i="5"/>
  <c r="AV4366" i="5"/>
  <c r="AW4369" i="5"/>
  <c r="AV4370" i="5"/>
  <c r="AW4373" i="5"/>
  <c r="AV4374" i="5"/>
  <c r="AW4377" i="5"/>
  <c r="AV4378" i="5"/>
  <c r="AW4381" i="5"/>
  <c r="AV4382" i="5"/>
  <c r="AW4385" i="5"/>
  <c r="AV4386" i="5"/>
  <c r="AW4389" i="5"/>
  <c r="AV4390" i="5"/>
  <c r="AW4393" i="5"/>
  <c r="AV4394" i="5"/>
  <c r="AW4397" i="5"/>
  <c r="AV4398" i="5"/>
  <c r="AW4401" i="5"/>
  <c r="AV4402" i="5"/>
  <c r="AW4405" i="5"/>
  <c r="AV4406" i="5"/>
  <c r="AW4409" i="5"/>
  <c r="AV4410" i="5"/>
  <c r="AW4413" i="5"/>
  <c r="AV4414" i="5"/>
  <c r="AW4417" i="5"/>
  <c r="AV4418" i="5"/>
  <c r="AX4421" i="5"/>
  <c r="AX4422" i="5"/>
  <c r="AY4423" i="5"/>
  <c r="AU4423" i="5"/>
  <c r="AV4425" i="5"/>
  <c r="AW4426" i="5"/>
  <c r="AV4434" i="5"/>
  <c r="AY4434" i="5"/>
  <c r="AU4434" i="5"/>
  <c r="AW4437" i="5"/>
  <c r="AV4437" i="5"/>
  <c r="AV4442" i="5"/>
  <c r="AY4442" i="5"/>
  <c r="AU4442" i="5"/>
  <c r="AW4449" i="5"/>
  <c r="AV4449" i="5"/>
  <c r="AV4454" i="5"/>
  <c r="AY4454" i="5"/>
  <c r="AU4454" i="5"/>
  <c r="AW4461" i="5"/>
  <c r="AV4461" i="5"/>
  <c r="AV4466" i="5"/>
  <c r="AY4466" i="5"/>
  <c r="AU4466" i="5"/>
  <c r="AW4473" i="5"/>
  <c r="AV4473" i="5"/>
  <c r="AW4488" i="5"/>
  <c r="AV4488" i="5"/>
  <c r="AY4488" i="5"/>
  <c r="AU4488" i="5"/>
  <c r="AX4488" i="5"/>
  <c r="AX4369" i="5"/>
  <c r="AX4373" i="5"/>
  <c r="AX4377" i="5"/>
  <c r="AX4381" i="5"/>
  <c r="AX4385" i="5"/>
  <c r="AX4389" i="5"/>
  <c r="AX4393" i="5"/>
  <c r="AX4397" i="5"/>
  <c r="AX4401" i="5"/>
  <c r="AX4405" i="5"/>
  <c r="AX4409" i="5"/>
  <c r="AX4413" i="5"/>
  <c r="AX4417" i="5"/>
  <c r="AY4421" i="5"/>
  <c r="AY4422" i="5"/>
  <c r="AY4427" i="5"/>
  <c r="AU4427" i="5"/>
  <c r="AW4445" i="5"/>
  <c r="AV4445" i="5"/>
  <c r="AW4457" i="5"/>
  <c r="AV4457" i="5"/>
  <c r="AW4469" i="5"/>
  <c r="AV4469" i="5"/>
  <c r="AW4512" i="5"/>
  <c r="AV4512" i="5"/>
  <c r="AY4512" i="5"/>
  <c r="AU4512" i="5"/>
  <c r="AW4548" i="5"/>
  <c r="AV4548" i="5"/>
  <c r="AY4548" i="5"/>
  <c r="AU4548" i="5"/>
  <c r="AX4548" i="5"/>
  <c r="AU4369" i="5"/>
  <c r="AU4373" i="5"/>
  <c r="AU4377" i="5"/>
  <c r="AU4381" i="5"/>
  <c r="AU4385" i="5"/>
  <c r="AU4389" i="5"/>
  <c r="AU4393" i="5"/>
  <c r="AU4397" i="5"/>
  <c r="AU4401" i="5"/>
  <c r="AU4405" i="5"/>
  <c r="AU4409" i="5"/>
  <c r="AU4413" i="5"/>
  <c r="AU4417" i="5"/>
  <c r="AU4421" i="5"/>
  <c r="AU4422" i="5"/>
  <c r="AY4425" i="5"/>
  <c r="AY4426" i="5"/>
  <c r="AV4427" i="5"/>
  <c r="AY4431" i="5"/>
  <c r="AU4431" i="5"/>
  <c r="AX4431" i="5"/>
  <c r="AW4433" i="5"/>
  <c r="AV4433" i="5"/>
  <c r="AV4438" i="5"/>
  <c r="AY4438" i="5"/>
  <c r="AU4438" i="5"/>
  <c r="AW4441" i="5"/>
  <c r="AV4441" i="5"/>
  <c r="AU4445" i="5"/>
  <c r="AV4450" i="5"/>
  <c r="AY4450" i="5"/>
  <c r="AU4450" i="5"/>
  <c r="AW4453" i="5"/>
  <c r="AV4453" i="5"/>
  <c r="AU4457" i="5"/>
  <c r="AV4462" i="5"/>
  <c r="AY4462" i="5"/>
  <c r="AU4462" i="5"/>
  <c r="AW4465" i="5"/>
  <c r="AV4465" i="5"/>
  <c r="AU4469" i="5"/>
  <c r="AV4474" i="5"/>
  <c r="AY4474" i="5"/>
  <c r="AU4474" i="5"/>
  <c r="AW4508" i="5"/>
  <c r="AV4508" i="5"/>
  <c r="AY4508" i="5"/>
  <c r="AU4508" i="5"/>
  <c r="AX4512" i="5"/>
  <c r="AX4435" i="5"/>
  <c r="AX4439" i="5"/>
  <c r="AX4443" i="5"/>
  <c r="AX4447" i="5"/>
  <c r="AX4451" i="5"/>
  <c r="AX4455" i="5"/>
  <c r="AX4459" i="5"/>
  <c r="AX4463" i="5"/>
  <c r="AX4467" i="5"/>
  <c r="AX4471" i="5"/>
  <c r="AX4475" i="5"/>
  <c r="AV4477" i="5"/>
  <c r="AY4477" i="5"/>
  <c r="AU4477" i="5"/>
  <c r="AV4481" i="5"/>
  <c r="AY4481" i="5"/>
  <c r="AU4481" i="5"/>
  <c r="AW4484" i="5"/>
  <c r="AV4484" i="5"/>
  <c r="AY4484" i="5"/>
  <c r="AW4528" i="5"/>
  <c r="AV4528" i="5"/>
  <c r="AY4528" i="5"/>
  <c r="AU4528" i="5"/>
  <c r="AX4528" i="5"/>
  <c r="AU4435" i="5"/>
  <c r="AU4439" i="5"/>
  <c r="AU4443" i="5"/>
  <c r="AU4447" i="5"/>
  <c r="AU4451" i="5"/>
  <c r="AU4455" i="5"/>
  <c r="AU4459" i="5"/>
  <c r="AU4463" i="5"/>
  <c r="AU4467" i="5"/>
  <c r="AU4471" i="5"/>
  <c r="AU4475" i="5"/>
  <c r="AY4476" i="5"/>
  <c r="AW4477" i="5"/>
  <c r="AW4481" i="5"/>
  <c r="AU4484" i="5"/>
  <c r="AW4496" i="5"/>
  <c r="AV4496" i="5"/>
  <c r="AY4496" i="5"/>
  <c r="AU4496" i="5"/>
  <c r="AW4504" i="5"/>
  <c r="AV4504" i="5"/>
  <c r="AY4504" i="5"/>
  <c r="AU4504" i="5"/>
  <c r="AW4516" i="5"/>
  <c r="AV4516" i="5"/>
  <c r="AY4516" i="5"/>
  <c r="AU4516" i="5"/>
  <c r="AW4520" i="5"/>
  <c r="AV4520" i="5"/>
  <c r="AY4520" i="5"/>
  <c r="AU4520" i="5"/>
  <c r="AX4485" i="5"/>
  <c r="AX4489" i="5"/>
  <c r="AX4493" i="5"/>
  <c r="AX4497" i="5"/>
  <c r="AX4501" i="5"/>
  <c r="AX4509" i="5"/>
  <c r="AX4513" i="5"/>
  <c r="AX4521" i="5"/>
  <c r="AW4568" i="5"/>
  <c r="AV4568" i="5"/>
  <c r="AY4568" i="5"/>
  <c r="AU4568" i="5"/>
  <c r="AX4478" i="5"/>
  <c r="AW4479" i="5"/>
  <c r="AX4482" i="5"/>
  <c r="AW4483" i="5"/>
  <c r="AU4485" i="5"/>
  <c r="AY4485" i="5"/>
  <c r="AW4487" i="5"/>
  <c r="AU4489" i="5"/>
  <c r="AY4489" i="5"/>
  <c r="AW4491" i="5"/>
  <c r="AU4493" i="5"/>
  <c r="AY4493" i="5"/>
  <c r="AW4495" i="5"/>
  <c r="AU4497" i="5"/>
  <c r="AY4497" i="5"/>
  <c r="AW4499" i="5"/>
  <c r="AU4501" i="5"/>
  <c r="AY4501" i="5"/>
  <c r="AW4503" i="5"/>
  <c r="AW4507" i="5"/>
  <c r="AU4509" i="5"/>
  <c r="AY4509" i="5"/>
  <c r="AX4510" i="5"/>
  <c r="AW4511" i="5"/>
  <c r="AU4513" i="5"/>
  <c r="AY4513" i="5"/>
  <c r="AX4514" i="5"/>
  <c r="AX4518" i="5"/>
  <c r="AU4521" i="5"/>
  <c r="AY4521" i="5"/>
  <c r="AX4522" i="5"/>
  <c r="AW4524" i="5"/>
  <c r="AV4524" i="5"/>
  <c r="AW4544" i="5"/>
  <c r="AV4544" i="5"/>
  <c r="AY4544" i="5"/>
  <c r="AU4544" i="5"/>
  <c r="AW4556" i="5"/>
  <c r="AV4556" i="5"/>
  <c r="AY4556" i="5"/>
  <c r="AU4556" i="5"/>
  <c r="AX4568" i="5"/>
  <c r="AU4478" i="5"/>
  <c r="AU4482" i="5"/>
  <c r="AU4510" i="5"/>
  <c r="AU4514" i="5"/>
  <c r="AU4518" i="5"/>
  <c r="AU4522" i="5"/>
  <c r="AY4523" i="5"/>
  <c r="AU4524" i="5"/>
  <c r="AV4525" i="5"/>
  <c r="AY4525" i="5"/>
  <c r="AU4525" i="5"/>
  <c r="AW4532" i="5"/>
  <c r="AV4532" i="5"/>
  <c r="AY4532" i="5"/>
  <c r="AU4532" i="5"/>
  <c r="AW4536" i="5"/>
  <c r="AV4536" i="5"/>
  <c r="AY4536" i="5"/>
  <c r="AU4536" i="5"/>
  <c r="AW4540" i="5"/>
  <c r="AV4540" i="5"/>
  <c r="AY4540" i="5"/>
  <c r="AU4540" i="5"/>
  <c r="AX4544" i="5"/>
  <c r="AW4552" i="5"/>
  <c r="AV4552" i="5"/>
  <c r="AY4552" i="5"/>
  <c r="AU4552" i="5"/>
  <c r="AX4556" i="5"/>
  <c r="AW4560" i="5"/>
  <c r="AV4560" i="5"/>
  <c r="AY4560" i="5"/>
  <c r="AU4560" i="5"/>
  <c r="AW4564" i="5"/>
  <c r="AV4564" i="5"/>
  <c r="AY4564" i="5"/>
  <c r="AU4564" i="5"/>
  <c r="AW4572" i="5"/>
  <c r="AV4572" i="5"/>
  <c r="AY4572" i="5"/>
  <c r="AU4572" i="5"/>
  <c r="AX4533" i="5"/>
  <c r="AX4537" i="5"/>
  <c r="AX4545" i="5"/>
  <c r="AX4549" i="5"/>
  <c r="AX4557" i="5"/>
  <c r="AX4561" i="5"/>
  <c r="AW4566" i="5"/>
  <c r="AV4567" i="5"/>
  <c r="AX4569" i="5"/>
  <c r="AW4570" i="5"/>
  <c r="AV4571" i="5"/>
  <c r="AX4573" i="5"/>
  <c r="AW4574" i="5"/>
  <c r="AX4526" i="5"/>
  <c r="AW4527" i="5"/>
  <c r="AX4530" i="5"/>
  <c r="AW4531" i="5"/>
  <c r="AU4533" i="5"/>
  <c r="AY4533" i="5"/>
  <c r="AX4534" i="5"/>
  <c r="AW4535" i="5"/>
  <c r="AU4537" i="5"/>
  <c r="AY4537" i="5"/>
  <c r="AX4538" i="5"/>
  <c r="AX4542" i="5"/>
  <c r="AW4543" i="5"/>
  <c r="AU4545" i="5"/>
  <c r="AY4545" i="5"/>
  <c r="AX4546" i="5"/>
  <c r="AU4549" i="5"/>
  <c r="AY4549" i="5"/>
  <c r="AX4550" i="5"/>
  <c r="AW4551" i="5"/>
  <c r="AX4554" i="5"/>
  <c r="AW4555" i="5"/>
  <c r="AU4557" i="5"/>
  <c r="AY4557" i="5"/>
  <c r="AX4558" i="5"/>
  <c r="AW4559" i="5"/>
  <c r="AU4561" i="5"/>
  <c r="AY4561" i="5"/>
  <c r="AX4562" i="5"/>
  <c r="AX4566" i="5"/>
  <c r="AX4570" i="5"/>
  <c r="AU4573" i="5"/>
  <c r="AY4573" i="5"/>
  <c r="AX4574" i="5"/>
  <c r="AU4526" i="5"/>
  <c r="AU4530" i="5"/>
  <c r="AU4534" i="5"/>
  <c r="AU4538" i="5"/>
  <c r="AU4542" i="5"/>
  <c r="AU4546" i="5"/>
  <c r="AU4550" i="5"/>
  <c r="AU4554" i="5"/>
  <c r="AU4558" i="5"/>
  <c r="AU4562" i="5"/>
  <c r="AU4566" i="5"/>
  <c r="AU4570" i="5"/>
  <c r="AU4574" i="5"/>
  <c r="AP40" i="5" l="1"/>
  <c r="AP41" i="5" s="1"/>
  <c r="AP42" i="5" s="1"/>
  <c r="A5" i="5"/>
  <c r="BL5" i="5" s="1"/>
  <c r="DP293" i="10"/>
  <c r="BP314" i="10"/>
  <c r="CP314" i="10"/>
  <c r="AR41" i="5" l="1"/>
  <c r="AR40" i="5"/>
  <c r="AQ40" i="5" s="1"/>
  <c r="AT37" i="5" s="1"/>
  <c r="A4" i="5"/>
  <c r="BL4" i="5" s="1"/>
  <c r="AR42" i="5"/>
  <c r="AP43" i="5"/>
  <c r="K65" i="10"/>
  <c r="AU37" i="5" l="1"/>
  <c r="A3" i="5"/>
  <c r="BL3" i="5" s="1"/>
  <c r="AR43" i="5"/>
  <c r="AY37" i="5" s="1"/>
  <c r="AP44" i="5"/>
  <c r="AP45" i="5" l="1"/>
  <c r="AR44" i="5"/>
  <c r="AQ44" i="5" s="1"/>
  <c r="AV37" i="5" s="1"/>
  <c r="DK287" i="10"/>
  <c r="CK287" i="10"/>
  <c r="AR45" i="5" l="1"/>
  <c r="AP46" i="5"/>
  <c r="AR46" i="5" s="1"/>
  <c r="AQ46" i="5" s="1"/>
  <c r="V24" i="10"/>
  <c r="V25" i="10" s="1"/>
  <c r="DH299" i="10"/>
  <c r="AH299" i="10"/>
  <c r="BH299" i="10"/>
  <c r="CH299" i="10"/>
  <c r="BP426" i="10"/>
  <c r="BP427" i="10" s="1"/>
  <c r="BF430" i="10"/>
  <c r="BF425" i="10"/>
  <c r="AQ45" i="5" l="1"/>
  <c r="AP47" i="5"/>
  <c r="BF431" i="10"/>
  <c r="BG431" i="10"/>
  <c r="BG430" i="10"/>
  <c r="AX37" i="5" l="1"/>
  <c r="AW37" i="5"/>
  <c r="AP48" i="5"/>
  <c r="DW319" i="10"/>
  <c r="CW319" i="10"/>
  <c r="BW319" i="10"/>
  <c r="AW319" i="10"/>
  <c r="AU319" i="10"/>
  <c r="DY320" i="10"/>
  <c r="DW320" i="10"/>
  <c r="DQ320" i="10"/>
  <c r="DS320" i="10" s="1"/>
  <c r="DM320" i="10"/>
  <c r="DO320" i="10" s="1"/>
  <c r="DG320" i="10"/>
  <c r="DI320" i="10" s="1"/>
  <c r="DC320" i="10"/>
  <c r="DE320" i="10" s="1"/>
  <c r="CY320" i="10"/>
  <c r="CW320" i="10"/>
  <c r="CQ320" i="10"/>
  <c r="CS320" i="10" s="1"/>
  <c r="CM320" i="10"/>
  <c r="CO320" i="10" s="1"/>
  <c r="CG320" i="10"/>
  <c r="CI320" i="10" s="1"/>
  <c r="CC320" i="10"/>
  <c r="CE320" i="10" s="1"/>
  <c r="BY320" i="10"/>
  <c r="BW320" i="10"/>
  <c r="BQ320" i="10"/>
  <c r="BS320" i="10" s="1"/>
  <c r="BM320" i="10"/>
  <c r="BO320" i="10" s="1"/>
  <c r="BG320" i="10"/>
  <c r="BI320" i="10" s="1"/>
  <c r="BC320" i="10"/>
  <c r="BE320" i="10" s="1"/>
  <c r="AY320" i="10"/>
  <c r="AW320" i="10"/>
  <c r="AQ320" i="10"/>
  <c r="AG320" i="10"/>
  <c r="AM320" i="10"/>
  <c r="AP49" i="5" l="1"/>
  <c r="DP307" i="10"/>
  <c r="DP305" i="10"/>
  <c r="CP307" i="10"/>
  <c r="CP305" i="10"/>
  <c r="BP307" i="10"/>
  <c r="BP305" i="10"/>
  <c r="AP305" i="10"/>
  <c r="AP307" i="10"/>
  <c r="DE318" i="10"/>
  <c r="DE317" i="10"/>
  <c r="CE318" i="10"/>
  <c r="CE317" i="10"/>
  <c r="BE318" i="10"/>
  <c r="BE317" i="10"/>
  <c r="AE318" i="10"/>
  <c r="AE317" i="10"/>
  <c r="DP314" i="10"/>
  <c r="AP314" i="10"/>
  <c r="AS320" i="10"/>
  <c r="DB317" i="10"/>
  <c r="CB317" i="10"/>
  <c r="BB317" i="10"/>
  <c r="AB317" i="10"/>
  <c r="AL33" i="19"/>
  <c r="AR49" i="5" l="1"/>
  <c r="AQ49" i="5" s="1"/>
  <c r="AT46" i="5" s="1"/>
  <c r="AP50" i="5"/>
  <c r="AP319" i="10"/>
  <c r="BF428" i="10" l="1"/>
  <c r="AP51" i="5"/>
  <c r="AR50" i="5"/>
  <c r="AR56" i="5"/>
  <c r="AQ56" i="5" s="1"/>
  <c r="DK299" i="10"/>
  <c r="DT299" i="10" s="1"/>
  <c r="DW299" i="10" s="1"/>
  <c r="CK299" i="10"/>
  <c r="CT299" i="10" s="1"/>
  <c r="CW299" i="10" s="1"/>
  <c r="BK299" i="10"/>
  <c r="AK299" i="10"/>
  <c r="AT299" i="10" s="1"/>
  <c r="AQ50" i="5" l="1"/>
  <c r="AP52" i="5"/>
  <c r="AR51" i="5"/>
  <c r="BT299" i="10"/>
  <c r="BW299" i="10" s="1"/>
  <c r="DR319" i="10"/>
  <c r="DP319" i="10"/>
  <c r="CR319" i="10"/>
  <c r="CP319" i="10"/>
  <c r="BR319" i="10"/>
  <c r="BP319" i="10"/>
  <c r="AR319" i="10"/>
  <c r="BG428" i="10" s="1"/>
  <c r="BK319" i="10"/>
  <c r="DU319" i="10"/>
  <c r="DN319" i="10"/>
  <c r="DM319" i="10"/>
  <c r="DL319" i="10"/>
  <c r="DK319" i="10"/>
  <c r="DI319" i="10"/>
  <c r="DH319" i="10"/>
  <c r="DG319" i="10"/>
  <c r="DF319" i="10"/>
  <c r="CU319" i="10"/>
  <c r="CN319" i="10"/>
  <c r="CM319" i="10"/>
  <c r="CL319" i="10"/>
  <c r="CK319" i="10"/>
  <c r="CI319" i="10"/>
  <c r="CH319" i="10"/>
  <c r="CG319" i="10"/>
  <c r="CF319" i="10"/>
  <c r="BU319" i="10"/>
  <c r="BN319" i="10"/>
  <c r="BM319" i="10"/>
  <c r="BL319" i="10"/>
  <c r="BI319" i="10"/>
  <c r="BH319" i="10"/>
  <c r="BG319" i="10"/>
  <c r="BF319" i="10"/>
  <c r="AI320" i="10"/>
  <c r="AC320" i="10"/>
  <c r="AN319" i="10"/>
  <c r="AM319" i="10"/>
  <c r="AL319" i="10"/>
  <c r="BG429" i="10" s="1"/>
  <c r="AK319" i="10"/>
  <c r="BF429" i="10" s="1"/>
  <c r="BF427" i="10" s="1"/>
  <c r="AF319" i="10"/>
  <c r="AG319" i="10"/>
  <c r="AI319" i="10"/>
  <c r="AH319" i="10"/>
  <c r="AO320" i="10"/>
  <c r="U91" i="6" l="1"/>
  <c r="U93" i="6" s="1"/>
  <c r="S91" i="6"/>
  <c r="S93" i="6" s="1"/>
  <c r="Q91" i="6"/>
  <c r="Q93" i="6" s="1"/>
  <c r="AE320" i="10"/>
  <c r="P12" i="6" s="1"/>
  <c r="AU46" i="5"/>
  <c r="AP53" i="5"/>
  <c r="AR52" i="5"/>
  <c r="AQ52" i="5" s="1"/>
  <c r="AV46" i="5" s="1"/>
  <c r="AR65" i="5"/>
  <c r="AQ65" i="5" s="1"/>
  <c r="Q34" i="6"/>
  <c r="S34" i="6"/>
  <c r="O34" i="6"/>
  <c r="Q80" i="6"/>
  <c r="Q63" i="6"/>
  <c r="Q72" i="6"/>
  <c r="Q55" i="6"/>
  <c r="R12" i="6"/>
  <c r="Q12" i="6"/>
  <c r="Q47" i="6"/>
  <c r="S80" i="6"/>
  <c r="S72" i="6"/>
  <c r="S63" i="6"/>
  <c r="T12" i="6"/>
  <c r="S55" i="6"/>
  <c r="S12" i="6"/>
  <c r="S47" i="6"/>
  <c r="U34" i="6"/>
  <c r="O47" i="6"/>
  <c r="U72" i="6"/>
  <c r="U80" i="6"/>
  <c r="U63" i="6"/>
  <c r="U55" i="6"/>
  <c r="V12" i="6"/>
  <c r="U12" i="6"/>
  <c r="U47" i="6"/>
  <c r="Y291" i="10"/>
  <c r="O80" i="6" l="1"/>
  <c r="O12" i="6"/>
  <c r="O55" i="6"/>
  <c r="O63" i="6"/>
  <c r="O72" i="6"/>
  <c r="O91" i="6"/>
  <c r="O93" i="6" s="1"/>
  <c r="AX47" i="5"/>
  <c r="AP54" i="5"/>
  <c r="AR53" i="5"/>
  <c r="AQ53" i="5" s="1"/>
  <c r="AW46" i="5" s="1"/>
  <c r="AR66" i="5"/>
  <c r="AR54" i="5" l="1"/>
  <c r="AP55" i="5"/>
  <c r="AQ54" i="5" l="1"/>
  <c r="AP56" i="5"/>
  <c r="AP57" i="5" s="1"/>
  <c r="AP58" i="5" s="1"/>
  <c r="AP59" i="5" s="1"/>
  <c r="AR55" i="5"/>
  <c r="AE18" i="19"/>
  <c r="U70" i="19"/>
  <c r="AX46" i="5" l="1"/>
  <c r="AY46" i="5"/>
  <c r="AR58" i="5"/>
  <c r="AQ58" i="5" s="1"/>
  <c r="AT55" i="5" s="1"/>
  <c r="AY47" i="5"/>
  <c r="AW47" i="5"/>
  <c r="AP60" i="5"/>
  <c r="AR59" i="5"/>
  <c r="AQ59" i="5" l="1"/>
  <c r="AU55" i="5" s="1"/>
  <c r="AR60" i="5"/>
  <c r="AP61" i="5"/>
  <c r="CM122" i="12"/>
  <c r="CP122" i="12" s="1"/>
  <c r="AP62" i="5" l="1"/>
  <c r="AR61" i="5"/>
  <c r="AV55" i="5" s="1"/>
  <c r="T322" i="16"/>
  <c r="AX56" i="5" l="1"/>
  <c r="AP63" i="5"/>
  <c r="AR62" i="5"/>
  <c r="AQ62" i="5" s="1"/>
  <c r="AW55" i="5" l="1"/>
  <c r="AP64" i="5"/>
  <c r="AR63" i="5"/>
  <c r="AQ63" i="5" s="1"/>
  <c r="AW56" i="5" s="1"/>
  <c r="A474" i="10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Y55" i="5" l="1"/>
  <c r="AX55" i="5"/>
  <c r="AY56" i="5"/>
  <c r="AP65" i="5"/>
  <c r="AP66" i="5" s="1"/>
  <c r="AP67" i="5" s="1"/>
  <c r="AR67" i="5" s="1"/>
  <c r="AQ67" i="5" s="1"/>
  <c r="AT64" i="5" s="1"/>
  <c r="AR64" i="5"/>
  <c r="D322" i="16"/>
  <c r="B324" i="16"/>
  <c r="B323" i="16"/>
  <c r="AP68" i="5" l="1"/>
  <c r="AP69" i="5" s="1"/>
  <c r="AR68" i="5" l="1"/>
  <c r="AQ68" i="5"/>
  <c r="AR69" i="5"/>
  <c r="AQ69" i="5" s="1"/>
  <c r="AP70" i="5"/>
  <c r="AU64" i="5" l="1"/>
  <c r="AX65" i="5"/>
  <c r="AR70" i="5"/>
  <c r="AV64" i="5" s="1"/>
  <c r="AP71" i="5"/>
  <c r="AR71" i="5" l="1"/>
  <c r="AQ71" i="5" s="1"/>
  <c r="AP72" i="5"/>
  <c r="AW64" i="5" l="1"/>
  <c r="AP73" i="5"/>
  <c r="AR72" i="5"/>
  <c r="C156" i="16"/>
  <c r="G143" i="16" s="1"/>
  <c r="H143" i="16" s="1"/>
  <c r="AP74" i="5" l="1"/>
  <c r="AP75" i="5" s="1"/>
  <c r="AP76" i="5" s="1"/>
  <c r="AP77" i="5" s="1"/>
  <c r="AR73" i="5"/>
  <c r="AQ72" i="5"/>
  <c r="AR76" i="5"/>
  <c r="AQ76" i="5" s="1"/>
  <c r="AR93" i="5"/>
  <c r="J49" i="19"/>
  <c r="AX64" i="5" l="1"/>
  <c r="AY64" i="5"/>
  <c r="AW65" i="5"/>
  <c r="AY65" i="5"/>
  <c r="AP78" i="5"/>
  <c r="AR77" i="5"/>
  <c r="AQ77" i="5" s="1"/>
  <c r="CM125" i="12"/>
  <c r="AR78" i="5" l="1"/>
  <c r="AP79" i="5"/>
  <c r="CG144" i="12"/>
  <c r="AP80" i="5" l="1"/>
  <c r="AR79" i="5"/>
  <c r="AQ79" i="5" s="1"/>
  <c r="AR102" i="5"/>
  <c r="AQ102" i="5" s="1"/>
  <c r="U70" i="12"/>
  <c r="T70" i="12"/>
  <c r="S70" i="12"/>
  <c r="R70" i="12"/>
  <c r="W72" i="12"/>
  <c r="AX74" i="5" l="1"/>
  <c r="AP81" i="5"/>
  <c r="AR80" i="5"/>
  <c r="AQ80" i="5" s="1"/>
  <c r="CI120" i="12"/>
  <c r="AP82" i="5" l="1"/>
  <c r="AR81" i="5"/>
  <c r="AQ81" i="5" s="1"/>
  <c r="AW74" i="5" s="1"/>
  <c r="AB70" i="12"/>
  <c r="AB71" i="12"/>
  <c r="BX129" i="12"/>
  <c r="BV129" i="12"/>
  <c r="BT129" i="12"/>
  <c r="BR129" i="12"/>
  <c r="AP83" i="5" l="1"/>
  <c r="AR82" i="5"/>
  <c r="AY74" i="5" s="1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AR83" i="5" l="1"/>
  <c r="AQ83" i="5" s="1"/>
  <c r="AP84" i="5"/>
  <c r="AP85" i="5" s="1"/>
  <c r="BO131" i="12"/>
  <c r="AT73" i="5" l="1"/>
  <c r="AV73" i="5" s="1"/>
  <c r="AP86" i="5"/>
  <c r="AR85" i="5"/>
  <c r="AQ85" i="5" s="1"/>
  <c r="AT82" i="5" s="1"/>
  <c r="AW73" i="5"/>
  <c r="N68" i="10"/>
  <c r="AY73" i="5" l="1"/>
  <c r="AU73" i="5"/>
  <c r="AX73" i="5"/>
  <c r="AP87" i="5"/>
  <c r="AR86" i="5"/>
  <c r="AQ86" i="5" s="1"/>
  <c r="AU82" i="5" s="1"/>
  <c r="AR87" i="5" l="1"/>
  <c r="AX82" i="5" s="1"/>
  <c r="AP88" i="5"/>
  <c r="AX83" i="5"/>
  <c r="C143" i="16"/>
  <c r="AP89" i="5" l="1"/>
  <c r="AR88" i="5"/>
  <c r="AQ88" i="5" s="1"/>
  <c r="Q45" i="19"/>
  <c r="BL156" i="12" s="1"/>
  <c r="AU45" i="19"/>
  <c r="CP156" i="12" s="1"/>
  <c r="AO45" i="19"/>
  <c r="CJ156" i="12" s="1"/>
  <c r="AI45" i="19"/>
  <c r="CD156" i="12" s="1"/>
  <c r="AC45" i="19"/>
  <c r="BX156" i="12" s="1"/>
  <c r="W45" i="19"/>
  <c r="BR156" i="12" s="1"/>
  <c r="K45" i="19"/>
  <c r="BF156" i="12" s="1"/>
  <c r="E45" i="19"/>
  <c r="AZ156" i="12" s="1"/>
  <c r="AT84" i="5" l="1"/>
  <c r="AX84" i="5" s="1"/>
  <c r="AV82" i="5"/>
  <c r="AP90" i="5"/>
  <c r="AR89" i="5"/>
  <c r="AQ89" i="5" s="1"/>
  <c r="AU84" i="5" s="1"/>
  <c r="U19" i="19"/>
  <c r="S19" i="19"/>
  <c r="AW82" i="5" l="1"/>
  <c r="AP91" i="5"/>
  <c r="AR90" i="5"/>
  <c r="AQ90" i="5" s="1"/>
  <c r="AW83" i="5" s="1"/>
  <c r="AY83" i="5"/>
  <c r="S219" i="19"/>
  <c r="BN130" i="12"/>
  <c r="U219" i="19"/>
  <c r="BP130" i="12"/>
  <c r="AY82" i="5" l="1"/>
  <c r="AP92" i="5"/>
  <c r="AR91" i="5"/>
  <c r="AV84" i="5" s="1"/>
  <c r="AY84" i="5"/>
  <c r="G198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7" i="16"/>
  <c r="G196" i="16"/>
  <c r="G195" i="16"/>
  <c r="G194" i="16"/>
  <c r="G193" i="16"/>
  <c r="AP93" i="5" l="1"/>
  <c r="AP94" i="5" s="1"/>
  <c r="AR92" i="5"/>
  <c r="AQ92" i="5" s="1"/>
  <c r="AL233" i="19"/>
  <c r="AW84" i="5" l="1"/>
  <c r="AP95" i="5"/>
  <c r="AR94" i="5"/>
  <c r="AQ94" i="5" s="1"/>
  <c r="AT91" i="5" s="1"/>
  <c r="AX92" i="5"/>
  <c r="W218" i="19"/>
  <c r="Y218" i="19"/>
  <c r="AA218" i="19"/>
  <c r="AC218" i="19"/>
  <c r="AP96" i="5" l="1"/>
  <c r="AR95" i="5"/>
  <c r="AQ95" i="5" s="1"/>
  <c r="AU91" i="5" s="1"/>
  <c r="I69" i="6"/>
  <c r="I30" i="6"/>
  <c r="AR96" i="5" l="1"/>
  <c r="AX91" i="5" s="1"/>
  <c r="AP97" i="5"/>
  <c r="AQ99" i="5"/>
  <c r="AR129" i="5"/>
  <c r="V70" i="12"/>
  <c r="AA70" i="19"/>
  <c r="AA69" i="19"/>
  <c r="AP98" i="5" l="1"/>
  <c r="AR97" i="5"/>
  <c r="AQ97" i="5" s="1"/>
  <c r="AR99" i="5"/>
  <c r="AW92" i="5"/>
  <c r="AY92" i="5"/>
  <c r="AE218" i="19"/>
  <c r="BZ129" i="12"/>
  <c r="AT93" i="5" l="1"/>
  <c r="AX93" i="5" s="1"/>
  <c r="AV91" i="5"/>
  <c r="AR98" i="5"/>
  <c r="AQ98" i="5" s="1"/>
  <c r="AU93" i="5" s="1"/>
  <c r="AP99" i="5"/>
  <c r="AP100" i="5" s="1"/>
  <c r="AP101" i="5" s="1"/>
  <c r="AR100" i="5"/>
  <c r="AQ100" i="5" s="1"/>
  <c r="AV93" i="5" s="1"/>
  <c r="AW91" i="5" l="1"/>
  <c r="AY91" i="5"/>
  <c r="AY93" i="5"/>
  <c r="AP102" i="5"/>
  <c r="AP103" i="5" s="1"/>
  <c r="AR101" i="5"/>
  <c r="AQ101" i="5" s="1"/>
  <c r="AR138" i="5"/>
  <c r="AQ138" i="5" s="1"/>
  <c r="AW93" i="5" l="1"/>
  <c r="AP104" i="5"/>
  <c r="AR103" i="5"/>
  <c r="AP105" i="5" l="1"/>
  <c r="AR104" i="5"/>
  <c r="AQ104" i="5" s="1"/>
  <c r="AT100" i="5" s="1"/>
  <c r="F374" i="16"/>
  <c r="AY100" i="5" l="1"/>
  <c r="AR105" i="5"/>
  <c r="AQ105" i="5" s="1"/>
  <c r="AU100" i="5" s="1"/>
  <c r="AP106" i="5"/>
  <c r="AD68" i="10"/>
  <c r="C8" i="16" s="1"/>
  <c r="AP107" i="5" l="1"/>
  <c r="AR106" i="5"/>
  <c r="AQ106" i="5" s="1"/>
  <c r="CO2" i="16"/>
  <c r="CJ5" i="16"/>
  <c r="CJ6" i="16" s="1"/>
  <c r="N8" i="10"/>
  <c r="G192" i="16"/>
  <c r="G191" i="16"/>
  <c r="CF7" i="16" l="1"/>
  <c r="CL7" i="16"/>
  <c r="AP108" i="5"/>
  <c r="AR107" i="5"/>
  <c r="AV100" i="5" s="1"/>
  <c r="AX100" i="5"/>
  <c r="AR109" i="5"/>
  <c r="AQ109" i="5" s="1"/>
  <c r="F345" i="16"/>
  <c r="AS215" i="19"/>
  <c r="AS211" i="19"/>
  <c r="AS207" i="19"/>
  <c r="AP214" i="19"/>
  <c r="AP208" i="19"/>
  <c r="T232" i="19"/>
  <c r="T231" i="19"/>
  <c r="T230" i="19"/>
  <c r="T229" i="19"/>
  <c r="T228" i="19"/>
  <c r="T227" i="19"/>
  <c r="T226" i="19"/>
  <c r="T225" i="19"/>
  <c r="T224" i="19"/>
  <c r="T223" i="19"/>
  <c r="T222" i="19"/>
  <c r="T221" i="19"/>
  <c r="T220" i="19"/>
  <c r="AO2" i="10"/>
  <c r="AE29" i="12"/>
  <c r="X29" i="12"/>
  <c r="Q29" i="12"/>
  <c r="J29" i="12"/>
  <c r="Q21" i="12"/>
  <c r="AE21" i="12"/>
  <c r="X21" i="12"/>
  <c r="J21" i="12"/>
  <c r="A4" i="7"/>
  <c r="FP464" i="10"/>
  <c r="FN464" i="10"/>
  <c r="FV464" i="10"/>
  <c r="FT464" i="10"/>
  <c r="HX464" i="10"/>
  <c r="HV464" i="10"/>
  <c r="HR464" i="10"/>
  <c r="HP464" i="10"/>
  <c r="GQ464" i="10"/>
  <c r="GO464" i="10"/>
  <c r="GW464" i="10"/>
  <c r="GU464" i="10"/>
  <c r="L13" i="12"/>
  <c r="E13" i="12"/>
  <c r="AT49" i="19"/>
  <c r="AH49" i="19"/>
  <c r="V49" i="19"/>
  <c r="L87" i="16"/>
  <c r="G216" i="16"/>
  <c r="G190" i="16"/>
  <c r="C185" i="16"/>
  <c r="C186" i="16" s="1"/>
  <c r="AR108" i="5" l="1"/>
  <c r="AQ108" i="5" s="1"/>
  <c r="AW100" i="5" s="1"/>
  <c r="AP109" i="5"/>
  <c r="AP110" i="5" s="1"/>
  <c r="AP111" i="5"/>
  <c r="AP112" i="5" s="1"/>
  <c r="AR110" i="5"/>
  <c r="AQ110" i="5" s="1"/>
  <c r="AS290" i="10"/>
  <c r="BY290" i="10" s="1"/>
  <c r="C17" i="12"/>
  <c r="BQ426" i="10"/>
  <c r="BQ427" i="10" s="1"/>
  <c r="G189" i="16"/>
  <c r="AB14" i="19"/>
  <c r="CA125" i="12" s="1"/>
  <c r="AW2" i="10"/>
  <c r="J249" i="19"/>
  <c r="V249" i="19"/>
  <c r="AH249" i="19"/>
  <c r="AT249" i="19"/>
  <c r="AK9" i="20"/>
  <c r="F346" i="16"/>
  <c r="F186" i="16"/>
  <c r="AN9" i="20"/>
  <c r="AD9" i="20"/>
  <c r="AG9" i="20"/>
  <c r="AU9" i="20"/>
  <c r="AR9" i="20"/>
  <c r="M76" i="16"/>
  <c r="F216" i="16"/>
  <c r="H216" i="16"/>
  <c r="AP113" i="5" l="1"/>
  <c r="AR112" i="5"/>
  <c r="AT102" i="5"/>
  <c r="AW102" i="5" s="1"/>
  <c r="DV291" i="10"/>
  <c r="BV291" i="10"/>
  <c r="AV291" i="10"/>
  <c r="CY291" i="10"/>
  <c r="AY291" i="10"/>
  <c r="CV291" i="10"/>
  <c r="DY291" i="10"/>
  <c r="BY291" i="10"/>
  <c r="AZ290" i="10"/>
  <c r="AY290" i="10"/>
  <c r="F211" i="16"/>
  <c r="A211" i="16" s="1"/>
  <c r="F210" i="16"/>
  <c r="A210" i="16" s="1"/>
  <c r="BQ430" i="10"/>
  <c r="BQ431" i="10"/>
  <c r="F192" i="16"/>
  <c r="A192" i="16" s="1"/>
  <c r="F203" i="16"/>
  <c r="A203" i="16" s="1"/>
  <c r="F190" i="16"/>
  <c r="A190" i="16" s="1"/>
  <c r="F193" i="16"/>
  <c r="A193" i="16" s="1"/>
  <c r="F201" i="16"/>
  <c r="A201" i="16" s="1"/>
  <c r="F208" i="16"/>
  <c r="A208" i="16" s="1"/>
  <c r="F195" i="16"/>
  <c r="A195" i="16" s="1"/>
  <c r="F197" i="16"/>
  <c r="A197" i="16" s="1"/>
  <c r="F200" i="16"/>
  <c r="A200" i="16" s="1"/>
  <c r="F194" i="16"/>
  <c r="A194" i="16" s="1"/>
  <c r="F204" i="16"/>
  <c r="A204" i="16" s="1"/>
  <c r="F198" i="16"/>
  <c r="A198" i="16" s="1"/>
  <c r="F199" i="16"/>
  <c r="A199" i="16" s="1"/>
  <c r="F205" i="16"/>
  <c r="A205" i="16" s="1"/>
  <c r="F189" i="16"/>
  <c r="A189" i="16" s="1"/>
  <c r="F196" i="16"/>
  <c r="A196" i="16" s="1"/>
  <c r="F191" i="16"/>
  <c r="A191" i="16" s="1"/>
  <c r="F209" i="16"/>
  <c r="A209" i="16" s="1"/>
  <c r="F202" i="16"/>
  <c r="A202" i="16" s="1"/>
  <c r="F206" i="16"/>
  <c r="A206" i="16" s="1"/>
  <c r="F207" i="16"/>
  <c r="A207" i="16" s="1"/>
  <c r="AB214" i="19"/>
  <c r="I216" i="16"/>
  <c r="AE197" i="16" s="1"/>
  <c r="AP114" i="5" l="1"/>
  <c r="AR113" i="5"/>
  <c r="AQ113" i="5" s="1"/>
  <c r="AT109" i="5" s="1"/>
  <c r="AV102" i="5"/>
  <c r="AU102" i="5"/>
  <c r="AX102" i="5"/>
  <c r="AY102" i="5"/>
  <c r="BH426" i="10"/>
  <c r="BH430" i="10" s="1"/>
  <c r="BM426" i="10"/>
  <c r="BN426" i="10"/>
  <c r="BK426" i="10"/>
  <c r="BJ426" i="10"/>
  <c r="AP293" i="10"/>
  <c r="BG426" i="10"/>
  <c r="BG427" i="10" s="1"/>
  <c r="Z3" i="5"/>
  <c r="X3" i="5"/>
  <c r="V3" i="5"/>
  <c r="T3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A10" i="5"/>
  <c r="BL10" i="5" l="1"/>
  <c r="H10" i="5"/>
  <c r="AY109" i="5"/>
  <c r="AP115" i="5"/>
  <c r="AR114" i="5"/>
  <c r="AQ114" i="5" s="1"/>
  <c r="BH431" i="10"/>
  <c r="BH427" i="10"/>
  <c r="A11" i="5"/>
  <c r="H11" i="5" s="1"/>
  <c r="AR115" i="5" l="1"/>
  <c r="AQ115" i="5" s="1"/>
  <c r="AP116" i="5"/>
  <c r="AU109" i="5"/>
  <c r="A12" i="5"/>
  <c r="BL11" i="5"/>
  <c r="BL12" i="5" l="1"/>
  <c r="H12" i="5"/>
  <c r="A13" i="5"/>
  <c r="AR116" i="5"/>
  <c r="AV109" i="5" s="1"/>
  <c r="AP117" i="5"/>
  <c r="AX109" i="5"/>
  <c r="AR118" i="5"/>
  <c r="AQ118" i="5" s="1"/>
  <c r="A14" i="5"/>
  <c r="BL14" i="5" l="1"/>
  <c r="H14" i="5"/>
  <c r="BL13" i="5"/>
  <c r="H13" i="5"/>
  <c r="AP118" i="5"/>
  <c r="AP119" i="5" s="1"/>
  <c r="AR117" i="5"/>
  <c r="AQ117" i="5" s="1"/>
  <c r="AW109" i="5" s="1"/>
  <c r="AP120" i="5"/>
  <c r="AP121" i="5" s="1"/>
  <c r="AR119" i="5"/>
  <c r="AQ119" i="5" s="1"/>
  <c r="A15" i="5"/>
  <c r="BL15" i="5" l="1"/>
  <c r="H15" i="5"/>
  <c r="AP122" i="5"/>
  <c r="AR121" i="5"/>
  <c r="AT111" i="5"/>
  <c r="A16" i="5"/>
  <c r="BL16" i="5" l="1"/>
  <c r="H16" i="5"/>
  <c r="AR122" i="5"/>
  <c r="AQ122" i="5" s="1"/>
  <c r="AT118" i="5" s="1"/>
  <c r="AP123" i="5"/>
  <c r="AU111" i="5"/>
  <c r="AV111" i="5"/>
  <c r="AY111" i="5"/>
  <c r="AX111" i="5"/>
  <c r="AW111" i="5"/>
  <c r="A17" i="5"/>
  <c r="BL17" i="5" l="1"/>
  <c r="H17" i="5"/>
  <c r="AR123" i="5"/>
  <c r="AQ123" i="5" s="1"/>
  <c r="AP124" i="5"/>
  <c r="AY118" i="5"/>
  <c r="A18" i="5"/>
  <c r="BL18" i="5" l="1"/>
  <c r="H18" i="5"/>
  <c r="AU118" i="5"/>
  <c r="AR124" i="5"/>
  <c r="AQ124" i="5" s="1"/>
  <c r="AX118" i="5" s="1"/>
  <c r="AP125" i="5"/>
  <c r="A19" i="5"/>
  <c r="BL19" i="5" l="1"/>
  <c r="H19" i="5"/>
  <c r="AP126" i="5"/>
  <c r="AR125" i="5"/>
  <c r="AV118" i="5" s="1"/>
  <c r="AR127" i="5"/>
  <c r="AQ127" i="5" s="1"/>
  <c r="A20" i="5"/>
  <c r="BL20" i="5" l="1"/>
  <c r="AP127" i="5"/>
  <c r="AR126" i="5"/>
  <c r="AQ126" i="5" s="1"/>
  <c r="AW118" i="5" s="1"/>
  <c r="AR128" i="5"/>
  <c r="AQ128" i="5" s="1"/>
  <c r="A21" i="5"/>
  <c r="BL21" i="5" l="1"/>
  <c r="AP128" i="5"/>
  <c r="H20" i="5"/>
  <c r="A22" i="5"/>
  <c r="BL22" i="5" l="1"/>
  <c r="AP129" i="5"/>
  <c r="AT120" i="5"/>
  <c r="AQ133" i="5"/>
  <c r="A23" i="5"/>
  <c r="BL23" i="5" l="1"/>
  <c r="AP130" i="5"/>
  <c r="AU120" i="5"/>
  <c r="AV120" i="5"/>
  <c r="AY120" i="5"/>
  <c r="AX120" i="5"/>
  <c r="AW120" i="5"/>
  <c r="A24" i="5"/>
  <c r="BL24" i="5" l="1"/>
  <c r="AP131" i="5"/>
  <c r="AR130" i="5"/>
  <c r="AQ130" i="5" s="1"/>
  <c r="A25" i="5"/>
  <c r="BL25" i="5" l="1"/>
  <c r="AP132" i="5"/>
  <c r="AR131" i="5"/>
  <c r="AQ131" i="5" s="1"/>
  <c r="AT127" i="5" s="1"/>
  <c r="A26" i="5"/>
  <c r="BL26" i="5" l="1"/>
  <c r="AY127" i="5"/>
  <c r="AR132" i="5"/>
  <c r="AQ132" i="5" s="1"/>
  <c r="AP133" i="5"/>
  <c r="AR136" i="5"/>
  <c r="AQ136" i="5" s="1"/>
  <c r="A27" i="5"/>
  <c r="BL27" i="5" l="1"/>
  <c r="AR133" i="5"/>
  <c r="AX127" i="5" s="1"/>
  <c r="AP134" i="5"/>
  <c r="AT129" i="5"/>
  <c r="AU127" i="5"/>
  <c r="AR137" i="5"/>
  <c r="AQ137" i="5" s="1"/>
  <c r="A28" i="5"/>
  <c r="BL28" i="5" l="1"/>
  <c r="AX129" i="5"/>
  <c r="AU129" i="5"/>
  <c r="AY129" i="5"/>
  <c r="AV129" i="5"/>
  <c r="AR134" i="5"/>
  <c r="AV127" i="5" s="1"/>
  <c r="AP135" i="5"/>
  <c r="AW129" i="5"/>
  <c r="A29" i="5"/>
  <c r="BL29" i="5" l="1"/>
  <c r="AP136" i="5"/>
  <c r="AR135" i="5"/>
  <c r="AQ135" i="5" s="1"/>
  <c r="AW127" i="5" s="1"/>
  <c r="A30" i="5"/>
  <c r="BL30" i="5" l="1"/>
  <c r="AP137" i="5"/>
  <c r="H21" i="5"/>
  <c r="A31" i="5"/>
  <c r="BL31" i="5" l="1"/>
  <c r="AP138" i="5"/>
  <c r="A32" i="5"/>
  <c r="BL32" i="5" l="1"/>
  <c r="AP139" i="5"/>
  <c r="A33" i="5"/>
  <c r="BL33" i="5" l="1"/>
  <c r="AR139" i="5"/>
  <c r="AP140" i="5"/>
  <c r="AR145" i="5"/>
  <c r="AQ145" i="5" s="1"/>
  <c r="A34" i="5"/>
  <c r="BL34" i="5" l="1"/>
  <c r="AR140" i="5"/>
  <c r="AQ140" i="5" s="1"/>
  <c r="AT136" i="5" s="1"/>
  <c r="AP141" i="5"/>
  <c r="AR146" i="5"/>
  <c r="AQ146" i="5" s="1"/>
  <c r="A35" i="5"/>
  <c r="BL35" i="5" l="1"/>
  <c r="AR141" i="5"/>
  <c r="AQ141" i="5" s="1"/>
  <c r="AP142" i="5"/>
  <c r="AU136" i="5"/>
  <c r="AY136" i="5"/>
  <c r="AR147" i="5"/>
  <c r="A36" i="5"/>
  <c r="BL36" i="5" l="1"/>
  <c r="AR142" i="5"/>
  <c r="AQ142" i="5" s="1"/>
  <c r="AX136" i="5" s="1"/>
  <c r="AP143" i="5"/>
  <c r="A37" i="5"/>
  <c r="BL37" i="5" l="1"/>
  <c r="AR143" i="5"/>
  <c r="AQ143" i="5" s="1"/>
  <c r="AV136" i="5" s="1"/>
  <c r="AP144" i="5"/>
  <c r="A38" i="5"/>
  <c r="BL38" i="5" l="1"/>
  <c r="AP145" i="5"/>
  <c r="AR144" i="5"/>
  <c r="AQ144" i="5" s="1"/>
  <c r="AW136" i="5" s="1"/>
  <c r="A39" i="5"/>
  <c r="BL39" i="5" l="1"/>
  <c r="AP146" i="5"/>
  <c r="H22" i="5"/>
  <c r="A40" i="5"/>
  <c r="BL40" i="5" l="1"/>
  <c r="AP147" i="5"/>
  <c r="AY147" i="5"/>
  <c r="A41" i="5"/>
  <c r="BL41" i="5" l="1"/>
  <c r="AP148" i="5"/>
  <c r="A42" i="5"/>
  <c r="BL42" i="5" l="1"/>
  <c r="AR148" i="5"/>
  <c r="AQ148" i="5" s="1"/>
  <c r="AP149" i="5"/>
  <c r="AX147" i="5"/>
  <c r="AR154" i="5"/>
  <c r="AQ154" i="5" s="1"/>
  <c r="A43" i="5"/>
  <c r="BL43" i="5" l="1"/>
  <c r="AR149" i="5"/>
  <c r="AQ149" i="5" s="1"/>
  <c r="AT138" i="5" s="1"/>
  <c r="AP150" i="5"/>
  <c r="AT145" i="5"/>
  <c r="AR155" i="5"/>
  <c r="A44" i="5"/>
  <c r="BL44" i="5" l="1"/>
  <c r="AY145" i="5"/>
  <c r="AP151" i="5"/>
  <c r="AR150" i="5"/>
  <c r="AQ150" i="5" s="1"/>
  <c r="AV138" i="5"/>
  <c r="AU138" i="5"/>
  <c r="AW138" i="5"/>
  <c r="AX138" i="5"/>
  <c r="AY138" i="5"/>
  <c r="AQ155" i="5"/>
  <c r="AR156" i="5"/>
  <c r="AQ156" i="5" s="1"/>
  <c r="A45" i="5"/>
  <c r="BL45" i="5" l="1"/>
  <c r="AU145" i="5"/>
  <c r="AP152" i="5"/>
  <c r="AR151" i="5"/>
  <c r="AQ151" i="5" s="1"/>
  <c r="AW147" i="5"/>
  <c r="A46" i="5"/>
  <c r="BL46" i="5" l="1"/>
  <c r="AX145" i="5"/>
  <c r="AR152" i="5"/>
  <c r="AQ152" i="5" s="1"/>
  <c r="AP153" i="5"/>
  <c r="A47" i="5"/>
  <c r="BL47" i="5" l="1"/>
  <c r="AR153" i="5"/>
  <c r="AQ153" i="5" s="1"/>
  <c r="AP154" i="5"/>
  <c r="AT149" i="5"/>
  <c r="AW145" i="5"/>
  <c r="AV145" i="5"/>
  <c r="A48" i="5"/>
  <c r="BL48" i="5" l="1"/>
  <c r="AX149" i="5"/>
  <c r="AV149" i="5"/>
  <c r="AW149" i="5"/>
  <c r="AP155" i="5"/>
  <c r="H23" i="5"/>
  <c r="AU149" i="5"/>
  <c r="A49" i="5"/>
  <c r="BL49" i="5" l="1"/>
  <c r="AP156" i="5"/>
  <c r="AY156" i="5"/>
  <c r="A50" i="5"/>
  <c r="BL50" i="5" l="1"/>
  <c r="AP157" i="5"/>
  <c r="A51" i="5"/>
  <c r="BL51" i="5" l="1"/>
  <c r="AP158" i="5"/>
  <c r="AR157" i="5"/>
  <c r="AY149" i="5" s="1"/>
  <c r="AX156" i="5"/>
  <c r="AR163" i="5"/>
  <c r="AQ163" i="5" s="1"/>
  <c r="A52" i="5"/>
  <c r="BL52" i="5" l="1"/>
  <c r="AR158" i="5"/>
  <c r="AQ158" i="5" s="1"/>
  <c r="AT154" i="5" s="1"/>
  <c r="AP159" i="5"/>
  <c r="AR164" i="5"/>
  <c r="A53" i="5"/>
  <c r="BL53" i="5" l="1"/>
  <c r="AP160" i="5"/>
  <c r="AR159" i="5"/>
  <c r="AU154" i="5" s="1"/>
  <c r="AY154" i="5"/>
  <c r="AR165" i="5"/>
  <c r="AQ165" i="5" s="1"/>
  <c r="AQ164" i="5"/>
  <c r="A54" i="5"/>
  <c r="BL54" i="5" l="1"/>
  <c r="AP161" i="5"/>
  <c r="AR160" i="5"/>
  <c r="AQ160" i="5" s="1"/>
  <c r="AW156" i="5"/>
  <c r="A55" i="5"/>
  <c r="BL55" i="5" l="1"/>
  <c r="AX154" i="5"/>
  <c r="AR161" i="5"/>
  <c r="AQ161" i="5" s="1"/>
  <c r="AP162" i="5"/>
  <c r="A56" i="5"/>
  <c r="BL56" i="5" l="1"/>
  <c r="AR162" i="5"/>
  <c r="AQ162" i="5" s="1"/>
  <c r="AW154" i="5" s="1"/>
  <c r="AP163" i="5"/>
  <c r="AT158" i="5"/>
  <c r="AV154" i="5"/>
  <c r="CE7" i="16"/>
  <c r="CJ2" i="16"/>
  <c r="CK2" i="16"/>
  <c r="CK7" i="16"/>
  <c r="AY158" i="5"/>
  <c r="A57" i="5"/>
  <c r="BL57" i="5" l="1"/>
  <c r="AU158" i="5"/>
  <c r="AX158" i="5"/>
  <c r="AV158" i="5"/>
  <c r="AW158" i="5"/>
  <c r="AP164" i="5"/>
  <c r="H24" i="5"/>
  <c r="A58" i="5"/>
  <c r="BL58" i="5" l="1"/>
  <c r="AP165" i="5"/>
  <c r="AX165" i="5"/>
  <c r="A59" i="5"/>
  <c r="BL59" i="5" l="1"/>
  <c r="AP166" i="5"/>
  <c r="AT167" i="5"/>
  <c r="A60" i="5"/>
  <c r="BL60" i="5" l="1"/>
  <c r="AR166" i="5"/>
  <c r="AQ166" i="5" s="1"/>
  <c r="AT163" i="5" s="1"/>
  <c r="AP167" i="5"/>
  <c r="AU167" i="5"/>
  <c r="AR172" i="5"/>
  <c r="AX167" i="5" s="1"/>
  <c r="A61" i="5"/>
  <c r="BL61" i="5" l="1"/>
  <c r="AP168" i="5"/>
  <c r="AR167" i="5"/>
  <c r="AQ167" i="5" s="1"/>
  <c r="AY163" i="5"/>
  <c r="AR173" i="5"/>
  <c r="AQ173" i="5" s="1"/>
  <c r="A62" i="5"/>
  <c r="BL62" i="5" l="1"/>
  <c r="AR168" i="5"/>
  <c r="AQ168" i="5" s="1"/>
  <c r="AP169" i="5"/>
  <c r="AW165" i="5"/>
  <c r="AV167" i="5"/>
  <c r="AR174" i="5"/>
  <c r="AQ174" i="5" s="1"/>
  <c r="AW167" i="5" s="1"/>
  <c r="A63" i="5"/>
  <c r="BL63" i="5" l="1"/>
  <c r="AR169" i="5"/>
  <c r="AY165" i="5" s="1"/>
  <c r="AP170" i="5"/>
  <c r="AU163" i="5"/>
  <c r="AX163" i="5"/>
  <c r="A64" i="5"/>
  <c r="BL64" i="5" l="1"/>
  <c r="AP171" i="5"/>
  <c r="AR170" i="5"/>
  <c r="AQ170" i="5" s="1"/>
  <c r="AV163" i="5" s="1"/>
  <c r="A65" i="5"/>
  <c r="BL65" i="5" l="1"/>
  <c r="AR171" i="5"/>
  <c r="AQ171" i="5" s="1"/>
  <c r="AW163" i="5" s="1"/>
  <c r="AP172" i="5"/>
  <c r="A66" i="5"/>
  <c r="BL66" i="5" l="1"/>
  <c r="AP173" i="5"/>
  <c r="H25" i="5"/>
  <c r="AR181" i="5"/>
  <c r="A67" i="5"/>
  <c r="BL67" i="5" l="1"/>
  <c r="AP174" i="5"/>
  <c r="AR182" i="5"/>
  <c r="AQ182" i="5" s="1"/>
  <c r="A68" i="5"/>
  <c r="BL68" i="5" l="1"/>
  <c r="AP175" i="5"/>
  <c r="AR183" i="5"/>
  <c r="AQ183" i="5" s="1"/>
  <c r="A69" i="5"/>
  <c r="BL69" i="5" l="1"/>
  <c r="AR175" i="5"/>
  <c r="AQ175" i="5" s="1"/>
  <c r="AP176" i="5"/>
  <c r="A70" i="5"/>
  <c r="BL70" i="5" l="1"/>
  <c r="AP177" i="5"/>
  <c r="AR176" i="5"/>
  <c r="AY167" i="5"/>
  <c r="AT172" i="5"/>
  <c r="A71" i="5"/>
  <c r="BL71" i="5" l="1"/>
  <c r="AU172" i="5"/>
  <c r="AP178" i="5"/>
  <c r="AR177" i="5"/>
  <c r="AQ177" i="5" s="1"/>
  <c r="AY184" i="5"/>
  <c r="A72" i="5"/>
  <c r="BL72" i="5" l="1"/>
  <c r="AY172" i="5"/>
  <c r="AP179" i="5"/>
  <c r="AR178" i="5"/>
  <c r="AQ178" i="5" s="1"/>
  <c r="A73" i="5"/>
  <c r="BL73" i="5" l="1"/>
  <c r="AX172" i="5"/>
  <c r="AR179" i="5"/>
  <c r="AQ179" i="5" s="1"/>
  <c r="AP180" i="5"/>
  <c r="AX184" i="5"/>
  <c r="A74" i="5"/>
  <c r="BL74" i="5" l="1"/>
  <c r="AP181" i="5"/>
  <c r="AR180" i="5"/>
  <c r="AQ180" i="5" s="1"/>
  <c r="AW172" i="5" s="1"/>
  <c r="AT176" i="5"/>
  <c r="AV172" i="5"/>
  <c r="A75" i="5"/>
  <c r="BL75" i="5" l="1"/>
  <c r="AU176" i="5"/>
  <c r="AV176" i="5"/>
  <c r="AX176" i="5"/>
  <c r="AW176" i="5"/>
  <c r="AY176" i="5"/>
  <c r="AP182" i="5"/>
  <c r="H26" i="5"/>
  <c r="AR190" i="5"/>
  <c r="AQ190" i="5" s="1"/>
  <c r="AW184" i="5"/>
  <c r="A76" i="5"/>
  <c r="BL76" i="5" l="1"/>
  <c r="AP183" i="5"/>
  <c r="AR191" i="5"/>
  <c r="A77" i="5"/>
  <c r="BL77" i="5" l="1"/>
  <c r="AP184" i="5"/>
  <c r="AR192" i="5"/>
  <c r="AQ192" i="5" s="1"/>
  <c r="A78" i="5"/>
  <c r="BL78" i="5" l="1"/>
  <c r="AP185" i="5"/>
  <c r="AR184" i="5"/>
  <c r="AQ184" i="5" s="1"/>
  <c r="AT181" i="5" s="1"/>
  <c r="A79" i="5"/>
  <c r="BL79" i="5" l="1"/>
  <c r="AP186" i="5"/>
  <c r="AR185" i="5"/>
  <c r="AU181" i="5" s="1"/>
  <c r="AY193" i="5"/>
  <c r="A80" i="5"/>
  <c r="BL80" i="5" l="1"/>
  <c r="AP187" i="5"/>
  <c r="AR186" i="5"/>
  <c r="AQ186" i="5" s="1"/>
  <c r="AT194" i="5"/>
  <c r="A81" i="5"/>
  <c r="BL81" i="5" l="1"/>
  <c r="AY181" i="5"/>
  <c r="AP188" i="5"/>
  <c r="AR187" i="5"/>
  <c r="AQ187" i="5" s="1"/>
  <c r="AR199" i="5"/>
  <c r="AQ199" i="5" s="1"/>
  <c r="AX194" i="5" s="1"/>
  <c r="AU194" i="5"/>
  <c r="AQ200" i="5"/>
  <c r="A82" i="5"/>
  <c r="BL82" i="5" l="1"/>
  <c r="AV181" i="5"/>
  <c r="AR188" i="5"/>
  <c r="AQ188" i="5" s="1"/>
  <c r="AP189" i="5"/>
  <c r="AR200" i="5"/>
  <c r="AV194" i="5" s="1"/>
  <c r="AW193" i="5"/>
  <c r="A83" i="5"/>
  <c r="BL83" i="5" l="1"/>
  <c r="AR189" i="5"/>
  <c r="AQ189" i="5" s="1"/>
  <c r="AP190" i="5"/>
  <c r="AT185" i="5"/>
  <c r="AX181" i="5"/>
  <c r="AW181" i="5"/>
  <c r="AR201" i="5"/>
  <c r="AQ201" i="5" s="1"/>
  <c r="A84" i="5"/>
  <c r="BL84" i="5" l="1"/>
  <c r="AX185" i="5"/>
  <c r="AV185" i="5"/>
  <c r="AW185" i="5"/>
  <c r="AY185" i="5"/>
  <c r="AP191" i="5"/>
  <c r="H27" i="5"/>
  <c r="AU185" i="5"/>
  <c r="AX193" i="5"/>
  <c r="AW194" i="5"/>
  <c r="AY194" i="5"/>
  <c r="A85" i="5"/>
  <c r="BL85" i="5" l="1"/>
  <c r="AP192" i="5"/>
  <c r="A86" i="5"/>
  <c r="BL86" i="5" l="1"/>
  <c r="AP193" i="5"/>
  <c r="A87" i="5"/>
  <c r="BL87" i="5" l="1"/>
  <c r="AP194" i="5"/>
  <c r="AR193" i="5"/>
  <c r="AQ193" i="5" s="1"/>
  <c r="AT190" i="5" s="1"/>
  <c r="AQ209" i="5"/>
  <c r="A88" i="5"/>
  <c r="BL88" i="5" l="1"/>
  <c r="AP195" i="5"/>
  <c r="AR194" i="5"/>
  <c r="AU190" i="5" s="1"/>
  <c r="AR208" i="5"/>
  <c r="AQ208" i="5" s="1"/>
  <c r="AW202" i="5"/>
  <c r="AX202" i="5"/>
  <c r="A89" i="5"/>
  <c r="BL89" i="5" l="1"/>
  <c r="AR195" i="5"/>
  <c r="AQ195" i="5" s="1"/>
  <c r="AP196" i="5"/>
  <c r="AR209" i="5"/>
  <c r="A90" i="5"/>
  <c r="BL90" i="5" l="1"/>
  <c r="AP197" i="5"/>
  <c r="AR196" i="5"/>
  <c r="AQ196" i="5" s="1"/>
  <c r="AY190" i="5"/>
  <c r="AV190" i="5"/>
  <c r="AR210" i="5"/>
  <c r="AQ210" i="5" s="1"/>
  <c r="A91" i="5"/>
  <c r="BL91" i="5" l="1"/>
  <c r="AP198" i="5"/>
  <c r="AR197" i="5"/>
  <c r="AQ197" i="5" s="1"/>
  <c r="AW190" i="5" s="1"/>
  <c r="A92" i="5"/>
  <c r="BL92" i="5" l="1"/>
  <c r="AR198" i="5"/>
  <c r="AQ198" i="5" s="1"/>
  <c r="AX190" i="5" s="1"/>
  <c r="AP199" i="5"/>
  <c r="A93" i="5"/>
  <c r="BL93" i="5" l="1"/>
  <c r="AP200" i="5"/>
  <c r="H28" i="5"/>
  <c r="A94" i="5"/>
  <c r="BL94" i="5" l="1"/>
  <c r="AP201" i="5"/>
  <c r="AR217" i="5"/>
  <c r="AQ217" i="5" s="1"/>
  <c r="AW211" i="5"/>
  <c r="A95" i="5"/>
  <c r="BL95" i="5" l="1"/>
  <c r="AP202" i="5"/>
  <c r="AR218" i="5"/>
  <c r="AQ218" i="5" s="1"/>
  <c r="AX211" i="5"/>
  <c r="A96" i="5"/>
  <c r="BL96" i="5" l="1"/>
  <c r="AP203" i="5"/>
  <c r="AR202" i="5"/>
  <c r="AQ202" i="5" s="1"/>
  <c r="AT199" i="5" s="1"/>
  <c r="AR219" i="5"/>
  <c r="AT214" i="5"/>
  <c r="A97" i="5"/>
  <c r="BL97" i="5" l="1"/>
  <c r="AR203" i="5"/>
  <c r="AU199" i="5" s="1"/>
  <c r="AP204" i="5"/>
  <c r="AU214" i="5"/>
  <c r="AY214" i="5"/>
  <c r="AX214" i="5"/>
  <c r="A98" i="5"/>
  <c r="BL98" i="5" l="1"/>
  <c r="AP205" i="5"/>
  <c r="AR204" i="5"/>
  <c r="AQ204" i="5" s="1"/>
  <c r="A99" i="5"/>
  <c r="BL99" i="5" l="1"/>
  <c r="AY199" i="5"/>
  <c r="AR205" i="5"/>
  <c r="AQ205" i="5" s="1"/>
  <c r="AP206" i="5"/>
  <c r="A100" i="5"/>
  <c r="BL100" i="5" l="1"/>
  <c r="AP207" i="5"/>
  <c r="AR206" i="5"/>
  <c r="AQ206" i="5" s="1"/>
  <c r="AV199" i="5"/>
  <c r="AW199" i="5"/>
  <c r="AW214" i="5"/>
  <c r="AW220" i="5"/>
  <c r="A101" i="5"/>
  <c r="BL101" i="5" l="1"/>
  <c r="AP208" i="5"/>
  <c r="AR207" i="5"/>
  <c r="AR226" i="5"/>
  <c r="AQ226" i="5" s="1"/>
  <c r="AX220" i="5"/>
  <c r="A102" i="5"/>
  <c r="BL102" i="5" l="1"/>
  <c r="AY202" i="5"/>
  <c r="AX199" i="5"/>
  <c r="AP209" i="5"/>
  <c r="H29" i="5"/>
  <c r="AR227" i="5"/>
  <c r="AQ227" i="5" s="1"/>
  <c r="A103" i="5"/>
  <c r="BL103" i="5" l="1"/>
  <c r="AP210" i="5"/>
  <c r="AR228" i="5"/>
  <c r="AT223" i="5"/>
  <c r="A104" i="5"/>
  <c r="BL104" i="5" l="1"/>
  <c r="AP211" i="5"/>
  <c r="AU223" i="5"/>
  <c r="AX223" i="5"/>
  <c r="AY223" i="5"/>
  <c r="A105" i="5"/>
  <c r="BL105" i="5" l="1"/>
  <c r="AR211" i="5"/>
  <c r="AQ211" i="5" s="1"/>
  <c r="AT208" i="5" s="1"/>
  <c r="AP212" i="5"/>
  <c r="A106" i="5"/>
  <c r="BL106" i="5" l="1"/>
  <c r="AR212" i="5"/>
  <c r="AP213" i="5"/>
  <c r="AU208" i="5"/>
  <c r="AW229" i="5"/>
  <c r="A107" i="5"/>
  <c r="BL107" i="5" l="1"/>
  <c r="AP214" i="5"/>
  <c r="AR213" i="5"/>
  <c r="AQ213" i="5" s="1"/>
  <c r="AW223" i="5"/>
  <c r="AR235" i="5"/>
  <c r="AQ235" i="5" s="1"/>
  <c r="AX229" i="5"/>
  <c r="A108" i="5"/>
  <c r="BL108" i="5" l="1"/>
  <c r="AY208" i="5"/>
  <c r="AP215" i="5"/>
  <c r="AR214" i="5"/>
  <c r="AQ214" i="5" s="1"/>
  <c r="AR236" i="5"/>
  <c r="AQ236" i="5" s="1"/>
  <c r="A109" i="5"/>
  <c r="BL109" i="5" l="1"/>
  <c r="AT203" i="5"/>
  <c r="AV208" i="5"/>
  <c r="AP216" i="5"/>
  <c r="AR215" i="5"/>
  <c r="AQ215" i="5" s="1"/>
  <c r="AR237" i="5"/>
  <c r="AT232" i="5"/>
  <c r="AR243" i="5"/>
  <c r="AY238" i="5" s="1"/>
  <c r="A110" i="5"/>
  <c r="BL110" i="5" l="1"/>
  <c r="AW208" i="5"/>
  <c r="AP217" i="5"/>
  <c r="AR216" i="5"/>
  <c r="AW203" i="5"/>
  <c r="AY203" i="5"/>
  <c r="AU203" i="5"/>
  <c r="AX203" i="5"/>
  <c r="AV203" i="5"/>
  <c r="AU232" i="5"/>
  <c r="AY232" i="5"/>
  <c r="A111" i="5"/>
  <c r="BL111" i="5" l="1"/>
  <c r="AY211" i="5"/>
  <c r="AX208" i="5"/>
  <c r="AP218" i="5"/>
  <c r="H30" i="5"/>
  <c r="AX232" i="5"/>
  <c r="A112" i="5"/>
  <c r="BL112" i="5" l="1"/>
  <c r="AP219" i="5"/>
  <c r="AX238" i="5"/>
  <c r="AW238" i="5"/>
  <c r="A113" i="5"/>
  <c r="BL113" i="5" l="1"/>
  <c r="AP220" i="5"/>
  <c r="AR244" i="5"/>
  <c r="A114" i="5"/>
  <c r="BL114" i="5" l="1"/>
  <c r="AR220" i="5"/>
  <c r="AQ220" i="5" s="1"/>
  <c r="AT217" i="5" s="1"/>
  <c r="AP221" i="5"/>
  <c r="AR245" i="5"/>
  <c r="AQ245" i="5" s="1"/>
  <c r="A115" i="5"/>
  <c r="BL115" i="5" l="1"/>
  <c r="AP222" i="5"/>
  <c r="AR221" i="5"/>
  <c r="AV214" i="5" s="1"/>
  <c r="AU217" i="5"/>
  <c r="AT241" i="5"/>
  <c r="AY241" i="5" s="1"/>
  <c r="AR246" i="5"/>
  <c r="AQ246" i="5" s="1"/>
  <c r="AU241" i="5" s="1"/>
  <c r="A116" i="5"/>
  <c r="BL116" i="5" l="1"/>
  <c r="AP223" i="5"/>
  <c r="AR222" i="5"/>
  <c r="AQ222" i="5" s="1"/>
  <c r="A117" i="5"/>
  <c r="BL117" i="5" l="1"/>
  <c r="AY217" i="5"/>
  <c r="AP224" i="5"/>
  <c r="AR223" i="5"/>
  <c r="AQ223" i="5" s="1"/>
  <c r="AX241" i="5"/>
  <c r="A118" i="5"/>
  <c r="BL118" i="5" l="1"/>
  <c r="AV217" i="5"/>
  <c r="AR224" i="5"/>
  <c r="AQ224" i="5" s="1"/>
  <c r="AP225" i="5"/>
  <c r="A119" i="5"/>
  <c r="BL119" i="5" l="1"/>
  <c r="AR225" i="5"/>
  <c r="AY220" i="5" s="1"/>
  <c r="AP226" i="5"/>
  <c r="AW217" i="5"/>
  <c r="AX217" i="5"/>
  <c r="AR253" i="5"/>
  <c r="A120" i="5"/>
  <c r="BL120" i="5" l="1"/>
  <c r="AP227" i="5"/>
  <c r="H31" i="5"/>
  <c r="AR254" i="5"/>
  <c r="AQ254" i="5" s="1"/>
  <c r="AQ256" i="5"/>
  <c r="A121" i="5"/>
  <c r="BL121" i="5" l="1"/>
  <c r="AP228" i="5"/>
  <c r="AT250" i="5"/>
  <c r="AR255" i="5"/>
  <c r="AQ255" i="5" s="1"/>
  <c r="A122" i="5"/>
  <c r="BL122" i="5" l="1"/>
  <c r="AP229" i="5"/>
  <c r="AU250" i="5"/>
  <c r="AX250" i="5"/>
  <c r="AY250" i="5"/>
  <c r="AX257" i="5"/>
  <c r="A123" i="5"/>
  <c r="BL123" i="5" l="1"/>
  <c r="AP230" i="5"/>
  <c r="AR229" i="5"/>
  <c r="AQ229" i="5" s="1"/>
  <c r="AT226" i="5" s="1"/>
  <c r="A124" i="5"/>
  <c r="BL124" i="5" l="1"/>
  <c r="AP231" i="5"/>
  <c r="AR230" i="5"/>
  <c r="AV250" i="5"/>
  <c r="AY257" i="5"/>
  <c r="A125" i="5"/>
  <c r="BL125" i="5" l="1"/>
  <c r="AV223" i="5"/>
  <c r="AU226" i="5"/>
  <c r="AP232" i="5"/>
  <c r="AR231" i="5"/>
  <c r="AQ231" i="5" s="1"/>
  <c r="AR262" i="5"/>
  <c r="A126" i="5"/>
  <c r="BL126" i="5" l="1"/>
  <c r="AY226" i="5"/>
  <c r="AP233" i="5"/>
  <c r="AR232" i="5"/>
  <c r="AQ232" i="5" s="1"/>
  <c r="AR263" i="5"/>
  <c r="AQ263" i="5" s="1"/>
  <c r="AQ265" i="5"/>
  <c r="A127" i="5"/>
  <c r="BL127" i="5" l="1"/>
  <c r="AV226" i="5"/>
  <c r="AP234" i="5"/>
  <c r="AR233" i="5"/>
  <c r="AQ233" i="5" s="1"/>
  <c r="AT259" i="5"/>
  <c r="AY259" i="5"/>
  <c r="AR264" i="5"/>
  <c r="AQ264" i="5" s="1"/>
  <c r="AU259" i="5" s="1"/>
  <c r="AW257" i="5"/>
  <c r="A128" i="5"/>
  <c r="BL128" i="5" l="1"/>
  <c r="AW226" i="5"/>
  <c r="AR234" i="5"/>
  <c r="AP235" i="5"/>
  <c r="AX259" i="5"/>
  <c r="AX266" i="5"/>
  <c r="A129" i="5"/>
  <c r="BL129" i="5" l="1"/>
  <c r="AP236" i="5"/>
  <c r="H32" i="5"/>
  <c r="AY229" i="5"/>
  <c r="AX226" i="5"/>
  <c r="A130" i="5"/>
  <c r="BL130" i="5" l="1"/>
  <c r="AP237" i="5"/>
  <c r="AV259" i="5"/>
  <c r="AY266" i="5"/>
  <c r="A131" i="5"/>
  <c r="BL131" i="5" l="1"/>
  <c r="AP238" i="5"/>
  <c r="AR271" i="5"/>
  <c r="AQ271" i="5" s="1"/>
  <c r="AT268" i="5" s="1"/>
  <c r="A132" i="5"/>
  <c r="BL132" i="5" l="1"/>
  <c r="AP239" i="5"/>
  <c r="AR238" i="5"/>
  <c r="AQ238" i="5" s="1"/>
  <c r="AT235" i="5" s="1"/>
  <c r="AR272" i="5"/>
  <c r="AQ272" i="5" s="1"/>
  <c r="A133" i="5"/>
  <c r="BL133" i="5" l="1"/>
  <c r="AP240" i="5"/>
  <c r="AR239" i="5"/>
  <c r="AQ239" i="5" s="1"/>
  <c r="AY268" i="5"/>
  <c r="AR273" i="5"/>
  <c r="AQ273" i="5" s="1"/>
  <c r="AU268" i="5" s="1"/>
  <c r="A134" i="5"/>
  <c r="BL134" i="5" l="1"/>
  <c r="AV232" i="5"/>
  <c r="AU235" i="5"/>
  <c r="AR240" i="5"/>
  <c r="AQ240" i="5" s="1"/>
  <c r="AP241" i="5"/>
  <c r="AX275" i="5"/>
  <c r="AR280" i="5"/>
  <c r="A135" i="5"/>
  <c r="BL135" i="5" l="1"/>
  <c r="AP242" i="5"/>
  <c r="AR241" i="5"/>
  <c r="AQ241" i="5" s="1"/>
  <c r="AV235" i="5" s="1"/>
  <c r="AW232" i="5"/>
  <c r="AY235" i="5"/>
  <c r="AX268" i="5"/>
  <c r="A136" i="5"/>
  <c r="BL136" i="5" l="1"/>
  <c r="AP243" i="5"/>
  <c r="AR242" i="5"/>
  <c r="AQ242" i="5" s="1"/>
  <c r="AY275" i="5"/>
  <c r="A137" i="5"/>
  <c r="BL137" i="5" l="1"/>
  <c r="AX235" i="5"/>
  <c r="AW235" i="5"/>
  <c r="AP244" i="5"/>
  <c r="AR281" i="5"/>
  <c r="AQ281" i="5" s="1"/>
  <c r="A138" i="5"/>
  <c r="BL138" i="5" l="1"/>
  <c r="AP245" i="5"/>
  <c r="H33" i="5"/>
  <c r="AT277" i="5"/>
  <c r="AR282" i="5"/>
  <c r="AQ282" i="5" s="1"/>
  <c r="AU277" i="5" s="1"/>
  <c r="AQ283" i="5"/>
  <c r="AW275" i="5" s="1"/>
  <c r="A139" i="5"/>
  <c r="BL139" i="5" l="1"/>
  <c r="AP246" i="5"/>
  <c r="AY277" i="5"/>
  <c r="A140" i="5"/>
  <c r="BL140" i="5" l="1"/>
  <c r="AP247" i="5"/>
  <c r="AX284" i="5"/>
  <c r="AR289" i="5"/>
  <c r="A141" i="5"/>
  <c r="BL141" i="5" l="1"/>
  <c r="AP248" i="5"/>
  <c r="AR247" i="5"/>
  <c r="AQ247" i="5" s="1"/>
  <c r="AR290" i="5"/>
  <c r="AY284" i="5" s="1"/>
  <c r="A142" i="5"/>
  <c r="BL142" i="5" l="1"/>
  <c r="AR248" i="5"/>
  <c r="AQ248" i="5" s="1"/>
  <c r="AP249" i="5"/>
  <c r="AX303" i="5"/>
  <c r="A143" i="5"/>
  <c r="BL143" i="5" l="1"/>
  <c r="AR249" i="5"/>
  <c r="AQ249" i="5" s="1"/>
  <c r="AW241" i="5" s="1"/>
  <c r="AP250" i="5"/>
  <c r="AV241" i="5"/>
  <c r="AT244" i="5"/>
  <c r="AV277" i="5"/>
  <c r="A144" i="5"/>
  <c r="BL144" i="5" l="1"/>
  <c r="AU244" i="5"/>
  <c r="AX244" i="5"/>
  <c r="AP251" i="5"/>
  <c r="AR250" i="5"/>
  <c r="AY244" i="5" s="1"/>
  <c r="AW277" i="5"/>
  <c r="AR291" i="5"/>
  <c r="AQ291" i="5" s="1"/>
  <c r="AQ292" i="5"/>
  <c r="AW284" i="5" s="1"/>
  <c r="A145" i="5"/>
  <c r="BL145" i="5" l="1"/>
  <c r="AP252" i="5"/>
  <c r="AR251" i="5"/>
  <c r="AQ251" i="5" s="1"/>
  <c r="AV244" i="5" s="1"/>
  <c r="AT288" i="5"/>
  <c r="AU288" i="5" s="1"/>
  <c r="A146" i="5"/>
  <c r="BL146" i="5" l="1"/>
  <c r="AP253" i="5"/>
  <c r="AR252" i="5"/>
  <c r="AQ252" i="5" s="1"/>
  <c r="AW244" i="5" s="1"/>
  <c r="AR298" i="5"/>
  <c r="AW303" i="5"/>
  <c r="A147" i="5"/>
  <c r="BL147" i="5" l="1"/>
  <c r="AP254" i="5"/>
  <c r="H34" i="5"/>
  <c r="AY288" i="5"/>
  <c r="AR299" i="5"/>
  <c r="A148" i="5"/>
  <c r="BL148" i="5" l="1"/>
  <c r="AP255" i="5"/>
  <c r="A149" i="5"/>
  <c r="BL149" i="5" l="1"/>
  <c r="AP256" i="5"/>
  <c r="AW288" i="5"/>
  <c r="A150" i="5"/>
  <c r="BL150" i="5" l="1"/>
  <c r="AR256" i="5"/>
  <c r="AP257" i="5"/>
  <c r="AR300" i="5"/>
  <c r="AQ300" i="5" s="1"/>
  <c r="AX293" i="5"/>
  <c r="AY293" i="5"/>
  <c r="A151" i="5"/>
  <c r="BL151" i="5" l="1"/>
  <c r="AP258" i="5"/>
  <c r="AR257" i="5"/>
  <c r="AQ257" i="5" s="1"/>
  <c r="AT253" i="5" s="1"/>
  <c r="AT297" i="5"/>
  <c r="AW293" i="5"/>
  <c r="AR307" i="5"/>
  <c r="AQ307" i="5" s="1"/>
  <c r="A152" i="5"/>
  <c r="BL152" i="5" l="1"/>
  <c r="AX253" i="5"/>
  <c r="AP259" i="5"/>
  <c r="AR258" i="5"/>
  <c r="AQ258" i="5" s="1"/>
  <c r="AU297" i="5"/>
  <c r="AR308" i="5"/>
  <c r="A153" i="5"/>
  <c r="BL153" i="5" l="1"/>
  <c r="AW250" i="5"/>
  <c r="AU253" i="5"/>
  <c r="AP260" i="5"/>
  <c r="AR259" i="5"/>
  <c r="AY253" i="5" s="1"/>
  <c r="A154" i="5"/>
  <c r="BL154" i="5" l="1"/>
  <c r="AP261" i="5"/>
  <c r="AR260" i="5"/>
  <c r="AQ260" i="5" s="1"/>
  <c r="AV253" i="5" s="1"/>
  <c r="AX302" i="5"/>
  <c r="AY302" i="5"/>
  <c r="A155" i="5"/>
  <c r="BL155" i="5" l="1"/>
  <c r="AP262" i="5"/>
  <c r="AR261" i="5"/>
  <c r="AQ261" i="5" s="1"/>
  <c r="AW253" i="5" s="1"/>
  <c r="AW297" i="5"/>
  <c r="AY303" i="5"/>
  <c r="A156" i="5"/>
  <c r="BL156" i="5" l="1"/>
  <c r="AP263" i="5"/>
  <c r="H35" i="5"/>
  <c r="A157" i="5"/>
  <c r="BL157" i="5" l="1"/>
  <c r="AP264" i="5"/>
  <c r="AR309" i="5"/>
  <c r="AQ309" i="5" s="1"/>
  <c r="A158" i="5"/>
  <c r="BL158" i="5" l="1"/>
  <c r="AP265" i="5"/>
  <c r="AT306" i="5"/>
  <c r="AY306" i="5"/>
  <c r="A159" i="5"/>
  <c r="BL159" i="5" l="1"/>
  <c r="AP266" i="5"/>
  <c r="AR265" i="5"/>
  <c r="AU306" i="5"/>
  <c r="A160" i="5"/>
  <c r="BL160" i="5" l="1"/>
  <c r="AP267" i="5"/>
  <c r="AR266" i="5"/>
  <c r="AQ266" i="5" s="1"/>
  <c r="AT262" i="5" s="1"/>
  <c r="AW302" i="5"/>
  <c r="A161" i="5"/>
  <c r="BL161" i="5" l="1"/>
  <c r="AX262" i="5"/>
  <c r="AP268" i="5"/>
  <c r="AR267" i="5"/>
  <c r="AQ267" i="5" s="1"/>
  <c r="A162" i="5"/>
  <c r="BL162" i="5" l="1"/>
  <c r="AW259" i="5"/>
  <c r="AU262" i="5"/>
  <c r="AP269" i="5"/>
  <c r="AR268" i="5"/>
  <c r="AY262" i="5" s="1"/>
  <c r="A163" i="5"/>
  <c r="BL163" i="5" l="1"/>
  <c r="AP270" i="5"/>
  <c r="AR269" i="5"/>
  <c r="AQ269" i="5" s="1"/>
  <c r="AV262" i="5" s="1"/>
  <c r="AR318" i="5"/>
  <c r="AQ318" i="5" s="1"/>
  <c r="A164" i="5"/>
  <c r="BL164" i="5" l="1"/>
  <c r="AP271" i="5"/>
  <c r="AR270" i="5"/>
  <c r="AQ270" i="5" s="1"/>
  <c r="AW262" i="5" s="1"/>
  <c r="A165" i="5"/>
  <c r="BL165" i="5" l="1"/>
  <c r="AP272" i="5"/>
  <c r="H36" i="5"/>
  <c r="A166" i="5"/>
  <c r="BL166" i="5" l="1"/>
  <c r="AP273" i="5"/>
  <c r="A167" i="5"/>
  <c r="BL167" i="5" l="1"/>
  <c r="AP274" i="5"/>
  <c r="AT327" i="5"/>
  <c r="AX327" i="5" s="1"/>
  <c r="AR334" i="5"/>
  <c r="A168" i="5"/>
  <c r="BL168" i="5" l="1"/>
  <c r="AP275" i="5"/>
  <c r="AR274" i="5"/>
  <c r="AQ274" i="5" s="1"/>
  <c r="AT315" i="5"/>
  <c r="AU315" i="5"/>
  <c r="AY315" i="5"/>
  <c r="AW315" i="5"/>
  <c r="AV327" i="5"/>
  <c r="AR335" i="5"/>
  <c r="AY327" i="5" s="1"/>
  <c r="A169" i="5"/>
  <c r="BL169" i="5" l="1"/>
  <c r="AW266" i="5"/>
  <c r="AP276" i="5"/>
  <c r="AR275" i="5"/>
  <c r="AQ275" i="5" s="1"/>
  <c r="AV315" i="5"/>
  <c r="AX315" i="5"/>
  <c r="AR327" i="5"/>
  <c r="AQ327" i="5" s="1"/>
  <c r="A170" i="5"/>
  <c r="BL170" i="5" l="1"/>
  <c r="AV268" i="5"/>
  <c r="AT271" i="5"/>
  <c r="AP277" i="5"/>
  <c r="AR276" i="5"/>
  <c r="AQ276" i="5" s="1"/>
  <c r="AW268" i="5" s="1"/>
  <c r="AT324" i="5"/>
  <c r="AW327" i="5"/>
  <c r="A171" i="5"/>
  <c r="BL171" i="5" l="1"/>
  <c r="AP278" i="5"/>
  <c r="AR277" i="5"/>
  <c r="AU271" i="5"/>
  <c r="AY271" i="5"/>
  <c r="AX271" i="5"/>
  <c r="AU324" i="5"/>
  <c r="A172" i="5"/>
  <c r="BL172" i="5" l="1"/>
  <c r="AP279" i="5"/>
  <c r="AR278" i="5"/>
  <c r="AQ278" i="5" s="1"/>
  <c r="AV271" i="5" s="1"/>
  <c r="A173" i="5"/>
  <c r="BL173" i="5" l="1"/>
  <c r="AR279" i="5"/>
  <c r="AQ279" i="5" s="1"/>
  <c r="AW271" i="5" s="1"/>
  <c r="AP280" i="5"/>
  <c r="A174" i="5"/>
  <c r="BL174" i="5" l="1"/>
  <c r="AP281" i="5"/>
  <c r="H37" i="5"/>
  <c r="AW324" i="5"/>
  <c r="A175" i="5"/>
  <c r="BL175" i="5" l="1"/>
  <c r="AP282" i="5"/>
  <c r="AU327" i="5"/>
  <c r="AR336" i="5"/>
  <c r="AQ336" i="5" s="1"/>
  <c r="AX324" i="5"/>
  <c r="A176" i="5"/>
  <c r="BL176" i="5" l="1"/>
  <c r="AP283" i="5"/>
  <c r="A177" i="5"/>
  <c r="BL177" i="5" l="1"/>
  <c r="AP284" i="5"/>
  <c r="AR283" i="5"/>
  <c r="AR344" i="5"/>
  <c r="AQ344" i="5" s="1"/>
  <c r="A178" i="5"/>
  <c r="BL178" i="5" l="1"/>
  <c r="AP285" i="5"/>
  <c r="AR284" i="5"/>
  <c r="AQ284" i="5" s="1"/>
  <c r="AT280" i="5" s="1"/>
  <c r="AT333" i="5"/>
  <c r="AY333" i="5"/>
  <c r="AU333" i="5"/>
  <c r="AV333" i="5"/>
  <c r="AT340" i="5"/>
  <c r="AR345" i="5"/>
  <c r="A179" i="5"/>
  <c r="BL179" i="5" l="1"/>
  <c r="AX280" i="5"/>
  <c r="AP286" i="5"/>
  <c r="AR285" i="5"/>
  <c r="AU340" i="5"/>
  <c r="A180" i="5"/>
  <c r="BL180" i="5" l="1"/>
  <c r="AX277" i="5"/>
  <c r="AU280" i="5"/>
  <c r="AP287" i="5"/>
  <c r="AR286" i="5"/>
  <c r="AY280" i="5" s="1"/>
  <c r="AX333" i="5"/>
  <c r="AW333" i="5"/>
  <c r="A181" i="5"/>
  <c r="BL181" i="5" l="1"/>
  <c r="AP288" i="5"/>
  <c r="AR287" i="5"/>
  <c r="AQ287" i="5" s="1"/>
  <c r="AV280" i="5" s="1"/>
  <c r="AV340" i="5"/>
  <c r="AQ347" i="5"/>
  <c r="A182" i="5"/>
  <c r="BL182" i="5" l="1"/>
  <c r="AP289" i="5"/>
  <c r="AR288" i="5"/>
  <c r="AQ288" i="5" s="1"/>
  <c r="AW280" i="5" s="1"/>
  <c r="AW340" i="5"/>
  <c r="A183" i="5"/>
  <c r="BL183" i="5" l="1"/>
  <c r="AP290" i="5"/>
  <c r="H38" i="5"/>
  <c r="AX340" i="5"/>
  <c r="A184" i="5"/>
  <c r="BL184" i="5" l="1"/>
  <c r="AP291" i="5"/>
  <c r="A185" i="5"/>
  <c r="BL185" i="5" l="1"/>
  <c r="AP292" i="5"/>
  <c r="AT342" i="5"/>
  <c r="A186" i="5"/>
  <c r="BL186" i="5" l="1"/>
  <c r="AR292" i="5"/>
  <c r="AP293" i="5"/>
  <c r="AU342" i="5"/>
  <c r="AX342" i="5"/>
  <c r="AY342" i="5"/>
  <c r="AV342" i="5"/>
  <c r="AW342" i="5"/>
  <c r="A187" i="5"/>
  <c r="BL187" i="5" l="1"/>
  <c r="AP294" i="5"/>
  <c r="AR293" i="5"/>
  <c r="AQ293" i="5" s="1"/>
  <c r="AT289" i="5" s="1"/>
  <c r="A188" i="5"/>
  <c r="BL188" i="5" l="1"/>
  <c r="AX289" i="5"/>
  <c r="AR294" i="5"/>
  <c r="AP295" i="5"/>
  <c r="AR352" i="5"/>
  <c r="AQ352" i="5" s="1"/>
  <c r="A189" i="5"/>
  <c r="BL189" i="5" l="1"/>
  <c r="AP296" i="5"/>
  <c r="AR295" i="5"/>
  <c r="AQ295" i="5" s="1"/>
  <c r="AV288" i="5"/>
  <c r="AU289" i="5"/>
  <c r="A190" i="5"/>
  <c r="BL190" i="5" l="1"/>
  <c r="AY289" i="5"/>
  <c r="AR296" i="5"/>
  <c r="AQ296" i="5" s="1"/>
  <c r="AP297" i="5"/>
  <c r="A191" i="5"/>
  <c r="BL191" i="5" l="1"/>
  <c r="AP298" i="5"/>
  <c r="AR297" i="5"/>
  <c r="AQ297" i="5" s="1"/>
  <c r="AW289" i="5" s="1"/>
  <c r="AX288" i="5"/>
  <c r="AV289" i="5"/>
  <c r="AQ357" i="5"/>
  <c r="A192" i="5"/>
  <c r="BL192" i="5" l="1"/>
  <c r="AP299" i="5"/>
  <c r="H39" i="5"/>
  <c r="A193" i="5"/>
  <c r="BL193" i="5" l="1"/>
  <c r="AP300" i="5"/>
  <c r="AR360" i="5"/>
  <c r="AQ360" i="5" s="1"/>
  <c r="A194" i="5"/>
  <c r="BL194" i="5" l="1"/>
  <c r="AP301" i="5"/>
  <c r="AR361" i="5"/>
  <c r="A195" i="5"/>
  <c r="BL195" i="5" l="1"/>
  <c r="AR301" i="5"/>
  <c r="AQ301" i="5" s="1"/>
  <c r="AT298" i="5" s="1"/>
  <c r="AP302" i="5"/>
  <c r="AQ361" i="5"/>
  <c r="A196" i="5"/>
  <c r="BL196" i="5" l="1"/>
  <c r="AP303" i="5"/>
  <c r="AR302" i="5"/>
  <c r="AY297" i="5" s="1"/>
  <c r="AX298" i="5"/>
  <c r="AT353" i="5"/>
  <c r="A197" i="5"/>
  <c r="BL197" i="5" l="1"/>
  <c r="AR303" i="5"/>
  <c r="AP304" i="5"/>
  <c r="AX353" i="5"/>
  <c r="AU353" i="5"/>
  <c r="AY353" i="5"/>
  <c r="AV353" i="5"/>
  <c r="AW353" i="5"/>
  <c r="A198" i="5"/>
  <c r="BL198" i="5" l="1"/>
  <c r="AR304" i="5"/>
  <c r="AQ304" i="5" s="1"/>
  <c r="AP305" i="5"/>
  <c r="AV297" i="5"/>
  <c r="AU298" i="5"/>
  <c r="A199" i="5"/>
  <c r="BL199" i="5" l="1"/>
  <c r="AP306" i="5"/>
  <c r="AR305" i="5"/>
  <c r="AQ305" i="5" s="1"/>
  <c r="AX297" i="5" s="1"/>
  <c r="AY298" i="5"/>
  <c r="AV298" i="5"/>
  <c r="A200" i="5"/>
  <c r="BL200" i="5" l="1"/>
  <c r="AP307" i="5"/>
  <c r="AR306" i="5"/>
  <c r="AQ306" i="5" s="1"/>
  <c r="AW298" i="5" s="1"/>
  <c r="A201" i="5"/>
  <c r="BL201" i="5" l="1"/>
  <c r="AP308" i="5"/>
  <c r="H40" i="5"/>
  <c r="A202" i="5"/>
  <c r="BL202" i="5" l="1"/>
  <c r="AP309" i="5"/>
  <c r="AT364" i="5"/>
  <c r="A203" i="5"/>
  <c r="BL203" i="5" l="1"/>
  <c r="AP310" i="5"/>
  <c r="AU364" i="5"/>
  <c r="AR370" i="5"/>
  <c r="A204" i="5"/>
  <c r="BL204" i="5" l="1"/>
  <c r="AR310" i="5"/>
  <c r="AQ310" i="5" s="1"/>
  <c r="AT307" i="5" s="1"/>
  <c r="AP311" i="5"/>
  <c r="AX364" i="5"/>
  <c r="AQ370" i="5"/>
  <c r="AR371" i="5"/>
  <c r="AV364" i="5" s="1"/>
  <c r="A205" i="5"/>
  <c r="BL205" i="5" l="1"/>
  <c r="AR311" i="5"/>
  <c r="AP312" i="5"/>
  <c r="AU307" i="5"/>
  <c r="AR372" i="5"/>
  <c r="AQ372" i="5" s="1"/>
  <c r="A206" i="5"/>
  <c r="BL206" i="5" l="1"/>
  <c r="AR312" i="5"/>
  <c r="AQ312" i="5" s="1"/>
  <c r="AP313" i="5"/>
  <c r="AT362" i="5"/>
  <c r="AX362" i="5" s="1"/>
  <c r="AY362" i="5"/>
  <c r="AV362" i="5"/>
  <c r="AW364" i="5"/>
  <c r="A207" i="5"/>
  <c r="BL207" i="5" l="1"/>
  <c r="AR313" i="5"/>
  <c r="AQ313" i="5" s="1"/>
  <c r="AW306" i="5" s="1"/>
  <c r="AP314" i="5"/>
  <c r="AV306" i="5"/>
  <c r="AX307" i="5"/>
  <c r="AV307" i="5"/>
  <c r="AU362" i="5"/>
  <c r="AW362" i="5"/>
  <c r="A208" i="5"/>
  <c r="BL208" i="5" l="1"/>
  <c r="AP315" i="5"/>
  <c r="AR314" i="5"/>
  <c r="A209" i="5"/>
  <c r="BL209" i="5" l="1"/>
  <c r="AX306" i="5"/>
  <c r="AY307" i="5"/>
  <c r="AP316" i="5"/>
  <c r="AR315" i="5"/>
  <c r="AQ315" i="5" s="1"/>
  <c r="AW307" i="5" s="1"/>
  <c r="A210" i="5"/>
  <c r="BL210" i="5" l="1"/>
  <c r="AP317" i="5"/>
  <c r="H41" i="5"/>
  <c r="A211" i="5"/>
  <c r="BL211" i="5" l="1"/>
  <c r="AP318" i="5"/>
  <c r="A212" i="5"/>
  <c r="BL212" i="5" l="1"/>
  <c r="AP319" i="5"/>
  <c r="A213" i="5"/>
  <c r="BL213" i="5" l="1"/>
  <c r="AR319" i="5"/>
  <c r="AQ319" i="5" s="1"/>
  <c r="AT316" i="5" s="1"/>
  <c r="AP320" i="5"/>
  <c r="AR380" i="5"/>
  <c r="AQ380" i="5" s="1"/>
  <c r="A214" i="5"/>
  <c r="BL214" i="5" l="1"/>
  <c r="AP321" i="5"/>
  <c r="AR320" i="5"/>
  <c r="AU316" i="5" s="1"/>
  <c r="AT376" i="5"/>
  <c r="AT371" i="5"/>
  <c r="AR381" i="5"/>
  <c r="A215" i="5"/>
  <c r="BL215" i="5" l="1"/>
  <c r="AR321" i="5"/>
  <c r="AX316" i="5" s="1"/>
  <c r="AP322" i="5"/>
  <c r="AU376" i="5"/>
  <c r="AX371" i="5"/>
  <c r="AU371" i="5"/>
  <c r="AY371" i="5"/>
  <c r="AV371" i="5"/>
  <c r="AW371" i="5"/>
  <c r="A216" i="5"/>
  <c r="BL216" i="5" l="1"/>
  <c r="AP323" i="5"/>
  <c r="AR322" i="5"/>
  <c r="AQ322" i="5" s="1"/>
  <c r="A217" i="5"/>
  <c r="BL217" i="5" l="1"/>
  <c r="AV316" i="5"/>
  <c r="AP324" i="5"/>
  <c r="AR323" i="5"/>
  <c r="AQ323" i="5" s="1"/>
  <c r="AV376" i="5"/>
  <c r="A218" i="5"/>
  <c r="BL218" i="5" l="1"/>
  <c r="AW316" i="5"/>
  <c r="AP325" i="5"/>
  <c r="AR324" i="5"/>
  <c r="AQ324" i="5" s="1"/>
  <c r="AY316" i="5" s="1"/>
  <c r="AW376" i="5"/>
  <c r="A219" i="5"/>
  <c r="BL219" i="5" l="1"/>
  <c r="AP326" i="5"/>
  <c r="H42" i="5"/>
  <c r="A220" i="5"/>
  <c r="BL220" i="5" l="1"/>
  <c r="AP327" i="5"/>
  <c r="A221" i="5"/>
  <c r="BL221" i="5" l="1"/>
  <c r="AP328" i="5"/>
  <c r="AT380" i="5"/>
  <c r="A222" i="5"/>
  <c r="BL222" i="5" l="1"/>
  <c r="AP329" i="5"/>
  <c r="AR328" i="5"/>
  <c r="AQ328" i="5" s="1"/>
  <c r="AT325" i="5" s="1"/>
  <c r="AX380" i="5"/>
  <c r="AY380" i="5"/>
  <c r="AU380" i="5"/>
  <c r="AV380" i="5"/>
  <c r="AW380" i="5"/>
  <c r="A223" i="5"/>
  <c r="BL223" i="5" l="1"/>
  <c r="AP330" i="5"/>
  <c r="AR329" i="5"/>
  <c r="A224" i="5"/>
  <c r="BL224" i="5" l="1"/>
  <c r="AY324" i="5"/>
  <c r="AU325" i="5"/>
  <c r="AP331" i="5"/>
  <c r="AR330" i="5"/>
  <c r="A225" i="5"/>
  <c r="BL225" i="5" l="1"/>
  <c r="AV324" i="5"/>
  <c r="AX325" i="5"/>
  <c r="AP332" i="5"/>
  <c r="AR331" i="5"/>
  <c r="AQ331" i="5" s="1"/>
  <c r="A226" i="5"/>
  <c r="BL226" i="5" l="1"/>
  <c r="AV325" i="5"/>
  <c r="AP333" i="5"/>
  <c r="AR332" i="5"/>
  <c r="AQ332" i="5" s="1"/>
  <c r="A227" i="5"/>
  <c r="BL227" i="5" l="1"/>
  <c r="AW325" i="5"/>
  <c r="AP334" i="5"/>
  <c r="AR333" i="5"/>
  <c r="AY325" i="5" s="1"/>
  <c r="AQ393" i="5"/>
  <c r="A228" i="5"/>
  <c r="BL228" i="5" l="1"/>
  <c r="AP335" i="5"/>
  <c r="H43" i="5"/>
  <c r="A229" i="5"/>
  <c r="BL229" i="5" l="1"/>
  <c r="AP336" i="5"/>
  <c r="A230" i="5"/>
  <c r="BL230" i="5" l="1"/>
  <c r="AP337" i="5"/>
  <c r="AR397" i="5"/>
  <c r="A231" i="5"/>
  <c r="BL231" i="5" l="1"/>
  <c r="AP338" i="5"/>
  <c r="AR337" i="5"/>
  <c r="AQ337" i="5" s="1"/>
  <c r="AT334" i="5" s="1"/>
  <c r="AQ397" i="5"/>
  <c r="A232" i="5"/>
  <c r="BL232" i="5" l="1"/>
  <c r="AP339" i="5"/>
  <c r="AR338" i="5"/>
  <c r="AU334" i="5" s="1"/>
  <c r="AT389" i="5"/>
  <c r="A233" i="5"/>
  <c r="BL233" i="5" l="1"/>
  <c r="AR339" i="5"/>
  <c r="AX334" i="5" s="1"/>
  <c r="AP340" i="5"/>
  <c r="AU389" i="5"/>
  <c r="AX389" i="5"/>
  <c r="AY389" i="5"/>
  <c r="AV389" i="5"/>
  <c r="AW389" i="5"/>
  <c r="A234" i="5"/>
  <c r="BL234" i="5" l="1"/>
  <c r="AR340" i="5"/>
  <c r="AQ340" i="5" s="1"/>
  <c r="AV334" i="5" s="1"/>
  <c r="AP341" i="5"/>
  <c r="A235" i="5"/>
  <c r="BL235" i="5" l="1"/>
  <c r="AP342" i="5"/>
  <c r="AR341" i="5"/>
  <c r="AQ341" i="5" s="1"/>
  <c r="AW334" i="5" s="1"/>
  <c r="A236" i="5"/>
  <c r="BL236" i="5" l="1"/>
  <c r="AP343" i="5"/>
  <c r="AR342" i="5"/>
  <c r="AY334" i="5" s="1"/>
  <c r="A237" i="5"/>
  <c r="BL237" i="5" l="1"/>
  <c r="AP344" i="5"/>
  <c r="H44" i="5"/>
  <c r="A238" i="5"/>
  <c r="BL238" i="5" l="1"/>
  <c r="AP345" i="5"/>
  <c r="AT400" i="5"/>
  <c r="A239" i="5"/>
  <c r="BL239" i="5" l="1"/>
  <c r="AP346" i="5"/>
  <c r="AU400" i="5"/>
  <c r="AR406" i="5"/>
  <c r="A240" i="5"/>
  <c r="BL240" i="5" l="1"/>
  <c r="AP347" i="5"/>
  <c r="AR346" i="5"/>
  <c r="AQ346" i="5" s="1"/>
  <c r="AT343" i="5" s="1"/>
  <c r="AX400" i="5"/>
  <c r="AQ406" i="5"/>
  <c r="AR407" i="5"/>
  <c r="AV400" i="5" s="1"/>
  <c r="A241" i="5"/>
  <c r="BL241" i="5" l="1"/>
  <c r="AR347" i="5"/>
  <c r="AU343" i="5" s="1"/>
  <c r="AP348" i="5"/>
  <c r="AR408" i="5"/>
  <c r="AQ408" i="5" s="1"/>
  <c r="A242" i="5"/>
  <c r="BL242" i="5" l="1"/>
  <c r="AR348" i="5"/>
  <c r="AQ348" i="5" s="1"/>
  <c r="AP349" i="5"/>
  <c r="AT398" i="5"/>
  <c r="AX398" i="5"/>
  <c r="AU398" i="5"/>
  <c r="AY398" i="5"/>
  <c r="AV398" i="5"/>
  <c r="AW398" i="5"/>
  <c r="AW400" i="5"/>
  <c r="AY400" i="5"/>
  <c r="A243" i="5"/>
  <c r="BL243" i="5" l="1"/>
  <c r="AP350" i="5"/>
  <c r="AR349" i="5"/>
  <c r="AY340" i="5" s="1"/>
  <c r="AX343" i="5"/>
  <c r="AV343" i="5"/>
  <c r="A244" i="5"/>
  <c r="BL244" i="5" l="1"/>
  <c r="AR350" i="5"/>
  <c r="AQ350" i="5" s="1"/>
  <c r="AP351" i="5"/>
  <c r="A245" i="5"/>
  <c r="BL245" i="5" l="1"/>
  <c r="AR351" i="5"/>
  <c r="AP352" i="5"/>
  <c r="AW343" i="5"/>
  <c r="AY343" i="5"/>
  <c r="A246" i="5"/>
  <c r="BL246" i="5" l="1"/>
  <c r="AP353" i="5"/>
  <c r="H45" i="5"/>
  <c r="A247" i="5"/>
  <c r="BL247" i="5" l="1"/>
  <c r="AP354" i="5"/>
  <c r="A248" i="5"/>
  <c r="BL248" i="5" l="1"/>
  <c r="AP355" i="5"/>
  <c r="AT414" i="5"/>
  <c r="AU414" i="5" s="1"/>
  <c r="AR415" i="5"/>
  <c r="A249" i="5"/>
  <c r="BL249" i="5" l="1"/>
  <c r="AR355" i="5"/>
  <c r="AQ355" i="5" s="1"/>
  <c r="AT352" i="5" s="1"/>
  <c r="AP356" i="5"/>
  <c r="AY414" i="5"/>
  <c r="AR416" i="5"/>
  <c r="A250" i="5"/>
  <c r="BL250" i="5" l="1"/>
  <c r="AR356" i="5"/>
  <c r="AQ356" i="5" s="1"/>
  <c r="AP357" i="5"/>
  <c r="AU352" i="5"/>
  <c r="AR417" i="5"/>
  <c r="AQ417" i="5" s="1"/>
  <c r="A251" i="5"/>
  <c r="BL251" i="5" l="1"/>
  <c r="AR357" i="5"/>
  <c r="AP358" i="5"/>
  <c r="AT407" i="5"/>
  <c r="A252" i="5"/>
  <c r="BL252" i="5" l="1"/>
  <c r="AR358" i="5"/>
  <c r="AP359" i="5"/>
  <c r="AU407" i="5"/>
  <c r="AX407" i="5"/>
  <c r="AY407" i="5"/>
  <c r="AV407" i="5"/>
  <c r="AW407" i="5"/>
  <c r="AX414" i="5"/>
  <c r="AQ421" i="5"/>
  <c r="A253" i="5"/>
  <c r="BL253" i="5" l="1"/>
  <c r="AP360" i="5"/>
  <c r="AR359" i="5"/>
  <c r="AQ359" i="5" s="1"/>
  <c r="AX352" i="5"/>
  <c r="AV352" i="5"/>
  <c r="A254" i="5"/>
  <c r="BL254" i="5" l="1"/>
  <c r="AW352" i="5"/>
  <c r="AY352" i="5"/>
  <c r="AP361" i="5"/>
  <c r="AR424" i="5"/>
  <c r="A255" i="5"/>
  <c r="BL255" i="5" l="1"/>
  <c r="AP362" i="5"/>
  <c r="H46" i="5"/>
  <c r="AR425" i="5"/>
  <c r="AQ425" i="5" s="1"/>
  <c r="A256" i="5"/>
  <c r="BL256" i="5" l="1"/>
  <c r="AP363" i="5"/>
  <c r="AT418" i="5"/>
  <c r="AU418" i="5"/>
  <c r="AX418" i="5"/>
  <c r="AV418" i="5"/>
  <c r="AR426" i="5"/>
  <c r="AY418" i="5" s="1"/>
  <c r="AW418" i="5"/>
  <c r="A257" i="5"/>
  <c r="BL257" i="5" l="1"/>
  <c r="AP364" i="5"/>
  <c r="A258" i="5"/>
  <c r="BL258" i="5" l="1"/>
  <c r="AR364" i="5"/>
  <c r="AP365" i="5"/>
  <c r="A259" i="5"/>
  <c r="BL259" i="5" l="1"/>
  <c r="AR365" i="5"/>
  <c r="AQ365" i="5" s="1"/>
  <c r="AT361" i="5" s="1"/>
  <c r="AP366" i="5"/>
  <c r="A260" i="5"/>
  <c r="BL260" i="5" l="1"/>
  <c r="AR366" i="5"/>
  <c r="AQ366" i="5" s="1"/>
  <c r="AP367" i="5"/>
  <c r="AY361" i="5"/>
  <c r="AU361" i="5"/>
  <c r="AR433" i="5"/>
  <c r="A261" i="5"/>
  <c r="BL261" i="5" l="1"/>
  <c r="AR367" i="5"/>
  <c r="AX361" i="5" s="1"/>
  <c r="AP368" i="5"/>
  <c r="AR434" i="5"/>
  <c r="A262" i="5"/>
  <c r="BL262" i="5" l="1"/>
  <c r="AP369" i="5"/>
  <c r="AR368" i="5"/>
  <c r="AQ368" i="5" s="1"/>
  <c r="AV361" i="5" s="1"/>
  <c r="AQ434" i="5"/>
  <c r="AR435" i="5"/>
  <c r="A263" i="5"/>
  <c r="BL263" i="5" l="1"/>
  <c r="AR369" i="5"/>
  <c r="AQ369" i="5" s="1"/>
  <c r="AW361" i="5" s="1"/>
  <c r="AP370" i="5"/>
  <c r="A264" i="5"/>
  <c r="BL264" i="5" l="1"/>
  <c r="AP371" i="5"/>
  <c r="H47" i="5"/>
  <c r="AT427" i="5"/>
  <c r="A265" i="5"/>
  <c r="BL265" i="5" l="1"/>
  <c r="AP372" i="5"/>
  <c r="AU427" i="5"/>
  <c r="AX427" i="5"/>
  <c r="AV427" i="5"/>
  <c r="AY427" i="5"/>
  <c r="AW427" i="5"/>
  <c r="A266" i="5"/>
  <c r="BL266" i="5" l="1"/>
  <c r="AP373" i="5"/>
  <c r="A267" i="5"/>
  <c r="BL267" i="5" l="1"/>
  <c r="AP374" i="5"/>
  <c r="AR373" i="5"/>
  <c r="AY364" i="5" s="1"/>
  <c r="A268" i="5"/>
  <c r="BL268" i="5" l="1"/>
  <c r="AR374" i="5"/>
  <c r="AQ374" i="5" s="1"/>
  <c r="AT370" i="5" s="1"/>
  <c r="AP375" i="5"/>
  <c r="A269" i="5"/>
  <c r="BL269" i="5" l="1"/>
  <c r="AR375" i="5"/>
  <c r="AQ375" i="5" s="1"/>
  <c r="AP376" i="5"/>
  <c r="AY370" i="5"/>
  <c r="AU370" i="5"/>
  <c r="A270" i="5"/>
  <c r="BL270" i="5" l="1"/>
  <c r="AR376" i="5"/>
  <c r="AX370" i="5" s="1"/>
  <c r="AP377" i="5"/>
  <c r="AR443" i="5"/>
  <c r="AQ443" i="5" s="1"/>
  <c r="A271" i="5"/>
  <c r="BL271" i="5" l="1"/>
  <c r="AR377" i="5"/>
  <c r="AV370" i="5" s="1"/>
  <c r="AP378" i="5"/>
  <c r="AR444" i="5"/>
  <c r="AQ444" i="5" s="1"/>
  <c r="AT439" i="5" s="1"/>
  <c r="AY439" i="5" s="1"/>
  <c r="A272" i="5"/>
  <c r="BL272" i="5" l="1"/>
  <c r="AR378" i="5"/>
  <c r="AQ378" i="5" s="1"/>
  <c r="AW370" i="5" s="1"/>
  <c r="AP379" i="5"/>
  <c r="AT436" i="5"/>
  <c r="AY436" i="5" s="1"/>
  <c r="A273" i="5"/>
  <c r="BL273" i="5" l="1"/>
  <c r="AR379" i="5"/>
  <c r="AQ379" i="5" s="1"/>
  <c r="AP380" i="5"/>
  <c r="H48" i="5"/>
  <c r="AU439" i="5"/>
  <c r="AU436" i="5"/>
  <c r="AX436" i="5"/>
  <c r="AV436" i="5"/>
  <c r="AW436" i="5"/>
  <c r="A274" i="5"/>
  <c r="BL274" i="5" l="1"/>
  <c r="AP381" i="5"/>
  <c r="A275" i="5"/>
  <c r="BL275" i="5" l="1"/>
  <c r="AP382" i="5"/>
  <c r="A276" i="5"/>
  <c r="BL276" i="5" l="1"/>
  <c r="AR382" i="5"/>
  <c r="AX376" i="5" s="1"/>
  <c r="AP383" i="5"/>
  <c r="AW439" i="5"/>
  <c r="A277" i="5"/>
  <c r="BL277" i="5" l="1"/>
  <c r="AP384" i="5"/>
  <c r="AR383" i="5"/>
  <c r="AQ383" i="5" s="1"/>
  <c r="AT379" i="5" s="1"/>
  <c r="A278" i="5"/>
  <c r="BL278" i="5" l="1"/>
  <c r="AY379" i="5"/>
  <c r="AP385" i="5"/>
  <c r="AR384" i="5"/>
  <c r="AQ384" i="5" s="1"/>
  <c r="A279" i="5"/>
  <c r="BL279" i="5" l="1"/>
  <c r="AU379" i="5"/>
  <c r="AP386" i="5"/>
  <c r="AR385" i="5"/>
  <c r="A280" i="5"/>
  <c r="BL280" i="5" l="1"/>
  <c r="AY376" i="5"/>
  <c r="AX379" i="5"/>
  <c r="AR386" i="5"/>
  <c r="AV379" i="5" s="1"/>
  <c r="AP387" i="5"/>
  <c r="A281" i="5"/>
  <c r="BL281" i="5" l="1"/>
  <c r="AR387" i="5"/>
  <c r="AQ387" i="5" s="1"/>
  <c r="AW379" i="5" s="1"/>
  <c r="AP388" i="5"/>
  <c r="A282" i="5"/>
  <c r="BL282" i="5" l="1"/>
  <c r="AR388" i="5"/>
  <c r="AQ388" i="5" s="1"/>
  <c r="AP389" i="5"/>
  <c r="H49" i="5"/>
  <c r="A283" i="5"/>
  <c r="BL283" i="5" l="1"/>
  <c r="AP390" i="5"/>
  <c r="A284" i="5"/>
  <c r="BL284" i="5" l="1"/>
  <c r="AP391" i="5"/>
  <c r="A285" i="5"/>
  <c r="BL285" i="5" l="1"/>
  <c r="AR391" i="5"/>
  <c r="AP392" i="5"/>
  <c r="AQ457" i="5"/>
  <c r="A286" i="5"/>
  <c r="BL286" i="5" l="1"/>
  <c r="AR392" i="5"/>
  <c r="AQ392" i="5" s="1"/>
  <c r="AT388" i="5" s="1"/>
  <c r="AP393" i="5"/>
  <c r="A287" i="5"/>
  <c r="BL287" i="5" l="1"/>
  <c r="AP394" i="5"/>
  <c r="AR393" i="5"/>
  <c r="AU388" i="5"/>
  <c r="AY388" i="5"/>
  <c r="AR460" i="5"/>
  <c r="AQ460" i="5" s="1"/>
  <c r="A288" i="5"/>
  <c r="BL288" i="5" l="1"/>
  <c r="AP395" i="5"/>
  <c r="AR394" i="5"/>
  <c r="AX388" i="5" s="1"/>
  <c r="AT454" i="5"/>
  <c r="AV454" i="5" s="1"/>
  <c r="A289" i="5"/>
  <c r="BL289" i="5" l="1"/>
  <c r="AR395" i="5"/>
  <c r="AV388" i="5" s="1"/>
  <c r="AP396" i="5"/>
  <c r="AW454" i="5"/>
  <c r="AU454" i="5"/>
  <c r="AX454" i="5"/>
  <c r="A290" i="5"/>
  <c r="BL290" i="5" l="1"/>
  <c r="AR396" i="5"/>
  <c r="AQ396" i="5" s="1"/>
  <c r="AW388" i="5" s="1"/>
  <c r="AP397" i="5"/>
  <c r="A291" i="5"/>
  <c r="BL291" i="5" l="1"/>
  <c r="AP398" i="5"/>
  <c r="H50" i="5"/>
  <c r="A292" i="5"/>
  <c r="BL292" i="5" l="1"/>
  <c r="AP399" i="5"/>
  <c r="A293" i="5"/>
  <c r="BL293" i="5" l="1"/>
  <c r="AP400" i="5"/>
  <c r="A294" i="5"/>
  <c r="BL294" i="5" l="1"/>
  <c r="AR400" i="5"/>
  <c r="AP401" i="5"/>
  <c r="A295" i="5"/>
  <c r="BL295" i="5" l="1"/>
  <c r="AR401" i="5"/>
  <c r="AQ401" i="5" s="1"/>
  <c r="AT397" i="5" s="1"/>
  <c r="AP402" i="5"/>
  <c r="A296" i="5"/>
  <c r="BL296" i="5" l="1"/>
  <c r="AR402" i="5"/>
  <c r="AU397" i="5" s="1"/>
  <c r="AP403" i="5"/>
  <c r="AY397" i="5"/>
  <c r="AR469" i="5"/>
  <c r="A297" i="5"/>
  <c r="BL297" i="5" l="1"/>
  <c r="AR403" i="5"/>
  <c r="AX397" i="5" s="1"/>
  <c r="AP404" i="5"/>
  <c r="AR470" i="5"/>
  <c r="A298" i="5"/>
  <c r="BL298" i="5" l="1"/>
  <c r="AR404" i="5"/>
  <c r="AQ404" i="5" s="1"/>
  <c r="AV397" i="5" s="1"/>
  <c r="AP405" i="5"/>
  <c r="AQ470" i="5"/>
  <c r="AR471" i="5"/>
  <c r="A299" i="5"/>
  <c r="BL299" i="5" l="1"/>
  <c r="AR405" i="5"/>
  <c r="AQ405" i="5" s="1"/>
  <c r="AW397" i="5" s="1"/>
  <c r="AP406" i="5"/>
  <c r="A300" i="5"/>
  <c r="BL300" i="5" l="1"/>
  <c r="AP407" i="5"/>
  <c r="H51" i="5"/>
  <c r="A301" i="5"/>
  <c r="BL301" i="5" l="1"/>
  <c r="AP408" i="5"/>
  <c r="A302" i="5"/>
  <c r="BL302" i="5" l="1"/>
  <c r="AP409" i="5"/>
  <c r="A303" i="5"/>
  <c r="BL303" i="5" l="1"/>
  <c r="AR409" i="5"/>
  <c r="AP410" i="5"/>
  <c r="A304" i="5"/>
  <c r="BL304" i="5" l="1"/>
  <c r="AR410" i="5"/>
  <c r="AQ410" i="5" s="1"/>
  <c r="AT406" i="5" s="1"/>
  <c r="AP411" i="5"/>
  <c r="A305" i="5"/>
  <c r="BL305" i="5" l="1"/>
  <c r="AR411" i="5"/>
  <c r="AQ411" i="5" s="1"/>
  <c r="AP412" i="5"/>
  <c r="AY406" i="5"/>
  <c r="AU406" i="5"/>
  <c r="A306" i="5"/>
  <c r="BL306" i="5" l="1"/>
  <c r="AP413" i="5"/>
  <c r="AR412" i="5"/>
  <c r="AX406" i="5" s="1"/>
  <c r="AR479" i="5"/>
  <c r="A307" i="5"/>
  <c r="BL307" i="5" l="1"/>
  <c r="AP414" i="5"/>
  <c r="AR413" i="5"/>
  <c r="AV406" i="5" s="1"/>
  <c r="AR480" i="5"/>
  <c r="AQ480" i="5" s="1"/>
  <c r="A308" i="5"/>
  <c r="BL308" i="5" l="1"/>
  <c r="AP415" i="5"/>
  <c r="AR414" i="5"/>
  <c r="AQ414" i="5" s="1"/>
  <c r="AW406" i="5" s="1"/>
  <c r="AT472" i="5"/>
  <c r="AY472" i="5"/>
  <c r="AU472" i="5"/>
  <c r="AX472" i="5"/>
  <c r="AV472" i="5"/>
  <c r="AT475" i="5"/>
  <c r="AY475" i="5" s="1"/>
  <c r="AW472" i="5"/>
  <c r="A309" i="5"/>
  <c r="BL309" i="5" l="1"/>
  <c r="AP416" i="5"/>
  <c r="H52" i="5"/>
  <c r="AU475" i="5"/>
  <c r="A310" i="5"/>
  <c r="BL310" i="5" l="1"/>
  <c r="AP417" i="5"/>
  <c r="A311" i="5"/>
  <c r="BL311" i="5" l="1"/>
  <c r="AP418" i="5"/>
  <c r="A312" i="5"/>
  <c r="BL312" i="5" l="1"/>
  <c r="AP419" i="5"/>
  <c r="AR418" i="5"/>
  <c r="AQ418" i="5" s="1"/>
  <c r="AW475" i="5"/>
  <c r="A313" i="5"/>
  <c r="BL313" i="5" l="1"/>
  <c r="AP420" i="5"/>
  <c r="AR419" i="5"/>
  <c r="AQ419" i="5" s="1"/>
  <c r="AT415" i="5" s="1"/>
  <c r="A314" i="5"/>
  <c r="BL314" i="5" l="1"/>
  <c r="AY415" i="5"/>
  <c r="AP421" i="5"/>
  <c r="AR420" i="5"/>
  <c r="AU415" i="5" s="1"/>
  <c r="A315" i="5"/>
  <c r="BL315" i="5" l="1"/>
  <c r="AR421" i="5"/>
  <c r="AX415" i="5" s="1"/>
  <c r="AP422" i="5"/>
  <c r="A316" i="5"/>
  <c r="BL316" i="5" l="1"/>
  <c r="AP423" i="5"/>
  <c r="AR422" i="5"/>
  <c r="AQ422" i="5" s="1"/>
  <c r="A317" i="5"/>
  <c r="BL317" i="5" l="1"/>
  <c r="AV414" i="5"/>
  <c r="AV415" i="5"/>
  <c r="AR423" i="5"/>
  <c r="AQ423" i="5" s="1"/>
  <c r="AP424" i="5"/>
  <c r="A318" i="5"/>
  <c r="BL318" i="5" l="1"/>
  <c r="AP425" i="5"/>
  <c r="H53" i="5"/>
  <c r="AW414" i="5"/>
  <c r="AW415" i="5"/>
  <c r="A319" i="5"/>
  <c r="BL319" i="5" l="1"/>
  <c r="AP426" i="5"/>
  <c r="A320" i="5"/>
  <c r="BL320" i="5" l="1"/>
  <c r="AP427" i="5"/>
  <c r="AT481" i="5"/>
  <c r="A321" i="5"/>
  <c r="BL321" i="5" l="1"/>
  <c r="AP428" i="5"/>
  <c r="AR427" i="5"/>
  <c r="AQ427" i="5" s="1"/>
  <c r="AT424" i="5" s="1"/>
  <c r="AY481" i="5"/>
  <c r="AU481" i="5"/>
  <c r="AX481" i="5"/>
  <c r="AV481" i="5"/>
  <c r="AW481" i="5"/>
  <c r="A322" i="5"/>
  <c r="BL322" i="5" l="1"/>
  <c r="AP429" i="5"/>
  <c r="AR428" i="5"/>
  <c r="AY424" i="5" s="1"/>
  <c r="A323" i="5"/>
  <c r="BL323" i="5" l="1"/>
  <c r="AP430" i="5"/>
  <c r="AR429" i="5"/>
  <c r="AU424" i="5" s="1"/>
  <c r="AR496" i="5"/>
  <c r="AQ496" i="5" s="1"/>
  <c r="A324" i="5"/>
  <c r="BL324" i="5" l="1"/>
  <c r="AR430" i="5"/>
  <c r="AQ430" i="5" s="1"/>
  <c r="AX424" i="5" s="1"/>
  <c r="AP431" i="5"/>
  <c r="A325" i="5"/>
  <c r="BL325" i="5" l="1"/>
  <c r="AP432" i="5"/>
  <c r="AR431" i="5"/>
  <c r="AV424" i="5" s="1"/>
  <c r="A326" i="5"/>
  <c r="BL326" i="5" l="1"/>
  <c r="AR432" i="5"/>
  <c r="AQ432" i="5" s="1"/>
  <c r="AW424" i="5" s="1"/>
  <c r="AP433" i="5"/>
  <c r="A327" i="5"/>
  <c r="BL327" i="5" l="1"/>
  <c r="AP434" i="5"/>
  <c r="H54" i="5"/>
  <c r="A328" i="5"/>
  <c r="BL328" i="5" l="1"/>
  <c r="AP435" i="5"/>
  <c r="A329" i="5"/>
  <c r="BL329" i="5" l="1"/>
  <c r="AP436" i="5"/>
  <c r="A330" i="5"/>
  <c r="BL330" i="5" l="1"/>
  <c r="AR436" i="5"/>
  <c r="AQ436" i="5" s="1"/>
  <c r="AT433" i="5" s="1"/>
  <c r="AP437" i="5"/>
  <c r="A331" i="5"/>
  <c r="BL331" i="5" l="1"/>
  <c r="AR437" i="5"/>
  <c r="AP438" i="5"/>
  <c r="AY433" i="5"/>
  <c r="AT492" i="5"/>
  <c r="AX492" i="5"/>
  <c r="AU492" i="5"/>
  <c r="AY492" i="5"/>
  <c r="AV492" i="5"/>
  <c r="AW492" i="5"/>
  <c r="AT499" i="5"/>
  <c r="AR504" i="5"/>
  <c r="AY499" i="5" s="1"/>
  <c r="A332" i="5"/>
  <c r="BL332" i="5" l="1"/>
  <c r="AR438" i="5"/>
  <c r="AU433" i="5" s="1"/>
  <c r="AP439" i="5"/>
  <c r="AR505" i="5"/>
  <c r="A333" i="5"/>
  <c r="BL333" i="5" l="1"/>
  <c r="AR439" i="5"/>
  <c r="AQ439" i="5" s="1"/>
  <c r="AX433" i="5" s="1"/>
  <c r="AP440" i="5"/>
  <c r="AU499" i="5"/>
  <c r="AQ505" i="5"/>
  <c r="AR506" i="5"/>
  <c r="AX499" i="5" s="1"/>
  <c r="A334" i="5"/>
  <c r="BL334" i="5" l="1"/>
  <c r="AR440" i="5"/>
  <c r="AV433" i="5" s="1"/>
  <c r="AP441" i="5"/>
  <c r="AR507" i="5"/>
  <c r="AV499" i="5" s="1"/>
  <c r="A335" i="5"/>
  <c r="BL335" i="5" l="1"/>
  <c r="AR441" i="5"/>
  <c r="AQ441" i="5" s="1"/>
  <c r="AW433" i="5" s="1"/>
  <c r="AP442" i="5"/>
  <c r="A336" i="5"/>
  <c r="BL336" i="5" l="1"/>
  <c r="AR442" i="5"/>
  <c r="AP443" i="5"/>
  <c r="H55" i="5"/>
  <c r="AT501" i="5"/>
  <c r="AU501" i="5"/>
  <c r="AY501" i="5"/>
  <c r="AX501" i="5"/>
  <c r="AW499" i="5"/>
  <c r="AW501" i="5"/>
  <c r="AV501" i="5"/>
  <c r="A337" i="5"/>
  <c r="BL337" i="5" l="1"/>
  <c r="AP444" i="5"/>
  <c r="A338" i="5"/>
  <c r="BL338" i="5" l="1"/>
  <c r="AP445" i="5"/>
  <c r="A339" i="5"/>
  <c r="AR445" i="5" l="1"/>
  <c r="AQ445" i="5" s="1"/>
  <c r="AT442" i="5" s="1"/>
  <c r="AP446" i="5"/>
  <c r="BL339" i="5"/>
  <c r="A340" i="5"/>
  <c r="BL340" i="5" l="1"/>
  <c r="AP447" i="5"/>
  <c r="AR446" i="5"/>
  <c r="AX439" i="5" s="1"/>
  <c r="AU442" i="5"/>
  <c r="A341" i="5"/>
  <c r="AR447" i="5" l="1"/>
  <c r="AP448" i="5"/>
  <c r="BL341" i="5"/>
  <c r="A342" i="5"/>
  <c r="AR448" i="5" l="1"/>
  <c r="AQ448" i="5" s="1"/>
  <c r="AP449" i="5"/>
  <c r="BL342" i="5"/>
  <c r="AV439" i="5"/>
  <c r="AY442" i="5"/>
  <c r="A343" i="5"/>
  <c r="BL343" i="5" l="1"/>
  <c r="AR449" i="5"/>
  <c r="AP450" i="5"/>
  <c r="AV442" i="5"/>
  <c r="AX442" i="5"/>
  <c r="AR516" i="5"/>
  <c r="AQ516" i="5" s="1"/>
  <c r="A344" i="5"/>
  <c r="BL344" i="5" l="1"/>
  <c r="AR450" i="5"/>
  <c r="AQ450" i="5" s="1"/>
  <c r="AW442" i="5" s="1"/>
  <c r="AP451" i="5"/>
  <c r="AT512" i="5"/>
  <c r="A345" i="5"/>
  <c r="BL345" i="5" l="1"/>
  <c r="AR451" i="5"/>
  <c r="AP452" i="5"/>
  <c r="A346" i="5"/>
  <c r="BL346" i="5" l="1"/>
  <c r="AR452" i="5"/>
  <c r="AQ452" i="5" s="1"/>
  <c r="AP453" i="5"/>
  <c r="AY512" i="5"/>
  <c r="A347" i="5"/>
  <c r="BL347" i="5" l="1"/>
  <c r="AR453" i="5"/>
  <c r="AP454" i="5"/>
  <c r="A348" i="5"/>
  <c r="AR454" i="5" l="1"/>
  <c r="AQ454" i="5" s="1"/>
  <c r="AT451" i="5" s="1"/>
  <c r="AP455" i="5"/>
  <c r="BL348" i="5"/>
  <c r="A349" i="5"/>
  <c r="BL349" i="5" l="1"/>
  <c r="AP456" i="5"/>
  <c r="AR455" i="5"/>
  <c r="AU451" i="5"/>
  <c r="AT510" i="5"/>
  <c r="AY510" i="5" s="1"/>
  <c r="AW512" i="5"/>
  <c r="A350" i="5"/>
  <c r="AP457" i="5" l="1"/>
  <c r="AR456" i="5"/>
  <c r="AQ456" i="5" s="1"/>
  <c r="AX510" i="5"/>
  <c r="BL350" i="5"/>
  <c r="AV510" i="5"/>
  <c r="AU510" i="5"/>
  <c r="AW510" i="5"/>
  <c r="A351" i="5"/>
  <c r="BL351" i="5" l="1"/>
  <c r="AT445" i="5"/>
  <c r="AY451" i="5"/>
  <c r="AP458" i="5"/>
  <c r="AR457" i="5"/>
  <c r="A352" i="5"/>
  <c r="AP459" i="5" l="1"/>
  <c r="AR458" i="5"/>
  <c r="AQ458" i="5" s="1"/>
  <c r="AU445" i="5"/>
  <c r="AX445" i="5"/>
  <c r="AV445" i="5"/>
  <c r="AW445" i="5"/>
  <c r="AY445" i="5"/>
  <c r="BL352" i="5"/>
  <c r="A353" i="5"/>
  <c r="BL353" i="5" l="1"/>
  <c r="AW451" i="5"/>
  <c r="AP460" i="5"/>
  <c r="AR459" i="5"/>
  <c r="AV451" i="5" s="1"/>
  <c r="A354" i="5"/>
  <c r="AX451" i="5" l="1"/>
  <c r="AP461" i="5"/>
  <c r="BL354" i="5"/>
  <c r="A355" i="5"/>
  <c r="AR461" i="5" l="1"/>
  <c r="AQ461" i="5" s="1"/>
  <c r="AP462" i="5"/>
  <c r="BL355" i="5"/>
  <c r="A356" i="5"/>
  <c r="AR462" i="5" l="1"/>
  <c r="AY454" i="5" s="1"/>
  <c r="AP463" i="5"/>
  <c r="BL356" i="5"/>
  <c r="AT524" i="5"/>
  <c r="AT519" i="5"/>
  <c r="A357" i="5"/>
  <c r="BL357" i="5" l="1"/>
  <c r="AR463" i="5"/>
  <c r="AQ463" i="5" s="1"/>
  <c r="AT460" i="5" s="1"/>
  <c r="AP464" i="5"/>
  <c r="AY519" i="5"/>
  <c r="AU519" i="5"/>
  <c r="AX519" i="5"/>
  <c r="AV519" i="5"/>
  <c r="AW519" i="5"/>
  <c r="A358" i="5"/>
  <c r="BL358" i="5" l="1"/>
  <c r="AR464" i="5"/>
  <c r="AU460" i="5" s="1"/>
  <c r="AP465" i="5"/>
  <c r="AY524" i="5"/>
  <c r="A359" i="5"/>
  <c r="AR465" i="5" l="1"/>
  <c r="AY460" i="5" s="1"/>
  <c r="AP466" i="5"/>
  <c r="BL359" i="5"/>
  <c r="AV524" i="5"/>
  <c r="AR532" i="5"/>
  <c r="AQ532" i="5" s="1"/>
  <c r="A360" i="5"/>
  <c r="AR466" i="5" l="1"/>
  <c r="AQ466" i="5" s="1"/>
  <c r="AP467" i="5"/>
  <c r="BL360" i="5"/>
  <c r="AW524" i="5"/>
  <c r="AR533" i="5"/>
  <c r="AX524" i="5" s="1"/>
  <c r="A361" i="5"/>
  <c r="AP468" i="5" l="1"/>
  <c r="AR467" i="5"/>
  <c r="AQ467" i="5" s="1"/>
  <c r="BL361" i="5"/>
  <c r="AV460" i="5"/>
  <c r="AW460" i="5"/>
  <c r="A362" i="5"/>
  <c r="BL362" i="5" l="1"/>
  <c r="AR468" i="5"/>
  <c r="AQ468" i="5" s="1"/>
  <c r="AX460" i="5" s="1"/>
  <c r="AP469" i="5"/>
  <c r="A363" i="5"/>
  <c r="BL363" i="5" l="1"/>
  <c r="AP470" i="5"/>
  <c r="AT528" i="5"/>
  <c r="A364" i="5"/>
  <c r="AP471" i="5" l="1"/>
  <c r="BL364" i="5"/>
  <c r="AY528" i="5"/>
  <c r="AX528" i="5"/>
  <c r="AU528" i="5"/>
  <c r="AV528" i="5"/>
  <c r="AW528" i="5"/>
  <c r="A365" i="5"/>
  <c r="BL365" i="5" l="1"/>
  <c r="AP472" i="5"/>
  <c r="A366" i="5"/>
  <c r="AR472" i="5" l="1"/>
  <c r="AQ472" i="5" s="1"/>
  <c r="AP473" i="5"/>
  <c r="BL366" i="5"/>
  <c r="A367" i="5"/>
  <c r="BL367" i="5" l="1"/>
  <c r="AR473" i="5"/>
  <c r="AP474" i="5"/>
  <c r="AT463" i="5"/>
  <c r="AT469" i="5"/>
  <c r="A368" i="5"/>
  <c r="AU469" i="5" l="1"/>
  <c r="AU463" i="5"/>
  <c r="AX463" i="5"/>
  <c r="AV463" i="5"/>
  <c r="AY463" i="5"/>
  <c r="AW463" i="5"/>
  <c r="BL368" i="5"/>
  <c r="AR474" i="5"/>
  <c r="AY469" i="5" s="1"/>
  <c r="AP475" i="5"/>
  <c r="AT536" i="5"/>
  <c r="AR541" i="5"/>
  <c r="AU536" i="5" s="1"/>
  <c r="A369" i="5"/>
  <c r="BL369" i="5" l="1"/>
  <c r="AR475" i="5"/>
  <c r="AV469" i="5" s="1"/>
  <c r="AP476" i="5"/>
  <c r="AR542" i="5"/>
  <c r="AY536" i="5" s="1"/>
  <c r="A370" i="5"/>
  <c r="BL370" i="5" l="1"/>
  <c r="AR476" i="5"/>
  <c r="AQ476" i="5" s="1"/>
  <c r="AW469" i="5" s="1"/>
  <c r="AP477" i="5"/>
  <c r="AR543" i="5"/>
  <c r="A371" i="5"/>
  <c r="BL371" i="5" l="1"/>
  <c r="AR477" i="5"/>
  <c r="AX469" i="5" s="1"/>
  <c r="AP478" i="5"/>
  <c r="AV536" i="5"/>
  <c r="A372" i="5"/>
  <c r="BL372" i="5" l="1"/>
  <c r="AR478" i="5"/>
  <c r="AP479" i="5"/>
  <c r="AW536" i="5"/>
  <c r="A373" i="5"/>
  <c r="BL373" i="5" l="1"/>
  <c r="AP480" i="5"/>
  <c r="AX536" i="5"/>
  <c r="A374" i="5"/>
  <c r="BL374" i="5" l="1"/>
  <c r="AP481" i="5"/>
  <c r="AT537" i="5"/>
  <c r="AW537" i="5" s="1"/>
  <c r="A375" i="5"/>
  <c r="AR481" i="5" l="1"/>
  <c r="AQ481" i="5" s="1"/>
  <c r="AT478" i="5" s="1"/>
  <c r="AP482" i="5"/>
  <c r="BL375" i="5"/>
  <c r="AY537" i="5"/>
  <c r="AU537" i="5"/>
  <c r="AX537" i="5"/>
  <c r="AV537" i="5"/>
  <c r="A376" i="5"/>
  <c r="B20" i="19"/>
  <c r="C155" i="16"/>
  <c r="C153" i="16"/>
  <c r="C151" i="16"/>
  <c r="G148" i="16" s="1"/>
  <c r="C149" i="16"/>
  <c r="C147" i="16"/>
  <c r="C146" i="16"/>
  <c r="C144" i="16"/>
  <c r="AR18" i="20"/>
  <c r="BL376" i="5" l="1"/>
  <c r="AR482" i="5"/>
  <c r="AX475" i="5" s="1"/>
  <c r="AP483" i="5"/>
  <c r="AU478" i="5"/>
  <c r="A377" i="5"/>
  <c r="AW131" i="12"/>
  <c r="B220" i="19"/>
  <c r="FG514" i="10"/>
  <c r="AL8" i="19"/>
  <c r="AL208" i="19" s="1"/>
  <c r="BR85" i="10"/>
  <c r="F7" i="12"/>
  <c r="Y8" i="20"/>
  <c r="R8" i="20"/>
  <c r="K8" i="20"/>
  <c r="E9" i="20"/>
  <c r="D8" i="20"/>
  <c r="BL377" i="5" l="1"/>
  <c r="AP484" i="5"/>
  <c r="AR483" i="5"/>
  <c r="A378" i="5"/>
  <c r="L4" i="20"/>
  <c r="AK8" i="20"/>
  <c r="AD8" i="20"/>
  <c r="AR85" i="10"/>
  <c r="BB85" i="10"/>
  <c r="AP485" i="5" l="1"/>
  <c r="AR484" i="5"/>
  <c r="AQ484" i="5" s="1"/>
  <c r="BL378" i="5"/>
  <c r="AV475" i="5"/>
  <c r="AY478" i="5"/>
  <c r="A379" i="5"/>
  <c r="CH5" i="16"/>
  <c r="AU46" i="19"/>
  <c r="AO46" i="19"/>
  <c r="AI46" i="19"/>
  <c r="AC46" i="19"/>
  <c r="W46" i="19"/>
  <c r="Q46" i="19"/>
  <c r="K46" i="19"/>
  <c r="E46" i="19"/>
  <c r="BL379" i="5" l="1"/>
  <c r="AV478" i="5"/>
  <c r="AR485" i="5"/>
  <c r="AQ485" i="5" s="1"/>
  <c r="AW478" i="5" s="1"/>
  <c r="AP486" i="5"/>
  <c r="AR552" i="5"/>
  <c r="AQ552" i="5" s="1"/>
  <c r="A380" i="5"/>
  <c r="AU246" i="19"/>
  <c r="CP157" i="12"/>
  <c r="AO246" i="19"/>
  <c r="CJ157" i="12"/>
  <c r="E246" i="19"/>
  <c r="AZ157" i="12"/>
  <c r="K246" i="19"/>
  <c r="BF157" i="12"/>
  <c r="W246" i="19"/>
  <c r="BR157" i="12"/>
  <c r="AI246" i="19"/>
  <c r="CD157" i="12"/>
  <c r="AC246" i="19"/>
  <c r="BX157" i="12"/>
  <c r="Q246" i="19"/>
  <c r="BL157" i="12"/>
  <c r="AB449" i="10"/>
  <c r="AF426" i="10"/>
  <c r="AL3" i="19"/>
  <c r="AI3" i="19"/>
  <c r="F3" i="19"/>
  <c r="AR486" i="5" l="1"/>
  <c r="AQ486" i="5" s="1"/>
  <c r="AX478" i="5" s="1"/>
  <c r="AP487" i="5"/>
  <c r="BL380" i="5"/>
  <c r="AT548" i="5"/>
  <c r="A381" i="5"/>
  <c r="AL203" i="19"/>
  <c r="CF114" i="12"/>
  <c r="AI203" i="19"/>
  <c r="CD114" i="12"/>
  <c r="AW114" i="12"/>
  <c r="AW154" i="12" s="1"/>
  <c r="BI154" i="12" s="1"/>
  <c r="BU154" i="12" s="1"/>
  <c r="CG154" i="12" s="1"/>
  <c r="F203" i="19"/>
  <c r="AY54" i="10"/>
  <c r="AO54" i="10"/>
  <c r="AH6" i="10"/>
  <c r="AR487" i="5" l="1"/>
  <c r="AP488" i="5"/>
  <c r="BL381" i="5"/>
  <c r="AU548" i="5"/>
  <c r="B243" i="19"/>
  <c r="AQ6" i="10"/>
  <c r="AH2" i="10"/>
  <c r="X64" i="10" s="1"/>
  <c r="U66" i="10" s="1"/>
  <c r="AR488" i="5" l="1"/>
  <c r="AP489" i="5"/>
  <c r="AY548" i="5"/>
  <c r="AQ554" i="5"/>
  <c r="N18" i="19"/>
  <c r="X5" i="16"/>
  <c r="AG31" i="19"/>
  <c r="K49" i="19"/>
  <c r="AU49" i="19"/>
  <c r="W49" i="19"/>
  <c r="AI49" i="19"/>
  <c r="BD161" i="12"/>
  <c r="CN161" i="12"/>
  <c r="CB161" i="12"/>
  <c r="BP161" i="12"/>
  <c r="N243" i="19"/>
  <c r="AF68" i="10"/>
  <c r="E8" i="16" s="1"/>
  <c r="DV457" i="10"/>
  <c r="EW457" i="10"/>
  <c r="CU457" i="10"/>
  <c r="BT457" i="10"/>
  <c r="C31" i="12"/>
  <c r="S5" i="12"/>
  <c r="X31" i="12"/>
  <c r="J31" i="12"/>
  <c r="AE31" i="12"/>
  <c r="Q31" i="12"/>
  <c r="BC6" i="10"/>
  <c r="BF66" i="10"/>
  <c r="AR489" i="5" l="1"/>
  <c r="AP490" i="5"/>
  <c r="O20" i="19"/>
  <c r="BJ131" i="12" s="1"/>
  <c r="O32" i="19"/>
  <c r="O232" i="19" s="1"/>
  <c r="O31" i="19"/>
  <c r="BJ142" i="12" s="1"/>
  <c r="O30" i="19"/>
  <c r="O230" i="19" s="1"/>
  <c r="O29" i="19"/>
  <c r="O229" i="19" s="1"/>
  <c r="O28" i="19"/>
  <c r="BJ139" i="12" s="1"/>
  <c r="O27" i="19"/>
  <c r="BJ138" i="12" s="1"/>
  <c r="O26" i="19"/>
  <c r="BJ137" i="12" s="1"/>
  <c r="O25" i="19"/>
  <c r="O225" i="19" s="1"/>
  <c r="O24" i="19"/>
  <c r="O224" i="19" s="1"/>
  <c r="O23" i="19"/>
  <c r="BJ134" i="12" s="1"/>
  <c r="O22" i="19"/>
  <c r="BJ133" i="12" s="1"/>
  <c r="O21" i="19"/>
  <c r="BJ132" i="12" s="1"/>
  <c r="AC207" i="16"/>
  <c r="AB325" i="10"/>
  <c r="DY290" i="10"/>
  <c r="BP428" i="10" s="1"/>
  <c r="CY290" i="10"/>
  <c r="BZ290" i="10"/>
  <c r="BP293" i="10" s="1"/>
  <c r="DZ290" i="10"/>
  <c r="CZ290" i="10"/>
  <c r="N218" i="19"/>
  <c r="BI129" i="12"/>
  <c r="AG231" i="19"/>
  <c r="CB142" i="12"/>
  <c r="Z243" i="19"/>
  <c r="AF71" i="10"/>
  <c r="E11" i="16" s="1"/>
  <c r="AF76" i="10"/>
  <c r="E16" i="16" s="1"/>
  <c r="AF79" i="10"/>
  <c r="E19" i="16" s="1"/>
  <c r="AF72" i="10"/>
  <c r="E12" i="16" s="1"/>
  <c r="AF80" i="10"/>
  <c r="E20" i="16" s="1"/>
  <c r="AF75" i="10"/>
  <c r="E15" i="16" s="1"/>
  <c r="AF70" i="10"/>
  <c r="E10" i="16" s="1"/>
  <c r="AF74" i="10"/>
  <c r="E14" i="16" s="1"/>
  <c r="AF78" i="10"/>
  <c r="E18" i="16" s="1"/>
  <c r="AF69" i="10"/>
  <c r="E9" i="16" s="1"/>
  <c r="AF73" i="10"/>
  <c r="E13" i="16" s="1"/>
  <c r="AF77" i="10"/>
  <c r="E17" i="16" s="1"/>
  <c r="D20" i="19"/>
  <c r="AY131" i="12" s="1"/>
  <c r="BJ143" i="12" l="1"/>
  <c r="O231" i="19"/>
  <c r="AR490" i="5"/>
  <c r="AQ490" i="5" s="1"/>
  <c r="AP491" i="5"/>
  <c r="O228" i="19"/>
  <c r="BJ141" i="12"/>
  <c r="O222" i="19"/>
  <c r="O226" i="19"/>
  <c r="O221" i="19"/>
  <c r="BJ140" i="12"/>
  <c r="O220" i="19"/>
  <c r="BJ136" i="12"/>
  <c r="O227" i="19"/>
  <c r="O223" i="19"/>
  <c r="BC207" i="16"/>
  <c r="BJ135" i="12"/>
  <c r="AW548" i="5"/>
  <c r="BN207" i="16"/>
  <c r="BR207" i="16"/>
  <c r="BT207" i="16"/>
  <c r="BL207" i="16"/>
  <c r="BO207" i="16"/>
  <c r="BJ207" i="16"/>
  <c r="AD69" i="10"/>
  <c r="C9" i="16" s="1"/>
  <c r="AD76" i="10"/>
  <c r="C16" i="16" s="1"/>
  <c r="AD80" i="10"/>
  <c r="C20" i="16" s="1"/>
  <c r="AD71" i="10"/>
  <c r="C11" i="16" s="1"/>
  <c r="AD70" i="10"/>
  <c r="C10" i="16" s="1"/>
  <c r="AD77" i="10"/>
  <c r="C17" i="16" s="1"/>
  <c r="AD74" i="10"/>
  <c r="C14" i="16" s="1"/>
  <c r="CP293" i="10"/>
  <c r="BJ430" i="10"/>
  <c r="BB288" i="10"/>
  <c r="BM430" i="10"/>
  <c r="BL431" i="10"/>
  <c r="BP431" i="10"/>
  <c r="BO431" i="10"/>
  <c r="BP430" i="10"/>
  <c r="BO430" i="10"/>
  <c r="BP429" i="10"/>
  <c r="BO429" i="10"/>
  <c r="BO428" i="10"/>
  <c r="BM431" i="10"/>
  <c r="BM429" i="10"/>
  <c r="BL430" i="10"/>
  <c r="BL429" i="10"/>
  <c r="BL428" i="10"/>
  <c r="BM428" i="10"/>
  <c r="BI426" i="10"/>
  <c r="BI431" i="10"/>
  <c r="BI430" i="10"/>
  <c r="BJ431" i="10"/>
  <c r="BI429" i="10"/>
  <c r="BJ429" i="10"/>
  <c r="BI428" i="10"/>
  <c r="BJ428" i="10"/>
  <c r="AD78" i="10"/>
  <c r="C18" i="16" s="1"/>
  <c r="AD75" i="10"/>
  <c r="C15" i="16" s="1"/>
  <c r="D31" i="19"/>
  <c r="D231" i="19" s="1"/>
  <c r="AD79" i="10"/>
  <c r="C19" i="16" s="1"/>
  <c r="D25" i="19"/>
  <c r="AY136" i="12" s="1"/>
  <c r="AD73" i="10"/>
  <c r="C13" i="16" s="1"/>
  <c r="AD72" i="10"/>
  <c r="C12" i="16" s="1"/>
  <c r="AE207" i="16"/>
  <c r="AH207" i="16"/>
  <c r="AE325" i="10"/>
  <c r="AB326" i="10"/>
  <c r="AB322" i="10" s="1"/>
  <c r="AC208" i="16"/>
  <c r="AU249" i="19"/>
  <c r="CO161" i="12"/>
  <c r="AI249" i="19"/>
  <c r="CC161" i="12"/>
  <c r="W249" i="19"/>
  <c r="BQ161" i="12"/>
  <c r="K249" i="19"/>
  <c r="BE161" i="12"/>
  <c r="D29" i="19"/>
  <c r="N25" i="5"/>
  <c r="N24" i="5" s="1"/>
  <c r="AQ207" i="16"/>
  <c r="AZ207" i="16"/>
  <c r="BB207" i="16"/>
  <c r="BA207" i="16"/>
  <c r="AP207" i="16"/>
  <c r="CA207" i="16"/>
  <c r="AD207" i="16"/>
  <c r="D23" i="19"/>
  <c r="D220" i="19"/>
  <c r="AL243" i="19"/>
  <c r="D27" i="19"/>
  <c r="D24" i="19"/>
  <c r="D30" i="19"/>
  <c r="D28" i="19"/>
  <c r="D22" i="19"/>
  <c r="D32" i="19"/>
  <c r="D21" i="19"/>
  <c r="D26" i="19"/>
  <c r="AP492" i="5" l="1"/>
  <c r="AR491" i="5"/>
  <c r="AQ491" i="5" s="1"/>
  <c r="BI427" i="10"/>
  <c r="BC208" i="16"/>
  <c r="B21" i="19"/>
  <c r="AW132" i="12" s="1"/>
  <c r="BR208" i="16"/>
  <c r="BT208" i="16"/>
  <c r="BJ208" i="16"/>
  <c r="BL208" i="16"/>
  <c r="A9" i="16"/>
  <c r="AM287" i="10"/>
  <c r="BK430" i="10"/>
  <c r="BN430" i="10"/>
  <c r="BL426" i="10"/>
  <c r="BL427" i="10" s="1"/>
  <c r="BF442" i="10"/>
  <c r="BH442" i="10" s="1"/>
  <c r="BF439" i="10"/>
  <c r="BH439" i="10" s="1"/>
  <c r="BF444" i="10"/>
  <c r="BH444" i="10" s="1"/>
  <c r="BF435" i="10"/>
  <c r="BH435" i="10" s="1"/>
  <c r="BF446" i="10"/>
  <c r="BH446" i="10" s="1"/>
  <c r="BF436" i="10"/>
  <c r="BH436" i="10" s="1"/>
  <c r="BF445" i="10"/>
  <c r="BH445" i="10" s="1"/>
  <c r="BF443" i="10"/>
  <c r="BH443" i="10" s="1"/>
  <c r="BF438" i="10"/>
  <c r="BH438" i="10" s="1"/>
  <c r="BF440" i="10"/>
  <c r="BH440" i="10" s="1"/>
  <c r="BF437" i="10"/>
  <c r="BH437" i="10" s="1"/>
  <c r="BF441" i="10"/>
  <c r="BH441" i="10" s="1"/>
  <c r="BM427" i="10"/>
  <c r="BN431" i="10"/>
  <c r="BJ427" i="10"/>
  <c r="BK431" i="10"/>
  <c r="BI425" i="10"/>
  <c r="AY142" i="12"/>
  <c r="D225" i="19"/>
  <c r="AH208" i="16"/>
  <c r="AE208" i="16"/>
  <c r="AH325" i="10"/>
  <c r="AH326" i="10" s="1"/>
  <c r="AC209" i="16"/>
  <c r="AI207" i="16"/>
  <c r="D230" i="19"/>
  <c r="AY141" i="12"/>
  <c r="D226" i="19"/>
  <c r="AY137" i="12"/>
  <c r="D224" i="19"/>
  <c r="AY135" i="12"/>
  <c r="D222" i="19"/>
  <c r="AY133" i="12"/>
  <c r="D228" i="19"/>
  <c r="AY139" i="12"/>
  <c r="D221" i="19"/>
  <c r="AY132" i="12"/>
  <c r="D223" i="19"/>
  <c r="AY134" i="12"/>
  <c r="D229" i="19"/>
  <c r="AY140" i="12"/>
  <c r="D232" i="19"/>
  <c r="AY143" i="12"/>
  <c r="D227" i="19"/>
  <c r="AY138" i="12"/>
  <c r="AO207" i="16"/>
  <c r="AE326" i="10"/>
  <c r="AE322" i="10" s="1"/>
  <c r="AZ208" i="16"/>
  <c r="AP208" i="16"/>
  <c r="AQ208" i="16"/>
  <c r="BB208" i="16"/>
  <c r="AY207" i="16"/>
  <c r="BG207" i="16" s="1"/>
  <c r="BA208" i="16"/>
  <c r="CA208" i="16"/>
  <c r="AD208" i="16"/>
  <c r="E26" i="16"/>
  <c r="E24" i="16"/>
  <c r="E22" i="16"/>
  <c r="E25" i="16"/>
  <c r="E23" i="16"/>
  <c r="E21" i="16"/>
  <c r="AP493" i="5" l="1"/>
  <c r="AR492" i="5"/>
  <c r="AQ492" i="5" s="1"/>
  <c r="AT487" i="5" s="1"/>
  <c r="B221" i="19"/>
  <c r="BC209" i="16"/>
  <c r="BR209" i="16"/>
  <c r="BT209" i="16"/>
  <c r="BJ209" i="16"/>
  <c r="BL209" i="16"/>
  <c r="BL425" i="10"/>
  <c r="BI439" i="10"/>
  <c r="BK439" i="10" s="1"/>
  <c r="BI435" i="10"/>
  <c r="BK435" i="10" s="1"/>
  <c r="BI443" i="10"/>
  <c r="BK443" i="10" s="1"/>
  <c r="BI442" i="10"/>
  <c r="BK442" i="10" s="1"/>
  <c r="BI446" i="10"/>
  <c r="BK446" i="10" s="1"/>
  <c r="BI440" i="10"/>
  <c r="BK440" i="10" s="1"/>
  <c r="BI436" i="10"/>
  <c r="BK436" i="10" s="1"/>
  <c r="BI444" i="10"/>
  <c r="BK444" i="10" s="1"/>
  <c r="BI438" i="10"/>
  <c r="BK438" i="10" s="1"/>
  <c r="BI441" i="10"/>
  <c r="BK441" i="10" s="1"/>
  <c r="BI437" i="10"/>
  <c r="BK437" i="10" s="1"/>
  <c r="BI445" i="10"/>
  <c r="BK445" i="10" s="1"/>
  <c r="BO426" i="10"/>
  <c r="BN427" i="10"/>
  <c r="BK427" i="10"/>
  <c r="AH209" i="16"/>
  <c r="AE209" i="16"/>
  <c r="AK325" i="10"/>
  <c r="AK326" i="10" s="1"/>
  <c r="AK322" i="10" s="1"/>
  <c r="AC210" i="16"/>
  <c r="AO208" i="16"/>
  <c r="AH322" i="10"/>
  <c r="BB209" i="16"/>
  <c r="AZ209" i="16"/>
  <c r="AQ209" i="16"/>
  <c r="BA209" i="16"/>
  <c r="AY208" i="16"/>
  <c r="BG208" i="16" s="1"/>
  <c r="AP209" i="16"/>
  <c r="AI208" i="16"/>
  <c r="CA209" i="16"/>
  <c r="AD209" i="16"/>
  <c r="AY487" i="5" l="1"/>
  <c r="AP494" i="5"/>
  <c r="AR493" i="5"/>
  <c r="AU487" i="5" s="1"/>
  <c r="BL440" i="10"/>
  <c r="BN440" i="10" s="1"/>
  <c r="BO427" i="10"/>
  <c r="BC210" i="16"/>
  <c r="BR210" i="16"/>
  <c r="BT210" i="16"/>
  <c r="BJ210" i="16"/>
  <c r="BL210" i="16"/>
  <c r="BL443" i="10"/>
  <c r="BN443" i="10" s="1"/>
  <c r="BL438" i="10"/>
  <c r="BN438" i="10" s="1"/>
  <c r="BL439" i="10"/>
  <c r="BN439" i="10" s="1"/>
  <c r="BL437" i="10"/>
  <c r="BN437" i="10" s="1"/>
  <c r="BL435" i="10"/>
  <c r="BN435" i="10" s="1"/>
  <c r="BL436" i="10"/>
  <c r="BL445" i="10"/>
  <c r="BN445" i="10" s="1"/>
  <c r="BL441" i="10"/>
  <c r="BN441" i="10" s="1"/>
  <c r="BL446" i="10"/>
  <c r="BN446" i="10" s="1"/>
  <c r="BL442" i="10"/>
  <c r="BN442" i="10" s="1"/>
  <c r="BL444" i="10"/>
  <c r="BN444" i="10" s="1"/>
  <c r="BR426" i="10"/>
  <c r="BR425" i="10" s="1"/>
  <c r="BO425" i="10"/>
  <c r="BY427" i="10" s="1"/>
  <c r="AH210" i="16"/>
  <c r="AE210" i="16"/>
  <c r="AN325" i="10"/>
  <c r="AN326" i="10" s="1"/>
  <c r="AN322" i="10" s="1"/>
  <c r="AC211" i="16"/>
  <c r="BA210" i="16"/>
  <c r="BB210" i="16"/>
  <c r="AP210" i="16"/>
  <c r="AQ210" i="16"/>
  <c r="AZ210" i="16"/>
  <c r="AO209" i="16"/>
  <c r="AY209" i="16"/>
  <c r="BG209" i="16" s="1"/>
  <c r="AI209" i="16"/>
  <c r="CA210" i="16"/>
  <c r="AD210" i="16"/>
  <c r="E49" i="19"/>
  <c r="AR494" i="5" l="1"/>
  <c r="AQ494" i="5" s="1"/>
  <c r="AP495" i="5"/>
  <c r="BC211" i="16"/>
  <c r="BR211" i="16"/>
  <c r="BT211" i="16"/>
  <c r="BJ211" i="16"/>
  <c r="BL211" i="16"/>
  <c r="BU427" i="10"/>
  <c r="BT427" i="10"/>
  <c r="BN436" i="10"/>
  <c r="BW427" i="10"/>
  <c r="BX427" i="10"/>
  <c r="BV427" i="10"/>
  <c r="BO436" i="10"/>
  <c r="BQ436" i="10" s="1"/>
  <c r="BO444" i="10"/>
  <c r="BQ444" i="10" s="1"/>
  <c r="BO442" i="10"/>
  <c r="BQ442" i="10" s="1"/>
  <c r="BO443" i="10"/>
  <c r="BQ443" i="10" s="1"/>
  <c r="BO440" i="10"/>
  <c r="BO445" i="10"/>
  <c r="BQ445" i="10" s="1"/>
  <c r="BO435" i="10"/>
  <c r="BQ435" i="10" s="1"/>
  <c r="BO446" i="10"/>
  <c r="BQ446" i="10" s="1"/>
  <c r="BO437" i="10"/>
  <c r="BO439" i="10"/>
  <c r="BQ439" i="10" s="1"/>
  <c r="BO438" i="10"/>
  <c r="BO441" i="10"/>
  <c r="BQ441" i="10" s="1"/>
  <c r="CA427" i="10"/>
  <c r="BZ427" i="10"/>
  <c r="AE211" i="16"/>
  <c r="AH211" i="16"/>
  <c r="AQ325" i="10"/>
  <c r="AQ326" i="10" s="1"/>
  <c r="AQ322" i="10" s="1"/>
  <c r="AC212" i="16"/>
  <c r="E249" i="19"/>
  <c r="BB160" i="12"/>
  <c r="AY210" i="16"/>
  <c r="BG210" i="16" s="1"/>
  <c r="AZ211" i="16"/>
  <c r="AP211" i="16"/>
  <c r="BA211" i="16"/>
  <c r="AQ211" i="16"/>
  <c r="BB211" i="16"/>
  <c r="AO210" i="16"/>
  <c r="AI210" i="16"/>
  <c r="CA211" i="16"/>
  <c r="AD211" i="16"/>
  <c r="AC4" i="18"/>
  <c r="AC3" i="18"/>
  <c r="AC2" i="18"/>
  <c r="AP496" i="5" l="1"/>
  <c r="AP497" i="5" s="1"/>
  <c r="AR495" i="5"/>
  <c r="AV487" i="5" s="1"/>
  <c r="AW487" i="5"/>
  <c r="BC212" i="16"/>
  <c r="BR212" i="16"/>
  <c r="BT212" i="16"/>
  <c r="BJ212" i="16"/>
  <c r="BK207" i="16" s="1"/>
  <c r="BL212" i="16"/>
  <c r="BM207" i="16" s="1"/>
  <c r="BX430" i="10"/>
  <c r="CJ429" i="10" s="1"/>
  <c r="BU429" i="10"/>
  <c r="CG428" i="10" s="1"/>
  <c r="BX429" i="10"/>
  <c r="CJ428" i="10" s="1"/>
  <c r="BX428" i="10"/>
  <c r="CJ427" i="10" s="1"/>
  <c r="BZ428" i="10"/>
  <c r="CL427" i="10" s="1"/>
  <c r="BQ438" i="10"/>
  <c r="BW428" i="10" s="1"/>
  <c r="CI427" i="10" s="1"/>
  <c r="BZ429" i="10"/>
  <c r="CL428" i="10" s="1"/>
  <c r="BZ430" i="10"/>
  <c r="CL429" i="10" s="1"/>
  <c r="BQ437" i="10"/>
  <c r="BV430" i="10" s="1"/>
  <c r="CH429" i="10" s="1"/>
  <c r="BQ440" i="10"/>
  <c r="BY429" i="10" s="1"/>
  <c r="CK428" i="10" s="1"/>
  <c r="BT428" i="10"/>
  <c r="CF427" i="10" s="1"/>
  <c r="BU430" i="10"/>
  <c r="CG429" i="10" s="1"/>
  <c r="BU428" i="10"/>
  <c r="CG427" i="10" s="1"/>
  <c r="CA430" i="10"/>
  <c r="CM429" i="10" s="1"/>
  <c r="CA428" i="10"/>
  <c r="CM427" i="10" s="1"/>
  <c r="CA429" i="10"/>
  <c r="CM428" i="10" s="1"/>
  <c r="BT429" i="10"/>
  <c r="CF428" i="10" s="1"/>
  <c r="BT430" i="10"/>
  <c r="CF429" i="10" s="1"/>
  <c r="AH212" i="16"/>
  <c r="AE212" i="16"/>
  <c r="AT325" i="10"/>
  <c r="AT326" i="10" s="1"/>
  <c r="AT322" i="10" s="1"/>
  <c r="AC213" i="16"/>
  <c r="AY211" i="16"/>
  <c r="BG211" i="16" s="1"/>
  <c r="BB212" i="16"/>
  <c r="AQ212" i="16"/>
  <c r="BA212" i="16"/>
  <c r="AP212" i="16"/>
  <c r="AZ212" i="16"/>
  <c r="AO211" i="16"/>
  <c r="AI211" i="16"/>
  <c r="CA212" i="16"/>
  <c r="AD212" i="16"/>
  <c r="AU8" i="20"/>
  <c r="AR8" i="20"/>
  <c r="AN8" i="20"/>
  <c r="AG8" i="20"/>
  <c r="AX487" i="5" l="1"/>
  <c r="AR497" i="5"/>
  <c r="AP498" i="5"/>
  <c r="BC213" i="16"/>
  <c r="BT213" i="16"/>
  <c r="BR213" i="16"/>
  <c r="BJ213" i="16"/>
  <c r="BL213" i="16"/>
  <c r="BI207" i="16"/>
  <c r="BW430" i="10"/>
  <c r="CI429" i="10" s="1"/>
  <c r="BW429" i="10"/>
  <c r="CI428" i="10" s="1"/>
  <c r="BY428" i="10"/>
  <c r="CK427" i="10" s="1"/>
  <c r="BY430" i="10"/>
  <c r="CK429" i="10" s="1"/>
  <c r="BV428" i="10"/>
  <c r="CH427" i="10" s="1"/>
  <c r="BV429" i="10"/>
  <c r="CH428" i="10" s="1"/>
  <c r="AH213" i="16"/>
  <c r="AE213" i="16"/>
  <c r="AW325" i="10"/>
  <c r="AW326" i="10" s="1"/>
  <c r="AW322" i="10" s="1"/>
  <c r="AC214" i="16"/>
  <c r="AY212" i="16"/>
  <c r="BG212" i="16" s="1"/>
  <c r="AQ213" i="16"/>
  <c r="BB213" i="16"/>
  <c r="AP213" i="16"/>
  <c r="AZ213" i="16"/>
  <c r="BA213" i="16"/>
  <c r="AO212" i="16"/>
  <c r="AI212" i="16"/>
  <c r="AD213" i="16"/>
  <c r="CA213" i="16"/>
  <c r="BT291" i="10"/>
  <c r="DT291" i="10"/>
  <c r="CT291" i="10"/>
  <c r="V7" i="18"/>
  <c r="U7" i="18"/>
  <c r="AR498" i="5" l="1"/>
  <c r="AP499" i="5"/>
  <c r="BC214" i="16"/>
  <c r="BR214" i="16"/>
  <c r="BT214" i="16"/>
  <c r="BL214" i="16"/>
  <c r="BJ214" i="16"/>
  <c r="CN429" i="10"/>
  <c r="AH214" i="16"/>
  <c r="AE214" i="16"/>
  <c r="AZ325" i="10"/>
  <c r="AZ326" i="10" s="1"/>
  <c r="AZ322" i="10" s="1"/>
  <c r="AC215" i="16"/>
  <c r="BA214" i="16"/>
  <c r="AZ214" i="16"/>
  <c r="AQ214" i="16"/>
  <c r="AY213" i="16"/>
  <c r="BG213" i="16" s="1"/>
  <c r="AP214" i="16"/>
  <c r="BB214" i="16"/>
  <c r="AO213" i="16"/>
  <c r="AD214" i="16"/>
  <c r="CA214" i="16"/>
  <c r="AI213" i="16"/>
  <c r="AG15" i="19"/>
  <c r="AG11" i="19"/>
  <c r="AG7" i="19"/>
  <c r="AR499" i="5" l="1"/>
  <c r="AQ499" i="5" s="1"/>
  <c r="AT496" i="5" s="1"/>
  <c r="AP500" i="5"/>
  <c r="BC215" i="16"/>
  <c r="AT560" i="5"/>
  <c r="BR215" i="16"/>
  <c r="BT215" i="16"/>
  <c r="BJ215" i="16"/>
  <c r="BL215" i="16"/>
  <c r="AH215" i="16"/>
  <c r="AE215" i="16"/>
  <c r="BC325" i="10"/>
  <c r="BC326" i="10" s="1"/>
  <c r="BC322" i="10" s="1"/>
  <c r="AC216" i="16"/>
  <c r="AG207" i="19"/>
  <c r="CE117" i="12"/>
  <c r="AG211" i="19"/>
  <c r="CE121" i="12"/>
  <c r="AG215" i="19"/>
  <c r="CE125" i="12"/>
  <c r="AI214" i="16"/>
  <c r="AY214" i="16"/>
  <c r="BG214" i="16" s="1"/>
  <c r="BA215" i="16"/>
  <c r="AZ215" i="16"/>
  <c r="BB215" i="16"/>
  <c r="AP215" i="16"/>
  <c r="AQ215" i="16"/>
  <c r="AO214" i="16"/>
  <c r="CA215" i="16"/>
  <c r="AD215" i="16"/>
  <c r="D156" i="16"/>
  <c r="J143" i="16" s="1"/>
  <c r="D155" i="16"/>
  <c r="J144" i="16" s="1"/>
  <c r="D154" i="16"/>
  <c r="J145" i="16" s="1"/>
  <c r="D153" i="16"/>
  <c r="J146" i="16" s="1"/>
  <c r="D152" i="16"/>
  <c r="J147" i="16" s="1"/>
  <c r="D151" i="16"/>
  <c r="J148" i="16" s="1"/>
  <c r="D150" i="16"/>
  <c r="J149" i="16" s="1"/>
  <c r="D149" i="16"/>
  <c r="J150" i="16" s="1"/>
  <c r="D148" i="16"/>
  <c r="J151" i="16" s="1"/>
  <c r="D147" i="16"/>
  <c r="J152" i="16" s="1"/>
  <c r="D146" i="16"/>
  <c r="J153" i="16" s="1"/>
  <c r="D145" i="16"/>
  <c r="J154" i="16" s="1"/>
  <c r="D144" i="16"/>
  <c r="J155" i="16" s="1"/>
  <c r="D143" i="16"/>
  <c r="J156" i="16" s="1"/>
  <c r="G156" i="16"/>
  <c r="G144" i="16"/>
  <c r="C154" i="16"/>
  <c r="G145" i="16" s="1"/>
  <c r="G146" i="16"/>
  <c r="C152" i="16"/>
  <c r="G147" i="16" s="1"/>
  <c r="C150" i="16"/>
  <c r="G149" i="16" s="1"/>
  <c r="C148" i="16"/>
  <c r="G151" i="16" s="1"/>
  <c r="G152" i="16"/>
  <c r="G153" i="16"/>
  <c r="C145" i="16"/>
  <c r="G154" i="16" s="1"/>
  <c r="G155" i="16"/>
  <c r="F143" i="16"/>
  <c r="K143" i="16" s="1"/>
  <c r="F144" i="16"/>
  <c r="K147" i="16" s="1"/>
  <c r="F145" i="16"/>
  <c r="K150" i="16" s="1"/>
  <c r="F146" i="16"/>
  <c r="K153" i="16" s="1"/>
  <c r="F147" i="16"/>
  <c r="K156" i="16" s="1"/>
  <c r="F148" i="16"/>
  <c r="K159" i="16" s="1"/>
  <c r="F149" i="16"/>
  <c r="K162" i="16" s="1"/>
  <c r="F150" i="16"/>
  <c r="K165" i="16" s="1"/>
  <c r="F151" i="16"/>
  <c r="K168" i="16" s="1"/>
  <c r="F152" i="16"/>
  <c r="K171" i="16" s="1"/>
  <c r="F153" i="16"/>
  <c r="K174" i="16" s="1"/>
  <c r="F154" i="16"/>
  <c r="K177" i="16" s="1"/>
  <c r="F155" i="16"/>
  <c r="K180" i="16" s="1"/>
  <c r="F156" i="16"/>
  <c r="K184" i="16" s="1"/>
  <c r="G150" i="16"/>
  <c r="AR500" i="5" l="1"/>
  <c r="AQ500" i="5" s="1"/>
  <c r="AP501" i="5"/>
  <c r="AU496" i="5"/>
  <c r="BC216" i="16"/>
  <c r="AU560" i="5"/>
  <c r="AQ565" i="5"/>
  <c r="BR216" i="16"/>
  <c r="BT216" i="16"/>
  <c r="BL216" i="16"/>
  <c r="BJ216" i="16"/>
  <c r="AH216" i="16"/>
  <c r="AE216" i="16"/>
  <c r="BF325" i="10"/>
  <c r="BF326" i="10" s="1"/>
  <c r="BF322" i="10" s="1"/>
  <c r="AC217" i="16"/>
  <c r="K146" i="16"/>
  <c r="AY215" i="16"/>
  <c r="BG215" i="16" s="1"/>
  <c r="AP216" i="16"/>
  <c r="BB216" i="16"/>
  <c r="AQ216" i="16"/>
  <c r="AZ216" i="16"/>
  <c r="BA216" i="16"/>
  <c r="AO215" i="16"/>
  <c r="AI215" i="16"/>
  <c r="CA216" i="16"/>
  <c r="AD216" i="16"/>
  <c r="K158" i="16"/>
  <c r="S158" i="16" s="1"/>
  <c r="I143" i="16"/>
  <c r="H146" i="16"/>
  <c r="I146" i="16"/>
  <c r="I150" i="16"/>
  <c r="H150" i="16"/>
  <c r="H152" i="16"/>
  <c r="I152" i="16"/>
  <c r="K175" i="16"/>
  <c r="I153" i="16"/>
  <c r="H153" i="16"/>
  <c r="K173" i="16"/>
  <c r="K172" i="16"/>
  <c r="I147" i="16"/>
  <c r="H147" i="16"/>
  <c r="K155" i="16"/>
  <c r="S155" i="16" s="1"/>
  <c r="K163" i="16"/>
  <c r="S163" i="16" s="1"/>
  <c r="H149" i="16"/>
  <c r="I149" i="16"/>
  <c r="K170" i="16"/>
  <c r="K169" i="16"/>
  <c r="S169" i="16" s="1"/>
  <c r="I151" i="16"/>
  <c r="H151" i="16"/>
  <c r="K166" i="16"/>
  <c r="S166" i="16" s="1"/>
  <c r="I154" i="16"/>
  <c r="K176" i="16"/>
  <c r="S176" i="16" s="1"/>
  <c r="K178" i="16"/>
  <c r="H154" i="16"/>
  <c r="K183" i="16"/>
  <c r="K182" i="16"/>
  <c r="S182" i="16" s="1"/>
  <c r="I156" i="16"/>
  <c r="H156" i="16"/>
  <c r="K179" i="16"/>
  <c r="I155" i="16"/>
  <c r="K181" i="16"/>
  <c r="H155" i="16"/>
  <c r="K152" i="16"/>
  <c r="S152" i="16" s="1"/>
  <c r="I145" i="16"/>
  <c r="H145" i="16"/>
  <c r="K149" i="16"/>
  <c r="K144" i="16"/>
  <c r="K148" i="16"/>
  <c r="S148" i="16" s="1"/>
  <c r="H144" i="16"/>
  <c r="I144" i="16"/>
  <c r="AR501" i="5" l="1"/>
  <c r="AY496" i="5" s="1"/>
  <c r="AP502" i="5"/>
  <c r="AT555" i="5"/>
  <c r="BC217" i="16"/>
  <c r="BT217" i="16"/>
  <c r="BR217" i="16"/>
  <c r="BL217" i="16"/>
  <c r="BJ217" i="16"/>
  <c r="AH217" i="16"/>
  <c r="AE217" i="16"/>
  <c r="BI325" i="10"/>
  <c r="BI326" i="10" s="1"/>
  <c r="BI322" i="10" s="1"/>
  <c r="AC218" i="16"/>
  <c r="S170" i="16"/>
  <c r="L170" i="16"/>
  <c r="BA217" i="16"/>
  <c r="BB217" i="16"/>
  <c r="AZ217" i="16"/>
  <c r="AP217" i="16"/>
  <c r="AY216" i="16"/>
  <c r="BG216" i="16" s="1"/>
  <c r="AQ217" i="16"/>
  <c r="AO216" i="16"/>
  <c r="AI216" i="16"/>
  <c r="AD217" i="16"/>
  <c r="CA217" i="16"/>
  <c r="K145" i="16"/>
  <c r="S145" i="16" s="1"/>
  <c r="K151" i="16"/>
  <c r="S151" i="16" s="1"/>
  <c r="K167" i="16"/>
  <c r="S167" i="16" s="1"/>
  <c r="S168" i="16" s="1"/>
  <c r="K154" i="16"/>
  <c r="S154" i="16" s="1"/>
  <c r="S153" i="16" s="1"/>
  <c r="K157" i="16"/>
  <c r="S157" i="16" s="1"/>
  <c r="S156" i="16" s="1"/>
  <c r="K161" i="16"/>
  <c r="S161" i="16" s="1"/>
  <c r="S162" i="16" s="1"/>
  <c r="K164" i="16"/>
  <c r="S164" i="16" s="1"/>
  <c r="S165" i="16" s="1"/>
  <c r="K160" i="16"/>
  <c r="S160" i="16" s="1"/>
  <c r="S159" i="16" s="1"/>
  <c r="I148" i="16"/>
  <c r="H148" i="16"/>
  <c r="S146" i="16"/>
  <c r="S147" i="16" s="1"/>
  <c r="P146" i="16"/>
  <c r="S149" i="16"/>
  <c r="P149" i="16"/>
  <c r="P144" i="16"/>
  <c r="S144" i="16"/>
  <c r="S172" i="16"/>
  <c r="L172" i="16"/>
  <c r="P172" i="16"/>
  <c r="L175" i="16"/>
  <c r="P175" i="16"/>
  <c r="S175" i="16"/>
  <c r="P173" i="16"/>
  <c r="S173" i="16"/>
  <c r="L173" i="16"/>
  <c r="L179" i="16"/>
  <c r="S179" i="16"/>
  <c r="P179" i="16"/>
  <c r="L181" i="16"/>
  <c r="S181" i="16"/>
  <c r="P181" i="16"/>
  <c r="L183" i="16"/>
  <c r="S183" i="16"/>
  <c r="S184" i="16" s="1"/>
  <c r="P183" i="16"/>
  <c r="L178" i="16"/>
  <c r="S178" i="16"/>
  <c r="S177" i="16" s="1"/>
  <c r="P178" i="16"/>
  <c r="P152" i="16"/>
  <c r="L144" i="16"/>
  <c r="L146" i="16"/>
  <c r="L149" i="16"/>
  <c r="L148" i="16"/>
  <c r="P148" i="16"/>
  <c r="L158" i="16"/>
  <c r="P158" i="16"/>
  <c r="L155" i="16"/>
  <c r="P155" i="16"/>
  <c r="P163" i="16"/>
  <c r="L163" i="16"/>
  <c r="P170" i="16"/>
  <c r="L182" i="16"/>
  <c r="P182" i="16"/>
  <c r="L176" i="16"/>
  <c r="P176" i="16"/>
  <c r="P166" i="16"/>
  <c r="L166" i="16"/>
  <c r="L169" i="16"/>
  <c r="P169" i="16"/>
  <c r="L152" i="16"/>
  <c r="AR502" i="5" l="1"/>
  <c r="AV496" i="5" s="1"/>
  <c r="AP503" i="5"/>
  <c r="AV560" i="5"/>
  <c r="AU555" i="5"/>
  <c r="AY555" i="5"/>
  <c r="AV555" i="5"/>
  <c r="AX555" i="5"/>
  <c r="AW555" i="5"/>
  <c r="BC218" i="16"/>
  <c r="BT218" i="16"/>
  <c r="BR218" i="16"/>
  <c r="BL218" i="16"/>
  <c r="BJ218" i="16"/>
  <c r="AR568" i="5"/>
  <c r="AQ568" i="5" s="1"/>
  <c r="AH218" i="16"/>
  <c r="AE218" i="16"/>
  <c r="BL325" i="10"/>
  <c r="AC219" i="16"/>
  <c r="AY217" i="16"/>
  <c r="BG217" i="16" s="1"/>
  <c r="BB218" i="16"/>
  <c r="AP218" i="16"/>
  <c r="BA218" i="16"/>
  <c r="AZ218" i="16"/>
  <c r="AQ218" i="16"/>
  <c r="AO217" i="16"/>
  <c r="AI217" i="16"/>
  <c r="AD218" i="16"/>
  <c r="CA218" i="16"/>
  <c r="S150" i="16"/>
  <c r="P177" i="16"/>
  <c r="R177" i="16" s="1"/>
  <c r="S143" i="16"/>
  <c r="P154" i="16"/>
  <c r="P153" i="16" s="1"/>
  <c r="R153" i="16" s="1"/>
  <c r="L154" i="16"/>
  <c r="M153" i="16" s="1"/>
  <c r="L153" i="16" s="1"/>
  <c r="O153" i="16" s="1"/>
  <c r="L145" i="16"/>
  <c r="M143" i="16" s="1"/>
  <c r="L143" i="16" s="1"/>
  <c r="O143" i="16" s="1"/>
  <c r="P145" i="16"/>
  <c r="P143" i="16" s="1"/>
  <c r="R143" i="16" s="1"/>
  <c r="L157" i="16"/>
  <c r="M156" i="16" s="1"/>
  <c r="L156" i="16" s="1"/>
  <c r="O156" i="16" s="1"/>
  <c r="P157" i="16"/>
  <c r="P156" i="16" s="1"/>
  <c r="R156" i="16" s="1"/>
  <c r="L167" i="16"/>
  <c r="M168" i="16" s="1"/>
  <c r="L151" i="16"/>
  <c r="M150" i="16" s="1"/>
  <c r="L150" i="16" s="1"/>
  <c r="O150" i="16" s="1"/>
  <c r="P151" i="16"/>
  <c r="P150" i="16" s="1"/>
  <c r="R150" i="16" s="1"/>
  <c r="P167" i="16"/>
  <c r="P168" i="16" s="1"/>
  <c r="R168" i="16" s="1"/>
  <c r="M177" i="16"/>
  <c r="L177" i="16" s="1"/>
  <c r="O177" i="16" s="1"/>
  <c r="P161" i="16"/>
  <c r="P162" i="16" s="1"/>
  <c r="R162" i="16" s="1"/>
  <c r="S174" i="16"/>
  <c r="L164" i="16"/>
  <c r="M165" i="16" s="1"/>
  <c r="L165" i="16" s="1"/>
  <c r="O165" i="16" s="1"/>
  <c r="P164" i="16"/>
  <c r="P165" i="16" s="1"/>
  <c r="R165" i="16" s="1"/>
  <c r="L161" i="16"/>
  <c r="M162" i="16" s="1"/>
  <c r="L162" i="16" s="1"/>
  <c r="O162" i="16" s="1"/>
  <c r="P160" i="16"/>
  <c r="P159" i="16" s="1"/>
  <c r="R159" i="16" s="1"/>
  <c r="P174" i="16"/>
  <c r="R174" i="16" s="1"/>
  <c r="L160" i="16"/>
  <c r="M159" i="16" s="1"/>
  <c r="L159" i="16" s="1"/>
  <c r="O159" i="16" s="1"/>
  <c r="P147" i="16"/>
  <c r="R147" i="16" s="1"/>
  <c r="S171" i="16"/>
  <c r="M147" i="16"/>
  <c r="L147" i="16" s="1"/>
  <c r="O147" i="16" s="1"/>
  <c r="M174" i="16"/>
  <c r="L174" i="16" s="1"/>
  <c r="O174" i="16" s="1"/>
  <c r="M184" i="16"/>
  <c r="L184" i="16" s="1"/>
  <c r="O184" i="16" s="1"/>
  <c r="P184" i="16"/>
  <c r="M171" i="16"/>
  <c r="L171" i="16" s="1"/>
  <c r="O171" i="16" s="1"/>
  <c r="P180" i="16"/>
  <c r="R180" i="16" s="1"/>
  <c r="P171" i="16"/>
  <c r="R171" i="16" s="1"/>
  <c r="S180" i="16"/>
  <c r="M180" i="16"/>
  <c r="L180" i="16" s="1"/>
  <c r="O180" i="16" s="1"/>
  <c r="M75" i="16"/>
  <c r="L91" i="16"/>
  <c r="L90" i="16"/>
  <c r="L89" i="16"/>
  <c r="L88" i="16"/>
  <c r="L86" i="16"/>
  <c r="L85" i="16"/>
  <c r="L84" i="16"/>
  <c r="L83" i="16"/>
  <c r="L82" i="16"/>
  <c r="L81" i="16"/>
  <c r="L80" i="16"/>
  <c r="L136" i="16"/>
  <c r="L135" i="16"/>
  <c r="L134" i="16"/>
  <c r="L133" i="16"/>
  <c r="L98" i="16"/>
  <c r="L95" i="16"/>
  <c r="L92" i="16"/>
  <c r="AR503" i="5" l="1"/>
  <c r="AQ503" i="5" s="1"/>
  <c r="AP504" i="5"/>
  <c r="AP505" i="5" s="1"/>
  <c r="AP506" i="5" s="1"/>
  <c r="AP507" i="5" s="1"/>
  <c r="AP508" i="5" s="1"/>
  <c r="BC219" i="16"/>
  <c r="AD219" i="16"/>
  <c r="BR219" i="16"/>
  <c r="BT219" i="16"/>
  <c r="BL219" i="16"/>
  <c r="BJ219" i="16"/>
  <c r="AR569" i="5"/>
  <c r="AW560" i="5"/>
  <c r="AH219" i="16"/>
  <c r="AE219" i="16"/>
  <c r="BL326" i="10"/>
  <c r="BL322" i="10" s="1"/>
  <c r="BO325" i="10"/>
  <c r="BR325" i="10" s="1"/>
  <c r="BU325" i="10" s="1"/>
  <c r="BX325" i="10" s="1"/>
  <c r="CA325" i="10" s="1"/>
  <c r="CD325" i="10" s="1"/>
  <c r="CG325" i="10" s="1"/>
  <c r="CJ325" i="10" s="1"/>
  <c r="CM325" i="10" s="1"/>
  <c r="CP325" i="10" s="1"/>
  <c r="CS325" i="10" s="1"/>
  <c r="CV325" i="10" s="1"/>
  <c r="CY325" i="10" s="1"/>
  <c r="DB325" i="10" s="1"/>
  <c r="DE325" i="10" s="1"/>
  <c r="DH325" i="10" s="1"/>
  <c r="DK325" i="10" s="1"/>
  <c r="DN325" i="10" s="1"/>
  <c r="DQ325" i="10" s="1"/>
  <c r="DT325" i="10" s="1"/>
  <c r="DW325" i="10" s="1"/>
  <c r="DZ325" i="10" s="1"/>
  <c r="EC325" i="10" s="1"/>
  <c r="EF325" i="10" s="1"/>
  <c r="EI325" i="10" s="1"/>
  <c r="EL325" i="10" s="1"/>
  <c r="EO325" i="10" s="1"/>
  <c r="ER325" i="10" s="1"/>
  <c r="EU325" i="10" s="1"/>
  <c r="EX325" i="10" s="1"/>
  <c r="FA325" i="10" s="1"/>
  <c r="FD325" i="10" s="1"/>
  <c r="FG325" i="10" s="1"/>
  <c r="FJ325" i="10" s="1"/>
  <c r="FM325" i="10" s="1"/>
  <c r="FP325" i="10" s="1"/>
  <c r="FS325" i="10" s="1"/>
  <c r="FV325" i="10" s="1"/>
  <c r="FY325" i="10" s="1"/>
  <c r="GB325" i="10" s="1"/>
  <c r="GE325" i="10" s="1"/>
  <c r="GH325" i="10" s="1"/>
  <c r="GK325" i="10" s="1"/>
  <c r="GN325" i="10" s="1"/>
  <c r="GQ325" i="10" s="1"/>
  <c r="AC220" i="16"/>
  <c r="L168" i="16"/>
  <c r="O168" i="16" s="1"/>
  <c r="U168" i="16" s="1"/>
  <c r="AY218" i="16"/>
  <c r="BG218" i="16" s="1"/>
  <c r="AP219" i="16"/>
  <c r="AQ219" i="16"/>
  <c r="AZ219" i="16"/>
  <c r="BA219" i="16"/>
  <c r="BB219" i="16"/>
  <c r="AO218" i="16"/>
  <c r="CA219" i="16"/>
  <c r="AI218" i="16"/>
  <c r="U177" i="16"/>
  <c r="L93" i="16"/>
  <c r="L97" i="16"/>
  <c r="L99" i="16"/>
  <c r="L101" i="16"/>
  <c r="L103" i="16"/>
  <c r="L105" i="16"/>
  <c r="L107" i="16"/>
  <c r="L109" i="16"/>
  <c r="L111" i="16"/>
  <c r="L113" i="16"/>
  <c r="L115" i="16"/>
  <c r="L117" i="16"/>
  <c r="L119" i="16"/>
  <c r="L121" i="16"/>
  <c r="L123" i="16"/>
  <c r="L125" i="16"/>
  <c r="L127" i="16"/>
  <c r="L129" i="16"/>
  <c r="L131" i="16"/>
  <c r="L94" i="16"/>
  <c r="L96" i="16"/>
  <c r="L100" i="16"/>
  <c r="L102" i="16"/>
  <c r="L104" i="16"/>
  <c r="L106" i="16"/>
  <c r="L108" i="16"/>
  <c r="L110" i="16"/>
  <c r="L112" i="16"/>
  <c r="L114" i="16"/>
  <c r="L116" i="16"/>
  <c r="L118" i="16"/>
  <c r="L120" i="16"/>
  <c r="L122" i="16"/>
  <c r="L124" i="16"/>
  <c r="L126" i="16"/>
  <c r="L128" i="16"/>
  <c r="L130" i="16"/>
  <c r="L132" i="16"/>
  <c r="M73" i="16"/>
  <c r="M78" i="16"/>
  <c r="M72" i="16"/>
  <c r="M74" i="16"/>
  <c r="M77" i="16"/>
  <c r="M79" i="16"/>
  <c r="U156" i="16"/>
  <c r="U165" i="16"/>
  <c r="U174" i="16"/>
  <c r="U150" i="16"/>
  <c r="U143" i="16"/>
  <c r="U180" i="16"/>
  <c r="U147" i="16"/>
  <c r="U162" i="16"/>
  <c r="R184" i="16"/>
  <c r="U184" i="16" s="1"/>
  <c r="U171" i="16"/>
  <c r="U159" i="16"/>
  <c r="U153" i="16"/>
  <c r="AP509" i="5" l="1"/>
  <c r="AR508" i="5"/>
  <c r="AQ508" i="5" s="1"/>
  <c r="AX496" i="5"/>
  <c r="AW496" i="5"/>
  <c r="BC220" i="16"/>
  <c r="AR570" i="5"/>
  <c r="AX560" i="5"/>
  <c r="AQ569" i="5"/>
  <c r="BR220" i="16"/>
  <c r="BT220" i="16"/>
  <c r="BL220" i="16"/>
  <c r="BJ220" i="16"/>
  <c r="AH220" i="16"/>
  <c r="AE220" i="16"/>
  <c r="BO326" i="10"/>
  <c r="BO322" i="10" s="1"/>
  <c r="BR326" i="10"/>
  <c r="AC221" i="16"/>
  <c r="P87" i="16"/>
  <c r="O87" i="16" s="1"/>
  <c r="M86" i="16"/>
  <c r="M85" i="16"/>
  <c r="M70" i="16"/>
  <c r="AZ220" i="16"/>
  <c r="BB220" i="16"/>
  <c r="BA220" i="16"/>
  <c r="AQ220" i="16"/>
  <c r="AP220" i="16"/>
  <c r="AY219" i="16"/>
  <c r="BG219" i="16" s="1"/>
  <c r="AO219" i="16"/>
  <c r="AD220" i="16"/>
  <c r="CA220" i="16"/>
  <c r="AI219" i="16"/>
  <c r="R121" i="16"/>
  <c r="P129" i="16"/>
  <c r="O129" i="16" s="1"/>
  <c r="R100" i="16"/>
  <c r="P88" i="16"/>
  <c r="O88" i="16" s="1"/>
  <c r="P104" i="16"/>
  <c r="O104" i="16" s="1"/>
  <c r="P120" i="16"/>
  <c r="O120" i="16" s="1"/>
  <c r="P136" i="16"/>
  <c r="O136" i="16" s="1"/>
  <c r="P85" i="16"/>
  <c r="O85" i="16" s="1"/>
  <c r="R95" i="16"/>
  <c r="R111" i="16"/>
  <c r="R127" i="16"/>
  <c r="P109" i="16"/>
  <c r="O109" i="16" s="1"/>
  <c r="R83" i="16"/>
  <c r="R128" i="16"/>
  <c r="P99" i="16"/>
  <c r="O99" i="16" s="1"/>
  <c r="P115" i="16"/>
  <c r="O115" i="16" s="1"/>
  <c r="P131" i="16"/>
  <c r="O131" i="16" s="1"/>
  <c r="P80" i="16"/>
  <c r="R90" i="16"/>
  <c r="R106" i="16"/>
  <c r="R122" i="16"/>
  <c r="P93" i="16"/>
  <c r="O93" i="16" s="1"/>
  <c r="R116" i="16"/>
  <c r="P94" i="16"/>
  <c r="O94" i="16" s="1"/>
  <c r="P110" i="16"/>
  <c r="O110" i="16" s="1"/>
  <c r="P126" i="16"/>
  <c r="O126" i="16" s="1"/>
  <c r="R84" i="16"/>
  <c r="R101" i="16"/>
  <c r="R117" i="16"/>
  <c r="R133" i="16"/>
  <c r="P113" i="16"/>
  <c r="O113" i="16" s="1"/>
  <c r="R88" i="16"/>
  <c r="R132" i="16"/>
  <c r="P100" i="16"/>
  <c r="O100" i="16" s="1"/>
  <c r="P116" i="16"/>
  <c r="O116" i="16" s="1"/>
  <c r="P132" i="16"/>
  <c r="O132" i="16" s="1"/>
  <c r="P81" i="16"/>
  <c r="O81" i="16" s="1"/>
  <c r="R91" i="16"/>
  <c r="R107" i="16"/>
  <c r="R123" i="16"/>
  <c r="P97" i="16"/>
  <c r="O97" i="16" s="1"/>
  <c r="R120" i="16"/>
  <c r="P95" i="16"/>
  <c r="O95" i="16" s="1"/>
  <c r="P111" i="16"/>
  <c r="O111" i="16" s="1"/>
  <c r="P127" i="16"/>
  <c r="O127" i="16" s="1"/>
  <c r="O80" i="16"/>
  <c r="R85" i="16"/>
  <c r="R102" i="16"/>
  <c r="R118" i="16"/>
  <c r="R134" i="16"/>
  <c r="P125" i="16"/>
  <c r="O125" i="16" s="1"/>
  <c r="R104" i="16"/>
  <c r="P90" i="16"/>
  <c r="O90" i="16" s="1"/>
  <c r="P106" i="16"/>
  <c r="O106" i="16" s="1"/>
  <c r="P122" i="16"/>
  <c r="O122" i="16" s="1"/>
  <c r="R80" i="16"/>
  <c r="R97" i="16"/>
  <c r="R113" i="16"/>
  <c r="R129" i="16"/>
  <c r="P101" i="16"/>
  <c r="O101" i="16" s="1"/>
  <c r="P82" i="16"/>
  <c r="O82" i="16" s="1"/>
  <c r="R124" i="16"/>
  <c r="P96" i="16"/>
  <c r="O96" i="16" s="1"/>
  <c r="P112" i="16"/>
  <c r="O112" i="16" s="1"/>
  <c r="P128" i="16"/>
  <c r="O128" i="16" s="1"/>
  <c r="R87" i="16"/>
  <c r="R103" i="16"/>
  <c r="R119" i="16"/>
  <c r="R135" i="16"/>
  <c r="P133" i="16"/>
  <c r="O133" i="16" s="1"/>
  <c r="R108" i="16"/>
  <c r="P91" i="16"/>
  <c r="O91" i="16" s="1"/>
  <c r="P107" i="16"/>
  <c r="O107" i="16" s="1"/>
  <c r="P123" i="16"/>
  <c r="O123" i="16" s="1"/>
  <c r="R81" i="16"/>
  <c r="R98" i="16"/>
  <c r="R114" i="16"/>
  <c r="R130" i="16"/>
  <c r="P117" i="16"/>
  <c r="O117" i="16" s="1"/>
  <c r="R92" i="16"/>
  <c r="P86" i="16"/>
  <c r="O86" i="16" s="1"/>
  <c r="P102" i="16"/>
  <c r="O102" i="16" s="1"/>
  <c r="P118" i="16"/>
  <c r="O118" i="16" s="1"/>
  <c r="P134" i="16"/>
  <c r="O134" i="16" s="1"/>
  <c r="P83" i="16"/>
  <c r="O83" i="16" s="1"/>
  <c r="R93" i="16"/>
  <c r="R109" i="16"/>
  <c r="R125" i="16"/>
  <c r="P89" i="16"/>
  <c r="O89" i="16" s="1"/>
  <c r="R112" i="16"/>
  <c r="P92" i="16"/>
  <c r="O92" i="16" s="1"/>
  <c r="P108" i="16"/>
  <c r="O108" i="16" s="1"/>
  <c r="P124" i="16"/>
  <c r="O124" i="16" s="1"/>
  <c r="M87" i="16"/>
  <c r="R82" i="16"/>
  <c r="R99" i="16"/>
  <c r="R115" i="16"/>
  <c r="R131" i="16"/>
  <c r="P121" i="16"/>
  <c r="O121" i="16" s="1"/>
  <c r="R96" i="16"/>
  <c r="P103" i="16"/>
  <c r="O103" i="16" s="1"/>
  <c r="P119" i="16"/>
  <c r="O119" i="16" s="1"/>
  <c r="P135" i="16"/>
  <c r="O135" i="16" s="1"/>
  <c r="P84" i="16"/>
  <c r="O84" i="16" s="1"/>
  <c r="R94" i="16"/>
  <c r="R110" i="16"/>
  <c r="R126" i="16"/>
  <c r="P105" i="16"/>
  <c r="O105" i="16" s="1"/>
  <c r="R86" i="16"/>
  <c r="R136" i="16"/>
  <c r="P98" i="16"/>
  <c r="O98" i="16" s="1"/>
  <c r="P114" i="16"/>
  <c r="O114" i="16" s="1"/>
  <c r="P130" i="16"/>
  <c r="O130" i="16" s="1"/>
  <c r="R89" i="16"/>
  <c r="R105" i="16"/>
  <c r="M80" i="16"/>
  <c r="M88" i="16"/>
  <c r="M97" i="16"/>
  <c r="M82" i="16"/>
  <c r="M90" i="16"/>
  <c r="M95" i="16"/>
  <c r="M99" i="16"/>
  <c r="M103" i="16"/>
  <c r="M107" i="16"/>
  <c r="M111" i="16"/>
  <c r="M115" i="16"/>
  <c r="M119" i="16"/>
  <c r="M123" i="16"/>
  <c r="M127" i="16"/>
  <c r="M131" i="16"/>
  <c r="M135" i="16"/>
  <c r="M94" i="16"/>
  <c r="M83" i="16"/>
  <c r="M91" i="16"/>
  <c r="M96" i="16"/>
  <c r="M100" i="16"/>
  <c r="M104" i="16"/>
  <c r="M108" i="16"/>
  <c r="M112" i="16"/>
  <c r="M116" i="16"/>
  <c r="M120" i="16"/>
  <c r="M124" i="16"/>
  <c r="M128" i="16"/>
  <c r="M132" i="16"/>
  <c r="M136" i="16"/>
  <c r="M84" i="16"/>
  <c r="M92" i="16"/>
  <c r="M101" i="16"/>
  <c r="M105" i="16"/>
  <c r="M109" i="16"/>
  <c r="M113" i="16"/>
  <c r="M117" i="16"/>
  <c r="M121" i="16"/>
  <c r="M125" i="16"/>
  <c r="M129" i="16"/>
  <c r="M133" i="16"/>
  <c r="M81" i="16"/>
  <c r="M89" i="16"/>
  <c r="M93" i="16"/>
  <c r="M98" i="16"/>
  <c r="M102" i="16"/>
  <c r="M106" i="16"/>
  <c r="M110" i="16"/>
  <c r="M114" i="16"/>
  <c r="M118" i="16"/>
  <c r="M122" i="16"/>
  <c r="M126" i="16"/>
  <c r="M130" i="16"/>
  <c r="M134" i="16"/>
  <c r="B6" i="20"/>
  <c r="AR509" i="5" l="1"/>
  <c r="AQ509" i="5" s="1"/>
  <c r="AT505" i="5" s="1"/>
  <c r="AP510" i="5"/>
  <c r="BC221" i="16"/>
  <c r="BR221" i="16"/>
  <c r="BT221" i="16"/>
  <c r="BL221" i="16"/>
  <c r="BJ221" i="16"/>
  <c r="AW299" i="10"/>
  <c r="AH221" i="16"/>
  <c r="AE221" i="16"/>
  <c r="BR322" i="10"/>
  <c r="BU326" i="10"/>
  <c r="BU322" i="10" s="1"/>
  <c r="AC222" i="16"/>
  <c r="S70" i="16"/>
  <c r="Q215" i="10"/>
  <c r="BA221" i="16"/>
  <c r="AY220" i="16"/>
  <c r="BG220" i="16" s="1"/>
  <c r="AZ221" i="16"/>
  <c r="AQ221" i="16"/>
  <c r="AP221" i="16"/>
  <c r="BB221" i="16"/>
  <c r="AO220" i="16"/>
  <c r="CA221" i="16"/>
  <c r="AI220" i="16"/>
  <c r="AD221" i="16"/>
  <c r="R70" i="16"/>
  <c r="AM225" i="10"/>
  <c r="AM226" i="10"/>
  <c r="AM229" i="10"/>
  <c r="AJ229" i="10"/>
  <c r="AM228" i="10"/>
  <c r="AM227" i="10"/>
  <c r="AM221" i="10"/>
  <c r="AM219" i="10"/>
  <c r="AR219" i="10" s="1"/>
  <c r="AM222" i="10"/>
  <c r="AM218" i="10"/>
  <c r="AR218" i="10" s="1"/>
  <c r="AM220" i="10"/>
  <c r="AR220" i="10" s="1"/>
  <c r="AM223" i="10"/>
  <c r="AM224" i="10"/>
  <c r="AJ220" i="10"/>
  <c r="AO220" i="10" s="1"/>
  <c r="AJ218" i="10"/>
  <c r="AO218" i="10" s="1"/>
  <c r="AM230" i="10"/>
  <c r="AM231" i="10"/>
  <c r="AJ221" i="10"/>
  <c r="AJ224" i="10"/>
  <c r="AJ219" i="10"/>
  <c r="AO219" i="10" s="1"/>
  <c r="AR22" i="20"/>
  <c r="AR26" i="20"/>
  <c r="AK26" i="20"/>
  <c r="AD26" i="20"/>
  <c r="W26" i="20"/>
  <c r="P26" i="20"/>
  <c r="I26" i="20"/>
  <c r="B26" i="20"/>
  <c r="AK18" i="20"/>
  <c r="AD18" i="20"/>
  <c r="W18" i="20"/>
  <c r="P18" i="20"/>
  <c r="I18" i="20"/>
  <c r="B18" i="20"/>
  <c r="AR24" i="20"/>
  <c r="AK24" i="20"/>
  <c r="AD24" i="20"/>
  <c r="W24" i="20"/>
  <c r="P24" i="20"/>
  <c r="I24" i="20"/>
  <c r="B24" i="20"/>
  <c r="AR16" i="20"/>
  <c r="AK16" i="20"/>
  <c r="AD16" i="20"/>
  <c r="W16" i="20"/>
  <c r="P16" i="20"/>
  <c r="I16" i="20"/>
  <c r="B16" i="20"/>
  <c r="AD22" i="20"/>
  <c r="AK22" i="20"/>
  <c r="W22" i="20"/>
  <c r="P22" i="20"/>
  <c r="I22" i="20"/>
  <c r="AR14" i="20"/>
  <c r="AK14" i="20"/>
  <c r="AD14" i="20"/>
  <c r="W14" i="20"/>
  <c r="P14" i="20"/>
  <c r="I14" i="20"/>
  <c r="B14" i="20"/>
  <c r="Z9" i="20"/>
  <c r="S9" i="20"/>
  <c r="L9" i="20"/>
  <c r="B22" i="20"/>
  <c r="AX505" i="5" l="1"/>
  <c r="AR510" i="5"/>
  <c r="AU505" i="5" s="1"/>
  <c r="AP511" i="5"/>
  <c r="BC222" i="16"/>
  <c r="BT222" i="16"/>
  <c r="BR222" i="16"/>
  <c r="BL222" i="16"/>
  <c r="BJ222" i="16"/>
  <c r="AH222" i="16"/>
  <c r="AE222" i="16"/>
  <c r="BX326" i="10"/>
  <c r="BX322" i="10" s="1"/>
  <c r="T70" i="16"/>
  <c r="Q214" i="10" s="1"/>
  <c r="AC223" i="16"/>
  <c r="AY221" i="16"/>
  <c r="BG221" i="16" s="1"/>
  <c r="BB222" i="16"/>
  <c r="AP222" i="16"/>
  <c r="AQ222" i="16"/>
  <c r="AZ222" i="16"/>
  <c r="BA222" i="16"/>
  <c r="AO221" i="16"/>
  <c r="CA222" i="16"/>
  <c r="AI221" i="16"/>
  <c r="AD222" i="16"/>
  <c r="AJ222" i="10"/>
  <c r="AJ227" i="10"/>
  <c r="AJ223" i="10"/>
  <c r="AJ228" i="10"/>
  <c r="AJ230" i="10"/>
  <c r="AP20" i="19"/>
  <c r="AP21" i="19"/>
  <c r="AP19" i="19"/>
  <c r="I6" i="20"/>
  <c r="P6" i="20" s="1"/>
  <c r="W6" i="20" s="1"/>
  <c r="AD6" i="20" s="1"/>
  <c r="AK6" i="20" s="1"/>
  <c r="AR6" i="20" s="1"/>
  <c r="B78" i="20"/>
  <c r="AU245" i="19"/>
  <c r="AO245" i="19"/>
  <c r="AI245" i="19"/>
  <c r="AC245" i="19"/>
  <c r="W245" i="19"/>
  <c r="Q245" i="19"/>
  <c r="K245" i="19"/>
  <c r="E245" i="19"/>
  <c r="AR511" i="5" l="1"/>
  <c r="AY505" i="5" s="1"/>
  <c r="AP512" i="5"/>
  <c r="BC223" i="16"/>
  <c r="BR223" i="16"/>
  <c r="BT223" i="16"/>
  <c r="BL223" i="16"/>
  <c r="BJ223" i="16"/>
  <c r="AH223" i="16"/>
  <c r="AE223" i="16"/>
  <c r="AC224" i="16"/>
  <c r="AP219" i="19"/>
  <c r="CK130" i="12"/>
  <c r="AP221" i="19"/>
  <c r="CK132" i="12"/>
  <c r="AP220" i="19"/>
  <c r="CK131" i="12"/>
  <c r="BA223" i="16"/>
  <c r="AP223" i="16"/>
  <c r="AZ223" i="16"/>
  <c r="AY222" i="16"/>
  <c r="BG222" i="16" s="1"/>
  <c r="AQ223" i="16"/>
  <c r="BB223" i="16"/>
  <c r="AO222" i="16"/>
  <c r="AI222" i="16"/>
  <c r="CA223" i="16"/>
  <c r="AD223" i="16"/>
  <c r="CA326" i="10"/>
  <c r="CA322" i="10" s="1"/>
  <c r="AJ225" i="10"/>
  <c r="AR512" i="5" l="1"/>
  <c r="AV505" i="5" s="1"/>
  <c r="AP513" i="5"/>
  <c r="BC224" i="16"/>
  <c r="BR224" i="16"/>
  <c r="BT224" i="16"/>
  <c r="BJ224" i="16"/>
  <c r="BL224" i="16"/>
  <c r="AH224" i="16"/>
  <c r="AE224" i="16"/>
  <c r="AC225" i="16"/>
  <c r="AY223" i="16"/>
  <c r="BG223" i="16" s="1"/>
  <c r="AQ224" i="16"/>
  <c r="AZ224" i="16"/>
  <c r="AP224" i="16"/>
  <c r="BB224" i="16"/>
  <c r="BA224" i="16"/>
  <c r="AO223" i="16"/>
  <c r="AI223" i="16"/>
  <c r="CA224" i="16"/>
  <c r="AD224" i="16"/>
  <c r="CD326" i="10"/>
  <c r="CD322" i="10" s="1"/>
  <c r="AJ231" i="10"/>
  <c r="AO231" i="10" s="1"/>
  <c r="AJ226" i="10"/>
  <c r="AO226" i="10" s="1"/>
  <c r="AR228" i="10"/>
  <c r="AR224" i="10"/>
  <c r="AR231" i="10"/>
  <c r="AR227" i="10"/>
  <c r="AR223" i="10"/>
  <c r="AO229" i="10"/>
  <c r="AO225" i="10"/>
  <c r="AO230" i="10"/>
  <c r="AO222" i="10"/>
  <c r="AR230" i="10"/>
  <c r="AR222" i="10"/>
  <c r="AR229" i="10"/>
  <c r="AR225" i="10"/>
  <c r="AR221" i="10"/>
  <c r="AO223" i="10"/>
  <c r="AO228" i="10"/>
  <c r="AO224" i="10"/>
  <c r="AO221" i="10"/>
  <c r="AO227" i="10"/>
  <c r="AR226" i="10"/>
  <c r="AR513" i="5" l="1"/>
  <c r="AQ513" i="5" s="1"/>
  <c r="AW505" i="5" s="1"/>
  <c r="AP514" i="5"/>
  <c r="BC225" i="16"/>
  <c r="BR225" i="16"/>
  <c r="BT225" i="16"/>
  <c r="BJ225" i="16"/>
  <c r="BL225" i="16"/>
  <c r="AH225" i="16"/>
  <c r="AE225" i="16"/>
  <c r="AC226" i="16"/>
  <c r="AY224" i="16"/>
  <c r="BG224" i="16" s="1"/>
  <c r="BA225" i="16"/>
  <c r="BB225" i="16"/>
  <c r="AZ225" i="16"/>
  <c r="AP225" i="16"/>
  <c r="AQ225" i="16"/>
  <c r="AO224" i="16"/>
  <c r="CA225" i="16"/>
  <c r="AD225" i="16"/>
  <c r="AI224" i="16"/>
  <c r="CG326" i="10"/>
  <c r="CG322" i="10" s="1"/>
  <c r="AP22" i="19"/>
  <c r="AP29" i="19"/>
  <c r="AP26" i="19"/>
  <c r="AP27" i="19"/>
  <c r="AP24" i="19"/>
  <c r="AP32" i="19"/>
  <c r="AP25" i="19"/>
  <c r="AP30" i="19"/>
  <c r="AP23" i="19"/>
  <c r="AP31" i="19"/>
  <c r="AP28" i="19"/>
  <c r="AP49" i="19"/>
  <c r="AO49" i="19"/>
  <c r="AD49" i="19"/>
  <c r="AC49" i="19"/>
  <c r="R49" i="19"/>
  <c r="Q49" i="19"/>
  <c r="F49" i="19"/>
  <c r="AT47" i="19"/>
  <c r="AN47" i="19"/>
  <c r="AH47" i="19"/>
  <c r="AB47" i="19"/>
  <c r="V47" i="19"/>
  <c r="P47" i="19"/>
  <c r="J47" i="19"/>
  <c r="D47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AR514" i="5" l="1"/>
  <c r="AQ514" i="5" s="1"/>
  <c r="AP515" i="5"/>
  <c r="AT566" i="5"/>
  <c r="AU566" i="5" s="1"/>
  <c r="AV566" i="5"/>
  <c r="BC226" i="16"/>
  <c r="AT572" i="5"/>
  <c r="AW572" i="5" s="1"/>
  <c r="AR577" i="5"/>
  <c r="BR226" i="16"/>
  <c r="BT226" i="16"/>
  <c r="BL226" i="16"/>
  <c r="BJ226" i="16"/>
  <c r="AH226" i="16"/>
  <c r="AE226" i="16"/>
  <c r="AC227" i="16"/>
  <c r="AT247" i="19"/>
  <c r="CO158" i="12"/>
  <c r="AN247" i="19"/>
  <c r="CI158" i="12"/>
  <c r="AH247" i="19"/>
  <c r="CC158" i="12"/>
  <c r="AB247" i="19"/>
  <c r="BW158" i="12"/>
  <c r="V247" i="19"/>
  <c r="BQ158" i="12"/>
  <c r="P247" i="19"/>
  <c r="BK158" i="12"/>
  <c r="J247" i="19"/>
  <c r="BE158" i="12"/>
  <c r="D247" i="19"/>
  <c r="AY158" i="12"/>
  <c r="AO249" i="19"/>
  <c r="CL160" i="12"/>
  <c r="AP249" i="19"/>
  <c r="CN160" i="12"/>
  <c r="AD249" i="19"/>
  <c r="CB160" i="12"/>
  <c r="AC249" i="19"/>
  <c r="BZ160" i="12"/>
  <c r="Q249" i="19"/>
  <c r="BN160" i="12"/>
  <c r="R249" i="19"/>
  <c r="BP160" i="12"/>
  <c r="F249" i="19"/>
  <c r="BD160" i="12"/>
  <c r="AP230" i="19"/>
  <c r="CK141" i="12"/>
  <c r="AP227" i="19"/>
  <c r="CK138" i="12"/>
  <c r="AP228" i="19"/>
  <c r="CK139" i="12"/>
  <c r="AP225" i="19"/>
  <c r="CK136" i="12"/>
  <c r="AP226" i="19"/>
  <c r="CK137" i="12"/>
  <c r="AP231" i="19"/>
  <c r="CK142" i="12"/>
  <c r="AP232" i="19"/>
  <c r="CK143" i="12"/>
  <c r="AP229" i="19"/>
  <c r="CK140" i="12"/>
  <c r="AP223" i="19"/>
  <c r="CK134" i="12"/>
  <c r="AP224" i="19"/>
  <c r="CK135" i="12"/>
  <c r="AP222" i="19"/>
  <c r="CK133" i="12"/>
  <c r="AY225" i="16"/>
  <c r="BG225" i="16" s="1"/>
  <c r="AQ226" i="16"/>
  <c r="AP226" i="16"/>
  <c r="AZ226" i="16"/>
  <c r="BB226" i="16"/>
  <c r="BA226" i="16"/>
  <c r="AO225" i="16"/>
  <c r="AD226" i="16"/>
  <c r="CA226" i="16"/>
  <c r="AI225" i="16"/>
  <c r="CJ326" i="10"/>
  <c r="CJ322" i="10" s="1"/>
  <c r="B43" i="19"/>
  <c r="FB457" i="10"/>
  <c r="CZ457" i="10"/>
  <c r="EA457" i="10"/>
  <c r="BY457" i="10"/>
  <c r="M6" i="12"/>
  <c r="Q25" i="12"/>
  <c r="AI12" i="12"/>
  <c r="AG12" i="12"/>
  <c r="AH31" i="12" s="1"/>
  <c r="AB12" i="12"/>
  <c r="Z12" i="12"/>
  <c r="AA31" i="12" s="1"/>
  <c r="U12" i="12"/>
  <c r="S12" i="12"/>
  <c r="T31" i="12" s="1"/>
  <c r="N12" i="12"/>
  <c r="L12" i="12"/>
  <c r="M31" i="12" s="1"/>
  <c r="AI13" i="12"/>
  <c r="AG13" i="12"/>
  <c r="AB13" i="12"/>
  <c r="Z13" i="12"/>
  <c r="U13" i="12"/>
  <c r="S13" i="12"/>
  <c r="N13" i="12"/>
  <c r="G13" i="12"/>
  <c r="AE25" i="12"/>
  <c r="AE17" i="12"/>
  <c r="X25" i="12"/>
  <c r="X17" i="12"/>
  <c r="Q17" i="12"/>
  <c r="J25" i="12"/>
  <c r="J17" i="12"/>
  <c r="G12" i="12"/>
  <c r="E12" i="12"/>
  <c r="C25" i="12"/>
  <c r="AY566" i="5" l="1"/>
  <c r="AR515" i="5"/>
  <c r="AP516" i="5"/>
  <c r="AP517" i="5" s="1"/>
  <c r="AW566" i="5"/>
  <c r="AX566" i="5"/>
  <c r="AU572" i="5"/>
  <c r="BC227" i="16"/>
  <c r="AX572" i="5"/>
  <c r="AR578" i="5"/>
  <c r="BR227" i="16"/>
  <c r="BT227" i="16"/>
  <c r="BL227" i="16"/>
  <c r="BJ227" i="16"/>
  <c r="AH227" i="16"/>
  <c r="AE227" i="16"/>
  <c r="CM326" i="10"/>
  <c r="CM322" i="10" s="1"/>
  <c r="AC228" i="16"/>
  <c r="N43" i="19"/>
  <c r="Z43" i="19" s="1"/>
  <c r="BA227" i="16"/>
  <c r="AY226" i="16"/>
  <c r="BG226" i="16" s="1"/>
  <c r="BB227" i="16"/>
  <c r="AQ227" i="16"/>
  <c r="AZ227" i="16"/>
  <c r="AP227" i="16"/>
  <c r="AO226" i="16"/>
  <c r="AI226" i="16"/>
  <c r="AD227" i="16"/>
  <c r="CA227" i="16"/>
  <c r="C92" i="12"/>
  <c r="BC449" i="10"/>
  <c r="CD449" i="10" s="1"/>
  <c r="DE449" i="10" s="1"/>
  <c r="EF449" i="10" s="1"/>
  <c r="AP518" i="5" l="1"/>
  <c r="AR517" i="5"/>
  <c r="AU512" i="5" s="1"/>
  <c r="BC228" i="16"/>
  <c r="AY572" i="5"/>
  <c r="AQ578" i="5"/>
  <c r="AR579" i="5"/>
  <c r="AV572" i="5" s="1"/>
  <c r="BR228" i="16"/>
  <c r="BT228" i="16"/>
  <c r="BL228" i="16"/>
  <c r="BJ228" i="16"/>
  <c r="AH228" i="16"/>
  <c r="AE228" i="16"/>
  <c r="AC229" i="16"/>
  <c r="AY227" i="16"/>
  <c r="BG227" i="16" s="1"/>
  <c r="AZ228" i="16"/>
  <c r="AQ228" i="16"/>
  <c r="BB228" i="16"/>
  <c r="AP228" i="16"/>
  <c r="BA228" i="16"/>
  <c r="AO227" i="16"/>
  <c r="CA228" i="16"/>
  <c r="AD228" i="16"/>
  <c r="AI227" i="16"/>
  <c r="CP326" i="10"/>
  <c r="CP322" i="10" s="1"/>
  <c r="AL43" i="19"/>
  <c r="AR518" i="5" l="1"/>
  <c r="AQ518" i="5" s="1"/>
  <c r="AT514" i="5" s="1"/>
  <c r="AP519" i="5"/>
  <c r="BC229" i="16"/>
  <c r="BR229" i="16"/>
  <c r="BT229" i="16"/>
  <c r="BJ229" i="16"/>
  <c r="BL229" i="16"/>
  <c r="AH229" i="16"/>
  <c r="AE229" i="16"/>
  <c r="CS326" i="10"/>
  <c r="CS322" i="10" s="1"/>
  <c r="AC230" i="16"/>
  <c r="AY228" i="16"/>
  <c r="BG228" i="16" s="1"/>
  <c r="AQ229" i="16"/>
  <c r="BA229" i="16"/>
  <c r="AP229" i="16"/>
  <c r="BB229" i="16"/>
  <c r="AZ229" i="16"/>
  <c r="AO228" i="16"/>
  <c r="AI228" i="16"/>
  <c r="AD229" i="16"/>
  <c r="CA229" i="16"/>
  <c r="R14" i="6"/>
  <c r="A8" i="16"/>
  <c r="AR519" i="5" l="1"/>
  <c r="AV512" i="5" s="1"/>
  <c r="AP520" i="5"/>
  <c r="AU514" i="5"/>
  <c r="AX514" i="5"/>
  <c r="BC230" i="16"/>
  <c r="BR230" i="16"/>
  <c r="BT230" i="16"/>
  <c r="BJ230" i="16"/>
  <c r="BL230" i="16"/>
  <c r="AH230" i="16"/>
  <c r="AE230" i="16"/>
  <c r="CV326" i="10"/>
  <c r="CV322" i="10" s="1"/>
  <c r="AC231" i="16"/>
  <c r="AY229" i="16"/>
  <c r="BG229" i="16" s="1"/>
  <c r="AZ230" i="16"/>
  <c r="BB230" i="16"/>
  <c r="AP230" i="16"/>
  <c r="BA230" i="16"/>
  <c r="AQ230" i="16"/>
  <c r="AO229" i="16"/>
  <c r="U74" i="6"/>
  <c r="Q74" i="6"/>
  <c r="S74" i="6"/>
  <c r="CA230" i="16"/>
  <c r="S14" i="6"/>
  <c r="U57" i="6"/>
  <c r="S57" i="6"/>
  <c r="U14" i="6"/>
  <c r="Q57" i="6"/>
  <c r="T14" i="6"/>
  <c r="Q14" i="6"/>
  <c r="V14" i="6"/>
  <c r="AD230" i="16"/>
  <c r="AI229" i="16"/>
  <c r="AR520" i="5" l="1"/>
  <c r="AP521" i="5"/>
  <c r="BC231" i="16"/>
  <c r="BR231" i="16"/>
  <c r="BT231" i="16"/>
  <c r="BJ231" i="16"/>
  <c r="BL231" i="16"/>
  <c r="O14" i="6"/>
  <c r="O74" i="6"/>
  <c r="AH231" i="16"/>
  <c r="AE231" i="16"/>
  <c r="CY326" i="10"/>
  <c r="CY322" i="10" s="1"/>
  <c r="AC232" i="16"/>
  <c r="AY230" i="16"/>
  <c r="BG230" i="16" s="1"/>
  <c r="AQ231" i="16"/>
  <c r="BA231" i="16"/>
  <c r="AP231" i="16"/>
  <c r="BB231" i="16"/>
  <c r="AZ231" i="16"/>
  <c r="AO230" i="16"/>
  <c r="CA231" i="16"/>
  <c r="AI230" i="16"/>
  <c r="AD231" i="16"/>
  <c r="O57" i="6"/>
  <c r="P14" i="6"/>
  <c r="Z72" i="12"/>
  <c r="I28" i="18"/>
  <c r="I26" i="18"/>
  <c r="I24" i="18"/>
  <c r="I22" i="18"/>
  <c r="I20" i="18"/>
  <c r="I18" i="18"/>
  <c r="I16" i="18"/>
  <c r="I14" i="18"/>
  <c r="I12" i="18"/>
  <c r="I8" i="18"/>
  <c r="I10" i="18"/>
  <c r="AR521" i="5" l="1"/>
  <c r="AQ521" i="5" s="1"/>
  <c r="AP522" i="5"/>
  <c r="AX512" i="5"/>
  <c r="AY514" i="5"/>
  <c r="AT575" i="5"/>
  <c r="AU575" i="5"/>
  <c r="AY575" i="5"/>
  <c r="AV575" i="5"/>
  <c r="BC232" i="16"/>
  <c r="AW575" i="5"/>
  <c r="BR232" i="16"/>
  <c r="BT232" i="16"/>
  <c r="BL232" i="16"/>
  <c r="BJ232" i="16"/>
  <c r="AH232" i="16"/>
  <c r="AE232" i="16"/>
  <c r="DB326" i="10"/>
  <c r="DB322" i="10" s="1"/>
  <c r="AC233" i="16"/>
  <c r="CN427" i="10"/>
  <c r="AY231" i="16"/>
  <c r="BG231" i="16" s="1"/>
  <c r="BB232" i="16"/>
  <c r="AZ232" i="16"/>
  <c r="AP232" i="16"/>
  <c r="BA232" i="16"/>
  <c r="AQ232" i="16"/>
  <c r="AO231" i="16"/>
  <c r="AI231" i="16"/>
  <c r="CA232" i="16"/>
  <c r="AD232" i="16"/>
  <c r="J14" i="18"/>
  <c r="P14" i="18"/>
  <c r="J22" i="18"/>
  <c r="P22" i="18"/>
  <c r="J10" i="18"/>
  <c r="P10" i="18"/>
  <c r="J16" i="18"/>
  <c r="P16" i="18"/>
  <c r="J24" i="18"/>
  <c r="P24" i="18"/>
  <c r="J8" i="18"/>
  <c r="P8" i="18"/>
  <c r="J18" i="18"/>
  <c r="P18" i="18"/>
  <c r="J26" i="18"/>
  <c r="P26" i="18"/>
  <c r="J12" i="18"/>
  <c r="P12" i="18"/>
  <c r="J20" i="18"/>
  <c r="P20" i="18"/>
  <c r="J28" i="18"/>
  <c r="P28" i="18"/>
  <c r="Y71" i="19"/>
  <c r="Q7" i="18"/>
  <c r="B7" i="18" s="1"/>
  <c r="AA7" i="18" s="1"/>
  <c r="AR522" i="5" l="1"/>
  <c r="AQ522" i="5" s="1"/>
  <c r="AP523" i="5"/>
  <c r="AW514" i="5"/>
  <c r="AV514" i="5"/>
  <c r="BC233" i="16"/>
  <c r="AR587" i="5"/>
  <c r="AQ587" i="5" s="1"/>
  <c r="BR233" i="16"/>
  <c r="BT233" i="16"/>
  <c r="BJ233" i="16"/>
  <c r="BL233" i="16"/>
  <c r="K41" i="19"/>
  <c r="K39" i="19"/>
  <c r="K37" i="19"/>
  <c r="K35" i="19"/>
  <c r="AI38" i="19"/>
  <c r="V37" i="19"/>
  <c r="V40" i="19"/>
  <c r="V38" i="19"/>
  <c r="V36" i="19"/>
  <c r="AI41" i="19"/>
  <c r="AI37" i="19"/>
  <c r="V41" i="19"/>
  <c r="V35" i="19"/>
  <c r="K40" i="19"/>
  <c r="K38" i="19"/>
  <c r="K36" i="19"/>
  <c r="AI40" i="19"/>
  <c r="AI36" i="19"/>
  <c r="V39" i="19"/>
  <c r="AI39" i="19"/>
  <c r="AI35" i="19"/>
  <c r="AI34" i="19"/>
  <c r="B38" i="19"/>
  <c r="B41" i="19"/>
  <c r="B36" i="19"/>
  <c r="V34" i="19"/>
  <c r="B40" i="19"/>
  <c r="B35" i="19"/>
  <c r="B39" i="19"/>
  <c r="B37" i="19"/>
  <c r="K34" i="19"/>
  <c r="AH233" i="16"/>
  <c r="AE233" i="16"/>
  <c r="DE326" i="10"/>
  <c r="DE322" i="10" s="1"/>
  <c r="AC234" i="16"/>
  <c r="AY232" i="16"/>
  <c r="BG232" i="16" s="1"/>
  <c r="AP233" i="16"/>
  <c r="AQ233" i="16"/>
  <c r="AZ233" i="16"/>
  <c r="BA233" i="16"/>
  <c r="BB233" i="16"/>
  <c r="AO232" i="16"/>
  <c r="AI232" i="16"/>
  <c r="CA233" i="16"/>
  <c r="AD233" i="16"/>
  <c r="B34" i="19"/>
  <c r="U8" i="18"/>
  <c r="B8" i="18" s="1"/>
  <c r="E8" i="18" s="1"/>
  <c r="U9" i="18"/>
  <c r="B9" i="18" s="1"/>
  <c r="E9" i="18" s="1"/>
  <c r="U10" i="18"/>
  <c r="B10" i="18" s="1"/>
  <c r="U11" i="18"/>
  <c r="B11" i="18" s="1"/>
  <c r="U12" i="18"/>
  <c r="B12" i="18" s="1"/>
  <c r="U13" i="18"/>
  <c r="B13" i="18" s="1"/>
  <c r="U14" i="18"/>
  <c r="B14" i="18" s="1"/>
  <c r="U15" i="18"/>
  <c r="B15" i="18" s="1"/>
  <c r="U16" i="18"/>
  <c r="B16" i="18" s="1"/>
  <c r="U17" i="18"/>
  <c r="B17" i="18" s="1"/>
  <c r="U18" i="18"/>
  <c r="B18" i="18" s="1"/>
  <c r="AJ426" i="10"/>
  <c r="AN426" i="10" s="1"/>
  <c r="AR426" i="10" s="1"/>
  <c r="AV426" i="10" s="1"/>
  <c r="AX432" i="10"/>
  <c r="AV432" i="10"/>
  <c r="AT432" i="10"/>
  <c r="AR432" i="10"/>
  <c r="AP432" i="10"/>
  <c r="AN432" i="10"/>
  <c r="AL432" i="10"/>
  <c r="AJ432" i="10"/>
  <c r="AH432" i="10"/>
  <c r="AF432" i="10"/>
  <c r="AR523" i="5" l="1"/>
  <c r="AQ523" i="5" s="1"/>
  <c r="AP524" i="5"/>
  <c r="BC234" i="16"/>
  <c r="AR588" i="5"/>
  <c r="BT234" i="16"/>
  <c r="BR234" i="16"/>
  <c r="BJ234" i="16"/>
  <c r="BL234" i="16"/>
  <c r="K236" i="19"/>
  <c r="BF147" i="12"/>
  <c r="K235" i="19"/>
  <c r="BF146" i="12"/>
  <c r="K238" i="19"/>
  <c r="BF149" i="12"/>
  <c r="K237" i="19"/>
  <c r="BF148" i="12"/>
  <c r="K234" i="19"/>
  <c r="BF145" i="12"/>
  <c r="K240" i="19"/>
  <c r="BF151" i="12"/>
  <c r="K239" i="19"/>
  <c r="BF150" i="12"/>
  <c r="K241" i="19"/>
  <c r="BF152" i="12"/>
  <c r="AH234" i="16"/>
  <c r="AE234" i="16"/>
  <c r="DH326" i="10"/>
  <c r="DH322" i="10" s="1"/>
  <c r="AC235" i="16"/>
  <c r="V240" i="19"/>
  <c r="BQ151" i="12"/>
  <c r="V239" i="19"/>
  <c r="BQ150" i="12"/>
  <c r="B239" i="19"/>
  <c r="AW150" i="12"/>
  <c r="AI236" i="19"/>
  <c r="CD147" i="12"/>
  <c r="AI240" i="19"/>
  <c r="CD151" i="12"/>
  <c r="V238" i="19"/>
  <c r="BQ149" i="12"/>
  <c r="V237" i="19"/>
  <c r="BQ148" i="12"/>
  <c r="B241" i="19"/>
  <c r="AW152" i="12"/>
  <c r="AI239" i="19"/>
  <c r="CD150" i="12"/>
  <c r="AI241" i="19"/>
  <c r="CD152" i="12"/>
  <c r="V235" i="19"/>
  <c r="BQ146" i="12"/>
  <c r="V241" i="19"/>
  <c r="BQ152" i="12"/>
  <c r="B240" i="19"/>
  <c r="AW151" i="12"/>
  <c r="AI235" i="19"/>
  <c r="CD146" i="12"/>
  <c r="AI237" i="19"/>
  <c r="CD148" i="12"/>
  <c r="AI234" i="19"/>
  <c r="CD145" i="12"/>
  <c r="AI238" i="19"/>
  <c r="CD149" i="12"/>
  <c r="V234" i="19"/>
  <c r="BQ145" i="12"/>
  <c r="V236" i="19"/>
  <c r="BQ147" i="12"/>
  <c r="B237" i="19"/>
  <c r="AW148" i="12"/>
  <c r="B234" i="19"/>
  <c r="AW145" i="12"/>
  <c r="AY233" i="16"/>
  <c r="BG233" i="16" s="1"/>
  <c r="AQ234" i="16"/>
  <c r="BB234" i="16"/>
  <c r="BA234" i="16"/>
  <c r="AZ234" i="16"/>
  <c r="AP234" i="16"/>
  <c r="AO233" i="16"/>
  <c r="CA234" i="16"/>
  <c r="AD234" i="16"/>
  <c r="AI233" i="16"/>
  <c r="W15" i="18"/>
  <c r="E15" i="18"/>
  <c r="W13" i="18"/>
  <c r="E13" i="18"/>
  <c r="W11" i="18"/>
  <c r="E11" i="18"/>
  <c r="W18" i="18"/>
  <c r="E18" i="18"/>
  <c r="F29" i="18" s="1"/>
  <c r="W16" i="18"/>
  <c r="E16" i="18"/>
  <c r="W14" i="18"/>
  <c r="E14" i="18"/>
  <c r="W12" i="18"/>
  <c r="E12" i="18"/>
  <c r="W10" i="18"/>
  <c r="E10" i="18"/>
  <c r="W8" i="18"/>
  <c r="C8" i="18" s="1"/>
  <c r="F8" i="18" s="1"/>
  <c r="W17" i="18"/>
  <c r="E17" i="18"/>
  <c r="W9" i="18"/>
  <c r="D18" i="18"/>
  <c r="D14" i="18"/>
  <c r="D12" i="18"/>
  <c r="D17" i="18"/>
  <c r="D15" i="18"/>
  <c r="D13" i="18"/>
  <c r="D11" i="18"/>
  <c r="D9" i="18"/>
  <c r="D16" i="18"/>
  <c r="D10" i="18"/>
  <c r="D8" i="18"/>
  <c r="BG80" i="10"/>
  <c r="AR524" i="5" l="1"/>
  <c r="AP525" i="5"/>
  <c r="BC235" i="16"/>
  <c r="AA3" i="18"/>
  <c r="AD3" i="18" s="1"/>
  <c r="BR235" i="16"/>
  <c r="BT235" i="16"/>
  <c r="BJ235" i="16"/>
  <c r="BL235" i="16"/>
  <c r="AH235" i="16"/>
  <c r="AE235" i="16"/>
  <c r="DK326" i="10"/>
  <c r="DK322" i="10" s="1"/>
  <c r="AC236" i="16"/>
  <c r="AY234" i="16"/>
  <c r="BG234" i="16" s="1"/>
  <c r="AP235" i="16"/>
  <c r="BA235" i="16"/>
  <c r="BB235" i="16"/>
  <c r="AZ235" i="16"/>
  <c r="AQ235" i="16"/>
  <c r="AO234" i="16"/>
  <c r="CA235" i="16"/>
  <c r="AD235" i="16"/>
  <c r="AI234" i="16"/>
  <c r="AB7" i="18"/>
  <c r="W7" i="18"/>
  <c r="D7" i="18"/>
  <c r="C7" i="18"/>
  <c r="F7" i="18"/>
  <c r="G7" i="18" s="1"/>
  <c r="C9" i="18"/>
  <c r="F10" i="18" s="1"/>
  <c r="T7" i="18"/>
  <c r="AR525" i="5" l="1"/>
  <c r="AP526" i="5"/>
  <c r="F9" i="18"/>
  <c r="H9" i="18" s="1"/>
  <c r="F11" i="18"/>
  <c r="G11" i="18" s="1"/>
  <c r="BC236" i="16"/>
  <c r="BR236" i="16"/>
  <c r="BT236" i="16"/>
  <c r="BL236" i="16"/>
  <c r="BJ236" i="16"/>
  <c r="AH236" i="16"/>
  <c r="AE236" i="16"/>
  <c r="DN326" i="10"/>
  <c r="DN322" i="10" s="1"/>
  <c r="AC237" i="16"/>
  <c r="AY235" i="16"/>
  <c r="BG235" i="16" s="1"/>
  <c r="BB236" i="16"/>
  <c r="BA236" i="16"/>
  <c r="AQ236" i="16"/>
  <c r="AZ236" i="16"/>
  <c r="AP236" i="16"/>
  <c r="AO235" i="16"/>
  <c r="CA236" i="16"/>
  <c r="AD236" i="16"/>
  <c r="AI235" i="16"/>
  <c r="H29" i="18"/>
  <c r="C10" i="18"/>
  <c r="F12" i="18" s="1"/>
  <c r="B8" i="16"/>
  <c r="AR526" i="5" l="1"/>
  <c r="AP527" i="5"/>
  <c r="BC237" i="16"/>
  <c r="BR237" i="16"/>
  <c r="BT237" i="16"/>
  <c r="BL237" i="16"/>
  <c r="BJ237" i="16"/>
  <c r="AH237" i="16"/>
  <c r="AE237" i="16"/>
  <c r="AC238" i="16"/>
  <c r="AY236" i="16"/>
  <c r="BG236" i="16" s="1"/>
  <c r="AQ237" i="16"/>
  <c r="BA237" i="16"/>
  <c r="AP237" i="16"/>
  <c r="AD237" i="16"/>
  <c r="AZ237" i="16"/>
  <c r="BB237" i="16"/>
  <c r="AO236" i="16"/>
  <c r="CA237" i="16"/>
  <c r="AI236" i="16"/>
  <c r="DQ326" i="10"/>
  <c r="DQ322" i="10" s="1"/>
  <c r="AC7" i="18"/>
  <c r="G12" i="18"/>
  <c r="F13" i="18"/>
  <c r="G13" i="18" s="1"/>
  <c r="I29" i="18"/>
  <c r="J29" i="18" s="1"/>
  <c r="G29" i="18"/>
  <c r="C11" i="18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AR527" i="5" l="1"/>
  <c r="AQ527" i="5" s="1"/>
  <c r="AT523" i="5" s="1"/>
  <c r="AP528" i="5"/>
  <c r="AT584" i="5"/>
  <c r="AY584" i="5" s="1"/>
  <c r="BC238" i="16"/>
  <c r="BR238" i="16"/>
  <c r="BT238" i="16"/>
  <c r="BJ238" i="16"/>
  <c r="BL238" i="16"/>
  <c r="AH238" i="16"/>
  <c r="AE238" i="16"/>
  <c r="DT326" i="10"/>
  <c r="DT322" i="10" s="1"/>
  <c r="AC239" i="16"/>
  <c r="AY237" i="16"/>
  <c r="BG237" i="16" s="1"/>
  <c r="BB238" i="16"/>
  <c r="AZ238" i="16"/>
  <c r="BA238" i="16"/>
  <c r="AP238" i="16"/>
  <c r="AQ238" i="16"/>
  <c r="AO237" i="16"/>
  <c r="AD238" i="16"/>
  <c r="CA238" i="16"/>
  <c r="AI237" i="16"/>
  <c r="H11" i="18"/>
  <c r="I11" i="18" s="1"/>
  <c r="F14" i="18"/>
  <c r="G14" i="18" s="1"/>
  <c r="F15" i="18"/>
  <c r="G15" i="18" s="1"/>
  <c r="P29" i="18"/>
  <c r="K29" i="18" s="1"/>
  <c r="B9" i="16"/>
  <c r="C12" i="18"/>
  <c r="AU584" i="5" l="1"/>
  <c r="AP529" i="5"/>
  <c r="AR528" i="5"/>
  <c r="AQ528" i="5" s="1"/>
  <c r="AW584" i="5"/>
  <c r="AX523" i="5"/>
  <c r="AU523" i="5"/>
  <c r="BC239" i="16"/>
  <c r="AR596" i="5"/>
  <c r="AQ596" i="5" s="1"/>
  <c r="AX584" i="5"/>
  <c r="AR604" i="5"/>
  <c r="BT239" i="16"/>
  <c r="BR239" i="16"/>
  <c r="BJ239" i="16"/>
  <c r="BL239" i="16"/>
  <c r="AH239" i="16"/>
  <c r="AE239" i="16"/>
  <c r="DW326" i="10"/>
  <c r="DW322" i="10" s="1"/>
  <c r="AC240" i="16"/>
  <c r="AY238" i="16"/>
  <c r="BG238" i="16" s="1"/>
  <c r="BB239" i="16"/>
  <c r="AQ239" i="16"/>
  <c r="BA239" i="16"/>
  <c r="AZ239" i="16"/>
  <c r="AP239" i="16"/>
  <c r="AO238" i="16"/>
  <c r="CA239" i="16"/>
  <c r="AD239" i="16"/>
  <c r="AI238" i="16"/>
  <c r="A10" i="16"/>
  <c r="B22" i="19"/>
  <c r="F16" i="18"/>
  <c r="G16" i="18" s="1"/>
  <c r="F17" i="18"/>
  <c r="G17" i="18" s="1"/>
  <c r="P11" i="18"/>
  <c r="K11" i="18" s="1"/>
  <c r="H13" i="18"/>
  <c r="C13" i="18"/>
  <c r="AR529" i="5" l="1"/>
  <c r="AU524" i="5" s="1"/>
  <c r="AP530" i="5"/>
  <c r="BC240" i="16"/>
  <c r="AR597" i="5"/>
  <c r="BR240" i="16"/>
  <c r="BT240" i="16"/>
  <c r="BJ240" i="16"/>
  <c r="BL240" i="16"/>
  <c r="AH240" i="16"/>
  <c r="AE240" i="16"/>
  <c r="DZ326" i="10"/>
  <c r="DZ322" i="10" s="1"/>
  <c r="AC241" i="16"/>
  <c r="B222" i="19"/>
  <c r="AW133" i="12"/>
  <c r="AY239" i="16"/>
  <c r="BG239" i="16" s="1"/>
  <c r="AQ240" i="16"/>
  <c r="AP240" i="16"/>
  <c r="AZ240" i="16"/>
  <c r="CA240" i="16"/>
  <c r="BA240" i="16"/>
  <c r="BB240" i="16"/>
  <c r="AO239" i="16"/>
  <c r="AD240" i="16"/>
  <c r="AI239" i="16"/>
  <c r="B10" i="16"/>
  <c r="B23" i="19"/>
  <c r="F18" i="18"/>
  <c r="G18" i="18" s="1"/>
  <c r="F19" i="18"/>
  <c r="G19" i="18" s="1"/>
  <c r="I13" i="18"/>
  <c r="L11" i="18"/>
  <c r="H15" i="18"/>
  <c r="C14" i="18"/>
  <c r="AP531" i="5" l="1"/>
  <c r="AR530" i="5"/>
  <c r="AV523" i="5" s="1"/>
  <c r="AY523" i="5"/>
  <c r="BC241" i="16"/>
  <c r="BR241" i="16"/>
  <c r="BT241" i="16"/>
  <c r="BL241" i="16"/>
  <c r="BJ241" i="16"/>
  <c r="A11" i="16"/>
  <c r="AH241" i="16"/>
  <c r="AE241" i="16"/>
  <c r="EC326" i="10"/>
  <c r="EC322" i="10" s="1"/>
  <c r="AC242" i="16"/>
  <c r="B223" i="19"/>
  <c r="AW134" i="12"/>
  <c r="BB241" i="16"/>
  <c r="AP241" i="16"/>
  <c r="BA241" i="16"/>
  <c r="AY240" i="16"/>
  <c r="BG240" i="16" s="1"/>
  <c r="AZ241" i="16"/>
  <c r="AQ241" i="16"/>
  <c r="AO240" i="16"/>
  <c r="AI240" i="16"/>
  <c r="AD241" i="16"/>
  <c r="CA241" i="16"/>
  <c r="F20" i="18"/>
  <c r="H19" i="18" s="1"/>
  <c r="F21" i="18"/>
  <c r="G21" i="18" s="1"/>
  <c r="B11" i="16"/>
  <c r="B24" i="19"/>
  <c r="K12" i="18"/>
  <c r="L12" i="18" s="1"/>
  <c r="P13" i="18"/>
  <c r="K13" i="18" s="1"/>
  <c r="I15" i="18"/>
  <c r="H17" i="18"/>
  <c r="C15" i="18"/>
  <c r="AP532" i="5" l="1"/>
  <c r="AP533" i="5" s="1"/>
  <c r="AP534" i="5" s="1"/>
  <c r="AR531" i="5"/>
  <c r="AQ531" i="5" s="1"/>
  <c r="AW523" i="5" s="1"/>
  <c r="BC242" i="16"/>
  <c r="AR613" i="5"/>
  <c r="BR242" i="16"/>
  <c r="BT242" i="16"/>
  <c r="BL242" i="16"/>
  <c r="BJ242" i="16"/>
  <c r="A12" i="16"/>
  <c r="AE242" i="16"/>
  <c r="AH242" i="16"/>
  <c r="AC243" i="16"/>
  <c r="B224" i="19"/>
  <c r="AW135" i="12"/>
  <c r="BB242" i="16"/>
  <c r="AQ242" i="16"/>
  <c r="BA242" i="16"/>
  <c r="AZ242" i="16"/>
  <c r="AY241" i="16"/>
  <c r="BG241" i="16" s="1"/>
  <c r="AP242" i="16"/>
  <c r="AO241" i="16"/>
  <c r="AD242" i="16"/>
  <c r="CA242" i="16"/>
  <c r="AI241" i="16"/>
  <c r="EF326" i="10"/>
  <c r="EF322" i="10" s="1"/>
  <c r="B12" i="16"/>
  <c r="F22" i="18"/>
  <c r="H21" i="18" s="1"/>
  <c r="F23" i="18"/>
  <c r="G23" i="18" s="1"/>
  <c r="G20" i="18"/>
  <c r="L13" i="18"/>
  <c r="P15" i="18"/>
  <c r="K15" i="18" s="1"/>
  <c r="I19" i="18"/>
  <c r="I17" i="18"/>
  <c r="C16" i="18"/>
  <c r="AR534" i="5" l="1"/>
  <c r="AP535" i="5"/>
  <c r="BC243" i="16"/>
  <c r="BT243" i="16"/>
  <c r="BR243" i="16"/>
  <c r="BJ243" i="16"/>
  <c r="BL243" i="16"/>
  <c r="AI242" i="16"/>
  <c r="AH243" i="16"/>
  <c r="AE243" i="16"/>
  <c r="AC244" i="16"/>
  <c r="AD243" i="16"/>
  <c r="AY242" i="16"/>
  <c r="BG242" i="16" s="1"/>
  <c r="AP243" i="16"/>
  <c r="AZ243" i="16"/>
  <c r="AQ243" i="16"/>
  <c r="BA243" i="16"/>
  <c r="BB243" i="16"/>
  <c r="AO242" i="16"/>
  <c r="CA243" i="16"/>
  <c r="EI326" i="10"/>
  <c r="EI322" i="10" s="1"/>
  <c r="F24" i="18"/>
  <c r="H23" i="18" s="1"/>
  <c r="F25" i="18"/>
  <c r="G25" i="18" s="1"/>
  <c r="G22" i="18"/>
  <c r="B25" i="19"/>
  <c r="B26" i="19"/>
  <c r="K14" i="18"/>
  <c r="L14" i="18" s="1"/>
  <c r="L15" i="18"/>
  <c r="K16" i="18" s="1"/>
  <c r="L16" i="18" s="1"/>
  <c r="P17" i="18"/>
  <c r="K17" i="18" s="1"/>
  <c r="I21" i="18"/>
  <c r="P19" i="18"/>
  <c r="K19" i="18" s="1"/>
  <c r="C17" i="18"/>
  <c r="C10" i="12"/>
  <c r="F5" i="12"/>
  <c r="AR535" i="5" l="1"/>
  <c r="AP536" i="5"/>
  <c r="AT593" i="5"/>
  <c r="BC244" i="16"/>
  <c r="AH68" i="10"/>
  <c r="BR244" i="16"/>
  <c r="BT244" i="16"/>
  <c r="BL244" i="16"/>
  <c r="BJ244" i="16"/>
  <c r="A14" i="16"/>
  <c r="AE244" i="16"/>
  <c r="AH244" i="16"/>
  <c r="EL326" i="10"/>
  <c r="EL322" i="10" s="1"/>
  <c r="AC245" i="16"/>
  <c r="B225" i="19"/>
  <c r="AW136" i="12"/>
  <c r="B226" i="19"/>
  <c r="AW137" i="12"/>
  <c r="AY243" i="16"/>
  <c r="BG243" i="16" s="1"/>
  <c r="BB244" i="16"/>
  <c r="AZ244" i="16"/>
  <c r="AP244" i="16"/>
  <c r="BA244" i="16"/>
  <c r="AQ244" i="16"/>
  <c r="AO243" i="16"/>
  <c r="CA244" i="16"/>
  <c r="AD244" i="16"/>
  <c r="AI243" i="16"/>
  <c r="F26" i="18"/>
  <c r="G26" i="18" s="1"/>
  <c r="F27" i="18"/>
  <c r="G27" i="18" s="1"/>
  <c r="B14" i="16"/>
  <c r="G24" i="18"/>
  <c r="A13" i="16"/>
  <c r="B13" i="16"/>
  <c r="B27" i="19"/>
  <c r="I23" i="18"/>
  <c r="P21" i="18"/>
  <c r="K21" i="18" s="1"/>
  <c r="L21" i="18" s="1"/>
  <c r="K22" i="18" s="1"/>
  <c r="L22" i="18" s="1"/>
  <c r="L17" i="18"/>
  <c r="K18" i="18" s="1"/>
  <c r="L18" i="18" s="1"/>
  <c r="C18" i="18"/>
  <c r="F28" i="18" s="1"/>
  <c r="J10" i="12"/>
  <c r="AR536" i="5" l="1"/>
  <c r="AQ536" i="5" s="1"/>
  <c r="AT532" i="5" s="1"/>
  <c r="AX532" i="5" s="1"/>
  <c r="AP537" i="5"/>
  <c r="AU593" i="5"/>
  <c r="AY593" i="5"/>
  <c r="AV593" i="5"/>
  <c r="AW593" i="5"/>
  <c r="BC245" i="16"/>
  <c r="AR605" i="5"/>
  <c r="AQ605" i="5" s="1"/>
  <c r="BR245" i="16"/>
  <c r="BT245" i="16"/>
  <c r="BJ245" i="16"/>
  <c r="BL245" i="16"/>
  <c r="A15" i="16"/>
  <c r="AH245" i="16"/>
  <c r="AE245" i="16"/>
  <c r="AC246" i="16"/>
  <c r="B227" i="19"/>
  <c r="AW138" i="12"/>
  <c r="AY244" i="16"/>
  <c r="BG244" i="16" s="1"/>
  <c r="BB245" i="16"/>
  <c r="AQ245" i="16"/>
  <c r="AP245" i="16"/>
  <c r="AZ245" i="16"/>
  <c r="BA245" i="16"/>
  <c r="AO244" i="16"/>
  <c r="AD245" i="16"/>
  <c r="CA245" i="16"/>
  <c r="AI244" i="16"/>
  <c r="H25" i="18"/>
  <c r="I25" i="18" s="1"/>
  <c r="EO326" i="10"/>
  <c r="EO322" i="10" s="1"/>
  <c r="B15" i="16"/>
  <c r="B28" i="19"/>
  <c r="P23" i="18"/>
  <c r="K23" i="18" s="1"/>
  <c r="H27" i="18"/>
  <c r="G28" i="18"/>
  <c r="L19" i="18"/>
  <c r="K20" i="18" s="1"/>
  <c r="L20" i="18" s="1"/>
  <c r="Q10" i="12"/>
  <c r="AR537" i="5" l="1"/>
  <c r="AU532" i="5" s="1"/>
  <c r="AP538" i="5"/>
  <c r="AT597" i="5"/>
  <c r="BC246" i="16"/>
  <c r="AR606" i="5"/>
  <c r="AQ606" i="5" s="1"/>
  <c r="AW597" i="5" s="1"/>
  <c r="BR246" i="16"/>
  <c r="BT246" i="16"/>
  <c r="BJ246" i="16"/>
  <c r="BL246" i="16"/>
  <c r="A16" i="16"/>
  <c r="AI245" i="16"/>
  <c r="AE246" i="16"/>
  <c r="AH246" i="16"/>
  <c r="AC247" i="16"/>
  <c r="B228" i="19"/>
  <c r="AW139" i="12"/>
  <c r="BA246" i="16"/>
  <c r="AP246" i="16"/>
  <c r="AZ246" i="16"/>
  <c r="AQ246" i="16"/>
  <c r="AY245" i="16"/>
  <c r="BG245" i="16" s="1"/>
  <c r="BB246" i="16"/>
  <c r="AO245" i="16"/>
  <c r="AD246" i="16"/>
  <c r="CA246" i="16"/>
  <c r="ER326" i="10"/>
  <c r="ER322" i="10" s="1"/>
  <c r="B16" i="16"/>
  <c r="B29" i="19"/>
  <c r="I27" i="18"/>
  <c r="P25" i="18"/>
  <c r="K25" i="18" s="1"/>
  <c r="L25" i="18" s="1"/>
  <c r="K26" i="18" s="1"/>
  <c r="L26" i="18" s="1"/>
  <c r="X10" i="12"/>
  <c r="AR538" i="5" l="1"/>
  <c r="AY532" i="5" s="1"/>
  <c r="AP539" i="5"/>
  <c r="AX597" i="5"/>
  <c r="AY597" i="5"/>
  <c r="AV597" i="5"/>
  <c r="BC247" i="16"/>
  <c r="BT247" i="16"/>
  <c r="BR247" i="16"/>
  <c r="BL247" i="16"/>
  <c r="BJ247" i="16"/>
  <c r="A17" i="16"/>
  <c r="AH247" i="16"/>
  <c r="AE247" i="16"/>
  <c r="EU326" i="10"/>
  <c r="EU322" i="10" s="1"/>
  <c r="AC248" i="16"/>
  <c r="B229" i="19"/>
  <c r="AW140" i="12"/>
  <c r="AY246" i="16"/>
  <c r="BG246" i="16" s="1"/>
  <c r="AQ247" i="16"/>
  <c r="AZ247" i="16"/>
  <c r="BA247" i="16"/>
  <c r="BB247" i="16"/>
  <c r="AP247" i="16"/>
  <c r="AD247" i="16"/>
  <c r="CA247" i="16"/>
  <c r="AO246" i="16"/>
  <c r="AI246" i="16"/>
  <c r="B17" i="16"/>
  <c r="P27" i="18"/>
  <c r="K27" i="18" s="1"/>
  <c r="AE10" i="12"/>
  <c r="AR539" i="5" l="1"/>
  <c r="AV532" i="5" s="1"/>
  <c r="AP540" i="5"/>
  <c r="BC248" i="16"/>
  <c r="AR614" i="5"/>
  <c r="AQ614" i="5" s="1"/>
  <c r="BR248" i="16"/>
  <c r="BT248" i="16"/>
  <c r="BL248" i="16"/>
  <c r="BJ248" i="16"/>
  <c r="AE248" i="16"/>
  <c r="AH248" i="16"/>
  <c r="AC249" i="16"/>
  <c r="BB248" i="16"/>
  <c r="BA248" i="16"/>
  <c r="AD248" i="16"/>
  <c r="CA248" i="16"/>
  <c r="AP248" i="16"/>
  <c r="AQ248" i="16"/>
  <c r="AZ248" i="16"/>
  <c r="AI247" i="16"/>
  <c r="AY247" i="16"/>
  <c r="BG247" i="16" s="1"/>
  <c r="AO247" i="16"/>
  <c r="EX326" i="10"/>
  <c r="EX322" i="10" s="1"/>
  <c r="B31" i="19"/>
  <c r="B30" i="19"/>
  <c r="L23" i="18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P541" i="5" l="1"/>
  <c r="AP542" i="5" s="1"/>
  <c r="AP543" i="5" s="1"/>
  <c r="AP544" i="5" s="1"/>
  <c r="AR540" i="5"/>
  <c r="AQ540" i="5" s="1"/>
  <c r="AW532" i="5" s="1"/>
  <c r="BC249" i="16"/>
  <c r="AT609" i="5"/>
  <c r="AX609" i="5" s="1"/>
  <c r="BR249" i="16"/>
  <c r="BT249" i="16"/>
  <c r="BL249" i="16"/>
  <c r="BJ249" i="16"/>
  <c r="A19" i="16"/>
  <c r="AH249" i="16"/>
  <c r="AE249" i="16"/>
  <c r="AC250" i="16"/>
  <c r="A63" i="7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B231" i="19"/>
  <c r="AW142" i="12"/>
  <c r="B230" i="19"/>
  <c r="AW141" i="12"/>
  <c r="AD249" i="16"/>
  <c r="CA249" i="16"/>
  <c r="AQ249" i="16"/>
  <c r="BA249" i="16"/>
  <c r="BB249" i="16"/>
  <c r="AZ249" i="16"/>
  <c r="AP249" i="16"/>
  <c r="AY248" i="16"/>
  <c r="BG248" i="16" s="1"/>
  <c r="AI248" i="16"/>
  <c r="AO248" i="16"/>
  <c r="FA326" i="10"/>
  <c r="FA322" i="10" s="1"/>
  <c r="K24" i="18"/>
  <c r="L24" i="18" s="1"/>
  <c r="B19" i="16"/>
  <c r="B32" i="19"/>
  <c r="AW143" i="12" s="1"/>
  <c r="A18" i="16"/>
  <c r="B18" i="16"/>
  <c r="AR544" i="5" l="1"/>
  <c r="AQ544" i="5" s="1"/>
  <c r="AP545" i="5"/>
  <c r="AT602" i="5"/>
  <c r="AU602" i="5" s="1"/>
  <c r="AV602" i="5"/>
  <c r="BC250" i="16"/>
  <c r="AW602" i="5"/>
  <c r="BT250" i="16"/>
  <c r="BR250" i="16"/>
  <c r="BL250" i="16"/>
  <c r="BJ250" i="16"/>
  <c r="AH250" i="16"/>
  <c r="AE250" i="16"/>
  <c r="FD326" i="10"/>
  <c r="FD322" i="10" s="1"/>
  <c r="AC251" i="16"/>
  <c r="CA250" i="16"/>
  <c r="AI249" i="16"/>
  <c r="AD250" i="16"/>
  <c r="AZ250" i="16"/>
  <c r="BA250" i="16"/>
  <c r="AQ250" i="16"/>
  <c r="AP250" i="16"/>
  <c r="BB250" i="16"/>
  <c r="AY249" i="16"/>
  <c r="BG249" i="16" s="1"/>
  <c r="AO249" i="16"/>
  <c r="T3" i="19"/>
  <c r="BN114" i="12" s="1"/>
  <c r="B232" i="19"/>
  <c r="T203" i="19"/>
  <c r="A187" i="7"/>
  <c r="A188" i="7" s="1"/>
  <c r="A189" i="7" s="1"/>
  <c r="A190" i="7" s="1"/>
  <c r="B20" i="16"/>
  <c r="C26" i="16"/>
  <c r="C24" i="16"/>
  <c r="C22" i="16"/>
  <c r="C25" i="16"/>
  <c r="C23" i="16"/>
  <c r="C21" i="16"/>
  <c r="A20" i="16"/>
  <c r="L27" i="18"/>
  <c r="L29" i="18"/>
  <c r="M29" i="18" s="1"/>
  <c r="AX602" i="5" l="1"/>
  <c r="AY602" i="5"/>
  <c r="AP546" i="5"/>
  <c r="AR545" i="5"/>
  <c r="AQ545" i="5" s="1"/>
  <c r="AT541" i="5" s="1"/>
  <c r="BC251" i="16"/>
  <c r="AY609" i="5"/>
  <c r="BT251" i="16"/>
  <c r="BR251" i="16"/>
  <c r="BL251" i="16"/>
  <c r="BJ251" i="16"/>
  <c r="AH251" i="16"/>
  <c r="AE251" i="16"/>
  <c r="AC252" i="16"/>
  <c r="CA251" i="16"/>
  <c r="A191" i="7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Q251" i="16"/>
  <c r="BB251" i="16"/>
  <c r="BA251" i="16"/>
  <c r="AP251" i="16"/>
  <c r="AZ251" i="16"/>
  <c r="AI250" i="16"/>
  <c r="AD251" i="16"/>
  <c r="AY250" i="16"/>
  <c r="BG250" i="16" s="1"/>
  <c r="AO250" i="16"/>
  <c r="K28" i="18"/>
  <c r="L28" i="18" s="1"/>
  <c r="FG326" i="10"/>
  <c r="FG322" i="10" s="1"/>
  <c r="A21" i="16"/>
  <c r="I4" i="16" s="1"/>
  <c r="B21" i="16"/>
  <c r="A25" i="16"/>
  <c r="B25" i="16"/>
  <c r="B24" i="16"/>
  <c r="A24" i="16"/>
  <c r="A23" i="16"/>
  <c r="B23" i="16"/>
  <c r="A22" i="16"/>
  <c r="B22" i="16"/>
  <c r="B26" i="16"/>
  <c r="A26" i="16"/>
  <c r="AR546" i="5" l="1"/>
  <c r="AP547" i="5"/>
  <c r="H4" i="16"/>
  <c r="AU541" i="5"/>
  <c r="AX541" i="5"/>
  <c r="BC252" i="16"/>
  <c r="AV609" i="5"/>
  <c r="BR252" i="16"/>
  <c r="BT252" i="16"/>
  <c r="BJ252" i="16"/>
  <c r="BL252" i="16"/>
  <c r="AI34" i="12"/>
  <c r="Z35" i="12"/>
  <c r="U34" i="12"/>
  <c r="L35" i="12"/>
  <c r="G34" i="12"/>
  <c r="AG34" i="12"/>
  <c r="AB35" i="12"/>
  <c r="S34" i="12"/>
  <c r="N35" i="12"/>
  <c r="G35" i="12"/>
  <c r="AG35" i="12"/>
  <c r="AB34" i="12"/>
  <c r="S35" i="12"/>
  <c r="L34" i="12"/>
  <c r="E34" i="12"/>
  <c r="AI35" i="12"/>
  <c r="Z34" i="12"/>
  <c r="U35" i="12"/>
  <c r="N34" i="12"/>
  <c r="E35" i="12"/>
  <c r="AH252" i="16"/>
  <c r="AE252" i="16"/>
  <c r="AC253" i="16"/>
  <c r="AI251" i="16"/>
  <c r="AY251" i="16"/>
  <c r="BG251" i="16" s="1"/>
  <c r="AD252" i="16"/>
  <c r="CA252" i="16"/>
  <c r="BB252" i="16"/>
  <c r="AQ252" i="16"/>
  <c r="AP252" i="16"/>
  <c r="BA252" i="16"/>
  <c r="AZ252" i="16"/>
  <c r="AO251" i="16"/>
  <c r="FJ326" i="10"/>
  <c r="FJ322" i="10" s="1"/>
  <c r="AR547" i="5" l="1"/>
  <c r="AY541" i="5" s="1"/>
  <c r="AP548" i="5"/>
  <c r="AR615" i="5"/>
  <c r="AU609" i="5" s="1"/>
  <c r="BC253" i="16"/>
  <c r="AW609" i="5"/>
  <c r="AR624" i="5"/>
  <c r="BR253" i="16"/>
  <c r="BT253" i="16"/>
  <c r="BJ253" i="16"/>
  <c r="BL253" i="16"/>
  <c r="AH253" i="16"/>
  <c r="AE253" i="16"/>
  <c r="AC254" i="16"/>
  <c r="BA253" i="16"/>
  <c r="AI252" i="16"/>
  <c r="BB253" i="16"/>
  <c r="AD253" i="16"/>
  <c r="AZ253" i="16"/>
  <c r="CA253" i="16"/>
  <c r="AP253" i="16"/>
  <c r="AY252" i="16"/>
  <c r="BG252" i="16" s="1"/>
  <c r="AQ253" i="16"/>
  <c r="AO252" i="16"/>
  <c r="FM326" i="10"/>
  <c r="FM322" i="10" s="1"/>
  <c r="AR548" i="5" l="1"/>
  <c r="AV541" i="5" s="1"/>
  <c r="AP549" i="5"/>
  <c r="BC254" i="16"/>
  <c r="BR254" i="16"/>
  <c r="BT254" i="16"/>
  <c r="BJ254" i="16"/>
  <c r="BL254" i="16"/>
  <c r="AH254" i="16"/>
  <c r="AE254" i="16"/>
  <c r="FP326" i="10"/>
  <c r="FP322" i="10" s="1"/>
  <c r="AC255" i="16"/>
  <c r="AD254" i="16"/>
  <c r="BB254" i="16"/>
  <c r="AP254" i="16"/>
  <c r="CA254" i="16"/>
  <c r="BA254" i="16"/>
  <c r="AQ254" i="16"/>
  <c r="AZ254" i="16"/>
  <c r="AY253" i="16"/>
  <c r="BG253" i="16" s="1"/>
  <c r="AI253" i="16"/>
  <c r="AO253" i="16"/>
  <c r="AR549" i="5" l="1"/>
  <c r="AQ549" i="5" s="1"/>
  <c r="AW541" i="5" s="1"/>
  <c r="AP550" i="5"/>
  <c r="AT611" i="5"/>
  <c r="BC255" i="16"/>
  <c r="AR621" i="5"/>
  <c r="BT255" i="16"/>
  <c r="BR255" i="16"/>
  <c r="BJ255" i="16"/>
  <c r="BL255" i="16"/>
  <c r="AH255" i="16"/>
  <c r="AE255" i="16"/>
  <c r="FS326" i="10"/>
  <c r="FS322" i="10" s="1"/>
  <c r="AC256" i="16"/>
  <c r="AI254" i="16"/>
  <c r="AZ255" i="16"/>
  <c r="CA255" i="16"/>
  <c r="AP255" i="16"/>
  <c r="AQ255" i="16"/>
  <c r="BB255" i="16"/>
  <c r="AD255" i="16"/>
  <c r="BA255" i="16"/>
  <c r="AY254" i="16"/>
  <c r="BG254" i="16" s="1"/>
  <c r="AO254" i="16"/>
  <c r="AR550" i="5" l="1"/>
  <c r="AP551" i="5"/>
  <c r="AU611" i="5"/>
  <c r="AX611" i="5"/>
  <c r="AY611" i="5"/>
  <c r="AV611" i="5"/>
  <c r="AW611" i="5"/>
  <c r="AS254" i="16"/>
  <c r="AS253" i="16" s="1"/>
  <c r="BC256" i="16"/>
  <c r="BR256" i="16"/>
  <c r="BT256" i="16"/>
  <c r="BL256" i="16"/>
  <c r="BJ256" i="16"/>
  <c r="AH256" i="16"/>
  <c r="AE256" i="16"/>
  <c r="FV326" i="10"/>
  <c r="FV322" i="10" s="1"/>
  <c r="AC257" i="16"/>
  <c r="AY255" i="16"/>
  <c r="BG255" i="16" s="1"/>
  <c r="AD256" i="16"/>
  <c r="CA256" i="16"/>
  <c r="AQ256" i="16"/>
  <c r="AI255" i="16"/>
  <c r="AP256" i="16"/>
  <c r="AZ256" i="16"/>
  <c r="BB256" i="16"/>
  <c r="BA256" i="16"/>
  <c r="AO255" i="16"/>
  <c r="AR551" i="5" l="1"/>
  <c r="AP552" i="5"/>
  <c r="AP553" i="5" s="1"/>
  <c r="BC257" i="16"/>
  <c r="AT620" i="5"/>
  <c r="AY620" i="5" s="1"/>
  <c r="AR640" i="5"/>
  <c r="BR257" i="16"/>
  <c r="BT257" i="16"/>
  <c r="BJ257" i="16"/>
  <c r="BL257" i="16"/>
  <c r="AH257" i="16"/>
  <c r="AE257" i="16"/>
  <c r="FY326" i="10"/>
  <c r="FY322" i="10" s="1"/>
  <c r="AC258" i="16"/>
  <c r="AY256" i="16"/>
  <c r="BG256" i="16" s="1"/>
  <c r="AD257" i="16"/>
  <c r="CA257" i="16"/>
  <c r="AQ257" i="16"/>
  <c r="AP257" i="16"/>
  <c r="BB257" i="16"/>
  <c r="AZ257" i="16"/>
  <c r="AI256" i="16"/>
  <c r="BA257" i="16"/>
  <c r="AO256" i="16"/>
  <c r="AR553" i="5" l="1"/>
  <c r="AQ553" i="5" s="1"/>
  <c r="AT550" i="5" s="1"/>
  <c r="AP554" i="5"/>
  <c r="BC258" i="16"/>
  <c r="AX620" i="5"/>
  <c r="AU620" i="5"/>
  <c r="AV620" i="5"/>
  <c r="AR641" i="5"/>
  <c r="BR258" i="16"/>
  <c r="BT258" i="16"/>
  <c r="BL258" i="16"/>
  <c r="BJ258" i="16"/>
  <c r="AH258" i="16"/>
  <c r="AE258" i="16"/>
  <c r="AC259" i="16"/>
  <c r="AP258" i="16"/>
  <c r="AI257" i="16"/>
  <c r="BB258" i="16"/>
  <c r="CA258" i="16"/>
  <c r="AQ258" i="16"/>
  <c r="AD258" i="16"/>
  <c r="BA258" i="16"/>
  <c r="AZ258" i="16"/>
  <c r="AY257" i="16"/>
  <c r="BG257" i="16" s="1"/>
  <c r="AO257" i="16"/>
  <c r="AT291" i="10"/>
  <c r="AP555" i="5" l="1"/>
  <c r="AR554" i="5"/>
  <c r="AX550" i="5" s="1"/>
  <c r="BC259" i="16"/>
  <c r="AQ629" i="5"/>
  <c r="AR642" i="5"/>
  <c r="AQ642" i="5" s="1"/>
  <c r="BT259" i="16"/>
  <c r="BR259" i="16"/>
  <c r="BL259" i="16"/>
  <c r="BJ259" i="16"/>
  <c r="AH259" i="16"/>
  <c r="AE259" i="16"/>
  <c r="GB326" i="10"/>
  <c r="GB322" i="10" s="1"/>
  <c r="AC260" i="16"/>
  <c r="AI258" i="16"/>
  <c r="B235" i="19"/>
  <c r="AW146" i="12"/>
  <c r="B236" i="19"/>
  <c r="AW147" i="12"/>
  <c r="B238" i="19"/>
  <c r="AW149" i="12"/>
  <c r="BA259" i="16"/>
  <c r="CA259" i="16"/>
  <c r="AD259" i="16"/>
  <c r="AP259" i="16"/>
  <c r="BB259" i="16"/>
  <c r="AZ259" i="16"/>
  <c r="AQ259" i="16"/>
  <c r="AO258" i="16"/>
  <c r="AY258" i="16"/>
  <c r="BG258" i="16" s="1"/>
  <c r="GE326" i="10"/>
  <c r="AP556" i="5" l="1"/>
  <c r="AR555" i="5"/>
  <c r="AW620" i="5"/>
  <c r="BC260" i="16"/>
  <c r="AR649" i="5"/>
  <c r="BR260" i="16"/>
  <c r="BT260" i="16"/>
  <c r="BJ260" i="16"/>
  <c r="BL260" i="16"/>
  <c r="AH260" i="16"/>
  <c r="AE260" i="16"/>
  <c r="GE322" i="10"/>
  <c r="GH326" i="10"/>
  <c r="GH322" i="10" s="1"/>
  <c r="AC261" i="16"/>
  <c r="AQ260" i="16"/>
  <c r="AP260" i="16"/>
  <c r="BB260" i="16"/>
  <c r="BA260" i="16"/>
  <c r="AZ260" i="16"/>
  <c r="AD260" i="16"/>
  <c r="CA260" i="16"/>
  <c r="AI259" i="16"/>
  <c r="AY259" i="16"/>
  <c r="BG259" i="16" s="1"/>
  <c r="AO259" i="16"/>
  <c r="AV548" i="5" l="1"/>
  <c r="AU550" i="5"/>
  <c r="AP557" i="5"/>
  <c r="AR556" i="5"/>
  <c r="AQ556" i="5" s="1"/>
  <c r="BC261" i="16"/>
  <c r="AR650" i="5"/>
  <c r="AQ650" i="5" s="1"/>
  <c r="BR261" i="16"/>
  <c r="BT261" i="16"/>
  <c r="BL261" i="16"/>
  <c r="BJ261" i="16"/>
  <c r="AH261" i="16"/>
  <c r="AE261" i="16"/>
  <c r="GK326" i="10"/>
  <c r="GK322" i="10" s="1"/>
  <c r="AC262" i="16"/>
  <c r="CA261" i="16"/>
  <c r="AQ261" i="16"/>
  <c r="AP261" i="16"/>
  <c r="AD261" i="16"/>
  <c r="AZ261" i="16"/>
  <c r="AI260" i="16"/>
  <c r="BA261" i="16"/>
  <c r="BB261" i="16"/>
  <c r="AO260" i="16"/>
  <c r="AY260" i="16"/>
  <c r="BG260" i="16" s="1"/>
  <c r="G9" i="18"/>
  <c r="G10" i="18"/>
  <c r="AR557" i="5" l="1"/>
  <c r="AX548" i="5" s="1"/>
  <c r="AP558" i="5"/>
  <c r="AT546" i="5"/>
  <c r="AY550" i="5"/>
  <c r="AV550" i="5"/>
  <c r="AR260" i="16"/>
  <c r="AR259" i="16" s="1"/>
  <c r="BC262" i="16"/>
  <c r="AT645" i="5"/>
  <c r="AX645" i="5" s="1"/>
  <c r="AR651" i="5"/>
  <c r="BR262" i="16"/>
  <c r="BT262" i="16"/>
  <c r="BJ262" i="16"/>
  <c r="BL262" i="16"/>
  <c r="AH262" i="16"/>
  <c r="AE262" i="16"/>
  <c r="BB262" i="16"/>
  <c r="AC263" i="16"/>
  <c r="BA262" i="16"/>
  <c r="AD262" i="16"/>
  <c r="AQ262" i="16"/>
  <c r="AP262" i="16"/>
  <c r="CA262" i="16"/>
  <c r="AZ262" i="16"/>
  <c r="AI261" i="16"/>
  <c r="AY261" i="16"/>
  <c r="BG261" i="16" s="1"/>
  <c r="AO261" i="16"/>
  <c r="G8" i="18"/>
  <c r="G5" i="18" s="1"/>
  <c r="H7" i="18"/>
  <c r="X7" i="18" s="1"/>
  <c r="AG7" i="18" s="1"/>
  <c r="AY546" i="5" l="1"/>
  <c r="AV546" i="5"/>
  <c r="AU546" i="5"/>
  <c r="AW546" i="5"/>
  <c r="AX546" i="5"/>
  <c r="AR558" i="5"/>
  <c r="AQ558" i="5" s="1"/>
  <c r="AW550" i="5" s="1"/>
  <c r="AP559" i="5"/>
  <c r="AU645" i="5"/>
  <c r="BC263" i="16"/>
  <c r="BT263" i="16"/>
  <c r="BR263" i="16"/>
  <c r="BJ263" i="16"/>
  <c r="BL263" i="16"/>
  <c r="AH263" i="16"/>
  <c r="AE263" i="16"/>
  <c r="GN326" i="10"/>
  <c r="GN322" i="10" s="1"/>
  <c r="AC264" i="16"/>
  <c r="AI262" i="16"/>
  <c r="AQ263" i="16"/>
  <c r="BA263" i="16"/>
  <c r="BB263" i="16"/>
  <c r="AZ263" i="16"/>
  <c r="AP263" i="16"/>
  <c r="AD263" i="16"/>
  <c r="CA263" i="16"/>
  <c r="AO262" i="16"/>
  <c r="AY262" i="16"/>
  <c r="BG262" i="16" s="1"/>
  <c r="GQ326" i="10"/>
  <c r="I9" i="18"/>
  <c r="P9" i="18" s="1"/>
  <c r="CC7" i="18"/>
  <c r="CD7" i="18" s="1"/>
  <c r="AK7" i="18"/>
  <c r="AQ7" i="18"/>
  <c r="AS7" i="18"/>
  <c r="AU7" i="18"/>
  <c r="AH7" i="18"/>
  <c r="AR7" i="18"/>
  <c r="AT7" i="18"/>
  <c r="AV7" i="18"/>
  <c r="I7" i="18"/>
  <c r="AR559" i="5" l="1"/>
  <c r="AP560" i="5"/>
  <c r="BC264" i="16"/>
  <c r="BR264" i="16"/>
  <c r="BT264" i="16"/>
  <c r="BJ264" i="16"/>
  <c r="BL264" i="16"/>
  <c r="AH264" i="16"/>
  <c r="AE264" i="16"/>
  <c r="GQ322" i="10"/>
  <c r="AC265" i="16"/>
  <c r="AI263" i="16"/>
  <c r="BB264" i="16"/>
  <c r="AZ264" i="16"/>
  <c r="AD264" i="16"/>
  <c r="CA264" i="16"/>
  <c r="BA264" i="16"/>
  <c r="AP264" i="16"/>
  <c r="AQ264" i="16"/>
  <c r="AY263" i="16"/>
  <c r="BG263" i="16" s="1"/>
  <c r="AO263" i="16"/>
  <c r="AX7" i="18"/>
  <c r="J9" i="18"/>
  <c r="AW7" i="18"/>
  <c r="K9" i="18"/>
  <c r="L9" i="18" s="1"/>
  <c r="K10" i="18" s="1"/>
  <c r="L10" i="18" s="1"/>
  <c r="AJ7" i="18"/>
  <c r="AI7" i="18"/>
  <c r="P7" i="18"/>
  <c r="K7" i="18" s="1"/>
  <c r="AR560" i="5" l="1"/>
  <c r="AQ560" i="5" s="1"/>
  <c r="AP561" i="5"/>
  <c r="BC265" i="16"/>
  <c r="AT633" i="5"/>
  <c r="BR265" i="16"/>
  <c r="BT265" i="16"/>
  <c r="BL265" i="16"/>
  <c r="BJ265" i="16"/>
  <c r="AH265" i="16"/>
  <c r="AE265" i="16"/>
  <c r="AC266" i="16"/>
  <c r="BB265" i="16"/>
  <c r="CA265" i="16"/>
  <c r="AD265" i="16"/>
  <c r="BA265" i="16"/>
  <c r="AQ265" i="16"/>
  <c r="AZ265" i="16"/>
  <c r="AP265" i="16"/>
  <c r="AI264" i="16"/>
  <c r="AO264" i="16"/>
  <c r="AY264" i="16"/>
  <c r="BG264" i="16" s="1"/>
  <c r="BE7" i="18"/>
  <c r="AY7" i="18"/>
  <c r="AZ7" i="18"/>
  <c r="BD7" i="18"/>
  <c r="BC7" i="18"/>
  <c r="BB7" i="18"/>
  <c r="BA7" i="18"/>
  <c r="J11" i="18"/>
  <c r="J13" i="18" s="1"/>
  <c r="J15" i="18" s="1"/>
  <c r="L7" i="18"/>
  <c r="K8" i="18" s="1"/>
  <c r="N7" i="18"/>
  <c r="O7" i="18" s="1"/>
  <c r="AR561" i="5" l="1"/>
  <c r="AP562" i="5"/>
  <c r="BC266" i="16"/>
  <c r="AU633" i="5"/>
  <c r="AX633" i="5"/>
  <c r="AY633" i="5"/>
  <c r="AV633" i="5"/>
  <c r="AW633" i="5"/>
  <c r="BR266" i="16"/>
  <c r="BT266" i="16"/>
  <c r="BL266" i="16"/>
  <c r="BJ266" i="16"/>
  <c r="AH266" i="16"/>
  <c r="AE266" i="16"/>
  <c r="AC267" i="16"/>
  <c r="AI265" i="16"/>
  <c r="AQ266" i="16"/>
  <c r="CA266" i="16"/>
  <c r="BA266" i="16"/>
  <c r="AP266" i="16"/>
  <c r="AZ266" i="16"/>
  <c r="AD266" i="16"/>
  <c r="BB266" i="16"/>
  <c r="AY265" i="16"/>
  <c r="BG265" i="16" s="1"/>
  <c r="AO265" i="16"/>
  <c r="L8" i="18"/>
  <c r="M8" i="18" s="1"/>
  <c r="J17" i="18"/>
  <c r="J19" i="18" s="1"/>
  <c r="BF7" i="18"/>
  <c r="BN7" i="18" s="1"/>
  <c r="AR562" i="5" l="1"/>
  <c r="AQ562" i="5" s="1"/>
  <c r="AT559" i="5" s="1"/>
  <c r="AP563" i="5"/>
  <c r="BC267" i="16"/>
  <c r="BT267" i="16"/>
  <c r="BR267" i="16"/>
  <c r="BL267" i="16"/>
  <c r="BJ267" i="16"/>
  <c r="AH267" i="16"/>
  <c r="AE267" i="16"/>
  <c r="BB267" i="16"/>
  <c r="AC268" i="16"/>
  <c r="AI266" i="16"/>
  <c r="AD267" i="16"/>
  <c r="AQ267" i="16"/>
  <c r="AP267" i="16"/>
  <c r="BA267" i="16"/>
  <c r="CA267" i="16"/>
  <c r="AZ267" i="16"/>
  <c r="AO266" i="16"/>
  <c r="AY266" i="16"/>
  <c r="BG266" i="16" s="1"/>
  <c r="J21" i="18"/>
  <c r="J23" i="18" s="1"/>
  <c r="M9" i="18"/>
  <c r="M10" i="18" s="1"/>
  <c r="M11" i="18" s="1"/>
  <c r="BG7" i="18"/>
  <c r="BH7" i="18" s="1"/>
  <c r="BI7" i="18" s="1"/>
  <c r="BM7" i="18"/>
  <c r="BO7" i="18" s="1"/>
  <c r="BQ7" i="18"/>
  <c r="BR7" i="18" s="1"/>
  <c r="BJ7" i="18"/>
  <c r="AR563" i="5" l="1"/>
  <c r="AX559" i="5" s="1"/>
  <c r="AP564" i="5"/>
  <c r="AS266" i="16"/>
  <c r="AS265" i="16" s="1"/>
  <c r="BC268" i="16"/>
  <c r="BR268" i="16"/>
  <c r="BT268" i="16"/>
  <c r="BL268" i="16"/>
  <c r="BJ268" i="16"/>
  <c r="AH268" i="16"/>
  <c r="AE268" i="16"/>
  <c r="AC269" i="16"/>
  <c r="AI267" i="16"/>
  <c r="AZ268" i="16"/>
  <c r="AP268" i="16"/>
  <c r="CA268" i="16"/>
  <c r="AO267" i="16"/>
  <c r="AQ268" i="16"/>
  <c r="BA268" i="16"/>
  <c r="BB268" i="16"/>
  <c r="AD268" i="16"/>
  <c r="AY267" i="16"/>
  <c r="BG267" i="16" s="1"/>
  <c r="J25" i="18"/>
  <c r="M12" i="18"/>
  <c r="M13" i="18" s="1"/>
  <c r="M14" i="18" s="1"/>
  <c r="M15" i="18" s="1"/>
  <c r="M16" i="18" s="1"/>
  <c r="BK7" i="18"/>
  <c r="BL7" i="18" s="1"/>
  <c r="BP7" i="18"/>
  <c r="AL7" i="18"/>
  <c r="AM7" i="18" s="1"/>
  <c r="AN7" i="18" s="1"/>
  <c r="BY7" i="18"/>
  <c r="BZ7" i="18" s="1"/>
  <c r="CA7" i="18" s="1"/>
  <c r="BS7" i="18"/>
  <c r="BV7" i="18"/>
  <c r="BW7" i="18" s="1"/>
  <c r="BX7" i="18" s="1"/>
  <c r="AR564" i="5" l="1"/>
  <c r="AQ564" i="5" s="1"/>
  <c r="AP565" i="5"/>
  <c r="BC269" i="16"/>
  <c r="BR269" i="16"/>
  <c r="BT269" i="16"/>
  <c r="BL269" i="16"/>
  <c r="BJ269" i="16"/>
  <c r="AH269" i="16"/>
  <c r="AE269" i="16"/>
  <c r="AC270" i="16"/>
  <c r="AI268" i="16"/>
  <c r="AP269" i="16"/>
  <c r="AQ269" i="16"/>
  <c r="AD269" i="16"/>
  <c r="CA269" i="16"/>
  <c r="AZ269" i="16"/>
  <c r="BB269" i="16"/>
  <c r="BA269" i="16"/>
  <c r="AO268" i="16"/>
  <c r="AY268" i="16"/>
  <c r="BG268" i="16" s="1"/>
  <c r="J27" i="18"/>
  <c r="M17" i="18"/>
  <c r="M18" i="18" s="1"/>
  <c r="CB7" i="18"/>
  <c r="BT7" i="18"/>
  <c r="BU7" i="18" s="1"/>
  <c r="AO7" i="18"/>
  <c r="AP7" i="18" s="1"/>
  <c r="AP566" i="5" l="1"/>
  <c r="AR565" i="5"/>
  <c r="AY559" i="5" s="1"/>
  <c r="AU559" i="5"/>
  <c r="BC270" i="16"/>
  <c r="BR270" i="16"/>
  <c r="BT270" i="16"/>
  <c r="BL270" i="16"/>
  <c r="BJ270" i="16"/>
  <c r="AH270" i="16"/>
  <c r="AE270" i="16"/>
  <c r="AC271" i="16"/>
  <c r="BB270" i="16"/>
  <c r="AD270" i="16"/>
  <c r="AQ270" i="16"/>
  <c r="BA270" i="16"/>
  <c r="CA270" i="16"/>
  <c r="AP270" i="16"/>
  <c r="AZ270" i="16"/>
  <c r="AI269" i="16"/>
  <c r="AO269" i="16"/>
  <c r="AY269" i="16"/>
  <c r="BG269" i="16" s="1"/>
  <c r="X18" i="18"/>
  <c r="Y18" i="18" s="1"/>
  <c r="X8" i="18"/>
  <c r="Y8" i="18" s="1"/>
  <c r="M19" i="18"/>
  <c r="AR566" i="5" l="1"/>
  <c r="AP567" i="5"/>
  <c r="BC271" i="16"/>
  <c r="BT271" i="16"/>
  <c r="BR271" i="16"/>
  <c r="BJ271" i="16"/>
  <c r="BL271" i="16"/>
  <c r="AA18" i="18"/>
  <c r="AD18" i="18" s="1"/>
  <c r="AE18" i="18"/>
  <c r="AF18" i="18" s="1"/>
  <c r="Z8" i="18"/>
  <c r="AH271" i="16"/>
  <c r="AE271" i="16"/>
  <c r="AC272" i="16"/>
  <c r="BB271" i="16"/>
  <c r="CA271" i="16"/>
  <c r="AD271" i="16"/>
  <c r="AQ271" i="16"/>
  <c r="BA271" i="16"/>
  <c r="AZ271" i="16"/>
  <c r="AP271" i="16"/>
  <c r="AI270" i="16"/>
  <c r="AO270" i="16"/>
  <c r="AY270" i="16"/>
  <c r="BG270" i="16" s="1"/>
  <c r="Z18" i="18"/>
  <c r="AX18" i="18" s="1"/>
  <c r="AG18" i="18"/>
  <c r="AH18" i="18" s="1"/>
  <c r="CC18" i="18"/>
  <c r="CD18" i="18" s="1"/>
  <c r="T18" i="18"/>
  <c r="CC8" i="18"/>
  <c r="CD8" i="18" s="1"/>
  <c r="AB18" i="18"/>
  <c r="AC18" i="18" s="1"/>
  <c r="AB8" i="18"/>
  <c r="AA8" i="18" s="1"/>
  <c r="AC8" i="18" s="1"/>
  <c r="X9" i="18"/>
  <c r="Y9" i="18" s="1"/>
  <c r="M20" i="18"/>
  <c r="T8" i="18"/>
  <c r="AG8" i="18"/>
  <c r="AJ8" i="18" s="1"/>
  <c r="AP568" i="5" l="1"/>
  <c r="AP569" i="5" s="1"/>
  <c r="AP570" i="5" s="1"/>
  <c r="AP571" i="5" s="1"/>
  <c r="AR567" i="5"/>
  <c r="AQ567" i="5" s="1"/>
  <c r="AW559" i="5" s="1"/>
  <c r="AY560" i="5"/>
  <c r="AV559" i="5"/>
  <c r="AT8" i="18"/>
  <c r="BC272" i="16"/>
  <c r="BR272" i="16"/>
  <c r="BT272" i="16"/>
  <c r="BL272" i="16"/>
  <c r="BJ272" i="16"/>
  <c r="AS8" i="18"/>
  <c r="AQ8" i="18"/>
  <c r="AV8" i="18"/>
  <c r="AR8" i="18"/>
  <c r="AU8" i="18"/>
  <c r="T9" i="18"/>
  <c r="AH272" i="16"/>
  <c r="AE272" i="16"/>
  <c r="AC273" i="16"/>
  <c r="AI271" i="16"/>
  <c r="AZ272" i="16"/>
  <c r="BB272" i="16"/>
  <c r="CA272" i="16"/>
  <c r="AQ272" i="16"/>
  <c r="AD272" i="16"/>
  <c r="AP272" i="16"/>
  <c r="BA272" i="16"/>
  <c r="AO271" i="16"/>
  <c r="AY271" i="16"/>
  <c r="BG271" i="16" s="1"/>
  <c r="AR18" i="18"/>
  <c r="AL18" i="18"/>
  <c r="BA18" i="18"/>
  <c r="BE18" i="18"/>
  <c r="AX8" i="18"/>
  <c r="BE8" i="18" s="1"/>
  <c r="BF18" i="18"/>
  <c r="BJ18" i="18" s="1"/>
  <c r="BL18" i="18" s="1"/>
  <c r="AJ18" i="18"/>
  <c r="BQ18" i="18"/>
  <c r="BR18" i="18" s="1"/>
  <c r="BV18" i="18" s="1"/>
  <c r="BW18" i="18" s="1"/>
  <c r="BX18" i="18" s="1"/>
  <c r="AO18" i="18"/>
  <c r="AP18" i="18" s="1"/>
  <c r="BC18" i="18"/>
  <c r="AI18" i="18"/>
  <c r="AZ18" i="18"/>
  <c r="AW18" i="18"/>
  <c r="BB18" i="18"/>
  <c r="AM18" i="18"/>
  <c r="AN18" i="18" s="1"/>
  <c r="AS18" i="18"/>
  <c r="AY18" i="18"/>
  <c r="AQ18" i="18"/>
  <c r="AV18" i="18"/>
  <c r="AU18" i="18"/>
  <c r="AK18" i="18"/>
  <c r="BD18" i="18"/>
  <c r="AT18" i="18"/>
  <c r="Z9" i="18"/>
  <c r="AS9" i="18" s="1"/>
  <c r="AH8" i="18"/>
  <c r="AI8" i="18"/>
  <c r="AB9" i="18"/>
  <c r="AA9" i="18" s="1"/>
  <c r="CC9" i="18"/>
  <c r="CD9" i="18" s="1"/>
  <c r="M21" i="18"/>
  <c r="M22" i="18" s="1"/>
  <c r="AG9" i="18"/>
  <c r="AI9" i="18" s="1"/>
  <c r="X10" i="18"/>
  <c r="Y10" i="18" s="1"/>
  <c r="AP572" i="5" l="1"/>
  <c r="AR571" i="5"/>
  <c r="AQ571" i="5" s="1"/>
  <c r="AT568" i="5" s="1"/>
  <c r="AK8" i="18"/>
  <c r="BC273" i="16"/>
  <c r="BR273" i="16"/>
  <c r="BT273" i="16"/>
  <c r="BL273" i="16"/>
  <c r="BJ273" i="16"/>
  <c r="AW8" i="18"/>
  <c r="AB10" i="18"/>
  <c r="AA10" i="18" s="1"/>
  <c r="AH273" i="16"/>
  <c r="AE273" i="16"/>
  <c r="AC274" i="16"/>
  <c r="BA273" i="16"/>
  <c r="AD273" i="16"/>
  <c r="CA273" i="16"/>
  <c r="AZ273" i="16"/>
  <c r="BB273" i="16"/>
  <c r="AQ273" i="16"/>
  <c r="AO272" i="16"/>
  <c r="AP273" i="16"/>
  <c r="AI272" i="16"/>
  <c r="M23" i="18"/>
  <c r="M24" i="18" s="1"/>
  <c r="M25" i="18" s="1"/>
  <c r="M26" i="18" s="1"/>
  <c r="M27" i="18" s="1"/>
  <c r="M28" i="18" s="1"/>
  <c r="B21" i="18" s="1"/>
  <c r="AY272" i="16"/>
  <c r="BG272" i="16" s="1"/>
  <c r="AZ8" i="18"/>
  <c r="BN18" i="18"/>
  <c r="BY18" i="18"/>
  <c r="BZ18" i="18" s="1"/>
  <c r="CA18" i="18" s="1"/>
  <c r="BA8" i="18"/>
  <c r="BD8" i="18"/>
  <c r="BC8" i="18"/>
  <c r="BB8" i="18"/>
  <c r="AY8" i="18"/>
  <c r="BK18" i="18"/>
  <c r="BM18" i="18"/>
  <c r="BO18" i="18" s="1"/>
  <c r="BG18" i="18"/>
  <c r="BH18" i="18" s="1"/>
  <c r="BI18" i="18" s="1"/>
  <c r="BS18" i="18"/>
  <c r="BT18" i="18" s="1"/>
  <c r="BU18" i="18" s="1"/>
  <c r="AR9" i="18"/>
  <c r="AC9" i="18"/>
  <c r="AX9" i="18"/>
  <c r="AY9" i="18" s="1"/>
  <c r="AT9" i="18"/>
  <c r="AU9" i="18"/>
  <c r="AV9" i="18"/>
  <c r="AQ9" i="18"/>
  <c r="AJ9" i="18"/>
  <c r="AH9" i="18"/>
  <c r="CC10" i="18"/>
  <c r="CD10" i="18" s="1"/>
  <c r="Z10" i="18"/>
  <c r="AR10" i="18" s="1"/>
  <c r="AG10" i="18"/>
  <c r="AJ10" i="18" s="1"/>
  <c r="T10" i="18"/>
  <c r="X11" i="18"/>
  <c r="Y11" i="18" s="1"/>
  <c r="AR572" i="5" l="1"/>
  <c r="AU568" i="5" s="1"/>
  <c r="AP573" i="5"/>
  <c r="AR272" i="16"/>
  <c r="AR271" i="16" s="1"/>
  <c r="BC274" i="16"/>
  <c r="AV645" i="5"/>
  <c r="BT274" i="16"/>
  <c r="BR274" i="16"/>
  <c r="BJ274" i="16"/>
  <c r="BL274" i="16"/>
  <c r="AC10" i="18"/>
  <c r="Z11" i="18"/>
  <c r="AR11" i="18" s="1"/>
  <c r="AH274" i="16"/>
  <c r="AE274" i="16"/>
  <c r="AC275" i="16"/>
  <c r="BB274" i="16"/>
  <c r="AI273" i="16"/>
  <c r="AO273" i="16"/>
  <c r="AD274" i="16"/>
  <c r="BA274" i="16"/>
  <c r="AQ274" i="16"/>
  <c r="AZ274" i="16"/>
  <c r="CA274" i="16"/>
  <c r="AP274" i="16"/>
  <c r="BF8" i="18"/>
  <c r="BN8" i="18" s="1"/>
  <c r="N24" i="18"/>
  <c r="O24" i="18" s="1"/>
  <c r="N8" i="18"/>
  <c r="O8" i="18" s="1"/>
  <c r="N28" i="18"/>
  <c r="O28" i="18" s="1"/>
  <c r="N26" i="18"/>
  <c r="O26" i="18" s="1"/>
  <c r="N29" i="18"/>
  <c r="O29" i="18" s="1"/>
  <c r="N27" i="18"/>
  <c r="O27" i="18" s="1"/>
  <c r="N25" i="18"/>
  <c r="O25" i="18" s="1"/>
  <c r="AY273" i="16"/>
  <c r="BG273" i="16" s="1"/>
  <c r="BP18" i="18"/>
  <c r="CB18" i="18"/>
  <c r="BD9" i="18"/>
  <c r="BC9" i="18"/>
  <c r="BB9" i="18"/>
  <c r="X12" i="18"/>
  <c r="AG12" i="18" s="1"/>
  <c r="AH12" i="18" s="1"/>
  <c r="AZ9" i="18"/>
  <c r="BA9" i="18"/>
  <c r="AW9" i="18"/>
  <c r="BE9" i="18"/>
  <c r="AK9" i="18"/>
  <c r="AU10" i="18"/>
  <c r="AV10" i="18"/>
  <c r="AT10" i="18"/>
  <c r="AX10" i="18"/>
  <c r="BE10" i="18" s="1"/>
  <c r="AQ10" i="18"/>
  <c r="AG11" i="18"/>
  <c r="AJ11" i="18" s="1"/>
  <c r="AS10" i="18"/>
  <c r="AH10" i="18"/>
  <c r="AI10" i="18"/>
  <c r="T11" i="18"/>
  <c r="AB11" i="18"/>
  <c r="CC11" i="18"/>
  <c r="CD11" i="18" s="1"/>
  <c r="AP574" i="5" l="1"/>
  <c r="AR573" i="5"/>
  <c r="AQ573" i="5" s="1"/>
  <c r="BC275" i="16"/>
  <c r="AR676" i="5"/>
  <c r="BT275" i="16"/>
  <c r="BR275" i="16"/>
  <c r="BJ275" i="16"/>
  <c r="BL275" i="16"/>
  <c r="AU11" i="18"/>
  <c r="AV11" i="18"/>
  <c r="AQ11" i="18"/>
  <c r="AT11" i="18"/>
  <c r="AS11" i="18"/>
  <c r="AE8" i="18"/>
  <c r="AH275" i="16"/>
  <c r="AE275" i="16"/>
  <c r="AC276" i="16"/>
  <c r="AP275" i="16"/>
  <c r="AI274" i="16"/>
  <c r="AO274" i="16"/>
  <c r="X13" i="18"/>
  <c r="X14" i="18" s="1"/>
  <c r="X15" i="18" s="1"/>
  <c r="AG15" i="18" s="1"/>
  <c r="AI15" i="18" s="1"/>
  <c r="AA11" i="18"/>
  <c r="AC11" i="18" s="1"/>
  <c r="BB275" i="16"/>
  <c r="BA275" i="16"/>
  <c r="AD275" i="16"/>
  <c r="AZ275" i="16"/>
  <c r="CA275" i="16"/>
  <c r="AQ275" i="16"/>
  <c r="BJ8" i="18"/>
  <c r="BK8" i="18" s="1"/>
  <c r="BG8" i="18"/>
  <c r="BH8" i="18" s="1"/>
  <c r="BI8" i="18" s="1"/>
  <c r="BM8" i="18"/>
  <c r="BO8" i="18" s="1"/>
  <c r="BQ8" i="18"/>
  <c r="BR8" i="18" s="1"/>
  <c r="BS8" i="18" s="1"/>
  <c r="BT8" i="18" s="1"/>
  <c r="BU8" i="18" s="1"/>
  <c r="B6" i="19"/>
  <c r="N9" i="18"/>
  <c r="N10" i="18" s="1"/>
  <c r="N11" i="18" s="1"/>
  <c r="B9" i="19" s="1"/>
  <c r="B5" i="19"/>
  <c r="AY274" i="16"/>
  <c r="BG274" i="16" s="1"/>
  <c r="Y12" i="18"/>
  <c r="BB10" i="18"/>
  <c r="AK10" i="18"/>
  <c r="AX11" i="18"/>
  <c r="BC11" i="18" s="1"/>
  <c r="AY10" i="18"/>
  <c r="BA10" i="18"/>
  <c r="BF9" i="18"/>
  <c r="BN9" i="18" s="1"/>
  <c r="AZ10" i="18"/>
  <c r="BC10" i="18"/>
  <c r="AW10" i="18"/>
  <c r="AJ12" i="18"/>
  <c r="AI12" i="18"/>
  <c r="CC12" i="18"/>
  <c r="CD12" i="18" s="1"/>
  <c r="AH11" i="18"/>
  <c r="AI11" i="18"/>
  <c r="BD10" i="18"/>
  <c r="AX568" i="5" l="1"/>
  <c r="AP575" i="5"/>
  <c r="AR574" i="5"/>
  <c r="AV568" i="5" s="1"/>
  <c r="BC276" i="16"/>
  <c r="AR677" i="5"/>
  <c r="BR276" i="16"/>
  <c r="BT276" i="16"/>
  <c r="BJ276" i="16"/>
  <c r="BL276" i="16"/>
  <c r="AW11" i="18"/>
  <c r="T12" i="18"/>
  <c r="AH276" i="16"/>
  <c r="AE276" i="16"/>
  <c r="AC277" i="16"/>
  <c r="X16" i="18"/>
  <c r="CC16" i="18" s="1"/>
  <c r="CD16" i="18" s="1"/>
  <c r="AQ276" i="16"/>
  <c r="B206" i="19"/>
  <c r="AW117" i="12"/>
  <c r="B205" i="19"/>
  <c r="AW116" i="12"/>
  <c r="B209" i="19"/>
  <c r="AW120" i="12"/>
  <c r="AD8" i="18"/>
  <c r="AF8" i="18" s="1"/>
  <c r="AO275" i="16"/>
  <c r="CC13" i="18"/>
  <c r="CD13" i="18" s="1"/>
  <c r="Y13" i="18"/>
  <c r="CC14" i="18"/>
  <c r="CD14" i="18" s="1"/>
  <c r="Y14" i="18"/>
  <c r="AD276" i="16"/>
  <c r="AG13" i="18"/>
  <c r="AI13" i="18" s="1"/>
  <c r="AG14" i="18"/>
  <c r="AI14" i="18" s="1"/>
  <c r="Y15" i="18"/>
  <c r="CC15" i="18"/>
  <c r="CD15" i="18" s="1"/>
  <c r="BB276" i="16"/>
  <c r="AI275" i="16"/>
  <c r="AP276" i="16"/>
  <c r="BL8" i="18"/>
  <c r="CA276" i="16"/>
  <c r="BA276" i="16"/>
  <c r="AZ276" i="16"/>
  <c r="BP8" i="18"/>
  <c r="BY8" i="18"/>
  <c r="BZ8" i="18" s="1"/>
  <c r="CA8" i="18" s="1"/>
  <c r="AL8" i="18"/>
  <c r="BV8" i="18"/>
  <c r="BW8" i="18" s="1"/>
  <c r="BX8" i="18" s="1"/>
  <c r="O11" i="18"/>
  <c r="B8" i="19"/>
  <c r="B7" i="19"/>
  <c r="N12" i="18"/>
  <c r="O12" i="18" s="1"/>
  <c r="O9" i="18"/>
  <c r="O10" i="18"/>
  <c r="Z12" i="18"/>
  <c r="AY275" i="16"/>
  <c r="BG275" i="16" s="1"/>
  <c r="AB12" i="18"/>
  <c r="AA12" i="18" s="1"/>
  <c r="BD11" i="18"/>
  <c r="AY11" i="18"/>
  <c r="BE11" i="18"/>
  <c r="AZ11" i="18"/>
  <c r="BA11" i="18"/>
  <c r="BB11" i="18"/>
  <c r="AK11" i="18"/>
  <c r="BF10" i="18"/>
  <c r="BN10" i="18" s="1"/>
  <c r="BM9" i="18"/>
  <c r="BO9" i="18" s="1"/>
  <c r="BJ9" i="18"/>
  <c r="BK9" i="18" s="1"/>
  <c r="BL9" i="18" s="1"/>
  <c r="BG9" i="18"/>
  <c r="BH9" i="18" s="1"/>
  <c r="BI9" i="18" s="1"/>
  <c r="BQ9" i="18"/>
  <c r="BR9" i="18" s="1"/>
  <c r="BV9" i="18" s="1"/>
  <c r="BW9" i="18" s="1"/>
  <c r="BX9" i="18" s="1"/>
  <c r="AH15" i="18"/>
  <c r="AJ15" i="18"/>
  <c r="X17" i="18"/>
  <c r="AR575" i="5" l="1"/>
  <c r="AY568" i="5" s="1"/>
  <c r="AP576" i="5"/>
  <c r="AM8" i="18"/>
  <c r="AN8" i="18" s="1"/>
  <c r="BC277" i="16"/>
  <c r="AR678" i="5"/>
  <c r="AQ678" i="5" s="1"/>
  <c r="BR277" i="16"/>
  <c r="BT277" i="16"/>
  <c r="BL277" i="16"/>
  <c r="BJ277" i="16"/>
  <c r="AE9" i="18"/>
  <c r="AD9" i="18" s="1"/>
  <c r="AU12" i="18"/>
  <c r="AB15" i="18"/>
  <c r="AB14" i="18"/>
  <c r="Z13" i="18"/>
  <c r="AX13" i="18" s="1"/>
  <c r="AZ13" i="18" s="1"/>
  <c r="AP277" i="16"/>
  <c r="AE277" i="16"/>
  <c r="AH277" i="16"/>
  <c r="AD277" i="16"/>
  <c r="AZ277" i="16"/>
  <c r="CA277" i="16"/>
  <c r="BB277" i="16"/>
  <c r="AQ277" i="16"/>
  <c r="AC278" i="16"/>
  <c r="AG16" i="18"/>
  <c r="AJ16" i="18" s="1"/>
  <c r="Y16" i="18"/>
  <c r="B208" i="19"/>
  <c r="AW119" i="12"/>
  <c r="B207" i="19"/>
  <c r="AW118" i="12"/>
  <c r="AI276" i="16"/>
  <c r="BA277" i="16"/>
  <c r="T13" i="18"/>
  <c r="AJ13" i="18"/>
  <c r="AB13" i="18"/>
  <c r="AA13" i="18" s="1"/>
  <c r="AH13" i="18"/>
  <c r="Z14" i="18"/>
  <c r="AX14" i="18" s="1"/>
  <c r="BC14" i="18" s="1"/>
  <c r="T14" i="18"/>
  <c r="AJ14" i="18"/>
  <c r="AH14" i="18"/>
  <c r="T15" i="18"/>
  <c r="Z15" i="18"/>
  <c r="AX15" i="18" s="1"/>
  <c r="BC15" i="18" s="1"/>
  <c r="AO276" i="16"/>
  <c r="B10" i="19"/>
  <c r="CB8" i="18"/>
  <c r="N13" i="18"/>
  <c r="O13" i="18" s="1"/>
  <c r="AX12" i="18"/>
  <c r="AK12" i="18" s="1"/>
  <c r="AT12" i="18"/>
  <c r="AQ12" i="18"/>
  <c r="AV12" i="18"/>
  <c r="AS12" i="18"/>
  <c r="AC12" i="18"/>
  <c r="AR12" i="18"/>
  <c r="AY276" i="16"/>
  <c r="BG276" i="16" s="1"/>
  <c r="BF11" i="18"/>
  <c r="BJ11" i="18" s="1"/>
  <c r="BK11" i="18" s="1"/>
  <c r="BL11" i="18" s="1"/>
  <c r="BQ10" i="18"/>
  <c r="BR10" i="18" s="1"/>
  <c r="BY10" i="18" s="1"/>
  <c r="BZ10" i="18" s="1"/>
  <c r="CA10" i="18" s="1"/>
  <c r="BM10" i="18"/>
  <c r="BO10" i="18" s="1"/>
  <c r="BG10" i="18"/>
  <c r="BH10" i="18" s="1"/>
  <c r="BI10" i="18" s="1"/>
  <c r="BJ10" i="18"/>
  <c r="BK10" i="18" s="1"/>
  <c r="BL10" i="18" s="1"/>
  <c r="BS9" i="18"/>
  <c r="BT9" i="18" s="1"/>
  <c r="BU9" i="18" s="1"/>
  <c r="BP9" i="18"/>
  <c r="AL9" i="18"/>
  <c r="AM9" i="18" s="1"/>
  <c r="AN9" i="18" s="1"/>
  <c r="BY9" i="18"/>
  <c r="BZ9" i="18" s="1"/>
  <c r="CA9" i="18" s="1"/>
  <c r="Y17" i="18"/>
  <c r="AE17" i="18" s="1"/>
  <c r="AG17" i="18"/>
  <c r="CC17" i="18"/>
  <c r="CD17" i="18" s="1"/>
  <c r="AR576" i="5" l="1"/>
  <c r="AQ576" i="5" s="1"/>
  <c r="AW568" i="5" s="1"/>
  <c r="AP577" i="5"/>
  <c r="AP578" i="5" s="1"/>
  <c r="AP579" i="5" s="1"/>
  <c r="AP580" i="5" s="1"/>
  <c r="AO8" i="18"/>
  <c r="AP8" i="18" s="1"/>
  <c r="BC278" i="16"/>
  <c r="AR686" i="5"/>
  <c r="AQ686" i="5" s="1"/>
  <c r="BR278" i="16"/>
  <c r="BT278" i="16"/>
  <c r="BJ278" i="16"/>
  <c r="BL278" i="16"/>
  <c r="AR13" i="18"/>
  <c r="AS13" i="18"/>
  <c r="AE12" i="18"/>
  <c r="AE11" i="18"/>
  <c r="AQ13" i="18"/>
  <c r="AE10" i="18"/>
  <c r="AT13" i="18"/>
  <c r="AU13" i="18"/>
  <c r="AV13" i="18"/>
  <c r="T16" i="18"/>
  <c r="AE16" i="18"/>
  <c r="AI277" i="16"/>
  <c r="AH278" i="16"/>
  <c r="AE278" i="16"/>
  <c r="BB278" i="16"/>
  <c r="AD278" i="16"/>
  <c r="AZ278" i="16"/>
  <c r="AQ278" i="16"/>
  <c r="AP278" i="16"/>
  <c r="CA278" i="16"/>
  <c r="AC279" i="16"/>
  <c r="AA16" i="18"/>
  <c r="AH16" i="18"/>
  <c r="AI16" i="18"/>
  <c r="Z16" i="18"/>
  <c r="AT16" i="18" s="1"/>
  <c r="AB16" i="18"/>
  <c r="AC16" i="18" s="1"/>
  <c r="B210" i="19"/>
  <c r="AW121" i="12"/>
  <c r="BA278" i="16"/>
  <c r="AO277" i="16"/>
  <c r="AQ14" i="18"/>
  <c r="BA14" i="18"/>
  <c r="AC13" i="18"/>
  <c r="BE14" i="18"/>
  <c r="BD14" i="18"/>
  <c r="AT14" i="18"/>
  <c r="BB14" i="18"/>
  <c r="AK14" i="18"/>
  <c r="AY14" i="18"/>
  <c r="AU14" i="18"/>
  <c r="AR14" i="18"/>
  <c r="AV14" i="18"/>
  <c r="AS14" i="18"/>
  <c r="AZ14" i="18"/>
  <c r="AD11" i="18"/>
  <c r="AA14" i="18"/>
  <c r="AF9" i="18"/>
  <c r="AU15" i="18"/>
  <c r="AK15" i="18"/>
  <c r="AD12" i="18"/>
  <c r="AS15" i="18"/>
  <c r="BA15" i="18"/>
  <c r="AT15" i="18"/>
  <c r="BE15" i="18"/>
  <c r="AV15" i="18"/>
  <c r="AQ15" i="18"/>
  <c r="AZ15" i="18"/>
  <c r="AY15" i="18"/>
  <c r="BB15" i="18"/>
  <c r="BD15" i="18"/>
  <c r="AR15" i="18"/>
  <c r="AD10" i="18"/>
  <c r="N14" i="18"/>
  <c r="O14" i="18" s="1"/>
  <c r="B11" i="19"/>
  <c r="BA12" i="18"/>
  <c r="BC12" i="18"/>
  <c r="AZ12" i="18"/>
  <c r="AY12" i="18"/>
  <c r="BD12" i="18"/>
  <c r="BE12" i="18"/>
  <c r="BB12" i="18"/>
  <c r="AY13" i="18"/>
  <c r="AW12" i="18"/>
  <c r="BN11" i="18"/>
  <c r="BQ11" i="18"/>
  <c r="BR11" i="18" s="1"/>
  <c r="BV11" i="18" s="1"/>
  <c r="BW11" i="18" s="1"/>
  <c r="BX11" i="18" s="1"/>
  <c r="BG11" i="18"/>
  <c r="BH11" i="18" s="1"/>
  <c r="BI11" i="18" s="1"/>
  <c r="BM11" i="18"/>
  <c r="BO11" i="18" s="1"/>
  <c r="AY277" i="16"/>
  <c r="BG277" i="16" s="1"/>
  <c r="BV10" i="18"/>
  <c r="BW10" i="18" s="1"/>
  <c r="BX10" i="18" s="1"/>
  <c r="BS10" i="18"/>
  <c r="BT10" i="18" s="1"/>
  <c r="BU10" i="18" s="1"/>
  <c r="AL10" i="18"/>
  <c r="AM10" i="18" s="1"/>
  <c r="AN10" i="18" s="1"/>
  <c r="BP10" i="18"/>
  <c r="AO9" i="18"/>
  <c r="AP9" i="18" s="1"/>
  <c r="CB9" i="18"/>
  <c r="AJ17" i="18"/>
  <c r="AI17" i="18"/>
  <c r="AH17" i="18"/>
  <c r="Z17" i="18"/>
  <c r="AA17" i="18"/>
  <c r="AD17" i="18" s="1"/>
  <c r="AB17" i="18"/>
  <c r="T17" i="18"/>
  <c r="BD13" i="18"/>
  <c r="BE13" i="18"/>
  <c r="BB13" i="18"/>
  <c r="AK13" i="18"/>
  <c r="BA13" i="18"/>
  <c r="BC13" i="18"/>
  <c r="AR580" i="5" l="1"/>
  <c r="AQ580" i="5" s="1"/>
  <c r="AT577" i="5" s="1"/>
  <c r="AP581" i="5"/>
  <c r="BC279" i="16"/>
  <c r="AT682" i="5"/>
  <c r="AT657" i="5"/>
  <c r="AR687" i="5"/>
  <c r="BT279" i="16"/>
  <c r="BR279" i="16"/>
  <c r="BJ279" i="16"/>
  <c r="BL279" i="16"/>
  <c r="AE15" i="18"/>
  <c r="AF10" i="18"/>
  <c r="AW13" i="18"/>
  <c r="AE14" i="18"/>
  <c r="AE7" i="18"/>
  <c r="AE13" i="18"/>
  <c r="AI278" i="16"/>
  <c r="AE279" i="16"/>
  <c r="AH279" i="16"/>
  <c r="BB279" i="16"/>
  <c r="AZ279" i="16"/>
  <c r="CA279" i="16"/>
  <c r="AD279" i="16"/>
  <c r="AP279" i="16"/>
  <c r="AQ279" i="16"/>
  <c r="AC280" i="16"/>
  <c r="AX16" i="18"/>
  <c r="BB16" i="18" s="1"/>
  <c r="AU16" i="18"/>
  <c r="AR16" i="18"/>
  <c r="AV16" i="18"/>
  <c r="AS16" i="18"/>
  <c r="AQ16" i="18"/>
  <c r="AW16" i="18"/>
  <c r="AK16" i="18"/>
  <c r="AD16" i="18"/>
  <c r="AF17" i="18"/>
  <c r="AW15" i="18"/>
  <c r="BE16" i="18"/>
  <c r="BF15" i="18"/>
  <c r="BN15" i="18" s="1"/>
  <c r="BA16" i="18"/>
  <c r="AC17" i="18"/>
  <c r="BF14" i="18"/>
  <c r="BQ14" i="18" s="1"/>
  <c r="BR14" i="18" s="1"/>
  <c r="BS14" i="18" s="1"/>
  <c r="BT14" i="18" s="1"/>
  <c r="BU14" i="18" s="1"/>
  <c r="AW14" i="18"/>
  <c r="B211" i="19"/>
  <c r="AW122" i="12"/>
  <c r="BA279" i="16"/>
  <c r="AO278" i="16"/>
  <c r="AF11" i="18"/>
  <c r="AF12" i="18"/>
  <c r="AC14" i="18"/>
  <c r="AA15" i="18"/>
  <c r="AC15" i="18" s="1"/>
  <c r="B12" i="19"/>
  <c r="N15" i="18"/>
  <c r="N16" i="18" s="1"/>
  <c r="O16" i="18" s="1"/>
  <c r="BY11" i="18"/>
  <c r="BZ11" i="18" s="1"/>
  <c r="CA11" i="18" s="1"/>
  <c r="BF13" i="18"/>
  <c r="BJ13" i="18" s="1"/>
  <c r="BK13" i="18" s="1"/>
  <c r="BF12" i="18"/>
  <c r="BQ12" i="18" s="1"/>
  <c r="BR12" i="18" s="1"/>
  <c r="BS12" i="18" s="1"/>
  <c r="BT12" i="18" s="1"/>
  <c r="BU12" i="18" s="1"/>
  <c r="BS11" i="18"/>
  <c r="BT11" i="18" s="1"/>
  <c r="BU11" i="18" s="1"/>
  <c r="AL11" i="18"/>
  <c r="AM11" i="18" s="1"/>
  <c r="AN11" i="18" s="1"/>
  <c r="BP11" i="18"/>
  <c r="AY278" i="16"/>
  <c r="BG278" i="16" s="1"/>
  <c r="CB10" i="18"/>
  <c r="AO10" i="18"/>
  <c r="AP10" i="18" s="1"/>
  <c r="BC16" i="18"/>
  <c r="AX17" i="18"/>
  <c r="BA17" i="18" s="1"/>
  <c r="AT17" i="18"/>
  <c r="AV17" i="18"/>
  <c r="AU17" i="18"/>
  <c r="AR17" i="18"/>
  <c r="AS17" i="18"/>
  <c r="AQ17" i="18"/>
  <c r="AD7" i="18"/>
  <c r="AD14" i="18" l="1"/>
  <c r="AR581" i="5"/>
  <c r="AU577" i="5" s="1"/>
  <c r="AP582" i="5"/>
  <c r="AZ16" i="18"/>
  <c r="AY16" i="18"/>
  <c r="BD16" i="18"/>
  <c r="AS278" i="16"/>
  <c r="AS277" i="16" s="1"/>
  <c r="AU682" i="5"/>
  <c r="BC280" i="16"/>
  <c r="AX657" i="5"/>
  <c r="BR280" i="16"/>
  <c r="BT280" i="16"/>
  <c r="BL280" i="16"/>
  <c r="BJ280" i="16"/>
  <c r="AD13" i="18"/>
  <c r="AF13" i="18" s="1"/>
  <c r="AI279" i="16"/>
  <c r="AH280" i="16"/>
  <c r="AE280" i="16"/>
  <c r="AD280" i="16"/>
  <c r="CA280" i="16"/>
  <c r="AQ280" i="16"/>
  <c r="BB280" i="16"/>
  <c r="AZ280" i="16"/>
  <c r="AP280" i="16"/>
  <c r="AC281" i="16"/>
  <c r="BC17" i="18"/>
  <c r="AF16" i="18"/>
  <c r="BB17" i="18"/>
  <c r="BE17" i="18"/>
  <c r="AK17" i="18"/>
  <c r="AZ17" i="18"/>
  <c r="BD17" i="18"/>
  <c r="AY17" i="18"/>
  <c r="BQ15" i="18"/>
  <c r="BR15" i="18" s="1"/>
  <c r="BS15" i="18" s="1"/>
  <c r="BT15" i="18" s="1"/>
  <c r="BU15" i="18" s="1"/>
  <c r="BG14" i="18"/>
  <c r="BH14" i="18" s="1"/>
  <c r="BI14" i="18" s="1"/>
  <c r="BM14" i="18"/>
  <c r="BO14" i="18" s="1"/>
  <c r="BG15" i="18"/>
  <c r="BH15" i="18" s="1"/>
  <c r="BI15" i="18" s="1"/>
  <c r="BJ15" i="18"/>
  <c r="BK15" i="18" s="1"/>
  <c r="BM15" i="18"/>
  <c r="BO15" i="18" s="1"/>
  <c r="AW17" i="18"/>
  <c r="BF17" i="18"/>
  <c r="BJ17" i="18" s="1"/>
  <c r="BF16" i="18"/>
  <c r="BV14" i="18"/>
  <c r="BW14" i="18" s="1"/>
  <c r="BX14" i="18" s="1"/>
  <c r="BJ14" i="18"/>
  <c r="BL14" i="18" s="1"/>
  <c r="BY14" i="18"/>
  <c r="BZ14" i="18" s="1"/>
  <c r="CA14" i="18" s="1"/>
  <c r="BN14" i="18"/>
  <c r="B212" i="19"/>
  <c r="AW123" i="12"/>
  <c r="BA280" i="16"/>
  <c r="AO279" i="16"/>
  <c r="AD15" i="18"/>
  <c r="AF15" i="18" s="1"/>
  <c r="N17" i="18"/>
  <c r="B15" i="19" s="1"/>
  <c r="B14" i="19"/>
  <c r="O15" i="18"/>
  <c r="B13" i="19"/>
  <c r="BQ13" i="18"/>
  <c r="BR13" i="18" s="1"/>
  <c r="BV13" i="18" s="1"/>
  <c r="BL13" i="18"/>
  <c r="BG13" i="18"/>
  <c r="BH13" i="18" s="1"/>
  <c r="BI13" i="18" s="1"/>
  <c r="BM12" i="18"/>
  <c r="BO12" i="18" s="1"/>
  <c r="BV12" i="18"/>
  <c r="BW12" i="18" s="1"/>
  <c r="BX12" i="18" s="1"/>
  <c r="BG12" i="18"/>
  <c r="BH12" i="18" s="1"/>
  <c r="BI12" i="18" s="1"/>
  <c r="BN13" i="18"/>
  <c r="BM13" i="18"/>
  <c r="BN12" i="18"/>
  <c r="BY12" i="18"/>
  <c r="BZ12" i="18" s="1"/>
  <c r="CA12" i="18" s="1"/>
  <c r="AO11" i="18"/>
  <c r="AP11" i="18" s="1"/>
  <c r="BJ12" i="18"/>
  <c r="BK12" i="18" s="1"/>
  <c r="CB11" i="18"/>
  <c r="AY279" i="16"/>
  <c r="BG279" i="16" s="1"/>
  <c r="AF7" i="18"/>
  <c r="I8" i="16" s="1"/>
  <c r="AF14" i="18"/>
  <c r="AP583" i="5" l="1"/>
  <c r="AR582" i="5"/>
  <c r="AQ582" i="5" s="1"/>
  <c r="K8" i="16"/>
  <c r="BC281" i="16"/>
  <c r="BR281" i="16"/>
  <c r="BT281" i="16"/>
  <c r="BJ281" i="16"/>
  <c r="BL281" i="16"/>
  <c r="F8" i="16"/>
  <c r="F2" i="16" s="1"/>
  <c r="G8" i="16"/>
  <c r="I26" i="16"/>
  <c r="I22" i="16"/>
  <c r="I18" i="16"/>
  <c r="I14" i="16"/>
  <c r="I10" i="16"/>
  <c r="I25" i="16"/>
  <c r="I21" i="16"/>
  <c r="I17" i="16"/>
  <c r="I13" i="16"/>
  <c r="I9" i="16"/>
  <c r="I24" i="16"/>
  <c r="I20" i="16"/>
  <c r="I16" i="16"/>
  <c r="I12" i="16"/>
  <c r="I23" i="16"/>
  <c r="I19" i="16"/>
  <c r="I15" i="16"/>
  <c r="I11" i="16"/>
  <c r="AI280" i="16"/>
  <c r="AE281" i="16"/>
  <c r="AH281" i="16"/>
  <c r="CA281" i="16"/>
  <c r="AZ281" i="16"/>
  <c r="AD281" i="16"/>
  <c r="AP281" i="16"/>
  <c r="BB281" i="16"/>
  <c r="AQ281" i="16"/>
  <c r="AC282" i="16"/>
  <c r="BQ17" i="18"/>
  <c r="BR17" i="18" s="1"/>
  <c r="BY17" i="18" s="1"/>
  <c r="BZ17" i="18" s="1"/>
  <c r="CA17" i="18" s="1"/>
  <c r="AL14" i="18"/>
  <c r="AM14" i="18" s="1"/>
  <c r="AN14" i="18" s="1"/>
  <c r="AL15" i="18"/>
  <c r="BY15" i="18"/>
  <c r="BZ15" i="18" s="1"/>
  <c r="CA15" i="18" s="1"/>
  <c r="BV15" i="18"/>
  <c r="BW15" i="18" s="1"/>
  <c r="BX15" i="18" s="1"/>
  <c r="BL15" i="18"/>
  <c r="BP15" i="18"/>
  <c r="BN17" i="18"/>
  <c r="BG17" i="18"/>
  <c r="BH17" i="18" s="1"/>
  <c r="BI17" i="18" s="1"/>
  <c r="BM17" i="18"/>
  <c r="BO17" i="18" s="1"/>
  <c r="BJ16" i="18"/>
  <c r="BN16" i="18"/>
  <c r="BG16" i="18"/>
  <c r="BQ16" i="18"/>
  <c r="BR16" i="18" s="1"/>
  <c r="BM16" i="18"/>
  <c r="BO16" i="18" s="1"/>
  <c r="CB14" i="18"/>
  <c r="BP14" i="18"/>
  <c r="BK14" i="18"/>
  <c r="N18" i="18"/>
  <c r="N19" i="18" s="1"/>
  <c r="O19" i="18" s="1"/>
  <c r="B215" i="19"/>
  <c r="AW126" i="12"/>
  <c r="B214" i="19"/>
  <c r="AW125" i="12"/>
  <c r="B213" i="19"/>
  <c r="AW124" i="12"/>
  <c r="BA281" i="16"/>
  <c r="AO280" i="16"/>
  <c r="BL12" i="18"/>
  <c r="AQ18" i="16" s="1"/>
  <c r="O17" i="18"/>
  <c r="BS13" i="18"/>
  <c r="BT13" i="18" s="1"/>
  <c r="BU13" i="18" s="1"/>
  <c r="BY13" i="18"/>
  <c r="BZ13" i="18" s="1"/>
  <c r="CA13" i="18" s="1"/>
  <c r="AL13" i="18"/>
  <c r="AM13" i="18" s="1"/>
  <c r="AN13" i="18" s="1"/>
  <c r="BP13" i="18"/>
  <c r="BO13" i="18"/>
  <c r="AT19" i="16" s="1"/>
  <c r="CB12" i="18"/>
  <c r="AK12" i="16" s="1"/>
  <c r="BP12" i="18"/>
  <c r="AU17" i="16" s="1"/>
  <c r="AL12" i="18"/>
  <c r="AM12" i="18" s="1"/>
  <c r="AN12" i="18" s="1"/>
  <c r="J16" i="16" s="1"/>
  <c r="AY280" i="16"/>
  <c r="BG280" i="16" s="1"/>
  <c r="AP15" i="16"/>
  <c r="AM17" i="16"/>
  <c r="AS18" i="16"/>
  <c r="AE13" i="16"/>
  <c r="AF13" i="16" s="1"/>
  <c r="AR12" i="16"/>
  <c r="AT12" i="16" s="1"/>
  <c r="AP14" i="16"/>
  <c r="AL15" i="16"/>
  <c r="AM15" i="16"/>
  <c r="AR18" i="16"/>
  <c r="AL13" i="16"/>
  <c r="AM13" i="16" s="1"/>
  <c r="AL17" i="16"/>
  <c r="F23" i="16"/>
  <c r="AV8" i="16"/>
  <c r="R15" i="16"/>
  <c r="F10" i="16"/>
  <c r="AO12" i="16"/>
  <c r="AQ12" i="16" s="1"/>
  <c r="AO15" i="16"/>
  <c r="H25" i="16"/>
  <c r="H20" i="16"/>
  <c r="G18" i="16"/>
  <c r="F17" i="16"/>
  <c r="R18" i="16"/>
  <c r="H18" i="16"/>
  <c r="F24" i="16"/>
  <c r="AM18" i="16"/>
  <c r="AP17" i="16"/>
  <c r="AL8" i="16"/>
  <c r="AN8" i="16" s="1"/>
  <c r="AR20" i="16"/>
  <c r="AS20" i="16"/>
  <c r="G16" i="16"/>
  <c r="H14" i="16"/>
  <c r="AS14" i="16"/>
  <c r="AV15" i="16"/>
  <c r="AE11" i="16"/>
  <c r="AG11" i="16" s="1"/>
  <c r="G22" i="16"/>
  <c r="AV17" i="16"/>
  <c r="AQ17" i="16"/>
  <c r="AM16" i="16"/>
  <c r="AT14" i="16"/>
  <c r="AR8" i="16"/>
  <c r="AS8" i="16" s="1"/>
  <c r="AL9" i="16"/>
  <c r="AN9" i="16" s="1"/>
  <c r="AL18" i="16"/>
  <c r="AL20" i="16"/>
  <c r="R19" i="16"/>
  <c r="S19" i="16"/>
  <c r="G9" i="16"/>
  <c r="H12" i="16"/>
  <c r="AV16" i="16"/>
  <c r="AH13" i="16"/>
  <c r="AI13" i="16" s="1"/>
  <c r="AO20" i="16"/>
  <c r="F25" i="16"/>
  <c r="AS16" i="16"/>
  <c r="F11" i="16"/>
  <c r="H21" i="16"/>
  <c r="AO19" i="16"/>
  <c r="AQ14" i="16"/>
  <c r="AP18" i="16"/>
  <c r="AE14" i="16"/>
  <c r="AF14" i="16" s="1"/>
  <c r="AV14" i="16"/>
  <c r="F26" i="16"/>
  <c r="H19" i="16"/>
  <c r="R10" i="16"/>
  <c r="F14" i="16"/>
  <c r="AO11" i="16"/>
  <c r="AQ11" i="16" s="1"/>
  <c r="AR14" i="16"/>
  <c r="AH14" i="16"/>
  <c r="AJ14" i="16" s="1"/>
  <c r="AM20" i="16"/>
  <c r="AM19" i="16"/>
  <c r="AT15" i="16"/>
  <c r="AP16" i="16"/>
  <c r="AR9" i="16"/>
  <c r="AS9" i="16" s="1"/>
  <c r="AR19" i="16"/>
  <c r="AS17" i="16"/>
  <c r="R8" i="16"/>
  <c r="AO8" i="16"/>
  <c r="AP8" i="16" s="1"/>
  <c r="AV9" i="16"/>
  <c r="AV13" i="16"/>
  <c r="AV11" i="16"/>
  <c r="AR13" i="16"/>
  <c r="AS13" i="16" s="1"/>
  <c r="AL11" i="16"/>
  <c r="AM11" i="16" s="1"/>
  <c r="AR16" i="16"/>
  <c r="F22" i="16"/>
  <c r="R14" i="16"/>
  <c r="H22" i="16"/>
  <c r="AS15" i="16"/>
  <c r="H26" i="16"/>
  <c r="H10" i="16"/>
  <c r="AR10" i="16"/>
  <c r="AT10" i="16" s="1"/>
  <c r="S16" i="16"/>
  <c r="AW18" i="16"/>
  <c r="AK8" i="16"/>
  <c r="K11" i="16"/>
  <c r="P8" i="16"/>
  <c r="Q8" i="16" s="1"/>
  <c r="AW20" i="16"/>
  <c r="AO10" i="16"/>
  <c r="AQ10" i="16" s="1"/>
  <c r="AV19" i="16"/>
  <c r="AR11" i="16"/>
  <c r="AS11" i="16" s="1"/>
  <c r="AO13" i="16"/>
  <c r="AP13" i="16" s="1"/>
  <c r="AO14" i="16"/>
  <c r="S20" i="16"/>
  <c r="AU9" i="16"/>
  <c r="AW19" i="16"/>
  <c r="G11" i="16"/>
  <c r="G23" i="16"/>
  <c r="H13" i="16"/>
  <c r="AB10" i="16"/>
  <c r="AC10" i="16" s="1"/>
  <c r="AO17" i="16"/>
  <c r="F20" i="16"/>
  <c r="F16" i="16"/>
  <c r="AV20" i="16"/>
  <c r="AO9" i="16"/>
  <c r="AP9" i="16" s="1"/>
  <c r="H11" i="16"/>
  <c r="AH10" i="16"/>
  <c r="AI10" i="16" s="1"/>
  <c r="AO18" i="16"/>
  <c r="G20" i="16"/>
  <c r="F19" i="16"/>
  <c r="AV12" i="16"/>
  <c r="H17" i="16"/>
  <c r="G15" i="16"/>
  <c r="AE10" i="16"/>
  <c r="F15" i="16"/>
  <c r="G21" i="16"/>
  <c r="AR17" i="16"/>
  <c r="AL14" i="16"/>
  <c r="AM14" i="16" s="1"/>
  <c r="F13" i="16"/>
  <c r="F18" i="16"/>
  <c r="H15" i="16"/>
  <c r="G24" i="16"/>
  <c r="R11" i="16"/>
  <c r="H16" i="16"/>
  <c r="AB13" i="16"/>
  <c r="AD13" i="16" s="1"/>
  <c r="AL16" i="16"/>
  <c r="AW14" i="16"/>
  <c r="R16" i="16"/>
  <c r="AL10" i="16"/>
  <c r="AM10" i="16" s="1"/>
  <c r="F12" i="16"/>
  <c r="F21" i="16"/>
  <c r="R12" i="16"/>
  <c r="AW9" i="16"/>
  <c r="AU15" i="16"/>
  <c r="P9" i="16"/>
  <c r="O9" i="16" s="1"/>
  <c r="AK11" i="16"/>
  <c r="S11" i="16"/>
  <c r="AW15" i="16"/>
  <c r="S14" i="16"/>
  <c r="AW16" i="16"/>
  <c r="AW12" i="16"/>
  <c r="K12" i="16"/>
  <c r="P10" i="16"/>
  <c r="O10" i="16" s="1"/>
  <c r="AK10" i="16"/>
  <c r="AU10" i="16"/>
  <c r="AW11" i="16"/>
  <c r="AW17" i="16"/>
  <c r="AW8" i="16"/>
  <c r="S17" i="16"/>
  <c r="S10" i="16"/>
  <c r="K13" i="16"/>
  <c r="K9" i="16"/>
  <c r="AU14" i="16"/>
  <c r="P11" i="16"/>
  <c r="O11" i="16" s="1"/>
  <c r="AK9" i="16"/>
  <c r="K10" i="16"/>
  <c r="S13" i="16"/>
  <c r="S15" i="16"/>
  <c r="AU12" i="16"/>
  <c r="AV18" i="16"/>
  <c r="S18" i="16"/>
  <c r="AW10" i="16"/>
  <c r="H23" i="16"/>
  <c r="R13" i="16"/>
  <c r="G26" i="16"/>
  <c r="AU13" i="16"/>
  <c r="G25" i="16"/>
  <c r="AO16" i="16"/>
  <c r="G17" i="16"/>
  <c r="R17" i="16"/>
  <c r="G13" i="16"/>
  <c r="AB12" i="16"/>
  <c r="H8" i="16"/>
  <c r="G12" i="16"/>
  <c r="S9" i="16"/>
  <c r="AU11" i="16"/>
  <c r="R20" i="16"/>
  <c r="G10" i="16"/>
  <c r="AU8" i="16"/>
  <c r="R9" i="16"/>
  <c r="AB11" i="16"/>
  <c r="AS19" i="16"/>
  <c r="AR15" i="16"/>
  <c r="H24" i="16"/>
  <c r="AW13" i="16"/>
  <c r="G19" i="16"/>
  <c r="AH11" i="16"/>
  <c r="AL19" i="16"/>
  <c r="AE12" i="16"/>
  <c r="F9" i="16"/>
  <c r="AV10" i="16"/>
  <c r="S8" i="16"/>
  <c r="H9" i="16"/>
  <c r="S12" i="16"/>
  <c r="G14" i="16"/>
  <c r="AL12" i="16"/>
  <c r="AH12" i="16"/>
  <c r="AB14" i="16"/>
  <c r="AL17" i="18"/>
  <c r="BK17" i="18"/>
  <c r="AP19" i="16" s="1"/>
  <c r="BL17" i="18"/>
  <c r="J11" i="16"/>
  <c r="AE19" i="16"/>
  <c r="AE18" i="16"/>
  <c r="AE20" i="16"/>
  <c r="AH18" i="16"/>
  <c r="AE8" i="16"/>
  <c r="AE9" i="16"/>
  <c r="AH9" i="16"/>
  <c r="AH8" i="16"/>
  <c r="J9" i="16"/>
  <c r="J8" i="16"/>
  <c r="AB8" i="16"/>
  <c r="AB9" i="16"/>
  <c r="BW13" i="18"/>
  <c r="BX13" i="18" s="1"/>
  <c r="AE15" i="16"/>
  <c r="AE16" i="16"/>
  <c r="AE17" i="16"/>
  <c r="AH15" i="16"/>
  <c r="AH16" i="16"/>
  <c r="AH17" i="16"/>
  <c r="AB15" i="16"/>
  <c r="J13" i="16"/>
  <c r="J14" i="16"/>
  <c r="AN20" i="16"/>
  <c r="AN14" i="16"/>
  <c r="AN15" i="16"/>
  <c r="AN17" i="16"/>
  <c r="AN16" i="16"/>
  <c r="AN18" i="16"/>
  <c r="AN19" i="16"/>
  <c r="K15" i="16"/>
  <c r="K14" i="16"/>
  <c r="K17" i="16" l="1"/>
  <c r="K19" i="16"/>
  <c r="K16" i="16"/>
  <c r="AX577" i="5"/>
  <c r="AP584" i="5"/>
  <c r="AR583" i="5"/>
  <c r="AX575" i="5" s="1"/>
  <c r="AQ15" i="16"/>
  <c r="J15" i="16"/>
  <c r="CB15" i="16" s="1"/>
  <c r="BC282" i="16"/>
  <c r="BR282" i="16"/>
  <c r="BT282" i="16"/>
  <c r="BJ282" i="16"/>
  <c r="BL282" i="16"/>
  <c r="AU16" i="16"/>
  <c r="CA282" i="16"/>
  <c r="AT16" i="16"/>
  <c r="AB18" i="16"/>
  <c r="AD18" i="16" s="1"/>
  <c r="AB16" i="16"/>
  <c r="AC16" i="16" s="1"/>
  <c r="AB17" i="16"/>
  <c r="AC17" i="16" s="1"/>
  <c r="AB20" i="16"/>
  <c r="AD20" i="16" s="1"/>
  <c r="AT18" i="16"/>
  <c r="AT17" i="16"/>
  <c r="F3" i="16"/>
  <c r="F1" i="16" s="1"/>
  <c r="C19" i="12" s="1"/>
  <c r="K18" i="16"/>
  <c r="J17" i="16"/>
  <c r="CB17" i="16" s="1"/>
  <c r="AQ16" i="16"/>
  <c r="J12" i="16"/>
  <c r="CB12" i="16" s="1"/>
  <c r="J10" i="16"/>
  <c r="CB10" i="16" s="1"/>
  <c r="N20" i="18"/>
  <c r="O20" i="18" s="1"/>
  <c r="BA282" i="16"/>
  <c r="AD282" i="16"/>
  <c r="AH282" i="16"/>
  <c r="AE282" i="16"/>
  <c r="AZ282" i="16"/>
  <c r="AP282" i="16"/>
  <c r="AQ282" i="16"/>
  <c r="BB282" i="16"/>
  <c r="AC283" i="16"/>
  <c r="BV17" i="18"/>
  <c r="BW17" i="18" s="1"/>
  <c r="BX17" i="18" s="1"/>
  <c r="BS17" i="18"/>
  <c r="AB19" i="16" s="1"/>
  <c r="AC19" i="16" s="1"/>
  <c r="AO14" i="18"/>
  <c r="AP14" i="18" s="1"/>
  <c r="AQ19" i="16"/>
  <c r="AM15" i="18"/>
  <c r="AN15" i="18" s="1"/>
  <c r="CB15" i="18"/>
  <c r="AQ20" i="16"/>
  <c r="AP20" i="16"/>
  <c r="AT20" i="16"/>
  <c r="H3" i="16"/>
  <c r="E2" i="16"/>
  <c r="E3" i="16"/>
  <c r="D1" i="16"/>
  <c r="G3" i="16"/>
  <c r="G2" i="16" s="1"/>
  <c r="D3" i="16"/>
  <c r="D2" i="16" s="1"/>
  <c r="BP17" i="18"/>
  <c r="AU19" i="16"/>
  <c r="K20" i="16"/>
  <c r="N21" i="18"/>
  <c r="BV16" i="18"/>
  <c r="BW16" i="18" s="1"/>
  <c r="BX16" i="18" s="1"/>
  <c r="BY16" i="18"/>
  <c r="BS16" i="18"/>
  <c r="BH16" i="18"/>
  <c r="BI16" i="18" s="1"/>
  <c r="BP16" i="18"/>
  <c r="AL16" i="18"/>
  <c r="AM16" i="18" s="1"/>
  <c r="AN16" i="18" s="1"/>
  <c r="BL16" i="18"/>
  <c r="BK16" i="18"/>
  <c r="B16" i="19"/>
  <c r="AW127" i="12" s="1"/>
  <c r="O18" i="18"/>
  <c r="AU18" i="16"/>
  <c r="AU20" i="16"/>
  <c r="AO281" i="16"/>
  <c r="AI281" i="16"/>
  <c r="AO13" i="18"/>
  <c r="AP13" i="18" s="1"/>
  <c r="CB13" i="18"/>
  <c r="J18" i="16"/>
  <c r="CB18" i="16" s="1"/>
  <c r="AO12" i="18"/>
  <c r="AP12" i="18" s="1"/>
  <c r="P17" i="16" s="1"/>
  <c r="AG13" i="16"/>
  <c r="AY281" i="16"/>
  <c r="BG281" i="16" s="1"/>
  <c r="AS12" i="16"/>
  <c r="AN13" i="16"/>
  <c r="AS10" i="16"/>
  <c r="AG14" i="16"/>
  <c r="AN11" i="16"/>
  <c r="AP12" i="16"/>
  <c r="AM8" i="16"/>
  <c r="AT9" i="16"/>
  <c r="AJ13" i="16"/>
  <c r="AT13" i="16"/>
  <c r="AT8" i="16"/>
  <c r="AP11" i="16"/>
  <c r="AM9" i="16"/>
  <c r="AF11" i="16"/>
  <c r="AI14" i="16"/>
  <c r="AQ8" i="16"/>
  <c r="AC13" i="16"/>
  <c r="AD10" i="16"/>
  <c r="AP10" i="16"/>
  <c r="O8" i="16"/>
  <c r="AT11" i="16"/>
  <c r="AJ10" i="16"/>
  <c r="AQ13" i="16"/>
  <c r="AN10" i="16"/>
  <c r="AG10" i="16"/>
  <c r="AF10" i="16"/>
  <c r="AQ9" i="16"/>
  <c r="Q9" i="16"/>
  <c r="Q10" i="16"/>
  <c r="Q11" i="16"/>
  <c r="AM12" i="16"/>
  <c r="AN12" i="16"/>
  <c r="AG12" i="16"/>
  <c r="AF12" i="16"/>
  <c r="AD12" i="16"/>
  <c r="AC12" i="16"/>
  <c r="AC14" i="16"/>
  <c r="AD14" i="16"/>
  <c r="AC11" i="16"/>
  <c r="AD11" i="16"/>
  <c r="AJ12" i="16"/>
  <c r="AI12" i="16"/>
  <c r="AI11" i="16"/>
  <c r="AJ11" i="16"/>
  <c r="AK20" i="16"/>
  <c r="AK18" i="16"/>
  <c r="AK19" i="16"/>
  <c r="AM17" i="18"/>
  <c r="AN17" i="18" s="1"/>
  <c r="J19" i="16" s="1"/>
  <c r="CB19" i="16" s="1"/>
  <c r="AO16" i="18"/>
  <c r="AP16" i="18" s="1"/>
  <c r="CB11" i="16"/>
  <c r="CB9" i="16"/>
  <c r="CB8" i="16"/>
  <c r="AG18" i="16"/>
  <c r="AF18" i="16"/>
  <c r="AF20" i="16"/>
  <c r="AG20" i="16"/>
  <c r="AG19" i="16"/>
  <c r="AF19" i="16"/>
  <c r="AJ18" i="16"/>
  <c r="AI18" i="16"/>
  <c r="AF8" i="16"/>
  <c r="AG8" i="16"/>
  <c r="AF9" i="16"/>
  <c r="AG9" i="16"/>
  <c r="AC8" i="16"/>
  <c r="AD8" i="16"/>
  <c r="AI9" i="16"/>
  <c r="AJ9" i="16"/>
  <c r="AC9" i="16"/>
  <c r="AD9" i="16"/>
  <c r="AI8" i="16"/>
  <c r="AJ8" i="16"/>
  <c r="CB16" i="16"/>
  <c r="CB13" i="16"/>
  <c r="CB14" i="16"/>
  <c r="AI17" i="16"/>
  <c r="AJ17" i="16"/>
  <c r="AG16" i="16"/>
  <c r="AF16" i="16"/>
  <c r="AG17" i="16"/>
  <c r="AF17" i="16"/>
  <c r="AD15" i="16"/>
  <c r="AC15" i="16"/>
  <c r="AJ15" i="16"/>
  <c r="AI15" i="16"/>
  <c r="AI16" i="16"/>
  <c r="AJ16" i="16"/>
  <c r="AG15" i="16"/>
  <c r="AF15" i="16"/>
  <c r="P19" i="16"/>
  <c r="M8" i="16"/>
  <c r="N8" i="16" s="1"/>
  <c r="P15" i="16"/>
  <c r="P14" i="16"/>
  <c r="AP585" i="5" l="1"/>
  <c r="AR584" i="5"/>
  <c r="AQ584" i="5" s="1"/>
  <c r="AW577" i="5" s="1"/>
  <c r="AV577" i="5"/>
  <c r="P16" i="16"/>
  <c r="O16" i="16" s="1"/>
  <c r="P18" i="16"/>
  <c r="Q18" i="16" s="1"/>
  <c r="BC283" i="16"/>
  <c r="C21" i="12"/>
  <c r="C29" i="12"/>
  <c r="AV657" i="5"/>
  <c r="BT283" i="16"/>
  <c r="BR283" i="16"/>
  <c r="BJ283" i="16"/>
  <c r="BL283" i="16"/>
  <c r="AC18" i="16"/>
  <c r="AC20" i="16"/>
  <c r="AD16" i="16"/>
  <c r="AD17" i="16"/>
  <c r="M13" i="16"/>
  <c r="L13" i="16" s="1"/>
  <c r="M18" i="16"/>
  <c r="N18" i="16" s="1"/>
  <c r="AO282" i="16"/>
  <c r="AI282" i="16"/>
  <c r="AE283" i="16"/>
  <c r="AH283" i="16"/>
  <c r="AP283" i="16"/>
  <c r="AD283" i="16"/>
  <c r="BB283" i="16"/>
  <c r="BA283" i="16"/>
  <c r="AZ283" i="16"/>
  <c r="CA283" i="16"/>
  <c r="AQ283" i="16"/>
  <c r="AC284" i="16"/>
  <c r="AD19" i="16"/>
  <c r="BT17" i="18"/>
  <c r="BU17" i="18" s="1"/>
  <c r="CB17" i="18"/>
  <c r="AK13" i="16"/>
  <c r="AK16" i="16"/>
  <c r="AK17" i="16"/>
  <c r="AO15" i="18"/>
  <c r="AP15" i="18" s="1"/>
  <c r="J20" i="16"/>
  <c r="AK15" i="16"/>
  <c r="AK14" i="16"/>
  <c r="BZ16" i="18"/>
  <c r="CA16" i="18" s="1"/>
  <c r="AH20" i="16"/>
  <c r="AH19" i="16"/>
  <c r="E1" i="16"/>
  <c r="C27" i="12" s="1"/>
  <c r="B216" i="19"/>
  <c r="P20" i="16"/>
  <c r="O20" i="16" s="1"/>
  <c r="O21" i="18"/>
  <c r="N22" i="18"/>
  <c r="BT16" i="18"/>
  <c r="BU16" i="18" s="1"/>
  <c r="CB16" i="18"/>
  <c r="M17" i="16"/>
  <c r="N17" i="16" s="1"/>
  <c r="M10" i="16"/>
  <c r="N10" i="16" s="1"/>
  <c r="P13" i="16"/>
  <c r="P12" i="16"/>
  <c r="M16" i="16"/>
  <c r="N16" i="16" s="1"/>
  <c r="M14" i="16"/>
  <c r="L14" i="16" s="1"/>
  <c r="M12" i="16"/>
  <c r="L12" i="16" s="1"/>
  <c r="M11" i="16"/>
  <c r="L11" i="16" s="1"/>
  <c r="BI11" i="16" s="1"/>
  <c r="M15" i="16"/>
  <c r="L15" i="16" s="1"/>
  <c r="M9" i="16"/>
  <c r="AY282" i="16"/>
  <c r="BG282" i="16" s="1"/>
  <c r="AO17" i="18"/>
  <c r="AP17" i="18" s="1"/>
  <c r="M19" i="16" s="1"/>
  <c r="L19" i="16" s="1"/>
  <c r="O19" i="16"/>
  <c r="Q19" i="16"/>
  <c r="L8" i="16"/>
  <c r="BI8" i="16" s="1"/>
  <c r="Q14" i="16"/>
  <c r="O14" i="16"/>
  <c r="Q17" i="16"/>
  <c r="O17" i="16"/>
  <c r="Q15" i="16"/>
  <c r="O15" i="16"/>
  <c r="BI15" i="16" l="1"/>
  <c r="BI14" i="16"/>
  <c r="AP586" i="5"/>
  <c r="AP587" i="5" s="1"/>
  <c r="AP588" i="5" s="1"/>
  <c r="AP589" i="5" s="1"/>
  <c r="AR585" i="5"/>
  <c r="AY577" i="5" s="1"/>
  <c r="O22" i="18"/>
  <c r="N23" i="18"/>
  <c r="O23" i="18" s="1"/>
  <c r="Q16" i="16"/>
  <c r="O18" i="16"/>
  <c r="BC284" i="16"/>
  <c r="AY657" i="5"/>
  <c r="AW657" i="5"/>
  <c r="BR284" i="16"/>
  <c r="BT284" i="16"/>
  <c r="BJ284" i="16"/>
  <c r="BL284" i="16"/>
  <c r="N13" i="16"/>
  <c r="L18" i="16"/>
  <c r="CB20" i="16"/>
  <c r="BE8" i="16"/>
  <c r="S71" i="19" s="1"/>
  <c r="AX8" i="16"/>
  <c r="Q71" i="19" s="1"/>
  <c r="W220" i="19" s="1"/>
  <c r="BG8" i="16"/>
  <c r="AO283" i="16"/>
  <c r="AH284" i="16"/>
  <c r="AE284" i="16"/>
  <c r="CA284" i="16"/>
  <c r="AZ284" i="16"/>
  <c r="AD284" i="16"/>
  <c r="AP284" i="16"/>
  <c r="BB284" i="16"/>
  <c r="BA284" i="16"/>
  <c r="AI283" i="16"/>
  <c r="AQ284" i="16"/>
  <c r="AC285" i="16"/>
  <c r="M20" i="16"/>
  <c r="L20" i="16" s="1"/>
  <c r="AJ19" i="16"/>
  <c r="AI19" i="16"/>
  <c r="AZ19" i="16" s="1"/>
  <c r="AI20" i="16"/>
  <c r="AJ20" i="16"/>
  <c r="Q20" i="16"/>
  <c r="L17" i="16"/>
  <c r="BI17" i="16" s="1"/>
  <c r="N19" i="16"/>
  <c r="L10" i="16"/>
  <c r="O12" i="16"/>
  <c r="BI12" i="16" s="1"/>
  <c r="Q12" i="16"/>
  <c r="O13" i="16"/>
  <c r="AZ13" i="16" s="1"/>
  <c r="Q13" i="16"/>
  <c r="N15" i="16"/>
  <c r="L16" i="16"/>
  <c r="BI16" i="16" s="1"/>
  <c r="AY11" i="16"/>
  <c r="N14" i="16"/>
  <c r="BE11" i="16"/>
  <c r="S74" i="19" s="1"/>
  <c r="N11" i="16"/>
  <c r="BG11" i="16"/>
  <c r="AX11" i="16"/>
  <c r="Q74" i="19" s="1"/>
  <c r="W223" i="19" s="1"/>
  <c r="AZ11" i="16"/>
  <c r="L9" i="16"/>
  <c r="BI9" i="16" s="1"/>
  <c r="N9" i="16"/>
  <c r="N12" i="16"/>
  <c r="AZ8" i="16"/>
  <c r="AY283" i="16"/>
  <c r="BG283" i="16" s="1"/>
  <c r="AY8" i="16"/>
  <c r="AX19" i="16"/>
  <c r="BG15" i="16"/>
  <c r="BE15" i="16"/>
  <c r="S78" i="19" s="1"/>
  <c r="AY15" i="16"/>
  <c r="AZ15" i="16"/>
  <c r="AX15" i="16"/>
  <c r="BG14" i="16"/>
  <c r="BE14" i="16"/>
  <c r="S77" i="19" s="1"/>
  <c r="AY14" i="16"/>
  <c r="AX14" i="16"/>
  <c r="AZ14" i="16"/>
  <c r="BI10" i="16" l="1"/>
  <c r="BI20" i="16"/>
  <c r="BI18" i="16"/>
  <c r="BI13" i="16"/>
  <c r="BI19" i="16"/>
  <c r="AP590" i="5"/>
  <c r="AR589" i="5"/>
  <c r="AQ589" i="5" s="1"/>
  <c r="AT586" i="5" s="1"/>
  <c r="BC285" i="16"/>
  <c r="BR285" i="16"/>
  <c r="BT285" i="16"/>
  <c r="BL285" i="16"/>
  <c r="BJ285" i="16"/>
  <c r="AX12" i="16"/>
  <c r="Q75" i="19" s="1"/>
  <c r="W224" i="19" s="1"/>
  <c r="BE18" i="16"/>
  <c r="S81" i="19" s="1"/>
  <c r="AX18" i="16"/>
  <c r="Q81" i="19" s="1"/>
  <c r="W230" i="19" s="1"/>
  <c r="AZ18" i="16"/>
  <c r="BG18" i="16"/>
  <c r="AY18" i="16"/>
  <c r="AX20" i="16"/>
  <c r="Q83" i="19" s="1"/>
  <c r="W232" i="19" s="1"/>
  <c r="BG17" i="16"/>
  <c r="AO284" i="16"/>
  <c r="AI284" i="16"/>
  <c r="AE285" i="16"/>
  <c r="AH285" i="16"/>
  <c r="BB285" i="16"/>
  <c r="CA285" i="16"/>
  <c r="AD285" i="16"/>
  <c r="AQ285" i="16"/>
  <c r="AZ285" i="16"/>
  <c r="AP285" i="16"/>
  <c r="BA285" i="16"/>
  <c r="AC286" i="16"/>
  <c r="BE19" i="16"/>
  <c r="S82" i="19" s="1"/>
  <c r="AY19" i="16"/>
  <c r="BG19" i="16"/>
  <c r="N20" i="16"/>
  <c r="AZ20" i="16"/>
  <c r="BE20" i="16"/>
  <c r="S83" i="19" s="1"/>
  <c r="AY20" i="16"/>
  <c r="BG20" i="16"/>
  <c r="AZ17" i="16"/>
  <c r="AX17" i="16"/>
  <c r="Q80" i="19" s="1"/>
  <c r="W229" i="19" s="1"/>
  <c r="BE17" i="16"/>
  <c r="S80" i="19" s="1"/>
  <c r="AY17" i="16"/>
  <c r="R72" i="12"/>
  <c r="AZ10" i="16"/>
  <c r="BG13" i="16"/>
  <c r="AY10" i="16"/>
  <c r="AX10" i="16"/>
  <c r="Q73" i="19" s="1"/>
  <c r="W222" i="19" s="1"/>
  <c r="R75" i="12"/>
  <c r="AY13" i="16"/>
  <c r="BE13" i="16"/>
  <c r="S76" i="19" s="1"/>
  <c r="BG12" i="16"/>
  <c r="AX13" i="16"/>
  <c r="Q76" i="19" s="1"/>
  <c r="W225" i="19" s="1"/>
  <c r="BE12" i="16"/>
  <c r="S75" i="19" s="1"/>
  <c r="AY12" i="16"/>
  <c r="AZ12" i="16"/>
  <c r="BE10" i="16"/>
  <c r="S73" i="19" s="1"/>
  <c r="BG10" i="16"/>
  <c r="BG16" i="16"/>
  <c r="AY16" i="16"/>
  <c r="AZ16" i="16"/>
  <c r="BE16" i="16"/>
  <c r="S79" i="19" s="1"/>
  <c r="AX16" i="16"/>
  <c r="Q79" i="19" s="1"/>
  <c r="W228" i="19" s="1"/>
  <c r="BG9" i="16"/>
  <c r="AX9" i="16"/>
  <c r="Q72" i="19" s="1"/>
  <c r="W221" i="19" s="1"/>
  <c r="AZ9" i="16"/>
  <c r="BE9" i="16"/>
  <c r="S72" i="19" s="1"/>
  <c r="AY9" i="16"/>
  <c r="AY284" i="16"/>
  <c r="BG284" i="16" s="1"/>
  <c r="Q82" i="19"/>
  <c r="W231" i="19" s="1"/>
  <c r="Q77" i="19"/>
  <c r="W226" i="19" s="1"/>
  <c r="Q78" i="19"/>
  <c r="W227" i="19" s="1"/>
  <c r="AR590" i="5" l="1"/>
  <c r="AU586" i="5" s="1"/>
  <c r="AP591" i="5"/>
  <c r="AR284" i="16"/>
  <c r="AR283" i="16" s="1"/>
  <c r="BC286" i="16"/>
  <c r="BR286" i="16"/>
  <c r="BT286" i="16"/>
  <c r="BL286" i="16"/>
  <c r="BJ286" i="16"/>
  <c r="AI285" i="16"/>
  <c r="AH286" i="16"/>
  <c r="AE286" i="16"/>
  <c r="AO285" i="16"/>
  <c r="AP286" i="16"/>
  <c r="AD286" i="16"/>
  <c r="AZ286" i="16"/>
  <c r="BB286" i="16"/>
  <c r="CA286" i="16"/>
  <c r="BA286" i="16"/>
  <c r="AQ286" i="16"/>
  <c r="AC287" i="16"/>
  <c r="R74" i="12"/>
  <c r="R84" i="12"/>
  <c r="R77" i="12"/>
  <c r="R79" i="12"/>
  <c r="R83" i="12"/>
  <c r="R80" i="12"/>
  <c r="R78" i="12"/>
  <c r="R82" i="12"/>
  <c r="R81" i="12"/>
  <c r="R76" i="12"/>
  <c r="R73" i="12"/>
  <c r="AY285" i="16"/>
  <c r="BG285" i="16" s="1"/>
  <c r="AP592" i="5" l="1"/>
  <c r="AR591" i="5"/>
  <c r="AQ591" i="5" s="1"/>
  <c r="BC287" i="16"/>
  <c r="BT287" i="16"/>
  <c r="BR287" i="16"/>
  <c r="BL287" i="16"/>
  <c r="BJ287" i="16"/>
  <c r="AI286" i="16"/>
  <c r="AE287" i="16"/>
  <c r="AH287" i="16"/>
  <c r="AO286" i="16"/>
  <c r="BA287" i="16"/>
  <c r="CA287" i="16"/>
  <c r="AD287" i="16"/>
  <c r="AC288" i="16"/>
  <c r="AP287" i="16"/>
  <c r="AZ287" i="16"/>
  <c r="AQ287" i="16"/>
  <c r="BB287" i="16"/>
  <c r="AY286" i="16"/>
  <c r="BG286" i="16" s="1"/>
  <c r="AX586" i="5" l="1"/>
  <c r="AV586" i="5"/>
  <c r="AR592" i="5"/>
  <c r="AV584" i="5" s="1"/>
  <c r="AP593" i="5"/>
  <c r="BC288" i="16"/>
  <c r="AT669" i="5"/>
  <c r="BR288" i="16"/>
  <c r="BT288" i="16"/>
  <c r="BL288" i="16"/>
  <c r="BJ288" i="16"/>
  <c r="AQ288" i="16"/>
  <c r="BB288" i="16"/>
  <c r="AH288" i="16"/>
  <c r="AE288" i="16"/>
  <c r="AO287" i="16"/>
  <c r="CA288" i="16"/>
  <c r="AD288" i="16"/>
  <c r="BA288" i="16"/>
  <c r="AZ288" i="16"/>
  <c r="AP288" i="16"/>
  <c r="AI287" i="16"/>
  <c r="AC289" i="16"/>
  <c r="AY287" i="16"/>
  <c r="BG287" i="16" s="1"/>
  <c r="AR593" i="5" l="1"/>
  <c r="AQ593" i="5" s="1"/>
  <c r="AW586" i="5" s="1"/>
  <c r="AP594" i="5"/>
  <c r="BC289" i="16"/>
  <c r="AY669" i="5"/>
  <c r="AV669" i="5"/>
  <c r="AW669" i="5"/>
  <c r="BR289" i="16"/>
  <c r="BT289" i="16"/>
  <c r="BJ289" i="16"/>
  <c r="BL289" i="16"/>
  <c r="AI288" i="16"/>
  <c r="BB289" i="16"/>
  <c r="AE289" i="16"/>
  <c r="AH289" i="16"/>
  <c r="CA289" i="16"/>
  <c r="AD289" i="16"/>
  <c r="AO288" i="16"/>
  <c r="AP289" i="16"/>
  <c r="BA289" i="16"/>
  <c r="AZ289" i="16"/>
  <c r="AQ289" i="16"/>
  <c r="AC290" i="16"/>
  <c r="AY288" i="16"/>
  <c r="BG288" i="16" s="1"/>
  <c r="AR594" i="5" l="1"/>
  <c r="AY586" i="5" s="1"/>
  <c r="AP595" i="5"/>
  <c r="AP596" i="5" s="1"/>
  <c r="AP597" i="5" s="1"/>
  <c r="AP598" i="5" s="1"/>
  <c r="BC290" i="16"/>
  <c r="AU669" i="5"/>
  <c r="BR290" i="16"/>
  <c r="BT290" i="16"/>
  <c r="BL290" i="16"/>
  <c r="BJ290" i="16"/>
  <c r="AI289" i="16"/>
  <c r="AH290" i="16"/>
  <c r="AE290" i="16"/>
  <c r="AP290" i="16"/>
  <c r="AD290" i="16"/>
  <c r="AQ290" i="16"/>
  <c r="AO289" i="16"/>
  <c r="CA290" i="16"/>
  <c r="BB290" i="16"/>
  <c r="AZ290" i="16"/>
  <c r="BA290" i="16"/>
  <c r="AC291" i="16"/>
  <c r="AY289" i="16"/>
  <c r="BG289" i="16" s="1"/>
  <c r="AP599" i="5" l="1"/>
  <c r="AR598" i="5"/>
  <c r="AQ598" i="5" s="1"/>
  <c r="AT595" i="5" s="1"/>
  <c r="BC291" i="16"/>
  <c r="BT291" i="16"/>
  <c r="BR291" i="16"/>
  <c r="BL291" i="16"/>
  <c r="BJ291" i="16"/>
  <c r="AI290" i="16"/>
  <c r="AE291" i="16"/>
  <c r="AH291" i="16"/>
  <c r="AO290" i="16"/>
  <c r="AP291" i="16"/>
  <c r="BA291" i="16"/>
  <c r="BB291" i="16"/>
  <c r="AQ291" i="16"/>
  <c r="AZ291" i="16"/>
  <c r="AD291" i="16"/>
  <c r="CA291" i="16"/>
  <c r="AC292" i="16"/>
  <c r="AY290" i="16"/>
  <c r="BG290" i="16" s="1"/>
  <c r="AP600" i="5" l="1"/>
  <c r="AR599" i="5"/>
  <c r="AU595" i="5" s="1"/>
  <c r="BC292" i="16"/>
  <c r="BR292" i="16"/>
  <c r="BT292" i="16"/>
  <c r="BL292" i="16"/>
  <c r="BJ292" i="16"/>
  <c r="AH292" i="16"/>
  <c r="AI291" i="16"/>
  <c r="AE292" i="16"/>
  <c r="AZ292" i="16"/>
  <c r="BA292" i="16"/>
  <c r="AD292" i="16"/>
  <c r="CA292" i="16"/>
  <c r="AO291" i="16"/>
  <c r="AP292" i="16"/>
  <c r="AQ292" i="16"/>
  <c r="BB292" i="16"/>
  <c r="AC293" i="16"/>
  <c r="AY291" i="16"/>
  <c r="BG291" i="16" s="1"/>
  <c r="AP601" i="5" l="1"/>
  <c r="AR600" i="5"/>
  <c r="AQ600" i="5" s="1"/>
  <c r="BC293" i="16"/>
  <c r="BR293" i="16"/>
  <c r="BT293" i="16"/>
  <c r="BL293" i="16"/>
  <c r="BJ293" i="16"/>
  <c r="AI292" i="16"/>
  <c r="AE293" i="16"/>
  <c r="AH293" i="16"/>
  <c r="AO292" i="16"/>
  <c r="BB293" i="16"/>
  <c r="AD293" i="16"/>
  <c r="CA293" i="16"/>
  <c r="AP293" i="16"/>
  <c r="AQ293" i="16"/>
  <c r="BA293" i="16"/>
  <c r="AZ293" i="16"/>
  <c r="AC294" i="16"/>
  <c r="AY292" i="16"/>
  <c r="BG292" i="16" s="1"/>
  <c r="AX595" i="5" l="1"/>
  <c r="AV595" i="5"/>
  <c r="AR601" i="5"/>
  <c r="AX593" i="5" s="1"/>
  <c r="AP602" i="5"/>
  <c r="BC294" i="16"/>
  <c r="AR714" i="5"/>
  <c r="AQ714" i="5" s="1"/>
  <c r="BR294" i="16"/>
  <c r="BT294" i="16"/>
  <c r="BJ294" i="16"/>
  <c r="BL294" i="16"/>
  <c r="AI293" i="16"/>
  <c r="AH294" i="16"/>
  <c r="AE294" i="16"/>
  <c r="AO293" i="16"/>
  <c r="BB294" i="16"/>
  <c r="AQ294" i="16"/>
  <c r="AZ294" i="16"/>
  <c r="CA294" i="16"/>
  <c r="AD294" i="16"/>
  <c r="AP294" i="16"/>
  <c r="BA294" i="16"/>
  <c r="AC295" i="16"/>
  <c r="AY293" i="16"/>
  <c r="BG293" i="16" s="1"/>
  <c r="AP603" i="5" l="1"/>
  <c r="AR602" i="5"/>
  <c r="AQ602" i="5" s="1"/>
  <c r="BC295" i="16"/>
  <c r="BT295" i="16"/>
  <c r="BR295" i="16"/>
  <c r="BJ295" i="16"/>
  <c r="BL295" i="16"/>
  <c r="AI294" i="16"/>
  <c r="AE295" i="16"/>
  <c r="AH295" i="16"/>
  <c r="AO294" i="16"/>
  <c r="CA295" i="16"/>
  <c r="AP295" i="16"/>
  <c r="AD295" i="16"/>
  <c r="BB295" i="16"/>
  <c r="AQ295" i="16"/>
  <c r="AZ295" i="16"/>
  <c r="BA295" i="16"/>
  <c r="AC296" i="16"/>
  <c r="AY294" i="16"/>
  <c r="BG294" i="16" s="1"/>
  <c r="AW595" i="5" l="1"/>
  <c r="AY595" i="5"/>
  <c r="AP604" i="5"/>
  <c r="AP605" i="5" s="1"/>
  <c r="AP606" i="5" s="1"/>
  <c r="AP607" i="5" s="1"/>
  <c r="AR603" i="5"/>
  <c r="AU597" i="5" s="1"/>
  <c r="BC296" i="16"/>
  <c r="BR296" i="16"/>
  <c r="BT296" i="16"/>
  <c r="BL296" i="16"/>
  <c r="BJ296" i="16"/>
  <c r="AH296" i="16"/>
  <c r="AI296" i="16" s="1"/>
  <c r="AI295" i="16"/>
  <c r="AE296" i="16"/>
  <c r="AO295" i="16"/>
  <c r="CA296" i="16"/>
  <c r="AQ296" i="16"/>
  <c r="AZ296" i="16"/>
  <c r="BA296" i="16"/>
  <c r="AD296" i="16"/>
  <c r="AP296" i="16"/>
  <c r="BB296" i="16"/>
  <c r="AC297" i="16"/>
  <c r="AY295" i="16"/>
  <c r="BG295" i="16" s="1"/>
  <c r="AP608" i="5" l="1"/>
  <c r="AR607" i="5"/>
  <c r="AQ607" i="5" s="1"/>
  <c r="AT604" i="5" s="1"/>
  <c r="BC297" i="16"/>
  <c r="AX682" i="5"/>
  <c r="AQ688" i="5"/>
  <c r="AR723" i="5"/>
  <c r="BR297" i="16"/>
  <c r="BT297" i="16"/>
  <c r="BJ297" i="16"/>
  <c r="BL297" i="16"/>
  <c r="AE297" i="16"/>
  <c r="AH297" i="16"/>
  <c r="AI297" i="16" s="1"/>
  <c r="AO296" i="16"/>
  <c r="AP297" i="16"/>
  <c r="AD297" i="16"/>
  <c r="BB297" i="16"/>
  <c r="BA297" i="16"/>
  <c r="CA297" i="16"/>
  <c r="AQ297" i="16"/>
  <c r="AZ297" i="16"/>
  <c r="AC298" i="16"/>
  <c r="AY296" i="16"/>
  <c r="BG296" i="16" s="1"/>
  <c r="AP609" i="5" l="1"/>
  <c r="AR608" i="5"/>
  <c r="AU604" i="5" s="1"/>
  <c r="BC298" i="16"/>
  <c r="BT298" i="16"/>
  <c r="BR298" i="16"/>
  <c r="BL298" i="16"/>
  <c r="BJ298" i="16"/>
  <c r="AH298" i="16"/>
  <c r="AI298" i="16" s="1"/>
  <c r="AE298" i="16"/>
  <c r="AB329" i="10"/>
  <c r="AB328" i="10" s="1"/>
  <c r="AB341" i="10"/>
  <c r="AD341" i="10"/>
  <c r="AG341" i="10"/>
  <c r="AE329" i="10"/>
  <c r="AE328" i="10" s="1"/>
  <c r="AE341" i="10"/>
  <c r="AH329" i="10"/>
  <c r="AH328" i="10" s="1"/>
  <c r="AH341" i="10"/>
  <c r="AJ341" i="10"/>
  <c r="AK341" i="10"/>
  <c r="AM341" i="10"/>
  <c r="AK329" i="10"/>
  <c r="AK328" i="10" s="1"/>
  <c r="AN341" i="10"/>
  <c r="AN329" i="10"/>
  <c r="AN328" i="10" s="1"/>
  <c r="AP341" i="10"/>
  <c r="AS341" i="10"/>
  <c r="AQ329" i="10"/>
  <c r="AQ328" i="10" s="1"/>
  <c r="AQ341" i="10"/>
  <c r="AV341" i="10"/>
  <c r="AT341" i="10"/>
  <c r="AT329" i="10"/>
  <c r="AT328" i="10" s="1"/>
  <c r="AY341" i="10"/>
  <c r="AW341" i="10"/>
  <c r="AW329" i="10"/>
  <c r="AW328" i="10" s="1"/>
  <c r="AZ341" i="10"/>
  <c r="AZ329" i="10"/>
  <c r="AZ328" i="10" s="1"/>
  <c r="BB341" i="10"/>
  <c r="BE341" i="10"/>
  <c r="BC329" i="10"/>
  <c r="BC328" i="10" s="1"/>
  <c r="BC341" i="10"/>
  <c r="BH341" i="10"/>
  <c r="BF341" i="10"/>
  <c r="BF329" i="10"/>
  <c r="BF328" i="10" s="1"/>
  <c r="BK341" i="10"/>
  <c r="BI341" i="10"/>
  <c r="BI329" i="10"/>
  <c r="BI328" i="10" s="1"/>
  <c r="BN341" i="10"/>
  <c r="BL329" i="10"/>
  <c r="BL328" i="10" s="1"/>
  <c r="BL341" i="10"/>
  <c r="BO341" i="10"/>
  <c r="BQ341" i="10"/>
  <c r="BO329" i="10"/>
  <c r="BO328" i="10" s="1"/>
  <c r="BT341" i="10"/>
  <c r="BR329" i="10"/>
  <c r="BR328" i="10" s="1"/>
  <c r="BR341" i="10"/>
  <c r="BW341" i="10"/>
  <c r="BU341" i="10"/>
  <c r="BU329" i="10"/>
  <c r="BU328" i="10" s="1"/>
  <c r="BX341" i="10"/>
  <c r="BZ341" i="10"/>
  <c r="BX329" i="10"/>
  <c r="BX328" i="10" s="1"/>
  <c r="CC341" i="10"/>
  <c r="CA341" i="10"/>
  <c r="CA329" i="10"/>
  <c r="CA328" i="10" s="1"/>
  <c r="CF341" i="10"/>
  <c r="CD341" i="10"/>
  <c r="CD329" i="10"/>
  <c r="CD328" i="10" s="1"/>
  <c r="CG341" i="10"/>
  <c r="CI341" i="10"/>
  <c r="CG329" i="10"/>
  <c r="CG328" i="10" s="1"/>
  <c r="CJ341" i="10"/>
  <c r="CJ329" i="10"/>
  <c r="CJ328" i="10" s="1"/>
  <c r="CL341" i="10"/>
  <c r="CM341" i="10"/>
  <c r="CO341" i="10"/>
  <c r="CM329" i="10"/>
  <c r="CM328" i="10" s="1"/>
  <c r="CR341" i="10"/>
  <c r="CP329" i="10"/>
  <c r="CP328" i="10" s="1"/>
  <c r="CP341" i="10"/>
  <c r="CU341" i="10"/>
  <c r="CS329" i="10"/>
  <c r="CS328" i="10" s="1"/>
  <c r="CS341" i="10"/>
  <c r="CV341" i="10"/>
  <c r="CV329" i="10"/>
  <c r="CV328" i="10" s="1"/>
  <c r="CX341" i="10"/>
  <c r="DA341" i="10"/>
  <c r="CY341" i="10"/>
  <c r="CY329" i="10"/>
  <c r="CY328" i="10" s="1"/>
  <c r="DB341" i="10"/>
  <c r="DB329" i="10"/>
  <c r="DB328" i="10" s="1"/>
  <c r="DD341" i="10"/>
  <c r="CA298" i="16"/>
  <c r="AZ298" i="16"/>
  <c r="BB298" i="16"/>
  <c r="AO297" i="16"/>
  <c r="BA298" i="16"/>
  <c r="AP298" i="16"/>
  <c r="AD298" i="16"/>
  <c r="AQ298" i="16"/>
  <c r="AC299" i="16"/>
  <c r="AY297" i="16"/>
  <c r="BG297" i="16" s="1"/>
  <c r="AR609" i="5" l="1"/>
  <c r="AQ609" i="5" s="1"/>
  <c r="AP610" i="5"/>
  <c r="BC299" i="16"/>
  <c r="AY682" i="5"/>
  <c r="AQ690" i="5"/>
  <c r="BT299" i="16"/>
  <c r="BR299" i="16"/>
  <c r="BJ299" i="16"/>
  <c r="BL299" i="16"/>
  <c r="AE299" i="16"/>
  <c r="AH299" i="16"/>
  <c r="AI299" i="16" s="1"/>
  <c r="AP299" i="16"/>
  <c r="AO298" i="16"/>
  <c r="AQ299" i="16"/>
  <c r="AD299" i="16"/>
  <c r="BB299" i="16"/>
  <c r="BA299" i="16"/>
  <c r="CA299" i="16"/>
  <c r="AZ299" i="16"/>
  <c r="AC300" i="16"/>
  <c r="AY298" i="16"/>
  <c r="BG298" i="16" s="1"/>
  <c r="AP611" i="5" l="1"/>
  <c r="AR610" i="5"/>
  <c r="AV604" i="5" s="1"/>
  <c r="AX604" i="5"/>
  <c r="BC300" i="16"/>
  <c r="AW682" i="5"/>
  <c r="BR300" i="16"/>
  <c r="BT300" i="16"/>
  <c r="BJ300" i="16"/>
  <c r="BL300" i="16"/>
  <c r="AH300" i="16"/>
  <c r="AE300" i="16"/>
  <c r="AO299" i="16"/>
  <c r="CA300" i="16"/>
  <c r="AP300" i="16"/>
  <c r="BA300" i="16"/>
  <c r="AZ300" i="16"/>
  <c r="BB300" i="16"/>
  <c r="AD300" i="16"/>
  <c r="AQ300" i="16"/>
  <c r="AC301" i="16"/>
  <c r="AY299" i="16"/>
  <c r="BG299" i="16" s="1"/>
  <c r="AP612" i="5" l="1"/>
  <c r="AR611" i="5"/>
  <c r="AQ611" i="5" s="1"/>
  <c r="AW604" i="5" s="1"/>
  <c r="AI300" i="16"/>
  <c r="BC301" i="16"/>
  <c r="BR301" i="16"/>
  <c r="BT301" i="16"/>
  <c r="BJ301" i="16"/>
  <c r="BL301" i="16"/>
  <c r="AE301" i="16"/>
  <c r="AH301" i="16"/>
  <c r="BA301" i="16"/>
  <c r="AZ301" i="16"/>
  <c r="AO300" i="16"/>
  <c r="AD301" i="16"/>
  <c r="CA301" i="16"/>
  <c r="AQ301" i="16"/>
  <c r="AP301" i="16"/>
  <c r="BB301" i="16"/>
  <c r="AC302" i="16"/>
  <c r="AY300" i="16"/>
  <c r="BG300" i="16" s="1"/>
  <c r="AP613" i="5" l="1"/>
  <c r="AP614" i="5" s="1"/>
  <c r="AP615" i="5" s="1"/>
  <c r="AP616" i="5" s="1"/>
  <c r="AR612" i="5"/>
  <c r="AY604" i="5" s="1"/>
  <c r="AI301" i="16"/>
  <c r="BC302" i="16"/>
  <c r="AR694" i="5"/>
  <c r="BT302" i="16"/>
  <c r="BR302" i="16"/>
  <c r="BJ302" i="16"/>
  <c r="BL302" i="16"/>
  <c r="AH302" i="16"/>
  <c r="AE302" i="16"/>
  <c r="AO301" i="16"/>
  <c r="AP302" i="16"/>
  <c r="BB302" i="16"/>
  <c r="BA302" i="16"/>
  <c r="CA302" i="16"/>
  <c r="AQ302" i="16"/>
  <c r="AD302" i="16"/>
  <c r="AZ302" i="16"/>
  <c r="AC303" i="16"/>
  <c r="AY301" i="16"/>
  <c r="BG301" i="16" s="1"/>
  <c r="AR616" i="5" l="1"/>
  <c r="AQ616" i="5" s="1"/>
  <c r="AT613" i="5" s="1"/>
  <c r="AP617" i="5"/>
  <c r="AV682" i="5"/>
  <c r="BC303" i="16"/>
  <c r="AR695" i="5"/>
  <c r="AQ695" i="5" s="1"/>
  <c r="BT303" i="16"/>
  <c r="BR303" i="16"/>
  <c r="BJ303" i="16"/>
  <c r="BL303" i="16"/>
  <c r="AE303" i="16"/>
  <c r="AH303" i="16"/>
  <c r="AO302" i="16"/>
  <c r="AI302" i="16"/>
  <c r="CA303" i="16"/>
  <c r="AD303" i="16"/>
  <c r="BB303" i="16"/>
  <c r="AQ303" i="16"/>
  <c r="AP303" i="16"/>
  <c r="AZ303" i="16"/>
  <c r="BA303" i="16"/>
  <c r="AC304" i="16"/>
  <c r="AY302" i="16"/>
  <c r="BG302" i="16" s="1"/>
  <c r="AR617" i="5" l="1"/>
  <c r="AU613" i="5" s="1"/>
  <c r="AP618" i="5"/>
  <c r="BC304" i="16"/>
  <c r="BR304" i="16"/>
  <c r="BT304" i="16"/>
  <c r="BJ304" i="16"/>
  <c r="BL304" i="16"/>
  <c r="AH304" i="16"/>
  <c r="AI304" i="16" s="1"/>
  <c r="AI303" i="16"/>
  <c r="AE304" i="16"/>
  <c r="AO303" i="16"/>
  <c r="AZ304" i="16"/>
  <c r="BA304" i="16"/>
  <c r="AP304" i="16"/>
  <c r="AD304" i="16"/>
  <c r="CA304" i="16"/>
  <c r="BB304" i="16"/>
  <c r="AQ304" i="16"/>
  <c r="AC305" i="16"/>
  <c r="AY303" i="16"/>
  <c r="BG303" i="16" s="1"/>
  <c r="AR618" i="5" l="1"/>
  <c r="AQ618" i="5" s="1"/>
  <c r="AP619" i="5"/>
  <c r="BC305" i="16"/>
  <c r="BR305" i="16"/>
  <c r="BT305" i="16"/>
  <c r="BL305" i="16"/>
  <c r="BJ305" i="16"/>
  <c r="AD305" i="16"/>
  <c r="AE305" i="16"/>
  <c r="AH305" i="16"/>
  <c r="AI305" i="16" s="1"/>
  <c r="AO304" i="16"/>
  <c r="AQ305" i="16"/>
  <c r="AP305" i="16"/>
  <c r="BA305" i="16"/>
  <c r="BB305" i="16"/>
  <c r="AZ305" i="16"/>
  <c r="CA305" i="16"/>
  <c r="AC306" i="16"/>
  <c r="AY304" i="16"/>
  <c r="BG304" i="16" s="1"/>
  <c r="AR619" i="5" l="1"/>
  <c r="AP620" i="5"/>
  <c r="AV613" i="5"/>
  <c r="AX613" i="5"/>
  <c r="BC306" i="16"/>
  <c r="BT306" i="16"/>
  <c r="BR306" i="16"/>
  <c r="BL306" i="16"/>
  <c r="BJ306" i="16"/>
  <c r="AD306" i="16"/>
  <c r="AH306" i="16"/>
  <c r="AE306" i="16"/>
  <c r="AO305" i="16"/>
  <c r="AZ306" i="16"/>
  <c r="AP306" i="16"/>
  <c r="BB306" i="16"/>
  <c r="CA306" i="16"/>
  <c r="BA306" i="16"/>
  <c r="AQ306" i="16"/>
  <c r="AC307" i="16"/>
  <c r="AY305" i="16"/>
  <c r="BG305" i="16" s="1"/>
  <c r="AP621" i="5" l="1"/>
  <c r="AP622" i="5" s="1"/>
  <c r="AP623" i="5" s="1"/>
  <c r="AP624" i="5" s="1"/>
  <c r="AP625" i="5" s="1"/>
  <c r="AR620" i="5"/>
  <c r="AQ620" i="5" s="1"/>
  <c r="AI306" i="16"/>
  <c r="BC307" i="16"/>
  <c r="AR703" i="5"/>
  <c r="BT307" i="16"/>
  <c r="BR307" i="16"/>
  <c r="BJ307" i="16"/>
  <c r="BL307" i="16"/>
  <c r="AE307" i="16"/>
  <c r="AH307" i="16"/>
  <c r="CA307" i="16"/>
  <c r="AQ307" i="16"/>
  <c r="AP307" i="16"/>
  <c r="AD307" i="16"/>
  <c r="BB307" i="16"/>
  <c r="AZ307" i="16"/>
  <c r="BA307" i="16"/>
  <c r="AO306" i="16"/>
  <c r="AC308" i="16"/>
  <c r="AY306" i="16"/>
  <c r="BG306" i="16" s="1"/>
  <c r="AY613" i="5" l="1"/>
  <c r="AW613" i="5"/>
  <c r="AP626" i="5"/>
  <c r="AR625" i="5"/>
  <c r="AQ625" i="5" s="1"/>
  <c r="AI307" i="16"/>
  <c r="BC308" i="16"/>
  <c r="AQ703" i="5"/>
  <c r="AR704" i="5"/>
  <c r="AQ704" i="5" s="1"/>
  <c r="BR308" i="16"/>
  <c r="BT308" i="16"/>
  <c r="BL308" i="16"/>
  <c r="BJ308" i="16"/>
  <c r="AH308" i="16"/>
  <c r="AE308" i="16"/>
  <c r="BB308" i="16"/>
  <c r="AO307" i="16"/>
  <c r="BA308" i="16"/>
  <c r="AZ308" i="16"/>
  <c r="AD308" i="16"/>
  <c r="AP308" i="16"/>
  <c r="AQ308" i="16"/>
  <c r="CA308" i="16"/>
  <c r="AC309" i="16"/>
  <c r="AY307" i="16"/>
  <c r="BG307" i="16" s="1"/>
  <c r="AP627" i="5" l="1"/>
  <c r="AR626" i="5"/>
  <c r="AQ626" i="5" s="1"/>
  <c r="AT621" i="5" s="1"/>
  <c r="AT696" i="5"/>
  <c r="AW696" i="5" s="1"/>
  <c r="BC309" i="16"/>
  <c r="BR309" i="16"/>
  <c r="BT309" i="16"/>
  <c r="BJ309" i="16"/>
  <c r="BL309" i="16"/>
  <c r="AE309" i="16"/>
  <c r="AH309" i="16"/>
  <c r="AI309" i="16" s="1"/>
  <c r="BB309" i="16"/>
  <c r="AQ309" i="16"/>
  <c r="CA309" i="16"/>
  <c r="BA309" i="16"/>
  <c r="AD309" i="16"/>
  <c r="AO308" i="16"/>
  <c r="AP309" i="16"/>
  <c r="AI308" i="16"/>
  <c r="AZ309" i="16"/>
  <c r="AC310" i="16"/>
  <c r="AY308" i="16"/>
  <c r="BG308" i="16" s="1"/>
  <c r="AX621" i="5" l="1"/>
  <c r="AY621" i="5"/>
  <c r="AV621" i="5"/>
  <c r="AW621" i="5"/>
  <c r="AR627" i="5"/>
  <c r="AU621" i="5" s="1"/>
  <c r="AP628" i="5"/>
  <c r="AY696" i="5"/>
  <c r="AX696" i="5"/>
  <c r="AU696" i="5"/>
  <c r="AV696" i="5"/>
  <c r="BC310" i="16"/>
  <c r="BT310" i="16"/>
  <c r="BR310" i="16"/>
  <c r="BJ310" i="16"/>
  <c r="BL310" i="16"/>
  <c r="AH310" i="16"/>
  <c r="AE310" i="16"/>
  <c r="AO309" i="16"/>
  <c r="AD310" i="16"/>
  <c r="CA310" i="16"/>
  <c r="AZ310" i="16"/>
  <c r="AQ310" i="16"/>
  <c r="BA310" i="16"/>
  <c r="AP310" i="16"/>
  <c r="BB310" i="16"/>
  <c r="AC311" i="16"/>
  <c r="AY309" i="16"/>
  <c r="BG309" i="16" s="1"/>
  <c r="AR628" i="5" l="1"/>
  <c r="AP629" i="5"/>
  <c r="AI310" i="16"/>
  <c r="BC311" i="16"/>
  <c r="AS311" i="16"/>
  <c r="AS310" i="16" s="1"/>
  <c r="AR311" i="16"/>
  <c r="AR310" i="16" s="1"/>
  <c r="BN311" i="16"/>
  <c r="BN310" i="16" s="1"/>
  <c r="BT311" i="16"/>
  <c r="BR311" i="16"/>
  <c r="BL311" i="16"/>
  <c r="BO311" i="16"/>
  <c r="BO310" i="16" s="1"/>
  <c r="BJ311" i="16"/>
  <c r="AE311" i="16"/>
  <c r="AH311" i="16"/>
  <c r="AI311" i="16" s="1"/>
  <c r="AZ311" i="16"/>
  <c r="AO310" i="16"/>
  <c r="BB311" i="16"/>
  <c r="CA311" i="16"/>
  <c r="AT311" i="16"/>
  <c r="AT310" i="16" s="1"/>
  <c r="BP311" i="16"/>
  <c r="BP310" i="16" s="1"/>
  <c r="BA311" i="16"/>
  <c r="BH311" i="16"/>
  <c r="BH310" i="16" s="1"/>
  <c r="AQ311" i="16"/>
  <c r="AD311" i="16"/>
  <c r="BW311" i="16"/>
  <c r="BV311" i="16"/>
  <c r="BV310" i="16" s="1"/>
  <c r="AU311" i="16"/>
  <c r="AU310" i="16" s="1"/>
  <c r="AP311" i="16"/>
  <c r="AC312" i="16"/>
  <c r="AY310" i="16"/>
  <c r="BG310" i="16" s="1"/>
  <c r="AR629" i="5" l="1"/>
  <c r="AP630" i="5"/>
  <c r="BC312" i="16"/>
  <c r="AR312" i="16"/>
  <c r="AS312" i="16"/>
  <c r="AT706" i="5"/>
  <c r="AR750" i="5"/>
  <c r="AQ750" i="5" s="1"/>
  <c r="BN312" i="16"/>
  <c r="BR312" i="16"/>
  <c r="BT312" i="16"/>
  <c r="BO312" i="16"/>
  <c r="BJ312" i="16"/>
  <c r="BL312" i="16"/>
  <c r="BW310" i="16"/>
  <c r="AH312" i="16"/>
  <c r="AI312" i="16" s="1"/>
  <c r="AE312" i="16"/>
  <c r="BB312" i="16"/>
  <c r="AZ312" i="16"/>
  <c r="AP312" i="16"/>
  <c r="AO311" i="16"/>
  <c r="AT312" i="16"/>
  <c r="CA312" i="16"/>
  <c r="AU312" i="16"/>
  <c r="BH312" i="16"/>
  <c r="BP312" i="16"/>
  <c r="BA312" i="16"/>
  <c r="BW312" i="16"/>
  <c r="AD312" i="16"/>
  <c r="AQ312" i="16"/>
  <c r="BV312" i="16"/>
  <c r="AC313" i="16"/>
  <c r="AY311" i="16"/>
  <c r="BG311" i="16" s="1"/>
  <c r="AP631" i="5" l="1"/>
  <c r="AP632" i="5" s="1"/>
  <c r="AP633" i="5" s="1"/>
  <c r="AP634" i="5" s="1"/>
  <c r="AR630" i="5"/>
  <c r="AQ630" i="5" s="1"/>
  <c r="AT622" i="5" s="1"/>
  <c r="AU706" i="5"/>
  <c r="BC313" i="16"/>
  <c r="AS313" i="16"/>
  <c r="AR313" i="16"/>
  <c r="AW706" i="5"/>
  <c r="AY706" i="5"/>
  <c r="AR712" i="5"/>
  <c r="BR313" i="16"/>
  <c r="BT313" i="16"/>
  <c r="BO313" i="16"/>
  <c r="BL313" i="16"/>
  <c r="BJ313" i="16"/>
  <c r="BN313" i="16"/>
  <c r="AE313" i="16"/>
  <c r="AH313" i="16"/>
  <c r="AI313" i="16" s="1"/>
  <c r="AD313" i="16"/>
  <c r="AP313" i="16"/>
  <c r="BH313" i="16"/>
  <c r="AZ313" i="16"/>
  <c r="AQ313" i="16"/>
  <c r="CA313" i="16"/>
  <c r="BA313" i="16"/>
  <c r="BB313" i="16"/>
  <c r="AO312" i="16"/>
  <c r="AC314" i="16"/>
  <c r="AY312" i="16"/>
  <c r="BG312" i="16" s="1"/>
  <c r="AX622" i="5" l="1"/>
  <c r="AY622" i="5"/>
  <c r="AW622" i="5"/>
  <c r="AV622" i="5"/>
  <c r="AU622" i="5"/>
  <c r="AR634" i="5"/>
  <c r="AP635" i="5"/>
  <c r="BC314" i="16"/>
  <c r="AR314" i="16"/>
  <c r="AS314" i="16"/>
  <c r="AX706" i="5"/>
  <c r="AQ712" i="5"/>
  <c r="AT705" i="5" s="1"/>
  <c r="AR713" i="5"/>
  <c r="AV706" i="5" s="1"/>
  <c r="BN314" i="16"/>
  <c r="BT314" i="16"/>
  <c r="BR314" i="16"/>
  <c r="BL314" i="16"/>
  <c r="BO314" i="16"/>
  <c r="BJ314" i="16"/>
  <c r="AH314" i="16"/>
  <c r="AI314" i="16" s="1"/>
  <c r="AE314" i="16"/>
  <c r="AP314" i="16"/>
  <c r="AD314" i="16"/>
  <c r="CA314" i="16"/>
  <c r="BV314" i="16"/>
  <c r="BV313" i="16" s="1"/>
  <c r="BH314" i="16"/>
  <c r="AZ314" i="16"/>
  <c r="BA314" i="16"/>
  <c r="BW314" i="16"/>
  <c r="AO313" i="16"/>
  <c r="AT314" i="16"/>
  <c r="AT313" i="16" s="1"/>
  <c r="BB314" i="16"/>
  <c r="AU314" i="16"/>
  <c r="AU313" i="16" s="1"/>
  <c r="BP314" i="16"/>
  <c r="BP313" i="16" s="1"/>
  <c r="AQ314" i="16"/>
  <c r="AC315" i="16"/>
  <c r="AY313" i="16"/>
  <c r="BG313" i="16" s="1"/>
  <c r="AT73" i="10"/>
  <c r="AT72" i="10"/>
  <c r="AT77" i="10"/>
  <c r="AH79" i="10"/>
  <c r="AH80" i="10"/>
  <c r="AH71" i="10"/>
  <c r="AR635" i="5" l="1"/>
  <c r="AQ635" i="5" s="1"/>
  <c r="AP636" i="5"/>
  <c r="AU705" i="5"/>
  <c r="AX705" i="5"/>
  <c r="AV705" i="5"/>
  <c r="BC315" i="16"/>
  <c r="AS315" i="16"/>
  <c r="AR315" i="16"/>
  <c r="AY705" i="5"/>
  <c r="AW705" i="5"/>
  <c r="AR759" i="5"/>
  <c r="BT315" i="16"/>
  <c r="BR315" i="16"/>
  <c r="BO315" i="16"/>
  <c r="BJ315" i="16"/>
  <c r="BL315" i="16"/>
  <c r="BW313" i="16"/>
  <c r="BN315" i="16"/>
  <c r="AH72" i="10"/>
  <c r="AS72" i="10" s="1"/>
  <c r="AH70" i="10"/>
  <c r="AS70" i="10" s="1"/>
  <c r="AH77" i="10"/>
  <c r="AS77" i="10" s="1"/>
  <c r="AT70" i="10"/>
  <c r="AT79" i="10"/>
  <c r="AT68" i="10"/>
  <c r="AT78" i="10"/>
  <c r="AH78" i="10"/>
  <c r="AS78" i="10" s="1"/>
  <c r="AH75" i="10"/>
  <c r="AS75" i="10" s="1"/>
  <c r="AH73" i="10"/>
  <c r="AS73" i="10" s="1"/>
  <c r="AT71" i="10"/>
  <c r="AT76" i="10"/>
  <c r="AT69" i="10"/>
  <c r="AH69" i="10"/>
  <c r="AS69" i="10" s="1"/>
  <c r="AH76" i="10"/>
  <c r="AS76" i="10" s="1"/>
  <c r="AH74" i="10"/>
  <c r="AS74" i="10" s="1"/>
  <c r="AT74" i="10"/>
  <c r="AT80" i="10"/>
  <c r="AT75" i="10"/>
  <c r="AE315" i="16"/>
  <c r="AH315" i="16"/>
  <c r="BW315" i="16"/>
  <c r="AU315" i="16"/>
  <c r="AQ315" i="16"/>
  <c r="AO314" i="16"/>
  <c r="BH315" i="16"/>
  <c r="AZ315" i="16"/>
  <c r="CA315" i="16"/>
  <c r="BB315" i="16"/>
  <c r="AT315" i="16"/>
  <c r="BV315" i="16"/>
  <c r="BA315" i="16"/>
  <c r="BP315" i="16"/>
  <c r="AC316" i="16"/>
  <c r="AY314" i="16"/>
  <c r="BG314" i="16" s="1"/>
  <c r="AS68" i="10"/>
  <c r="AS80" i="10"/>
  <c r="AS71" i="10"/>
  <c r="AS79" i="10"/>
  <c r="AP637" i="5" l="1"/>
  <c r="AR636" i="5"/>
  <c r="BC316" i="16"/>
  <c r="AS316" i="16"/>
  <c r="AR316" i="16"/>
  <c r="BN316" i="16"/>
  <c r="BR316" i="16"/>
  <c r="BT316" i="16"/>
  <c r="BL316" i="16"/>
  <c r="BO316" i="16"/>
  <c r="BJ316" i="16"/>
  <c r="AH316" i="16"/>
  <c r="AI315" i="16"/>
  <c r="AE316" i="16"/>
  <c r="AQ316" i="16"/>
  <c r="CA316" i="16"/>
  <c r="AZ316" i="16"/>
  <c r="AY315" i="16"/>
  <c r="BG315" i="16" s="1"/>
  <c r="BH316" i="16"/>
  <c r="BB316" i="16"/>
  <c r="BA316" i="16"/>
  <c r="AC317" i="16"/>
  <c r="AO315" i="16"/>
  <c r="AP638" i="5" l="1"/>
  <c r="AR637" i="5"/>
  <c r="BC317" i="16"/>
  <c r="AR317" i="16"/>
  <c r="AS317" i="16"/>
  <c r="BR317" i="16"/>
  <c r="BT317" i="16"/>
  <c r="BJ317" i="16"/>
  <c r="BO317" i="16"/>
  <c r="BL317" i="16"/>
  <c r="CA317" i="16"/>
  <c r="BN317" i="16"/>
  <c r="AH317" i="16"/>
  <c r="AE317" i="16"/>
  <c r="AZ317" i="16"/>
  <c r="AY316" i="16"/>
  <c r="BG316" i="16" s="1"/>
  <c r="AU317" i="16"/>
  <c r="AU316" i="16" s="1"/>
  <c r="AQ317" i="16"/>
  <c r="BV317" i="16"/>
  <c r="BV316" i="16" s="1"/>
  <c r="BA317" i="16"/>
  <c r="AT317" i="16"/>
  <c r="AT316" i="16" s="1"/>
  <c r="BH317" i="16"/>
  <c r="BW317" i="16"/>
  <c r="BB317" i="16"/>
  <c r="BP317" i="16"/>
  <c r="BP316" i="16" s="1"/>
  <c r="AC318" i="16"/>
  <c r="AO316" i="16"/>
  <c r="AP639" i="5" l="1"/>
  <c r="AR638" i="5"/>
  <c r="AQ638" i="5" s="1"/>
  <c r="BC318" i="16"/>
  <c r="AS318" i="16"/>
  <c r="AR318" i="16"/>
  <c r="BN318" i="16"/>
  <c r="BT318" i="16"/>
  <c r="BR318" i="16"/>
  <c r="BJ318" i="16"/>
  <c r="BL318" i="16"/>
  <c r="BO318" i="16"/>
  <c r="BW316" i="16"/>
  <c r="AH318" i="16"/>
  <c r="AE318" i="16"/>
  <c r="AY317" i="16"/>
  <c r="BG317" i="16" s="1"/>
  <c r="BW318" i="16"/>
  <c r="BB318" i="16"/>
  <c r="AQ318" i="16"/>
  <c r="BH318" i="16"/>
  <c r="CA318" i="16"/>
  <c r="AT318" i="16"/>
  <c r="AZ318" i="16"/>
  <c r="BV318" i="16"/>
  <c r="AU318" i="16"/>
  <c r="BP318" i="16"/>
  <c r="BA318" i="16"/>
  <c r="AC319" i="16"/>
  <c r="AO317" i="16"/>
  <c r="AP640" i="5" l="1"/>
  <c r="AP641" i="5" s="1"/>
  <c r="AP642" i="5" s="1"/>
  <c r="AP643" i="5" s="1"/>
  <c r="AR639" i="5"/>
  <c r="AQ639" i="5" s="1"/>
  <c r="AT631" i="5" s="1"/>
  <c r="BC319" i="16"/>
  <c r="AS319" i="16"/>
  <c r="AR319" i="16"/>
  <c r="AR721" i="5"/>
  <c r="AQ721" i="5" s="1"/>
  <c r="BN319" i="16"/>
  <c r="BT319" i="16"/>
  <c r="BR319" i="16"/>
  <c r="BO319" i="16"/>
  <c r="BJ319" i="16"/>
  <c r="BL319" i="16"/>
  <c r="AH319" i="16"/>
  <c r="AE319" i="16"/>
  <c r="AY318" i="16"/>
  <c r="BG318" i="16" s="1"/>
  <c r="AQ319" i="16"/>
  <c r="AT319" i="16"/>
  <c r="CA319" i="16"/>
  <c r="BA319" i="16"/>
  <c r="BV319" i="16"/>
  <c r="BB319" i="16"/>
  <c r="AZ319" i="16"/>
  <c r="AU319" i="16"/>
  <c r="BH319" i="16"/>
  <c r="BW319" i="16"/>
  <c r="BP319" i="16"/>
  <c r="AC320" i="16"/>
  <c r="AO318" i="16"/>
  <c r="AX631" i="5" l="1"/>
  <c r="AY631" i="5"/>
  <c r="AW631" i="5"/>
  <c r="AV631" i="5"/>
  <c r="AU631" i="5"/>
  <c r="AR643" i="5"/>
  <c r="AP644" i="5"/>
  <c r="BC320" i="16"/>
  <c r="AR320" i="16"/>
  <c r="AS320" i="16"/>
  <c r="AR722" i="5"/>
  <c r="AQ722" i="5" s="1"/>
  <c r="BN320" i="16"/>
  <c r="BR320" i="16"/>
  <c r="BT320" i="16"/>
  <c r="BJ320" i="16"/>
  <c r="BL320" i="16"/>
  <c r="BM315" i="16" s="1"/>
  <c r="BO320" i="16"/>
  <c r="AE320" i="16"/>
  <c r="AH320" i="16"/>
  <c r="BB320" i="16"/>
  <c r="AY319" i="16"/>
  <c r="BG319" i="16" s="1"/>
  <c r="AU320" i="16"/>
  <c r="BW320" i="16"/>
  <c r="BP320" i="16"/>
  <c r="BV320" i="16"/>
  <c r="CA320" i="16"/>
  <c r="AT320" i="16"/>
  <c r="BA320" i="16"/>
  <c r="AQ320" i="16"/>
  <c r="BH320" i="16"/>
  <c r="AZ320" i="16"/>
  <c r="AC321" i="16"/>
  <c r="AO319" i="16"/>
  <c r="BM314" i="16" l="1"/>
  <c r="BM313" i="16" s="1"/>
  <c r="AR644" i="5"/>
  <c r="AQ644" i="5" s="1"/>
  <c r="AT640" i="5" s="1"/>
  <c r="AP645" i="5"/>
  <c r="AT718" i="5"/>
  <c r="AT714" i="5"/>
  <c r="AY714" i="5" s="1"/>
  <c r="BC321" i="16"/>
  <c r="AR321" i="16"/>
  <c r="AS321" i="16"/>
  <c r="AU718" i="5"/>
  <c r="AX718" i="5"/>
  <c r="AV718" i="5"/>
  <c r="BR321" i="16"/>
  <c r="BT321" i="16"/>
  <c r="BL321" i="16"/>
  <c r="BM316" i="16" s="1"/>
  <c r="BO321" i="16"/>
  <c r="BJ321" i="16"/>
  <c r="BN321" i="16"/>
  <c r="AH321" i="16"/>
  <c r="AE321" i="16"/>
  <c r="AZ321" i="16"/>
  <c r="AT321" i="16"/>
  <c r="BA321" i="16"/>
  <c r="AY320" i="16"/>
  <c r="BG320" i="16" s="1"/>
  <c r="CA321" i="16"/>
  <c r="BB321" i="16"/>
  <c r="AU321" i="16"/>
  <c r="BV321" i="16"/>
  <c r="BP321" i="16"/>
  <c r="BH321" i="16"/>
  <c r="AQ321" i="16"/>
  <c r="BW321" i="16"/>
  <c r="AC322" i="16"/>
  <c r="AO320" i="16"/>
  <c r="AR645" i="5" l="1"/>
  <c r="AP646" i="5"/>
  <c r="AY640" i="5"/>
  <c r="AU640" i="5"/>
  <c r="AU714" i="5"/>
  <c r="AX714" i="5"/>
  <c r="AV714" i="5"/>
  <c r="AW714" i="5"/>
  <c r="BC322" i="16"/>
  <c r="AR322" i="16"/>
  <c r="AS322" i="16"/>
  <c r="AW718" i="5"/>
  <c r="BN322" i="16"/>
  <c r="BT322" i="16"/>
  <c r="BR322" i="16"/>
  <c r="BL322" i="16"/>
  <c r="BM317" i="16" s="1"/>
  <c r="BJ322" i="16"/>
  <c r="BO322" i="16"/>
  <c r="AE322" i="16"/>
  <c r="AH322" i="16"/>
  <c r="AY321" i="16"/>
  <c r="BG321" i="16" s="1"/>
  <c r="BW322" i="16"/>
  <c r="BP322" i="16"/>
  <c r="BA322" i="16"/>
  <c r="AT322" i="16"/>
  <c r="AU322" i="16"/>
  <c r="AQ322" i="16"/>
  <c r="AZ322" i="16"/>
  <c r="BV322" i="16"/>
  <c r="BB322" i="16"/>
  <c r="CA322" i="16"/>
  <c r="BH322" i="16"/>
  <c r="AC323" i="16"/>
  <c r="AO321" i="16"/>
  <c r="D236" i="16"/>
  <c r="E236" i="16"/>
  <c r="F236" i="16" s="1"/>
  <c r="C236" i="16"/>
  <c r="AP647" i="5" l="1"/>
  <c r="AR646" i="5"/>
  <c r="AX640" i="5" s="1"/>
  <c r="BC323" i="16"/>
  <c r="AS323" i="16"/>
  <c r="AR323" i="16"/>
  <c r="BN323" i="16"/>
  <c r="BT323" i="16"/>
  <c r="BR323" i="16"/>
  <c r="BL323" i="16"/>
  <c r="BO323" i="16"/>
  <c r="BJ323" i="16"/>
  <c r="AH323" i="16"/>
  <c r="AE323" i="16"/>
  <c r="AY322" i="16"/>
  <c r="BG322" i="16" s="1"/>
  <c r="AQ323" i="16"/>
  <c r="BA323" i="16"/>
  <c r="AU323" i="16"/>
  <c r="BB323" i="16"/>
  <c r="AT323" i="16"/>
  <c r="BP323" i="16"/>
  <c r="BV323" i="16"/>
  <c r="CA323" i="16"/>
  <c r="AZ323" i="16"/>
  <c r="BH323" i="16"/>
  <c r="BW323" i="16"/>
  <c r="AC324" i="16"/>
  <c r="AO322" i="16"/>
  <c r="G236" i="16"/>
  <c r="F235" i="16" s="1"/>
  <c r="B237" i="16" s="1"/>
  <c r="B240" i="16" l="1"/>
  <c r="B242" i="16"/>
  <c r="B318" i="16"/>
  <c r="AP648" i="5"/>
  <c r="AR647" i="5"/>
  <c r="AV640" i="5" s="1"/>
  <c r="BC324" i="16"/>
  <c r="AS324" i="16"/>
  <c r="AR324" i="16"/>
  <c r="B314" i="16"/>
  <c r="B315" i="16"/>
  <c r="B313" i="16"/>
  <c r="B319" i="16"/>
  <c r="B317" i="16"/>
  <c r="B316" i="16"/>
  <c r="BR324" i="16"/>
  <c r="BT324" i="16"/>
  <c r="BJ324" i="16"/>
  <c r="BL324" i="16"/>
  <c r="BO324" i="16"/>
  <c r="B241" i="16"/>
  <c r="B320" i="16"/>
  <c r="J320" i="16" s="1"/>
  <c r="BN324" i="16"/>
  <c r="B322" i="16"/>
  <c r="E322" i="16" s="1"/>
  <c r="B321" i="16"/>
  <c r="AE324" i="16"/>
  <c r="AH324" i="16"/>
  <c r="B239" i="16"/>
  <c r="BV324" i="16"/>
  <c r="N469" i="10"/>
  <c r="AT324" i="16"/>
  <c r="BH324" i="16"/>
  <c r="CA324" i="16"/>
  <c r="BA324" i="16"/>
  <c r="AY323" i="16"/>
  <c r="BG323" i="16" s="1"/>
  <c r="AU324" i="16"/>
  <c r="BB324" i="16"/>
  <c r="AZ324" i="16"/>
  <c r="BP324" i="16"/>
  <c r="AQ324" i="16"/>
  <c r="BW324" i="16"/>
  <c r="B295" i="16"/>
  <c r="B300" i="16"/>
  <c r="B297" i="16"/>
  <c r="B299" i="16"/>
  <c r="B302" i="16"/>
  <c r="B306" i="16"/>
  <c r="B303" i="16"/>
  <c r="B308" i="16"/>
  <c r="B301" i="16"/>
  <c r="B307" i="16"/>
  <c r="B296" i="16"/>
  <c r="B312" i="16"/>
  <c r="B305" i="16"/>
  <c r="B311" i="16"/>
  <c r="B304" i="16"/>
  <c r="B294" i="16"/>
  <c r="B310" i="16"/>
  <c r="B292" i="16"/>
  <c r="B293" i="16"/>
  <c r="B309" i="16"/>
  <c r="B298" i="16"/>
  <c r="B274" i="16"/>
  <c r="B291" i="16"/>
  <c r="B280" i="16"/>
  <c r="B278" i="16"/>
  <c r="B271" i="16"/>
  <c r="B277" i="16"/>
  <c r="B284" i="16"/>
  <c r="B275" i="16"/>
  <c r="B281" i="16"/>
  <c r="B283" i="16"/>
  <c r="B272" i="16"/>
  <c r="B288" i="16"/>
  <c r="B286" i="16"/>
  <c r="B269" i="16"/>
  <c r="B285" i="16"/>
  <c r="B287" i="16"/>
  <c r="B276" i="16"/>
  <c r="B270" i="16"/>
  <c r="B290" i="16"/>
  <c r="B273" i="16"/>
  <c r="B279" i="16"/>
  <c r="B268" i="16"/>
  <c r="B282" i="16"/>
  <c r="B289" i="16"/>
  <c r="B250" i="16"/>
  <c r="B243" i="16"/>
  <c r="B259" i="16"/>
  <c r="B258" i="16"/>
  <c r="B252" i="16"/>
  <c r="B245" i="16"/>
  <c r="B261" i="16"/>
  <c r="B262" i="16"/>
  <c r="B248" i="16"/>
  <c r="B246" i="16"/>
  <c r="B247" i="16"/>
  <c r="B263" i="16"/>
  <c r="B266" i="16"/>
  <c r="B256" i="16"/>
  <c r="B249" i="16"/>
  <c r="B265" i="16"/>
  <c r="B257" i="16"/>
  <c r="B254" i="16"/>
  <c r="B251" i="16"/>
  <c r="B267" i="16"/>
  <c r="B244" i="16"/>
  <c r="B260" i="16"/>
  <c r="B253" i="16"/>
  <c r="B255" i="16"/>
  <c r="B264" i="16"/>
  <c r="AC325" i="16"/>
  <c r="B472" i="10"/>
  <c r="AO323" i="16"/>
  <c r="Q71" i="10"/>
  <c r="AP649" i="5" l="1"/>
  <c r="AP650" i="5" s="1"/>
  <c r="AP651" i="5" s="1"/>
  <c r="AP652" i="5" s="1"/>
  <c r="AR648" i="5"/>
  <c r="AQ648" i="5" s="1"/>
  <c r="AW640" i="5" s="1"/>
  <c r="BC325" i="16"/>
  <c r="AR325" i="16"/>
  <c r="AS325" i="16"/>
  <c r="AR730" i="5"/>
  <c r="AQ730" i="5" s="1"/>
  <c r="AT723" i="5" s="1"/>
  <c r="BN325" i="16"/>
  <c r="BR325" i="16"/>
  <c r="BT325" i="16"/>
  <c r="BL325" i="16"/>
  <c r="BJ325" i="16"/>
  <c r="BO325" i="16"/>
  <c r="C320" i="16"/>
  <c r="D320" i="16" s="1"/>
  <c r="F320" i="16" s="1"/>
  <c r="C318" i="16"/>
  <c r="D318" i="16" s="1"/>
  <c r="J318" i="16"/>
  <c r="C260" i="16"/>
  <c r="D260" i="16" s="1"/>
  <c r="C257" i="16"/>
  <c r="D257" i="16" s="1"/>
  <c r="C286" i="16"/>
  <c r="D286" i="16" s="1"/>
  <c r="C254" i="16"/>
  <c r="D254" i="16" s="1"/>
  <c r="C248" i="16"/>
  <c r="D248" i="16" s="1"/>
  <c r="C250" i="16"/>
  <c r="D250" i="16" s="1"/>
  <c r="C274" i="16"/>
  <c r="D274" i="16" s="1"/>
  <c r="C261" i="16"/>
  <c r="D261" i="16" s="1"/>
  <c r="C290" i="16"/>
  <c r="D290" i="16" s="1"/>
  <c r="C285" i="16"/>
  <c r="D285" i="16" s="1"/>
  <c r="C272" i="16"/>
  <c r="D272" i="16" s="1"/>
  <c r="C284" i="16"/>
  <c r="D284" i="16" s="1"/>
  <c r="C317" i="16"/>
  <c r="D317" i="16" s="1"/>
  <c r="C242" i="16"/>
  <c r="D242" i="16" s="1"/>
  <c r="C319" i="16"/>
  <c r="D319" i="16" s="1"/>
  <c r="J319" i="16"/>
  <c r="J321" i="16"/>
  <c r="C321" i="16"/>
  <c r="D321" i="16" s="1"/>
  <c r="AE325" i="16"/>
  <c r="AH325" i="16"/>
  <c r="J239" i="16"/>
  <c r="K239" i="16"/>
  <c r="C239" i="16"/>
  <c r="D239" i="16" s="1"/>
  <c r="J240" i="16"/>
  <c r="C240" i="16"/>
  <c r="D240" i="16" s="1"/>
  <c r="K240" i="16"/>
  <c r="C241" i="16"/>
  <c r="D241" i="16" s="1"/>
  <c r="J255" i="16"/>
  <c r="J242" i="16"/>
  <c r="J279" i="16"/>
  <c r="J271" i="16"/>
  <c r="J312" i="16"/>
  <c r="J297" i="16"/>
  <c r="C253" i="16"/>
  <c r="D253" i="16" s="1"/>
  <c r="J253" i="16"/>
  <c r="C251" i="16"/>
  <c r="D251" i="16" s="1"/>
  <c r="J251" i="16"/>
  <c r="C249" i="16"/>
  <c r="D249" i="16" s="1"/>
  <c r="J249" i="16"/>
  <c r="C247" i="16"/>
  <c r="D247" i="16" s="1"/>
  <c r="J247" i="16"/>
  <c r="J262" i="16"/>
  <c r="J258" i="16"/>
  <c r="J289" i="16"/>
  <c r="J273" i="16"/>
  <c r="J287" i="16"/>
  <c r="J288" i="16"/>
  <c r="J275" i="16"/>
  <c r="J278" i="16"/>
  <c r="J314" i="16"/>
  <c r="J293" i="16"/>
  <c r="J304" i="16"/>
  <c r="J315" i="16"/>
  <c r="J301" i="16"/>
  <c r="J302" i="16"/>
  <c r="J300" i="16"/>
  <c r="J267" i="16"/>
  <c r="J265" i="16"/>
  <c r="J250" i="16"/>
  <c r="J286" i="16"/>
  <c r="J309" i="16"/>
  <c r="J306" i="16"/>
  <c r="J241" i="16"/>
  <c r="J260" i="16"/>
  <c r="J254" i="16"/>
  <c r="J256" i="16"/>
  <c r="J246" i="16"/>
  <c r="J261" i="16"/>
  <c r="J259" i="16"/>
  <c r="J282" i="16"/>
  <c r="J290" i="16"/>
  <c r="J285" i="16"/>
  <c r="J272" i="16"/>
  <c r="J284" i="16"/>
  <c r="J280" i="16"/>
  <c r="J298" i="16"/>
  <c r="J292" i="16"/>
  <c r="J311" i="16"/>
  <c r="J296" i="16"/>
  <c r="J308" i="16"/>
  <c r="J299" i="16"/>
  <c r="J295" i="16"/>
  <c r="J263" i="16"/>
  <c r="C252" i="16"/>
  <c r="D252" i="16" s="1"/>
  <c r="J252" i="16"/>
  <c r="J276" i="16"/>
  <c r="J281" i="16"/>
  <c r="J274" i="16"/>
  <c r="J294" i="16"/>
  <c r="J317" i="16"/>
  <c r="C259" i="16"/>
  <c r="D259" i="16" s="1"/>
  <c r="C255" i="16"/>
  <c r="D255" i="16" s="1"/>
  <c r="C246" i="16"/>
  <c r="D246" i="16" s="1"/>
  <c r="C282" i="16"/>
  <c r="D282" i="16" s="1"/>
  <c r="C280" i="16"/>
  <c r="D280" i="16" s="1"/>
  <c r="J264" i="16"/>
  <c r="C244" i="16"/>
  <c r="D244" i="16" s="1"/>
  <c r="J244" i="16"/>
  <c r="J257" i="16"/>
  <c r="J266" i="16"/>
  <c r="J248" i="16"/>
  <c r="C245" i="16"/>
  <c r="D245" i="16" s="1"/>
  <c r="J245" i="16"/>
  <c r="C243" i="16"/>
  <c r="D243" i="16" s="1"/>
  <c r="J243" i="16"/>
  <c r="J268" i="16"/>
  <c r="J270" i="16"/>
  <c r="J269" i="16"/>
  <c r="J283" i="16"/>
  <c r="J277" i="16"/>
  <c r="J291" i="16"/>
  <c r="J316" i="16"/>
  <c r="J310" i="16"/>
  <c r="J305" i="16"/>
  <c r="J307" i="16"/>
  <c r="J303" i="16"/>
  <c r="J313" i="16"/>
  <c r="AY324" i="16"/>
  <c r="BG324" i="16" s="1"/>
  <c r="C289" i="16"/>
  <c r="D289" i="16" s="1"/>
  <c r="C288" i="16"/>
  <c r="D288" i="16" s="1"/>
  <c r="C256" i="16"/>
  <c r="D256" i="16" s="1"/>
  <c r="C258" i="16"/>
  <c r="D258" i="16" s="1"/>
  <c r="C287" i="16"/>
  <c r="D287" i="16" s="1"/>
  <c r="C278" i="16"/>
  <c r="D278" i="16" s="1"/>
  <c r="C264" i="16"/>
  <c r="D264" i="16" s="1"/>
  <c r="C266" i="16"/>
  <c r="D266" i="16" s="1"/>
  <c r="C268" i="16"/>
  <c r="D268" i="16" s="1"/>
  <c r="C270" i="16"/>
  <c r="D270" i="16" s="1"/>
  <c r="C269" i="16"/>
  <c r="D269" i="16" s="1"/>
  <c r="C283" i="16"/>
  <c r="D283" i="16" s="1"/>
  <c r="C277" i="16"/>
  <c r="D277" i="16" s="1"/>
  <c r="C262" i="16"/>
  <c r="D262" i="16" s="1"/>
  <c r="C273" i="16"/>
  <c r="D273" i="16" s="1"/>
  <c r="C275" i="16"/>
  <c r="D275" i="16" s="1"/>
  <c r="C267" i="16"/>
  <c r="D267" i="16" s="1"/>
  <c r="C265" i="16"/>
  <c r="D265" i="16" s="1"/>
  <c r="C263" i="16"/>
  <c r="D263" i="16" s="1"/>
  <c r="C279" i="16"/>
  <c r="D279" i="16" s="1"/>
  <c r="C276" i="16"/>
  <c r="D276" i="16" s="1"/>
  <c r="C281" i="16"/>
  <c r="D281" i="16" s="1"/>
  <c r="C271" i="16"/>
  <c r="D271" i="16" s="1"/>
  <c r="BV325" i="16"/>
  <c r="AT325" i="16"/>
  <c r="AU325" i="16"/>
  <c r="BB325" i="16"/>
  <c r="BP325" i="16"/>
  <c r="BA325" i="16"/>
  <c r="BW325" i="16"/>
  <c r="AZ325" i="16"/>
  <c r="BH325" i="16"/>
  <c r="CA325" i="16"/>
  <c r="AQ325" i="16"/>
  <c r="C312" i="16"/>
  <c r="D312" i="16" s="1"/>
  <c r="C302" i="16"/>
  <c r="D302" i="16" s="1"/>
  <c r="C292" i="16"/>
  <c r="D292" i="16" s="1"/>
  <c r="C313" i="16"/>
  <c r="D313" i="16" s="1"/>
  <c r="C305" i="16"/>
  <c r="D305" i="16" s="1"/>
  <c r="C300" i="16"/>
  <c r="D300" i="16" s="1"/>
  <c r="C296" i="16"/>
  <c r="D296" i="16" s="1"/>
  <c r="C315" i="16"/>
  <c r="D315" i="16" s="1"/>
  <c r="C299" i="16"/>
  <c r="D299" i="16" s="1"/>
  <c r="C304" i="16"/>
  <c r="D304" i="16" s="1"/>
  <c r="C310" i="16"/>
  <c r="D310" i="16" s="1"/>
  <c r="C307" i="16"/>
  <c r="D307" i="16" s="1"/>
  <c r="AC326" i="16"/>
  <c r="C291" i="16"/>
  <c r="D291" i="16" s="1"/>
  <c r="C306" i="16"/>
  <c r="D306" i="16" s="1"/>
  <c r="C303" i="16"/>
  <c r="D303" i="16" s="1"/>
  <c r="C314" i="16"/>
  <c r="D314" i="16" s="1"/>
  <c r="C309" i="16"/>
  <c r="D309" i="16" s="1"/>
  <c r="C311" i="16"/>
  <c r="D311" i="16" s="1"/>
  <c r="C294" i="16"/>
  <c r="D294" i="16" s="1"/>
  <c r="C293" i="16"/>
  <c r="D293" i="16" s="1"/>
  <c r="C301" i="16"/>
  <c r="D301" i="16" s="1"/>
  <c r="C308" i="16"/>
  <c r="D308" i="16" s="1"/>
  <c r="C298" i="16"/>
  <c r="D298" i="16" s="1"/>
  <c r="C295" i="16"/>
  <c r="D295" i="16" s="1"/>
  <c r="C316" i="16"/>
  <c r="D316" i="16" s="1"/>
  <c r="C297" i="16"/>
  <c r="D297" i="16" s="1"/>
  <c r="AO324" i="16"/>
  <c r="K241" i="16"/>
  <c r="AP653" i="5" l="1"/>
  <c r="AR652" i="5"/>
  <c r="AY645" i="5" s="1"/>
  <c r="AU723" i="5"/>
  <c r="AX723" i="5"/>
  <c r="AV723" i="5"/>
  <c r="BC326" i="16"/>
  <c r="AS326" i="16"/>
  <c r="AR326" i="16"/>
  <c r="AW723" i="5"/>
  <c r="AR731" i="5"/>
  <c r="AY723" i="5" s="1"/>
  <c r="K317" i="16"/>
  <c r="L317" i="16" s="1"/>
  <c r="F317" i="16"/>
  <c r="G317" i="16" s="1"/>
  <c r="F318" i="16"/>
  <c r="G318" i="16" s="1"/>
  <c r="F319" i="16"/>
  <c r="G319" i="16" s="1"/>
  <c r="BT326" i="16"/>
  <c r="BR326" i="16"/>
  <c r="BO326" i="16"/>
  <c r="BJ326" i="16"/>
  <c r="BL326" i="16"/>
  <c r="U320" i="16"/>
  <c r="W320" i="16"/>
  <c r="Z320" i="16" s="1"/>
  <c r="G320" i="16"/>
  <c r="H320" i="16" s="1"/>
  <c r="I320" i="16" s="1"/>
  <c r="L320" i="16"/>
  <c r="V320" i="16"/>
  <c r="S320" i="16"/>
  <c r="T320" i="16" s="1"/>
  <c r="K320" i="16"/>
  <c r="R320" i="16"/>
  <c r="W318" i="16"/>
  <c r="R318" i="16"/>
  <c r="V318" i="16"/>
  <c r="K318" i="16"/>
  <c r="L318" i="16" s="1"/>
  <c r="U318" i="16"/>
  <c r="BV326" i="16"/>
  <c r="BN326" i="16"/>
  <c r="V317" i="16"/>
  <c r="U317" i="16"/>
  <c r="W317" i="16"/>
  <c r="L239" i="16"/>
  <c r="Q301" i="16"/>
  <c r="R301" i="16" s="1"/>
  <c r="F301" i="16"/>
  <c r="F304" i="16"/>
  <c r="Q304" i="16"/>
  <c r="R304" i="16" s="1"/>
  <c r="F271" i="16"/>
  <c r="Q271" i="16"/>
  <c r="Q269" i="16"/>
  <c r="F269" i="16"/>
  <c r="Q245" i="16"/>
  <c r="F245" i="16"/>
  <c r="Q241" i="16"/>
  <c r="R241" i="16" s="1"/>
  <c r="F241" i="16"/>
  <c r="Q261" i="16"/>
  <c r="F261" i="16"/>
  <c r="Q254" i="16"/>
  <c r="F254" i="16"/>
  <c r="F295" i="16"/>
  <c r="Q295" i="16"/>
  <c r="R295" i="16" s="1"/>
  <c r="Q293" i="16"/>
  <c r="R293" i="16" s="1"/>
  <c r="F293" i="16"/>
  <c r="F314" i="16"/>
  <c r="Q314" i="16"/>
  <c r="R314" i="16" s="1"/>
  <c r="F299" i="16"/>
  <c r="Q299" i="16"/>
  <c r="R299" i="16" s="1"/>
  <c r="Q305" i="16"/>
  <c r="R305" i="16" s="1"/>
  <c r="F305" i="16"/>
  <c r="F312" i="16"/>
  <c r="Q312" i="16"/>
  <c r="R312" i="16" s="1"/>
  <c r="Q281" i="16"/>
  <c r="F281" i="16"/>
  <c r="Q265" i="16"/>
  <c r="F265" i="16"/>
  <c r="Q262" i="16"/>
  <c r="F262" i="16"/>
  <c r="F270" i="16"/>
  <c r="Q270" i="16"/>
  <c r="F278" i="16"/>
  <c r="Q278" i="16"/>
  <c r="F288" i="16"/>
  <c r="Q288" i="16"/>
  <c r="F244" i="16"/>
  <c r="Q244" i="16"/>
  <c r="Q246" i="16"/>
  <c r="F246" i="16"/>
  <c r="F239" i="16"/>
  <c r="Q239" i="16"/>
  <c r="R239" i="16" s="1"/>
  <c r="F272" i="16"/>
  <c r="Q272" i="16"/>
  <c r="Q274" i="16"/>
  <c r="F274" i="16"/>
  <c r="F286" i="16"/>
  <c r="Q286" i="16"/>
  <c r="Q309" i="16"/>
  <c r="R309" i="16" s="1"/>
  <c r="F309" i="16"/>
  <c r="F300" i="16"/>
  <c r="Q300" i="16"/>
  <c r="R300" i="16" s="1"/>
  <c r="Q273" i="16"/>
  <c r="F273" i="16"/>
  <c r="F256" i="16"/>
  <c r="Q256" i="16"/>
  <c r="Q249" i="16"/>
  <c r="F249" i="16"/>
  <c r="F284" i="16"/>
  <c r="Q284" i="16"/>
  <c r="F303" i="16"/>
  <c r="Q303" i="16"/>
  <c r="R303" i="16" s="1"/>
  <c r="F307" i="16"/>
  <c r="Q307" i="16"/>
  <c r="R307" i="16" s="1"/>
  <c r="F315" i="16"/>
  <c r="Q315" i="16"/>
  <c r="R315" i="16" s="1"/>
  <c r="Q313" i="16"/>
  <c r="R313" i="16" s="1"/>
  <c r="F313" i="16"/>
  <c r="F276" i="16"/>
  <c r="Q276" i="16"/>
  <c r="F267" i="16"/>
  <c r="Q267" i="16"/>
  <c r="Q277" i="16"/>
  <c r="F277" i="16"/>
  <c r="F268" i="16"/>
  <c r="Q268" i="16"/>
  <c r="F287" i="16"/>
  <c r="Q287" i="16"/>
  <c r="Q289" i="16"/>
  <c r="F289" i="16"/>
  <c r="F243" i="16"/>
  <c r="Q243" i="16"/>
  <c r="F255" i="16"/>
  <c r="Q255" i="16"/>
  <c r="F252" i="16"/>
  <c r="Q252" i="16"/>
  <c r="F247" i="16"/>
  <c r="Q247" i="16"/>
  <c r="F251" i="16"/>
  <c r="Q251" i="16"/>
  <c r="F242" i="16"/>
  <c r="Q242" i="16"/>
  <c r="Q285" i="16"/>
  <c r="F285" i="16"/>
  <c r="F250" i="16"/>
  <c r="Q250" i="16"/>
  <c r="Q257" i="16"/>
  <c r="F257" i="16"/>
  <c r="F316" i="16"/>
  <c r="Q316" i="16"/>
  <c r="R316" i="16" s="1"/>
  <c r="F291" i="16"/>
  <c r="Q291" i="16"/>
  <c r="R291" i="16" s="1"/>
  <c r="F302" i="16"/>
  <c r="Q302" i="16"/>
  <c r="R302" i="16" s="1"/>
  <c r="F263" i="16"/>
  <c r="Q263" i="16"/>
  <c r="F264" i="16"/>
  <c r="Q264" i="16"/>
  <c r="Q282" i="16"/>
  <c r="F282" i="16"/>
  <c r="Q253" i="16"/>
  <c r="F253" i="16"/>
  <c r="F298" i="16"/>
  <c r="Q298" i="16"/>
  <c r="R298" i="16" s="1"/>
  <c r="F294" i="16"/>
  <c r="Q294" i="16"/>
  <c r="R294" i="16" s="1"/>
  <c r="Q297" i="16"/>
  <c r="R297" i="16" s="1"/>
  <c r="F297" i="16"/>
  <c r="F308" i="16"/>
  <c r="Q308" i="16"/>
  <c r="R308" i="16" s="1"/>
  <c r="F311" i="16"/>
  <c r="Q311" i="16"/>
  <c r="R311" i="16" s="1"/>
  <c r="Q306" i="16"/>
  <c r="R306" i="16" s="1"/>
  <c r="F306" i="16"/>
  <c r="Q310" i="16"/>
  <c r="R310" i="16" s="1"/>
  <c r="F310" i="16"/>
  <c r="F296" i="16"/>
  <c r="Q296" i="16"/>
  <c r="R296" i="16" s="1"/>
  <c r="F292" i="16"/>
  <c r="Q292" i="16"/>
  <c r="R292" i="16" s="1"/>
  <c r="F279" i="16"/>
  <c r="Q279" i="16"/>
  <c r="F275" i="16"/>
  <c r="Q275" i="16"/>
  <c r="F283" i="16"/>
  <c r="Q283" i="16"/>
  <c r="Q266" i="16"/>
  <c r="F266" i="16"/>
  <c r="F258" i="16"/>
  <c r="Q258" i="16"/>
  <c r="F280" i="16"/>
  <c r="Q280" i="16"/>
  <c r="F259" i="16"/>
  <c r="Q259" i="16"/>
  <c r="F240" i="16"/>
  <c r="Q240" i="16"/>
  <c r="Q317" i="16"/>
  <c r="R317" i="16" s="1"/>
  <c r="Q290" i="16"/>
  <c r="F290" i="16"/>
  <c r="F248" i="16"/>
  <c r="Q248" i="16"/>
  <c r="F260" i="16"/>
  <c r="Q260" i="16"/>
  <c r="F321" i="16"/>
  <c r="L321" i="16"/>
  <c r="S321" i="16"/>
  <c r="T321" i="16" s="1"/>
  <c r="R321" i="16"/>
  <c r="V321" i="16"/>
  <c r="G321" i="16"/>
  <c r="H321" i="16" s="1"/>
  <c r="I321" i="16" s="1"/>
  <c r="W321" i="16"/>
  <c r="U321" i="16"/>
  <c r="K321" i="16"/>
  <c r="V319" i="16"/>
  <c r="W319" i="16"/>
  <c r="R319" i="16"/>
  <c r="K319" i="16"/>
  <c r="L319" i="16" s="1"/>
  <c r="U319" i="16"/>
  <c r="AH326" i="16"/>
  <c r="AE326" i="16"/>
  <c r="R240" i="16"/>
  <c r="W240" i="16"/>
  <c r="O472" i="10" s="1"/>
  <c r="V240" i="16"/>
  <c r="G240" i="16"/>
  <c r="H240" i="16" s="1"/>
  <c r="I240" i="16" s="1"/>
  <c r="U240" i="16"/>
  <c r="W239" i="16"/>
  <c r="Z239" i="16" s="1"/>
  <c r="V239" i="16"/>
  <c r="U239" i="16"/>
  <c r="AY325" i="16"/>
  <c r="BG325" i="16" s="1"/>
  <c r="AQ326" i="16"/>
  <c r="BA326" i="16"/>
  <c r="AT326" i="16"/>
  <c r="CA326" i="16"/>
  <c r="BH326" i="16"/>
  <c r="BP326" i="16"/>
  <c r="BB326" i="16"/>
  <c r="AZ326" i="16"/>
  <c r="BW326" i="16"/>
  <c r="AU326" i="16"/>
  <c r="W310" i="16"/>
  <c r="K310" i="16"/>
  <c r="V310" i="16"/>
  <c r="U310" i="16"/>
  <c r="V299" i="16"/>
  <c r="K299" i="16"/>
  <c r="U299" i="16"/>
  <c r="W299" i="16"/>
  <c r="W296" i="16"/>
  <c r="K296" i="16"/>
  <c r="V296" i="16"/>
  <c r="U296" i="16"/>
  <c r="U316" i="16"/>
  <c r="V316" i="16"/>
  <c r="K316" i="16"/>
  <c r="W316" i="16"/>
  <c r="V298" i="16"/>
  <c r="K298" i="16"/>
  <c r="U298" i="16"/>
  <c r="W298" i="16"/>
  <c r="W301" i="16"/>
  <c r="V301" i="16"/>
  <c r="K301" i="16"/>
  <c r="U301" i="16"/>
  <c r="W293" i="16"/>
  <c r="V293" i="16"/>
  <c r="K293" i="16"/>
  <c r="U293" i="16"/>
  <c r="W311" i="16"/>
  <c r="V311" i="16"/>
  <c r="K311" i="16"/>
  <c r="U311" i="16"/>
  <c r="V314" i="16"/>
  <c r="W314" i="16"/>
  <c r="U314" i="16"/>
  <c r="K314" i="16"/>
  <c r="W306" i="16"/>
  <c r="K306" i="16"/>
  <c r="V306" i="16"/>
  <c r="U306" i="16"/>
  <c r="W241" i="16"/>
  <c r="U241" i="16"/>
  <c r="V241" i="16"/>
  <c r="AC327" i="16"/>
  <c r="V305" i="16"/>
  <c r="K305" i="16"/>
  <c r="U305" i="16"/>
  <c r="W305" i="16"/>
  <c r="W292" i="16"/>
  <c r="K292" i="16"/>
  <c r="V292" i="16"/>
  <c r="U292" i="16"/>
  <c r="V312" i="16"/>
  <c r="U312" i="16"/>
  <c r="W312" i="16"/>
  <c r="K312" i="16"/>
  <c r="W307" i="16"/>
  <c r="K307" i="16"/>
  <c r="V307" i="16"/>
  <c r="U307" i="16"/>
  <c r="W304" i="16"/>
  <c r="K304" i="16"/>
  <c r="V304" i="16"/>
  <c r="U304" i="16"/>
  <c r="V315" i="16"/>
  <c r="W315" i="16"/>
  <c r="K315" i="16"/>
  <c r="U315" i="16"/>
  <c r="V297" i="16"/>
  <c r="K297" i="16"/>
  <c r="U297" i="16"/>
  <c r="W297" i="16"/>
  <c r="U295" i="16"/>
  <c r="W295" i="16"/>
  <c r="K295" i="16"/>
  <c r="V295" i="16"/>
  <c r="W308" i="16"/>
  <c r="K308" i="16"/>
  <c r="V308" i="16"/>
  <c r="U308" i="16"/>
  <c r="W294" i="16"/>
  <c r="K294" i="16"/>
  <c r="V294" i="16"/>
  <c r="U294" i="16"/>
  <c r="V309" i="16"/>
  <c r="K309" i="16"/>
  <c r="U309" i="16"/>
  <c r="W309" i="16"/>
  <c r="W303" i="16"/>
  <c r="K303" i="16"/>
  <c r="V303" i="16"/>
  <c r="U303" i="16"/>
  <c r="U291" i="16"/>
  <c r="W291" i="16"/>
  <c r="K291" i="16"/>
  <c r="V291" i="16"/>
  <c r="W300" i="16"/>
  <c r="V300" i="16"/>
  <c r="K300" i="16"/>
  <c r="U300" i="16"/>
  <c r="V313" i="16"/>
  <c r="K313" i="16"/>
  <c r="W313" i="16"/>
  <c r="U313" i="16"/>
  <c r="W302" i="16"/>
  <c r="V302" i="16"/>
  <c r="K302" i="16"/>
  <c r="U302" i="16"/>
  <c r="L240" i="16"/>
  <c r="AO325" i="16"/>
  <c r="K242" i="16"/>
  <c r="L241" i="16"/>
  <c r="X242" i="16"/>
  <c r="B233" i="16"/>
  <c r="W72" i="10" s="1"/>
  <c r="K521" i="10" l="1"/>
  <c r="Q521" i="10"/>
  <c r="I521" i="10"/>
  <c r="O521" i="10"/>
  <c r="G521" i="10"/>
  <c r="E521" i="10"/>
  <c r="M521" i="10"/>
  <c r="B521" i="10"/>
  <c r="Q544" i="10"/>
  <c r="I544" i="10"/>
  <c r="O544" i="10"/>
  <c r="G544" i="10"/>
  <c r="M544" i="10"/>
  <c r="E544" i="10"/>
  <c r="B544" i="10"/>
  <c r="K544" i="10"/>
  <c r="Q548" i="10"/>
  <c r="I548" i="10"/>
  <c r="O548" i="10"/>
  <c r="G548" i="10"/>
  <c r="M548" i="10"/>
  <c r="E548" i="10"/>
  <c r="K548" i="10"/>
  <c r="B548" i="10"/>
  <c r="Q532" i="10"/>
  <c r="I532" i="10"/>
  <c r="O532" i="10"/>
  <c r="G532" i="10"/>
  <c r="M532" i="10"/>
  <c r="E532" i="10"/>
  <c r="K532" i="10"/>
  <c r="B532" i="10"/>
  <c r="M530" i="10"/>
  <c r="E530" i="10"/>
  <c r="K530" i="10"/>
  <c r="Q530" i="10"/>
  <c r="I530" i="10"/>
  <c r="G530" i="10"/>
  <c r="O530" i="10"/>
  <c r="B530" i="10"/>
  <c r="K533" i="10"/>
  <c r="Q533" i="10"/>
  <c r="I533" i="10"/>
  <c r="O533" i="10"/>
  <c r="G533" i="10"/>
  <c r="M533" i="10"/>
  <c r="E533" i="10"/>
  <c r="B533" i="10"/>
  <c r="Q524" i="10"/>
  <c r="I524" i="10"/>
  <c r="O524" i="10"/>
  <c r="G524" i="10"/>
  <c r="M524" i="10"/>
  <c r="E524" i="10"/>
  <c r="K524" i="10"/>
  <c r="B524" i="10"/>
  <c r="M538" i="10"/>
  <c r="E538" i="10"/>
  <c r="K538" i="10"/>
  <c r="Q538" i="10"/>
  <c r="I538" i="10"/>
  <c r="G538" i="10"/>
  <c r="B538" i="10"/>
  <c r="O538" i="10"/>
  <c r="M534" i="10"/>
  <c r="E534" i="10"/>
  <c r="K534" i="10"/>
  <c r="Q534" i="10"/>
  <c r="I534" i="10"/>
  <c r="O534" i="10"/>
  <c r="G534" i="10"/>
  <c r="B534" i="10"/>
  <c r="K537" i="10"/>
  <c r="Q537" i="10"/>
  <c r="I537" i="10"/>
  <c r="O537" i="10"/>
  <c r="G537" i="10"/>
  <c r="E537" i="10"/>
  <c r="M537" i="10"/>
  <c r="B537" i="10"/>
  <c r="M522" i="10"/>
  <c r="E522" i="10"/>
  <c r="K522" i="10"/>
  <c r="Q522" i="10"/>
  <c r="I522" i="10"/>
  <c r="G522" i="10"/>
  <c r="B522" i="10"/>
  <c r="O522" i="10"/>
  <c r="Q536" i="10"/>
  <c r="I536" i="10"/>
  <c r="O536" i="10"/>
  <c r="G536" i="10"/>
  <c r="M536" i="10"/>
  <c r="E536" i="10"/>
  <c r="B536" i="10"/>
  <c r="K536" i="10"/>
  <c r="K541" i="10"/>
  <c r="Q541" i="10"/>
  <c r="I541" i="10"/>
  <c r="O541" i="10"/>
  <c r="G541" i="10"/>
  <c r="M541" i="10"/>
  <c r="E541" i="10"/>
  <c r="B541" i="10"/>
  <c r="O523" i="10"/>
  <c r="G523" i="10"/>
  <c r="M523" i="10"/>
  <c r="E523" i="10"/>
  <c r="K523" i="10"/>
  <c r="I523" i="10"/>
  <c r="Q523" i="10"/>
  <c r="B523" i="10"/>
  <c r="O531" i="10"/>
  <c r="G531" i="10"/>
  <c r="M531" i="10"/>
  <c r="E531" i="10"/>
  <c r="K531" i="10"/>
  <c r="I531" i="10"/>
  <c r="B531" i="10"/>
  <c r="Q531" i="10"/>
  <c r="M526" i="10"/>
  <c r="E526" i="10"/>
  <c r="K526" i="10"/>
  <c r="Q526" i="10"/>
  <c r="I526" i="10"/>
  <c r="O526" i="10"/>
  <c r="G526" i="10"/>
  <c r="B526" i="10"/>
  <c r="Q540" i="10"/>
  <c r="I540" i="10"/>
  <c r="O540" i="10"/>
  <c r="G540" i="10"/>
  <c r="M540" i="10"/>
  <c r="E540" i="10"/>
  <c r="K540" i="10"/>
  <c r="B540" i="10"/>
  <c r="K525" i="10"/>
  <c r="Q525" i="10"/>
  <c r="I525" i="10"/>
  <c r="O525" i="10"/>
  <c r="G525" i="10"/>
  <c r="M525" i="10"/>
  <c r="E525" i="10"/>
  <c r="B525" i="10"/>
  <c r="K545" i="10"/>
  <c r="Q545" i="10"/>
  <c r="I545" i="10"/>
  <c r="O545" i="10"/>
  <c r="G545" i="10"/>
  <c r="E545" i="10"/>
  <c r="B545" i="10"/>
  <c r="M545" i="10"/>
  <c r="O539" i="10"/>
  <c r="G539" i="10"/>
  <c r="M539" i="10"/>
  <c r="E539" i="10"/>
  <c r="K539" i="10"/>
  <c r="I539" i="10"/>
  <c r="Q539" i="10"/>
  <c r="B539" i="10"/>
  <c r="O527" i="10"/>
  <c r="G527" i="10"/>
  <c r="M527" i="10"/>
  <c r="E527" i="10"/>
  <c r="K527" i="10"/>
  <c r="Q527" i="10"/>
  <c r="B527" i="10"/>
  <c r="I527" i="10"/>
  <c r="O535" i="10"/>
  <c r="G535" i="10"/>
  <c r="M535" i="10"/>
  <c r="E535" i="10"/>
  <c r="K535" i="10"/>
  <c r="Q535" i="10"/>
  <c r="I535" i="10"/>
  <c r="B535" i="10"/>
  <c r="Q528" i="10"/>
  <c r="I528" i="10"/>
  <c r="O528" i="10"/>
  <c r="G528" i="10"/>
  <c r="M528" i="10"/>
  <c r="E528" i="10"/>
  <c r="B528" i="10"/>
  <c r="K528" i="10"/>
  <c r="M546" i="10"/>
  <c r="E546" i="10"/>
  <c r="K546" i="10"/>
  <c r="Q546" i="10"/>
  <c r="I546" i="10"/>
  <c r="G546" i="10"/>
  <c r="O546" i="10"/>
  <c r="B546" i="10"/>
  <c r="K529" i="10"/>
  <c r="Q529" i="10"/>
  <c r="I529" i="10"/>
  <c r="O529" i="10"/>
  <c r="G529" i="10"/>
  <c r="E529" i="10"/>
  <c r="B529" i="10"/>
  <c r="M529" i="10"/>
  <c r="O543" i="10"/>
  <c r="G543" i="10"/>
  <c r="M543" i="10"/>
  <c r="E543" i="10"/>
  <c r="K543" i="10"/>
  <c r="Q543" i="10"/>
  <c r="B543" i="10"/>
  <c r="I543" i="10"/>
  <c r="M542" i="10"/>
  <c r="E542" i="10"/>
  <c r="K542" i="10"/>
  <c r="Q542" i="10"/>
  <c r="I542" i="10"/>
  <c r="O542" i="10"/>
  <c r="G542" i="10"/>
  <c r="B542" i="10"/>
  <c r="O547" i="10"/>
  <c r="G547" i="10"/>
  <c r="M547" i="10"/>
  <c r="E547" i="10"/>
  <c r="K547" i="10"/>
  <c r="I547" i="10"/>
  <c r="B547" i="10"/>
  <c r="Q547" i="10"/>
  <c r="AR653" i="5"/>
  <c r="AQ653" i="5" s="1"/>
  <c r="AT649" i="5" s="1"/>
  <c r="AP654" i="5"/>
  <c r="BC327" i="16"/>
  <c r="AS327" i="16"/>
  <c r="AR327" i="16"/>
  <c r="E240" i="16"/>
  <c r="P320" i="16"/>
  <c r="O320" i="16"/>
  <c r="H317" i="16"/>
  <c r="I317" i="16" s="1"/>
  <c r="E317" i="16" s="1"/>
  <c r="M320" i="16"/>
  <c r="E320" i="16"/>
  <c r="BN327" i="16"/>
  <c r="BT327" i="16"/>
  <c r="BR327" i="16"/>
  <c r="BL327" i="16"/>
  <c r="BJ327" i="16"/>
  <c r="BO327" i="16"/>
  <c r="Y320" i="16"/>
  <c r="Z318" i="16"/>
  <c r="Y318" i="16"/>
  <c r="O321" i="16"/>
  <c r="E321" i="16"/>
  <c r="Y317" i="16"/>
  <c r="Z317" i="16"/>
  <c r="G239" i="16"/>
  <c r="H239" i="16" s="1"/>
  <c r="I239" i="16" s="1"/>
  <c r="E239" i="16" s="1"/>
  <c r="G292" i="16"/>
  <c r="H292" i="16" s="1"/>
  <c r="I292" i="16" s="1"/>
  <c r="E292" i="16" s="1"/>
  <c r="G309" i="16"/>
  <c r="H309" i="16" s="1"/>
  <c r="I309" i="16" s="1"/>
  <c r="E309" i="16" s="1"/>
  <c r="G316" i="16"/>
  <c r="H316" i="16" s="1"/>
  <c r="I316" i="16" s="1"/>
  <c r="E316" i="16" s="1"/>
  <c r="G315" i="16"/>
  <c r="H315" i="16" s="1"/>
  <c r="I315" i="16" s="1"/>
  <c r="E315" i="16" s="1"/>
  <c r="G300" i="16"/>
  <c r="H300" i="16" s="1"/>
  <c r="I300" i="16" s="1"/>
  <c r="E300" i="16" s="1"/>
  <c r="G298" i="16"/>
  <c r="H298" i="16" s="1"/>
  <c r="I298" i="16" s="1"/>
  <c r="E298" i="16" s="1"/>
  <c r="G311" i="16"/>
  <c r="H311" i="16" s="1"/>
  <c r="I311" i="16" s="1"/>
  <c r="E311" i="16" s="1"/>
  <c r="G301" i="16"/>
  <c r="H301" i="16" s="1"/>
  <c r="I301" i="16" s="1"/>
  <c r="E301" i="16" s="1"/>
  <c r="G296" i="16"/>
  <c r="H296" i="16" s="1"/>
  <c r="I296" i="16" s="1"/>
  <c r="E296" i="16" s="1"/>
  <c r="G303" i="16"/>
  <c r="H303" i="16" s="1"/>
  <c r="I303" i="16" s="1"/>
  <c r="E303" i="16" s="1"/>
  <c r="G294" i="16"/>
  <c r="H294" i="16" s="1"/>
  <c r="I294" i="16" s="1"/>
  <c r="E294" i="16" s="1"/>
  <c r="G305" i="16"/>
  <c r="H305" i="16" s="1"/>
  <c r="I305" i="16" s="1"/>
  <c r="E305" i="16" s="1"/>
  <c r="G313" i="16"/>
  <c r="H313" i="16" s="1"/>
  <c r="I313" i="16" s="1"/>
  <c r="E313" i="16" s="1"/>
  <c r="G314" i="16"/>
  <c r="H314" i="16" s="1"/>
  <c r="I314" i="16" s="1"/>
  <c r="E314" i="16" s="1"/>
  <c r="G307" i="16"/>
  <c r="H307" i="16" s="1"/>
  <c r="I307" i="16" s="1"/>
  <c r="E307" i="16" s="1"/>
  <c r="G297" i="16"/>
  <c r="H297" i="16" s="1"/>
  <c r="I297" i="16" s="1"/>
  <c r="E297" i="16" s="1"/>
  <c r="G295" i="16"/>
  <c r="H295" i="16" s="1"/>
  <c r="I295" i="16" s="1"/>
  <c r="E295" i="16" s="1"/>
  <c r="G306" i="16"/>
  <c r="H306" i="16" s="1"/>
  <c r="I306" i="16" s="1"/>
  <c r="E306" i="16" s="1"/>
  <c r="G293" i="16"/>
  <c r="H293" i="16" s="1"/>
  <c r="I293" i="16" s="1"/>
  <c r="E293" i="16" s="1"/>
  <c r="G304" i="16"/>
  <c r="H304" i="16" s="1"/>
  <c r="I304" i="16" s="1"/>
  <c r="E304" i="16" s="1"/>
  <c r="G308" i="16"/>
  <c r="H308" i="16" s="1"/>
  <c r="I308" i="16" s="1"/>
  <c r="E308" i="16" s="1"/>
  <c r="G299" i="16"/>
  <c r="H299" i="16" s="1"/>
  <c r="I299" i="16" s="1"/>
  <c r="E299" i="16" s="1"/>
  <c r="G302" i="16"/>
  <c r="H302" i="16" s="1"/>
  <c r="I302" i="16" s="1"/>
  <c r="E302" i="16" s="1"/>
  <c r="G291" i="16"/>
  <c r="H291" i="16" s="1"/>
  <c r="I291" i="16" s="1"/>
  <c r="E291" i="16" s="1"/>
  <c r="G312" i="16"/>
  <c r="H312" i="16" s="1"/>
  <c r="I312" i="16" s="1"/>
  <c r="E312" i="16" s="1"/>
  <c r="G310" i="16"/>
  <c r="H310" i="16" s="1"/>
  <c r="I310" i="16" s="1"/>
  <c r="E310" i="16" s="1"/>
  <c r="G241" i="16"/>
  <c r="H241" i="16" s="1"/>
  <c r="I241" i="16" s="1"/>
  <c r="O241" i="16" s="1"/>
  <c r="Z319" i="16"/>
  <c r="Y319" i="16"/>
  <c r="Z321" i="16"/>
  <c r="Y321" i="16"/>
  <c r="P321" i="16"/>
  <c r="M321" i="16"/>
  <c r="Z240" i="16"/>
  <c r="Y239" i="16"/>
  <c r="Y240" i="16"/>
  <c r="M472" i="10"/>
  <c r="AE327" i="16"/>
  <c r="AH327" i="16"/>
  <c r="M240" i="16"/>
  <c r="P240" i="16"/>
  <c r="O240" i="16"/>
  <c r="AY326" i="16"/>
  <c r="BG326" i="16" s="1"/>
  <c r="R242" i="16"/>
  <c r="Y241" i="16"/>
  <c r="BH327" i="16"/>
  <c r="BB327" i="16"/>
  <c r="BV327" i="16"/>
  <c r="AU327" i="16"/>
  <c r="BW327" i="16"/>
  <c r="BA327" i="16"/>
  <c r="L294" i="16"/>
  <c r="AZ327" i="16"/>
  <c r="AQ327" i="16"/>
  <c r="L293" i="16"/>
  <c r="AT327" i="16"/>
  <c r="L310" i="16"/>
  <c r="CA327" i="16"/>
  <c r="BP327" i="16"/>
  <c r="L315" i="16"/>
  <c r="L304" i="16"/>
  <c r="L309" i="16"/>
  <c r="L305" i="16"/>
  <c r="L297" i="16"/>
  <c r="L295" i="16"/>
  <c r="L302" i="16"/>
  <c r="L291" i="16"/>
  <c r="L301" i="16"/>
  <c r="L296" i="16"/>
  <c r="Y316" i="16"/>
  <c r="Z316" i="16"/>
  <c r="Y292" i="16"/>
  <c r="Z292" i="16"/>
  <c r="Z241" i="16"/>
  <c r="W242" i="16"/>
  <c r="L303" i="16"/>
  <c r="Y303" i="16"/>
  <c r="Z303" i="16"/>
  <c r="Z309" i="16"/>
  <c r="Y309" i="16"/>
  <c r="Y315" i="16"/>
  <c r="Z315" i="16"/>
  <c r="L312" i="16"/>
  <c r="L306" i="16"/>
  <c r="Z306" i="16"/>
  <c r="Y306" i="16"/>
  <c r="Z314" i="16"/>
  <c r="Y314" i="16"/>
  <c r="L311" i="16"/>
  <c r="Z293" i="16"/>
  <c r="Y293" i="16"/>
  <c r="Z297" i="16"/>
  <c r="Y297" i="16"/>
  <c r="Y302" i="16"/>
  <c r="Z302" i="16"/>
  <c r="Z313" i="16"/>
  <c r="Y313" i="16"/>
  <c r="L300" i="16"/>
  <c r="Y300" i="16"/>
  <c r="Z300" i="16"/>
  <c r="Z291" i="16"/>
  <c r="Y291" i="16"/>
  <c r="Z295" i="16"/>
  <c r="Y295" i="16"/>
  <c r="Y312" i="16"/>
  <c r="Z312" i="16"/>
  <c r="Z305" i="16"/>
  <c r="Y305" i="16"/>
  <c r="Z301" i="16"/>
  <c r="Y301" i="16"/>
  <c r="Y298" i="16"/>
  <c r="Z298" i="16"/>
  <c r="L298" i="16"/>
  <c r="L316" i="16"/>
  <c r="Y296" i="16"/>
  <c r="Z296" i="16"/>
  <c r="L299" i="16"/>
  <c r="Y310" i="16"/>
  <c r="Z310" i="16"/>
  <c r="Y308" i="16"/>
  <c r="Z308" i="16"/>
  <c r="L313" i="16"/>
  <c r="Z294" i="16"/>
  <c r="Y294" i="16"/>
  <c r="L308" i="16"/>
  <c r="Y304" i="16"/>
  <c r="Z304" i="16"/>
  <c r="L307" i="16"/>
  <c r="Y307" i="16"/>
  <c r="Z307" i="16"/>
  <c r="L292" i="16"/>
  <c r="AC328" i="16"/>
  <c r="L314" i="16"/>
  <c r="Z311" i="16"/>
  <c r="Y311" i="16"/>
  <c r="Z299" i="16"/>
  <c r="Y299" i="16"/>
  <c r="AO326" i="16"/>
  <c r="L242" i="16"/>
  <c r="V242" i="16"/>
  <c r="U242" i="16"/>
  <c r="K243" i="16"/>
  <c r="X243" i="16"/>
  <c r="AP655" i="5" l="1"/>
  <c r="AR654" i="5"/>
  <c r="AQ654" i="5" s="1"/>
  <c r="AW645" i="5" s="1"/>
  <c r="AY649" i="5"/>
  <c r="AU649" i="5"/>
  <c r="BC328" i="16"/>
  <c r="AR328" i="16"/>
  <c r="AS328" i="16"/>
  <c r="O239" i="16"/>
  <c r="AQ735" i="5"/>
  <c r="P317" i="16"/>
  <c r="M317" i="16"/>
  <c r="O317" i="16"/>
  <c r="BR328" i="16"/>
  <c r="BT328" i="16"/>
  <c r="BJ328" i="16"/>
  <c r="BL328" i="16"/>
  <c r="BO328" i="16"/>
  <c r="BN328" i="16"/>
  <c r="AA548" i="10"/>
  <c r="Y548" i="10"/>
  <c r="P239" i="16"/>
  <c r="M239" i="16"/>
  <c r="S239" i="16" s="1"/>
  <c r="T239" i="16" s="1"/>
  <c r="E241" i="16"/>
  <c r="M241" i="16"/>
  <c r="P241" i="16"/>
  <c r="G242" i="16"/>
  <c r="H242" i="16" s="1"/>
  <c r="I242" i="16" s="1"/>
  <c r="E242" i="16" s="1"/>
  <c r="AH328" i="16"/>
  <c r="AE328" i="16"/>
  <c r="S240" i="16"/>
  <c r="T240" i="16" s="1"/>
  <c r="AY327" i="16"/>
  <c r="BG327" i="16" s="1"/>
  <c r="O308" i="16"/>
  <c r="M308" i="16"/>
  <c r="P308" i="16"/>
  <c r="P299" i="16"/>
  <c r="O299" i="16"/>
  <c r="M299" i="16"/>
  <c r="R243" i="16"/>
  <c r="O307" i="16"/>
  <c r="M307" i="16"/>
  <c r="P307" i="16"/>
  <c r="P306" i="16"/>
  <c r="O306" i="16"/>
  <c r="M306" i="16"/>
  <c r="P303" i="16"/>
  <c r="O303" i="16"/>
  <c r="M303" i="16"/>
  <c r="O301" i="16"/>
  <c r="M301" i="16"/>
  <c r="P301" i="16"/>
  <c r="O297" i="16"/>
  <c r="M297" i="16"/>
  <c r="P297" i="16"/>
  <c r="O310" i="16"/>
  <c r="M310" i="16"/>
  <c r="P310" i="16"/>
  <c r="P293" i="16"/>
  <c r="O293" i="16"/>
  <c r="M293" i="16"/>
  <c r="O292" i="16"/>
  <c r="M292" i="16"/>
  <c r="P292" i="16"/>
  <c r="M312" i="16"/>
  <c r="P312" i="16"/>
  <c r="O312" i="16"/>
  <c r="M291" i="16"/>
  <c r="P291" i="16"/>
  <c r="O291" i="16"/>
  <c r="O305" i="16"/>
  <c r="M305" i="16"/>
  <c r="P305" i="16"/>
  <c r="O314" i="16"/>
  <c r="M314" i="16"/>
  <c r="P314" i="16"/>
  <c r="M298" i="16"/>
  <c r="P298" i="16"/>
  <c r="O298" i="16"/>
  <c r="O311" i="16"/>
  <c r="M311" i="16"/>
  <c r="P311" i="16"/>
  <c r="M296" i="16"/>
  <c r="P296" i="16"/>
  <c r="O296" i="16"/>
  <c r="O295" i="16"/>
  <c r="M295" i="16"/>
  <c r="P295" i="16"/>
  <c r="M304" i="16"/>
  <c r="P304" i="16"/>
  <c r="O304" i="16"/>
  <c r="O294" i="16"/>
  <c r="M294" i="16"/>
  <c r="P294" i="16"/>
  <c r="M313" i="16"/>
  <c r="P313" i="16"/>
  <c r="O313" i="16"/>
  <c r="O316" i="16"/>
  <c r="M316" i="16"/>
  <c r="P316" i="16"/>
  <c r="P300" i="16"/>
  <c r="O300" i="16"/>
  <c r="M300" i="16"/>
  <c r="M302" i="16"/>
  <c r="P302" i="16"/>
  <c r="O302" i="16"/>
  <c r="O309" i="16"/>
  <c r="M309" i="16"/>
  <c r="P309" i="16"/>
  <c r="M315" i="16"/>
  <c r="O315" i="16"/>
  <c r="P315" i="16"/>
  <c r="S542" i="10"/>
  <c r="Y242" i="16"/>
  <c r="BB328" i="16"/>
  <c r="CA328" i="16"/>
  <c r="AQ328" i="16"/>
  <c r="BW328" i="16"/>
  <c r="S532" i="10"/>
  <c r="AA528" i="10"/>
  <c r="Y528" i="10"/>
  <c r="S547" i="10"/>
  <c r="AA535" i="10"/>
  <c r="Y535" i="10"/>
  <c r="AA539" i="10"/>
  <c r="Y539" i="10"/>
  <c r="S544" i="10"/>
  <c r="AA532" i="10"/>
  <c r="Y532" i="10"/>
  <c r="AA524" i="10"/>
  <c r="Y524" i="10"/>
  <c r="S545" i="10"/>
  <c r="Y543" i="10"/>
  <c r="AA543" i="10"/>
  <c r="S541" i="10"/>
  <c r="Y530" i="10"/>
  <c r="AA530" i="10"/>
  <c r="S533" i="10"/>
  <c r="S529" i="10"/>
  <c r="S536" i="10"/>
  <c r="Y529" i="10"/>
  <c r="AA529" i="10"/>
  <c r="S537" i="10"/>
  <c r="S534" i="10"/>
  <c r="S526" i="10"/>
  <c r="S528" i="10"/>
  <c r="S525" i="10"/>
  <c r="S539" i="10"/>
  <c r="AA540" i="10"/>
  <c r="Y540" i="10"/>
  <c r="S530" i="10"/>
  <c r="Y526" i="10"/>
  <c r="AA526" i="10"/>
  <c r="Y534" i="10"/>
  <c r="AA534" i="10"/>
  <c r="AA531" i="10"/>
  <c r="Y531" i="10"/>
  <c r="Y544" i="10"/>
  <c r="AA544" i="10"/>
  <c r="AA523" i="10"/>
  <c r="Y523" i="10"/>
  <c r="Y525" i="10"/>
  <c r="AA525" i="10"/>
  <c r="AA522" i="10"/>
  <c r="Y522" i="10"/>
  <c r="AA541" i="10"/>
  <c r="Y541" i="10"/>
  <c r="AA542" i="10"/>
  <c r="Y542" i="10"/>
  <c r="AA537" i="10"/>
  <c r="Y537" i="10"/>
  <c r="S540" i="10"/>
  <c r="Y536" i="10"/>
  <c r="AA536" i="10"/>
  <c r="S546" i="10"/>
  <c r="Y538" i="10"/>
  <c r="AA538" i="10"/>
  <c r="S543" i="10"/>
  <c r="AA527" i="10"/>
  <c r="Y527" i="10"/>
  <c r="AA545" i="10"/>
  <c r="Y545" i="10"/>
  <c r="AA546" i="10"/>
  <c r="Y546" i="10"/>
  <c r="Y533" i="10"/>
  <c r="AA533" i="10"/>
  <c r="BV328" i="16"/>
  <c r="S531" i="10"/>
  <c r="AA547" i="10"/>
  <c r="Y547" i="10"/>
  <c r="S538" i="10"/>
  <c r="S535" i="10"/>
  <c r="S527" i="10"/>
  <c r="S548" i="10"/>
  <c r="BA328" i="16"/>
  <c r="Z242" i="16"/>
  <c r="AU328" i="16"/>
  <c r="AZ328" i="16"/>
  <c r="AT328" i="16"/>
  <c r="BH328" i="16"/>
  <c r="BP328" i="16"/>
  <c r="W243" i="16"/>
  <c r="AC329" i="16"/>
  <c r="AO327" i="16"/>
  <c r="L243" i="16"/>
  <c r="K244" i="16"/>
  <c r="X244" i="16"/>
  <c r="U243" i="16"/>
  <c r="V243" i="16"/>
  <c r="K473" i="10" l="1"/>
  <c r="I473" i="10"/>
  <c r="E473" i="10"/>
  <c r="O473" i="10"/>
  <c r="M473" i="10"/>
  <c r="B473" i="10"/>
  <c r="G473" i="10"/>
  <c r="AP656" i="5"/>
  <c r="AR655" i="5"/>
  <c r="AX649" i="5" s="1"/>
  <c r="BC329" i="16"/>
  <c r="AS329" i="16"/>
  <c r="AR329" i="16"/>
  <c r="AQ736" i="5"/>
  <c r="S317" i="16"/>
  <c r="T317" i="16" s="1"/>
  <c r="BN329" i="16"/>
  <c r="BR329" i="16"/>
  <c r="BT329" i="16"/>
  <c r="BL329" i="16"/>
  <c r="BM324" i="16" s="1"/>
  <c r="BJ329" i="16"/>
  <c r="BO329" i="16"/>
  <c r="AC548" i="10"/>
  <c r="AE548" i="10" s="1"/>
  <c r="W548" i="10" s="1"/>
  <c r="U548" i="10" s="1"/>
  <c r="S241" i="16"/>
  <c r="T241" i="16" s="1"/>
  <c r="G243" i="16"/>
  <c r="H243" i="16" s="1"/>
  <c r="I243" i="16" s="1"/>
  <c r="E243" i="16" s="1"/>
  <c r="AE329" i="16"/>
  <c r="AH329" i="16"/>
  <c r="O242" i="16"/>
  <c r="M242" i="16"/>
  <c r="P242" i="16"/>
  <c r="R244" i="16"/>
  <c r="R245" i="16"/>
  <c r="S301" i="16"/>
  <c r="T301" i="16" s="1"/>
  <c r="S303" i="16"/>
  <c r="T303" i="16" s="1"/>
  <c r="S314" i="16"/>
  <c r="T314" i="16" s="1"/>
  <c r="S316" i="16"/>
  <c r="T316" i="16" s="1"/>
  <c r="S305" i="16"/>
  <c r="T305" i="16" s="1"/>
  <c r="S310" i="16"/>
  <c r="T310" i="16" s="1"/>
  <c r="S306" i="16"/>
  <c r="T306" i="16" s="1"/>
  <c r="S300" i="16"/>
  <c r="T300" i="16" s="1"/>
  <c r="S291" i="16"/>
  <c r="T291" i="16" s="1"/>
  <c r="S296" i="16"/>
  <c r="T296" i="16" s="1"/>
  <c r="S293" i="16"/>
  <c r="T293" i="16" s="1"/>
  <c r="S292" i="16"/>
  <c r="T292" i="16" s="1"/>
  <c r="S295" i="16"/>
  <c r="T295" i="16" s="1"/>
  <c r="S294" i="16"/>
  <c r="T294" i="16" s="1"/>
  <c r="S297" i="16"/>
  <c r="T297" i="16" s="1"/>
  <c r="S308" i="16"/>
  <c r="T308" i="16" s="1"/>
  <c r="S304" i="16"/>
  <c r="T304" i="16" s="1"/>
  <c r="S302" i="16"/>
  <c r="T302" i="16" s="1"/>
  <c r="S309" i="16"/>
  <c r="T309" i="16" s="1"/>
  <c r="S312" i="16"/>
  <c r="T312" i="16" s="1"/>
  <c r="S299" i="16"/>
  <c r="T299" i="16" s="1"/>
  <c r="S313" i="16"/>
  <c r="T313" i="16" s="1"/>
  <c r="S311" i="16"/>
  <c r="T311" i="16" s="1"/>
  <c r="S315" i="16"/>
  <c r="T315" i="16" s="1"/>
  <c r="S307" i="16"/>
  <c r="T307" i="16" s="1"/>
  <c r="S298" i="16"/>
  <c r="T298" i="16" s="1"/>
  <c r="AC530" i="10"/>
  <c r="AE530" i="10" s="1"/>
  <c r="W530" i="10" s="1"/>
  <c r="U530" i="10" s="1"/>
  <c r="AC532" i="10"/>
  <c r="AE532" i="10" s="1"/>
  <c r="W532" i="10" s="1"/>
  <c r="U532" i="10" s="1"/>
  <c r="AU329" i="16"/>
  <c r="BH329" i="16"/>
  <c r="BV329" i="16"/>
  <c r="AT329" i="16"/>
  <c r="AQ329" i="16"/>
  <c r="AC526" i="10"/>
  <c r="AE526" i="10" s="1"/>
  <c r="W526" i="10" s="1"/>
  <c r="U526" i="10" s="1"/>
  <c r="AC546" i="10"/>
  <c r="AE546" i="10" s="1"/>
  <c r="W546" i="10" s="1"/>
  <c r="U546" i="10" s="1"/>
  <c r="BA329" i="16"/>
  <c r="AY328" i="16"/>
  <c r="BG328" i="16" s="1"/>
  <c r="AC538" i="10"/>
  <c r="AE538" i="10" s="1"/>
  <c r="W538" i="10" s="1"/>
  <c r="U538" i="10" s="1"/>
  <c r="AC536" i="10"/>
  <c r="AE536" i="10" s="1"/>
  <c r="AC542" i="10"/>
  <c r="AE542" i="10" s="1"/>
  <c r="W542" i="10" s="1"/>
  <c r="U542" i="10" s="1"/>
  <c r="AC522" i="10"/>
  <c r="AE522" i="10" s="1"/>
  <c r="W522" i="10" s="1"/>
  <c r="U522" i="10" s="1"/>
  <c r="AC523" i="10"/>
  <c r="AE523" i="10" s="1"/>
  <c r="AC531" i="10"/>
  <c r="AE531" i="10" s="1"/>
  <c r="W531" i="10" s="1"/>
  <c r="U531" i="10" s="1"/>
  <c r="AC540" i="10"/>
  <c r="AE540" i="10" s="1"/>
  <c r="W540" i="10" s="1"/>
  <c r="U540" i="10" s="1"/>
  <c r="AC545" i="10"/>
  <c r="AE545" i="10" s="1"/>
  <c r="AC524" i="10"/>
  <c r="AE524" i="10" s="1"/>
  <c r="W524" i="10" s="1"/>
  <c r="U524" i="10" s="1"/>
  <c r="AC535" i="10"/>
  <c r="AE535" i="10" s="1"/>
  <c r="AC528" i="10"/>
  <c r="AE528" i="10" s="1"/>
  <c r="W528" i="10" s="1"/>
  <c r="U528" i="10" s="1"/>
  <c r="AC533" i="10"/>
  <c r="AE533" i="10" s="1"/>
  <c r="AC537" i="10"/>
  <c r="AE537" i="10" s="1"/>
  <c r="AC541" i="10"/>
  <c r="AE541" i="10" s="1"/>
  <c r="AC543" i="10"/>
  <c r="AE543" i="10" s="1"/>
  <c r="AC547" i="10"/>
  <c r="AE547" i="10" s="1"/>
  <c r="W547" i="10" s="1"/>
  <c r="U547" i="10" s="1"/>
  <c r="AC527" i="10"/>
  <c r="AE527" i="10" s="1"/>
  <c r="AC525" i="10"/>
  <c r="AE525" i="10" s="1"/>
  <c r="W525" i="10" s="1"/>
  <c r="U525" i="10" s="1"/>
  <c r="AC544" i="10"/>
  <c r="AE544" i="10" s="1"/>
  <c r="AC534" i="10"/>
  <c r="AE534" i="10" s="1"/>
  <c r="W534" i="10" s="1"/>
  <c r="U534" i="10" s="1"/>
  <c r="AC529" i="10"/>
  <c r="AE529" i="10" s="1"/>
  <c r="AC539" i="10"/>
  <c r="AE539" i="10" s="1"/>
  <c r="CA329" i="16"/>
  <c r="AZ329" i="16"/>
  <c r="BK323" i="16"/>
  <c r="BK322" i="16" s="1"/>
  <c r="BP329" i="16"/>
  <c r="BB329" i="16"/>
  <c r="BW329" i="16"/>
  <c r="AC330" i="16"/>
  <c r="W245" i="16"/>
  <c r="W244" i="16"/>
  <c r="Z243" i="16"/>
  <c r="Y243" i="16"/>
  <c r="AO328" i="16"/>
  <c r="L244" i="16"/>
  <c r="U244" i="16"/>
  <c r="V244" i="16"/>
  <c r="X245" i="16"/>
  <c r="K245" i="16"/>
  <c r="O474" i="10" l="1"/>
  <c r="G474" i="10"/>
  <c r="M474" i="10"/>
  <c r="E474" i="10"/>
  <c r="B474" i="10"/>
  <c r="Q474" i="10"/>
  <c r="K474" i="10"/>
  <c r="I474" i="10"/>
  <c r="Q475" i="10"/>
  <c r="I475" i="10"/>
  <c r="O475" i="10"/>
  <c r="G475" i="10"/>
  <c r="B475" i="10"/>
  <c r="K475" i="10"/>
  <c r="E475" i="10"/>
  <c r="M475" i="10"/>
  <c r="AP657" i="5"/>
  <c r="AR656" i="5"/>
  <c r="AV649" i="5" s="1"/>
  <c r="BC330" i="16"/>
  <c r="AR330" i="16"/>
  <c r="AS330" i="16"/>
  <c r="BT330" i="16"/>
  <c r="BR330" i="16"/>
  <c r="BL330" i="16"/>
  <c r="BM325" i="16" s="1"/>
  <c r="BO330" i="16"/>
  <c r="BJ330" i="16"/>
  <c r="BK325" i="16" s="1"/>
  <c r="BN330" i="16"/>
  <c r="G245" i="16"/>
  <c r="H245" i="16" s="1"/>
  <c r="I245" i="16" s="1"/>
  <c r="E245" i="16" s="1"/>
  <c r="G244" i="16"/>
  <c r="H244" i="16" s="1"/>
  <c r="I244" i="16" s="1"/>
  <c r="BU323" i="16"/>
  <c r="BU322" i="16" s="1"/>
  <c r="BS323" i="16"/>
  <c r="BM323" i="16"/>
  <c r="BI323" i="16" s="1"/>
  <c r="AH330" i="16"/>
  <c r="AE330" i="16"/>
  <c r="S242" i="16"/>
  <c r="T242" i="16" s="1"/>
  <c r="M243" i="16"/>
  <c r="P243" i="16"/>
  <c r="O243" i="16"/>
  <c r="CA330" i="16"/>
  <c r="BW330" i="16"/>
  <c r="BK324" i="16"/>
  <c r="BI324" i="16" s="1"/>
  <c r="AZ330" i="16"/>
  <c r="AY329" i="16"/>
  <c r="BG329" i="16" s="1"/>
  <c r="AT330" i="16"/>
  <c r="W527" i="10"/>
  <c r="U527" i="10" s="1"/>
  <c r="W529" i="10"/>
  <c r="U529" i="10" s="1"/>
  <c r="W544" i="10"/>
  <c r="U544" i="10" s="1"/>
  <c r="W541" i="10"/>
  <c r="U541" i="10" s="1"/>
  <c r="W533" i="10"/>
  <c r="U533" i="10" s="1"/>
  <c r="W535" i="10"/>
  <c r="U535" i="10" s="1"/>
  <c r="W523" i="10"/>
  <c r="U523" i="10" s="1"/>
  <c r="W536" i="10"/>
  <c r="U536" i="10" s="1"/>
  <c r="W543" i="10"/>
  <c r="U543" i="10" s="1"/>
  <c r="W537" i="10"/>
  <c r="U537" i="10" s="1"/>
  <c r="BH330" i="16"/>
  <c r="BA330" i="16"/>
  <c r="AQ330" i="16"/>
  <c r="BV330" i="16"/>
  <c r="AU330" i="16"/>
  <c r="BP330" i="16"/>
  <c r="W545" i="10"/>
  <c r="U545" i="10" s="1"/>
  <c r="W539" i="10"/>
  <c r="U539" i="10" s="1"/>
  <c r="BB330" i="16"/>
  <c r="AC331" i="16"/>
  <c r="Z244" i="16"/>
  <c r="Y244" i="16"/>
  <c r="AO329" i="16"/>
  <c r="L245" i="16"/>
  <c r="K246" i="16"/>
  <c r="X246" i="16"/>
  <c r="V245" i="16"/>
  <c r="U245" i="16"/>
  <c r="Y245" i="16"/>
  <c r="Z245" i="16"/>
  <c r="AP658" i="5" l="1"/>
  <c r="AP659" i="5" s="1"/>
  <c r="AP660" i="5" s="1"/>
  <c r="AP661" i="5" s="1"/>
  <c r="AR657" i="5"/>
  <c r="AQ657" i="5" s="1"/>
  <c r="AW649" i="5" s="1"/>
  <c r="BC331" i="16"/>
  <c r="AS331" i="16"/>
  <c r="AR331" i="16"/>
  <c r="AR739" i="5"/>
  <c r="Y474" i="10"/>
  <c r="AA474" i="10"/>
  <c r="S473" i="10"/>
  <c r="S474" i="10"/>
  <c r="AA473" i="10"/>
  <c r="Y473" i="10"/>
  <c r="BN331" i="16"/>
  <c r="BT331" i="16"/>
  <c r="BR331" i="16"/>
  <c r="BO331" i="16"/>
  <c r="BL331" i="16"/>
  <c r="BM326" i="16" s="1"/>
  <c r="BJ331" i="16"/>
  <c r="BK326" i="16" s="1"/>
  <c r="BQ323" i="16"/>
  <c r="BI325" i="16"/>
  <c r="BS322" i="16"/>
  <c r="BQ322" i="16" s="1"/>
  <c r="BS324" i="16"/>
  <c r="BU324" i="16"/>
  <c r="BM322" i="16"/>
  <c r="BI322" i="16" s="1"/>
  <c r="P244" i="16"/>
  <c r="E244" i="16"/>
  <c r="AE331" i="16"/>
  <c r="AH331" i="16"/>
  <c r="O244" i="16"/>
  <c r="M244" i="16"/>
  <c r="R247" i="16"/>
  <c r="R246" i="16"/>
  <c r="M245" i="16"/>
  <c r="O245" i="16"/>
  <c r="P245" i="16"/>
  <c r="AY330" i="16"/>
  <c r="BG330" i="16" s="1"/>
  <c r="AQ331" i="16"/>
  <c r="S243" i="16"/>
  <c r="CA331" i="16"/>
  <c r="BP331" i="16"/>
  <c r="AZ331" i="16"/>
  <c r="AU331" i="16"/>
  <c r="BA331" i="16"/>
  <c r="BW331" i="16"/>
  <c r="BH331" i="16"/>
  <c r="BB331" i="16"/>
  <c r="AT331" i="16"/>
  <c r="BV331" i="16"/>
  <c r="W247" i="16"/>
  <c r="W246" i="16"/>
  <c r="AC332" i="16"/>
  <c r="AO330" i="16"/>
  <c r="L246" i="16"/>
  <c r="X247" i="16"/>
  <c r="K247" i="16"/>
  <c r="V246" i="16"/>
  <c r="U246" i="16"/>
  <c r="K476" i="10" l="1"/>
  <c r="B476" i="10"/>
  <c r="Q476" i="10"/>
  <c r="I476" i="10"/>
  <c r="M476" i="10"/>
  <c r="G476" i="10"/>
  <c r="E476" i="10"/>
  <c r="O476" i="10"/>
  <c r="O477" i="10"/>
  <c r="G477" i="10"/>
  <c r="Q477" i="10"/>
  <c r="E477" i="10"/>
  <c r="M477" i="10"/>
  <c r="K477" i="10"/>
  <c r="I477" i="10"/>
  <c r="B477" i="10"/>
  <c r="AP662" i="5"/>
  <c r="AR661" i="5"/>
  <c r="AQ661" i="5" s="1"/>
  <c r="BC332" i="16"/>
  <c r="AR332" i="16"/>
  <c r="AS332" i="16"/>
  <c r="AR740" i="5"/>
  <c r="AQ740" i="5" s="1"/>
  <c r="AQ739" i="5"/>
  <c r="AC474" i="10"/>
  <c r="AE474" i="10" s="1"/>
  <c r="W474" i="10" s="1"/>
  <c r="U474" i="10" s="1"/>
  <c r="AC473" i="10"/>
  <c r="AE473" i="10" s="1"/>
  <c r="BI326" i="16"/>
  <c r="BN332" i="16"/>
  <c r="BR332" i="16"/>
  <c r="BT332" i="16"/>
  <c r="BL332" i="16"/>
  <c r="BM327" i="16" s="1"/>
  <c r="BJ332" i="16"/>
  <c r="BK327" i="16" s="1"/>
  <c r="BO332" i="16"/>
  <c r="BQ324" i="16"/>
  <c r="BU326" i="16"/>
  <c r="BU325" i="16" s="1"/>
  <c r="G247" i="16"/>
  <c r="H247" i="16" s="1"/>
  <c r="I247" i="16" s="1"/>
  <c r="E247" i="16" s="1"/>
  <c r="G246" i="16"/>
  <c r="H246" i="16" s="1"/>
  <c r="I246" i="16" s="1"/>
  <c r="AE332" i="16"/>
  <c r="AH332" i="16"/>
  <c r="AY331" i="16"/>
  <c r="BG331" i="16" s="1"/>
  <c r="T243" i="16"/>
  <c r="R248" i="16"/>
  <c r="S244" i="16"/>
  <c r="AZ332" i="16"/>
  <c r="BH332" i="16"/>
  <c r="BP332" i="16"/>
  <c r="BV332" i="16"/>
  <c r="AU332" i="16"/>
  <c r="BA332" i="16"/>
  <c r="AT332" i="16"/>
  <c r="AQ332" i="16"/>
  <c r="BW332" i="16"/>
  <c r="CA332" i="16"/>
  <c r="BB332" i="16"/>
  <c r="W248" i="16"/>
  <c r="AC333" i="16"/>
  <c r="Z246" i="16"/>
  <c r="Y246" i="16"/>
  <c r="AO331" i="16"/>
  <c r="L247" i="16"/>
  <c r="K248" i="16"/>
  <c r="X248" i="16"/>
  <c r="Z247" i="16"/>
  <c r="Y247" i="16"/>
  <c r="V247" i="16"/>
  <c r="U247" i="16"/>
  <c r="Q478" i="10" l="1"/>
  <c r="I478" i="10"/>
  <c r="M478" i="10"/>
  <c r="K478" i="10"/>
  <c r="O478" i="10"/>
  <c r="G478" i="10"/>
  <c r="B478" i="10"/>
  <c r="E478" i="10"/>
  <c r="AR662" i="5"/>
  <c r="AQ662" i="5" s="1"/>
  <c r="AT658" i="5" s="1"/>
  <c r="AP663" i="5"/>
  <c r="AT732" i="5"/>
  <c r="AY732" i="5" s="1"/>
  <c r="BC333" i="16"/>
  <c r="AR333" i="16"/>
  <c r="AS333" i="16"/>
  <c r="W473" i="10"/>
  <c r="U473" i="10" s="1"/>
  <c r="AA476" i="10"/>
  <c r="Y476" i="10"/>
  <c r="S477" i="10"/>
  <c r="AA475" i="10"/>
  <c r="Y475" i="10"/>
  <c r="S475" i="10"/>
  <c r="S476" i="10"/>
  <c r="BI327" i="16"/>
  <c r="BR333" i="16"/>
  <c r="BT333" i="16"/>
  <c r="BJ333" i="16"/>
  <c r="BK328" i="16" s="1"/>
  <c r="BO333" i="16"/>
  <c r="BL333" i="16"/>
  <c r="BM328" i="16" s="1"/>
  <c r="BU327" i="16"/>
  <c r="BS326" i="16"/>
  <c r="BQ326" i="16" s="1"/>
  <c r="BP333" i="16"/>
  <c r="BN333" i="16"/>
  <c r="M246" i="16"/>
  <c r="E246" i="16"/>
  <c r="G248" i="16"/>
  <c r="H248" i="16" s="1"/>
  <c r="I248" i="16" s="1"/>
  <c r="E248" i="16" s="1"/>
  <c r="O246" i="16"/>
  <c r="AE333" i="16"/>
  <c r="AH333" i="16"/>
  <c r="P246" i="16"/>
  <c r="T244" i="16"/>
  <c r="R249" i="16"/>
  <c r="O247" i="16"/>
  <c r="P247" i="16"/>
  <c r="M247" i="16"/>
  <c r="S245" i="16"/>
  <c r="BV333" i="16"/>
  <c r="BA333" i="16"/>
  <c r="AY332" i="16"/>
  <c r="BG332" i="16" s="1"/>
  <c r="AQ333" i="16"/>
  <c r="BW333" i="16"/>
  <c r="CA333" i="16"/>
  <c r="AZ333" i="16"/>
  <c r="AT333" i="16"/>
  <c r="AU333" i="16"/>
  <c r="BB333" i="16"/>
  <c r="BH333" i="16"/>
  <c r="W249" i="16"/>
  <c r="AC334" i="16"/>
  <c r="AO332" i="16"/>
  <c r="L248" i="16"/>
  <c r="K249" i="16"/>
  <c r="X249" i="16"/>
  <c r="U248" i="16"/>
  <c r="V248" i="16"/>
  <c r="Z248" i="16"/>
  <c r="Y248" i="16"/>
  <c r="K479" i="10" l="1"/>
  <c r="I479" i="10"/>
  <c r="Q479" i="10"/>
  <c r="G479" i="10"/>
  <c r="B479" i="10"/>
  <c r="M479" i="10"/>
  <c r="E479" i="10"/>
  <c r="O479" i="10"/>
  <c r="AY658" i="5"/>
  <c r="AP664" i="5"/>
  <c r="AR663" i="5"/>
  <c r="AU657" i="5" s="1"/>
  <c r="AU732" i="5"/>
  <c r="AX732" i="5"/>
  <c r="AW732" i="5"/>
  <c r="AV732" i="5"/>
  <c r="BC334" i="16"/>
  <c r="AS334" i="16"/>
  <c r="AR334" i="16"/>
  <c r="Y477" i="10"/>
  <c r="AA477" i="10"/>
  <c r="AC476" i="10"/>
  <c r="AE476" i="10" s="1"/>
  <c r="W476" i="10" s="1"/>
  <c r="U476" i="10" s="1"/>
  <c r="S478" i="10"/>
  <c r="AC475" i="10"/>
  <c r="AE475" i="10" s="1"/>
  <c r="W475" i="10" s="1"/>
  <c r="U475" i="10" s="1"/>
  <c r="BI328" i="16"/>
  <c r="BT334" i="16"/>
  <c r="BR334" i="16"/>
  <c r="BL334" i="16"/>
  <c r="BM329" i="16" s="1"/>
  <c r="BO334" i="16"/>
  <c r="BJ334" i="16"/>
  <c r="BK329" i="16" s="1"/>
  <c r="BS325" i="16"/>
  <c r="BQ325" i="16" s="1"/>
  <c r="BS327" i="16"/>
  <c r="BQ327" i="16" s="1"/>
  <c r="AU334" i="16"/>
  <c r="BN334" i="16"/>
  <c r="G249" i="16"/>
  <c r="H249" i="16" s="1"/>
  <c r="I249" i="16" s="1"/>
  <c r="E249" i="16" s="1"/>
  <c r="AE334" i="16"/>
  <c r="AH334" i="16"/>
  <c r="T245" i="16"/>
  <c r="M248" i="16"/>
  <c r="P248" i="16"/>
  <c r="O248" i="16"/>
  <c r="R250" i="16"/>
  <c r="S246" i="16"/>
  <c r="BP334" i="16"/>
  <c r="BA334" i="16"/>
  <c r="AZ334" i="16"/>
  <c r="AQ334" i="16"/>
  <c r="AY333" i="16"/>
  <c r="BG333" i="16" s="1"/>
  <c r="BB334" i="16"/>
  <c r="BH334" i="16"/>
  <c r="CA334" i="16"/>
  <c r="AT334" i="16"/>
  <c r="BW334" i="16"/>
  <c r="BV334" i="16"/>
  <c r="W250" i="16"/>
  <c r="AC335" i="16"/>
  <c r="AO333" i="16"/>
  <c r="L249" i="16"/>
  <c r="V249" i="16"/>
  <c r="U249" i="16"/>
  <c r="Y249" i="16"/>
  <c r="Z249" i="16"/>
  <c r="K250" i="16"/>
  <c r="X250" i="16"/>
  <c r="M480" i="10" l="1"/>
  <c r="E480" i="10"/>
  <c r="Q480" i="10"/>
  <c r="G480" i="10"/>
  <c r="B480" i="10"/>
  <c r="O480" i="10"/>
  <c r="K480" i="10"/>
  <c r="I480" i="10"/>
  <c r="AR664" i="5"/>
  <c r="AX658" i="5" s="1"/>
  <c r="AP665" i="5"/>
  <c r="AU658" i="5"/>
  <c r="AT742" i="5"/>
  <c r="AY742" i="5" s="1"/>
  <c r="BC335" i="16"/>
  <c r="AS335" i="16"/>
  <c r="AR335" i="16"/>
  <c r="AW742" i="5"/>
  <c r="AC477" i="10"/>
  <c r="AE477" i="10" s="1"/>
  <c r="S479" i="10"/>
  <c r="AA478" i="10"/>
  <c r="Y478" i="10"/>
  <c r="BN335" i="16"/>
  <c r="BT335" i="16"/>
  <c r="BU330" i="16" s="1"/>
  <c r="BR335" i="16"/>
  <c r="BS330" i="16" s="1"/>
  <c r="BL335" i="16"/>
  <c r="BM330" i="16" s="1"/>
  <c r="BO335" i="16"/>
  <c r="BJ335" i="16"/>
  <c r="BK330" i="16" s="1"/>
  <c r="BI329" i="16"/>
  <c r="BS329" i="16"/>
  <c r="G250" i="16"/>
  <c r="H250" i="16" s="1"/>
  <c r="I250" i="16" s="1"/>
  <c r="AH335" i="16"/>
  <c r="AE335" i="16"/>
  <c r="T246" i="16"/>
  <c r="AY334" i="16"/>
  <c r="BG334" i="16" s="1"/>
  <c r="P249" i="16"/>
  <c r="O249" i="16"/>
  <c r="M249" i="16"/>
  <c r="R251" i="16"/>
  <c r="BB335" i="16"/>
  <c r="AU335" i="16"/>
  <c r="BV335" i="16"/>
  <c r="BH335" i="16"/>
  <c r="BW335" i="16"/>
  <c r="CA335" i="16"/>
  <c r="BA335" i="16"/>
  <c r="BP335" i="16"/>
  <c r="AZ335" i="16"/>
  <c r="AT335" i="16"/>
  <c r="AQ335" i="16"/>
  <c r="W251" i="16"/>
  <c r="AC336" i="16"/>
  <c r="AO334" i="16"/>
  <c r="L250" i="16"/>
  <c r="Z250" i="16"/>
  <c r="Y250" i="16"/>
  <c r="V250" i="16"/>
  <c r="U250" i="16"/>
  <c r="K251" i="16"/>
  <c r="X251" i="16"/>
  <c r="O481" i="10" l="1"/>
  <c r="G481" i="10"/>
  <c r="M481" i="10"/>
  <c r="K481" i="10"/>
  <c r="Q481" i="10"/>
  <c r="B481" i="10"/>
  <c r="I481" i="10"/>
  <c r="E481" i="10"/>
  <c r="AP666" i="5"/>
  <c r="AR665" i="5"/>
  <c r="AV658" i="5" s="1"/>
  <c r="AU742" i="5"/>
  <c r="BC336" i="16"/>
  <c r="AR336" i="16"/>
  <c r="AS336" i="16"/>
  <c r="AR748" i="5"/>
  <c r="W477" i="10"/>
  <c r="U477" i="10" s="1"/>
  <c r="AC478" i="10"/>
  <c r="AE478" i="10" s="1"/>
  <c r="S480" i="10"/>
  <c r="AA479" i="10"/>
  <c r="Y479" i="10"/>
  <c r="BI330" i="16"/>
  <c r="BN336" i="16"/>
  <c r="BR336" i="16"/>
  <c r="BS331" i="16" s="1"/>
  <c r="BT336" i="16"/>
  <c r="BU331" i="16" s="1"/>
  <c r="BL336" i="16"/>
  <c r="BM331" i="16" s="1"/>
  <c r="BJ336" i="16"/>
  <c r="BK331" i="16" s="1"/>
  <c r="BO336" i="16"/>
  <c r="BQ330" i="16"/>
  <c r="BS328" i="16"/>
  <c r="BU329" i="16"/>
  <c r="BQ329" i="16" s="1"/>
  <c r="E250" i="16"/>
  <c r="G251" i="16"/>
  <c r="H251" i="16" s="1"/>
  <c r="I251" i="16" s="1"/>
  <c r="E251" i="16" s="1"/>
  <c r="AE336" i="16"/>
  <c r="AH336" i="16"/>
  <c r="AY335" i="16"/>
  <c r="BG335" i="16" s="1"/>
  <c r="P250" i="16"/>
  <c r="O250" i="16"/>
  <c r="M250" i="16"/>
  <c r="R252" i="16"/>
  <c r="AU336" i="16"/>
  <c r="S247" i="16"/>
  <c r="BA336" i="16"/>
  <c r="AZ336" i="16"/>
  <c r="CA336" i="16"/>
  <c r="BW336" i="16"/>
  <c r="BP336" i="16"/>
  <c r="AQ336" i="16"/>
  <c r="BB336" i="16"/>
  <c r="BH336" i="16"/>
  <c r="BV336" i="16"/>
  <c r="AT336" i="16"/>
  <c r="W252" i="16"/>
  <c r="AC337" i="16"/>
  <c r="AO335" i="16"/>
  <c r="L251" i="16"/>
  <c r="Z251" i="16"/>
  <c r="Y251" i="16"/>
  <c r="V251" i="16"/>
  <c r="U251" i="16"/>
  <c r="K252" i="16"/>
  <c r="X252" i="16"/>
  <c r="Q482" i="10" l="1"/>
  <c r="I482" i="10"/>
  <c r="K482" i="10"/>
  <c r="G482" i="10"/>
  <c r="E482" i="10"/>
  <c r="B482" i="10"/>
  <c r="O482" i="10"/>
  <c r="M482" i="10"/>
  <c r="AP667" i="5"/>
  <c r="AP668" i="5" s="1"/>
  <c r="AP669" i="5" s="1"/>
  <c r="AP670" i="5" s="1"/>
  <c r="AR666" i="5"/>
  <c r="AQ666" i="5" s="1"/>
  <c r="AW658" i="5" s="1"/>
  <c r="BC337" i="16"/>
  <c r="AR337" i="16"/>
  <c r="AS337" i="16"/>
  <c r="AR749" i="5"/>
  <c r="AX742" i="5"/>
  <c r="W478" i="10"/>
  <c r="U478" i="10" s="1"/>
  <c r="AC479" i="10"/>
  <c r="AE479" i="10" s="1"/>
  <c r="W479" i="10" s="1"/>
  <c r="U479" i="10" s="1"/>
  <c r="S481" i="10"/>
  <c r="Y480" i="10"/>
  <c r="AA480" i="10"/>
  <c r="BI331" i="16"/>
  <c r="BR337" i="16"/>
  <c r="BS332" i="16" s="1"/>
  <c r="BT337" i="16"/>
  <c r="BU332" i="16" s="1"/>
  <c r="BJ337" i="16"/>
  <c r="BK332" i="16" s="1"/>
  <c r="BO337" i="16"/>
  <c r="BL337" i="16"/>
  <c r="BM332" i="16" s="1"/>
  <c r="BQ331" i="16"/>
  <c r="BU328" i="16"/>
  <c r="BQ328" i="16" s="1"/>
  <c r="AT337" i="16"/>
  <c r="BN337" i="16"/>
  <c r="G252" i="16"/>
  <c r="H252" i="16" s="1"/>
  <c r="I252" i="16" s="1"/>
  <c r="E252" i="16" s="1"/>
  <c r="AH337" i="16"/>
  <c r="AE337" i="16"/>
  <c r="T247" i="16"/>
  <c r="O251" i="16"/>
  <c r="M251" i="16"/>
  <c r="P251" i="16"/>
  <c r="R253" i="16"/>
  <c r="AO336" i="16"/>
  <c r="S248" i="16"/>
  <c r="BB337" i="16"/>
  <c r="BW337" i="16"/>
  <c r="BV337" i="16"/>
  <c r="AZ337" i="16"/>
  <c r="BP337" i="16"/>
  <c r="BA337" i="16"/>
  <c r="CA337" i="16"/>
  <c r="AU337" i="16"/>
  <c r="BH337" i="16"/>
  <c r="AQ337" i="16"/>
  <c r="W253" i="16"/>
  <c r="AC338" i="16"/>
  <c r="AY336" i="16"/>
  <c r="BG336" i="16" s="1"/>
  <c r="L252" i="16"/>
  <c r="Y252" i="16"/>
  <c r="Z252" i="16"/>
  <c r="V252" i="16"/>
  <c r="U252" i="16"/>
  <c r="X253" i="16"/>
  <c r="K253" i="16"/>
  <c r="K483" i="10" l="1"/>
  <c r="Q483" i="10"/>
  <c r="G483" i="10"/>
  <c r="O483" i="10"/>
  <c r="E483" i="10"/>
  <c r="B483" i="10"/>
  <c r="M483" i="10"/>
  <c r="I483" i="10"/>
  <c r="AR670" i="5"/>
  <c r="AQ670" i="5" s="1"/>
  <c r="AP671" i="5"/>
  <c r="BC338" i="16"/>
  <c r="AR338" i="16"/>
  <c r="AS338" i="16"/>
  <c r="AV742" i="5"/>
  <c r="AQ749" i="5"/>
  <c r="S482" i="10"/>
  <c r="AA481" i="10"/>
  <c r="Y481" i="10"/>
  <c r="AC480" i="10"/>
  <c r="AE480" i="10" s="1"/>
  <c r="W480" i="10" s="1"/>
  <c r="U480" i="10" s="1"/>
  <c r="BQ332" i="16"/>
  <c r="BT338" i="16"/>
  <c r="BU333" i="16" s="1"/>
  <c r="BR338" i="16"/>
  <c r="BS333" i="16" s="1"/>
  <c r="BJ338" i="16"/>
  <c r="BK333" i="16" s="1"/>
  <c r="BL338" i="16"/>
  <c r="BM333" i="16" s="1"/>
  <c r="BO338" i="16"/>
  <c r="BI332" i="16"/>
  <c r="BV338" i="16"/>
  <c r="BN338" i="16"/>
  <c r="G253" i="16"/>
  <c r="H253" i="16" s="1"/>
  <c r="I253" i="16" s="1"/>
  <c r="E253" i="16" s="1"/>
  <c r="AE338" i="16"/>
  <c r="AH338" i="16"/>
  <c r="T248" i="16"/>
  <c r="CA338" i="16"/>
  <c r="P252" i="16"/>
  <c r="O252" i="16"/>
  <c r="M252" i="16"/>
  <c r="R254" i="16"/>
  <c r="BW338" i="16"/>
  <c r="AU338" i="16"/>
  <c r="BP338" i="16"/>
  <c r="AQ338" i="16"/>
  <c r="AZ338" i="16"/>
  <c r="BH338" i="16"/>
  <c r="AT338" i="16"/>
  <c r="BB338" i="16"/>
  <c r="S249" i="16"/>
  <c r="AO337" i="16"/>
  <c r="BA338" i="16"/>
  <c r="W254" i="16"/>
  <c r="AC339" i="16"/>
  <c r="AY337" i="16"/>
  <c r="BG337" i="16" s="1"/>
  <c r="L253" i="16"/>
  <c r="K254" i="16"/>
  <c r="Z253" i="16"/>
  <c r="Y253" i="16"/>
  <c r="U253" i="16"/>
  <c r="V253" i="16"/>
  <c r="M484" i="10" l="1"/>
  <c r="E484" i="10"/>
  <c r="O484" i="10"/>
  <c r="B484" i="10"/>
  <c r="K484" i="10"/>
  <c r="Q484" i="10"/>
  <c r="I484" i="10"/>
  <c r="G484" i="10"/>
  <c r="AR671" i="5"/>
  <c r="AQ671" i="5" s="1"/>
  <c r="AP672" i="5"/>
  <c r="AT667" i="5"/>
  <c r="AT741" i="5"/>
  <c r="BC339" i="16"/>
  <c r="AS339" i="16"/>
  <c r="AR339" i="16"/>
  <c r="AC481" i="10"/>
  <c r="AE481" i="10" s="1"/>
  <c r="W481" i="10" s="1"/>
  <c r="U481" i="10" s="1"/>
  <c r="Y482" i="10"/>
  <c r="AA482" i="10"/>
  <c r="S483" i="10"/>
  <c r="BN339" i="16"/>
  <c r="BT339" i="16"/>
  <c r="BU334" i="16" s="1"/>
  <c r="BR339" i="16"/>
  <c r="BS334" i="16" s="1"/>
  <c r="BO339" i="16"/>
  <c r="BL339" i="16"/>
  <c r="BM334" i="16" s="1"/>
  <c r="BJ339" i="16"/>
  <c r="BK334" i="16" s="1"/>
  <c r="BQ333" i="16"/>
  <c r="BI333" i="16"/>
  <c r="G254" i="16"/>
  <c r="H254" i="16" s="1"/>
  <c r="I254" i="16" s="1"/>
  <c r="E254" i="16" s="1"/>
  <c r="T249" i="16"/>
  <c r="AH339" i="16"/>
  <c r="AE339" i="16"/>
  <c r="M253" i="16"/>
  <c r="P253" i="16"/>
  <c r="O253" i="16"/>
  <c r="R255" i="16"/>
  <c r="BV339" i="16"/>
  <c r="S250" i="16"/>
  <c r="BA339" i="16"/>
  <c r="AO338" i="16"/>
  <c r="AT339" i="16"/>
  <c r="BB339" i="16"/>
  <c r="CA339" i="16"/>
  <c r="BP339" i="16"/>
  <c r="AZ339" i="16"/>
  <c r="BH339" i="16"/>
  <c r="BW339" i="16"/>
  <c r="AU339" i="16"/>
  <c r="AQ339" i="16"/>
  <c r="W255" i="16"/>
  <c r="AC340" i="16"/>
  <c r="AY338" i="16"/>
  <c r="BG338" i="16" s="1"/>
  <c r="L254" i="16"/>
  <c r="Z254" i="16"/>
  <c r="Y254" i="16"/>
  <c r="K255" i="16"/>
  <c r="U254" i="16"/>
  <c r="V254" i="16"/>
  <c r="O485" i="10" l="1"/>
  <c r="G485" i="10"/>
  <c r="K485" i="10"/>
  <c r="I485" i="10"/>
  <c r="M485" i="10"/>
  <c r="B485" i="10"/>
  <c r="E485" i="10"/>
  <c r="Q485" i="10"/>
  <c r="AY667" i="5"/>
  <c r="AR672" i="5"/>
  <c r="AU667" i="5" s="1"/>
  <c r="AP673" i="5"/>
  <c r="AY741" i="5"/>
  <c r="AU741" i="5"/>
  <c r="AX741" i="5"/>
  <c r="AV741" i="5"/>
  <c r="AW741" i="5"/>
  <c r="BC340" i="16"/>
  <c r="AS340" i="16"/>
  <c r="AR340" i="16"/>
  <c r="AC482" i="10"/>
  <c r="AE482" i="10" s="1"/>
  <c r="Y483" i="10"/>
  <c r="AA483" i="10"/>
  <c r="S484" i="10"/>
  <c r="BQ334" i="16"/>
  <c r="BN340" i="16"/>
  <c r="BR340" i="16"/>
  <c r="BS335" i="16" s="1"/>
  <c r="BT340" i="16"/>
  <c r="BU335" i="16" s="1"/>
  <c r="BO340" i="16"/>
  <c r="BJ340" i="16"/>
  <c r="BK335" i="16" s="1"/>
  <c r="BL340" i="16"/>
  <c r="BM335" i="16" s="1"/>
  <c r="BI334" i="16"/>
  <c r="G255" i="16"/>
  <c r="H255" i="16" s="1"/>
  <c r="I255" i="16" s="1"/>
  <c r="E255" i="16" s="1"/>
  <c r="T250" i="16"/>
  <c r="AE340" i="16"/>
  <c r="AH340" i="16"/>
  <c r="AO339" i="16"/>
  <c r="P254" i="16"/>
  <c r="O254" i="16"/>
  <c r="M254" i="16"/>
  <c r="S251" i="16"/>
  <c r="R256" i="16"/>
  <c r="BA340" i="16"/>
  <c r="AZ340" i="16"/>
  <c r="CA340" i="16"/>
  <c r="BB340" i="16"/>
  <c r="BW340" i="16"/>
  <c r="BH340" i="16"/>
  <c r="BV340" i="16"/>
  <c r="AT340" i="16"/>
  <c r="BP340" i="16"/>
  <c r="AQ340" i="16"/>
  <c r="AU340" i="16"/>
  <c r="W256" i="16"/>
  <c r="AC341" i="16"/>
  <c r="AY339" i="16"/>
  <c r="BG339" i="16" s="1"/>
  <c r="L255" i="16"/>
  <c r="K256" i="16"/>
  <c r="Z255" i="16"/>
  <c r="Y255" i="16"/>
  <c r="V255" i="16"/>
  <c r="U255" i="16"/>
  <c r="Q486" i="10" l="1"/>
  <c r="I486" i="10"/>
  <c r="G486" i="10"/>
  <c r="O486" i="10"/>
  <c r="E486" i="10"/>
  <c r="M486" i="10"/>
  <c r="K486" i="10"/>
  <c r="B486" i="10"/>
  <c r="AR673" i="5"/>
  <c r="AQ673" i="5" s="1"/>
  <c r="AP674" i="5"/>
  <c r="BC341" i="16"/>
  <c r="AR341" i="16"/>
  <c r="AS341" i="16"/>
  <c r="AR756" i="5"/>
  <c r="AC483" i="10"/>
  <c r="AE483" i="10" s="1"/>
  <c r="W483" i="10" s="1"/>
  <c r="U483" i="10" s="1"/>
  <c r="W482" i="10"/>
  <c r="U482" i="10" s="1"/>
  <c r="AA484" i="10"/>
  <c r="Y484" i="10"/>
  <c r="S485" i="10"/>
  <c r="BR341" i="16"/>
  <c r="BS336" i="16" s="1"/>
  <c r="BT341" i="16"/>
  <c r="BU336" i="16" s="1"/>
  <c r="BJ341" i="16"/>
  <c r="BK336" i="16" s="1"/>
  <c r="BL341" i="16"/>
  <c r="BM336" i="16" s="1"/>
  <c r="BO341" i="16"/>
  <c r="BI335" i="16"/>
  <c r="BQ335" i="16"/>
  <c r="BW341" i="16"/>
  <c r="BN341" i="16"/>
  <c r="G256" i="16"/>
  <c r="H256" i="16" s="1"/>
  <c r="I256" i="16" s="1"/>
  <c r="E256" i="16" s="1"/>
  <c r="T251" i="16"/>
  <c r="AH341" i="16"/>
  <c r="AE341" i="16"/>
  <c r="AO340" i="16"/>
  <c r="O255" i="16"/>
  <c r="M255" i="16"/>
  <c r="P255" i="16"/>
  <c r="R257" i="16"/>
  <c r="S252" i="16"/>
  <c r="S253" i="16"/>
  <c r="T253" i="16" s="1"/>
  <c r="AZ341" i="16"/>
  <c r="BP341" i="16"/>
  <c r="CA341" i="16"/>
  <c r="AQ341" i="16"/>
  <c r="AT341" i="16"/>
  <c r="AU341" i="16"/>
  <c r="BB341" i="16"/>
  <c r="BV341" i="16"/>
  <c r="BH341" i="16"/>
  <c r="BA341" i="16"/>
  <c r="W257" i="16"/>
  <c r="AC342" i="16"/>
  <c r="AY340" i="16"/>
  <c r="BG340" i="16" s="1"/>
  <c r="L256" i="16"/>
  <c r="V256" i="16"/>
  <c r="U256" i="16"/>
  <c r="Y256" i="16"/>
  <c r="Z256" i="16"/>
  <c r="K257" i="16"/>
  <c r="K487" i="10" l="1"/>
  <c r="O487" i="10"/>
  <c r="E487" i="10"/>
  <c r="M487" i="10"/>
  <c r="B487" i="10"/>
  <c r="Q487" i="10"/>
  <c r="I487" i="10"/>
  <c r="G487" i="10"/>
  <c r="AR674" i="5"/>
  <c r="AX669" i="5" s="1"/>
  <c r="AP675" i="5"/>
  <c r="AX667" i="5"/>
  <c r="AV667" i="5"/>
  <c r="BC342" i="16"/>
  <c r="AS342" i="16"/>
  <c r="AR342" i="16"/>
  <c r="AR757" i="5"/>
  <c r="AC484" i="10"/>
  <c r="AE484" i="10" s="1"/>
  <c r="W484" i="10" s="1"/>
  <c r="U484" i="10" s="1"/>
  <c r="S486" i="10"/>
  <c r="AA485" i="10"/>
  <c r="Y485" i="10"/>
  <c r="BT342" i="16"/>
  <c r="BU337" i="16" s="1"/>
  <c r="BR342" i="16"/>
  <c r="BS337" i="16" s="1"/>
  <c r="BJ342" i="16"/>
  <c r="BK337" i="16" s="1"/>
  <c r="BO342" i="16"/>
  <c r="BL342" i="16"/>
  <c r="BM337" i="16" s="1"/>
  <c r="BQ336" i="16"/>
  <c r="BI336" i="16"/>
  <c r="BN342" i="16"/>
  <c r="G257" i="16"/>
  <c r="H257" i="16" s="1"/>
  <c r="I257" i="16" s="1"/>
  <c r="E257" i="16" s="1"/>
  <c r="T252" i="16"/>
  <c r="AE342" i="16"/>
  <c r="AH342" i="16"/>
  <c r="AO341" i="16"/>
  <c r="P256" i="16"/>
  <c r="O256" i="16"/>
  <c r="M256" i="16"/>
  <c r="AT342" i="16"/>
  <c r="BV342" i="16"/>
  <c r="R258" i="16"/>
  <c r="S254" i="16"/>
  <c r="T254" i="16" s="1"/>
  <c r="BB342" i="16"/>
  <c r="AQ342" i="16"/>
  <c r="BW342" i="16"/>
  <c r="CA342" i="16"/>
  <c r="BA342" i="16"/>
  <c r="AU342" i="16"/>
  <c r="BP342" i="16"/>
  <c r="BH342" i="16"/>
  <c r="AZ342" i="16"/>
  <c r="W258" i="16"/>
  <c r="AC343" i="16"/>
  <c r="AY341" i="16"/>
  <c r="BG341" i="16" s="1"/>
  <c r="L257" i="16"/>
  <c r="K258" i="16"/>
  <c r="Z257" i="16"/>
  <c r="Y257" i="16"/>
  <c r="V257" i="16"/>
  <c r="U257" i="16"/>
  <c r="M488" i="10" l="1"/>
  <c r="E488" i="10"/>
  <c r="K488" i="10"/>
  <c r="B488" i="10"/>
  <c r="I488" i="10"/>
  <c r="Q488" i="10"/>
  <c r="G488" i="10"/>
  <c r="O488" i="10"/>
  <c r="AR675" i="5"/>
  <c r="AQ675" i="5" s="1"/>
  <c r="AW667" i="5" s="1"/>
  <c r="AP676" i="5"/>
  <c r="AP677" i="5" s="1"/>
  <c r="AP678" i="5" s="1"/>
  <c r="AP679" i="5" s="1"/>
  <c r="BC343" i="16"/>
  <c r="AS343" i="16"/>
  <c r="AR343" i="16"/>
  <c r="AR758" i="5"/>
  <c r="AQ758" i="5" s="1"/>
  <c r="AC485" i="10"/>
  <c r="AE485" i="10" s="1"/>
  <c r="S487" i="10"/>
  <c r="Y486" i="10"/>
  <c r="AA486" i="10"/>
  <c r="BQ337" i="16"/>
  <c r="BN343" i="16"/>
  <c r="BT343" i="16"/>
  <c r="BU338" i="16" s="1"/>
  <c r="BR343" i="16"/>
  <c r="BS338" i="16" s="1"/>
  <c r="BO343" i="16"/>
  <c r="BJ343" i="16"/>
  <c r="BK338" i="16" s="1"/>
  <c r="BL343" i="16"/>
  <c r="BM338" i="16" s="1"/>
  <c r="BI337" i="16"/>
  <c r="G258" i="16"/>
  <c r="H258" i="16" s="1"/>
  <c r="I258" i="16" s="1"/>
  <c r="E258" i="16" s="1"/>
  <c r="AE343" i="16"/>
  <c r="AH343" i="16"/>
  <c r="AO342" i="16"/>
  <c r="M257" i="16"/>
  <c r="P257" i="16"/>
  <c r="O257" i="16"/>
  <c r="BV343" i="16"/>
  <c r="R259" i="16"/>
  <c r="S255" i="16"/>
  <c r="T255" i="16" s="1"/>
  <c r="BW343" i="16"/>
  <c r="BP343" i="16"/>
  <c r="CA343" i="16"/>
  <c r="BB343" i="16"/>
  <c r="AU343" i="16"/>
  <c r="AQ343" i="16"/>
  <c r="BA343" i="16"/>
  <c r="BH343" i="16"/>
  <c r="AZ343" i="16"/>
  <c r="AT343" i="16"/>
  <c r="W259" i="16"/>
  <c r="AC344" i="16"/>
  <c r="AY342" i="16"/>
  <c r="BG342" i="16" s="1"/>
  <c r="L258" i="16"/>
  <c r="K259" i="16"/>
  <c r="V258" i="16"/>
  <c r="U258" i="16"/>
  <c r="Y258" i="16"/>
  <c r="Z258" i="16"/>
  <c r="O489" i="10" l="1"/>
  <c r="G489" i="10"/>
  <c r="I489" i="10"/>
  <c r="Q489" i="10"/>
  <c r="E489" i="10"/>
  <c r="M489" i="10"/>
  <c r="K489" i="10"/>
  <c r="B489" i="10"/>
  <c r="AR679" i="5"/>
  <c r="AQ679" i="5" s="1"/>
  <c r="AP680" i="5"/>
  <c r="AT750" i="5"/>
  <c r="AX750" i="5" s="1"/>
  <c r="AY750" i="5"/>
  <c r="AU750" i="5"/>
  <c r="AV750" i="5"/>
  <c r="BC344" i="16"/>
  <c r="AR344" i="16"/>
  <c r="AS344" i="16"/>
  <c r="AT754" i="5"/>
  <c r="AW750" i="5"/>
  <c r="AC486" i="10"/>
  <c r="W485" i="10"/>
  <c r="U485" i="10" s="1"/>
  <c r="S488" i="10"/>
  <c r="AA487" i="10"/>
  <c r="Y487" i="10"/>
  <c r="BI338" i="16"/>
  <c r="BQ338" i="16"/>
  <c r="BN344" i="16"/>
  <c r="BR344" i="16"/>
  <c r="BS339" i="16" s="1"/>
  <c r="BT344" i="16"/>
  <c r="BU339" i="16" s="1"/>
  <c r="BL344" i="16"/>
  <c r="BM339" i="16" s="1"/>
  <c r="BJ344" i="16"/>
  <c r="BK339" i="16" s="1"/>
  <c r="BO344" i="16"/>
  <c r="G259" i="16"/>
  <c r="H259" i="16" s="1"/>
  <c r="I259" i="16" s="1"/>
  <c r="E259" i="16" s="1"/>
  <c r="DE329" i="10"/>
  <c r="DE328" i="10" s="1"/>
  <c r="DG341" i="10"/>
  <c r="DE341" i="10"/>
  <c r="AE344" i="16"/>
  <c r="AH344" i="16"/>
  <c r="CA344" i="16"/>
  <c r="DJ341" i="10"/>
  <c r="DM341" i="10"/>
  <c r="DN329" i="10"/>
  <c r="DN328" i="10" s="1"/>
  <c r="DT341" i="10"/>
  <c r="DW341" i="10"/>
  <c r="EB341" i="10"/>
  <c r="EF341" i="10"/>
  <c r="EK341" i="10"/>
  <c r="EL329" i="10"/>
  <c r="EL328" i="10" s="1"/>
  <c r="ER341" i="10"/>
  <c r="EU329" i="10"/>
  <c r="EU328" i="10" s="1"/>
  <c r="DH341" i="10"/>
  <c r="DK329" i="10"/>
  <c r="DK328" i="10" s="1"/>
  <c r="DS341" i="10"/>
  <c r="DV341" i="10"/>
  <c r="DW329" i="10"/>
  <c r="DW328" i="10" s="1"/>
  <c r="EE341" i="10"/>
  <c r="EF329" i="10"/>
  <c r="EF328" i="10" s="1"/>
  <c r="EI329" i="10"/>
  <c r="EI328" i="10" s="1"/>
  <c r="EQ341" i="10"/>
  <c r="ER329" i="10"/>
  <c r="ER328" i="10" s="1"/>
  <c r="EU341" i="10"/>
  <c r="DH329" i="10"/>
  <c r="DH328" i="10" s="1"/>
  <c r="DN341" i="10"/>
  <c r="DQ329" i="10"/>
  <c r="DQ328" i="10" s="1"/>
  <c r="DT329" i="10"/>
  <c r="DT328" i="10" s="1"/>
  <c r="DZ341" i="10"/>
  <c r="EC329" i="10"/>
  <c r="EC328" i="10" s="1"/>
  <c r="EH341" i="10"/>
  <c r="EL341" i="10"/>
  <c r="EO329" i="10"/>
  <c r="EO328" i="10" s="1"/>
  <c r="ET341" i="10"/>
  <c r="DK341" i="10"/>
  <c r="DP341" i="10"/>
  <c r="DQ341" i="10"/>
  <c r="DY341" i="10"/>
  <c r="DZ329" i="10"/>
  <c r="DZ328" i="10" s="1"/>
  <c r="EC341" i="10"/>
  <c r="EI341" i="10"/>
  <c r="EN341" i="10"/>
  <c r="EO341" i="10"/>
  <c r="EW341" i="10"/>
  <c r="P258" i="16"/>
  <c r="O258" i="16"/>
  <c r="M258" i="16"/>
  <c r="AO343" i="16"/>
  <c r="R260" i="16"/>
  <c r="S256" i="16"/>
  <c r="T256" i="16" s="1"/>
  <c r="BP344" i="16"/>
  <c r="BH344" i="16"/>
  <c r="BV344" i="16"/>
  <c r="AZ344" i="16"/>
  <c r="BA344" i="16"/>
  <c r="AU344" i="16"/>
  <c r="AQ344" i="16"/>
  <c r="BW344" i="16"/>
  <c r="AT344" i="16"/>
  <c r="BB344" i="16"/>
  <c r="W260" i="16"/>
  <c r="AC345" i="16"/>
  <c r="AY343" i="16"/>
  <c r="BG343" i="16" s="1"/>
  <c r="L259" i="16"/>
  <c r="U259" i="16"/>
  <c r="V259" i="16"/>
  <c r="K260" i="16"/>
  <c r="Z259" i="16"/>
  <c r="Y259" i="16"/>
  <c r="Q490" i="10" l="1"/>
  <c r="I490" i="10"/>
  <c r="O490" i="10"/>
  <c r="E490" i="10"/>
  <c r="M490" i="10"/>
  <c r="G490" i="10"/>
  <c r="B490" i="10"/>
  <c r="K490" i="10"/>
  <c r="AR680" i="5"/>
  <c r="AQ680" i="5" s="1"/>
  <c r="AP681" i="5"/>
  <c r="AT676" i="5"/>
  <c r="BC345" i="16"/>
  <c r="AS345" i="16"/>
  <c r="AR345" i="16"/>
  <c r="AU754" i="5"/>
  <c r="AX754" i="5"/>
  <c r="AV754" i="5"/>
  <c r="AY754" i="5"/>
  <c r="AW754" i="5"/>
  <c r="AC487" i="10"/>
  <c r="AE487" i="10" s="1"/>
  <c r="W487" i="10" s="1"/>
  <c r="U487" i="10" s="1"/>
  <c r="AE486" i="10"/>
  <c r="W486" i="10" s="1"/>
  <c r="U486" i="10" s="1"/>
  <c r="S489" i="10"/>
  <c r="Y488" i="10"/>
  <c r="AA488" i="10"/>
  <c r="BI339" i="16"/>
  <c r="BQ339" i="16"/>
  <c r="BN345" i="16"/>
  <c r="BR345" i="16"/>
  <c r="BS340" i="16" s="1"/>
  <c r="BT345" i="16"/>
  <c r="BU340" i="16" s="1"/>
  <c r="BL345" i="16"/>
  <c r="BM340" i="16" s="1"/>
  <c r="BJ345" i="16"/>
  <c r="BK340" i="16" s="1"/>
  <c r="BO345" i="16"/>
  <c r="G260" i="16"/>
  <c r="H260" i="16" s="1"/>
  <c r="I260" i="16" s="1"/>
  <c r="E260" i="16" s="1"/>
  <c r="EX329" i="10"/>
  <c r="AE345" i="16"/>
  <c r="AH345" i="16"/>
  <c r="O259" i="16"/>
  <c r="M259" i="16"/>
  <c r="P259" i="16"/>
  <c r="AO344" i="16"/>
  <c r="BV345" i="16"/>
  <c r="R261" i="16"/>
  <c r="S257" i="16"/>
  <c r="T257" i="16" s="1"/>
  <c r="BP345" i="16"/>
  <c r="BA345" i="16"/>
  <c r="BW345" i="16"/>
  <c r="BB345" i="16"/>
  <c r="AZ345" i="16"/>
  <c r="AT345" i="16"/>
  <c r="AU345" i="16"/>
  <c r="CA345" i="16"/>
  <c r="AQ345" i="16"/>
  <c r="BH345" i="16"/>
  <c r="W261" i="16"/>
  <c r="AC346" i="16"/>
  <c r="AY344" i="16"/>
  <c r="EX341" i="10" s="1"/>
  <c r="S258" i="16"/>
  <c r="T258" i="16" s="1"/>
  <c r="L260" i="16"/>
  <c r="K261" i="16"/>
  <c r="U260" i="16"/>
  <c r="V260" i="16"/>
  <c r="Y260" i="16"/>
  <c r="Z260" i="16"/>
  <c r="K491" i="10" l="1"/>
  <c r="M491" i="10"/>
  <c r="I491" i="10"/>
  <c r="B491" i="10"/>
  <c r="G491" i="10"/>
  <c r="E491" i="10"/>
  <c r="Q491" i="10"/>
  <c r="O491" i="10"/>
  <c r="AY676" i="5"/>
  <c r="AP682" i="5"/>
  <c r="AR681" i="5"/>
  <c r="AU676" i="5" s="1"/>
  <c r="BC346" i="16"/>
  <c r="AR346" i="16"/>
  <c r="AS346" i="16"/>
  <c r="BG344" i="16"/>
  <c r="EZ341" i="10" s="1"/>
  <c r="AC488" i="10"/>
  <c r="AE488" i="10" s="1"/>
  <c r="W488" i="10" s="1"/>
  <c r="U488" i="10" s="1"/>
  <c r="AA489" i="10"/>
  <c r="Y489" i="10"/>
  <c r="S490" i="10"/>
  <c r="BQ340" i="16"/>
  <c r="BT346" i="16"/>
  <c r="BU341" i="16" s="1"/>
  <c r="BR346" i="16"/>
  <c r="BS341" i="16" s="1"/>
  <c r="BO346" i="16"/>
  <c r="BL346" i="16"/>
  <c r="BM341" i="16" s="1"/>
  <c r="BJ346" i="16"/>
  <c r="BK341" i="16" s="1"/>
  <c r="BI340" i="16"/>
  <c r="BV346" i="16"/>
  <c r="BN346" i="16"/>
  <c r="EX328" i="10"/>
  <c r="G261" i="16"/>
  <c r="H261" i="16" s="1"/>
  <c r="I261" i="16" s="1"/>
  <c r="E261" i="16" s="1"/>
  <c r="AH346" i="16"/>
  <c r="AE346" i="16"/>
  <c r="O260" i="16"/>
  <c r="M260" i="16"/>
  <c r="P260" i="16"/>
  <c r="CA346" i="16"/>
  <c r="BH346" i="16"/>
  <c r="R262" i="16"/>
  <c r="BB346" i="16"/>
  <c r="AZ346" i="16"/>
  <c r="AT346" i="16"/>
  <c r="BW346" i="16"/>
  <c r="AU346" i="16"/>
  <c r="BP346" i="16"/>
  <c r="AQ346" i="16"/>
  <c r="BA346" i="16"/>
  <c r="AO345" i="16"/>
  <c r="W262" i="16"/>
  <c r="AC347" i="16"/>
  <c r="AY345" i="16"/>
  <c r="BG345" i="16" s="1"/>
  <c r="L261" i="16"/>
  <c r="Z261" i="16"/>
  <c r="Y261" i="16"/>
  <c r="K262" i="16"/>
  <c r="V261" i="16"/>
  <c r="U261" i="16"/>
  <c r="M492" i="10" l="1"/>
  <c r="E492" i="10"/>
  <c r="I492" i="10"/>
  <c r="B492" i="10"/>
  <c r="Q492" i="10"/>
  <c r="G492" i="10"/>
  <c r="O492" i="10"/>
  <c r="K492" i="10"/>
  <c r="AR682" i="5"/>
  <c r="AX676" i="5" s="1"/>
  <c r="AP683" i="5"/>
  <c r="BC347" i="16"/>
  <c r="AS347" i="16"/>
  <c r="AR347" i="16"/>
  <c r="AQ764" i="5"/>
  <c r="AC489" i="10"/>
  <c r="AE489" i="10" s="1"/>
  <c r="W489" i="10" s="1"/>
  <c r="U489" i="10" s="1"/>
  <c r="S491" i="10"/>
  <c r="Y490" i="10"/>
  <c r="AA490" i="10"/>
  <c r="BQ341" i="16"/>
  <c r="BT347" i="16"/>
  <c r="BU342" i="16" s="1"/>
  <c r="BR347" i="16"/>
  <c r="BS342" i="16" s="1"/>
  <c r="BJ347" i="16"/>
  <c r="BK342" i="16" s="1"/>
  <c r="BO347" i="16"/>
  <c r="BL347" i="16"/>
  <c r="BM342" i="16" s="1"/>
  <c r="BI341" i="16"/>
  <c r="BH347" i="16"/>
  <c r="BN347" i="16"/>
  <c r="G262" i="16"/>
  <c r="H262" i="16" s="1"/>
  <c r="I262" i="16" s="1"/>
  <c r="E262" i="16" s="1"/>
  <c r="AE347" i="16"/>
  <c r="AH347" i="16"/>
  <c r="BV347" i="16"/>
  <c r="M261" i="16"/>
  <c r="P261" i="16"/>
  <c r="O261" i="16"/>
  <c r="AQ347" i="16"/>
  <c r="R263" i="16"/>
  <c r="S259" i="16"/>
  <c r="T259" i="16" s="1"/>
  <c r="AO346" i="16"/>
  <c r="CA347" i="16"/>
  <c r="AT347" i="16"/>
  <c r="BB347" i="16"/>
  <c r="BP347" i="16"/>
  <c r="AZ347" i="16"/>
  <c r="BW347" i="16"/>
  <c r="AU347" i="16"/>
  <c r="BA347" i="16"/>
  <c r="W263" i="16"/>
  <c r="AC348" i="16"/>
  <c r="AY346" i="16"/>
  <c r="BG346" i="16" s="1"/>
  <c r="L262" i="16"/>
  <c r="K263" i="16"/>
  <c r="Y262" i="16"/>
  <c r="Z262" i="16"/>
  <c r="U262" i="16"/>
  <c r="V262" i="16"/>
  <c r="O493" i="10" l="1"/>
  <c r="G493" i="10"/>
  <c r="Q493" i="10"/>
  <c r="E493" i="10"/>
  <c r="M493" i="10"/>
  <c r="K493" i="10"/>
  <c r="I493" i="10"/>
  <c r="B493" i="10"/>
  <c r="AR683" i="5"/>
  <c r="AV676" i="5" s="1"/>
  <c r="AP684" i="5"/>
  <c r="BC348" i="16"/>
  <c r="AR348" i="16"/>
  <c r="AS348" i="16"/>
  <c r="AR766" i="5"/>
  <c r="AA491" i="10"/>
  <c r="Y491" i="10"/>
  <c r="S492" i="10"/>
  <c r="AC490" i="10"/>
  <c r="AE490" i="10" s="1"/>
  <c r="W490" i="10" s="1"/>
  <c r="U490" i="10" s="1"/>
  <c r="BQ342" i="16"/>
  <c r="BR348" i="16"/>
  <c r="BS343" i="16" s="1"/>
  <c r="BT348" i="16"/>
  <c r="BU343" i="16" s="1"/>
  <c r="BO348" i="16"/>
  <c r="BJ348" i="16"/>
  <c r="BK343" i="16" s="1"/>
  <c r="BL348" i="16"/>
  <c r="BM343" i="16" s="1"/>
  <c r="BI342" i="16"/>
  <c r="CA348" i="16"/>
  <c r="BN348" i="16"/>
  <c r="G263" i="16"/>
  <c r="H263" i="16" s="1"/>
  <c r="I263" i="16" s="1"/>
  <c r="E263" i="16" s="1"/>
  <c r="AH348" i="16"/>
  <c r="AE348" i="16"/>
  <c r="AQ348" i="16"/>
  <c r="P262" i="16"/>
  <c r="O262" i="16"/>
  <c r="M262" i="16"/>
  <c r="BV348" i="16"/>
  <c r="AO347" i="16"/>
  <c r="R264" i="16"/>
  <c r="S260" i="16"/>
  <c r="AT348" i="16"/>
  <c r="BP348" i="16"/>
  <c r="BH348" i="16"/>
  <c r="BB348" i="16"/>
  <c r="AZ348" i="16"/>
  <c r="AU348" i="16"/>
  <c r="BA348" i="16"/>
  <c r="BW348" i="16"/>
  <c r="AC349" i="16"/>
  <c r="W264" i="16"/>
  <c r="AY347" i="16"/>
  <c r="BG347" i="16" s="1"/>
  <c r="S261" i="16"/>
  <c r="T261" i="16" s="1"/>
  <c r="L263" i="16"/>
  <c r="U263" i="16"/>
  <c r="V263" i="16"/>
  <c r="K264" i="16"/>
  <c r="Y263" i="16"/>
  <c r="Z263" i="16"/>
  <c r="Q494" i="10" l="1"/>
  <c r="I494" i="10"/>
  <c r="M494" i="10"/>
  <c r="K494" i="10"/>
  <c r="O494" i="10"/>
  <c r="G494" i="10"/>
  <c r="E494" i="10"/>
  <c r="B494" i="10"/>
  <c r="AP685" i="5"/>
  <c r="AP686" i="5" s="1"/>
  <c r="AP687" i="5" s="1"/>
  <c r="AP688" i="5" s="1"/>
  <c r="AR684" i="5"/>
  <c r="AQ684" i="5" s="1"/>
  <c r="AW676" i="5" s="1"/>
  <c r="BC349" i="16"/>
  <c r="AR349" i="16"/>
  <c r="AS349" i="16"/>
  <c r="AR767" i="5"/>
  <c r="AQ767" i="5" s="1"/>
  <c r="AC491" i="10"/>
  <c r="AE491" i="10" s="1"/>
  <c r="S493" i="10"/>
  <c r="AA492" i="10"/>
  <c r="Y492" i="10"/>
  <c r="BI343" i="16"/>
  <c r="BN349" i="16"/>
  <c r="BR349" i="16"/>
  <c r="BS344" i="16" s="1"/>
  <c r="BT349" i="16"/>
  <c r="BU344" i="16" s="1"/>
  <c r="BL349" i="16"/>
  <c r="BM344" i="16" s="1"/>
  <c r="BJ349" i="16"/>
  <c r="BK344" i="16" s="1"/>
  <c r="BO349" i="16"/>
  <c r="BQ343" i="16"/>
  <c r="G264" i="16"/>
  <c r="H264" i="16" s="1"/>
  <c r="I264" i="16" s="1"/>
  <c r="E264" i="16" s="1"/>
  <c r="AH349" i="16"/>
  <c r="AE349" i="16"/>
  <c r="T260" i="16"/>
  <c r="O263" i="16"/>
  <c r="M263" i="16"/>
  <c r="P263" i="16"/>
  <c r="BW349" i="16"/>
  <c r="R265" i="16"/>
  <c r="BP349" i="16"/>
  <c r="AO348" i="16"/>
  <c r="AZ349" i="16"/>
  <c r="AQ349" i="16"/>
  <c r="CA349" i="16"/>
  <c r="AT349" i="16"/>
  <c r="AU349" i="16"/>
  <c r="BB349" i="16"/>
  <c r="BV349" i="16"/>
  <c r="BA349" i="16"/>
  <c r="BH349" i="16"/>
  <c r="V265" i="16"/>
  <c r="W265" i="16"/>
  <c r="AC350" i="16"/>
  <c r="AY348" i="16"/>
  <c r="BG348" i="16" s="1"/>
  <c r="L264" i="16"/>
  <c r="V264" i="16"/>
  <c r="U264" i="16"/>
  <c r="K265" i="16"/>
  <c r="Z264" i="16"/>
  <c r="Y264" i="16"/>
  <c r="K495" i="10" l="1"/>
  <c r="I495" i="10"/>
  <c r="Q495" i="10"/>
  <c r="G495" i="10"/>
  <c r="B495" i="10"/>
  <c r="O495" i="10"/>
  <c r="M495" i="10"/>
  <c r="E495" i="10"/>
  <c r="AR688" i="5"/>
  <c r="AP689" i="5"/>
  <c r="BC350" i="16"/>
  <c r="AS350" i="16"/>
  <c r="AR350" i="16"/>
  <c r="AR768" i="5"/>
  <c r="W491" i="10"/>
  <c r="U491" i="10" s="1"/>
  <c r="AC492" i="10"/>
  <c r="AE492" i="10" s="1"/>
  <c r="W492" i="10" s="1"/>
  <c r="U492" i="10" s="1"/>
  <c r="AA493" i="10"/>
  <c r="Y493" i="10"/>
  <c r="S494" i="10"/>
  <c r="BQ344" i="16"/>
  <c r="BI344" i="16"/>
  <c r="BN350" i="16"/>
  <c r="BT350" i="16"/>
  <c r="BU345" i="16" s="1"/>
  <c r="BR350" i="16"/>
  <c r="BL350" i="16"/>
  <c r="BM345" i="16" s="1"/>
  <c r="BO350" i="16"/>
  <c r="BJ350" i="16"/>
  <c r="BK345" i="16" s="1"/>
  <c r="G265" i="16"/>
  <c r="H265" i="16" s="1"/>
  <c r="I265" i="16" s="1"/>
  <c r="E265" i="16" s="1"/>
  <c r="AE350" i="16"/>
  <c r="AH350" i="16"/>
  <c r="BV350" i="16"/>
  <c r="AT350" i="16"/>
  <c r="P264" i="16"/>
  <c r="O264" i="16"/>
  <c r="M264" i="16"/>
  <c r="R266" i="16"/>
  <c r="S262" i="16"/>
  <c r="T262" i="16" s="1"/>
  <c r="AO349" i="16"/>
  <c r="CA350" i="16"/>
  <c r="BP350" i="16"/>
  <c r="BS345" i="16" s="1"/>
  <c r="AU350" i="16"/>
  <c r="AZ350" i="16"/>
  <c r="BH350" i="16"/>
  <c r="BA350" i="16"/>
  <c r="BW350" i="16"/>
  <c r="BB350" i="16"/>
  <c r="AQ350" i="16"/>
  <c r="W266" i="16"/>
  <c r="AC351" i="16"/>
  <c r="AY349" i="16"/>
  <c r="BG349" i="16" s="1"/>
  <c r="K266" i="16"/>
  <c r="L265" i="16"/>
  <c r="Z265" i="16"/>
  <c r="Y265" i="16"/>
  <c r="U265" i="16"/>
  <c r="M496" i="10" l="1"/>
  <c r="E496" i="10"/>
  <c r="Q496" i="10"/>
  <c r="G496" i="10"/>
  <c r="B496" i="10"/>
  <c r="O496" i="10"/>
  <c r="K496" i="10"/>
  <c r="I496" i="10"/>
  <c r="AP690" i="5"/>
  <c r="AR689" i="5"/>
  <c r="AQ689" i="5" s="1"/>
  <c r="AT685" i="5" s="1"/>
  <c r="BC351" i="16"/>
  <c r="AS351" i="16"/>
  <c r="AR351" i="16"/>
  <c r="S495" i="10"/>
  <c r="AC493" i="10"/>
  <c r="Y494" i="10"/>
  <c r="AA494" i="10"/>
  <c r="BN351" i="16"/>
  <c r="BT351" i="16"/>
  <c r="BU346" i="16" s="1"/>
  <c r="BR351" i="16"/>
  <c r="BJ351" i="16"/>
  <c r="BK346" i="16" s="1"/>
  <c r="BL351" i="16"/>
  <c r="BM346" i="16" s="1"/>
  <c r="BO351" i="16"/>
  <c r="BI345" i="16"/>
  <c r="BQ345" i="16"/>
  <c r="G266" i="16"/>
  <c r="H266" i="16" s="1"/>
  <c r="I266" i="16" s="1"/>
  <c r="E266" i="16" s="1"/>
  <c r="AH351" i="16"/>
  <c r="AE351" i="16"/>
  <c r="O265" i="16"/>
  <c r="M265" i="16"/>
  <c r="P265" i="16"/>
  <c r="R267" i="16"/>
  <c r="R269" i="16"/>
  <c r="R268" i="16"/>
  <c r="S263" i="16"/>
  <c r="T263" i="16" s="1"/>
  <c r="AO350" i="16"/>
  <c r="BW351" i="16"/>
  <c r="BB351" i="16"/>
  <c r="BP351" i="16"/>
  <c r="BS346" i="16" s="1"/>
  <c r="AT351" i="16"/>
  <c r="AQ351" i="16"/>
  <c r="CA351" i="16"/>
  <c r="AU351" i="16"/>
  <c r="BA351" i="16"/>
  <c r="BH351" i="16"/>
  <c r="AZ351" i="16"/>
  <c r="BV351" i="16"/>
  <c r="W268" i="16"/>
  <c r="AC352" i="16"/>
  <c r="V267" i="16"/>
  <c r="W267" i="16"/>
  <c r="W269" i="16"/>
  <c r="K268" i="16"/>
  <c r="U268" i="16"/>
  <c r="V268" i="16"/>
  <c r="AY350" i="16"/>
  <c r="BG350" i="16" s="1"/>
  <c r="K269" i="16"/>
  <c r="V269" i="16"/>
  <c r="U269" i="16"/>
  <c r="L266" i="16"/>
  <c r="K267" i="16"/>
  <c r="U266" i="16"/>
  <c r="V266" i="16"/>
  <c r="Z266" i="16"/>
  <c r="Y266" i="16"/>
  <c r="K499" i="10" l="1"/>
  <c r="Q499" i="10"/>
  <c r="G499" i="10"/>
  <c r="O499" i="10"/>
  <c r="E499" i="10"/>
  <c r="B499" i="10"/>
  <c r="I499" i="10"/>
  <c r="M499" i="10"/>
  <c r="O497" i="10"/>
  <c r="G497" i="10"/>
  <c r="M497" i="10"/>
  <c r="K497" i="10"/>
  <c r="I497" i="10"/>
  <c r="E497" i="10"/>
  <c r="B497" i="10"/>
  <c r="Q497" i="10"/>
  <c r="Q498" i="10"/>
  <c r="I498" i="10"/>
  <c r="K498" i="10"/>
  <c r="G498" i="10"/>
  <c r="O498" i="10"/>
  <c r="B498" i="10"/>
  <c r="M498" i="10"/>
  <c r="E498" i="10"/>
  <c r="AY685" i="5"/>
  <c r="AR690" i="5"/>
  <c r="AU685" i="5" s="1"/>
  <c r="AP691" i="5"/>
  <c r="AT759" i="5"/>
  <c r="BC352" i="16"/>
  <c r="AR352" i="16"/>
  <c r="AS352" i="16"/>
  <c r="AQ773" i="5"/>
  <c r="AC494" i="10"/>
  <c r="AE494" i="10" s="1"/>
  <c r="S496" i="10"/>
  <c r="AE493" i="10"/>
  <c r="W493" i="10" s="1"/>
  <c r="U493" i="10" s="1"/>
  <c r="AA495" i="10"/>
  <c r="Y495" i="10"/>
  <c r="BN352" i="16"/>
  <c r="BR352" i="16"/>
  <c r="BT352" i="16"/>
  <c r="BU347" i="16" s="1"/>
  <c r="BO352" i="16"/>
  <c r="BJ352" i="16"/>
  <c r="BK347" i="16" s="1"/>
  <c r="BL352" i="16"/>
  <c r="BM347" i="16" s="1"/>
  <c r="BQ346" i="16"/>
  <c r="BI346" i="16"/>
  <c r="G267" i="16"/>
  <c r="H267" i="16" s="1"/>
  <c r="I267" i="16" s="1"/>
  <c r="E267" i="16" s="1"/>
  <c r="G268" i="16"/>
  <c r="H268" i="16" s="1"/>
  <c r="I268" i="16" s="1"/>
  <c r="E268" i="16" s="1"/>
  <c r="G269" i="16"/>
  <c r="H269" i="16" s="1"/>
  <c r="I269" i="16" s="1"/>
  <c r="E269" i="16" s="1"/>
  <c r="AE352" i="16"/>
  <c r="AH352" i="16"/>
  <c r="AZ352" i="16"/>
  <c r="O266" i="16"/>
  <c r="M266" i="16"/>
  <c r="P266" i="16"/>
  <c r="R270" i="16"/>
  <c r="S264" i="16"/>
  <c r="T264" i="16" s="1"/>
  <c r="AU352" i="16"/>
  <c r="L268" i="16"/>
  <c r="BA352" i="16"/>
  <c r="AO351" i="16"/>
  <c r="AQ352" i="16"/>
  <c r="BP352" i="16"/>
  <c r="BS347" i="16" s="1"/>
  <c r="BV352" i="16"/>
  <c r="CA352" i="16"/>
  <c r="BH352" i="16"/>
  <c r="AT352" i="16"/>
  <c r="BB352" i="16"/>
  <c r="BW352" i="16"/>
  <c r="AC353" i="16"/>
  <c r="W270" i="16"/>
  <c r="Z268" i="16"/>
  <c r="Y268" i="16"/>
  <c r="AY351" i="16"/>
  <c r="BG351" i="16" s="1"/>
  <c r="L269" i="16"/>
  <c r="Y269" i="16"/>
  <c r="Z269" i="16"/>
  <c r="V270" i="16"/>
  <c r="K270" i="16"/>
  <c r="U270" i="16"/>
  <c r="L267" i="16"/>
  <c r="Z267" i="16"/>
  <c r="Y267" i="16"/>
  <c r="U267" i="16"/>
  <c r="Q500" i="10" l="1"/>
  <c r="M500" i="10"/>
  <c r="E500" i="10"/>
  <c r="O500" i="10"/>
  <c r="B500" i="10"/>
  <c r="K500" i="10"/>
  <c r="I500" i="10"/>
  <c r="G500" i="10"/>
  <c r="AR691" i="5"/>
  <c r="AQ691" i="5" s="1"/>
  <c r="AP692" i="5"/>
  <c r="AY759" i="5"/>
  <c r="AU759" i="5"/>
  <c r="AX759" i="5"/>
  <c r="AV759" i="5"/>
  <c r="AW759" i="5"/>
  <c r="BC353" i="16"/>
  <c r="AS353" i="16"/>
  <c r="AR353" i="16"/>
  <c r="AT768" i="5"/>
  <c r="AY768" i="5" s="1"/>
  <c r="AR775" i="5"/>
  <c r="AQ775" i="5" s="1"/>
  <c r="W494" i="10"/>
  <c r="U494" i="10" s="1"/>
  <c r="AA497" i="10"/>
  <c r="AC495" i="10"/>
  <c r="AE495" i="10" s="1"/>
  <c r="W495" i="10" s="1"/>
  <c r="U495" i="10" s="1"/>
  <c r="Y497" i="10"/>
  <c r="S497" i="10"/>
  <c r="S499" i="10"/>
  <c r="AA496" i="10"/>
  <c r="Y496" i="10"/>
  <c r="BI347" i="16"/>
  <c r="BN353" i="16"/>
  <c r="BR353" i="16"/>
  <c r="BT353" i="16"/>
  <c r="BU348" i="16" s="1"/>
  <c r="BO353" i="16"/>
  <c r="BJ353" i="16"/>
  <c r="BK348" i="16" s="1"/>
  <c r="BL353" i="16"/>
  <c r="BM348" i="16" s="1"/>
  <c r="BQ347" i="16"/>
  <c r="G270" i="16"/>
  <c r="H270" i="16" s="1"/>
  <c r="I270" i="16" s="1"/>
  <c r="E270" i="16" s="1"/>
  <c r="AH353" i="16"/>
  <c r="AE353" i="16"/>
  <c r="AO352" i="16"/>
  <c r="P267" i="16"/>
  <c r="O267" i="16"/>
  <c r="M267" i="16"/>
  <c r="P269" i="16"/>
  <c r="O269" i="16"/>
  <c r="M269" i="16"/>
  <c r="O268" i="16"/>
  <c r="M268" i="16"/>
  <c r="P268" i="16"/>
  <c r="BW353" i="16"/>
  <c r="R271" i="16"/>
  <c r="S265" i="16"/>
  <c r="T265" i="16" s="1"/>
  <c r="S498" i="10"/>
  <c r="AU353" i="16"/>
  <c r="BA353" i="16"/>
  <c r="AT353" i="16"/>
  <c r="BH353" i="16"/>
  <c r="AZ353" i="16"/>
  <c r="BV353" i="16"/>
  <c r="CA353" i="16"/>
  <c r="BB353" i="16"/>
  <c r="BP353" i="16"/>
  <c r="BS348" i="16" s="1"/>
  <c r="AQ353" i="16"/>
  <c r="AC354" i="16"/>
  <c r="W271" i="16"/>
  <c r="AA498" i="10"/>
  <c r="Y498" i="10"/>
  <c r="AY352" i="16"/>
  <c r="BG352" i="16" s="1"/>
  <c r="L270" i="16"/>
  <c r="K271" i="16"/>
  <c r="V271" i="16"/>
  <c r="U271" i="16"/>
  <c r="Z270" i="16"/>
  <c r="Y270" i="16"/>
  <c r="K501" i="10" l="1"/>
  <c r="O501" i="10"/>
  <c r="G501" i="10"/>
  <c r="Q501" i="10"/>
  <c r="M501" i="10"/>
  <c r="B501" i="10"/>
  <c r="I501" i="10"/>
  <c r="E501" i="10"/>
  <c r="AR692" i="5"/>
  <c r="AP693" i="5"/>
  <c r="AV685" i="5"/>
  <c r="AX685" i="5"/>
  <c r="BC354" i="16"/>
  <c r="AR354" i="16"/>
  <c r="AS354" i="16"/>
  <c r="AU768" i="5"/>
  <c r="AR776" i="5"/>
  <c r="AX768" i="5" s="1"/>
  <c r="AC497" i="10"/>
  <c r="AE497" i="10" s="1"/>
  <c r="W497" i="10" s="1"/>
  <c r="U497" i="10" s="1"/>
  <c r="AC496" i="10"/>
  <c r="AE496" i="10" s="1"/>
  <c r="W496" i="10" s="1"/>
  <c r="U496" i="10" s="1"/>
  <c r="AA499" i="10"/>
  <c r="Y499" i="10"/>
  <c r="S500" i="10"/>
  <c r="BQ348" i="16"/>
  <c r="BT354" i="16"/>
  <c r="BU349" i="16" s="1"/>
  <c r="BR354" i="16"/>
  <c r="BL354" i="16"/>
  <c r="BM349" i="16" s="1"/>
  <c r="BO354" i="16"/>
  <c r="BJ354" i="16"/>
  <c r="BK349" i="16" s="1"/>
  <c r="BI348" i="16"/>
  <c r="BN354" i="16"/>
  <c r="G271" i="16"/>
  <c r="H271" i="16" s="1"/>
  <c r="I271" i="16" s="1"/>
  <c r="E271" i="16" s="1"/>
  <c r="AE354" i="16"/>
  <c r="AH354" i="16"/>
  <c r="AO353" i="16"/>
  <c r="M270" i="16"/>
  <c r="P270" i="16"/>
  <c r="O270" i="16"/>
  <c r="R272" i="16"/>
  <c r="S266" i="16"/>
  <c r="T266" i="16" s="1"/>
  <c r="AQ354" i="16"/>
  <c r="AZ354" i="16"/>
  <c r="CA354" i="16"/>
  <c r="BV354" i="16"/>
  <c r="AU354" i="16"/>
  <c r="BP354" i="16"/>
  <c r="BS349" i="16" s="1"/>
  <c r="BW354" i="16"/>
  <c r="BH354" i="16"/>
  <c r="AT354" i="16"/>
  <c r="BB354" i="16"/>
  <c r="BA354" i="16"/>
  <c r="AC355" i="16"/>
  <c r="W272" i="16"/>
  <c r="AC498" i="10"/>
  <c r="AE498" i="10" s="1"/>
  <c r="AY353" i="16"/>
  <c r="BG353" i="16" s="1"/>
  <c r="L271" i="16"/>
  <c r="Z271" i="16"/>
  <c r="Y271" i="16"/>
  <c r="V272" i="16"/>
  <c r="U272" i="16"/>
  <c r="K272" i="16"/>
  <c r="M502" i="10" l="1"/>
  <c r="E502" i="10"/>
  <c r="Q502" i="10"/>
  <c r="I502" i="10"/>
  <c r="O502" i="10"/>
  <c r="K502" i="10"/>
  <c r="G502" i="10"/>
  <c r="B502" i="10"/>
  <c r="AP694" i="5"/>
  <c r="AP695" i="5" s="1"/>
  <c r="AP696" i="5" s="1"/>
  <c r="AP697" i="5" s="1"/>
  <c r="AR693" i="5"/>
  <c r="AQ693" i="5" s="1"/>
  <c r="AW685" i="5" s="1"/>
  <c r="BC355" i="16"/>
  <c r="AS355" i="16"/>
  <c r="AR355" i="16"/>
  <c r="AR777" i="5"/>
  <c r="AC499" i="10"/>
  <c r="AE499" i="10" s="1"/>
  <c r="W499" i="10" s="1"/>
  <c r="U499" i="10" s="1"/>
  <c r="AA500" i="10"/>
  <c r="Y500" i="10"/>
  <c r="S501" i="10"/>
  <c r="BI349" i="16"/>
  <c r="BN355" i="16"/>
  <c r="BT355" i="16"/>
  <c r="BU350" i="16" s="1"/>
  <c r="BR355" i="16"/>
  <c r="BL355" i="16"/>
  <c r="BM350" i="16" s="1"/>
  <c r="BO355" i="16"/>
  <c r="BJ355" i="16"/>
  <c r="BK350" i="16" s="1"/>
  <c r="BQ349" i="16"/>
  <c r="G272" i="16"/>
  <c r="H272" i="16" s="1"/>
  <c r="I272" i="16" s="1"/>
  <c r="E272" i="16" s="1"/>
  <c r="AH355" i="16"/>
  <c r="AE355" i="16"/>
  <c r="AO354" i="16"/>
  <c r="P271" i="16"/>
  <c r="O271" i="16"/>
  <c r="M271" i="16"/>
  <c r="BW355" i="16"/>
  <c r="R273" i="16"/>
  <c r="AZ355" i="16"/>
  <c r="CA355" i="16"/>
  <c r="AT355" i="16"/>
  <c r="BA355" i="16"/>
  <c r="AU355" i="16"/>
  <c r="BB355" i="16"/>
  <c r="BP355" i="16"/>
  <c r="BS350" i="16" s="1"/>
  <c r="BV355" i="16"/>
  <c r="AQ355" i="16"/>
  <c r="BH355" i="16"/>
  <c r="W273" i="16"/>
  <c r="AC356" i="16"/>
  <c r="W498" i="10"/>
  <c r="U498" i="10" s="1"/>
  <c r="AY354" i="16"/>
  <c r="BG354" i="16" s="1"/>
  <c r="Z272" i="16"/>
  <c r="Y272" i="16"/>
  <c r="L272" i="16"/>
  <c r="U273" i="16"/>
  <c r="V273" i="16"/>
  <c r="K273" i="16"/>
  <c r="O503" i="10" l="1"/>
  <c r="G503" i="10"/>
  <c r="K503" i="10"/>
  <c r="E503" i="10"/>
  <c r="Q503" i="10"/>
  <c r="B503" i="10"/>
  <c r="M503" i="10"/>
  <c r="I503" i="10"/>
  <c r="AR697" i="5"/>
  <c r="AQ697" i="5" s="1"/>
  <c r="AT694" i="5" s="1"/>
  <c r="AP698" i="5"/>
  <c r="BC356" i="16"/>
  <c r="AS356" i="16"/>
  <c r="AR356" i="16"/>
  <c r="AV768" i="5"/>
  <c r="AC500" i="10"/>
  <c r="AE500" i="10" s="1"/>
  <c r="W500" i="10" s="1"/>
  <c r="U500" i="10" s="1"/>
  <c r="AA501" i="10"/>
  <c r="Y501" i="10"/>
  <c r="S502" i="10"/>
  <c r="BR356" i="16"/>
  <c r="BT356" i="16"/>
  <c r="BU351" i="16" s="1"/>
  <c r="BL356" i="16"/>
  <c r="BM351" i="16" s="1"/>
  <c r="BO356" i="16"/>
  <c r="BJ356" i="16"/>
  <c r="BK351" i="16" s="1"/>
  <c r="BQ350" i="16"/>
  <c r="BI350" i="16"/>
  <c r="BV356" i="16"/>
  <c r="BN356" i="16"/>
  <c r="G273" i="16"/>
  <c r="H273" i="16" s="1"/>
  <c r="I273" i="16" s="1"/>
  <c r="E273" i="16" s="1"/>
  <c r="AE356" i="16"/>
  <c r="AH356" i="16"/>
  <c r="M272" i="16"/>
  <c r="P272" i="16"/>
  <c r="O272" i="16"/>
  <c r="R274" i="16"/>
  <c r="S267" i="16"/>
  <c r="T267" i="16" s="1"/>
  <c r="CA356" i="16"/>
  <c r="BH356" i="16"/>
  <c r="AO355" i="16"/>
  <c r="BA356" i="16"/>
  <c r="AT356" i="16"/>
  <c r="AU356" i="16"/>
  <c r="AQ356" i="16"/>
  <c r="BB356" i="16"/>
  <c r="AZ356" i="16"/>
  <c r="BP356" i="16"/>
  <c r="BS351" i="16" s="1"/>
  <c r="BW356" i="16"/>
  <c r="W274" i="16"/>
  <c r="AC357" i="16"/>
  <c r="AY355" i="16"/>
  <c r="BG355" i="16" s="1"/>
  <c r="L273" i="16"/>
  <c r="Y273" i="16"/>
  <c r="Z273" i="16"/>
  <c r="U274" i="16"/>
  <c r="V274" i="16"/>
  <c r="K274" i="16"/>
  <c r="Q504" i="10" l="1"/>
  <c r="I504" i="10"/>
  <c r="M504" i="10"/>
  <c r="E504" i="10"/>
  <c r="G504" i="10"/>
  <c r="B504" i="10"/>
  <c r="O504" i="10"/>
  <c r="K504" i="10"/>
  <c r="AP699" i="5"/>
  <c r="AR698" i="5"/>
  <c r="AQ698" i="5" s="1"/>
  <c r="BC357" i="16"/>
  <c r="AR357" i="16"/>
  <c r="AS357" i="16"/>
  <c r="AW768" i="5"/>
  <c r="AC501" i="10"/>
  <c r="AE501" i="10" s="1"/>
  <c r="W501" i="10" s="1"/>
  <c r="U501" i="10" s="1"/>
  <c r="S503" i="10"/>
  <c r="AA502" i="10"/>
  <c r="Y502" i="10"/>
  <c r="BI351" i="16"/>
  <c r="BR357" i="16"/>
  <c r="BT357" i="16"/>
  <c r="BU352" i="16" s="1"/>
  <c r="BO357" i="16"/>
  <c r="BJ357" i="16"/>
  <c r="BK352" i="16" s="1"/>
  <c r="BL357" i="16"/>
  <c r="BM352" i="16" s="1"/>
  <c r="BQ351" i="16"/>
  <c r="BN357" i="16"/>
  <c r="G274" i="16"/>
  <c r="H274" i="16" s="1"/>
  <c r="I274" i="16" s="1"/>
  <c r="E274" i="16" s="1"/>
  <c r="AH357" i="16"/>
  <c r="AE357" i="16"/>
  <c r="AO356" i="16"/>
  <c r="M273" i="16"/>
  <c r="P273" i="16"/>
  <c r="O273" i="16"/>
  <c r="AT357" i="16"/>
  <c r="R275" i="16"/>
  <c r="S268" i="16"/>
  <c r="T268" i="16" s="1"/>
  <c r="CA357" i="16"/>
  <c r="BA357" i="16"/>
  <c r="BB357" i="16"/>
  <c r="AU357" i="16"/>
  <c r="BP357" i="16"/>
  <c r="BS352" i="16" s="1"/>
  <c r="BV357" i="16"/>
  <c r="AZ357" i="16"/>
  <c r="BW357" i="16"/>
  <c r="AQ357" i="16"/>
  <c r="BH357" i="16"/>
  <c r="AC358" i="16"/>
  <c r="W275" i="16"/>
  <c r="AY356" i="16"/>
  <c r="BG356" i="16" s="1"/>
  <c r="L274" i="16"/>
  <c r="U275" i="16"/>
  <c r="K275" i="16"/>
  <c r="V275" i="16"/>
  <c r="Y274" i="16"/>
  <c r="Z274" i="16"/>
  <c r="K505" i="10" l="1"/>
  <c r="O505" i="10"/>
  <c r="G505" i="10"/>
  <c r="I505" i="10"/>
  <c r="E505" i="10"/>
  <c r="B505" i="10"/>
  <c r="Q505" i="10"/>
  <c r="M505" i="10"/>
  <c r="AY694" i="5"/>
  <c r="AP700" i="5"/>
  <c r="AR699" i="5"/>
  <c r="AQ699" i="5" s="1"/>
  <c r="AU694" i="5" s="1"/>
  <c r="BC358" i="16"/>
  <c r="AR358" i="16"/>
  <c r="AS358" i="16"/>
  <c r="AC502" i="10"/>
  <c r="S504" i="10"/>
  <c r="Y503" i="10"/>
  <c r="AA503" i="10"/>
  <c r="BQ352" i="16"/>
  <c r="BN358" i="16"/>
  <c r="BT358" i="16"/>
  <c r="BU353" i="16" s="1"/>
  <c r="BR358" i="16"/>
  <c r="BJ358" i="16"/>
  <c r="BK353" i="16" s="1"/>
  <c r="BO358" i="16"/>
  <c r="BL358" i="16"/>
  <c r="BM353" i="16" s="1"/>
  <c r="BI352" i="16"/>
  <c r="G275" i="16"/>
  <c r="H275" i="16" s="1"/>
  <c r="I275" i="16" s="1"/>
  <c r="E275" i="16" s="1"/>
  <c r="AE358" i="16"/>
  <c r="AH358" i="16"/>
  <c r="AO357" i="16"/>
  <c r="O274" i="16"/>
  <c r="M274" i="16"/>
  <c r="P274" i="16"/>
  <c r="R276" i="16"/>
  <c r="S269" i="16"/>
  <c r="T269" i="16" s="1"/>
  <c r="BH358" i="16"/>
  <c r="CA358" i="16"/>
  <c r="BA358" i="16"/>
  <c r="AZ358" i="16"/>
  <c r="BW358" i="16"/>
  <c r="BB358" i="16"/>
  <c r="AU358" i="16"/>
  <c r="BP358" i="16"/>
  <c r="BS353" i="16" s="1"/>
  <c r="AT358" i="16"/>
  <c r="AQ358" i="16"/>
  <c r="BV358" i="16"/>
  <c r="W276" i="16"/>
  <c r="AC359" i="16"/>
  <c r="AY357" i="16"/>
  <c r="BG357" i="16" s="1"/>
  <c r="L275" i="16"/>
  <c r="Z275" i="16"/>
  <c r="Y275" i="16"/>
  <c r="V276" i="16"/>
  <c r="K276" i="16"/>
  <c r="U276" i="16"/>
  <c r="M506" i="10" l="1"/>
  <c r="E506" i="10"/>
  <c r="Q506" i="10"/>
  <c r="I506" i="10"/>
  <c r="K506" i="10"/>
  <c r="G506" i="10"/>
  <c r="B506" i="10"/>
  <c r="O506" i="10"/>
  <c r="AR700" i="5"/>
  <c r="AX694" i="5" s="1"/>
  <c r="AP701" i="5"/>
  <c r="BC359" i="16"/>
  <c r="AS359" i="16"/>
  <c r="AR359" i="16"/>
  <c r="AR784" i="5"/>
  <c r="AT778" i="5"/>
  <c r="AY778" i="5" s="1"/>
  <c r="AE502" i="10"/>
  <c r="W502" i="10" s="1"/>
  <c r="U502" i="10" s="1"/>
  <c r="S505" i="10"/>
  <c r="AC503" i="10"/>
  <c r="AE503" i="10" s="1"/>
  <c r="W503" i="10" s="1"/>
  <c r="U503" i="10" s="1"/>
  <c r="Y504" i="10"/>
  <c r="AA504" i="10"/>
  <c r="BN359" i="16"/>
  <c r="BT359" i="16"/>
  <c r="BU354" i="16" s="1"/>
  <c r="BR359" i="16"/>
  <c r="BL359" i="16"/>
  <c r="BM354" i="16" s="1"/>
  <c r="BJ359" i="16"/>
  <c r="BK354" i="16" s="1"/>
  <c r="BO359" i="16"/>
  <c r="BQ353" i="16"/>
  <c r="BI353" i="16"/>
  <c r="G276" i="16"/>
  <c r="H276" i="16" s="1"/>
  <c r="I276" i="16" s="1"/>
  <c r="E276" i="16" s="1"/>
  <c r="AH359" i="16"/>
  <c r="AE359" i="16"/>
  <c r="P275" i="16"/>
  <c r="O275" i="16"/>
  <c r="M275" i="16"/>
  <c r="R277" i="16"/>
  <c r="S270" i="16"/>
  <c r="T270" i="16" s="1"/>
  <c r="AO358" i="16"/>
  <c r="AT359" i="16"/>
  <c r="BW359" i="16"/>
  <c r="BA359" i="16"/>
  <c r="AQ359" i="16"/>
  <c r="BB359" i="16"/>
  <c r="CA359" i="16"/>
  <c r="AZ359" i="16"/>
  <c r="BP359" i="16"/>
  <c r="BS354" i="16" s="1"/>
  <c r="AU359" i="16"/>
  <c r="BH359" i="16"/>
  <c r="BV359" i="16"/>
  <c r="W277" i="16"/>
  <c r="AC360" i="16"/>
  <c r="AY358" i="16"/>
  <c r="BG358" i="16" s="1"/>
  <c r="L276" i="16"/>
  <c r="U277" i="16"/>
  <c r="V277" i="16"/>
  <c r="K277" i="16"/>
  <c r="Z276" i="16"/>
  <c r="Y276" i="16"/>
  <c r="O507" i="10" l="1"/>
  <c r="G507" i="10"/>
  <c r="K507" i="10"/>
  <c r="M507" i="10"/>
  <c r="I507" i="10"/>
  <c r="B507" i="10"/>
  <c r="Q507" i="10"/>
  <c r="E507" i="10"/>
  <c r="AR701" i="5"/>
  <c r="AV694" i="5" s="1"/>
  <c r="AP702" i="5"/>
  <c r="BC360" i="16"/>
  <c r="AR360" i="16"/>
  <c r="AS360" i="16"/>
  <c r="AU778" i="5"/>
  <c r="AR785" i="5"/>
  <c r="AX778" i="5" s="1"/>
  <c r="S506" i="10"/>
  <c r="AA505" i="10"/>
  <c r="Y505" i="10"/>
  <c r="AC504" i="10"/>
  <c r="BN360" i="16"/>
  <c r="BR360" i="16"/>
  <c r="BT360" i="16"/>
  <c r="BU355" i="16" s="1"/>
  <c r="BL360" i="16"/>
  <c r="BM355" i="16" s="1"/>
  <c r="BO360" i="16"/>
  <c r="BJ360" i="16"/>
  <c r="BK355" i="16" s="1"/>
  <c r="BI354" i="16"/>
  <c r="BQ354" i="16"/>
  <c r="G277" i="16"/>
  <c r="H277" i="16" s="1"/>
  <c r="I277" i="16" s="1"/>
  <c r="E277" i="16" s="1"/>
  <c r="AE360" i="16"/>
  <c r="AH360" i="16"/>
  <c r="P276" i="16"/>
  <c r="O276" i="16"/>
  <c r="M276" i="16"/>
  <c r="AO359" i="16"/>
  <c r="R278" i="16"/>
  <c r="S271" i="16"/>
  <c r="T271" i="16" s="1"/>
  <c r="AZ360" i="16"/>
  <c r="CA360" i="16"/>
  <c r="BP360" i="16"/>
  <c r="BS355" i="16" s="1"/>
  <c r="BW360" i="16"/>
  <c r="BH360" i="16"/>
  <c r="BA360" i="16"/>
  <c r="BB360" i="16"/>
  <c r="AQ360" i="16"/>
  <c r="AU360" i="16"/>
  <c r="AT360" i="16"/>
  <c r="BV360" i="16"/>
  <c r="W278" i="16"/>
  <c r="AC361" i="16"/>
  <c r="AY359" i="16"/>
  <c r="BG359" i="16" s="1"/>
  <c r="L277" i="16"/>
  <c r="Y277" i="16"/>
  <c r="Z277" i="16"/>
  <c r="V278" i="16"/>
  <c r="K278" i="16"/>
  <c r="U278" i="16"/>
  <c r="Q508" i="10" l="1"/>
  <c r="I508" i="10"/>
  <c r="M508" i="10"/>
  <c r="E508" i="10"/>
  <c r="G508" i="10"/>
  <c r="O508" i="10"/>
  <c r="B508" i="10"/>
  <c r="K508" i="10"/>
  <c r="AP703" i="5"/>
  <c r="AP704" i="5" s="1"/>
  <c r="AP705" i="5" s="1"/>
  <c r="AP706" i="5" s="1"/>
  <c r="AR702" i="5"/>
  <c r="AQ702" i="5" s="1"/>
  <c r="AW694" i="5" s="1"/>
  <c r="AT770" i="5"/>
  <c r="BC361" i="16"/>
  <c r="AS361" i="16"/>
  <c r="AR361" i="16"/>
  <c r="AR786" i="5"/>
  <c r="S507" i="10"/>
  <c r="AE504" i="10"/>
  <c r="W504" i="10" s="1"/>
  <c r="U504" i="10" s="1"/>
  <c r="AA506" i="10"/>
  <c r="Y506" i="10"/>
  <c r="AC505" i="10"/>
  <c r="AE505" i="10" s="1"/>
  <c r="W505" i="10" s="1"/>
  <c r="U505" i="10" s="1"/>
  <c r="BR361" i="16"/>
  <c r="BT361" i="16"/>
  <c r="BU356" i="16" s="1"/>
  <c r="BJ361" i="16"/>
  <c r="BK356" i="16" s="1"/>
  <c r="BO361" i="16"/>
  <c r="BL361" i="16"/>
  <c r="BM356" i="16" s="1"/>
  <c r="BI355" i="16"/>
  <c r="BQ355" i="16"/>
  <c r="BV361" i="16"/>
  <c r="BN361" i="16"/>
  <c r="G278" i="16"/>
  <c r="H278" i="16" s="1"/>
  <c r="I278" i="16" s="1"/>
  <c r="E278" i="16" s="1"/>
  <c r="AH361" i="16"/>
  <c r="AE361" i="16"/>
  <c r="M277" i="16"/>
  <c r="P277" i="16"/>
  <c r="O277" i="16"/>
  <c r="BP361" i="16"/>
  <c r="BS356" i="16" s="1"/>
  <c r="BA361" i="16"/>
  <c r="CA361" i="16"/>
  <c r="BH361" i="16"/>
  <c r="BW361" i="16"/>
  <c r="AQ361" i="16"/>
  <c r="AZ361" i="16"/>
  <c r="R279" i="16"/>
  <c r="S272" i="16"/>
  <c r="T272" i="16" s="1"/>
  <c r="AT361" i="16"/>
  <c r="AU361" i="16"/>
  <c r="BB361" i="16"/>
  <c r="AO360" i="16"/>
  <c r="AC362" i="16"/>
  <c r="W279" i="16"/>
  <c r="AY360" i="16"/>
  <c r="BG360" i="16" s="1"/>
  <c r="L278" i="16"/>
  <c r="Y278" i="16"/>
  <c r="Z278" i="16"/>
  <c r="V279" i="16"/>
  <c r="U279" i="16"/>
  <c r="K279" i="16"/>
  <c r="K509" i="10" l="1"/>
  <c r="O509" i="10"/>
  <c r="G509" i="10"/>
  <c r="Q509" i="10"/>
  <c r="M509" i="10"/>
  <c r="I509" i="10"/>
  <c r="E509" i="10"/>
  <c r="B509" i="10"/>
  <c r="AR706" i="5"/>
  <c r="AQ706" i="5" s="1"/>
  <c r="AT703" i="5" s="1"/>
  <c r="AP707" i="5"/>
  <c r="AU770" i="5"/>
  <c r="AW770" i="5"/>
  <c r="AY770" i="5"/>
  <c r="AX770" i="5"/>
  <c r="AV770" i="5"/>
  <c r="BC362" i="16"/>
  <c r="AR362" i="16"/>
  <c r="AS362" i="16"/>
  <c r="AT851" i="5"/>
  <c r="AV778" i="5"/>
  <c r="AA507" i="10"/>
  <c r="Y507" i="10"/>
  <c r="AC506" i="10"/>
  <c r="AE506" i="10" s="1"/>
  <c r="W506" i="10" s="1"/>
  <c r="U506" i="10" s="1"/>
  <c r="BT362" i="16"/>
  <c r="BU357" i="16" s="1"/>
  <c r="BR362" i="16"/>
  <c r="BO362" i="16"/>
  <c r="BL362" i="16"/>
  <c r="BM357" i="16" s="1"/>
  <c r="BJ362" i="16"/>
  <c r="BK357" i="16" s="1"/>
  <c r="BQ356" i="16"/>
  <c r="BI356" i="16"/>
  <c r="CA362" i="16"/>
  <c r="BN362" i="16"/>
  <c r="G279" i="16"/>
  <c r="H279" i="16" s="1"/>
  <c r="I279" i="16" s="1"/>
  <c r="E279" i="16" s="1"/>
  <c r="AE362" i="16"/>
  <c r="AH362" i="16"/>
  <c r="O278" i="16"/>
  <c r="M278" i="16"/>
  <c r="P278" i="16"/>
  <c r="AO361" i="16"/>
  <c r="BV362" i="16"/>
  <c r="AZ362" i="16"/>
  <c r="BH362" i="16"/>
  <c r="BW362" i="16"/>
  <c r="BA362" i="16"/>
  <c r="R280" i="16"/>
  <c r="S273" i="16"/>
  <c r="T273" i="16" s="1"/>
  <c r="BB362" i="16"/>
  <c r="AU362" i="16"/>
  <c r="BP362" i="16"/>
  <c r="BS357" i="16" s="1"/>
  <c r="AT362" i="16"/>
  <c r="AQ362" i="16"/>
  <c r="W280" i="16"/>
  <c r="AC363" i="16"/>
  <c r="AY361" i="16"/>
  <c r="BG361" i="16" s="1"/>
  <c r="L279" i="16"/>
  <c r="V280" i="16"/>
  <c r="U280" i="16"/>
  <c r="K280" i="16"/>
  <c r="Y279" i="16"/>
  <c r="Z279" i="16"/>
  <c r="M510" i="10" l="1"/>
  <c r="E510" i="10"/>
  <c r="Q510" i="10"/>
  <c r="I510" i="10"/>
  <c r="K510" i="10"/>
  <c r="O510" i="10"/>
  <c r="G510" i="10"/>
  <c r="B510" i="10"/>
  <c r="AP708" i="5"/>
  <c r="AR707" i="5"/>
  <c r="AU703" i="5" s="1"/>
  <c r="BC363" i="16"/>
  <c r="AS363" i="16"/>
  <c r="AR363" i="16"/>
  <c r="AW778" i="5"/>
  <c r="AC507" i="10"/>
  <c r="AE507" i="10" s="1"/>
  <c r="W507" i="10" s="1"/>
  <c r="U507" i="10" s="1"/>
  <c r="S509" i="10"/>
  <c r="S508" i="10"/>
  <c r="Y508" i="10"/>
  <c r="AA508" i="10"/>
  <c r="BN363" i="16"/>
  <c r="BT363" i="16"/>
  <c r="BU358" i="16" s="1"/>
  <c r="BR363" i="16"/>
  <c r="BJ363" i="16"/>
  <c r="BK358" i="16" s="1"/>
  <c r="BL363" i="16"/>
  <c r="BM358" i="16" s="1"/>
  <c r="BO363" i="16"/>
  <c r="BQ357" i="16"/>
  <c r="BI357" i="16"/>
  <c r="G280" i="16"/>
  <c r="H280" i="16" s="1"/>
  <c r="I280" i="16" s="1"/>
  <c r="E280" i="16" s="1"/>
  <c r="AH363" i="16"/>
  <c r="AE363" i="16"/>
  <c r="BV363" i="16"/>
  <c r="AO362" i="16"/>
  <c r="O279" i="16"/>
  <c r="M279" i="16"/>
  <c r="P279" i="16"/>
  <c r="AQ363" i="16"/>
  <c r="R281" i="16"/>
  <c r="S274" i="16"/>
  <c r="T274" i="16" s="1"/>
  <c r="BH363" i="16"/>
  <c r="BB363" i="16"/>
  <c r="AU363" i="16"/>
  <c r="AT363" i="16"/>
  <c r="CA363" i="16"/>
  <c r="AZ363" i="16"/>
  <c r="BA363" i="16"/>
  <c r="BP363" i="16"/>
  <c r="BS358" i="16" s="1"/>
  <c r="BW363" i="16"/>
  <c r="AC364" i="16"/>
  <c r="W281" i="16"/>
  <c r="AY362" i="16"/>
  <c r="BG362" i="16" s="1"/>
  <c r="L280" i="16"/>
  <c r="U281" i="16"/>
  <c r="V281" i="16"/>
  <c r="K281" i="16"/>
  <c r="Z280" i="16"/>
  <c r="Y280" i="16"/>
  <c r="O511" i="10" l="1"/>
  <c r="G511" i="10"/>
  <c r="K511" i="10"/>
  <c r="M511" i="10"/>
  <c r="E511" i="10"/>
  <c r="Q511" i="10"/>
  <c r="B511" i="10"/>
  <c r="I511" i="10"/>
  <c r="AR708" i="5"/>
  <c r="AQ708" i="5" s="1"/>
  <c r="AP709" i="5"/>
  <c r="BC364" i="16"/>
  <c r="AS364" i="16"/>
  <c r="AR364" i="16"/>
  <c r="AC508" i="10"/>
  <c r="AE508" i="10" s="1"/>
  <c r="W508" i="10" s="1"/>
  <c r="U508" i="10" s="1"/>
  <c r="AA509" i="10"/>
  <c r="Y509" i="10"/>
  <c r="BQ358" i="16"/>
  <c r="BN364" i="16"/>
  <c r="BR364" i="16"/>
  <c r="BT364" i="16"/>
  <c r="BU359" i="16" s="1"/>
  <c r="BL364" i="16"/>
  <c r="BM359" i="16" s="1"/>
  <c r="BO364" i="16"/>
  <c r="BJ364" i="16"/>
  <c r="BK359" i="16" s="1"/>
  <c r="BI358" i="16"/>
  <c r="G281" i="16"/>
  <c r="H281" i="16" s="1"/>
  <c r="I281" i="16" s="1"/>
  <c r="E281" i="16" s="1"/>
  <c r="AE364" i="16"/>
  <c r="AH364" i="16"/>
  <c r="M280" i="16"/>
  <c r="P280" i="16"/>
  <c r="O280" i="16"/>
  <c r="BV364" i="16"/>
  <c r="BA364" i="16"/>
  <c r="R282" i="16"/>
  <c r="S275" i="16"/>
  <c r="T275" i="16" s="1"/>
  <c r="AQ364" i="16"/>
  <c r="AU364" i="16"/>
  <c r="AT364" i="16"/>
  <c r="BB364" i="16"/>
  <c r="BW364" i="16"/>
  <c r="CA364" i="16"/>
  <c r="AO363" i="16"/>
  <c r="BH364" i="16"/>
  <c r="BP364" i="16"/>
  <c r="BS359" i="16" s="1"/>
  <c r="AZ364" i="16"/>
  <c r="W282" i="16"/>
  <c r="AC365" i="16"/>
  <c r="AY363" i="16"/>
  <c r="BG363" i="16" s="1"/>
  <c r="L281" i="16"/>
  <c r="U282" i="16"/>
  <c r="V282" i="16"/>
  <c r="K282" i="16"/>
  <c r="Y281" i="16"/>
  <c r="Z281" i="16"/>
  <c r="Q512" i="10" l="1"/>
  <c r="I512" i="10"/>
  <c r="M512" i="10"/>
  <c r="E512" i="10"/>
  <c r="G512" i="10"/>
  <c r="B512" i="10"/>
  <c r="O512" i="10"/>
  <c r="K512" i="10"/>
  <c r="AP710" i="5"/>
  <c r="AR709" i="5"/>
  <c r="AX703" i="5" s="1"/>
  <c r="AY703" i="5"/>
  <c r="BC365" i="16"/>
  <c r="AR365" i="16"/>
  <c r="AS365" i="16"/>
  <c r="AR793" i="5"/>
  <c r="S511" i="10"/>
  <c r="AC509" i="10"/>
  <c r="AE509" i="10" s="1"/>
  <c r="W509" i="10" s="1"/>
  <c r="U509" i="10" s="1"/>
  <c r="Y510" i="10"/>
  <c r="AA510" i="10"/>
  <c r="S510" i="10"/>
  <c r="BI359" i="16"/>
  <c r="BN365" i="16"/>
  <c r="BR365" i="16"/>
  <c r="BT365" i="16"/>
  <c r="BU360" i="16" s="1"/>
  <c r="BL365" i="16"/>
  <c r="BM360" i="16" s="1"/>
  <c r="BO365" i="16"/>
  <c r="BJ365" i="16"/>
  <c r="BK360" i="16" s="1"/>
  <c r="BQ359" i="16"/>
  <c r="G282" i="16"/>
  <c r="H282" i="16" s="1"/>
  <c r="I282" i="16" s="1"/>
  <c r="E282" i="16" s="1"/>
  <c r="AH365" i="16"/>
  <c r="AE365" i="16"/>
  <c r="AO364" i="16"/>
  <c r="BB365" i="16"/>
  <c r="CA365" i="16"/>
  <c r="P281" i="16"/>
  <c r="O281" i="16"/>
  <c r="M281" i="16"/>
  <c r="AZ365" i="16"/>
  <c r="BA365" i="16"/>
  <c r="BP365" i="16"/>
  <c r="BS360" i="16" s="1"/>
  <c r="AT365" i="16"/>
  <c r="AU365" i="16"/>
  <c r="AQ365" i="16"/>
  <c r="BV365" i="16"/>
  <c r="BH365" i="16"/>
  <c r="BW365" i="16"/>
  <c r="R283" i="16"/>
  <c r="S276" i="16"/>
  <c r="T276" i="16" s="1"/>
  <c r="AC366" i="16"/>
  <c r="W283" i="16"/>
  <c r="AY364" i="16"/>
  <c r="BG364" i="16" s="1"/>
  <c r="L282" i="16"/>
  <c r="Y282" i="16"/>
  <c r="Z282" i="16"/>
  <c r="K283" i="16"/>
  <c r="V283" i="16"/>
  <c r="U283" i="16"/>
  <c r="K513" i="10" l="1"/>
  <c r="O513" i="10"/>
  <c r="G513" i="10"/>
  <c r="Q513" i="10"/>
  <c r="I513" i="10"/>
  <c r="E513" i="10"/>
  <c r="B513" i="10"/>
  <c r="M513" i="10"/>
  <c r="AP711" i="5"/>
  <c r="AR710" i="5"/>
  <c r="AQ710" i="5" s="1"/>
  <c r="AV703" i="5" s="1"/>
  <c r="BC366" i="16"/>
  <c r="AS366" i="16"/>
  <c r="AR366" i="16"/>
  <c r="AR794" i="5"/>
  <c r="AC510" i="10"/>
  <c r="AE510" i="10" s="1"/>
  <c r="S512" i="10"/>
  <c r="Y511" i="10"/>
  <c r="AA511" i="10"/>
  <c r="BQ360" i="16"/>
  <c r="BN366" i="16"/>
  <c r="BT366" i="16"/>
  <c r="BU361" i="16" s="1"/>
  <c r="BR366" i="16"/>
  <c r="BJ366" i="16"/>
  <c r="BK361" i="16" s="1"/>
  <c r="BL366" i="16"/>
  <c r="BM361" i="16" s="1"/>
  <c r="BO366" i="16"/>
  <c r="BI360" i="16"/>
  <c r="G283" i="16"/>
  <c r="H283" i="16" s="1"/>
  <c r="I283" i="16" s="1"/>
  <c r="E283" i="16" s="1"/>
  <c r="AE366" i="16"/>
  <c r="AH366" i="16"/>
  <c r="M282" i="16"/>
  <c r="P282" i="16"/>
  <c r="O282" i="16"/>
  <c r="AO365" i="16"/>
  <c r="BV366" i="16"/>
  <c r="R284" i="16"/>
  <c r="S277" i="16"/>
  <c r="T277" i="16" s="1"/>
  <c r="AT366" i="16"/>
  <c r="AQ366" i="16"/>
  <c r="BA366" i="16"/>
  <c r="AU366" i="16"/>
  <c r="BP366" i="16"/>
  <c r="BS361" i="16" s="1"/>
  <c r="AZ366" i="16"/>
  <c r="BW366" i="16"/>
  <c r="CA366" i="16"/>
  <c r="BH366" i="16"/>
  <c r="BB366" i="16"/>
  <c r="W284" i="16"/>
  <c r="AC367" i="16"/>
  <c r="AY365" i="16"/>
  <c r="BG365" i="16" s="1"/>
  <c r="L283" i="16"/>
  <c r="V284" i="16"/>
  <c r="K284" i="16"/>
  <c r="U284" i="16"/>
  <c r="Z283" i="16"/>
  <c r="Y283" i="16"/>
  <c r="M514" i="10" l="1"/>
  <c r="E514" i="10"/>
  <c r="Q514" i="10"/>
  <c r="I514" i="10"/>
  <c r="K514" i="10"/>
  <c r="G514" i="10"/>
  <c r="B514" i="10"/>
  <c r="O514" i="10"/>
  <c r="AR711" i="5"/>
  <c r="AQ711" i="5" s="1"/>
  <c r="AW703" i="5" s="1"/>
  <c r="AP712" i="5"/>
  <c r="AP713" i="5" s="1"/>
  <c r="AP714" i="5" s="1"/>
  <c r="AP715" i="5" s="1"/>
  <c r="AT779" i="5"/>
  <c r="BC367" i="16"/>
  <c r="AS367" i="16"/>
  <c r="AR367" i="16"/>
  <c r="AR795" i="5"/>
  <c r="AQ795" i="5" s="1"/>
  <c r="AC511" i="10"/>
  <c r="AE511" i="10" s="1"/>
  <c r="AA512" i="10"/>
  <c r="Y512" i="10"/>
  <c r="W510" i="10"/>
  <c r="U510" i="10" s="1"/>
  <c r="BI361" i="16"/>
  <c r="BN367" i="16"/>
  <c r="BT367" i="16"/>
  <c r="BU362" i="16" s="1"/>
  <c r="BR367" i="16"/>
  <c r="BJ367" i="16"/>
  <c r="BK362" i="16" s="1"/>
  <c r="BL367" i="16"/>
  <c r="BM362" i="16" s="1"/>
  <c r="BO367" i="16"/>
  <c r="BQ361" i="16"/>
  <c r="G284" i="16"/>
  <c r="H284" i="16" s="1"/>
  <c r="I284" i="16" s="1"/>
  <c r="E284" i="16" s="1"/>
  <c r="AH367" i="16"/>
  <c r="AE367" i="16"/>
  <c r="BH367" i="16"/>
  <c r="FP341" i="10"/>
  <c r="FD329" i="10"/>
  <c r="FD328" i="10" s="1"/>
  <c r="FG341" i="10"/>
  <c r="FG329" i="10"/>
  <c r="FG328" i="10" s="1"/>
  <c r="FD341" i="10"/>
  <c r="FS341" i="10"/>
  <c r="FR341" i="10"/>
  <c r="FJ341" i="10"/>
  <c r="FL341" i="10"/>
  <c r="FO341" i="10"/>
  <c r="FI341" i="10"/>
  <c r="FM329" i="10"/>
  <c r="FM328" i="10" s="1"/>
  <c r="FM341" i="10"/>
  <c r="FS329" i="10"/>
  <c r="FS328" i="10" s="1"/>
  <c r="FJ329" i="10"/>
  <c r="FJ328" i="10" s="1"/>
  <c r="FC341" i="10"/>
  <c r="FA329" i="10"/>
  <c r="FA328" i="10" s="1"/>
  <c r="FP329" i="10"/>
  <c r="FP328" i="10" s="1"/>
  <c r="FA341" i="10"/>
  <c r="FU341" i="10"/>
  <c r="FF341" i="10"/>
  <c r="AO366" i="16"/>
  <c r="M283" i="16"/>
  <c r="O283" i="16"/>
  <c r="P283" i="16"/>
  <c r="AQ367" i="16"/>
  <c r="R285" i="16"/>
  <c r="S278" i="16"/>
  <c r="T278" i="16" s="1"/>
  <c r="BB367" i="16"/>
  <c r="AT367" i="16"/>
  <c r="BA367" i="16"/>
  <c r="BW367" i="16"/>
  <c r="CA367" i="16"/>
  <c r="BV367" i="16"/>
  <c r="AU367" i="16"/>
  <c r="BP367" i="16"/>
  <c r="BS362" i="16" s="1"/>
  <c r="AZ367" i="16"/>
  <c r="W285" i="16"/>
  <c r="AC368" i="16"/>
  <c r="AY366" i="16"/>
  <c r="BG366" i="16" s="1"/>
  <c r="L284" i="16"/>
  <c r="V285" i="16"/>
  <c r="U285" i="16"/>
  <c r="K285" i="16"/>
  <c r="Z284" i="16"/>
  <c r="Y284" i="16"/>
  <c r="O515" i="10" l="1"/>
  <c r="G515" i="10"/>
  <c r="K515" i="10"/>
  <c r="E515" i="10"/>
  <c r="M515" i="10"/>
  <c r="I515" i="10"/>
  <c r="B515" i="10"/>
  <c r="Q515" i="10"/>
  <c r="AR715" i="5"/>
  <c r="AQ715" i="5" s="1"/>
  <c r="AT712" i="5" s="1"/>
  <c r="AP716" i="5"/>
  <c r="AV779" i="5"/>
  <c r="AX779" i="5"/>
  <c r="AW779" i="5"/>
  <c r="AU779" i="5"/>
  <c r="AY779" i="5"/>
  <c r="BC368" i="16"/>
  <c r="AR368" i="16"/>
  <c r="AS368" i="16"/>
  <c r="AT790" i="5"/>
  <c r="AC512" i="10"/>
  <c r="AE512" i="10" s="1"/>
  <c r="W512" i="10" s="1"/>
  <c r="U512" i="10" s="1"/>
  <c r="AA513" i="10"/>
  <c r="Y513" i="10"/>
  <c r="S514" i="10"/>
  <c r="S513" i="10"/>
  <c r="W511" i="10"/>
  <c r="U511" i="10" s="1"/>
  <c r="BQ362" i="16"/>
  <c r="BR368" i="16"/>
  <c r="BT368" i="16"/>
  <c r="BU363" i="16" s="1"/>
  <c r="BL368" i="16"/>
  <c r="BM363" i="16" s="1"/>
  <c r="BJ368" i="16"/>
  <c r="BK363" i="16" s="1"/>
  <c r="BO368" i="16"/>
  <c r="BI362" i="16"/>
  <c r="AT368" i="16"/>
  <c r="BN368" i="16"/>
  <c r="G285" i="16"/>
  <c r="H285" i="16" s="1"/>
  <c r="I285" i="16" s="1"/>
  <c r="E285" i="16" s="1"/>
  <c r="AE368" i="16"/>
  <c r="AH368" i="16"/>
  <c r="M284" i="16"/>
  <c r="O284" i="16"/>
  <c r="P284" i="16"/>
  <c r="BA368" i="16"/>
  <c r="R286" i="16"/>
  <c r="S279" i="16"/>
  <c r="T279" i="16" s="1"/>
  <c r="AQ368" i="16"/>
  <c r="AO367" i="16"/>
  <c r="BW368" i="16"/>
  <c r="CA368" i="16"/>
  <c r="BP368" i="16"/>
  <c r="BS363" i="16" s="1"/>
  <c r="BB368" i="16"/>
  <c r="AU368" i="16"/>
  <c r="BV368" i="16"/>
  <c r="BH368" i="16"/>
  <c r="AZ368" i="16"/>
  <c r="W286" i="16"/>
  <c r="AC369" i="16"/>
  <c r="AY367" i="16"/>
  <c r="BG367" i="16" s="1"/>
  <c r="L285" i="16"/>
  <c r="V286" i="16"/>
  <c r="U286" i="16"/>
  <c r="K286" i="16"/>
  <c r="Y285" i="16"/>
  <c r="Z285" i="16"/>
  <c r="Q516" i="10" l="1"/>
  <c r="I516" i="10"/>
  <c r="O516" i="10"/>
  <c r="G516" i="10"/>
  <c r="M516" i="10"/>
  <c r="E516" i="10"/>
  <c r="K516" i="10"/>
  <c r="B516" i="10"/>
  <c r="AP717" i="5"/>
  <c r="AR716" i="5"/>
  <c r="AU712" i="5" s="1"/>
  <c r="BC369" i="16"/>
  <c r="AS369" i="16"/>
  <c r="AR369" i="16"/>
  <c r="AY790" i="5"/>
  <c r="AX790" i="5"/>
  <c r="AV790" i="5"/>
  <c r="AW790" i="5"/>
  <c r="AU790" i="5"/>
  <c r="AQ796" i="5"/>
  <c r="AC513" i="10"/>
  <c r="AE513" i="10" s="1"/>
  <c r="W513" i="10" s="1"/>
  <c r="U513" i="10" s="1"/>
  <c r="AA514" i="10"/>
  <c r="Y514" i="10"/>
  <c r="BN369" i="16"/>
  <c r="BR369" i="16"/>
  <c r="BT369" i="16"/>
  <c r="BU364" i="16" s="1"/>
  <c r="BJ369" i="16"/>
  <c r="BK364" i="16" s="1"/>
  <c r="BL369" i="16"/>
  <c r="BM364" i="16" s="1"/>
  <c r="BO369" i="16"/>
  <c r="BQ363" i="16"/>
  <c r="BI363" i="16"/>
  <c r="G286" i="16"/>
  <c r="H286" i="16" s="1"/>
  <c r="I286" i="16" s="1"/>
  <c r="E286" i="16" s="1"/>
  <c r="AH369" i="16"/>
  <c r="AE369" i="16"/>
  <c r="CA369" i="16"/>
  <c r="AO368" i="16"/>
  <c r="BV369" i="16"/>
  <c r="AZ369" i="16"/>
  <c r="AT369" i="16"/>
  <c r="AU369" i="16"/>
  <c r="M285" i="16"/>
  <c r="P285" i="16"/>
  <c r="O285" i="16"/>
  <c r="BB369" i="16"/>
  <c r="BH369" i="16"/>
  <c r="BP369" i="16"/>
  <c r="BS364" i="16" s="1"/>
  <c r="BA369" i="16"/>
  <c r="AQ369" i="16"/>
  <c r="R287" i="16"/>
  <c r="S280" i="16"/>
  <c r="T280" i="16" s="1"/>
  <c r="BW369" i="16"/>
  <c r="W287" i="16"/>
  <c r="AC370" i="16"/>
  <c r="AY368" i="16"/>
  <c r="BG368" i="16" s="1"/>
  <c r="L286" i="16"/>
  <c r="K287" i="16"/>
  <c r="U287" i="16"/>
  <c r="V287" i="16"/>
  <c r="Z286" i="16"/>
  <c r="Y286" i="16"/>
  <c r="K517" i="10" l="1"/>
  <c r="Q517" i="10"/>
  <c r="I517" i="10"/>
  <c r="O517" i="10"/>
  <c r="G517" i="10"/>
  <c r="M517" i="10"/>
  <c r="E517" i="10"/>
  <c r="B517" i="10"/>
  <c r="AP718" i="5"/>
  <c r="AR717" i="5"/>
  <c r="AQ717" i="5" s="1"/>
  <c r="AY712" i="5" s="1"/>
  <c r="AT788" i="5"/>
  <c r="BC370" i="16"/>
  <c r="AR370" i="16"/>
  <c r="AS370" i="16"/>
  <c r="AC514" i="10"/>
  <c r="S516" i="10"/>
  <c r="S515" i="10"/>
  <c r="Y515" i="10"/>
  <c r="AA515" i="10"/>
  <c r="BQ364" i="16"/>
  <c r="BN370" i="16"/>
  <c r="BT370" i="16"/>
  <c r="BU365" i="16" s="1"/>
  <c r="BR370" i="16"/>
  <c r="BL370" i="16"/>
  <c r="BM365" i="16" s="1"/>
  <c r="BO370" i="16"/>
  <c r="BJ370" i="16"/>
  <c r="BK365" i="16" s="1"/>
  <c r="BI364" i="16"/>
  <c r="G287" i="16"/>
  <c r="H287" i="16" s="1"/>
  <c r="I287" i="16" s="1"/>
  <c r="E287" i="16" s="1"/>
  <c r="AE370" i="16"/>
  <c r="AH370" i="16"/>
  <c r="AO369" i="16"/>
  <c r="O286" i="16"/>
  <c r="M286" i="16"/>
  <c r="P286" i="16"/>
  <c r="BB370" i="16"/>
  <c r="R288" i="16"/>
  <c r="S281" i="16"/>
  <c r="T281" i="16" s="1"/>
  <c r="AT370" i="16"/>
  <c r="CA370" i="16"/>
  <c r="BV370" i="16"/>
  <c r="AZ370" i="16"/>
  <c r="AC371" i="16"/>
  <c r="AQ370" i="16"/>
  <c r="BA370" i="16"/>
  <c r="AU370" i="16"/>
  <c r="BP370" i="16"/>
  <c r="BS365" i="16" s="1"/>
  <c r="BW370" i="16"/>
  <c r="W288" i="16"/>
  <c r="BH370" i="16"/>
  <c r="AY369" i="16"/>
  <c r="BG369" i="16" s="1"/>
  <c r="L287" i="16"/>
  <c r="V288" i="16"/>
  <c r="U288" i="16"/>
  <c r="K288" i="16"/>
  <c r="Y287" i="16"/>
  <c r="Z287" i="16"/>
  <c r="M518" i="10" l="1"/>
  <c r="E518" i="10"/>
  <c r="K518" i="10"/>
  <c r="Q518" i="10"/>
  <c r="I518" i="10"/>
  <c r="O518" i="10"/>
  <c r="B518" i="10"/>
  <c r="G518" i="10"/>
  <c r="AP719" i="5"/>
  <c r="AR718" i="5"/>
  <c r="AV712" i="5" s="1"/>
  <c r="AY788" i="5"/>
  <c r="AU788" i="5"/>
  <c r="AX788" i="5"/>
  <c r="AV788" i="5"/>
  <c r="AW788" i="5"/>
  <c r="BC371" i="16"/>
  <c r="AS371" i="16"/>
  <c r="AR371" i="16"/>
  <c r="AR802" i="5"/>
  <c r="AC515" i="10"/>
  <c r="AE515" i="10" s="1"/>
  <c r="S517" i="10"/>
  <c r="Y516" i="10"/>
  <c r="AA516" i="10"/>
  <c r="AE514" i="10"/>
  <c r="W514" i="10" s="1"/>
  <c r="U514" i="10" s="1"/>
  <c r="BT371" i="16"/>
  <c r="BU366" i="16" s="1"/>
  <c r="BR371" i="16"/>
  <c r="BJ371" i="16"/>
  <c r="BK366" i="16" s="1"/>
  <c r="BO371" i="16"/>
  <c r="BL371" i="16"/>
  <c r="BM366" i="16" s="1"/>
  <c r="BI365" i="16"/>
  <c r="BQ365" i="16"/>
  <c r="BN371" i="16"/>
  <c r="G288" i="16"/>
  <c r="H288" i="16" s="1"/>
  <c r="I288" i="16" s="1"/>
  <c r="E288" i="16" s="1"/>
  <c r="AH371" i="16"/>
  <c r="AE371" i="16"/>
  <c r="BH371" i="16"/>
  <c r="P287" i="16"/>
  <c r="O287" i="16"/>
  <c r="M287" i="16"/>
  <c r="BV371" i="16"/>
  <c r="AT371" i="16"/>
  <c r="BB371" i="16"/>
  <c r="AQ371" i="16"/>
  <c r="BA371" i="16"/>
  <c r="CA371" i="16"/>
  <c r="BP371" i="16"/>
  <c r="BS366" i="16" s="1"/>
  <c r="AU371" i="16"/>
  <c r="BW371" i="16"/>
  <c r="R290" i="16"/>
  <c r="R289" i="16"/>
  <c r="S282" i="16"/>
  <c r="T282" i="16" s="1"/>
  <c r="AZ371" i="16"/>
  <c r="AO370" i="16"/>
  <c r="W289" i="16"/>
  <c r="AC372" i="16"/>
  <c r="W290" i="16"/>
  <c r="AY370" i="16"/>
  <c r="BG370" i="16" s="1"/>
  <c r="K290" i="16"/>
  <c r="V290" i="16"/>
  <c r="U290" i="16"/>
  <c r="L288" i="16"/>
  <c r="V289" i="16"/>
  <c r="U289" i="16"/>
  <c r="K289" i="16"/>
  <c r="Z288" i="16"/>
  <c r="Y288" i="16"/>
  <c r="Q520" i="10" l="1"/>
  <c r="I520" i="10"/>
  <c r="O520" i="10"/>
  <c r="G520" i="10"/>
  <c r="M520" i="10"/>
  <c r="E520" i="10"/>
  <c r="B520" i="10"/>
  <c r="K520" i="10"/>
  <c r="O519" i="10"/>
  <c r="G519" i="10"/>
  <c r="M519" i="10"/>
  <c r="E519" i="10"/>
  <c r="K519" i="10"/>
  <c r="Q519" i="10"/>
  <c r="I519" i="10"/>
  <c r="B519" i="10"/>
  <c r="AR719" i="5"/>
  <c r="AX712" i="5" s="1"/>
  <c r="AP720" i="5"/>
  <c r="BC372" i="16"/>
  <c r="AS372" i="16"/>
  <c r="AR372" i="16"/>
  <c r="AR803" i="5"/>
  <c r="W515" i="10"/>
  <c r="U515" i="10" s="1"/>
  <c r="AC516" i="10"/>
  <c r="S518" i="10"/>
  <c r="Y517" i="10"/>
  <c r="AA517" i="10"/>
  <c r="BQ366" i="16"/>
  <c r="BR372" i="16"/>
  <c r="BT372" i="16"/>
  <c r="BU367" i="16" s="1"/>
  <c r="BJ372" i="16"/>
  <c r="BK367" i="16" s="1"/>
  <c r="BO372" i="16"/>
  <c r="BL372" i="16"/>
  <c r="BM367" i="16" s="1"/>
  <c r="BI366" i="16"/>
  <c r="BV372" i="16"/>
  <c r="BN372" i="16"/>
  <c r="G290" i="16"/>
  <c r="H290" i="16" s="1"/>
  <c r="I290" i="16" s="1"/>
  <c r="E290" i="16" s="1"/>
  <c r="G289" i="16"/>
  <c r="H289" i="16" s="1"/>
  <c r="I289" i="16" s="1"/>
  <c r="E289" i="16" s="1"/>
  <c r="AE372" i="16"/>
  <c r="AH372" i="16"/>
  <c r="AT372" i="16"/>
  <c r="O288" i="16"/>
  <c r="M288" i="16"/>
  <c r="P288" i="16"/>
  <c r="AO371" i="16"/>
  <c r="CA372" i="16"/>
  <c r="BW372" i="16"/>
  <c r="S283" i="16"/>
  <c r="L290" i="16"/>
  <c r="BH372" i="16"/>
  <c r="AZ372" i="16"/>
  <c r="AQ372" i="16"/>
  <c r="BP372" i="16"/>
  <c r="BS367" i="16" s="1"/>
  <c r="BA372" i="16"/>
  <c r="AU372" i="16"/>
  <c r="BB372" i="16"/>
  <c r="AC373" i="16"/>
  <c r="Z290" i="16"/>
  <c r="AY371" i="16"/>
  <c r="BG371" i="16" s="1"/>
  <c r="Y290" i="16"/>
  <c r="L289" i="16"/>
  <c r="Y289" i="16"/>
  <c r="Z289" i="16"/>
  <c r="AP721" i="5" l="1"/>
  <c r="AP722" i="5" s="1"/>
  <c r="AP723" i="5" s="1"/>
  <c r="AP724" i="5" s="1"/>
  <c r="AR720" i="5"/>
  <c r="AQ720" i="5" s="1"/>
  <c r="AW712" i="5" s="1"/>
  <c r="BC373" i="16"/>
  <c r="AS373" i="16"/>
  <c r="AR373" i="16"/>
  <c r="AR804" i="5"/>
  <c r="AC517" i="10"/>
  <c r="AE517" i="10" s="1"/>
  <c r="W517" i="10" s="1"/>
  <c r="U517" i="10" s="1"/>
  <c r="S519" i="10"/>
  <c r="Y519" i="10"/>
  <c r="AA519" i="10"/>
  <c r="Y518" i="10"/>
  <c r="AA518" i="10"/>
  <c r="AE516" i="10"/>
  <c r="W516" i="10" s="1"/>
  <c r="U516" i="10" s="1"/>
  <c r="BN373" i="16"/>
  <c r="BR373" i="16"/>
  <c r="BT373" i="16"/>
  <c r="BU368" i="16" s="1"/>
  <c r="BJ373" i="16"/>
  <c r="BK368" i="16" s="1"/>
  <c r="BL373" i="16"/>
  <c r="BM368" i="16" s="1"/>
  <c r="BO373" i="16"/>
  <c r="BQ367" i="16"/>
  <c r="BI367" i="16"/>
  <c r="AH373" i="16"/>
  <c r="AE373" i="16"/>
  <c r="T283" i="16"/>
  <c r="S521" i="10"/>
  <c r="AO372" i="16"/>
  <c r="O289" i="16"/>
  <c r="M289" i="16"/>
  <c r="P289" i="16"/>
  <c r="M290" i="16"/>
  <c r="P290" i="16"/>
  <c r="O290" i="16"/>
  <c r="S284" i="16"/>
  <c r="BV373" i="16"/>
  <c r="BH373" i="16"/>
  <c r="S524" i="10"/>
  <c r="CA373" i="16"/>
  <c r="AQ373" i="16"/>
  <c r="S520" i="10"/>
  <c r="S523" i="10"/>
  <c r="AA521" i="10"/>
  <c r="Y521" i="10"/>
  <c r="S522" i="10"/>
  <c r="BB373" i="16"/>
  <c r="BA373" i="16"/>
  <c r="BP373" i="16"/>
  <c r="BS368" i="16" s="1"/>
  <c r="BW373" i="16"/>
  <c r="AZ373" i="16"/>
  <c r="AT373" i="16"/>
  <c r="AU373" i="16"/>
  <c r="AC374" i="16"/>
  <c r="AA520" i="10"/>
  <c r="Y520" i="10"/>
  <c r="AY372" i="16"/>
  <c r="BG372" i="16" s="1"/>
  <c r="AR724" i="5" l="1"/>
  <c r="AQ724" i="5" s="1"/>
  <c r="AT721" i="5" s="1"/>
  <c r="AP725" i="5"/>
  <c r="BC374" i="16"/>
  <c r="AS374" i="16"/>
  <c r="AR374" i="16"/>
  <c r="AC519" i="10"/>
  <c r="AE519" i="10" s="1"/>
  <c r="W519" i="10" s="1"/>
  <c r="U519" i="10" s="1"/>
  <c r="AC518" i="10"/>
  <c r="BI368" i="16"/>
  <c r="BN374" i="16"/>
  <c r="BT374" i="16"/>
  <c r="BU369" i="16" s="1"/>
  <c r="BR374" i="16"/>
  <c r="BJ374" i="16"/>
  <c r="BK369" i="16" s="1"/>
  <c r="BO374" i="16"/>
  <c r="BL374" i="16"/>
  <c r="BM369" i="16" s="1"/>
  <c r="BQ368" i="16"/>
  <c r="AE374" i="16"/>
  <c r="AH374" i="16"/>
  <c r="AO373" i="16"/>
  <c r="T284" i="16"/>
  <c r="BV374" i="16"/>
  <c r="S285" i="16"/>
  <c r="AU374" i="16"/>
  <c r="BW374" i="16"/>
  <c r="AC521" i="10"/>
  <c r="AE521" i="10" s="1"/>
  <c r="W521" i="10" s="1"/>
  <c r="U521" i="10" s="1"/>
  <c r="AQ374" i="16"/>
  <c r="BB374" i="16"/>
  <c r="BH374" i="16"/>
  <c r="CA374" i="16"/>
  <c r="AT374" i="16"/>
  <c r="BP374" i="16"/>
  <c r="BS369" i="16" s="1"/>
  <c r="AZ374" i="16"/>
  <c r="BA374" i="16"/>
  <c r="AC375" i="16"/>
  <c r="AC520" i="10"/>
  <c r="AE520" i="10" s="1"/>
  <c r="W520" i="10" s="1"/>
  <c r="U520" i="10" s="1"/>
  <c r="AY373" i="16"/>
  <c r="BG373" i="16" s="1"/>
  <c r="AR725" i="5" l="1"/>
  <c r="AU721" i="5" s="1"/>
  <c r="AP726" i="5"/>
  <c r="AT797" i="5"/>
  <c r="BC375" i="16"/>
  <c r="AS375" i="16"/>
  <c r="AR375" i="16"/>
  <c r="AE518" i="10"/>
  <c r="W518" i="10" s="1"/>
  <c r="U518" i="10" s="1"/>
  <c r="BN375" i="16"/>
  <c r="BT375" i="16"/>
  <c r="BU370" i="16" s="1"/>
  <c r="BR375" i="16"/>
  <c r="BO375" i="16"/>
  <c r="BJ375" i="16"/>
  <c r="BK370" i="16" s="1"/>
  <c r="BL375" i="16"/>
  <c r="BM370" i="16" s="1"/>
  <c r="BQ369" i="16"/>
  <c r="BI369" i="16"/>
  <c r="T285" i="16"/>
  <c r="AE375" i="16"/>
  <c r="AH375" i="16"/>
  <c r="CA375" i="16"/>
  <c r="S286" i="16"/>
  <c r="T286" i="16" s="1"/>
  <c r="AO374" i="16"/>
  <c r="BB375" i="16"/>
  <c r="AT375" i="16"/>
  <c r="AZ375" i="16"/>
  <c r="BW375" i="16"/>
  <c r="BH375" i="16"/>
  <c r="BP375" i="16"/>
  <c r="BS370" i="16" s="1"/>
  <c r="BA375" i="16"/>
  <c r="AU375" i="16"/>
  <c r="AQ375" i="16"/>
  <c r="BV375" i="16"/>
  <c r="AC376" i="16"/>
  <c r="AY374" i="16"/>
  <c r="BG374" i="16" s="1"/>
  <c r="AR726" i="5" l="1"/>
  <c r="AQ726" i="5" s="1"/>
  <c r="AP727" i="5"/>
  <c r="AY797" i="5"/>
  <c r="AU797" i="5"/>
  <c r="AX797" i="5"/>
  <c r="AV797" i="5"/>
  <c r="AW797" i="5"/>
  <c r="BC376" i="16"/>
  <c r="AR376" i="16"/>
  <c r="AS376" i="16"/>
  <c r="AQ809" i="5"/>
  <c r="BR376" i="16"/>
  <c r="BT376" i="16"/>
  <c r="BU371" i="16" s="1"/>
  <c r="BO376" i="16"/>
  <c r="BL376" i="16"/>
  <c r="BM371" i="16" s="1"/>
  <c r="BJ376" i="16"/>
  <c r="BK371" i="16" s="1"/>
  <c r="BI370" i="16"/>
  <c r="BQ370" i="16"/>
  <c r="BN376" i="16"/>
  <c r="AH376" i="16"/>
  <c r="AE376" i="16"/>
  <c r="AO375" i="16"/>
  <c r="BW376" i="16"/>
  <c r="AT376" i="16"/>
  <c r="BV376" i="16"/>
  <c r="S287" i="16"/>
  <c r="CA376" i="16"/>
  <c r="BA376" i="16"/>
  <c r="BH376" i="16"/>
  <c r="BP376" i="16"/>
  <c r="BS371" i="16" s="1"/>
  <c r="BB376" i="16"/>
  <c r="AZ376" i="16"/>
  <c r="AQ376" i="16"/>
  <c r="AU376" i="16"/>
  <c r="AC377" i="16"/>
  <c r="AY375" i="16"/>
  <c r="BG375" i="16" s="1"/>
  <c r="AP728" i="5" l="1"/>
  <c r="AR727" i="5"/>
  <c r="AY718" i="5" s="1"/>
  <c r="AV721" i="5"/>
  <c r="AY721" i="5"/>
  <c r="BC377" i="16"/>
  <c r="AS377" i="16"/>
  <c r="AR377" i="16"/>
  <c r="AR811" i="5"/>
  <c r="AQ811" i="5" s="1"/>
  <c r="BN377" i="16"/>
  <c r="BR377" i="16"/>
  <c r="BT377" i="16"/>
  <c r="BU372" i="16" s="1"/>
  <c r="BJ377" i="16"/>
  <c r="BK372" i="16" s="1"/>
  <c r="BO377" i="16"/>
  <c r="BL377" i="16"/>
  <c r="BM372" i="16" s="1"/>
  <c r="BI371" i="16"/>
  <c r="BQ371" i="16"/>
  <c r="AE377" i="16"/>
  <c r="AH377" i="16"/>
  <c r="T287" i="16"/>
  <c r="AO376" i="16"/>
  <c r="S288" i="16"/>
  <c r="AQ377" i="16"/>
  <c r="CA377" i="16"/>
  <c r="BB377" i="16"/>
  <c r="AT377" i="16"/>
  <c r="AZ377" i="16"/>
  <c r="AU377" i="16"/>
  <c r="BH377" i="16"/>
  <c r="BW377" i="16"/>
  <c r="BA377" i="16"/>
  <c r="BP377" i="16"/>
  <c r="BS372" i="16" s="1"/>
  <c r="BV377" i="16"/>
  <c r="AC378" i="16"/>
  <c r="AY376" i="16"/>
  <c r="BG376" i="16" s="1"/>
  <c r="AR728" i="5" l="1"/>
  <c r="AQ728" i="5" s="1"/>
  <c r="AW721" i="5" s="1"/>
  <c r="AP729" i="5"/>
  <c r="AV212" i="16"/>
  <c r="AV209" i="16"/>
  <c r="AV207" i="16" s="1"/>
  <c r="AW207" i="16" s="1"/>
  <c r="BC378" i="16"/>
  <c r="AS378" i="16"/>
  <c r="AR378" i="16"/>
  <c r="AR812" i="5"/>
  <c r="BI372" i="16"/>
  <c r="BQ372" i="16"/>
  <c r="BN378" i="16"/>
  <c r="BT378" i="16"/>
  <c r="BU373" i="16" s="1"/>
  <c r="BR378" i="16"/>
  <c r="BL378" i="16"/>
  <c r="BM373" i="16" s="1"/>
  <c r="BO378" i="16"/>
  <c r="BJ378" i="16"/>
  <c r="BK373" i="16" s="1"/>
  <c r="FV329" i="10"/>
  <c r="FV328" i="10" s="1"/>
  <c r="FV341" i="10"/>
  <c r="FX341" i="10"/>
  <c r="AH378" i="16"/>
  <c r="AE378" i="16"/>
  <c r="FY329" i="10"/>
  <c r="FY328" i="10" s="1"/>
  <c r="GD341" i="10"/>
  <c r="GB341" i="10"/>
  <c r="GE329" i="10"/>
  <c r="GE328" i="10" s="1"/>
  <c r="GA341" i="10"/>
  <c r="FY341" i="10"/>
  <c r="GB329" i="10"/>
  <c r="GB328" i="10" s="1"/>
  <c r="T288" i="16"/>
  <c r="AO377" i="16"/>
  <c r="BW378" i="16"/>
  <c r="S290" i="16"/>
  <c r="S289" i="16"/>
  <c r="AQ378" i="16"/>
  <c r="BB378" i="16"/>
  <c r="BA378" i="16"/>
  <c r="AU378" i="16"/>
  <c r="BP378" i="16"/>
  <c r="BS373" i="16" s="1"/>
  <c r="CA378" i="16"/>
  <c r="BH378" i="16"/>
  <c r="BV378" i="16"/>
  <c r="AT378" i="16"/>
  <c r="AZ378" i="16"/>
  <c r="AC379" i="16"/>
  <c r="AY377" i="16"/>
  <c r="GE341" i="10" s="1"/>
  <c r="AV211" i="16" l="1"/>
  <c r="AW211" i="16" s="1"/>
  <c r="AW209" i="16"/>
  <c r="AV208" i="16"/>
  <c r="AW208" i="16" s="1"/>
  <c r="AR729" i="5"/>
  <c r="AX721" i="5" s="1"/>
  <c r="AP730" i="5"/>
  <c r="AP731" i="5" s="1"/>
  <c r="AP732" i="5" s="1"/>
  <c r="AP733" i="5" s="1"/>
  <c r="AK254" i="16"/>
  <c r="AV215" i="16"/>
  <c r="AV210" i="16"/>
  <c r="AW210" i="16" s="1"/>
  <c r="AW212" i="16"/>
  <c r="AV218" i="16"/>
  <c r="AV221" i="16"/>
  <c r="AM257" i="16"/>
  <c r="AG257" i="16"/>
  <c r="BX248" i="16"/>
  <c r="AM260" i="16"/>
  <c r="AK248" i="16"/>
  <c r="AG260" i="16"/>
  <c r="AG259" i="16" s="1"/>
  <c r="AK251" i="16"/>
  <c r="BC379" i="16"/>
  <c r="AS379" i="16"/>
  <c r="AR379" i="16"/>
  <c r="BG377" i="16"/>
  <c r="GG341" i="10" s="1"/>
  <c r="AR813" i="5"/>
  <c r="BI373" i="16"/>
  <c r="BN379" i="16"/>
  <c r="BT379" i="16"/>
  <c r="BU374" i="16" s="1"/>
  <c r="BR379" i="16"/>
  <c r="BJ379" i="16"/>
  <c r="BK374" i="16" s="1"/>
  <c r="BO379" i="16"/>
  <c r="BL379" i="16"/>
  <c r="BM374" i="16" s="1"/>
  <c r="BQ373" i="16"/>
  <c r="AE379" i="16"/>
  <c r="AH379" i="16"/>
  <c r="T289" i="16"/>
  <c r="T290" i="16"/>
  <c r="AO378" i="16"/>
  <c r="BB379" i="16"/>
  <c r="BP379" i="16"/>
  <c r="BS374" i="16" s="1"/>
  <c r="BW379" i="16"/>
  <c r="AZ379" i="16"/>
  <c r="AT379" i="16"/>
  <c r="AQ379" i="16"/>
  <c r="BA379" i="16"/>
  <c r="AU379" i="16"/>
  <c r="BV379" i="16"/>
  <c r="CA379" i="16"/>
  <c r="BH379" i="16"/>
  <c r="AC380" i="16"/>
  <c r="AY378" i="16"/>
  <c r="BG378" i="16" s="1"/>
  <c r="AV219" i="16" l="1"/>
  <c r="AW219" i="16" s="1"/>
  <c r="AW215" i="16"/>
  <c r="AV214" i="16"/>
  <c r="AW214" i="16" s="1"/>
  <c r="AV213" i="16"/>
  <c r="AW213" i="16" s="1"/>
  <c r="AW218" i="16"/>
  <c r="AV217" i="16"/>
  <c r="AM259" i="16"/>
  <c r="AK250" i="16"/>
  <c r="AW221" i="16"/>
  <c r="AV220" i="16"/>
  <c r="AW220" i="16" s="1"/>
  <c r="AK253" i="16"/>
  <c r="AM258" i="16"/>
  <c r="AG258" i="16"/>
  <c r="AK249" i="16"/>
  <c r="AK252" i="16"/>
  <c r="AQ343" i="10"/>
  <c r="AR733" i="5"/>
  <c r="AQ733" i="5" s="1"/>
  <c r="AT730" i="5" s="1"/>
  <c r="AP734" i="5"/>
  <c r="AV245" i="16"/>
  <c r="AV254" i="16"/>
  <c r="AV257" i="16"/>
  <c r="AV248" i="16"/>
  <c r="AV251" i="16"/>
  <c r="BC380" i="16"/>
  <c r="AR380" i="16"/>
  <c r="AS380" i="16"/>
  <c r="BI374" i="16"/>
  <c r="BQ374" i="16"/>
  <c r="BN380" i="16"/>
  <c r="BR380" i="16"/>
  <c r="BT380" i="16"/>
  <c r="BU375" i="16" s="1"/>
  <c r="BJ380" i="16"/>
  <c r="BK375" i="16" s="1"/>
  <c r="BO380" i="16"/>
  <c r="BL380" i="16"/>
  <c r="BM375" i="16" s="1"/>
  <c r="AH380" i="16"/>
  <c r="AE380" i="16"/>
  <c r="BV380" i="16"/>
  <c r="AO379" i="16"/>
  <c r="AT380" i="16"/>
  <c r="AQ380" i="16"/>
  <c r="BB380" i="16"/>
  <c r="BW380" i="16"/>
  <c r="BA380" i="16"/>
  <c r="BH380" i="16"/>
  <c r="BP380" i="16"/>
  <c r="BS375" i="16" s="1"/>
  <c r="CA380" i="16"/>
  <c r="AZ380" i="16"/>
  <c r="AU380" i="16"/>
  <c r="AC381" i="16"/>
  <c r="AY379" i="16"/>
  <c r="BG379" i="16" s="1"/>
  <c r="AV216" i="16" l="1"/>
  <c r="AW216" i="16" s="1"/>
  <c r="AW217" i="16"/>
  <c r="AV246" i="16"/>
  <c r="AW246" i="16" s="1"/>
  <c r="AH332" i="10" s="1"/>
  <c r="AV255" i="16"/>
  <c r="AW255" i="16" s="1"/>
  <c r="BI332" i="10" s="1"/>
  <c r="AW251" i="16"/>
  <c r="AW332" i="10" s="1"/>
  <c r="AV250" i="16"/>
  <c r="AW250" i="16" s="1"/>
  <c r="AT332" i="10" s="1"/>
  <c r="AV249" i="16"/>
  <c r="AW249" i="16" s="1"/>
  <c r="AQ332" i="10" s="1"/>
  <c r="AW248" i="16"/>
  <c r="AN332" i="10" s="1"/>
  <c r="AV247" i="16"/>
  <c r="AW247" i="16" s="1"/>
  <c r="AK332" i="10" s="1"/>
  <c r="AW245" i="16"/>
  <c r="AE332" i="10" s="1"/>
  <c r="AW257" i="16"/>
  <c r="AV256" i="16"/>
  <c r="AW256" i="16" s="1"/>
  <c r="BL332" i="10" s="1"/>
  <c r="AV252" i="16"/>
  <c r="AW252" i="16" s="1"/>
  <c r="AZ332" i="10" s="1"/>
  <c r="AW254" i="16"/>
  <c r="BF332" i="10" s="1"/>
  <c r="AV253" i="16"/>
  <c r="AW253" i="16" s="1"/>
  <c r="BC332" i="10" s="1"/>
  <c r="AR734" i="5"/>
  <c r="AQ734" i="5" s="1"/>
  <c r="AU730" i="5" s="1"/>
  <c r="AP735" i="5"/>
  <c r="AT806" i="5"/>
  <c r="AV332" i="16"/>
  <c r="AV266" i="16"/>
  <c r="AV329" i="16"/>
  <c r="AV338" i="16"/>
  <c r="AV344" i="16"/>
  <c r="AV335" i="16"/>
  <c r="AV269" i="16"/>
  <c r="AV323" i="16"/>
  <c r="AV326" i="16"/>
  <c r="AV341" i="16"/>
  <c r="BC381" i="16"/>
  <c r="AR381" i="16"/>
  <c r="AS381" i="16"/>
  <c r="BN381" i="16"/>
  <c r="BR381" i="16"/>
  <c r="BT381" i="16"/>
  <c r="BU376" i="16" s="1"/>
  <c r="BJ381" i="16"/>
  <c r="BK376" i="16" s="1"/>
  <c r="BO381" i="16"/>
  <c r="BL381" i="16"/>
  <c r="BM376" i="16" s="1"/>
  <c r="BI375" i="16"/>
  <c r="BQ375" i="16"/>
  <c r="AE381" i="16"/>
  <c r="AH381" i="16"/>
  <c r="AO380" i="16"/>
  <c r="AU381" i="16"/>
  <c r="AZ381" i="16"/>
  <c r="BH381" i="16"/>
  <c r="BB381" i="16"/>
  <c r="AT381" i="16"/>
  <c r="BV381" i="16"/>
  <c r="AQ381" i="16"/>
  <c r="BP381" i="16"/>
  <c r="BS376" i="16" s="1"/>
  <c r="BW381" i="16"/>
  <c r="BA381" i="16"/>
  <c r="CA381" i="16"/>
  <c r="AC382" i="16"/>
  <c r="AY380" i="16"/>
  <c r="BG380" i="16" s="1"/>
  <c r="AV333" i="16" l="1"/>
  <c r="AW333" i="16" s="1"/>
  <c r="EL332" i="10" s="1"/>
  <c r="AV339" i="16"/>
  <c r="AW339" i="16" s="1"/>
  <c r="ER332" i="10" s="1"/>
  <c r="AV336" i="16"/>
  <c r="AW336" i="16" s="1"/>
  <c r="EO332" i="10" s="1"/>
  <c r="AV327" i="16"/>
  <c r="AW327" i="16" s="1"/>
  <c r="AV342" i="16"/>
  <c r="AW342" i="16" s="1"/>
  <c r="AW335" i="16"/>
  <c r="AV334" i="16"/>
  <c r="AW334" i="16" s="1"/>
  <c r="AW338" i="16"/>
  <c r="AV337" i="16"/>
  <c r="AW337" i="16" s="1"/>
  <c r="AW344" i="16"/>
  <c r="AV343" i="16"/>
  <c r="AW343" i="16" s="1"/>
  <c r="AW341" i="16"/>
  <c r="AV340" i="16"/>
  <c r="AW340" i="16" s="1"/>
  <c r="AW332" i="16"/>
  <c r="AV331" i="16"/>
  <c r="AW331" i="16" s="1"/>
  <c r="AV330" i="16"/>
  <c r="AW330" i="16" s="1"/>
  <c r="AW269" i="16"/>
  <c r="AV268" i="16"/>
  <c r="AW268" i="16" s="1"/>
  <c r="AW323" i="16"/>
  <c r="AW326" i="16"/>
  <c r="AV325" i="16"/>
  <c r="AW325" i="16" s="1"/>
  <c r="AW329" i="16"/>
  <c r="AV328" i="16"/>
  <c r="AW328" i="16" s="1"/>
  <c r="AV324" i="16"/>
  <c r="AW324" i="16" s="1"/>
  <c r="AP736" i="5"/>
  <c r="AR735" i="5"/>
  <c r="AY730" i="5" s="1"/>
  <c r="AU806" i="5"/>
  <c r="AY806" i="5"/>
  <c r="AX806" i="5"/>
  <c r="AV806" i="5"/>
  <c r="AW806" i="5"/>
  <c r="AV267" i="16"/>
  <c r="AW267" i="16" s="1"/>
  <c r="AW266" i="16"/>
  <c r="BC382" i="16"/>
  <c r="AS382" i="16"/>
  <c r="AR382" i="16"/>
  <c r="BN382" i="16"/>
  <c r="BT382" i="16"/>
  <c r="BU377" i="16" s="1"/>
  <c r="BR382" i="16"/>
  <c r="BJ382" i="16"/>
  <c r="BK377" i="16" s="1"/>
  <c r="BL382" i="16"/>
  <c r="BM377" i="16" s="1"/>
  <c r="BO382" i="16"/>
  <c r="BQ376" i="16"/>
  <c r="BI376" i="16"/>
  <c r="AH382" i="16"/>
  <c r="AE382" i="16"/>
  <c r="AO381" i="16"/>
  <c r="BW382" i="16"/>
  <c r="AU382" i="16"/>
  <c r="BP382" i="16"/>
  <c r="BS377" i="16" s="1"/>
  <c r="BA382" i="16"/>
  <c r="AZ382" i="16"/>
  <c r="BH382" i="16"/>
  <c r="CA382" i="16"/>
  <c r="AT382" i="16"/>
  <c r="AQ382" i="16"/>
  <c r="BV382" i="16"/>
  <c r="BB382" i="16"/>
  <c r="AC383" i="16"/>
  <c r="AY381" i="16"/>
  <c r="BG381" i="16" s="1"/>
  <c r="EF332" i="10" l="1"/>
  <c r="EU332" i="10"/>
  <c r="EI332" i="10"/>
  <c r="EC332" i="10"/>
  <c r="AR736" i="5"/>
  <c r="AV730" i="5" s="1"/>
  <c r="AP737" i="5"/>
  <c r="BX332" i="10"/>
  <c r="AV320" i="16"/>
  <c r="AV321" i="16" s="1"/>
  <c r="AW321" i="16" s="1"/>
  <c r="AV317" i="16"/>
  <c r="BC383" i="16"/>
  <c r="AS383" i="16"/>
  <c r="AR383" i="16"/>
  <c r="AR820" i="5"/>
  <c r="BI377" i="16"/>
  <c r="BQ377" i="16"/>
  <c r="BN383" i="16"/>
  <c r="BT383" i="16"/>
  <c r="BU378" i="16" s="1"/>
  <c r="BR383" i="16"/>
  <c r="BJ383" i="16"/>
  <c r="BK378" i="16" s="1"/>
  <c r="BO383" i="16"/>
  <c r="BL383" i="16"/>
  <c r="BM378" i="16" s="1"/>
  <c r="AE383" i="16"/>
  <c r="AH383" i="16"/>
  <c r="BV383" i="16"/>
  <c r="AO382" i="16"/>
  <c r="AT383" i="16"/>
  <c r="AQ383" i="16"/>
  <c r="BA383" i="16"/>
  <c r="BP383" i="16"/>
  <c r="BS378" i="16" s="1"/>
  <c r="CA383" i="16"/>
  <c r="BB383" i="16"/>
  <c r="BH383" i="16"/>
  <c r="BW383" i="16"/>
  <c r="AU383" i="16"/>
  <c r="AZ383" i="16"/>
  <c r="AC384" i="16"/>
  <c r="AY382" i="16"/>
  <c r="BG382" i="16" s="1"/>
  <c r="AW320" i="16" l="1"/>
  <c r="DZ332" i="10" s="1"/>
  <c r="AV322" i="16"/>
  <c r="AW322" i="16" s="1"/>
  <c r="AV319" i="16"/>
  <c r="AW319" i="16" s="1"/>
  <c r="AP738" i="5"/>
  <c r="AR737" i="5"/>
  <c r="AQ737" i="5" s="1"/>
  <c r="AV318" i="16"/>
  <c r="AW318" i="16" s="1"/>
  <c r="AW317" i="16"/>
  <c r="BC384" i="16"/>
  <c r="AR384" i="16"/>
  <c r="AS384" i="16"/>
  <c r="AR821" i="5"/>
  <c r="BI378" i="16"/>
  <c r="BQ378" i="16"/>
  <c r="BN384" i="16"/>
  <c r="BR384" i="16"/>
  <c r="BT384" i="16"/>
  <c r="BU379" i="16" s="1"/>
  <c r="BJ384" i="16"/>
  <c r="BK379" i="16" s="1"/>
  <c r="BO384" i="16"/>
  <c r="BL384" i="16"/>
  <c r="BM379" i="16" s="1"/>
  <c r="AH384" i="16"/>
  <c r="AE384" i="16"/>
  <c r="GJ341" i="10"/>
  <c r="GH341" i="10"/>
  <c r="GH329" i="10"/>
  <c r="GH328" i="10" s="1"/>
  <c r="GK329" i="10"/>
  <c r="GK328" i="10" s="1"/>
  <c r="AO383" i="16"/>
  <c r="AZ384" i="16"/>
  <c r="CA384" i="16"/>
  <c r="BH384" i="16"/>
  <c r="BV384" i="16"/>
  <c r="AT384" i="16"/>
  <c r="AQ384" i="16"/>
  <c r="BP384" i="16"/>
  <c r="BS379" i="16" s="1"/>
  <c r="BB384" i="16"/>
  <c r="AU384" i="16"/>
  <c r="BA384" i="16"/>
  <c r="BW384" i="16"/>
  <c r="AC385" i="16"/>
  <c r="AY383" i="16"/>
  <c r="GK341" i="10" s="1"/>
  <c r="DW332" i="10" l="1"/>
  <c r="AW730" i="5"/>
  <c r="AR738" i="5"/>
  <c r="AQ738" i="5" s="1"/>
  <c r="AX730" i="5" s="1"/>
  <c r="AP739" i="5"/>
  <c r="AP740" i="5" s="1"/>
  <c r="AP741" i="5" s="1"/>
  <c r="AP742" i="5" s="1"/>
  <c r="AV293" i="16"/>
  <c r="BC385" i="16"/>
  <c r="AS385" i="16"/>
  <c r="AR385" i="16"/>
  <c r="BG383" i="16"/>
  <c r="GM341" i="10" s="1"/>
  <c r="AR822" i="5"/>
  <c r="BI379" i="16"/>
  <c r="BN385" i="16"/>
  <c r="BR385" i="16"/>
  <c r="BT385" i="16"/>
  <c r="BU380" i="16" s="1"/>
  <c r="BL385" i="16"/>
  <c r="BM380" i="16" s="1"/>
  <c r="BJ385" i="16"/>
  <c r="BK380" i="16" s="1"/>
  <c r="BO385" i="16"/>
  <c r="BQ379" i="16"/>
  <c r="AE385" i="16"/>
  <c r="AH385" i="16"/>
  <c r="AO384" i="16"/>
  <c r="BV385" i="16"/>
  <c r="AT385" i="16"/>
  <c r="BP385" i="16"/>
  <c r="BS380" i="16" s="1"/>
  <c r="BH385" i="16"/>
  <c r="AQ385" i="16"/>
  <c r="BW385" i="16"/>
  <c r="CA385" i="16"/>
  <c r="AZ385" i="16"/>
  <c r="BA385" i="16"/>
  <c r="AU385" i="16"/>
  <c r="BB385" i="16"/>
  <c r="AC386" i="16"/>
  <c r="AY384" i="16"/>
  <c r="BG384" i="16" s="1"/>
  <c r="AW293" i="16" l="1"/>
  <c r="AR742" i="5"/>
  <c r="AQ742" i="5" s="1"/>
  <c r="AT739" i="5" s="1"/>
  <c r="AP743" i="5"/>
  <c r="BC386" i="16"/>
  <c r="AS386" i="16"/>
  <c r="AR386" i="16"/>
  <c r="BT386" i="16"/>
  <c r="BU381" i="16" s="1"/>
  <c r="BR386" i="16"/>
  <c r="BL386" i="16"/>
  <c r="BM381" i="16" s="1"/>
  <c r="BJ386" i="16"/>
  <c r="BK381" i="16" s="1"/>
  <c r="BO386" i="16"/>
  <c r="BI380" i="16"/>
  <c r="BQ380" i="16"/>
  <c r="AT386" i="16"/>
  <c r="BN386" i="16"/>
  <c r="AH386" i="16"/>
  <c r="AE386" i="16"/>
  <c r="BW386" i="16"/>
  <c r="AQ386" i="16"/>
  <c r="BB386" i="16"/>
  <c r="CA386" i="16"/>
  <c r="BP386" i="16"/>
  <c r="BS381" i="16" s="1"/>
  <c r="AZ386" i="16"/>
  <c r="AU386" i="16"/>
  <c r="BV386" i="16"/>
  <c r="BH386" i="16"/>
  <c r="AO385" i="16"/>
  <c r="BA386" i="16"/>
  <c r="AC387" i="16"/>
  <c r="AY385" i="16"/>
  <c r="BG385" i="16" s="1"/>
  <c r="AR743" i="5" l="1"/>
  <c r="AU739" i="5" s="1"/>
  <c r="AP744" i="5"/>
  <c r="BC387" i="16"/>
  <c r="AS387" i="16"/>
  <c r="AR387" i="16"/>
  <c r="BQ381" i="16"/>
  <c r="BN387" i="16"/>
  <c r="BT387" i="16"/>
  <c r="BU382" i="16" s="1"/>
  <c r="BR387" i="16"/>
  <c r="BL387" i="16"/>
  <c r="BM382" i="16" s="1"/>
  <c r="BO387" i="16"/>
  <c r="BJ387" i="16"/>
  <c r="BK382" i="16" s="1"/>
  <c r="BI381" i="16"/>
  <c r="AH387" i="16"/>
  <c r="AE387" i="16"/>
  <c r="GN329" i="10"/>
  <c r="GN328" i="10" s="1"/>
  <c r="AU387" i="16"/>
  <c r="AO386" i="16"/>
  <c r="BW387" i="16"/>
  <c r="AZ387" i="16"/>
  <c r="AQ387" i="16"/>
  <c r="BA387" i="16"/>
  <c r="CA387" i="16"/>
  <c r="AT387" i="16"/>
  <c r="BP387" i="16"/>
  <c r="BS382" i="16" s="1"/>
  <c r="BV387" i="16"/>
  <c r="BH387" i="16"/>
  <c r="BB387" i="16"/>
  <c r="AC388" i="16"/>
  <c r="AY386" i="16"/>
  <c r="GN341" i="10" s="1"/>
  <c r="AR744" i="5" l="1"/>
  <c r="AY739" i="5" s="1"/>
  <c r="AP745" i="5"/>
  <c r="BC388" i="16"/>
  <c r="AS388" i="16"/>
  <c r="AR388" i="16"/>
  <c r="BG386" i="16"/>
  <c r="GP341" i="10" s="1"/>
  <c r="BR388" i="16"/>
  <c r="BT388" i="16"/>
  <c r="BU383" i="16" s="1"/>
  <c r="BL388" i="16"/>
  <c r="BM383" i="16" s="1"/>
  <c r="BO388" i="16"/>
  <c r="BJ388" i="16"/>
  <c r="BK383" i="16" s="1"/>
  <c r="BQ382" i="16"/>
  <c r="BI382" i="16"/>
  <c r="BP388" i="16"/>
  <c r="BS383" i="16" s="1"/>
  <c r="BN388" i="16"/>
  <c r="AH388" i="16"/>
  <c r="AE388" i="16"/>
  <c r="CA388" i="16"/>
  <c r="AZ388" i="16"/>
  <c r="BV388" i="16"/>
  <c r="AO387" i="16"/>
  <c r="BB388" i="16"/>
  <c r="BW388" i="16"/>
  <c r="AT388" i="16"/>
  <c r="BH388" i="16"/>
  <c r="AQ388" i="16"/>
  <c r="AU388" i="16"/>
  <c r="BA388" i="16"/>
  <c r="AC389" i="16"/>
  <c r="AY387" i="16"/>
  <c r="BG387" i="16" s="1"/>
  <c r="AR745" i="5" l="1"/>
  <c r="AQ745" i="5" s="1"/>
  <c r="AP746" i="5"/>
  <c r="BC389" i="16"/>
  <c r="AS389" i="16"/>
  <c r="AR389" i="16"/>
  <c r="AR829" i="5"/>
  <c r="BN389" i="16"/>
  <c r="BR389" i="16"/>
  <c r="BT389" i="16"/>
  <c r="BU388" i="16" s="1"/>
  <c r="BL389" i="16"/>
  <c r="BM387" i="16" s="1"/>
  <c r="BJ389" i="16"/>
  <c r="BK389" i="16" s="1"/>
  <c r="BO389" i="16"/>
  <c r="BI383" i="16"/>
  <c r="BQ383" i="16"/>
  <c r="AE389" i="16"/>
  <c r="AH389" i="16"/>
  <c r="AZ389" i="16"/>
  <c r="AT389" i="16"/>
  <c r="BV389" i="16"/>
  <c r="AO388" i="16"/>
  <c r="BA389" i="16"/>
  <c r="AU389" i="16"/>
  <c r="CA389" i="16"/>
  <c r="BB389" i="16"/>
  <c r="BH389" i="16"/>
  <c r="AQ389" i="16"/>
  <c r="GQ329" i="10" s="1"/>
  <c r="GQ328" i="10" s="1"/>
  <c r="BW389" i="16"/>
  <c r="BP389" i="16"/>
  <c r="BS389" i="16" s="1"/>
  <c r="AY388" i="16"/>
  <c r="BG388" i="16" s="1"/>
  <c r="AP747" i="5" l="1"/>
  <c r="AR746" i="5"/>
  <c r="AQ746" i="5" s="1"/>
  <c r="AW739" i="5" s="1"/>
  <c r="AV739" i="5"/>
  <c r="AR830" i="5"/>
  <c r="BU384" i="16"/>
  <c r="BU389" i="16"/>
  <c r="BQ389" i="16" s="1"/>
  <c r="BS385" i="16"/>
  <c r="BS384" i="16"/>
  <c r="BU385" i="16"/>
  <c r="BU386" i="16"/>
  <c r="BK384" i="16"/>
  <c r="BU387" i="16"/>
  <c r="BK388" i="16"/>
  <c r="BM385" i="16"/>
  <c r="BK386" i="16"/>
  <c r="BM388" i="16"/>
  <c r="BM386" i="16"/>
  <c r="BM389" i="16"/>
  <c r="BI389" i="16" s="1"/>
  <c r="BK385" i="16"/>
  <c r="BM384" i="16"/>
  <c r="BK387" i="16"/>
  <c r="BI387" i="16" s="1"/>
  <c r="AO389" i="16"/>
  <c r="BS387" i="16"/>
  <c r="BS386" i="16"/>
  <c r="BS388" i="16"/>
  <c r="BQ388" i="16" s="1"/>
  <c r="AY389" i="16"/>
  <c r="GQ341" i="10" s="1"/>
  <c r="AR747" i="5" l="1"/>
  <c r="AX739" i="5" s="1"/>
  <c r="AP748" i="5"/>
  <c r="AP749" i="5" s="1"/>
  <c r="AP750" i="5" s="1"/>
  <c r="AP751" i="5" s="1"/>
  <c r="AT815" i="5"/>
  <c r="BG389" i="16"/>
  <c r="GS341" i="10" s="1"/>
  <c r="AR831" i="5"/>
  <c r="AQ831" i="5" s="1"/>
  <c r="BI388" i="16"/>
  <c r="BQ387" i="16"/>
  <c r="BI384" i="16"/>
  <c r="BQ386" i="16"/>
  <c r="BI386" i="16"/>
  <c r="BQ384" i="16"/>
  <c r="BQ385" i="16"/>
  <c r="BI385" i="16"/>
  <c r="AR751" i="5" l="1"/>
  <c r="AQ751" i="5" s="1"/>
  <c r="AT748" i="5" s="1"/>
  <c r="AP752" i="5"/>
  <c r="AX815" i="5"/>
  <c r="AV815" i="5"/>
  <c r="AY815" i="5"/>
  <c r="AW815" i="5"/>
  <c r="AU815" i="5"/>
  <c r="AT826" i="5"/>
  <c r="AP753" i="5" l="1"/>
  <c r="AR752" i="5"/>
  <c r="AU748" i="5" s="1"/>
  <c r="AG389" i="16"/>
  <c r="AU826" i="5"/>
  <c r="AY826" i="5"/>
  <c r="AX826" i="5"/>
  <c r="AV826" i="5"/>
  <c r="AW826" i="5"/>
  <c r="AP754" i="5" l="1"/>
  <c r="AR753" i="5"/>
  <c r="AY748" i="5" s="1"/>
  <c r="AT833" i="5"/>
  <c r="FV338" i="10"/>
  <c r="EL345" i="10"/>
  <c r="FM338" i="10"/>
  <c r="EL335" i="10"/>
  <c r="FD338" i="10"/>
  <c r="DT335" i="10"/>
  <c r="EC335" i="10"/>
  <c r="AR754" i="5" l="1"/>
  <c r="AQ754" i="5" s="1"/>
  <c r="AP755" i="5"/>
  <c r="AT824" i="5"/>
  <c r="AU833" i="5"/>
  <c r="EI335" i="10"/>
  <c r="EI345" i="10"/>
  <c r="DZ335" i="10"/>
  <c r="FA338" i="10"/>
  <c r="FJ338" i="10"/>
  <c r="FS338" i="10"/>
  <c r="DQ335" i="10"/>
  <c r="AR755" i="5" l="1"/>
  <c r="AQ755" i="5" s="1"/>
  <c r="AW748" i="5" s="1"/>
  <c r="AP756" i="5"/>
  <c r="AP757" i="5" s="1"/>
  <c r="AP758" i="5" s="1"/>
  <c r="AP759" i="5" s="1"/>
  <c r="AP760" i="5" s="1"/>
  <c r="AX748" i="5"/>
  <c r="AV748" i="5"/>
  <c r="AU824" i="5"/>
  <c r="AY824" i="5"/>
  <c r="AX824" i="5"/>
  <c r="AV824" i="5"/>
  <c r="AW824" i="5"/>
  <c r="AP761" i="5" l="1"/>
  <c r="AR760" i="5"/>
  <c r="AR761" i="5" l="1"/>
  <c r="AQ761" i="5" s="1"/>
  <c r="AT757" i="5" s="1"/>
  <c r="AP762" i="5"/>
  <c r="AV833" i="5"/>
  <c r="FV335" i="10"/>
  <c r="AR762" i="5" l="1"/>
  <c r="AQ762" i="5" s="1"/>
  <c r="AP763" i="5"/>
  <c r="AX757" i="5"/>
  <c r="AU757" i="5"/>
  <c r="AX833" i="5"/>
  <c r="FS335" i="10"/>
  <c r="GN345" i="10"/>
  <c r="GN335" i="10"/>
  <c r="GN334" i="10" s="1"/>
  <c r="AR763" i="5" l="1"/>
  <c r="AQ763" i="5" s="1"/>
  <c r="AY757" i="5" s="1"/>
  <c r="AP764" i="5"/>
  <c r="AW833" i="5"/>
  <c r="GK345" i="10"/>
  <c r="GK335" i="10"/>
  <c r="GN338" i="10"/>
  <c r="GN337" i="10" s="1"/>
  <c r="GE345" i="10"/>
  <c r="AP765" i="5" l="1"/>
  <c r="AR764" i="5"/>
  <c r="AV757" i="5" s="1"/>
  <c r="GK338" i="10"/>
  <c r="GB345" i="10"/>
  <c r="AP766" i="5" l="1"/>
  <c r="AP767" i="5" s="1"/>
  <c r="AP768" i="5" s="1"/>
  <c r="AP769" i="5" s="1"/>
  <c r="AR765" i="5"/>
  <c r="AQ765" i="5" s="1"/>
  <c r="AW757" i="5" s="1"/>
  <c r="AR838" i="5"/>
  <c r="AQ838" i="5" s="1"/>
  <c r="AP770" i="5" l="1"/>
  <c r="AR769" i="5"/>
  <c r="AQ769" i="5" s="1"/>
  <c r="AR839" i="5"/>
  <c r="AY833" i="5" s="1"/>
  <c r="AR770" i="5" l="1"/>
  <c r="AQ770" i="5" s="1"/>
  <c r="AT766" i="5" s="1"/>
  <c r="AP771" i="5"/>
  <c r="AR840" i="5"/>
  <c r="AP772" i="5" l="1"/>
  <c r="AR771" i="5"/>
  <c r="AQ771" i="5" s="1"/>
  <c r="AX766" i="5"/>
  <c r="AP773" i="5" l="1"/>
  <c r="AR772" i="5"/>
  <c r="AU766" i="5" s="1"/>
  <c r="AP774" i="5" l="1"/>
  <c r="AR773" i="5"/>
  <c r="AV766" i="5" s="1"/>
  <c r="AY766" i="5"/>
  <c r="AY851" i="5"/>
  <c r="AR774" i="5" l="1"/>
  <c r="AQ774" i="5" s="1"/>
  <c r="AW766" i="5" s="1"/>
  <c r="AP775" i="5"/>
  <c r="AP776" i="5" s="1"/>
  <c r="AP777" i="5" s="1"/>
  <c r="AP778" i="5" s="1"/>
  <c r="AR847" i="5"/>
  <c r="AQ847" i="5" s="1"/>
  <c r="BH248" i="16"/>
  <c r="EU335" i="10"/>
  <c r="FD347" i="10"/>
  <c r="DT345" i="10"/>
  <c r="DT338" i="10"/>
  <c r="EU338" i="10"/>
  <c r="EU347" i="10"/>
  <c r="DT347" i="10"/>
  <c r="AQ345" i="10" l="1"/>
  <c r="BH247" i="16"/>
  <c r="AN345" i="10" s="1"/>
  <c r="AP779" i="5"/>
  <c r="AR778" i="5"/>
  <c r="AQ778" i="5" s="1"/>
  <c r="AR848" i="5"/>
  <c r="AU245" i="16"/>
  <c r="BW263" i="16"/>
  <c r="BW262" i="16" s="1"/>
  <c r="ER347" i="10"/>
  <c r="ER338" i="10"/>
  <c r="FA347" i="10"/>
  <c r="ER335" i="10"/>
  <c r="DQ347" i="10"/>
  <c r="DQ338" i="10"/>
  <c r="DQ345" i="10"/>
  <c r="AH338" i="10" l="1"/>
  <c r="AU244" i="16"/>
  <c r="AE338" i="10" s="1"/>
  <c r="AP780" i="5"/>
  <c r="AR779" i="5"/>
  <c r="AQ779" i="5" s="1"/>
  <c r="AT775" i="5" s="1"/>
  <c r="AX775" i="5" s="1"/>
  <c r="AR849" i="5"/>
  <c r="AV851" i="5"/>
  <c r="GK337" i="10"/>
  <c r="AP781" i="5" l="1"/>
  <c r="AR780" i="5"/>
  <c r="AU775" i="5" s="1"/>
  <c r="AW851" i="5"/>
  <c r="GN347" i="10"/>
  <c r="AP782" i="5" l="1"/>
  <c r="AR781" i="5"/>
  <c r="AY775" i="5" s="1"/>
  <c r="BH249" i="16"/>
  <c r="AT345" i="10" s="1"/>
  <c r="BH251" i="16"/>
  <c r="BI335" i="10"/>
  <c r="BF335" i="10"/>
  <c r="GK347" i="10"/>
  <c r="EC338" i="10"/>
  <c r="AZ345" i="10" l="1"/>
  <c r="BH250" i="16"/>
  <c r="AW345" i="10" s="1"/>
  <c r="AP783" i="5"/>
  <c r="AR782" i="5"/>
  <c r="AV775" i="5" s="1"/>
  <c r="BP251" i="16"/>
  <c r="DZ338" i="10"/>
  <c r="AZ347" i="10" l="1"/>
  <c r="BP250" i="16"/>
  <c r="AW347" i="10" s="1"/>
  <c r="AR783" i="5"/>
  <c r="AQ783" i="5" s="1"/>
  <c r="AW775" i="5" s="1"/>
  <c r="AP784" i="5"/>
  <c r="AP785" i="5" s="1"/>
  <c r="AP786" i="5" s="1"/>
  <c r="AP787" i="5" s="1"/>
  <c r="AR856" i="5"/>
  <c r="AQ856" i="5" s="1"/>
  <c r="BK317" i="16"/>
  <c r="BM318" i="16"/>
  <c r="BM320" i="16"/>
  <c r="BI317" i="16" l="1"/>
  <c r="BK316" i="16"/>
  <c r="BI316" i="16" s="1"/>
  <c r="BM321" i="16"/>
  <c r="BM319" i="16"/>
  <c r="AP788" i="5"/>
  <c r="AR787" i="5"/>
  <c r="AQ787" i="5" s="1"/>
  <c r="AR857" i="5"/>
  <c r="AU851" i="5" s="1"/>
  <c r="AT863" i="5"/>
  <c r="FV347" i="10"/>
  <c r="EL334" i="10"/>
  <c r="AR788" i="5" l="1"/>
  <c r="AQ788" i="5" s="1"/>
  <c r="AT784" i="5" s="1"/>
  <c r="AX784" i="5" s="1"/>
  <c r="AP789" i="5"/>
  <c r="AR858" i="5"/>
  <c r="AX851" i="5" s="1"/>
  <c r="AU863" i="5"/>
  <c r="FS347" i="10"/>
  <c r="EI334" i="10"/>
  <c r="AR789" i="5" l="1"/>
  <c r="AU784" i="5" s="1"/>
  <c r="AP790" i="5"/>
  <c r="AY863" i="5"/>
  <c r="AP791" i="5" l="1"/>
  <c r="AR790" i="5"/>
  <c r="AY784" i="5" s="1"/>
  <c r="FV345" i="10"/>
  <c r="AR791" i="5" l="1"/>
  <c r="AV784" i="5" s="1"/>
  <c r="AP792" i="5"/>
  <c r="FS345" i="10"/>
  <c r="GK334" i="10"/>
  <c r="AR792" i="5" l="1"/>
  <c r="AQ792" i="5" s="1"/>
  <c r="AW784" i="5" s="1"/>
  <c r="AP793" i="5"/>
  <c r="AP794" i="5" s="1"/>
  <c r="AP795" i="5" s="1"/>
  <c r="AP796" i="5" s="1"/>
  <c r="AR865" i="5"/>
  <c r="AQ865" i="5" s="1"/>
  <c r="AT862" i="5" s="1"/>
  <c r="AW863" i="5"/>
  <c r="AP797" i="5" l="1"/>
  <c r="AR796" i="5"/>
  <c r="AR866" i="5"/>
  <c r="AU862" i="5" s="1"/>
  <c r="AR797" i="5" l="1"/>
  <c r="AQ797" i="5" s="1"/>
  <c r="AT793" i="5" s="1"/>
  <c r="AP798" i="5"/>
  <c r="AR867" i="5"/>
  <c r="AQ867" i="5" s="1"/>
  <c r="AP799" i="5" l="1"/>
  <c r="AR798" i="5"/>
  <c r="AU793" i="5" s="1"/>
  <c r="AX793" i="5"/>
  <c r="AY862" i="5"/>
  <c r="AV862" i="5"/>
  <c r="AR882" i="5"/>
  <c r="AR799" i="5" l="1"/>
  <c r="AQ799" i="5" s="1"/>
  <c r="AP800" i="5"/>
  <c r="AR800" i="5" l="1"/>
  <c r="AP801" i="5"/>
  <c r="AV793" i="5"/>
  <c r="AY793" i="5"/>
  <c r="AW862" i="5"/>
  <c r="AX862" i="5"/>
  <c r="AR874" i="5"/>
  <c r="AQ874" i="5" s="1"/>
  <c r="AP802" i="5" l="1"/>
  <c r="AP803" i="5" s="1"/>
  <c r="AP804" i="5" s="1"/>
  <c r="AP805" i="5" s="1"/>
  <c r="AR801" i="5"/>
  <c r="AQ801" i="5" s="1"/>
  <c r="AW793" i="5" s="1"/>
  <c r="AR875" i="5"/>
  <c r="AQ875" i="5" s="1"/>
  <c r="AR805" i="5" l="1"/>
  <c r="AQ805" i="5" s="1"/>
  <c r="AP806" i="5"/>
  <c r="AT871" i="5"/>
  <c r="AX871" i="5" s="1"/>
  <c r="AX863" i="5"/>
  <c r="AR876" i="5"/>
  <c r="AT887" i="5"/>
  <c r="AU871" i="5" l="1"/>
  <c r="AP807" i="5"/>
  <c r="AR806" i="5"/>
  <c r="AQ806" i="5" s="1"/>
  <c r="AT802" i="5" s="1"/>
  <c r="AX802" i="5" l="1"/>
  <c r="AP808" i="5"/>
  <c r="AR807" i="5"/>
  <c r="AQ807" i="5" s="1"/>
  <c r="AU802" i="5" s="1"/>
  <c r="AY871" i="5"/>
  <c r="AR808" i="5" l="1"/>
  <c r="AY802" i="5" s="1"/>
  <c r="AP809" i="5"/>
  <c r="AV871" i="5"/>
  <c r="AU254" i="16"/>
  <c r="AR892" i="5"/>
  <c r="AU887" i="5" s="1"/>
  <c r="FD345" i="10"/>
  <c r="BI338" i="10" l="1"/>
  <c r="AU253" i="16"/>
  <c r="BF338" i="10" s="1"/>
  <c r="AP810" i="5"/>
  <c r="AR809" i="5"/>
  <c r="AV802" i="5" s="1"/>
  <c r="AR883" i="5"/>
  <c r="AQ883" i="5" s="1"/>
  <c r="AW871" i="5"/>
  <c r="FA345" i="10"/>
  <c r="EC345" i="10"/>
  <c r="EL338" i="10"/>
  <c r="EL337" i="10" s="1"/>
  <c r="EL347" i="10"/>
  <c r="AR810" i="5" l="1"/>
  <c r="AQ810" i="5" s="1"/>
  <c r="AW802" i="5" s="1"/>
  <c r="AP811" i="5"/>
  <c r="AP812" i="5" s="1"/>
  <c r="AP813" i="5" s="1"/>
  <c r="AP814" i="5" s="1"/>
  <c r="AR884" i="5"/>
  <c r="AQ884" i="5" s="1"/>
  <c r="AY887" i="5"/>
  <c r="AQ893" i="5"/>
  <c r="EI347" i="10"/>
  <c r="EI338" i="10"/>
  <c r="EI337" i="10" s="1"/>
  <c r="DZ345" i="10"/>
  <c r="AP815" i="5" l="1"/>
  <c r="AR814" i="5"/>
  <c r="AQ814" i="5" s="1"/>
  <c r="AT880" i="5"/>
  <c r="AX880" i="5" s="1"/>
  <c r="AR885" i="5"/>
  <c r="AU880" i="5" l="1"/>
  <c r="AP816" i="5"/>
  <c r="AR815" i="5"/>
  <c r="AQ815" i="5" s="1"/>
  <c r="AT811" i="5" s="1"/>
  <c r="AX811" i="5" l="1"/>
  <c r="AP817" i="5"/>
  <c r="AR816" i="5"/>
  <c r="AU811" i="5" s="1"/>
  <c r="AP818" i="5" l="1"/>
  <c r="AR817" i="5"/>
  <c r="AY811" i="5" s="1"/>
  <c r="AV880" i="5"/>
  <c r="AR902" i="5"/>
  <c r="GE347" i="10"/>
  <c r="AP819" i="5" l="1"/>
  <c r="AR818" i="5"/>
  <c r="AQ818" i="5" s="1"/>
  <c r="AR893" i="5"/>
  <c r="GB347" i="10"/>
  <c r="AV811" i="5" l="1"/>
  <c r="AP820" i="5"/>
  <c r="AP821" i="5" s="1"/>
  <c r="AP822" i="5" s="1"/>
  <c r="AP823" i="5" s="1"/>
  <c r="AR819" i="5"/>
  <c r="AQ819" i="5" s="1"/>
  <c r="AT814" i="5" s="1"/>
  <c r="AR894" i="5"/>
  <c r="AV887" i="5" s="1"/>
  <c r="AT899" i="5"/>
  <c r="GE338" i="10"/>
  <c r="GE337" i="10" s="1"/>
  <c r="FM335" i="10"/>
  <c r="FM334" i="10" s="1"/>
  <c r="FM345" i="10"/>
  <c r="FM337" i="10"/>
  <c r="DT337" i="10"/>
  <c r="AP824" i="5" l="1"/>
  <c r="AR823" i="5"/>
  <c r="AQ823" i="5" s="1"/>
  <c r="AT820" i="5" s="1"/>
  <c r="AW811" i="5"/>
  <c r="AX814" i="5"/>
  <c r="AY814" i="5"/>
  <c r="AV814" i="5"/>
  <c r="AU814" i="5"/>
  <c r="AW814" i="5"/>
  <c r="AU899" i="5"/>
  <c r="FJ335" i="10"/>
  <c r="FJ334" i="10" s="1"/>
  <c r="FJ337" i="10"/>
  <c r="FJ345" i="10"/>
  <c r="GB338" i="10"/>
  <c r="GB337" i="10" s="1"/>
  <c r="DQ337" i="10"/>
  <c r="AR824" i="5" l="1"/>
  <c r="AX820" i="5" s="1"/>
  <c r="AP825" i="5"/>
  <c r="AW887" i="5"/>
  <c r="AT889" i="5"/>
  <c r="AT898" i="5"/>
  <c r="AU898" i="5" s="1"/>
  <c r="AR825" i="5" l="1"/>
  <c r="AU820" i="5" s="1"/>
  <c r="AP826" i="5"/>
  <c r="AX887" i="5"/>
  <c r="AU889" i="5"/>
  <c r="AX889" i="5"/>
  <c r="AX898" i="5"/>
  <c r="AY898" i="5"/>
  <c r="GB335" i="10"/>
  <c r="GB334" i="10" s="1"/>
  <c r="AP827" i="5" l="1"/>
  <c r="AR826" i="5"/>
  <c r="AY820" i="5" s="1"/>
  <c r="AY889" i="5"/>
  <c r="AW899" i="5"/>
  <c r="AV898" i="5"/>
  <c r="AR919" i="5"/>
  <c r="AQ919" i="5" s="1"/>
  <c r="GE335" i="10"/>
  <c r="GE334" i="10" s="1"/>
  <c r="AP828" i="5" l="1"/>
  <c r="AR827" i="5"/>
  <c r="AQ827" i="5" s="1"/>
  <c r="AV820" i="5" s="1"/>
  <c r="AX899" i="5"/>
  <c r="AR828" i="5" l="1"/>
  <c r="AQ828" i="5" s="1"/>
  <c r="AW820" i="5" s="1"/>
  <c r="AP829" i="5"/>
  <c r="AP830" i="5" s="1"/>
  <c r="AP831" i="5" s="1"/>
  <c r="AP832" i="5" s="1"/>
  <c r="AW889" i="5"/>
  <c r="AR903" i="5"/>
  <c r="AQ903" i="5" s="1"/>
  <c r="AW898" i="5"/>
  <c r="AR928" i="5"/>
  <c r="AQ928" i="5" s="1"/>
  <c r="AR832" i="5" l="1"/>
  <c r="AQ832" i="5" s="1"/>
  <c r="AT829" i="5" s="1"/>
  <c r="AP833" i="5"/>
  <c r="AT923" i="5"/>
  <c r="AX923" i="5" s="1"/>
  <c r="AR929" i="5"/>
  <c r="AX75" i="10"/>
  <c r="AX73" i="10"/>
  <c r="AX77" i="10"/>
  <c r="AX78" i="10"/>
  <c r="AX76" i="10"/>
  <c r="AX74" i="10"/>
  <c r="AP834" i="5" l="1"/>
  <c r="AR833" i="5"/>
  <c r="AX829" i="5" s="1"/>
  <c r="AU923" i="5"/>
  <c r="AP835" i="5" l="1"/>
  <c r="AR834" i="5"/>
  <c r="AQ834" i="5" s="1"/>
  <c r="AY899" i="5"/>
  <c r="AT254" i="16"/>
  <c r="AT911" i="5"/>
  <c r="BI337" i="10" l="1"/>
  <c r="AT253" i="16"/>
  <c r="BF337" i="10" s="1"/>
  <c r="AU829" i="5"/>
  <c r="AP836" i="5"/>
  <c r="AR835" i="5"/>
  <c r="AQ835" i="5" s="1"/>
  <c r="AV911" i="5"/>
  <c r="AW911" i="5"/>
  <c r="AX911" i="5"/>
  <c r="AX79" i="10"/>
  <c r="AY829" i="5" l="1"/>
  <c r="AP837" i="5"/>
  <c r="AR836" i="5"/>
  <c r="AV829" i="5" s="1"/>
  <c r="AY911" i="5"/>
  <c r="T82" i="12"/>
  <c r="AA230" i="19"/>
  <c r="AR837" i="5" l="1"/>
  <c r="AQ837" i="5" s="1"/>
  <c r="AW829" i="5" s="1"/>
  <c r="AP838" i="5"/>
  <c r="AP839" i="5" s="1"/>
  <c r="AP840" i="5" s="1"/>
  <c r="AP841" i="5" s="1"/>
  <c r="AR912" i="5"/>
  <c r="AP842" i="5" l="1"/>
  <c r="AR841" i="5"/>
  <c r="AQ841" i="5" s="1"/>
  <c r="AT838" i="5" s="1"/>
  <c r="AR842" i="5" l="1"/>
  <c r="AQ842" i="5" s="1"/>
  <c r="AT835" i="5" s="1"/>
  <c r="AP843" i="5"/>
  <c r="AT909" i="5"/>
  <c r="AX909" i="5"/>
  <c r="T79" i="12"/>
  <c r="AA227" i="19"/>
  <c r="T80" i="12"/>
  <c r="AA228" i="19"/>
  <c r="AA229" i="19"/>
  <c r="T81" i="12"/>
  <c r="AY835" i="5" l="1"/>
  <c r="AU835" i="5"/>
  <c r="AV835" i="5"/>
  <c r="AW835" i="5"/>
  <c r="AX835" i="5"/>
  <c r="AX838" i="5"/>
  <c r="AR843" i="5"/>
  <c r="AQ843" i="5" s="1"/>
  <c r="AP844" i="5"/>
  <c r="AU838" i="5"/>
  <c r="AU909" i="5"/>
  <c r="BP248" i="16"/>
  <c r="AA226" i="19"/>
  <c r="T78" i="12"/>
  <c r="AQ347" i="10" l="1"/>
  <c r="BP249" i="16"/>
  <c r="AT347" i="10" s="1"/>
  <c r="BP247" i="16"/>
  <c r="AN347" i="10" s="1"/>
  <c r="AP845" i="5"/>
  <c r="AR844" i="5"/>
  <c r="AV838" i="5" s="1"/>
  <c r="AY909" i="5"/>
  <c r="AV909" i="5"/>
  <c r="AA225" i="19"/>
  <c r="T77" i="12"/>
  <c r="AR845" i="5" l="1"/>
  <c r="AY838" i="5" s="1"/>
  <c r="AP846" i="5"/>
  <c r="AR846" i="5" l="1"/>
  <c r="AQ846" i="5" s="1"/>
  <c r="AW838" i="5" s="1"/>
  <c r="AP847" i="5"/>
  <c r="AP848" i="5" s="1"/>
  <c r="AP849" i="5" s="1"/>
  <c r="AP850" i="5" s="1"/>
  <c r="AW909" i="5"/>
  <c r="AR921" i="5"/>
  <c r="AR850" i="5" l="1"/>
  <c r="AQ850" i="5" s="1"/>
  <c r="AT847" i="5" s="1"/>
  <c r="AP851" i="5"/>
  <c r="AV923" i="5"/>
  <c r="DT334" i="10"/>
  <c r="EC347" i="10"/>
  <c r="EC337" i="10"/>
  <c r="AR851" i="5" l="1"/>
  <c r="AQ851" i="5" s="1"/>
  <c r="AT844" i="5" s="1"/>
  <c r="AP852" i="5"/>
  <c r="AU847" i="5"/>
  <c r="AT918" i="5"/>
  <c r="AX918" i="5" s="1"/>
  <c r="BP252" i="16"/>
  <c r="BC347" i="10" s="1"/>
  <c r="AR955" i="5"/>
  <c r="DQ334" i="10"/>
  <c r="DZ337" i="10"/>
  <c r="EE347" i="10"/>
  <c r="DZ347" i="10"/>
  <c r="AP853" i="5" l="1"/>
  <c r="AR852" i="5"/>
  <c r="AV844" i="5"/>
  <c r="AY844" i="5"/>
  <c r="AW844" i="5"/>
  <c r="AU844" i="5"/>
  <c r="AU918" i="5"/>
  <c r="AR956" i="5"/>
  <c r="AX844" i="5" l="1"/>
  <c r="AX847" i="5"/>
  <c r="AR853" i="5"/>
  <c r="AV847" i="5" s="1"/>
  <c r="AP854" i="5"/>
  <c r="AA231" i="19"/>
  <c r="AR854" i="5" l="1"/>
  <c r="AQ854" i="5" s="1"/>
  <c r="AW847" i="5" s="1"/>
  <c r="AP855" i="5"/>
  <c r="FS337" i="10"/>
  <c r="ER337" i="10"/>
  <c r="ER334" i="10"/>
  <c r="DZ334" i="10"/>
  <c r="FA337" i="10"/>
  <c r="ET347" i="10"/>
  <c r="FA335" i="10"/>
  <c r="FA334" i="10" s="1"/>
  <c r="EK345" i="10"/>
  <c r="ER345" i="10"/>
  <c r="FJ347" i="10"/>
  <c r="AR855" i="5" l="1"/>
  <c r="AQ855" i="5" s="1"/>
  <c r="AY847" i="5" s="1"/>
  <c r="AP856" i="5"/>
  <c r="AP857" i="5" s="1"/>
  <c r="AP858" i="5" s="1"/>
  <c r="AP859" i="5" s="1"/>
  <c r="AW918" i="5"/>
  <c r="AR930" i="5"/>
  <c r="AY923" i="5" s="1"/>
  <c r="AR965" i="5"/>
  <c r="AQ965" i="5" s="1"/>
  <c r="FD337" i="10"/>
  <c r="FM347" i="10"/>
  <c r="EU345" i="10"/>
  <c r="FV337" i="10"/>
  <c r="EU334" i="10"/>
  <c r="FD335" i="10"/>
  <c r="FD334" i="10" s="1"/>
  <c r="EU337" i="10"/>
  <c r="EC334" i="10"/>
  <c r="ET345" i="10"/>
  <c r="FL347" i="10"/>
  <c r="GD345" i="10"/>
  <c r="GM345" i="10"/>
  <c r="FU345" i="10"/>
  <c r="FL345" i="10"/>
  <c r="FC347" i="10"/>
  <c r="FS334" i="10"/>
  <c r="T84" i="12"/>
  <c r="AR859" i="5" l="1"/>
  <c r="AQ859" i="5" s="1"/>
  <c r="AT856" i="5" s="1"/>
  <c r="AP860" i="5"/>
  <c r="AT960" i="5"/>
  <c r="AX960" i="5" s="1"/>
  <c r="AR966" i="5"/>
  <c r="FV334" i="10"/>
  <c r="EW347" i="10"/>
  <c r="GD347" i="10"/>
  <c r="GM347" i="10"/>
  <c r="AP861" i="5" l="1"/>
  <c r="AR860" i="5"/>
  <c r="AQ860" i="5" s="1"/>
  <c r="AT853" i="5" s="1"/>
  <c r="AT927" i="5"/>
  <c r="AX927" i="5" s="1"/>
  <c r="BP278" i="16"/>
  <c r="BP277" i="16" s="1"/>
  <c r="BP245" i="16"/>
  <c r="BH252" i="16"/>
  <c r="BC345" i="10" s="1"/>
  <c r="BH254" i="16"/>
  <c r="AU960" i="5"/>
  <c r="CJ347" i="10" l="1"/>
  <c r="AH347" i="10"/>
  <c r="BP244" i="16"/>
  <c r="AE347" i="10" s="1"/>
  <c r="BP246" i="16"/>
  <c r="AK347" i="10" s="1"/>
  <c r="BI345" i="10"/>
  <c r="BH253" i="16"/>
  <c r="BF345" i="10" s="1"/>
  <c r="AU856" i="5"/>
  <c r="AU853" i="5"/>
  <c r="AY853" i="5"/>
  <c r="AV853" i="5"/>
  <c r="AW853" i="5"/>
  <c r="AX856" i="5"/>
  <c r="AP862" i="5"/>
  <c r="AR861" i="5"/>
  <c r="AX853" i="5" s="1"/>
  <c r="AU927" i="5"/>
  <c r="AR862" i="5" l="1"/>
  <c r="AV856" i="5" s="1"/>
  <c r="AP863" i="5"/>
  <c r="AR863" i="5" l="1"/>
  <c r="AQ863" i="5" s="1"/>
  <c r="AW856" i="5" s="1"/>
  <c r="AP864" i="5"/>
  <c r="AR864" i="5" l="1"/>
  <c r="AY856" i="5" s="1"/>
  <c r="AP865" i="5"/>
  <c r="AP866" i="5" s="1"/>
  <c r="AP867" i="5" s="1"/>
  <c r="AP868" i="5" s="1"/>
  <c r="AW927" i="5"/>
  <c r="AR939" i="5"/>
  <c r="AQ939" i="5" s="1"/>
  <c r="FG335" i="10"/>
  <c r="FG334" i="10" s="1"/>
  <c r="AP869" i="5" l="1"/>
  <c r="AR868" i="5"/>
  <c r="AQ868" i="5" s="1"/>
  <c r="AT865" i="5" s="1"/>
  <c r="AT936" i="5"/>
  <c r="BH284" i="16"/>
  <c r="BH283" i="16" s="1"/>
  <c r="CP345" i="10" l="1"/>
  <c r="AP870" i="5"/>
  <c r="AR869" i="5"/>
  <c r="AQ869" i="5" s="1"/>
  <c r="AU865" i="5" s="1"/>
  <c r="AX936" i="5"/>
  <c r="AR870" i="5" l="1"/>
  <c r="AV863" i="5" s="1"/>
  <c r="AP871" i="5"/>
  <c r="AU936" i="5"/>
  <c r="AX865" i="5" l="1"/>
  <c r="AP872" i="5"/>
  <c r="AR871" i="5"/>
  <c r="AV865" i="5" s="1"/>
  <c r="EE345" i="10"/>
  <c r="EW345" i="10"/>
  <c r="FO345" i="10"/>
  <c r="FO347" i="10"/>
  <c r="EN345" i="10"/>
  <c r="FX347" i="10"/>
  <c r="EN347" i="10"/>
  <c r="FF345" i="10"/>
  <c r="EK347" i="10"/>
  <c r="FC345" i="10"/>
  <c r="FU347" i="10"/>
  <c r="AR872" i="5" l="1"/>
  <c r="AQ872" i="5" s="1"/>
  <c r="AW865" i="5" s="1"/>
  <c r="AP873" i="5"/>
  <c r="AV936" i="5"/>
  <c r="AR957" i="5"/>
  <c r="AQ957" i="5" s="1"/>
  <c r="AT948" i="5"/>
  <c r="AP874" i="5" l="1"/>
  <c r="AP875" i="5" s="1"/>
  <c r="AP876" i="5" s="1"/>
  <c r="AP877" i="5" s="1"/>
  <c r="AR873" i="5"/>
  <c r="AY865" i="5" s="1"/>
  <c r="AW936" i="5"/>
  <c r="AR948" i="5"/>
  <c r="AQ948" i="5" s="1"/>
  <c r="AW948" i="5"/>
  <c r="AX948" i="5"/>
  <c r="AU948" i="5"/>
  <c r="AY948" i="5"/>
  <c r="AV948" i="5"/>
  <c r="AP878" i="5" l="1"/>
  <c r="AR877" i="5"/>
  <c r="AQ877" i="5" s="1"/>
  <c r="AT874" i="5" s="1"/>
  <c r="AA222" i="19"/>
  <c r="AP879" i="5" l="1"/>
  <c r="AR878" i="5"/>
  <c r="AQ878" i="5" s="1"/>
  <c r="AU874" i="5" s="1"/>
  <c r="AP880" i="5" l="1"/>
  <c r="AR879" i="5"/>
  <c r="AQ879" i="5" s="1"/>
  <c r="AT875" i="5" s="1"/>
  <c r="AR992" i="5"/>
  <c r="AA221" i="19"/>
  <c r="T76" i="12"/>
  <c r="AA220" i="19"/>
  <c r="T72" i="12"/>
  <c r="T75" i="12"/>
  <c r="AA223" i="19"/>
  <c r="AR880" i="5" l="1"/>
  <c r="AV874" i="5" s="1"/>
  <c r="AP881" i="5"/>
  <c r="AW875" i="5"/>
  <c r="AU875" i="5"/>
  <c r="AV875" i="5"/>
  <c r="AY875" i="5"/>
  <c r="AX875" i="5"/>
  <c r="AX874" i="5"/>
  <c r="AR993" i="5"/>
  <c r="AQ993" i="5" s="1"/>
  <c r="FX345" i="10"/>
  <c r="GG345" i="10"/>
  <c r="AR881" i="5" l="1"/>
  <c r="AQ881" i="5" s="1"/>
  <c r="AP882" i="5"/>
  <c r="AP883" i="5" s="1"/>
  <c r="AP884" i="5" s="1"/>
  <c r="AP885" i="5" s="1"/>
  <c r="AP886" i="5" s="1"/>
  <c r="BX260" i="16"/>
  <c r="AX257" i="16"/>
  <c r="AM254" i="16"/>
  <c r="AM255" i="16" s="1"/>
  <c r="BK80" i="10" s="1"/>
  <c r="AM251" i="16"/>
  <c r="AX260" i="16"/>
  <c r="AM248" i="16"/>
  <c r="AX259" i="16" l="1"/>
  <c r="AM250" i="16"/>
  <c r="BK75" i="10" s="1"/>
  <c r="AM249" i="16"/>
  <c r="BK74" i="10" s="1"/>
  <c r="AX258" i="16"/>
  <c r="BK73" i="10"/>
  <c r="BR343" i="10"/>
  <c r="BK79" i="10"/>
  <c r="AM256" i="16"/>
  <c r="AM253" i="16"/>
  <c r="BK78" i="10" s="1"/>
  <c r="AR886" i="5"/>
  <c r="AY880" i="5" s="1"/>
  <c r="AP887" i="5"/>
  <c r="AW874" i="5"/>
  <c r="AY874" i="5"/>
  <c r="AT945" i="5"/>
  <c r="AV945" i="5" s="1"/>
  <c r="AX945" i="5"/>
  <c r="AU945" i="5"/>
  <c r="AM252" i="16"/>
  <c r="BK77" i="10" s="1"/>
  <c r="BK76" i="10"/>
  <c r="AY960" i="5"/>
  <c r="AR1001" i="5"/>
  <c r="AQ1001" i="5" s="1"/>
  <c r="AW945" i="5" l="1"/>
  <c r="AR887" i="5"/>
  <c r="AQ887" i="5" s="1"/>
  <c r="AT883" i="5" s="1"/>
  <c r="AP888" i="5"/>
  <c r="AT996" i="5"/>
  <c r="AX996" i="5" s="1"/>
  <c r="AY945" i="5"/>
  <c r="AT954" i="5"/>
  <c r="AX263" i="16"/>
  <c r="AX266" i="16"/>
  <c r="AV960" i="5"/>
  <c r="AT963" i="5"/>
  <c r="AU963" i="5" s="1"/>
  <c r="AR1002" i="5"/>
  <c r="AU996" i="5" s="1"/>
  <c r="AX265" i="16" l="1"/>
  <c r="AX262" i="16"/>
  <c r="AX261" i="16"/>
  <c r="BX331" i="10"/>
  <c r="AX264" i="16"/>
  <c r="AP889" i="5"/>
  <c r="AR888" i="5"/>
  <c r="AQ888" i="5" s="1"/>
  <c r="AW880" i="5" s="1"/>
  <c r="AY883" i="5"/>
  <c r="AX963" i="5"/>
  <c r="AU883" i="5" l="1"/>
  <c r="AR889" i="5"/>
  <c r="AX883" i="5" s="1"/>
  <c r="AP890" i="5"/>
  <c r="AP891" i="5" l="1"/>
  <c r="AR890" i="5"/>
  <c r="AV883" i="5" s="1"/>
  <c r="AY954" i="5"/>
  <c r="AV963" i="5"/>
  <c r="GG347" i="10"/>
  <c r="AR891" i="5" l="1"/>
  <c r="AQ891" i="5" s="1"/>
  <c r="AW883" i="5" s="1"/>
  <c r="AP892" i="5"/>
  <c r="AP893" i="5" s="1"/>
  <c r="AP894" i="5" s="1"/>
  <c r="AP895" i="5" s="1"/>
  <c r="AV954" i="5"/>
  <c r="BX239" i="16"/>
  <c r="AV224" i="16"/>
  <c r="AK245" i="16"/>
  <c r="AK246" i="16" s="1"/>
  <c r="AX71" i="10" s="1"/>
  <c r="AK242" i="16"/>
  <c r="BX245" i="16"/>
  <c r="BX246" i="16" s="1"/>
  <c r="AK343" i="10" s="1"/>
  <c r="BX242" i="16"/>
  <c r="AM245" i="16"/>
  <c r="AM242" i="16"/>
  <c r="AW963" i="5"/>
  <c r="GP347" i="10"/>
  <c r="GP345" i="10"/>
  <c r="BX241" i="16" l="1"/>
  <c r="AW224" i="16"/>
  <c r="AV223" i="16"/>
  <c r="AW223" i="16" s="1"/>
  <c r="AV222" i="16"/>
  <c r="AW222" i="16" s="1"/>
  <c r="AM243" i="16"/>
  <c r="BK68" i="10" s="1"/>
  <c r="AK243" i="16"/>
  <c r="AX68" i="10" s="1"/>
  <c r="BK70" i="10"/>
  <c r="AM247" i="16"/>
  <c r="BK72" i="10" s="1"/>
  <c r="AM244" i="16"/>
  <c r="BK69" i="10" s="1"/>
  <c r="AX70" i="10"/>
  <c r="AK247" i="16"/>
  <c r="AX72" i="10" s="1"/>
  <c r="AK244" i="16"/>
  <c r="AX69" i="10" s="1"/>
  <c r="BX240" i="16"/>
  <c r="AM246" i="16"/>
  <c r="BK71" i="10" s="1"/>
  <c r="AH343" i="10"/>
  <c r="BX247" i="16"/>
  <c r="AN343" i="10" s="1"/>
  <c r="BX244" i="16"/>
  <c r="AE343" i="10" s="1"/>
  <c r="BX243" i="16"/>
  <c r="AB343" i="10" s="1"/>
  <c r="AR895" i="5"/>
  <c r="AQ895" i="5" s="1"/>
  <c r="AP896" i="5"/>
  <c r="AR964" i="5"/>
  <c r="AV242" i="16"/>
  <c r="AW242" i="16" l="1"/>
  <c r="AV244" i="16"/>
  <c r="AW244" i="16" s="1"/>
  <c r="AV243" i="16"/>
  <c r="AW243" i="16" s="1"/>
  <c r="AB332" i="10" s="1"/>
  <c r="AR896" i="5"/>
  <c r="AQ896" i="5" s="1"/>
  <c r="AT892" i="5" s="1"/>
  <c r="AP897" i="5"/>
  <c r="AT972" i="5"/>
  <c r="AX972" i="5" s="1"/>
  <c r="AP898" i="5" l="1"/>
  <c r="AR897" i="5"/>
  <c r="AQ897" i="5" s="1"/>
  <c r="AU892" i="5" s="1"/>
  <c r="AY892" i="5"/>
  <c r="AU972" i="5"/>
  <c r="AX892" i="5" l="1"/>
  <c r="AP899" i="5"/>
  <c r="AR898" i="5"/>
  <c r="AV889" i="5" s="1"/>
  <c r="AP900" i="5" l="1"/>
  <c r="AR899" i="5"/>
  <c r="AQ899" i="5" s="1"/>
  <c r="AV892" i="5" s="1"/>
  <c r="AV972" i="5"/>
  <c r="FF347" i="10"/>
  <c r="AP901" i="5" l="1"/>
  <c r="AP902" i="5" s="1"/>
  <c r="AP903" i="5" s="1"/>
  <c r="AP904" i="5" s="1"/>
  <c r="AR900" i="5"/>
  <c r="AQ900" i="5" s="1"/>
  <c r="AW892" i="5" s="1"/>
  <c r="AW972" i="5"/>
  <c r="AR904" i="5" l="1"/>
  <c r="AQ904" i="5" s="1"/>
  <c r="AP905" i="5"/>
  <c r="AR973" i="5"/>
  <c r="AQ973" i="5" s="1"/>
  <c r="AP906" i="5" l="1"/>
  <c r="AR905" i="5"/>
  <c r="AQ905" i="5" s="1"/>
  <c r="EF345" i="10"/>
  <c r="EH345" i="10" s="1"/>
  <c r="AA224" i="19"/>
  <c r="T74" i="12"/>
  <c r="AA232" i="19"/>
  <c r="T83" i="12"/>
  <c r="AR906" i="5" l="1"/>
  <c r="AV899" i="5" s="1"/>
  <c r="AP907" i="5"/>
  <c r="AR1028" i="5"/>
  <c r="AR907" i="5" l="1"/>
  <c r="AQ907" i="5" s="1"/>
  <c r="AP908" i="5"/>
  <c r="BX335" i="10"/>
  <c r="AR1029" i="5"/>
  <c r="AP909" i="5" l="1"/>
  <c r="AR908" i="5"/>
  <c r="AQ908" i="5" s="1"/>
  <c r="AT900" i="5" s="1"/>
  <c r="AY972" i="5"/>
  <c r="AT984" i="5"/>
  <c r="AU900" i="5" l="1"/>
  <c r="AY900" i="5"/>
  <c r="AV900" i="5"/>
  <c r="AW900" i="5"/>
  <c r="AX900" i="5"/>
  <c r="AR909" i="5"/>
  <c r="AQ909" i="5" s="1"/>
  <c r="AT901" i="5" s="1"/>
  <c r="AP910" i="5"/>
  <c r="AP911" i="5" s="1"/>
  <c r="AP912" i="5" s="1"/>
  <c r="AP913" i="5" s="1"/>
  <c r="AU260" i="16"/>
  <c r="AU259" i="16" s="1"/>
  <c r="AX984" i="5"/>
  <c r="AV984" i="5"/>
  <c r="AW984" i="5"/>
  <c r="AU984" i="5"/>
  <c r="AR1037" i="5"/>
  <c r="AQ1037" i="5" s="1"/>
  <c r="BR338" i="10" l="1"/>
  <c r="AV901" i="5"/>
  <c r="AW901" i="5"/>
  <c r="AX901" i="5"/>
  <c r="AU901" i="5"/>
  <c r="AY901" i="5"/>
  <c r="AP914" i="5"/>
  <c r="AR913" i="5"/>
  <c r="AQ913" i="5" s="1"/>
  <c r="AT1033" i="5"/>
  <c r="AR982" i="5"/>
  <c r="AQ982" i="5" s="1"/>
  <c r="AM320" i="16"/>
  <c r="AK353" i="16"/>
  <c r="AK332" i="16"/>
  <c r="AK326" i="16"/>
  <c r="AM314" i="16"/>
  <c r="BH278" i="16"/>
  <c r="AM323" i="16"/>
  <c r="AM359" i="16"/>
  <c r="AM335" i="16"/>
  <c r="AM329" i="16"/>
  <c r="BX314" i="16"/>
  <c r="DT343" i="10" s="1"/>
  <c r="AM332" i="16"/>
  <c r="AM305" i="16"/>
  <c r="AM338" i="16"/>
  <c r="AX314" i="16"/>
  <c r="BX344" i="16"/>
  <c r="AK356" i="16"/>
  <c r="BX311" i="16"/>
  <c r="DQ343" i="10" s="1"/>
  <c r="BH260" i="16"/>
  <c r="AX323" i="16"/>
  <c r="EC331" i="10" s="1"/>
  <c r="BX308" i="16"/>
  <c r="AK329" i="16"/>
  <c r="AK359" i="16"/>
  <c r="AM308" i="16"/>
  <c r="BX305" i="16"/>
  <c r="AK335" i="16"/>
  <c r="AX320" i="16"/>
  <c r="AM326" i="16"/>
  <c r="AK323" i="16"/>
  <c r="BX341" i="16"/>
  <c r="EU343" i="10" s="1"/>
  <c r="AM311" i="16"/>
  <c r="AX317" i="16"/>
  <c r="AM317" i="16"/>
  <c r="AR1038" i="5"/>
  <c r="AU1033" i="5" s="1"/>
  <c r="AM337" i="16" l="1"/>
  <c r="AK330" i="16"/>
  <c r="AK333" i="16"/>
  <c r="AM330" i="16"/>
  <c r="AK358" i="16"/>
  <c r="AM321" i="16"/>
  <c r="AK355" i="16"/>
  <c r="AM333" i="16"/>
  <c r="AK354" i="16"/>
  <c r="AK357" i="16"/>
  <c r="AX321" i="16"/>
  <c r="AM328" i="16"/>
  <c r="AM325" i="16"/>
  <c r="AK327" i="16"/>
  <c r="BR345" i="10"/>
  <c r="BH259" i="16"/>
  <c r="CJ345" i="10"/>
  <c r="BH277" i="16"/>
  <c r="AK331" i="16"/>
  <c r="AM306" i="16"/>
  <c r="AK334" i="16"/>
  <c r="AX322" i="16"/>
  <c r="AM331" i="16"/>
  <c r="AM334" i="16"/>
  <c r="AM322" i="16"/>
  <c r="AM336" i="16"/>
  <c r="EX343" i="10"/>
  <c r="BX343" i="16"/>
  <c r="BX342" i="16"/>
  <c r="AM318" i="16"/>
  <c r="AM310" i="16"/>
  <c r="AM327" i="16"/>
  <c r="BX312" i="16"/>
  <c r="AM309" i="16"/>
  <c r="BX307" i="16"/>
  <c r="AM313" i="16"/>
  <c r="AX318" i="16"/>
  <c r="DN343" i="10"/>
  <c r="DW331" i="10"/>
  <c r="AX316" i="16"/>
  <c r="AM316" i="16"/>
  <c r="AK324" i="16"/>
  <c r="AM312" i="16"/>
  <c r="AK325" i="16"/>
  <c r="BX306" i="16"/>
  <c r="AM315" i="16"/>
  <c r="BX310" i="16"/>
  <c r="AM324" i="16"/>
  <c r="BX309" i="16"/>
  <c r="AX319" i="16"/>
  <c r="DZ331" i="10" s="1"/>
  <c r="AM307" i="16"/>
  <c r="AK328" i="16"/>
  <c r="DK343" i="10"/>
  <c r="AX315" i="16"/>
  <c r="BX313" i="16"/>
  <c r="AM319" i="16"/>
  <c r="AR914" i="5"/>
  <c r="AQ914" i="5" s="1"/>
  <c r="AT910" i="5" s="1"/>
  <c r="AP915" i="5"/>
  <c r="DW338" i="10"/>
  <c r="DW337" i="10" s="1"/>
  <c r="AP916" i="5" l="1"/>
  <c r="AR915" i="5"/>
  <c r="AQ915" i="5" s="1"/>
  <c r="AU910" i="5" s="1"/>
  <c r="AY910" i="5"/>
  <c r="AJ254" i="16"/>
  <c r="AF389" i="16"/>
  <c r="AV79" i="10" l="1"/>
  <c r="BB79" i="10" s="1"/>
  <c r="V19" i="16" s="1"/>
  <c r="BO19" i="16" s="1"/>
  <c r="AR916" i="5"/>
  <c r="AP917" i="5"/>
  <c r="EX347" i="10"/>
  <c r="EZ347" i="10" s="1"/>
  <c r="FG338" i="10"/>
  <c r="FG337" i="10" s="1"/>
  <c r="EX345" i="10"/>
  <c r="EZ345" i="10" s="1"/>
  <c r="FP347" i="10"/>
  <c r="FR347" i="10" s="1"/>
  <c r="EO335" i="10"/>
  <c r="EO334" i="10" s="1"/>
  <c r="FP338" i="10"/>
  <c r="FP337" i="10" s="1"/>
  <c r="EF335" i="10"/>
  <c r="EF334" i="10" s="1"/>
  <c r="J31" i="19" l="1"/>
  <c r="J231" i="19" s="1"/>
  <c r="AP918" i="5"/>
  <c r="AR917" i="5"/>
  <c r="AQ917" i="5" s="1"/>
  <c r="AV910" i="5" s="1"/>
  <c r="AU911" i="5"/>
  <c r="AX910" i="5"/>
  <c r="BE142" i="12" l="1"/>
  <c r="AR918" i="5"/>
  <c r="AQ918" i="5" s="1"/>
  <c r="AW910" i="5" s="1"/>
  <c r="AP919" i="5"/>
  <c r="AP920" i="5" s="1"/>
  <c r="AP921" i="5" s="1"/>
  <c r="AP922" i="5" s="1"/>
  <c r="AR922" i="5" l="1"/>
  <c r="AQ922" i="5" s="1"/>
  <c r="AP923" i="5"/>
  <c r="AR991" i="5"/>
  <c r="AY984" i="5" s="1"/>
  <c r="BP257" i="16"/>
  <c r="AU278" i="16"/>
  <c r="BX338" i="16"/>
  <c r="BX339" i="16" s="1"/>
  <c r="BX335" i="16"/>
  <c r="AG332" i="16"/>
  <c r="AG329" i="16"/>
  <c r="BP275" i="16"/>
  <c r="BH255" i="16"/>
  <c r="BL345" i="10" s="1"/>
  <c r="BH257" i="16"/>
  <c r="BX332" i="16"/>
  <c r="AG331" i="16" l="1"/>
  <c r="BX336" i="16"/>
  <c r="EO343" i="10"/>
  <c r="CG347" i="10"/>
  <c r="BP274" i="16"/>
  <c r="BP276" i="16"/>
  <c r="DW347" i="10" s="1"/>
  <c r="BO345" i="10"/>
  <c r="BH258" i="16"/>
  <c r="BH256" i="16"/>
  <c r="CJ338" i="10"/>
  <c r="AU277" i="16"/>
  <c r="BO347" i="10"/>
  <c r="BP256" i="16"/>
  <c r="BX333" i="16"/>
  <c r="EL343" i="10"/>
  <c r="BX334" i="16"/>
  <c r="ER343" i="10"/>
  <c r="BX340" i="16"/>
  <c r="BX337" i="16"/>
  <c r="AG330" i="16"/>
  <c r="AR923" i="5"/>
  <c r="AQ923" i="5" s="1"/>
  <c r="AT919" i="5" s="1"/>
  <c r="AP924" i="5"/>
  <c r="AG356" i="16"/>
  <c r="AM350" i="16"/>
  <c r="AG359" i="16"/>
  <c r="AM356" i="16"/>
  <c r="AM357" i="16" s="1"/>
  <c r="AM353" i="16"/>
  <c r="EX335" i="10"/>
  <c r="EX334" i="10" s="1"/>
  <c r="AV996" i="5"/>
  <c r="AG357" i="16" l="1"/>
  <c r="AM358" i="16"/>
  <c r="AM355" i="16"/>
  <c r="AG358" i="16"/>
  <c r="AM354" i="16"/>
  <c r="AM352" i="16"/>
  <c r="AM351" i="16"/>
  <c r="AP925" i="5"/>
  <c r="AR924" i="5"/>
  <c r="AY918" i="5" s="1"/>
  <c r="AU919" i="5"/>
  <c r="AY919" i="5"/>
  <c r="BP287" i="16"/>
  <c r="BH279" i="16"/>
  <c r="BH281" i="16"/>
  <c r="AU290" i="16"/>
  <c r="AV299" i="16"/>
  <c r="CS347" i="10" l="1"/>
  <c r="BP286" i="16"/>
  <c r="CV338" i="10"/>
  <c r="AU289" i="16"/>
  <c r="CM345" i="10"/>
  <c r="BH280" i="16"/>
  <c r="BH282" i="16"/>
  <c r="EO345" i="10" s="1"/>
  <c r="EQ345" i="10" s="1"/>
  <c r="AW299" i="16"/>
  <c r="AR925" i="5"/>
  <c r="AP926" i="5"/>
  <c r="AP927" i="5" l="1"/>
  <c r="AR926" i="5"/>
  <c r="AQ926" i="5" s="1"/>
  <c r="AV918" i="5"/>
  <c r="AX919" i="5"/>
  <c r="AV919" i="5" l="1"/>
  <c r="AR927" i="5"/>
  <c r="AQ927" i="5" s="1"/>
  <c r="AW919" i="5" s="1"/>
  <c r="AP928" i="5"/>
  <c r="AP929" i="5" s="1"/>
  <c r="AP930" i="5" s="1"/>
  <c r="AP931" i="5" s="1"/>
  <c r="AR1009" i="5"/>
  <c r="AP932" i="5" l="1"/>
  <c r="AR931" i="5"/>
  <c r="AQ931" i="5" s="1"/>
  <c r="AR1000" i="5"/>
  <c r="AR932" i="5" l="1"/>
  <c r="AQ932" i="5" s="1"/>
  <c r="AW923" i="5" s="1"/>
  <c r="AP933" i="5"/>
  <c r="AT1008" i="5"/>
  <c r="AX1008" i="5" s="1"/>
  <c r="AT928" i="5" l="1"/>
  <c r="AP934" i="5"/>
  <c r="AR933" i="5"/>
  <c r="AY927" i="5" s="1"/>
  <c r="AY996" i="5"/>
  <c r="AU1008" i="5"/>
  <c r="AP935" i="5" l="1"/>
  <c r="AR934" i="5"/>
  <c r="AV927" i="5" s="1"/>
  <c r="AY928" i="5"/>
  <c r="AU928" i="5"/>
  <c r="AX928" i="5" l="1"/>
  <c r="AR935" i="5"/>
  <c r="AQ935" i="5" s="1"/>
  <c r="AV928" i="5" s="1"/>
  <c r="AP936" i="5"/>
  <c r="AV1008" i="5"/>
  <c r="AP937" i="5" l="1"/>
  <c r="AP938" i="5" s="1"/>
  <c r="AP939" i="5" s="1"/>
  <c r="AP940" i="5" s="1"/>
  <c r="AR936" i="5"/>
  <c r="AQ936" i="5" s="1"/>
  <c r="AW928" i="5" s="1"/>
  <c r="AX236" i="16"/>
  <c r="AR1008" i="5"/>
  <c r="AQ1008" i="5" s="1"/>
  <c r="AT1001" i="5" s="1"/>
  <c r="BX236" i="16"/>
  <c r="BX237" i="16" s="1"/>
  <c r="AW1008" i="5"/>
  <c r="BX238" i="16" l="1"/>
  <c r="AP941" i="5"/>
  <c r="AR940" i="5"/>
  <c r="AQ940" i="5" s="1"/>
  <c r="AV1001" i="5"/>
  <c r="AW1001" i="5"/>
  <c r="AX1001" i="5"/>
  <c r="AU1001" i="5"/>
  <c r="AY1001" i="5"/>
  <c r="AP942" i="5" l="1"/>
  <c r="AR941" i="5"/>
  <c r="AQ941" i="5" s="1"/>
  <c r="AT937" i="5" s="1"/>
  <c r="AY937" i="5" l="1"/>
  <c r="AR942" i="5"/>
  <c r="AY936" i="5" s="1"/>
  <c r="AP943" i="5"/>
  <c r="AU937" i="5" l="1"/>
  <c r="AP944" i="5"/>
  <c r="AR943" i="5"/>
  <c r="AX937" i="5" s="1"/>
  <c r="AT1021" i="5"/>
  <c r="AP945" i="5" l="1"/>
  <c r="AR944" i="5"/>
  <c r="AQ944" i="5" s="1"/>
  <c r="AV937" i="5" s="1"/>
  <c r="AY1021" i="5"/>
  <c r="AV1021" i="5"/>
  <c r="AW1021" i="5"/>
  <c r="AP946" i="5" l="1"/>
  <c r="AP947" i="5" s="1"/>
  <c r="AP948" i="5" s="1"/>
  <c r="AP949" i="5" s="1"/>
  <c r="AR945" i="5"/>
  <c r="AQ945" i="5" s="1"/>
  <c r="AW937" i="5" s="1"/>
  <c r="AR1018" i="5"/>
  <c r="AQ1018" i="5" s="1"/>
  <c r="AU1021" i="5"/>
  <c r="AP950" i="5" l="1"/>
  <c r="AR949" i="5"/>
  <c r="AP951" i="5" l="1"/>
  <c r="AR950" i="5"/>
  <c r="AQ950" i="5" s="1"/>
  <c r="AT946" i="5" s="1"/>
  <c r="AY946" i="5" l="1"/>
  <c r="AR951" i="5"/>
  <c r="AU946" i="5" s="1"/>
  <c r="AP952" i="5"/>
  <c r="AP953" i="5" l="1"/>
  <c r="AR952" i="5"/>
  <c r="AX946" i="5" s="1"/>
  <c r="AR953" i="5" l="1"/>
  <c r="AQ953" i="5" s="1"/>
  <c r="AV946" i="5" s="1"/>
  <c r="AP954" i="5"/>
  <c r="AP955" i="5" l="1"/>
  <c r="AP956" i="5" s="1"/>
  <c r="AP957" i="5" s="1"/>
  <c r="AP958" i="5" s="1"/>
  <c r="AR954" i="5"/>
  <c r="AQ954" i="5" s="1"/>
  <c r="AW946" i="5" s="1"/>
  <c r="AX1021" i="5"/>
  <c r="AR1027" i="5"/>
  <c r="AQ1027" i="5" s="1"/>
  <c r="AR958" i="5" l="1"/>
  <c r="AQ958" i="5" s="1"/>
  <c r="AT955" i="5" s="1"/>
  <c r="AP959" i="5"/>
  <c r="AP960" i="5" l="1"/>
  <c r="AR959" i="5"/>
  <c r="AU954" i="5" s="1"/>
  <c r="AY955" i="5"/>
  <c r="AV1033" i="5"/>
  <c r="AQ1041" i="5"/>
  <c r="AR960" i="5" l="1"/>
  <c r="AP961" i="5"/>
  <c r="AP962" i="5" l="1"/>
  <c r="AR961" i="5"/>
  <c r="AX955" i="5" s="1"/>
  <c r="AX954" i="5"/>
  <c r="AU955" i="5"/>
  <c r="AP963" i="5" l="1"/>
  <c r="AR962" i="5"/>
  <c r="AQ962" i="5" s="1"/>
  <c r="AV955" i="5" l="1"/>
  <c r="AP964" i="5"/>
  <c r="AP965" i="5" s="1"/>
  <c r="AP966" i="5" s="1"/>
  <c r="AP967" i="5" s="1"/>
  <c r="AR963" i="5"/>
  <c r="AQ963" i="5" s="1"/>
  <c r="AW954" i="5" s="1"/>
  <c r="AR1036" i="5"/>
  <c r="AQ1036" i="5" s="1"/>
  <c r="AR967" i="5" l="1"/>
  <c r="AQ967" i="5" s="1"/>
  <c r="AT964" i="5" s="1"/>
  <c r="AP968" i="5"/>
  <c r="AW955" i="5"/>
  <c r="AP969" i="5" l="1"/>
  <c r="AR968" i="5"/>
  <c r="AQ968" i="5" s="1"/>
  <c r="AT965" i="5" s="1"/>
  <c r="AY964" i="5"/>
  <c r="AU965" i="5" l="1"/>
  <c r="AX965" i="5"/>
  <c r="AV965" i="5"/>
  <c r="AY965" i="5"/>
  <c r="AW965" i="5"/>
  <c r="AR969" i="5"/>
  <c r="AQ969" i="5" s="1"/>
  <c r="AU964" i="5" s="1"/>
  <c r="AP970" i="5"/>
  <c r="AY1033" i="5"/>
  <c r="AP971" i="5" l="1"/>
  <c r="AR970" i="5"/>
  <c r="AY963" i="5" s="1"/>
  <c r="AW960" i="5"/>
  <c r="AX964" i="5"/>
  <c r="AT1046" i="5"/>
  <c r="AY1046" i="5" s="1"/>
  <c r="AP972" i="5" l="1"/>
  <c r="AR971" i="5"/>
  <c r="AV964" i="5" s="1"/>
  <c r="AR1045" i="5"/>
  <c r="AQ1045" i="5" s="1"/>
  <c r="AU1046" i="5"/>
  <c r="AX1046" i="5"/>
  <c r="AP973" i="5" l="1"/>
  <c r="AP974" i="5" s="1"/>
  <c r="AP975" i="5" s="1"/>
  <c r="AP976" i="5" s="1"/>
  <c r="AR972" i="5"/>
  <c r="AQ972" i="5" s="1"/>
  <c r="AW964" i="5" s="1"/>
  <c r="AT1037" i="5"/>
  <c r="AY1037" i="5" s="1"/>
  <c r="AR1046" i="5"/>
  <c r="AV1037" i="5" s="1"/>
  <c r="AX1037" i="5" l="1"/>
  <c r="AP977" i="5"/>
  <c r="AR976" i="5"/>
  <c r="AQ976" i="5" s="1"/>
  <c r="AT973" i="5" s="1"/>
  <c r="AU1037" i="5"/>
  <c r="AR1047" i="5"/>
  <c r="AQ1047" i="5" s="1"/>
  <c r="AW1046" i="5"/>
  <c r="AT1118" i="5"/>
  <c r="AY1118" i="5" s="1"/>
  <c r="AR977" i="5" l="1"/>
  <c r="AQ977" i="5" s="1"/>
  <c r="AT974" i="5" s="1"/>
  <c r="AP978" i="5"/>
  <c r="AU973" i="5"/>
  <c r="AW1037" i="5"/>
  <c r="AU1118" i="5"/>
  <c r="AP979" i="5" l="1"/>
  <c r="AR978" i="5"/>
  <c r="AX974" i="5"/>
  <c r="AV974" i="5"/>
  <c r="AW974" i="5"/>
  <c r="AY974" i="5"/>
  <c r="AU974" i="5" l="1"/>
  <c r="AY973" i="5"/>
  <c r="AR979" i="5"/>
  <c r="AV973" i="5" s="1"/>
  <c r="AP980" i="5"/>
  <c r="AR980" i="5" l="1"/>
  <c r="AX973" i="5" s="1"/>
  <c r="AP981" i="5"/>
  <c r="AR1054" i="5"/>
  <c r="AQ1054" i="5" s="1"/>
  <c r="AP982" i="5" l="1"/>
  <c r="AP983" i="5" s="1"/>
  <c r="AP984" i="5" s="1"/>
  <c r="AP985" i="5" s="1"/>
  <c r="AR981" i="5"/>
  <c r="AQ981" i="5" s="1"/>
  <c r="AW973" i="5" s="1"/>
  <c r="AR1055" i="5"/>
  <c r="AV1046" i="5" s="1"/>
  <c r="AP986" i="5" l="1"/>
  <c r="AR985" i="5"/>
  <c r="AQ985" i="5" s="1"/>
  <c r="AT982" i="5" s="1"/>
  <c r="AR1056" i="5"/>
  <c r="AQ1056" i="5" s="1"/>
  <c r="AR986" i="5" l="1"/>
  <c r="AQ986" i="5" s="1"/>
  <c r="AU982" i="5" s="1"/>
  <c r="AP987" i="5"/>
  <c r="AT1048" i="5"/>
  <c r="AU1048" i="5" s="1"/>
  <c r="AX1048" i="5"/>
  <c r="AV1048" i="5"/>
  <c r="AY1048" i="5" l="1"/>
  <c r="AW1048" i="5"/>
  <c r="AP988" i="5"/>
  <c r="AR987" i="5"/>
  <c r="AY982" i="5" s="1"/>
  <c r="AR988" i="5" l="1"/>
  <c r="AV982" i="5" s="1"/>
  <c r="AP989" i="5"/>
  <c r="AP990" i="5" l="1"/>
  <c r="AR989" i="5"/>
  <c r="AQ989" i="5" s="1"/>
  <c r="AR1063" i="5"/>
  <c r="AW982" i="5" l="1"/>
  <c r="AR990" i="5"/>
  <c r="AQ990" i="5" s="1"/>
  <c r="AT983" i="5" s="1"/>
  <c r="AP991" i="5"/>
  <c r="AP992" i="5" s="1"/>
  <c r="AP993" i="5" s="1"/>
  <c r="AP994" i="5" s="1"/>
  <c r="AR1064" i="5"/>
  <c r="AT1069" i="5"/>
  <c r="AW983" i="5" l="1"/>
  <c r="AY983" i="5"/>
  <c r="AX983" i="5"/>
  <c r="AU983" i="5"/>
  <c r="AV983" i="5"/>
  <c r="AR994" i="5"/>
  <c r="AQ994" i="5" s="1"/>
  <c r="AT991" i="5" s="1"/>
  <c r="AP995" i="5"/>
  <c r="AX982" i="5"/>
  <c r="AT1057" i="5"/>
  <c r="AV1057" i="5" s="1"/>
  <c r="AR1065" i="5"/>
  <c r="AQ1065" i="5" s="1"/>
  <c r="AU1069" i="5"/>
  <c r="AX1069" i="5"/>
  <c r="AV1069" i="5"/>
  <c r="AW1069" i="5"/>
  <c r="AP996" i="5" l="1"/>
  <c r="AR995" i="5"/>
  <c r="AQ995" i="5" s="1"/>
  <c r="AU991" i="5" s="1"/>
  <c r="AW1057" i="5"/>
  <c r="AU1057" i="5"/>
  <c r="AY1057" i="5"/>
  <c r="AX1057" i="5"/>
  <c r="AR996" i="5" l="1"/>
  <c r="AY991" i="5" s="1"/>
  <c r="AP997" i="5"/>
  <c r="AR997" i="5" l="1"/>
  <c r="AV991" i="5" s="1"/>
  <c r="AP998" i="5"/>
  <c r="AP999" i="5" l="1"/>
  <c r="AR998" i="5"/>
  <c r="AQ998" i="5" s="1"/>
  <c r="AR1072" i="5"/>
  <c r="AW991" i="5" l="1"/>
  <c r="AR999" i="5"/>
  <c r="AQ999" i="5" s="1"/>
  <c r="AT992" i="5" s="1"/>
  <c r="AP1000" i="5"/>
  <c r="AP1001" i="5" s="1"/>
  <c r="AP1002" i="5" s="1"/>
  <c r="AP1003" i="5" s="1"/>
  <c r="AR1073" i="5"/>
  <c r="AQ1073" i="5" s="1"/>
  <c r="AU992" i="5" l="1"/>
  <c r="AV992" i="5"/>
  <c r="AW992" i="5"/>
  <c r="AX992" i="5"/>
  <c r="AY992" i="5"/>
  <c r="AP1004" i="5"/>
  <c r="AR1003" i="5"/>
  <c r="AQ1003" i="5" s="1"/>
  <c r="AT1000" i="5" s="1"/>
  <c r="AX991" i="5"/>
  <c r="AT1066" i="5"/>
  <c r="AV1066" i="5"/>
  <c r="AR1074" i="5"/>
  <c r="AQ1074" i="5" s="1"/>
  <c r="AW1066" i="5" s="1"/>
  <c r="AP1005" i="5" l="1"/>
  <c r="AR1004" i="5"/>
  <c r="AQ1004" i="5" s="1"/>
  <c r="AU1000" i="5"/>
  <c r="AU1066" i="5"/>
  <c r="AY1066" i="5"/>
  <c r="AX1066" i="5"/>
  <c r="AR1005" i="5" l="1"/>
  <c r="AQ1005" i="5" s="1"/>
  <c r="AP1006" i="5"/>
  <c r="AQ1088" i="5"/>
  <c r="AW996" i="5" l="1"/>
  <c r="AP1007" i="5"/>
  <c r="AR1006" i="5"/>
  <c r="AV1000" i="5" s="1"/>
  <c r="AY1000" i="5"/>
  <c r="AR1007" i="5" l="1"/>
  <c r="AQ1007" i="5" s="1"/>
  <c r="AP1008" i="5"/>
  <c r="AP1009" i="5" s="1"/>
  <c r="AP1010" i="5" s="1"/>
  <c r="AP1011" i="5" s="1"/>
  <c r="AP1012" i="5" s="1"/>
  <c r="AR1081" i="5"/>
  <c r="AR1012" i="5" l="1"/>
  <c r="AP1013" i="5"/>
  <c r="AW1000" i="5"/>
  <c r="AX1000" i="5"/>
  <c r="AR1082" i="5"/>
  <c r="AP1014" i="5" l="1"/>
  <c r="AR1013" i="5"/>
  <c r="AQ1013" i="5" s="1"/>
  <c r="AT1009" i="5" s="1"/>
  <c r="AT1075" i="5"/>
  <c r="AR1083" i="5"/>
  <c r="AQ1083" i="5" s="1"/>
  <c r="AX1009" i="5" l="1"/>
  <c r="AP1015" i="5"/>
  <c r="AR1014" i="5"/>
  <c r="AQ1014" i="5" s="1"/>
  <c r="AT1010" i="5" s="1"/>
  <c r="AW1075" i="5"/>
  <c r="AU1075" i="5"/>
  <c r="AY1075" i="5"/>
  <c r="AX1075" i="5"/>
  <c r="AV1075" i="5"/>
  <c r="AP1016" i="5" l="1"/>
  <c r="AR1015" i="5"/>
  <c r="AY1008" i="5" s="1"/>
  <c r="AU1009" i="5"/>
  <c r="AY1010" i="5"/>
  <c r="AU1010" i="5"/>
  <c r="AX1010" i="5"/>
  <c r="AV1010" i="5"/>
  <c r="AW1010" i="5"/>
  <c r="AR1016" i="5" l="1"/>
  <c r="AV1009" i="5" s="1"/>
  <c r="AP1017" i="5"/>
  <c r="AY1009" i="5"/>
  <c r="AP1018" i="5" l="1"/>
  <c r="AP1019" i="5" s="1"/>
  <c r="AP1020" i="5" s="1"/>
  <c r="AP1021" i="5" s="1"/>
  <c r="AR1017" i="5"/>
  <c r="AQ1017" i="5" s="1"/>
  <c r="AW1009" i="5" s="1"/>
  <c r="AR1090" i="5"/>
  <c r="AP1022" i="5" l="1"/>
  <c r="AR1021" i="5"/>
  <c r="AT1084" i="5"/>
  <c r="AR1091" i="5"/>
  <c r="AR1022" i="5" l="1"/>
  <c r="AQ1022" i="5" s="1"/>
  <c r="AT1018" i="5" s="1"/>
  <c r="AP1023" i="5"/>
  <c r="AU1084" i="5"/>
  <c r="AX1084" i="5"/>
  <c r="AV1084" i="5"/>
  <c r="AY1084" i="5"/>
  <c r="AR1092" i="5"/>
  <c r="AQ1092" i="5" s="1"/>
  <c r="AP1024" i="5" l="1"/>
  <c r="AR1023" i="5"/>
  <c r="AQ1023" i="5" s="1"/>
  <c r="AT1019" i="5" s="1"/>
  <c r="AX1018" i="5"/>
  <c r="AW1084" i="5"/>
  <c r="AT1102" i="5"/>
  <c r="AY1019" i="5" l="1"/>
  <c r="AX1019" i="5"/>
  <c r="AV1019" i="5"/>
  <c r="AW1019" i="5"/>
  <c r="AY1018" i="5"/>
  <c r="AU1018" i="5"/>
  <c r="AP1025" i="5"/>
  <c r="AR1024" i="5"/>
  <c r="AU1019" i="5" s="1"/>
  <c r="AR1025" i="5" l="1"/>
  <c r="AQ1025" i="5" s="1"/>
  <c r="AV1018" i="5" s="1"/>
  <c r="AP1026" i="5"/>
  <c r="AR1099" i="5"/>
  <c r="AY1102" i="5"/>
  <c r="AR1026" i="5" l="1"/>
  <c r="AQ1026" i="5" s="1"/>
  <c r="AW1018" i="5" s="1"/>
  <c r="AP1027" i="5"/>
  <c r="AP1028" i="5" s="1"/>
  <c r="AP1029" i="5" s="1"/>
  <c r="AP1030" i="5" s="1"/>
  <c r="AR1100" i="5"/>
  <c r="AP1031" i="5" l="1"/>
  <c r="AR1030" i="5"/>
  <c r="AQ1030" i="5" s="1"/>
  <c r="AR1101" i="5"/>
  <c r="AQ1101" i="5" s="1"/>
  <c r="AV1102" i="5"/>
  <c r="AP1032" i="5" l="1"/>
  <c r="AR1031" i="5"/>
  <c r="AQ1031" i="5" s="1"/>
  <c r="AT1027" i="5" s="1"/>
  <c r="AW1102" i="5"/>
  <c r="AX1027" i="5" l="1"/>
  <c r="AP1033" i="5"/>
  <c r="AR1032" i="5"/>
  <c r="AQ1032" i="5" s="1"/>
  <c r="AT1028" i="5" s="1"/>
  <c r="AY1028" i="5" l="1"/>
  <c r="AX1028" i="5"/>
  <c r="AV1028" i="5"/>
  <c r="AW1028" i="5"/>
  <c r="AY1027" i="5"/>
  <c r="AP1034" i="5"/>
  <c r="AR1033" i="5"/>
  <c r="AU1028" i="5" s="1"/>
  <c r="AU1027" i="5"/>
  <c r="AP1035" i="5" l="1"/>
  <c r="AR1034" i="5"/>
  <c r="AV1027" i="5" s="1"/>
  <c r="AP1036" i="5" l="1"/>
  <c r="AP1037" i="5" s="1"/>
  <c r="AP1038" i="5" s="1"/>
  <c r="AP1039" i="5" s="1"/>
  <c r="AR1035" i="5"/>
  <c r="AQ1035" i="5" s="1"/>
  <c r="AW1027" i="5" s="1"/>
  <c r="AP1040" i="5" l="1"/>
  <c r="AR1039" i="5"/>
  <c r="AX1033" i="5" s="1"/>
  <c r="AX1102" i="5"/>
  <c r="AP1041" i="5" l="1"/>
  <c r="AR1040" i="5"/>
  <c r="AQ1040" i="5" s="1"/>
  <c r="AT1036" i="5" s="1"/>
  <c r="AR1108" i="5"/>
  <c r="AU1102" i="5" s="1"/>
  <c r="AX1036" i="5" l="1"/>
  <c r="AP1042" i="5"/>
  <c r="AR1041" i="5"/>
  <c r="AU1036" i="5" s="1"/>
  <c r="AR1109" i="5"/>
  <c r="AP1043" i="5" l="1"/>
  <c r="AR1042" i="5"/>
  <c r="AQ1042" i="5" s="1"/>
  <c r="AR1110" i="5"/>
  <c r="AQ1110" i="5" s="1"/>
  <c r="AX1118" i="5"/>
  <c r="AW1033" i="5" l="1"/>
  <c r="AY1036" i="5"/>
  <c r="AR1043" i="5"/>
  <c r="AQ1043" i="5" s="1"/>
  <c r="AV1036" i="5" s="1"/>
  <c r="AP1044" i="5"/>
  <c r="AP1045" i="5" l="1"/>
  <c r="AP1046" i="5" s="1"/>
  <c r="AP1047" i="5" s="1"/>
  <c r="AP1048" i="5" s="1"/>
  <c r="AR1044" i="5"/>
  <c r="AQ1044" i="5" s="1"/>
  <c r="AW1036" i="5" s="1"/>
  <c r="AP1049" i="5" l="1"/>
  <c r="AR1048" i="5"/>
  <c r="AP1050" i="5" l="1"/>
  <c r="AR1049" i="5"/>
  <c r="AQ1049" i="5" s="1"/>
  <c r="AT1045" i="5" s="1"/>
  <c r="AR1117" i="5"/>
  <c r="AP1051" i="5" l="1"/>
  <c r="AR1050" i="5"/>
  <c r="AU1045" i="5" s="1"/>
  <c r="AR1118" i="5"/>
  <c r="AR1051" i="5" l="1"/>
  <c r="AP1052" i="5"/>
  <c r="AR1119" i="5"/>
  <c r="AP1053" i="5" l="1"/>
  <c r="AR1052" i="5"/>
  <c r="AQ1052" i="5" s="1"/>
  <c r="AV1045" i="5" s="1"/>
  <c r="AX1045" i="5"/>
  <c r="AY1045" i="5"/>
  <c r="AP1054" i="5" l="1"/>
  <c r="AP1055" i="5" s="1"/>
  <c r="AP1056" i="5" s="1"/>
  <c r="AP1057" i="5" s="1"/>
  <c r="AR1053" i="5"/>
  <c r="AQ1053" i="5" s="1"/>
  <c r="AW1045" i="5" s="1"/>
  <c r="AP1058" i="5" l="1"/>
  <c r="AR1057" i="5"/>
  <c r="AR1058" i="5" l="1"/>
  <c r="AQ1058" i="5" s="1"/>
  <c r="AT1054" i="5" s="1"/>
  <c r="AP1059" i="5"/>
  <c r="AR1126" i="5"/>
  <c r="AV1118" i="5" s="1"/>
  <c r="AP1060" i="5" l="1"/>
  <c r="AR1059" i="5"/>
  <c r="AU1054" i="5" s="1"/>
  <c r="AX1054" i="5"/>
  <c r="AR1127" i="5"/>
  <c r="AQ1127" i="5" s="1"/>
  <c r="AP1061" i="5" l="1"/>
  <c r="AR1060" i="5"/>
  <c r="AY1054" i="5" s="1"/>
  <c r="AW1118" i="5"/>
  <c r="AR1128" i="5"/>
  <c r="AP1062" i="5" l="1"/>
  <c r="AR1061" i="5"/>
  <c r="AQ1061" i="5" s="1"/>
  <c r="AV1054" i="5" s="1"/>
  <c r="AP1063" i="5" l="1"/>
  <c r="AP1064" i="5" s="1"/>
  <c r="AP1065" i="5" s="1"/>
  <c r="AP1066" i="5" s="1"/>
  <c r="AR1062" i="5"/>
  <c r="AQ1062" i="5" s="1"/>
  <c r="AW1054" i="5" s="1"/>
  <c r="AT1122" i="5"/>
  <c r="AU1122" i="5" s="1"/>
  <c r="AX1122" i="5"/>
  <c r="AY1122" i="5" l="1"/>
  <c r="AV1122" i="5"/>
  <c r="AW1122" i="5"/>
  <c r="AR1066" i="5"/>
  <c r="AP1067" i="5"/>
  <c r="AR1135" i="5"/>
  <c r="AQ1135" i="5" s="1"/>
  <c r="AT1130" i="5" s="1"/>
  <c r="AT1142" i="5"/>
  <c r="AY1142" i="5" s="1"/>
  <c r="AP1068" i="5" l="1"/>
  <c r="AR1067" i="5"/>
  <c r="AQ1067" i="5" s="1"/>
  <c r="AT1063" i="5" s="1"/>
  <c r="AR1136" i="5"/>
  <c r="AU1130" i="5" s="1"/>
  <c r="AW1130" i="5"/>
  <c r="AV1130" i="5"/>
  <c r="AY1130" i="5"/>
  <c r="AX1130" i="5"/>
  <c r="AT1131" i="5"/>
  <c r="AU1142" i="5"/>
  <c r="AX1063" i="5" l="1"/>
  <c r="AP1069" i="5"/>
  <c r="AR1068" i="5"/>
  <c r="AU1063" i="5" s="1"/>
  <c r="AU1131" i="5"/>
  <c r="AX1131" i="5"/>
  <c r="AR1137" i="5"/>
  <c r="AY1131" i="5" s="1"/>
  <c r="AR1069" i="5" l="1"/>
  <c r="AY1063" i="5" s="1"/>
  <c r="AP1070" i="5"/>
  <c r="AR1070" i="5" l="1"/>
  <c r="AQ1070" i="5" s="1"/>
  <c r="AV1063" i="5" s="1"/>
  <c r="AP1071" i="5"/>
  <c r="AV1131" i="5"/>
  <c r="AW1142" i="5"/>
  <c r="AP1072" i="5" l="1"/>
  <c r="AP1073" i="5" s="1"/>
  <c r="AP1074" i="5" s="1"/>
  <c r="AP1075" i="5" s="1"/>
  <c r="AR1071" i="5"/>
  <c r="AQ1071" i="5" s="1"/>
  <c r="AW1063" i="5" s="1"/>
  <c r="AR1143" i="5"/>
  <c r="AP1076" i="5" l="1"/>
  <c r="AR1075" i="5"/>
  <c r="AR1144" i="5"/>
  <c r="AQ1144" i="5" s="1"/>
  <c r="AT1140" i="5" s="1"/>
  <c r="AX1140" i="5" s="1"/>
  <c r="AT1154" i="5"/>
  <c r="AY1154" i="5" s="1"/>
  <c r="AP1077" i="5" l="1"/>
  <c r="AR1076" i="5"/>
  <c r="AQ1076" i="5" s="1"/>
  <c r="AT1072" i="5" s="1"/>
  <c r="AR1145" i="5"/>
  <c r="AU1140" i="5" s="1"/>
  <c r="AU1154" i="5"/>
  <c r="AX1072" i="5" l="1"/>
  <c r="AP1078" i="5"/>
  <c r="AR1077" i="5"/>
  <c r="AQ1077" i="5" s="1"/>
  <c r="AU1072" i="5" s="1"/>
  <c r="AR1146" i="5"/>
  <c r="AY1140" i="5" s="1"/>
  <c r="AR1078" i="5" l="1"/>
  <c r="AY1069" i="5" s="1"/>
  <c r="AP1079" i="5"/>
  <c r="AR1079" i="5" l="1"/>
  <c r="AQ1079" i="5" s="1"/>
  <c r="AP1080" i="5"/>
  <c r="AY1072" i="5"/>
  <c r="AV1140" i="5"/>
  <c r="AR1080" i="5" l="1"/>
  <c r="AQ1080" i="5" s="1"/>
  <c r="AP1081" i="5"/>
  <c r="AP1082" i="5" s="1"/>
  <c r="AP1083" i="5" s="1"/>
  <c r="AP1084" i="5" s="1"/>
  <c r="AW1072" i="5"/>
  <c r="AV1072" i="5"/>
  <c r="AR1171" i="5"/>
  <c r="AQ1171" i="5" s="1"/>
  <c r="AP1085" i="5" l="1"/>
  <c r="AR1084" i="5"/>
  <c r="AQ1084" i="5" s="1"/>
  <c r="AT1081" i="5" s="1"/>
  <c r="AR1153" i="5"/>
  <c r="AQ1153" i="5" s="1"/>
  <c r="AT1149" i="5" s="1"/>
  <c r="AT1166" i="5"/>
  <c r="AY1166" i="5" s="1"/>
  <c r="AW1154" i="5"/>
  <c r="AP1086" i="5" l="1"/>
  <c r="AR1085" i="5"/>
  <c r="AQ1085" i="5" s="1"/>
  <c r="AX1149" i="5"/>
  <c r="AR1154" i="5"/>
  <c r="AU1149" i="5" s="1"/>
  <c r="AX1081" i="5" l="1"/>
  <c r="AP1087" i="5"/>
  <c r="AR1086" i="5"/>
  <c r="AU1081" i="5" s="1"/>
  <c r="AR1155" i="5"/>
  <c r="AY1149" i="5" s="1"/>
  <c r="AP1088" i="5" l="1"/>
  <c r="AR1087" i="5"/>
  <c r="AQ1087" i="5" s="1"/>
  <c r="AY1081" i="5" l="1"/>
  <c r="AR1088" i="5"/>
  <c r="AV1081" i="5" s="1"/>
  <c r="AP1089" i="5"/>
  <c r="AP1090" i="5" l="1"/>
  <c r="AP1091" i="5" s="1"/>
  <c r="AP1092" i="5" s="1"/>
  <c r="AP1093" i="5" s="1"/>
  <c r="AR1089" i="5"/>
  <c r="AQ1089" i="5" s="1"/>
  <c r="AW1081" i="5" s="1"/>
  <c r="AW1149" i="5"/>
  <c r="AR1162" i="5"/>
  <c r="AV1154" i="5" s="1"/>
  <c r="AP1094" i="5" l="1"/>
  <c r="AR1093" i="5"/>
  <c r="AQ1093" i="5" s="1"/>
  <c r="AT1090" i="5" s="1"/>
  <c r="AR1163" i="5"/>
  <c r="AQ1163" i="5" s="1"/>
  <c r="AR1094" i="5" l="1"/>
  <c r="AX1090" i="5" s="1"/>
  <c r="AP1095" i="5"/>
  <c r="AT1158" i="5"/>
  <c r="AX1158" i="5" s="1"/>
  <c r="AR1164" i="5"/>
  <c r="AU1158" i="5" s="1"/>
  <c r="AX1166" i="5"/>
  <c r="AR1095" i="5" l="1"/>
  <c r="AU1090" i="5" s="1"/>
  <c r="AP1096" i="5"/>
  <c r="AR1096" i="5" l="1"/>
  <c r="AQ1096" i="5" s="1"/>
  <c r="AP1097" i="5"/>
  <c r="AX1154" i="5"/>
  <c r="AR1097" i="5" l="1"/>
  <c r="AQ1097" i="5" s="1"/>
  <c r="AT1093" i="5" s="1"/>
  <c r="AP1098" i="5"/>
  <c r="AY1090" i="5"/>
  <c r="AV1090" i="5"/>
  <c r="AP1099" i="5" l="1"/>
  <c r="AP1100" i="5" s="1"/>
  <c r="AP1101" i="5" s="1"/>
  <c r="AP1102" i="5" s="1"/>
  <c r="AR1098" i="5"/>
  <c r="AQ1098" i="5" s="1"/>
  <c r="AW1090" i="5" s="1"/>
  <c r="AY1093" i="5"/>
  <c r="AV1093" i="5"/>
  <c r="AU1093" i="5"/>
  <c r="AX1093" i="5"/>
  <c r="AP1103" i="5" l="1"/>
  <c r="AR1102" i="5"/>
  <c r="AQ1102" i="5" s="1"/>
  <c r="AW1158" i="5"/>
  <c r="AR1172" i="5"/>
  <c r="AU1166" i="5" s="1"/>
  <c r="AW1093" i="5" l="1"/>
  <c r="AT1099" i="5"/>
  <c r="AR1103" i="5"/>
  <c r="AP1104" i="5"/>
  <c r="AR1173" i="5"/>
  <c r="AQ1173" i="5" s="1"/>
  <c r="AR1198" i="5"/>
  <c r="AX1099" i="5" l="1"/>
  <c r="AR1104" i="5"/>
  <c r="AU1099" i="5" s="1"/>
  <c r="AP1105" i="5"/>
  <c r="AT1169" i="5"/>
  <c r="AX1169" i="5" s="1"/>
  <c r="AR1105" i="5" l="1"/>
  <c r="AV1099" i="5" s="1"/>
  <c r="AP1106" i="5"/>
  <c r="AU1169" i="5"/>
  <c r="AR1106" i="5" l="1"/>
  <c r="AQ1106" i="5" s="1"/>
  <c r="AP1107" i="5"/>
  <c r="AW1166" i="5"/>
  <c r="AY1169" i="5"/>
  <c r="AR1207" i="5"/>
  <c r="AQ1207" i="5" s="1"/>
  <c r="AP1108" i="5" l="1"/>
  <c r="AP1109" i="5" s="1"/>
  <c r="AP1110" i="5" s="1"/>
  <c r="AP1111" i="5" s="1"/>
  <c r="AR1107" i="5"/>
  <c r="AQ1107" i="5" s="1"/>
  <c r="AT1104" i="5" s="1"/>
  <c r="AY1099" i="5"/>
  <c r="AT1203" i="5"/>
  <c r="AU1104" i="5" l="1"/>
  <c r="AV1104" i="5"/>
  <c r="AY1104" i="5"/>
  <c r="AX1104" i="5"/>
  <c r="AW1099" i="5"/>
  <c r="AP1112" i="5"/>
  <c r="AR1111" i="5"/>
  <c r="AQ1111" i="5" s="1"/>
  <c r="AW1169" i="5"/>
  <c r="AR1181" i="5"/>
  <c r="AP1113" i="5" l="1"/>
  <c r="AR1112" i="5"/>
  <c r="AQ1112" i="5" s="1"/>
  <c r="AW1104" i="5" s="1"/>
  <c r="AT1106" i="5"/>
  <c r="AT1108" i="5"/>
  <c r="AR1182" i="5"/>
  <c r="AQ1182" i="5" s="1"/>
  <c r="AY1106" i="5" l="1"/>
  <c r="AV1106" i="5"/>
  <c r="AU1106" i="5"/>
  <c r="AX1106" i="5"/>
  <c r="AW1106" i="5"/>
  <c r="AU1108" i="5"/>
  <c r="AR1113" i="5"/>
  <c r="AX1108" i="5" s="1"/>
  <c r="AP1114" i="5"/>
  <c r="AT1178" i="5"/>
  <c r="AX1178" i="5" s="1"/>
  <c r="AR1114" i="5" l="1"/>
  <c r="AQ1114" i="5" s="1"/>
  <c r="AP1115" i="5"/>
  <c r="AU1178" i="5"/>
  <c r="AP1116" i="5" l="1"/>
  <c r="AR1115" i="5"/>
  <c r="AQ1115" i="5" s="1"/>
  <c r="AV1108" i="5"/>
  <c r="AY1178" i="5"/>
  <c r="AW1108" i="5" l="1"/>
  <c r="AR1116" i="5"/>
  <c r="AQ1116" i="5" s="1"/>
  <c r="AT1113" i="5" s="1"/>
  <c r="AP1117" i="5"/>
  <c r="AP1118" i="5" s="1"/>
  <c r="AP1119" i="5" s="1"/>
  <c r="AP1120" i="5" s="1"/>
  <c r="AU1113" i="5" l="1"/>
  <c r="AV1113" i="5"/>
  <c r="AY1113" i="5"/>
  <c r="AW1113" i="5"/>
  <c r="AP1121" i="5"/>
  <c r="AR1120" i="5"/>
  <c r="AQ1120" i="5" s="1"/>
  <c r="AT1117" i="5" s="1"/>
  <c r="AY1108" i="5"/>
  <c r="AR1190" i="5"/>
  <c r="AP1122" i="5" l="1"/>
  <c r="AR1121" i="5"/>
  <c r="AQ1121" i="5" s="1"/>
  <c r="AX1113" i="5" s="1"/>
  <c r="AR1191" i="5"/>
  <c r="AQ1191" i="5" s="1"/>
  <c r="AR1122" i="5" l="1"/>
  <c r="AX1117" i="5" s="1"/>
  <c r="AP1123" i="5"/>
  <c r="AU1117" i="5"/>
  <c r="AT1187" i="5"/>
  <c r="AU1187" i="5" s="1"/>
  <c r="AX1187" i="5"/>
  <c r="AR1123" i="5" l="1"/>
  <c r="AQ1123" i="5" s="1"/>
  <c r="AP1124" i="5"/>
  <c r="AR1124" i="5" l="1"/>
  <c r="AQ1124" i="5" s="1"/>
  <c r="AP1125" i="5"/>
  <c r="AW1117" i="5"/>
  <c r="AV1117" i="5"/>
  <c r="AY1187" i="5"/>
  <c r="AP1126" i="5" l="1"/>
  <c r="AP1127" i="5" s="1"/>
  <c r="AP1128" i="5" s="1"/>
  <c r="AP1129" i="5" s="1"/>
  <c r="AR1125" i="5"/>
  <c r="AQ1125" i="5" s="1"/>
  <c r="AY1117" i="5" s="1"/>
  <c r="AR1129" i="5" l="1"/>
  <c r="AQ1129" i="5" s="1"/>
  <c r="AT1126" i="5" s="1"/>
  <c r="AP1130" i="5"/>
  <c r="AR1199" i="5"/>
  <c r="AP1131" i="5" l="1"/>
  <c r="AR1130" i="5"/>
  <c r="AU1126" i="5"/>
  <c r="AR1200" i="5"/>
  <c r="AQ1200" i="5" s="1"/>
  <c r="AU1203" i="5"/>
  <c r="AR1234" i="5"/>
  <c r="AR1131" i="5" l="1"/>
  <c r="AX1126" i="5" s="1"/>
  <c r="AP1132" i="5"/>
  <c r="AT1196" i="5"/>
  <c r="AX1196" i="5" s="1"/>
  <c r="AR1235" i="5"/>
  <c r="AQ1235" i="5" s="1"/>
  <c r="AR1132" i="5" l="1"/>
  <c r="AV1126" i="5" s="1"/>
  <c r="AP1133" i="5"/>
  <c r="AP1134" i="5" l="1"/>
  <c r="AR1133" i="5"/>
  <c r="AQ1133" i="5" s="1"/>
  <c r="AW1126" i="5" s="1"/>
  <c r="AY1196" i="5"/>
  <c r="AW1203" i="5"/>
  <c r="AR1243" i="5"/>
  <c r="AQ1243" i="5" s="1"/>
  <c r="AT1239" i="5" s="1"/>
  <c r="AP1135" i="5" l="1"/>
  <c r="AP1136" i="5" s="1"/>
  <c r="AP1137" i="5" s="1"/>
  <c r="AP1138" i="5" s="1"/>
  <c r="AR1134" i="5"/>
  <c r="AQ1134" i="5" s="1"/>
  <c r="AY1126" i="5" s="1"/>
  <c r="AR1244" i="5"/>
  <c r="AU1239" i="5" s="1"/>
  <c r="AP1139" i="5" l="1"/>
  <c r="AR1138" i="5"/>
  <c r="AQ1138" i="5" s="1"/>
  <c r="AT1135" i="5" s="1"/>
  <c r="AR1208" i="5"/>
  <c r="AY1203" i="5" s="1"/>
  <c r="AR1245" i="5"/>
  <c r="AY1239" i="5" s="1"/>
  <c r="AR1139" i="5" l="1"/>
  <c r="AQ1139" i="5" s="1"/>
  <c r="AW1131" i="5" s="1"/>
  <c r="AP1140" i="5"/>
  <c r="AR1209" i="5"/>
  <c r="AQ1209" i="5" s="1"/>
  <c r="AR1140" i="5" l="1"/>
  <c r="AX1135" i="5" s="1"/>
  <c r="AP1141" i="5"/>
  <c r="AU1135" i="5"/>
  <c r="AT1205" i="5"/>
  <c r="AX1205" i="5"/>
  <c r="AT1215" i="5"/>
  <c r="AR1141" i="5" l="1"/>
  <c r="AV1135" i="5" s="1"/>
  <c r="AP1142" i="5"/>
  <c r="AU1205" i="5"/>
  <c r="AV1215" i="5"/>
  <c r="AW1215" i="5"/>
  <c r="AR1142" i="5" l="1"/>
  <c r="AQ1142" i="5" s="1"/>
  <c r="AP1143" i="5"/>
  <c r="AP1144" i="5" s="1"/>
  <c r="AP1145" i="5" s="1"/>
  <c r="AP1146" i="5" s="1"/>
  <c r="AP1147" i="5" s="1"/>
  <c r="AV1203" i="5"/>
  <c r="AY1205" i="5"/>
  <c r="AY1215" i="5"/>
  <c r="AP1148" i="5" l="1"/>
  <c r="AR1147" i="5"/>
  <c r="AQ1147" i="5" s="1"/>
  <c r="AY1135" i="5"/>
  <c r="AW1135" i="5"/>
  <c r="AX1215" i="5"/>
  <c r="AR1148" i="5" l="1"/>
  <c r="AQ1148" i="5" s="1"/>
  <c r="AW1140" i="5" s="1"/>
  <c r="AP1149" i="5"/>
  <c r="AR1217" i="5"/>
  <c r="AQ1217" i="5" s="1"/>
  <c r="AP1150" i="5" l="1"/>
  <c r="AR1149" i="5"/>
  <c r="AX1142" i="5" s="1"/>
  <c r="AT1144" i="5"/>
  <c r="AT1214" i="5"/>
  <c r="AX1214" i="5" s="1"/>
  <c r="AR1218" i="5"/>
  <c r="AU1144" i="5" l="1"/>
  <c r="AY1144" i="5"/>
  <c r="AX1144" i="5"/>
  <c r="AP1151" i="5"/>
  <c r="AR1150" i="5"/>
  <c r="AV1142" i="5" s="1"/>
  <c r="AP1152" i="5" l="1"/>
  <c r="AR1151" i="5"/>
  <c r="AQ1151" i="5" s="1"/>
  <c r="AV1144" i="5" s="1"/>
  <c r="AU1214" i="5"/>
  <c r="AR1152" i="5" l="1"/>
  <c r="AQ1152" i="5" s="1"/>
  <c r="AW1144" i="5" s="1"/>
  <c r="AP1153" i="5"/>
  <c r="AP1154" i="5" s="1"/>
  <c r="AP1155" i="5" s="1"/>
  <c r="AP1156" i="5" s="1"/>
  <c r="AU1215" i="5"/>
  <c r="AY1214" i="5"/>
  <c r="AR1156" i="5" l="1"/>
  <c r="AV1149" i="5" s="1"/>
  <c r="AP1157" i="5"/>
  <c r="AT1227" i="5"/>
  <c r="AP1158" i="5" l="1"/>
  <c r="AR1157" i="5"/>
  <c r="AQ1157" i="5" s="1"/>
  <c r="AT1153" i="5" s="1"/>
  <c r="AR1226" i="5"/>
  <c r="AQ1226" i="5" s="1"/>
  <c r="AW1227" i="5"/>
  <c r="AU1227" i="5"/>
  <c r="AY1227" i="5"/>
  <c r="AV1227" i="5"/>
  <c r="AX1227" i="5"/>
  <c r="AY1153" i="5" l="1"/>
  <c r="AP1159" i="5"/>
  <c r="AR1158" i="5"/>
  <c r="AU1153" i="5" s="1"/>
  <c r="AR1227" i="5"/>
  <c r="AR1270" i="5"/>
  <c r="AR1159" i="5" l="1"/>
  <c r="AQ1159" i="5" s="1"/>
  <c r="AX1153" i="5" s="1"/>
  <c r="AP1160" i="5"/>
  <c r="AR1271" i="5"/>
  <c r="AQ1271" i="5" s="1"/>
  <c r="AP1161" i="5" l="1"/>
  <c r="AR1160" i="5"/>
  <c r="AV1153" i="5" s="1"/>
  <c r="AR1280" i="5"/>
  <c r="AR1161" i="5" l="1"/>
  <c r="AQ1161" i="5" s="1"/>
  <c r="AW1153" i="5" s="1"/>
  <c r="AP1162" i="5"/>
  <c r="AP1163" i="5" s="1"/>
  <c r="AP1164" i="5" s="1"/>
  <c r="AP1165" i="5" s="1"/>
  <c r="AR1281" i="5"/>
  <c r="AQ1281" i="5" s="1"/>
  <c r="AP1166" i="5" l="1"/>
  <c r="AR1165" i="5"/>
  <c r="AY1158" i="5" s="1"/>
  <c r="AT1276" i="5"/>
  <c r="AX1276" i="5" s="1"/>
  <c r="AR1166" i="5" l="1"/>
  <c r="AQ1166" i="5" s="1"/>
  <c r="AT1162" i="5" s="1"/>
  <c r="AP1167" i="5"/>
  <c r="AT1223" i="5"/>
  <c r="AW1223" i="5" s="1"/>
  <c r="AU1223" i="5"/>
  <c r="AV1223" i="5"/>
  <c r="AY1223" i="5"/>
  <c r="AR1236" i="5"/>
  <c r="AQ1236" i="5" s="1"/>
  <c r="AX1223" i="5" l="1"/>
  <c r="AR1167" i="5"/>
  <c r="AV1158" i="5" s="1"/>
  <c r="AP1168" i="5"/>
  <c r="AY1162" i="5"/>
  <c r="AT1232" i="5"/>
  <c r="AU1232" i="5"/>
  <c r="AV1239" i="5"/>
  <c r="AP1169" i="5" l="1"/>
  <c r="AR1168" i="5"/>
  <c r="AQ1168" i="5" s="1"/>
  <c r="AX1162" i="5" s="1"/>
  <c r="AU1162" i="5"/>
  <c r="AR1169" i="5" l="1"/>
  <c r="AV1162" i="5" s="1"/>
  <c r="AP1170" i="5"/>
  <c r="AP1171" i="5" l="1"/>
  <c r="AP1172" i="5" s="1"/>
  <c r="AP1173" i="5" s="1"/>
  <c r="AP1174" i="5" s="1"/>
  <c r="AR1170" i="5"/>
  <c r="AQ1170" i="5" s="1"/>
  <c r="AW1162" i="5" s="1"/>
  <c r="AP1175" i="5" l="1"/>
  <c r="AR1174" i="5"/>
  <c r="AV1166" i="5" s="1"/>
  <c r="AV1232" i="5"/>
  <c r="AR1175" i="5" l="1"/>
  <c r="AQ1175" i="5" s="1"/>
  <c r="AT1171" i="5" s="1"/>
  <c r="AP1176" i="5"/>
  <c r="AY1232" i="5"/>
  <c r="AP1177" i="5" l="1"/>
  <c r="AR1176" i="5"/>
  <c r="AV1169" i="5" s="1"/>
  <c r="AY1171" i="5"/>
  <c r="AW1232" i="5"/>
  <c r="AT1251" i="5"/>
  <c r="AU1171" i="5" l="1"/>
  <c r="AR1177" i="5"/>
  <c r="AQ1177" i="5" s="1"/>
  <c r="AP1178" i="5"/>
  <c r="AR1297" i="5"/>
  <c r="AQ1297" i="5" s="1"/>
  <c r="AX1171" i="5" l="1"/>
  <c r="AP1179" i="5"/>
  <c r="AR1178" i="5"/>
  <c r="AV1171" i="5" s="1"/>
  <c r="AP1180" i="5" l="1"/>
  <c r="AP1181" i="5" s="1"/>
  <c r="AP1182" i="5" s="1"/>
  <c r="AP1183" i="5" s="1"/>
  <c r="AR1179" i="5"/>
  <c r="AQ1179" i="5" s="1"/>
  <c r="AW1171" i="5" s="1"/>
  <c r="AV1251" i="5"/>
  <c r="AR1183" i="5" l="1"/>
  <c r="AQ1183" i="5" s="1"/>
  <c r="AP1184" i="5"/>
  <c r="AW1251" i="5"/>
  <c r="AR1306" i="5"/>
  <c r="AP1185" i="5" l="1"/>
  <c r="AR1184" i="5"/>
  <c r="AQ1184" i="5" s="1"/>
  <c r="AT1180" i="5" s="1"/>
  <c r="AR1307" i="5"/>
  <c r="AY1180" i="5" l="1"/>
  <c r="AR1185" i="5"/>
  <c r="AV1178" i="5" s="1"/>
  <c r="AP1186" i="5"/>
  <c r="AR1308" i="5"/>
  <c r="AP1187" i="5" l="1"/>
  <c r="AR1186" i="5"/>
  <c r="AQ1186" i="5" s="1"/>
  <c r="AU1180" i="5"/>
  <c r="AW1178" i="5" l="1"/>
  <c r="AX1180" i="5"/>
  <c r="AP1188" i="5"/>
  <c r="AR1187" i="5"/>
  <c r="AQ1187" i="5" s="1"/>
  <c r="AV1180" i="5" s="1"/>
  <c r="AR1188" i="5" l="1"/>
  <c r="AQ1188" i="5" s="1"/>
  <c r="AW1180" i="5" s="1"/>
  <c r="AP1189" i="5"/>
  <c r="AP1190" i="5" s="1"/>
  <c r="AP1191" i="5" s="1"/>
  <c r="AP1192" i="5" s="1"/>
  <c r="AT1263" i="5"/>
  <c r="AR1317" i="5"/>
  <c r="AQ1317" i="5" s="1"/>
  <c r="AT1312" i="5" s="1"/>
  <c r="AX1312" i="5" s="1"/>
  <c r="AR1192" i="5" l="1"/>
  <c r="AP1193" i="5"/>
  <c r="AU1263" i="5"/>
  <c r="AV1263" i="5"/>
  <c r="AX1263" i="5"/>
  <c r="AW1263" i="5"/>
  <c r="AR1193" i="5" l="1"/>
  <c r="AQ1193" i="5" s="1"/>
  <c r="AT1189" i="5" s="1"/>
  <c r="AP1194" i="5"/>
  <c r="AP1195" i="5" l="1"/>
  <c r="AR1194" i="5"/>
  <c r="AV1187" i="5" s="1"/>
  <c r="AU1189" i="5"/>
  <c r="AY1189" i="5"/>
  <c r="AP1196" i="5" l="1"/>
  <c r="AR1195" i="5"/>
  <c r="AQ1195" i="5" s="1"/>
  <c r="AW1187" i="5" l="1"/>
  <c r="AX1189" i="5"/>
  <c r="AV1189" i="5"/>
  <c r="AP1197" i="5"/>
  <c r="AR1196" i="5"/>
  <c r="AQ1196" i="5" s="1"/>
  <c r="AT1191" i="5" s="1"/>
  <c r="AW1191" i="5" l="1"/>
  <c r="AV1191" i="5"/>
  <c r="AY1191" i="5"/>
  <c r="AX1191" i="5"/>
  <c r="AU1191" i="5"/>
  <c r="AR1197" i="5"/>
  <c r="AQ1197" i="5" s="1"/>
  <c r="AW1189" i="5" s="1"/>
  <c r="AP1198" i="5"/>
  <c r="AP1199" i="5" s="1"/>
  <c r="AP1200" i="5" s="1"/>
  <c r="AP1201" i="5" s="1"/>
  <c r="AR1201" i="5" l="1"/>
  <c r="AU1196" i="5" s="1"/>
  <c r="AP1202" i="5"/>
  <c r="AP1203" i="5" l="1"/>
  <c r="AR1202" i="5"/>
  <c r="AQ1202" i="5" s="1"/>
  <c r="AT1198" i="5" s="1"/>
  <c r="AR1269" i="5"/>
  <c r="AY1263" i="5" s="1"/>
  <c r="AY1198" i="5" l="1"/>
  <c r="AR1203" i="5"/>
  <c r="AV1196" i="5" s="1"/>
  <c r="AP1204" i="5"/>
  <c r="AY1276" i="5"/>
  <c r="AP1205" i="5" l="1"/>
  <c r="AR1204" i="5"/>
  <c r="AQ1204" i="5" s="1"/>
  <c r="AU1198" i="5"/>
  <c r="AW1196" i="5" l="1"/>
  <c r="AX1198" i="5"/>
  <c r="AR1205" i="5"/>
  <c r="AV1198" i="5" s="1"/>
  <c r="AP1206" i="5"/>
  <c r="AR1206" i="5" l="1"/>
  <c r="AQ1206" i="5" s="1"/>
  <c r="AW1198" i="5" s="1"/>
  <c r="AP1207" i="5"/>
  <c r="AP1208" i="5" s="1"/>
  <c r="AP1209" i="5" s="1"/>
  <c r="AP1210" i="5" s="1"/>
  <c r="AP1211" i="5" l="1"/>
  <c r="AR1210" i="5"/>
  <c r="AX1203" i="5" s="1"/>
  <c r="AP1212" i="5" l="1"/>
  <c r="AR1211" i="5"/>
  <c r="AQ1211" i="5" s="1"/>
  <c r="AT1207" i="5" s="1"/>
  <c r="AY1207" i="5" l="1"/>
  <c r="AR1212" i="5"/>
  <c r="AQ1212" i="5" s="1"/>
  <c r="AV1205" i="5" s="1"/>
  <c r="AP1213" i="5"/>
  <c r="AR1344" i="5"/>
  <c r="AR1213" i="5" l="1"/>
  <c r="AQ1213" i="5" s="1"/>
  <c r="AP1214" i="5"/>
  <c r="AU1207" i="5"/>
  <c r="AP1215" i="5" l="1"/>
  <c r="AR1214" i="5"/>
  <c r="AV1207" i="5" s="1"/>
  <c r="AW1205" i="5"/>
  <c r="AX1207" i="5"/>
  <c r="AP1216" i="5" l="1"/>
  <c r="AP1217" i="5" s="1"/>
  <c r="AP1218" i="5" s="1"/>
  <c r="AP1219" i="5" s="1"/>
  <c r="AR1215" i="5"/>
  <c r="AQ1215" i="5" s="1"/>
  <c r="AW1207" i="5" s="1"/>
  <c r="AW1276" i="5"/>
  <c r="AR1353" i="5"/>
  <c r="AQ1353" i="5" s="1"/>
  <c r="AT1348" i="5" s="1"/>
  <c r="AX1348" i="5" s="1"/>
  <c r="AP1220" i="5" l="1"/>
  <c r="AR1219" i="5"/>
  <c r="AQ1219" i="5" s="1"/>
  <c r="AP1221" i="5" l="1"/>
  <c r="AR1220" i="5"/>
  <c r="AQ1220" i="5" s="1"/>
  <c r="AT1216" i="5" s="1"/>
  <c r="AY1216" i="5" l="1"/>
  <c r="AP1222" i="5"/>
  <c r="AR1221" i="5"/>
  <c r="AV1214" i="5" s="1"/>
  <c r="AP1223" i="5" l="1"/>
  <c r="AR1222" i="5"/>
  <c r="AQ1222" i="5" s="1"/>
  <c r="AU1216" i="5"/>
  <c r="AW1214" i="5" l="1"/>
  <c r="AX1216" i="5"/>
  <c r="AR1223" i="5"/>
  <c r="AV1216" i="5" s="1"/>
  <c r="AP1224" i="5"/>
  <c r="AR1224" i="5" l="1"/>
  <c r="AQ1224" i="5" s="1"/>
  <c r="AW1216" i="5" s="1"/>
  <c r="AP1225" i="5"/>
  <c r="AP1226" i="5" s="1"/>
  <c r="AP1227" i="5" s="1"/>
  <c r="AP1228" i="5" s="1"/>
  <c r="AP1229" i="5" l="1"/>
  <c r="AR1228" i="5"/>
  <c r="AQ1228" i="5" s="1"/>
  <c r="AT1225" i="5" s="1"/>
  <c r="AT1300" i="5"/>
  <c r="AR1229" i="5" l="1"/>
  <c r="AY1225" i="5" s="1"/>
  <c r="AP1230" i="5"/>
  <c r="AX1300" i="5"/>
  <c r="AU1300" i="5"/>
  <c r="AY1300" i="5"/>
  <c r="AV1300" i="5"/>
  <c r="AW1300" i="5"/>
  <c r="AP1231" i="5" l="1"/>
  <c r="AR1230" i="5"/>
  <c r="AU1225" i="5" s="1"/>
  <c r="AR1231" i="5" l="1"/>
  <c r="AQ1231" i="5" s="1"/>
  <c r="AX1225" i="5" s="1"/>
  <c r="AP1232" i="5"/>
  <c r="AP1233" i="5" l="1"/>
  <c r="AR1232" i="5"/>
  <c r="AV1225" i="5" s="1"/>
  <c r="AP1234" i="5" l="1"/>
  <c r="AP1235" i="5" s="1"/>
  <c r="AP1236" i="5" s="1"/>
  <c r="AP1237" i="5" s="1"/>
  <c r="AR1233" i="5"/>
  <c r="AQ1233" i="5" s="1"/>
  <c r="AW1225" i="5" s="1"/>
  <c r="AR1237" i="5" l="1"/>
  <c r="AQ1237" i="5" s="1"/>
  <c r="AT1234" i="5" s="1"/>
  <c r="AP1238" i="5"/>
  <c r="AP1239" i="5" l="1"/>
  <c r="AR1238" i="5"/>
  <c r="AX1232" i="5" s="1"/>
  <c r="AY1234" i="5"/>
  <c r="AR1239" i="5" l="1"/>
  <c r="AU1234" i="5" s="1"/>
  <c r="AP1240" i="5"/>
  <c r="AP1241" i="5" l="1"/>
  <c r="AR1240" i="5"/>
  <c r="AX1234" i="5" s="1"/>
  <c r="AW1312" i="5"/>
  <c r="AR1241" i="5" l="1"/>
  <c r="AV1234" i="5" s="1"/>
  <c r="AP1242" i="5"/>
  <c r="AP1243" i="5" l="1"/>
  <c r="AP1244" i="5" s="1"/>
  <c r="AP1245" i="5" s="1"/>
  <c r="AP1246" i="5" s="1"/>
  <c r="AR1242" i="5"/>
  <c r="AQ1242" i="5" s="1"/>
  <c r="AW1234" i="5" s="1"/>
  <c r="AR1246" i="5" l="1"/>
  <c r="AQ1246" i="5" s="1"/>
  <c r="AT1243" i="5" s="1"/>
  <c r="AP1247" i="5"/>
  <c r="AR1315" i="5"/>
  <c r="AP1248" i="5" l="1"/>
  <c r="AR1247" i="5"/>
  <c r="AQ1247" i="5" s="1"/>
  <c r="AW1239" i="5" s="1"/>
  <c r="AR1316" i="5"/>
  <c r="AQ1316" i="5" s="1"/>
  <c r="AP1249" i="5" l="1"/>
  <c r="AR1248" i="5"/>
  <c r="AX1239" i="5" s="1"/>
  <c r="AU1243" i="5"/>
  <c r="AR1249" i="5" l="1"/>
  <c r="AV1243" i="5" s="1"/>
  <c r="AP1250" i="5"/>
  <c r="AY1243" i="5"/>
  <c r="AR1250" i="5" l="1"/>
  <c r="AX1243" i="5" s="1"/>
  <c r="AP1251" i="5"/>
  <c r="AY1312" i="5"/>
  <c r="AR1251" i="5" l="1"/>
  <c r="AQ1251" i="5" s="1"/>
  <c r="AW1243" i="5" s="1"/>
  <c r="AP1252" i="5"/>
  <c r="AP1253" i="5" s="1"/>
  <c r="AP1254" i="5" s="1"/>
  <c r="AP1255" i="5" s="1"/>
  <c r="AT1397" i="5"/>
  <c r="AP1256" i="5" l="1"/>
  <c r="AR1255" i="5"/>
  <c r="AQ1255" i="5" s="1"/>
  <c r="AR1324" i="5"/>
  <c r="AU1397" i="5"/>
  <c r="AP1257" i="5" l="1"/>
  <c r="AR1256" i="5"/>
  <c r="AU1251" i="5" s="1"/>
  <c r="AR1325" i="5"/>
  <c r="AQ1325" i="5" s="1"/>
  <c r="AP1258" i="5" l="1"/>
  <c r="AR1257" i="5"/>
  <c r="AY1251" i="5" s="1"/>
  <c r="AP1259" i="5" l="1"/>
  <c r="AR1258" i="5"/>
  <c r="AR1259" i="5" l="1"/>
  <c r="AQ1259" i="5" s="1"/>
  <c r="AT1252" i="5" s="1"/>
  <c r="AP1260" i="5"/>
  <c r="AP1261" i="5" l="1"/>
  <c r="AP1262" i="5" s="1"/>
  <c r="AP1263" i="5" s="1"/>
  <c r="AP1264" i="5" s="1"/>
  <c r="AR1260" i="5"/>
  <c r="AX1251" i="5" s="1"/>
  <c r="AU1252" i="5"/>
  <c r="AW1252" i="5"/>
  <c r="AV1252" i="5"/>
  <c r="AX1252" i="5"/>
  <c r="AY1252" i="5"/>
  <c r="AT1336" i="5"/>
  <c r="AR1264" i="5" l="1"/>
  <c r="AQ1264" i="5" s="1"/>
  <c r="AP1265" i="5"/>
  <c r="AR1333" i="5"/>
  <c r="AQ1333" i="5" s="1"/>
  <c r="AX1336" i="5"/>
  <c r="AV1336" i="5"/>
  <c r="AW1336" i="5"/>
  <c r="AR1265" i="5" l="1"/>
  <c r="AP1266" i="5"/>
  <c r="AR1334" i="5"/>
  <c r="AQ1334" i="5" s="1"/>
  <c r="AY1336" i="5"/>
  <c r="AP1267" i="5" l="1"/>
  <c r="AR1266" i="5"/>
  <c r="AP1268" i="5" l="1"/>
  <c r="AR1267" i="5"/>
  <c r="AQ1267" i="5" s="1"/>
  <c r="AP1269" i="5" l="1"/>
  <c r="AP1270" i="5" s="1"/>
  <c r="AP1271" i="5" s="1"/>
  <c r="AP1272" i="5" s="1"/>
  <c r="AP1273" i="5" s="1"/>
  <c r="AR1268" i="5"/>
  <c r="AQ1268" i="5" s="1"/>
  <c r="AT1261" i="5" s="1"/>
  <c r="AW1261" i="5" l="1"/>
  <c r="AV1261" i="5"/>
  <c r="AX1261" i="5"/>
  <c r="AU1261" i="5"/>
  <c r="AY1261" i="5"/>
  <c r="AR1273" i="5"/>
  <c r="AQ1273" i="5" s="1"/>
  <c r="AP1274" i="5"/>
  <c r="AP1275" i="5" l="1"/>
  <c r="AR1274" i="5"/>
  <c r="AQ1274" i="5" s="1"/>
  <c r="AT1335" i="5"/>
  <c r="AY1335" i="5" s="1"/>
  <c r="AR1342" i="5"/>
  <c r="AU1336" i="5" s="1"/>
  <c r="AX1335" i="5" l="1"/>
  <c r="AR1275" i="5"/>
  <c r="AP1276" i="5"/>
  <c r="AR1343" i="5"/>
  <c r="AQ1343" i="5" s="1"/>
  <c r="AV1335" i="5"/>
  <c r="AP1277" i="5" l="1"/>
  <c r="AR1276" i="5"/>
  <c r="AW1335" i="5"/>
  <c r="AR1277" i="5" l="1"/>
  <c r="AQ1277" i="5" s="1"/>
  <c r="AT1270" i="5" s="1"/>
  <c r="AP1278" i="5"/>
  <c r="AW1348" i="5"/>
  <c r="AR1278" i="5" l="1"/>
  <c r="AQ1278" i="5" s="1"/>
  <c r="AW1270" i="5" s="1"/>
  <c r="AP1279" i="5"/>
  <c r="AP1280" i="5" s="1"/>
  <c r="AP1281" i="5" s="1"/>
  <c r="AP1282" i="5" s="1"/>
  <c r="AX1270" i="5"/>
  <c r="AY1270" i="5"/>
  <c r="AU1270" i="5"/>
  <c r="AV1270" i="5"/>
  <c r="AR1282" i="5" l="1"/>
  <c r="AU1276" i="5" s="1"/>
  <c r="AP1283" i="5"/>
  <c r="AR1283" i="5" l="1"/>
  <c r="AQ1283" i="5" s="1"/>
  <c r="AT1279" i="5" s="1"/>
  <c r="AP1284" i="5"/>
  <c r="AT1344" i="5"/>
  <c r="AY1344" i="5" s="1"/>
  <c r="AR1351" i="5"/>
  <c r="AV1344" i="5" s="1"/>
  <c r="AP1285" i="5" l="1"/>
  <c r="AR1284" i="5"/>
  <c r="AV1276" i="5" s="1"/>
  <c r="AU1279" i="5"/>
  <c r="AX1279" i="5"/>
  <c r="AR1352" i="5"/>
  <c r="AQ1352" i="5" s="1"/>
  <c r="AR1285" i="5" l="1"/>
  <c r="AQ1285" i="5" s="1"/>
  <c r="AY1279" i="5" s="1"/>
  <c r="AP1286" i="5"/>
  <c r="AW1344" i="5"/>
  <c r="AX1344" i="5"/>
  <c r="AP1287" i="5" l="1"/>
  <c r="AR1286" i="5"/>
  <c r="AV1279" i="5" s="1"/>
  <c r="AU1348" i="5"/>
  <c r="AR1287" i="5" l="1"/>
  <c r="AQ1287" i="5" s="1"/>
  <c r="AW1279" i="5" s="1"/>
  <c r="AP1288" i="5"/>
  <c r="AP1289" i="5" s="1"/>
  <c r="AP1290" i="5" s="1"/>
  <c r="AP1291" i="5" s="1"/>
  <c r="AP1292" i="5" l="1"/>
  <c r="AR1291" i="5"/>
  <c r="AP1293" i="5" l="1"/>
  <c r="AR1292" i="5"/>
  <c r="AQ1292" i="5" s="1"/>
  <c r="AT1288" i="5" s="1"/>
  <c r="AT1353" i="5"/>
  <c r="AY1353" i="5" s="1"/>
  <c r="AR1360" i="5"/>
  <c r="AV1353" i="5" l="1"/>
  <c r="AP1294" i="5"/>
  <c r="AR1293" i="5"/>
  <c r="AQ1293" i="5" s="1"/>
  <c r="AU1288" i="5" s="1"/>
  <c r="AR1361" i="5"/>
  <c r="AQ1361" i="5" s="1"/>
  <c r="AR1294" i="5" l="1"/>
  <c r="AX1288" i="5" s="1"/>
  <c r="AP1295" i="5"/>
  <c r="AW1353" i="5"/>
  <c r="AX1353" i="5"/>
  <c r="AR1295" i="5" l="1"/>
  <c r="AV1288" i="5" s="1"/>
  <c r="AP1296" i="5"/>
  <c r="AY1288" i="5"/>
  <c r="AP1297" i="5" l="1"/>
  <c r="AP1298" i="5" s="1"/>
  <c r="AP1299" i="5" s="1"/>
  <c r="AP1300" i="5" s="1"/>
  <c r="AR1296" i="5"/>
  <c r="AQ1296" i="5" s="1"/>
  <c r="AW1288" i="5" s="1"/>
  <c r="AT1373" i="5"/>
  <c r="AW1373" i="5" s="1"/>
  <c r="AP1301" i="5" l="1"/>
  <c r="AR1300" i="5"/>
  <c r="AP1302" i="5" l="1"/>
  <c r="AR1301" i="5"/>
  <c r="AQ1301" i="5" s="1"/>
  <c r="AR1369" i="5"/>
  <c r="AU1373" i="5"/>
  <c r="AR1302" i="5" l="1"/>
  <c r="AP1303" i="5"/>
  <c r="AR1370" i="5"/>
  <c r="AQ1370" i="5" s="1"/>
  <c r="AY1373" i="5"/>
  <c r="AR1303" i="5" l="1"/>
  <c r="AP1304" i="5"/>
  <c r="AT1362" i="5"/>
  <c r="AV1362" i="5" s="1"/>
  <c r="AV1373" i="5"/>
  <c r="AR1304" i="5" l="1"/>
  <c r="AP1305" i="5"/>
  <c r="AU1362" i="5"/>
  <c r="AX1362" i="5"/>
  <c r="AW1362" i="5"/>
  <c r="AY1362" i="5"/>
  <c r="AT1371" i="5"/>
  <c r="AP1306" i="5" l="1"/>
  <c r="AP1307" i="5" s="1"/>
  <c r="AP1308" i="5" s="1"/>
  <c r="AP1309" i="5" s="1"/>
  <c r="AR1305" i="5"/>
  <c r="AQ1305" i="5" s="1"/>
  <c r="AT1297" i="5" s="1"/>
  <c r="AU1371" i="5"/>
  <c r="AW1297" i="5" l="1"/>
  <c r="AY1297" i="5"/>
  <c r="AV1297" i="5"/>
  <c r="AX1297" i="5"/>
  <c r="AU1297" i="5"/>
  <c r="AP1310" i="5"/>
  <c r="AR1309" i="5"/>
  <c r="AQ1309" i="5" s="1"/>
  <c r="AR1378" i="5"/>
  <c r="AX1373" i="5" s="1"/>
  <c r="AP1311" i="5" l="1"/>
  <c r="AR1310" i="5"/>
  <c r="AQ1310" i="5" s="1"/>
  <c r="AR1379" i="5"/>
  <c r="AV1371" i="5" s="1"/>
  <c r="AR1311" i="5" l="1"/>
  <c r="AQ1311" i="5" s="1"/>
  <c r="AT1306" i="5" s="1"/>
  <c r="AP1312" i="5"/>
  <c r="AR1380" i="5"/>
  <c r="AX1371" i="5" s="1"/>
  <c r="AT1385" i="5"/>
  <c r="AR1312" i="5" l="1"/>
  <c r="AU1306" i="5" s="1"/>
  <c r="AP1313" i="5"/>
  <c r="AY1306" i="5"/>
  <c r="AY1371" i="5"/>
  <c r="AX1385" i="5"/>
  <c r="AU1385" i="5"/>
  <c r="AY1385" i="5"/>
  <c r="AV1385" i="5"/>
  <c r="AR1313" i="5" l="1"/>
  <c r="AP1314" i="5"/>
  <c r="AW1371" i="5"/>
  <c r="AW1385" i="5"/>
  <c r="AP1315" i="5" l="1"/>
  <c r="AP1316" i="5" s="1"/>
  <c r="AP1317" i="5" s="1"/>
  <c r="AP1318" i="5" s="1"/>
  <c r="AR1314" i="5"/>
  <c r="AQ1314" i="5" s="1"/>
  <c r="AW1306" i="5" s="1"/>
  <c r="AX1306" i="5"/>
  <c r="AV1306" i="5"/>
  <c r="AP1319" i="5" l="1"/>
  <c r="AR1318" i="5"/>
  <c r="AU1312" i="5" s="1"/>
  <c r="AP1320" i="5" l="1"/>
  <c r="AR1319" i="5"/>
  <c r="AQ1319" i="5" s="1"/>
  <c r="AT1315" i="5" s="1"/>
  <c r="AX1315" i="5" l="1"/>
  <c r="AP1321" i="5"/>
  <c r="AR1320" i="5"/>
  <c r="AV1312" i="5" s="1"/>
  <c r="AU1315" i="5" l="1"/>
  <c r="AR1321" i="5"/>
  <c r="AQ1321" i="5" s="1"/>
  <c r="AP1322" i="5"/>
  <c r="AR1387" i="5"/>
  <c r="AT1317" i="5" l="1"/>
  <c r="AV1315" i="5"/>
  <c r="AY1315" i="5"/>
  <c r="AR1322" i="5"/>
  <c r="AU1317" i="5" s="1"/>
  <c r="AP1323" i="5"/>
  <c r="AR1388" i="5"/>
  <c r="AX1397" i="5"/>
  <c r="AP1324" i="5" l="1"/>
  <c r="AP1325" i="5" s="1"/>
  <c r="AP1326" i="5" s="1"/>
  <c r="AP1327" i="5" s="1"/>
  <c r="AR1323" i="5"/>
  <c r="AQ1323" i="5" s="1"/>
  <c r="AW1315" i="5" s="1"/>
  <c r="AY1317" i="5"/>
  <c r="AV1317" i="5"/>
  <c r="AW1317" i="5"/>
  <c r="AX1317" i="5"/>
  <c r="AR1389" i="5"/>
  <c r="AQ1389" i="5" s="1"/>
  <c r="AR1327" i="5" l="1"/>
  <c r="AP1328" i="5"/>
  <c r="AT1382" i="5"/>
  <c r="AY1382" i="5" s="1"/>
  <c r="AR1328" i="5" l="1"/>
  <c r="AQ1328" i="5" s="1"/>
  <c r="AT1324" i="5" s="1"/>
  <c r="AP1329" i="5"/>
  <c r="AX1382" i="5"/>
  <c r="AU1382" i="5"/>
  <c r="AV1382" i="5"/>
  <c r="AW1382" i="5"/>
  <c r="AW1397" i="5"/>
  <c r="AR1329" i="5" l="1"/>
  <c r="AQ1329" i="5" s="1"/>
  <c r="AU1324" i="5" s="1"/>
  <c r="AP1330" i="5"/>
  <c r="AX1324" i="5"/>
  <c r="AP1331" i="5" l="1"/>
  <c r="AR1330" i="5"/>
  <c r="AQ1330" i="5" s="1"/>
  <c r="AR1396" i="5"/>
  <c r="AT1326" i="5" l="1"/>
  <c r="AV1324" i="5"/>
  <c r="AP1332" i="5"/>
  <c r="AR1331" i="5"/>
  <c r="AY1324" i="5" s="1"/>
  <c r="AR1397" i="5"/>
  <c r="AP1333" i="5" l="1"/>
  <c r="AP1334" i="5" s="1"/>
  <c r="AP1335" i="5" s="1"/>
  <c r="AP1336" i="5" s="1"/>
  <c r="AR1332" i="5"/>
  <c r="AQ1332" i="5" s="1"/>
  <c r="AW1324" i="5" s="1"/>
  <c r="AY1326" i="5"/>
  <c r="AU1326" i="5"/>
  <c r="AX1326" i="5"/>
  <c r="AV1326" i="5"/>
  <c r="AW1326" i="5"/>
  <c r="AR1398" i="5"/>
  <c r="AQ1398" i="5" s="1"/>
  <c r="AR1336" i="5" l="1"/>
  <c r="AP1337" i="5"/>
  <c r="AT1391" i="5"/>
  <c r="AV1391" i="5" s="1"/>
  <c r="AU1391" i="5" l="1"/>
  <c r="AR1337" i="5"/>
  <c r="AQ1337" i="5" s="1"/>
  <c r="AT1333" i="5" s="1"/>
  <c r="AP1338" i="5"/>
  <c r="AY1391" i="5"/>
  <c r="AW1391" i="5"/>
  <c r="AX1391" i="5"/>
  <c r="AV1397" i="5"/>
  <c r="AX1333" i="5" l="1"/>
  <c r="AP1339" i="5"/>
  <c r="AR1338" i="5"/>
  <c r="AU1333" i="5" s="1"/>
  <c r="AR1404" i="5"/>
  <c r="AY1397" i="5" s="1"/>
  <c r="AP1340" i="5" l="1"/>
  <c r="AR1339" i="5"/>
  <c r="AQ1339" i="5" s="1"/>
  <c r="AR1405" i="5"/>
  <c r="AY1333" i="5" l="1"/>
  <c r="AR1340" i="5"/>
  <c r="AU1335" i="5" s="1"/>
  <c r="AP1341" i="5"/>
  <c r="AR1406" i="5"/>
  <c r="AQ1406" i="5" s="1"/>
  <c r="AV1333" i="5" l="1"/>
  <c r="AP1342" i="5"/>
  <c r="AP1343" i="5" s="1"/>
  <c r="AP1344" i="5" s="1"/>
  <c r="AP1345" i="5" s="1"/>
  <c r="AR1341" i="5"/>
  <c r="AQ1341" i="5" s="1"/>
  <c r="AW1333" i="5" s="1"/>
  <c r="AT1400" i="5"/>
  <c r="AR1407" i="5"/>
  <c r="AQ1407" i="5" s="1"/>
  <c r="AX1400" i="5" s="1"/>
  <c r="AV1400" i="5"/>
  <c r="AP1346" i="5" l="1"/>
  <c r="AR1345" i="5"/>
  <c r="AQ1345" i="5" s="1"/>
  <c r="AU1400" i="5"/>
  <c r="AY1400" i="5"/>
  <c r="AW1400" i="5"/>
  <c r="AP1347" i="5" l="1"/>
  <c r="AR1346" i="5"/>
  <c r="AQ1346" i="5" s="1"/>
  <c r="AT1342" i="5" s="1"/>
  <c r="AT1421" i="5"/>
  <c r="AX1342" i="5" l="1"/>
  <c r="AP1348" i="5"/>
  <c r="AR1347" i="5"/>
  <c r="AU1342" i="5" s="1"/>
  <c r="AR1414" i="5"/>
  <c r="AU1421" i="5"/>
  <c r="AP1349" i="5" l="1"/>
  <c r="AR1348" i="5"/>
  <c r="AQ1348" i="5" s="1"/>
  <c r="AR1415" i="5"/>
  <c r="AY1342" i="5" l="1"/>
  <c r="AR1349" i="5"/>
  <c r="AU1344" i="5" s="1"/>
  <c r="AP1350" i="5"/>
  <c r="AR1416" i="5"/>
  <c r="AR1350" i="5" l="1"/>
  <c r="AQ1350" i="5" s="1"/>
  <c r="AW1342" i="5" s="1"/>
  <c r="AP1351" i="5"/>
  <c r="AP1352" i="5" s="1"/>
  <c r="AP1353" i="5" s="1"/>
  <c r="AP1354" i="5" s="1"/>
  <c r="AV1342" i="5"/>
  <c r="AW1421" i="5"/>
  <c r="AP1355" i="5" l="1"/>
  <c r="AR1354" i="5"/>
  <c r="AQ1354" i="5" s="1"/>
  <c r="AT1351" i="5" s="1"/>
  <c r="AT1409" i="5"/>
  <c r="AW1409" i="5" s="1"/>
  <c r="AP1356" i="5" l="1"/>
  <c r="AR1355" i="5"/>
  <c r="AY1348" i="5" s="1"/>
  <c r="AX1409" i="5"/>
  <c r="AU1409" i="5"/>
  <c r="AY1409" i="5"/>
  <c r="AV1409" i="5"/>
  <c r="AT1433" i="5"/>
  <c r="AP1357" i="5" l="1"/>
  <c r="AR1356" i="5"/>
  <c r="AX1351" i="5"/>
  <c r="AR1423" i="5"/>
  <c r="AU1433" i="5"/>
  <c r="AV1348" i="5" l="1"/>
  <c r="AU1351" i="5"/>
  <c r="AR1357" i="5"/>
  <c r="AQ1357" i="5" s="1"/>
  <c r="AP1358" i="5"/>
  <c r="AR1424" i="5"/>
  <c r="AY1351" i="5" l="1"/>
  <c r="AR1358" i="5"/>
  <c r="AU1353" i="5" s="1"/>
  <c r="AP1359" i="5"/>
  <c r="AR1425" i="5"/>
  <c r="AQ1425" i="5" s="1"/>
  <c r="AR1359" i="5" l="1"/>
  <c r="AQ1359" i="5" s="1"/>
  <c r="AW1351" i="5" s="1"/>
  <c r="AP1360" i="5"/>
  <c r="AP1361" i="5" s="1"/>
  <c r="AP1362" i="5" s="1"/>
  <c r="AP1363" i="5" s="1"/>
  <c r="AV1351" i="5"/>
  <c r="AT1418" i="5"/>
  <c r="AP1364" i="5" l="1"/>
  <c r="AR1363" i="5"/>
  <c r="AQ1363" i="5" s="1"/>
  <c r="AT1360" i="5" s="1"/>
  <c r="AX1418" i="5"/>
  <c r="AU1418" i="5"/>
  <c r="AY1418" i="5"/>
  <c r="AV1418" i="5"/>
  <c r="AP1365" i="5" l="1"/>
  <c r="AR1364" i="5"/>
  <c r="AX1360" i="5" s="1"/>
  <c r="AX1421" i="5"/>
  <c r="AW1433" i="5"/>
  <c r="AP1366" i="5" l="1"/>
  <c r="AR1365" i="5"/>
  <c r="AQ1365" i="5" s="1"/>
  <c r="AR1432" i="5"/>
  <c r="AY1433" i="5"/>
  <c r="AU1360" i="5" l="1"/>
  <c r="AR1366" i="5"/>
  <c r="AQ1366" i="5" s="1"/>
  <c r="AT1361" i="5" s="1"/>
  <c r="AP1367" i="5"/>
  <c r="AR1433" i="5"/>
  <c r="AP1368" i="5" l="1"/>
  <c r="AR1367" i="5"/>
  <c r="AY1360" i="5"/>
  <c r="AX1361" i="5"/>
  <c r="AV1361" i="5"/>
  <c r="AW1361" i="5"/>
  <c r="AY1361" i="5"/>
  <c r="AR1434" i="5"/>
  <c r="AU1361" i="5" l="1"/>
  <c r="AV1360" i="5"/>
  <c r="AR1368" i="5"/>
  <c r="AQ1368" i="5" s="1"/>
  <c r="AW1360" i="5" s="1"/>
  <c r="AP1369" i="5"/>
  <c r="AP1370" i="5" s="1"/>
  <c r="AP1371" i="5" s="1"/>
  <c r="AP1372" i="5" s="1"/>
  <c r="AT1427" i="5"/>
  <c r="AR1372" i="5" l="1"/>
  <c r="AQ1372" i="5" s="1"/>
  <c r="AT1369" i="5" s="1"/>
  <c r="AP1373" i="5"/>
  <c r="AX1427" i="5"/>
  <c r="AU1427" i="5"/>
  <c r="AY1427" i="5"/>
  <c r="AW1427" i="5"/>
  <c r="AV1427" i="5"/>
  <c r="AP1374" i="5" l="1"/>
  <c r="AR1373" i="5"/>
  <c r="AX1369" i="5" s="1"/>
  <c r="AR1441" i="5"/>
  <c r="AQ1441" i="5" s="1"/>
  <c r="AT1446" i="5"/>
  <c r="AR1374" i="5" l="1"/>
  <c r="AU1369" i="5" s="1"/>
  <c r="AP1375" i="5"/>
  <c r="AR1442" i="5"/>
  <c r="AQ1442" i="5" s="1"/>
  <c r="AU1446" i="5"/>
  <c r="AW1446" i="5"/>
  <c r="AY1446" i="5"/>
  <c r="AR1375" i="5" l="1"/>
  <c r="AQ1375" i="5" s="1"/>
  <c r="AP1376" i="5"/>
  <c r="AT1436" i="5"/>
  <c r="AX1436" i="5" s="1"/>
  <c r="AR1443" i="5"/>
  <c r="AR1376" i="5" l="1"/>
  <c r="AP1377" i="5"/>
  <c r="AU1436" i="5"/>
  <c r="AV1369" i="5"/>
  <c r="AY1369" i="5"/>
  <c r="AX1433" i="5"/>
  <c r="AR1377" i="5" l="1"/>
  <c r="AQ1377" i="5" s="1"/>
  <c r="AW1369" i="5" s="1"/>
  <c r="AP1378" i="5"/>
  <c r="AP1379" i="5" s="1"/>
  <c r="AP1380" i="5" s="1"/>
  <c r="AP1381" i="5" s="1"/>
  <c r="AV1433" i="5"/>
  <c r="AP1382" i="5" l="1"/>
  <c r="AR1381" i="5"/>
  <c r="AQ1381" i="5" s="1"/>
  <c r="AT1378" i="5" s="1"/>
  <c r="AV1436" i="5"/>
  <c r="AP1383" i="5" l="1"/>
  <c r="AR1382" i="5"/>
  <c r="AQ1382" i="5" s="1"/>
  <c r="AU1378" i="5" s="1"/>
  <c r="AR1450" i="5"/>
  <c r="AQ1450" i="5" s="1"/>
  <c r="AT1470" i="5"/>
  <c r="AY1470" i="5" s="1"/>
  <c r="AP1384" i="5" l="1"/>
  <c r="AR1383" i="5"/>
  <c r="AX1378" i="5" s="1"/>
  <c r="AR1451" i="5"/>
  <c r="AQ1451" i="5" s="1"/>
  <c r="AU1470" i="5"/>
  <c r="AR1384" i="5" l="1"/>
  <c r="AV1378" i="5" s="1"/>
  <c r="AP1385" i="5"/>
  <c r="AT1447" i="5"/>
  <c r="AX1447" i="5" s="1"/>
  <c r="AR1452" i="5"/>
  <c r="AX1446" i="5" s="1"/>
  <c r="AR1385" i="5" l="1"/>
  <c r="AQ1385" i="5" s="1"/>
  <c r="AW1378" i="5" s="1"/>
  <c r="AP1386" i="5"/>
  <c r="AU1447" i="5"/>
  <c r="AP1387" i="5" l="1"/>
  <c r="AP1388" i="5" s="1"/>
  <c r="AP1389" i="5" s="1"/>
  <c r="AP1390" i="5" s="1"/>
  <c r="AR1386" i="5"/>
  <c r="AY1378" i="5" s="1"/>
  <c r="AV1446" i="5"/>
  <c r="AY1447" i="5"/>
  <c r="AR1390" i="5" l="1"/>
  <c r="AQ1390" i="5" s="1"/>
  <c r="AT1387" i="5" s="1"/>
  <c r="AP1391" i="5"/>
  <c r="AV1447" i="5"/>
  <c r="AP1392" i="5" l="1"/>
  <c r="AR1391" i="5"/>
  <c r="AU1387" i="5"/>
  <c r="AR1459" i="5"/>
  <c r="AR1392" i="5" l="1"/>
  <c r="AX1387" i="5" s="1"/>
  <c r="AP1393" i="5"/>
  <c r="AR1460" i="5"/>
  <c r="AQ1460" i="5" s="1"/>
  <c r="AR1393" i="5" l="1"/>
  <c r="AV1387" i="5" s="1"/>
  <c r="AP1394" i="5"/>
  <c r="AT1456" i="5"/>
  <c r="AX1456" i="5"/>
  <c r="AR1461" i="5"/>
  <c r="AU1456" i="5" s="1"/>
  <c r="AR1394" i="5" l="1"/>
  <c r="AQ1394" i="5" s="1"/>
  <c r="AP1395" i="5"/>
  <c r="AP1396" i="5" l="1"/>
  <c r="AP1397" i="5" s="1"/>
  <c r="AP1398" i="5" s="1"/>
  <c r="AP1399" i="5" s="1"/>
  <c r="AR1395" i="5"/>
  <c r="AY1387" i="5"/>
  <c r="AW1387" i="5"/>
  <c r="AY1456" i="5"/>
  <c r="AP1400" i="5" l="1"/>
  <c r="AR1399" i="5"/>
  <c r="AQ1399" i="5" s="1"/>
  <c r="AT1396" i="5" s="1"/>
  <c r="AV1456" i="5"/>
  <c r="AR1400" i="5" l="1"/>
  <c r="AU1396" i="5" s="1"/>
  <c r="AP1401" i="5"/>
  <c r="AR1468" i="5"/>
  <c r="AR2171" i="5"/>
  <c r="AP1402" i="5" l="1"/>
  <c r="AR1401" i="5"/>
  <c r="AQ1401" i="5" s="1"/>
  <c r="AR1469" i="5"/>
  <c r="AQ1469" i="5" s="1"/>
  <c r="AV1470" i="5"/>
  <c r="AX1396" i="5" l="1"/>
  <c r="AR1402" i="5"/>
  <c r="AV1396" i="5" s="1"/>
  <c r="AP1403" i="5"/>
  <c r="AT1465" i="5"/>
  <c r="AX1465" i="5" s="1"/>
  <c r="AR1470" i="5"/>
  <c r="AU1465" i="5"/>
  <c r="AR1403" i="5" l="1"/>
  <c r="AQ1403" i="5" s="1"/>
  <c r="AP1404" i="5"/>
  <c r="AP1405" i="5" s="1"/>
  <c r="AP1406" i="5" s="1"/>
  <c r="AP1407" i="5" s="1"/>
  <c r="AP1408" i="5" s="1"/>
  <c r="AP1409" i="5" l="1"/>
  <c r="AR1408" i="5"/>
  <c r="AW1396" i="5"/>
  <c r="AY1396" i="5"/>
  <c r="AR1409" i="5" l="1"/>
  <c r="AQ1409" i="5" s="1"/>
  <c r="AT1405" i="5" s="1"/>
  <c r="AP1410" i="5"/>
  <c r="AV1465" i="5"/>
  <c r="AP1411" i="5" l="1"/>
  <c r="AR1410" i="5"/>
  <c r="AU1405" i="5" s="1"/>
  <c r="AY1405" i="5"/>
  <c r="AR1477" i="5"/>
  <c r="AX1470" i="5" s="1"/>
  <c r="AT1506" i="5"/>
  <c r="AY1506" i="5" s="1"/>
  <c r="AR1411" i="5" l="1"/>
  <c r="AX1405" i="5" s="1"/>
  <c r="AP1412" i="5"/>
  <c r="AR1478" i="5"/>
  <c r="AQ1478" i="5" s="1"/>
  <c r="AU1506" i="5"/>
  <c r="AT1482" i="5"/>
  <c r="AY1482" i="5" s="1"/>
  <c r="AR1513" i="5"/>
  <c r="AX1506" i="5" s="1"/>
  <c r="AP1413" i="5" l="1"/>
  <c r="AR1412" i="5"/>
  <c r="AV1405" i="5" s="1"/>
  <c r="AT1474" i="5"/>
  <c r="AX1474" i="5" s="1"/>
  <c r="AR1479" i="5"/>
  <c r="AQ1479" i="5" s="1"/>
  <c r="AW1470" i="5" s="1"/>
  <c r="AU1482" i="5"/>
  <c r="AP1414" i="5" l="1"/>
  <c r="AP1415" i="5" s="1"/>
  <c r="AP1416" i="5" s="1"/>
  <c r="AP1417" i="5" s="1"/>
  <c r="AR1413" i="5"/>
  <c r="AQ1413" i="5" s="1"/>
  <c r="AW1405" i="5" s="1"/>
  <c r="AU1474" i="5"/>
  <c r="AP1418" i="5" l="1"/>
  <c r="AR1417" i="5"/>
  <c r="AQ1417" i="5" s="1"/>
  <c r="AV1482" i="5"/>
  <c r="AR1522" i="5"/>
  <c r="AR1418" i="5" l="1"/>
  <c r="AQ1418" i="5" s="1"/>
  <c r="AT1414" i="5" s="1"/>
  <c r="AP1419" i="5"/>
  <c r="AV1474" i="5"/>
  <c r="AW1482" i="5"/>
  <c r="AR1523" i="5"/>
  <c r="AQ1523" i="5" s="1"/>
  <c r="AP1420" i="5" l="1"/>
  <c r="AR1419" i="5"/>
  <c r="AU1414" i="5" s="1"/>
  <c r="AY1414" i="5"/>
  <c r="AR1486" i="5"/>
  <c r="AT1518" i="5"/>
  <c r="AY1518" i="5" s="1"/>
  <c r="AP1421" i="5" l="1"/>
  <c r="AR1420" i="5"/>
  <c r="AX1414" i="5" s="1"/>
  <c r="AR1487" i="5"/>
  <c r="AQ1487" i="5" s="1"/>
  <c r="AR1421" i="5" l="1"/>
  <c r="AV1414" i="5" s="1"/>
  <c r="AP1422" i="5"/>
  <c r="AR1488" i="5"/>
  <c r="AP1423" i="5" l="1"/>
  <c r="AP1424" i="5" s="1"/>
  <c r="AP1425" i="5" s="1"/>
  <c r="AP1426" i="5" s="1"/>
  <c r="AR1422" i="5"/>
  <c r="AQ1422" i="5" s="1"/>
  <c r="AW1414" i="5" s="1"/>
  <c r="AR1426" i="5" l="1"/>
  <c r="AQ1426" i="5" s="1"/>
  <c r="AW1418" i="5" s="1"/>
  <c r="AP1427" i="5"/>
  <c r="AT1494" i="5"/>
  <c r="AR1427" i="5" l="1"/>
  <c r="AQ1427" i="5" s="1"/>
  <c r="AT1423" i="5" s="1"/>
  <c r="AP1428" i="5"/>
  <c r="AU1494" i="5"/>
  <c r="AY1494" i="5"/>
  <c r="AX1494" i="5"/>
  <c r="AV1494" i="5"/>
  <c r="AW1494" i="5"/>
  <c r="AP1429" i="5" l="1"/>
  <c r="AR1428" i="5"/>
  <c r="AV1421" i="5" s="1"/>
  <c r="AU1423" i="5"/>
  <c r="AY1423" i="5"/>
  <c r="AR1495" i="5"/>
  <c r="AQ1495" i="5" s="1"/>
  <c r="AT1492" i="5" s="1"/>
  <c r="AR1429" i="5" l="1"/>
  <c r="AQ1429" i="5" s="1"/>
  <c r="AP1430" i="5"/>
  <c r="AR1496" i="5"/>
  <c r="AX1492" i="5" s="1"/>
  <c r="AR1430" i="5" l="1"/>
  <c r="AY1421" i="5" s="1"/>
  <c r="AP1431" i="5"/>
  <c r="AX1423" i="5"/>
  <c r="AV1423" i="5"/>
  <c r="AR1497" i="5"/>
  <c r="AU1492" i="5" s="1"/>
  <c r="AR1539" i="5"/>
  <c r="AP1432" i="5" l="1"/>
  <c r="AP1433" i="5" s="1"/>
  <c r="AP1434" i="5" s="1"/>
  <c r="AP1435" i="5" s="1"/>
  <c r="AR1431" i="5"/>
  <c r="AQ1431" i="5" s="1"/>
  <c r="AW1423" i="5" s="1"/>
  <c r="AR1540" i="5"/>
  <c r="AQ1540" i="5" s="1"/>
  <c r="AP1436" i="5" l="1"/>
  <c r="AR1435" i="5"/>
  <c r="AQ1435" i="5" s="1"/>
  <c r="AY1492" i="5"/>
  <c r="AP1437" i="5" l="1"/>
  <c r="AR1436" i="5"/>
  <c r="AQ1436" i="5" s="1"/>
  <c r="AT1432" i="5" s="1"/>
  <c r="AY1432" i="5" l="1"/>
  <c r="AP1438" i="5"/>
  <c r="AR1437" i="5"/>
  <c r="AQ1437" i="5" s="1"/>
  <c r="AU1432" i="5" s="1"/>
  <c r="AR1504" i="5"/>
  <c r="AQ1504" i="5" s="1"/>
  <c r="AT1501" i="5" s="1"/>
  <c r="AV1506" i="5"/>
  <c r="AR1549" i="5"/>
  <c r="AR1438" i="5" l="1"/>
  <c r="AX1432" i="5" s="1"/>
  <c r="AP1439" i="5"/>
  <c r="AR1505" i="5"/>
  <c r="AX1501" i="5" s="1"/>
  <c r="AR1550" i="5"/>
  <c r="AP1440" i="5" l="1"/>
  <c r="AR1439" i="5"/>
  <c r="AV1432" i="5" s="1"/>
  <c r="AR1506" i="5"/>
  <c r="AU1501" i="5" s="1"/>
  <c r="AR1440" i="5" l="1"/>
  <c r="AQ1440" i="5" s="1"/>
  <c r="AW1432" i="5" s="1"/>
  <c r="AP1441" i="5"/>
  <c r="AP1442" i="5" s="1"/>
  <c r="AP1443" i="5" s="1"/>
  <c r="AP1444" i="5" s="1"/>
  <c r="AP1445" i="5" l="1"/>
  <c r="AR1444" i="5"/>
  <c r="AY1436" i="5" s="1"/>
  <c r="AY1501" i="5"/>
  <c r="AR1559" i="5"/>
  <c r="AQ1559" i="5" s="1"/>
  <c r="AR1445" i="5" l="1"/>
  <c r="AQ1445" i="5" s="1"/>
  <c r="AT1441" i="5" s="1"/>
  <c r="AP1446" i="5"/>
  <c r="AT1555" i="5"/>
  <c r="AP1447" i="5" l="1"/>
  <c r="AR1446" i="5"/>
  <c r="AQ1446" i="5" s="1"/>
  <c r="AW1436" i="5" s="1"/>
  <c r="AY1441" i="5"/>
  <c r="AR1514" i="5"/>
  <c r="AQ1514" i="5" s="1"/>
  <c r="AU1441" i="5" l="1"/>
  <c r="AP1448" i="5"/>
  <c r="AR1447" i="5"/>
  <c r="AX1441" i="5" s="1"/>
  <c r="AT1510" i="5"/>
  <c r="AR1515" i="5"/>
  <c r="AQ1515" i="5" s="1"/>
  <c r="AW1506" i="5" s="1"/>
  <c r="AU1518" i="5"/>
  <c r="AP1449" i="5" l="1"/>
  <c r="AR1448" i="5"/>
  <c r="AV1441" i="5" s="1"/>
  <c r="AU1510" i="5"/>
  <c r="AP1450" i="5" l="1"/>
  <c r="AP1451" i="5" s="1"/>
  <c r="AP1452" i="5" s="1"/>
  <c r="AP1453" i="5" s="1"/>
  <c r="AR1449" i="5"/>
  <c r="AQ1449" i="5" s="1"/>
  <c r="AW1441" i="5" s="1"/>
  <c r="AX1510" i="5"/>
  <c r="AR1453" i="5" l="1"/>
  <c r="AP1454" i="5"/>
  <c r="AW1518" i="5"/>
  <c r="AP1455" i="5" l="1"/>
  <c r="AR1454" i="5"/>
  <c r="AQ1454" i="5" s="1"/>
  <c r="AT1450" i="5" s="1"/>
  <c r="AY1450" i="5" l="1"/>
  <c r="AP1456" i="5"/>
  <c r="AR1455" i="5"/>
  <c r="AQ1455" i="5" s="1"/>
  <c r="AW1447" i="5" s="1"/>
  <c r="AY1510" i="5"/>
  <c r="AR1456" i="5" l="1"/>
  <c r="AX1450" i="5" s="1"/>
  <c r="AP1457" i="5"/>
  <c r="AU1450" i="5"/>
  <c r="AW1510" i="5"/>
  <c r="AR1524" i="5"/>
  <c r="AQ1524" i="5" s="1"/>
  <c r="AR1457" i="5" l="1"/>
  <c r="AV1450" i="5" s="1"/>
  <c r="AP1458" i="5"/>
  <c r="AP1459" i="5" l="1"/>
  <c r="AP1460" i="5" s="1"/>
  <c r="AP1461" i="5" s="1"/>
  <c r="AP1462" i="5" s="1"/>
  <c r="AR1458" i="5"/>
  <c r="AQ1458" i="5" s="1"/>
  <c r="AW1450" i="5" s="1"/>
  <c r="AX1518" i="5"/>
  <c r="AR1576" i="5"/>
  <c r="AQ1576" i="5" s="1"/>
  <c r="AP1463" i="5" l="1"/>
  <c r="AR1462" i="5"/>
  <c r="AQ1462" i="5" s="1"/>
  <c r="AP1464" i="5" l="1"/>
  <c r="AR1463" i="5"/>
  <c r="AQ1463" i="5" s="1"/>
  <c r="AT1458" i="5" s="1"/>
  <c r="AX1458" i="5" l="1"/>
  <c r="AY1458" i="5"/>
  <c r="AU1458" i="5"/>
  <c r="AV1458" i="5"/>
  <c r="AW1458" i="5"/>
  <c r="AP1465" i="5"/>
  <c r="AR1464" i="5"/>
  <c r="AQ1464" i="5" s="1"/>
  <c r="AW1456" i="5" s="1"/>
  <c r="AT1459" i="5"/>
  <c r="AP1466" i="5" l="1"/>
  <c r="AR1465" i="5"/>
  <c r="AX1459" i="5" s="1"/>
  <c r="AU1459" i="5"/>
  <c r="AY1459" i="5"/>
  <c r="AR1533" i="5"/>
  <c r="AQ1533" i="5" s="1"/>
  <c r="AR1586" i="5"/>
  <c r="AR1466" i="5" l="1"/>
  <c r="AQ1466" i="5" s="1"/>
  <c r="AV1459" i="5" s="1"/>
  <c r="AP1467" i="5"/>
  <c r="AR1587" i="5"/>
  <c r="AP1468" i="5" l="1"/>
  <c r="AP1469" i="5" s="1"/>
  <c r="AP1470" i="5" s="1"/>
  <c r="AP1471" i="5" s="1"/>
  <c r="AR1467" i="5"/>
  <c r="AQ1467" i="5" s="1"/>
  <c r="AW1459" i="5" s="1"/>
  <c r="AP1472" i="5" l="1"/>
  <c r="AR1471" i="5"/>
  <c r="AY1465" i="5" s="1"/>
  <c r="AR1595" i="5"/>
  <c r="AQ1595" i="5" s="1"/>
  <c r="AR1472" i="5" l="1"/>
  <c r="AQ1472" i="5" s="1"/>
  <c r="AT1468" i="5" s="1"/>
  <c r="AP1473" i="5"/>
  <c r="AT1591" i="5"/>
  <c r="AR1596" i="5"/>
  <c r="AU1591" i="5" s="1"/>
  <c r="AP1474" i="5" l="1"/>
  <c r="AR1473" i="5"/>
  <c r="AQ1473" i="5" s="1"/>
  <c r="AW1465" i="5" s="1"/>
  <c r="AY1468" i="5"/>
  <c r="AU1468" i="5" l="1"/>
  <c r="AP1475" i="5"/>
  <c r="AR1474" i="5"/>
  <c r="AX1468" i="5" s="1"/>
  <c r="AR1542" i="5"/>
  <c r="AQ1542" i="5" s="1"/>
  <c r="AR1475" i="5" l="1"/>
  <c r="AQ1475" i="5" s="1"/>
  <c r="AV1468" i="5" s="1"/>
  <c r="AP1476" i="5"/>
  <c r="AP1477" i="5" l="1"/>
  <c r="AP1478" i="5" s="1"/>
  <c r="AP1479" i="5" s="1"/>
  <c r="AP1480" i="5" s="1"/>
  <c r="AR1476" i="5"/>
  <c r="AQ1476" i="5" s="1"/>
  <c r="AW1468" i="5" s="1"/>
  <c r="AR1480" i="5" l="1"/>
  <c r="AY1474" i="5" s="1"/>
  <c r="AP1481" i="5"/>
  <c r="AR1481" i="5" l="1"/>
  <c r="AQ1481" i="5" s="1"/>
  <c r="AT1477" i="5" s="1"/>
  <c r="AP1482" i="5"/>
  <c r="AP1483" i="5" l="1"/>
  <c r="AR1482" i="5"/>
  <c r="AQ1482" i="5" s="1"/>
  <c r="AW1474" i="5" s="1"/>
  <c r="AY1477" i="5"/>
  <c r="AT1539" i="5"/>
  <c r="AV1539" i="5" s="1"/>
  <c r="AR1551" i="5"/>
  <c r="AY1539" i="5"/>
  <c r="AW1539" i="5"/>
  <c r="AU1477" i="5" l="1"/>
  <c r="AP1484" i="5"/>
  <c r="AR1483" i="5"/>
  <c r="AX1477" i="5" s="1"/>
  <c r="AX1539" i="5"/>
  <c r="AU1539" i="5"/>
  <c r="AU1555" i="5"/>
  <c r="AR1484" i="5" l="1"/>
  <c r="AV1477" i="5" s="1"/>
  <c r="AP1485" i="5"/>
  <c r="AT1548" i="5"/>
  <c r="AY1548" i="5" s="1"/>
  <c r="AT1543" i="5"/>
  <c r="AP1486" i="5" l="1"/>
  <c r="AP1487" i="5" s="1"/>
  <c r="AP1488" i="5" s="1"/>
  <c r="AP1489" i="5" s="1"/>
  <c r="AR1485" i="5"/>
  <c r="AQ1485" i="5" s="1"/>
  <c r="AW1477" i="5" s="1"/>
  <c r="AY1543" i="5"/>
  <c r="AU1543" i="5"/>
  <c r="AX1543" i="5"/>
  <c r="AW1543" i="5"/>
  <c r="AV1543" i="5"/>
  <c r="AU1548" i="5"/>
  <c r="AP1490" i="5" l="1"/>
  <c r="AR1489" i="5"/>
  <c r="AX1482" i="5" s="1"/>
  <c r="AW1555" i="5"/>
  <c r="AR1490" i="5" l="1"/>
  <c r="AQ1490" i="5" s="1"/>
  <c r="AT1486" i="5" s="1"/>
  <c r="AP1491" i="5"/>
  <c r="AR1491" i="5" l="1"/>
  <c r="AQ1491" i="5" s="1"/>
  <c r="AT1483" i="5" s="1"/>
  <c r="AP1492" i="5"/>
  <c r="AY1486" i="5"/>
  <c r="AU1486" i="5"/>
  <c r="AW1548" i="5"/>
  <c r="AR1560" i="5"/>
  <c r="AY1555" i="5" s="1"/>
  <c r="AR1622" i="5"/>
  <c r="AR1492" i="5" l="1"/>
  <c r="AX1486" i="5" s="1"/>
  <c r="AP1493" i="5"/>
  <c r="AU1483" i="5"/>
  <c r="AX1483" i="5"/>
  <c r="AW1483" i="5"/>
  <c r="AV1483" i="5"/>
  <c r="AY1483" i="5"/>
  <c r="AR1623" i="5"/>
  <c r="AR1493" i="5" l="1"/>
  <c r="AV1486" i="5" s="1"/>
  <c r="AP1494" i="5"/>
  <c r="AT1557" i="5"/>
  <c r="AY1557" i="5" s="1"/>
  <c r="AR1494" i="5" l="1"/>
  <c r="AQ1494" i="5" s="1"/>
  <c r="AW1486" i="5" s="1"/>
  <c r="AP1495" i="5"/>
  <c r="AP1496" i="5" s="1"/>
  <c r="AP1497" i="5" s="1"/>
  <c r="AP1498" i="5" s="1"/>
  <c r="AX1555" i="5"/>
  <c r="AU1557" i="5"/>
  <c r="AR1632" i="5"/>
  <c r="AR1498" i="5" l="1"/>
  <c r="AQ1498" i="5" s="1"/>
  <c r="AT1495" i="5" s="1"/>
  <c r="AP1499" i="5"/>
  <c r="AV1555" i="5"/>
  <c r="AX1557" i="5"/>
  <c r="AR1499" i="5" l="1"/>
  <c r="AQ1499" i="5" s="1"/>
  <c r="AV1492" i="5" s="1"/>
  <c r="AP1500" i="5"/>
  <c r="AY1495" i="5"/>
  <c r="AT1628" i="5"/>
  <c r="AX1628" i="5" s="1"/>
  <c r="AP1501" i="5" l="1"/>
  <c r="AR1500" i="5"/>
  <c r="AQ1500" i="5" s="1"/>
  <c r="AR1569" i="5"/>
  <c r="AW1492" i="5" l="1"/>
  <c r="AU1495" i="5"/>
  <c r="AP1502" i="5"/>
  <c r="AR1501" i="5"/>
  <c r="AX1495" i="5" s="1"/>
  <c r="AR1502" i="5" l="1"/>
  <c r="AV1495" i="5" s="1"/>
  <c r="AP1503" i="5"/>
  <c r="AR1503" i="5" l="1"/>
  <c r="AQ1503" i="5" s="1"/>
  <c r="AW1495" i="5" s="1"/>
  <c r="AP1504" i="5"/>
  <c r="AP1505" i="5" s="1"/>
  <c r="AP1506" i="5" s="1"/>
  <c r="AP1507" i="5" s="1"/>
  <c r="AP1508" i="5" l="1"/>
  <c r="AR1507" i="5"/>
  <c r="AQ1507" i="5" s="1"/>
  <c r="AT1504" i="5" s="1"/>
  <c r="AT1579" i="5"/>
  <c r="AP1509" i="5" l="1"/>
  <c r="AR1508" i="5"/>
  <c r="AV1501" i="5" s="1"/>
  <c r="AV1579" i="5"/>
  <c r="AX1579" i="5"/>
  <c r="AW1579" i="5"/>
  <c r="AU1579" i="5"/>
  <c r="AR1509" i="5" l="1"/>
  <c r="AQ1509" i="5" s="1"/>
  <c r="AP1510" i="5"/>
  <c r="AY1504" i="5"/>
  <c r="AP1511" i="5" l="1"/>
  <c r="AR1510" i="5"/>
  <c r="AV1504" i="5" s="1"/>
  <c r="AW1501" i="5"/>
  <c r="AU1504" i="5"/>
  <c r="AP1512" i="5" l="1"/>
  <c r="AR1511" i="5"/>
  <c r="AQ1511" i="5" s="1"/>
  <c r="AX1504" i="5" s="1"/>
  <c r="AT1575" i="5"/>
  <c r="AY1575" i="5" s="1"/>
  <c r="AP1513" i="5" l="1"/>
  <c r="AP1514" i="5" s="1"/>
  <c r="AP1515" i="5" s="1"/>
  <c r="AP1516" i="5" s="1"/>
  <c r="AR1512" i="5"/>
  <c r="AQ1512" i="5" s="1"/>
  <c r="AW1504" i="5" s="1"/>
  <c r="AP1517" i="5" l="1"/>
  <c r="AR1516" i="5"/>
  <c r="AQ1516" i="5" s="1"/>
  <c r="AT1513" i="5" s="1"/>
  <c r="AP1518" i="5" l="1"/>
  <c r="AR1517" i="5"/>
  <c r="AU1513" i="5" s="1"/>
  <c r="AV1575" i="5"/>
  <c r="AR1518" i="5" l="1"/>
  <c r="AP1519" i="5"/>
  <c r="AR1585" i="5"/>
  <c r="AY1579" i="5" s="1"/>
  <c r="AP1520" i="5" l="1"/>
  <c r="AR1519" i="5"/>
  <c r="AV1513" i="5" s="1"/>
  <c r="AV1510" i="5"/>
  <c r="AY1513" i="5"/>
  <c r="AR1520" i="5" l="1"/>
  <c r="AQ1520" i="5" s="1"/>
  <c r="AW1513" i="5" s="1"/>
  <c r="AP1521" i="5"/>
  <c r="AW1591" i="5"/>
  <c r="AP1522" i="5" l="1"/>
  <c r="AP1523" i="5" s="1"/>
  <c r="AP1524" i="5" s="1"/>
  <c r="AP1525" i="5" s="1"/>
  <c r="AR1521" i="5"/>
  <c r="AX1513" i="5" s="1"/>
  <c r="AP1526" i="5" l="1"/>
  <c r="AR1525" i="5"/>
  <c r="AQ1525" i="5" s="1"/>
  <c r="AT1522" i="5" s="1"/>
  <c r="AP1527" i="5" l="1"/>
  <c r="AR1526" i="5"/>
  <c r="AV1518" i="5" s="1"/>
  <c r="AR1527" i="5" l="1"/>
  <c r="AQ1527" i="5" s="1"/>
  <c r="AP1528" i="5"/>
  <c r="AU1522" i="5"/>
  <c r="AR1594" i="5"/>
  <c r="AQ1594" i="5" s="1"/>
  <c r="AP1529" i="5" l="1"/>
  <c r="AR1528" i="5"/>
  <c r="AQ1528" i="5" s="1"/>
  <c r="AT1521" i="5" s="1"/>
  <c r="AY1522" i="5"/>
  <c r="AX1521" i="5" l="1"/>
  <c r="AU1521" i="5"/>
  <c r="AW1521" i="5"/>
  <c r="AV1521" i="5"/>
  <c r="AY1521" i="5"/>
  <c r="AV1522" i="5"/>
  <c r="AP1530" i="5"/>
  <c r="AR1529" i="5"/>
  <c r="AQ1529" i="5" s="1"/>
  <c r="AV1591" i="5"/>
  <c r="AP1531" i="5" l="1"/>
  <c r="AP1532" i="5" s="1"/>
  <c r="AP1533" i="5" s="1"/>
  <c r="AP1534" i="5" s="1"/>
  <c r="AR1530" i="5"/>
  <c r="AX1522" i="5"/>
  <c r="AW1522" i="5"/>
  <c r="AP1535" i="5" l="1"/>
  <c r="AR1534" i="5"/>
  <c r="AQ1534" i="5" s="1"/>
  <c r="AT1531" i="5" s="1"/>
  <c r="AR1535" i="5" l="1"/>
  <c r="AU1531" i="5" s="1"/>
  <c r="AP1536" i="5"/>
  <c r="AR1536" i="5" l="1"/>
  <c r="AQ1536" i="5" s="1"/>
  <c r="AP1537" i="5"/>
  <c r="AR1603" i="5"/>
  <c r="AQ1603" i="5" s="1"/>
  <c r="AP1538" i="5" l="1"/>
  <c r="AR1537" i="5"/>
  <c r="AQ1537" i="5" s="1"/>
  <c r="AT1530" i="5" s="1"/>
  <c r="AY1531" i="5"/>
  <c r="AV1530" i="5" l="1"/>
  <c r="AW1530" i="5"/>
  <c r="AX1530" i="5"/>
  <c r="AU1530" i="5"/>
  <c r="AY1530" i="5"/>
  <c r="AV1531" i="5"/>
  <c r="AR1538" i="5"/>
  <c r="AQ1538" i="5" s="1"/>
  <c r="AW1531" i="5" s="1"/>
  <c r="AP1539" i="5"/>
  <c r="AP1540" i="5" s="1"/>
  <c r="AP1541" i="5" s="1"/>
  <c r="AP1542" i="5" s="1"/>
  <c r="AP1543" i="5" s="1"/>
  <c r="AR1543" i="5" l="1"/>
  <c r="AP1544" i="5"/>
  <c r="AX1531" i="5"/>
  <c r="AP1545" i="5" l="1"/>
  <c r="AR1544" i="5"/>
  <c r="AQ1544" i="5" s="1"/>
  <c r="AT1540" i="5" s="1"/>
  <c r="AX1540" i="5" l="1"/>
  <c r="AP1546" i="5"/>
  <c r="AR1545" i="5"/>
  <c r="AU1540" i="5" s="1"/>
  <c r="AT1616" i="5"/>
  <c r="AR1546" i="5" l="1"/>
  <c r="AQ1546" i="5" s="1"/>
  <c r="AP1547" i="5"/>
  <c r="AR1612" i="5"/>
  <c r="AQ1612" i="5" s="1"/>
  <c r="AU1616" i="5"/>
  <c r="AY1616" i="5"/>
  <c r="AV1616" i="5"/>
  <c r="AX1616" i="5"/>
  <c r="AW1616" i="5"/>
  <c r="AP1548" i="5" l="1"/>
  <c r="AR1547" i="5"/>
  <c r="AV1540" i="5" s="1"/>
  <c r="AY1540" i="5"/>
  <c r="AR1548" i="5" l="1"/>
  <c r="AQ1548" i="5" s="1"/>
  <c r="AW1540" i="5" s="1"/>
  <c r="AP1549" i="5"/>
  <c r="AP1550" i="5" s="1"/>
  <c r="AP1551" i="5" s="1"/>
  <c r="AP1552" i="5" s="1"/>
  <c r="AR1552" i="5" l="1"/>
  <c r="AQ1552" i="5" s="1"/>
  <c r="AP1553" i="5"/>
  <c r="AP1554" i="5" l="1"/>
  <c r="AR1553" i="5"/>
  <c r="AQ1553" i="5" s="1"/>
  <c r="AT1549" i="5" s="1"/>
  <c r="AX1549" i="5" l="1"/>
  <c r="AP1555" i="5"/>
  <c r="AR1554" i="5"/>
  <c r="AX1548" i="5" s="1"/>
  <c r="AU1549" i="5" l="1"/>
  <c r="AR1555" i="5"/>
  <c r="AP1556" i="5"/>
  <c r="AR1621" i="5"/>
  <c r="AQ1621" i="5" s="1"/>
  <c r="AV1548" i="5" l="1"/>
  <c r="AY1549" i="5"/>
  <c r="AR1556" i="5"/>
  <c r="AQ1556" i="5" s="1"/>
  <c r="AV1549" i="5" s="1"/>
  <c r="AP1557" i="5"/>
  <c r="AP1558" i="5" l="1"/>
  <c r="AP1559" i="5" s="1"/>
  <c r="AP1560" i="5" s="1"/>
  <c r="AP1561" i="5" s="1"/>
  <c r="AR1557" i="5"/>
  <c r="AQ1557" i="5" s="1"/>
  <c r="AW1549" i="5" s="1"/>
  <c r="AY1628" i="5"/>
  <c r="AR1561" i="5" l="1"/>
  <c r="AQ1561" i="5" s="1"/>
  <c r="AP1562" i="5"/>
  <c r="AP1563" i="5" l="1"/>
  <c r="AR1562" i="5"/>
  <c r="AQ1562" i="5" s="1"/>
  <c r="AT1558" i="5" s="1"/>
  <c r="AX1558" i="5" l="1"/>
  <c r="AR1563" i="5"/>
  <c r="AU1558" i="5" s="1"/>
  <c r="AP1564" i="5"/>
  <c r="AR1564" i="5" l="1"/>
  <c r="AQ1564" i="5" s="1"/>
  <c r="AP1565" i="5"/>
  <c r="AR1630" i="5"/>
  <c r="AQ1630" i="5" s="1"/>
  <c r="AP1566" i="5" l="1"/>
  <c r="AR1565" i="5"/>
  <c r="AQ1565" i="5" s="1"/>
  <c r="AW1557" i="5" s="1"/>
  <c r="AV1557" i="5"/>
  <c r="AY1558" i="5"/>
  <c r="AV1558" i="5" l="1"/>
  <c r="AP1567" i="5"/>
  <c r="AP1568" i="5" s="1"/>
  <c r="AP1569" i="5" s="1"/>
  <c r="AP1570" i="5" s="1"/>
  <c r="AR1566" i="5"/>
  <c r="AQ1566" i="5" s="1"/>
  <c r="AW1558" i="5" s="1"/>
  <c r="AP1571" i="5" l="1"/>
  <c r="AR1570" i="5"/>
  <c r="AQ1570" i="5" s="1"/>
  <c r="AT1566" i="5" s="1"/>
  <c r="AY1566" i="5" l="1"/>
  <c r="AU1566" i="5"/>
  <c r="AX1566" i="5"/>
  <c r="AW1566" i="5"/>
  <c r="AP1572" i="5"/>
  <c r="AR1571" i="5"/>
  <c r="AQ1571" i="5" s="1"/>
  <c r="AT1567" i="5" s="1"/>
  <c r="AX1567" i="5" l="1"/>
  <c r="AU1567" i="5"/>
  <c r="AR1572" i="5"/>
  <c r="AP1573" i="5"/>
  <c r="AW1628" i="5"/>
  <c r="AR1573" i="5" l="1"/>
  <c r="AP1574" i="5"/>
  <c r="AR1639" i="5"/>
  <c r="AQ1639" i="5" s="1"/>
  <c r="AR1574" i="5" l="1"/>
  <c r="AQ1574" i="5" s="1"/>
  <c r="AV1567" i="5" s="1"/>
  <c r="AP1575" i="5"/>
  <c r="AV1566" i="5"/>
  <c r="AY1567" i="5"/>
  <c r="AP1576" i="5" l="1"/>
  <c r="AP1577" i="5" s="1"/>
  <c r="AP1578" i="5" s="1"/>
  <c r="AP1579" i="5" s="1"/>
  <c r="AR1575" i="5"/>
  <c r="AQ1575" i="5" s="1"/>
  <c r="AW1567" i="5" s="1"/>
  <c r="AR1579" i="5" l="1"/>
  <c r="AP1580" i="5"/>
  <c r="AR1580" i="5" l="1"/>
  <c r="AQ1580" i="5" s="1"/>
  <c r="AT1576" i="5" s="1"/>
  <c r="AP1581" i="5"/>
  <c r="AT1640" i="5"/>
  <c r="AP1582" i="5" l="1"/>
  <c r="AR1581" i="5"/>
  <c r="AU1575" i="5" s="1"/>
  <c r="AU1576" i="5"/>
  <c r="AX1576" i="5"/>
  <c r="AR1648" i="5"/>
  <c r="AV1640" i="5" s="1"/>
  <c r="AT1652" i="5"/>
  <c r="AP1583" i="5" l="1"/>
  <c r="AR1582" i="5"/>
  <c r="AR1649" i="5"/>
  <c r="AQ1649" i="5" s="1"/>
  <c r="AX1652" i="5"/>
  <c r="AV1652" i="5"/>
  <c r="AW1652" i="5"/>
  <c r="AU1652" i="5"/>
  <c r="AX1575" i="5" l="1"/>
  <c r="AY1576" i="5"/>
  <c r="AR1583" i="5"/>
  <c r="AQ1583" i="5" s="1"/>
  <c r="AP1584" i="5"/>
  <c r="AX1640" i="5"/>
  <c r="AR1650" i="5"/>
  <c r="AQ1650" i="5" s="1"/>
  <c r="AW1640" i="5" s="1"/>
  <c r="AV1576" i="5" l="1"/>
  <c r="AP1585" i="5"/>
  <c r="AP1586" i="5" s="1"/>
  <c r="AP1587" i="5" s="1"/>
  <c r="AP1588" i="5" s="1"/>
  <c r="AR1584" i="5"/>
  <c r="AQ1584" i="5" s="1"/>
  <c r="AW1575" i="5" s="1"/>
  <c r="AP1589" i="5" l="1"/>
  <c r="AR1588" i="5"/>
  <c r="AQ1588" i="5" s="1"/>
  <c r="AW1576" i="5"/>
  <c r="AR1589" i="5" l="1"/>
  <c r="AQ1589" i="5" s="1"/>
  <c r="AT1585" i="5" s="1"/>
  <c r="AP1590" i="5"/>
  <c r="AX1585" i="5" l="1"/>
  <c r="AP1591" i="5"/>
  <c r="AR1590" i="5"/>
  <c r="AQ1590" i="5" s="1"/>
  <c r="AT1586" i="5" s="1"/>
  <c r="AY1586" i="5" l="1"/>
  <c r="AX1586" i="5"/>
  <c r="AV1586" i="5"/>
  <c r="AW1586" i="5"/>
  <c r="AU1585" i="5"/>
  <c r="AY1585" i="5"/>
  <c r="AP1592" i="5"/>
  <c r="AR1591" i="5"/>
  <c r="AU1586" i="5" s="1"/>
  <c r="AP1593" i="5" l="1"/>
  <c r="AR1592" i="5"/>
  <c r="AV1585" i="5" s="1"/>
  <c r="AP1594" i="5" l="1"/>
  <c r="AP1595" i="5" s="1"/>
  <c r="AP1596" i="5" s="1"/>
  <c r="AP1597" i="5" s="1"/>
  <c r="AR1593" i="5"/>
  <c r="AQ1593" i="5" s="1"/>
  <c r="AW1585" i="5" s="1"/>
  <c r="AR1657" i="5"/>
  <c r="AQ1657" i="5" s="1"/>
  <c r="AP1598" i="5" l="1"/>
  <c r="AR1597" i="5"/>
  <c r="AY1591" i="5" s="1"/>
  <c r="AR1658" i="5"/>
  <c r="AQ1658" i="5" s="1"/>
  <c r="AP1599" i="5" l="1"/>
  <c r="AR1598" i="5"/>
  <c r="AQ1598" i="5" s="1"/>
  <c r="AT1594" i="5" s="1"/>
  <c r="AT1651" i="5"/>
  <c r="AV1651" i="5" s="1"/>
  <c r="AU1651" i="5"/>
  <c r="AR1659" i="5"/>
  <c r="AY1652" i="5" s="1"/>
  <c r="AX1651" i="5" l="1"/>
  <c r="AW1651" i="5"/>
  <c r="AX1594" i="5"/>
  <c r="AY1651" i="5"/>
  <c r="AP1600" i="5"/>
  <c r="AR1599" i="5"/>
  <c r="AQ1599" i="5" s="1"/>
  <c r="AT1595" i="5" s="1"/>
  <c r="AR1600" i="5" l="1"/>
  <c r="AX1591" i="5" s="1"/>
  <c r="AP1601" i="5"/>
  <c r="AU1595" i="5"/>
  <c r="AY1595" i="5"/>
  <c r="AX1595" i="5"/>
  <c r="AV1595" i="5"/>
  <c r="AW1595" i="5"/>
  <c r="AY1594" i="5"/>
  <c r="AU1594" i="5"/>
  <c r="AP1602" i="5" l="1"/>
  <c r="AR1601" i="5"/>
  <c r="AV1594" i="5" s="1"/>
  <c r="AT1676" i="5"/>
  <c r="AX1676" i="5" s="1"/>
  <c r="AR1602" i="5" l="1"/>
  <c r="AQ1602" i="5" s="1"/>
  <c r="AW1594" i="5" s="1"/>
  <c r="AP1603" i="5"/>
  <c r="AP1604" i="5" s="1"/>
  <c r="AP1605" i="5" s="1"/>
  <c r="AP1606" i="5" s="1"/>
  <c r="AR1666" i="5"/>
  <c r="AU1676" i="5"/>
  <c r="AP1607" i="5" l="1"/>
  <c r="AR1606" i="5"/>
  <c r="AR1667" i="5"/>
  <c r="AQ1667" i="5" s="1"/>
  <c r="AR1607" i="5" l="1"/>
  <c r="AQ1607" i="5" s="1"/>
  <c r="AT1603" i="5" s="1"/>
  <c r="AP1608" i="5"/>
  <c r="AT1660" i="5"/>
  <c r="AW1660" i="5" s="1"/>
  <c r="AV1660" i="5"/>
  <c r="AY1660" i="5"/>
  <c r="AR1668" i="5"/>
  <c r="AX1660" i="5" s="1"/>
  <c r="AU1660" i="5" l="1"/>
  <c r="AP1609" i="5"/>
  <c r="AR1608" i="5"/>
  <c r="AQ1608" i="5" s="1"/>
  <c r="AT1604" i="5" s="1"/>
  <c r="AX1603" i="5"/>
  <c r="AW1676" i="5"/>
  <c r="AY1604" i="5" l="1"/>
  <c r="AU1604" i="5"/>
  <c r="AX1604" i="5"/>
  <c r="AV1604" i="5"/>
  <c r="AW1604" i="5"/>
  <c r="AU1603" i="5"/>
  <c r="AP1610" i="5"/>
  <c r="AR1609" i="5"/>
  <c r="AY1603" i="5" s="1"/>
  <c r="AT1664" i="5"/>
  <c r="AP1611" i="5" l="1"/>
  <c r="AR1610" i="5"/>
  <c r="AV1603" i="5" s="1"/>
  <c r="AX1664" i="5"/>
  <c r="AV1664" i="5"/>
  <c r="AR1611" i="5" l="1"/>
  <c r="AQ1611" i="5" s="1"/>
  <c r="AW1603" i="5" s="1"/>
  <c r="AP1612" i="5"/>
  <c r="AP1613" i="5" s="1"/>
  <c r="AP1614" i="5" s="1"/>
  <c r="AP1615" i="5" s="1"/>
  <c r="AR1675" i="5"/>
  <c r="AR1615" i="5" l="1"/>
  <c r="AP1616" i="5"/>
  <c r="AR1676" i="5"/>
  <c r="AQ1676" i="5" s="1"/>
  <c r="AP1617" i="5" l="1"/>
  <c r="AR1616" i="5"/>
  <c r="AQ1616" i="5" s="1"/>
  <c r="AT1612" i="5" s="1"/>
  <c r="AT1669" i="5"/>
  <c r="AV1669" i="5"/>
  <c r="AU1669" i="5"/>
  <c r="AW1669" i="5"/>
  <c r="AY1669" i="5"/>
  <c r="AX1669" i="5"/>
  <c r="AT1688" i="5"/>
  <c r="AX1612" i="5" l="1"/>
  <c r="AR1617" i="5"/>
  <c r="AQ1617" i="5" s="1"/>
  <c r="AT1613" i="5" s="1"/>
  <c r="AP1618" i="5"/>
  <c r="AV1676" i="5"/>
  <c r="AU1688" i="5"/>
  <c r="AX1688" i="5"/>
  <c r="AV1688" i="5"/>
  <c r="AW1688" i="5"/>
  <c r="AY1613" i="5" l="1"/>
  <c r="AX1613" i="5"/>
  <c r="AV1613" i="5"/>
  <c r="AW1613" i="5"/>
  <c r="AP1619" i="5"/>
  <c r="AR1618" i="5"/>
  <c r="AU1613" i="5" s="1"/>
  <c r="AU1612" i="5"/>
  <c r="AR1683" i="5"/>
  <c r="AY1676" i="5" s="1"/>
  <c r="AY1688" i="5"/>
  <c r="AP1620" i="5" l="1"/>
  <c r="AR1619" i="5"/>
  <c r="AV1612" i="5" s="1"/>
  <c r="AY1612" i="5"/>
  <c r="AR1684" i="5"/>
  <c r="AR1620" i="5" l="1"/>
  <c r="AQ1620" i="5" s="1"/>
  <c r="AW1612" i="5" s="1"/>
  <c r="AP1621" i="5"/>
  <c r="AP1622" i="5" s="1"/>
  <c r="AP1623" i="5" s="1"/>
  <c r="AP1624" i="5" s="1"/>
  <c r="AR1685" i="5"/>
  <c r="AQ1685" i="5" s="1"/>
  <c r="AR1624" i="5" l="1"/>
  <c r="AQ1624" i="5" s="1"/>
  <c r="AP1625" i="5"/>
  <c r="AR1686" i="5"/>
  <c r="AQ1686" i="5" s="1"/>
  <c r="AP1626" i="5" l="1"/>
  <c r="AR1625" i="5"/>
  <c r="AQ1625" i="5" s="1"/>
  <c r="AT1621" i="5"/>
  <c r="AX1621" i="5" l="1"/>
  <c r="AR1626" i="5"/>
  <c r="AQ1626" i="5" s="1"/>
  <c r="AT1622" i="5" s="1"/>
  <c r="AP1627" i="5"/>
  <c r="AP1628" i="5" l="1"/>
  <c r="AR1627" i="5"/>
  <c r="AY1621" i="5" s="1"/>
  <c r="AU1621" i="5"/>
  <c r="AY1622" i="5"/>
  <c r="AU1622" i="5"/>
  <c r="AX1622" i="5"/>
  <c r="AV1622" i="5"/>
  <c r="AW1622" i="5"/>
  <c r="AR1628" i="5" l="1"/>
  <c r="AV1621" i="5" s="1"/>
  <c r="AP1629" i="5"/>
  <c r="AR1693" i="5"/>
  <c r="AQ1693" i="5" s="1"/>
  <c r="AR1629" i="5" l="1"/>
  <c r="AQ1629" i="5" s="1"/>
  <c r="AW1621" i="5" s="1"/>
  <c r="AP1630" i="5"/>
  <c r="AP1631" i="5" s="1"/>
  <c r="AP1632" i="5" s="1"/>
  <c r="AP1633" i="5" s="1"/>
  <c r="AR1694" i="5"/>
  <c r="AT1701" i="5"/>
  <c r="AX1701" i="5" s="1"/>
  <c r="AP1634" i="5" l="1"/>
  <c r="AR1633" i="5"/>
  <c r="AQ1633" i="5" s="1"/>
  <c r="AT1630" i="5" s="1"/>
  <c r="AT1687" i="5"/>
  <c r="AV1687" i="5" s="1"/>
  <c r="AR1695" i="5"/>
  <c r="AQ1695" i="5" s="1"/>
  <c r="AP1635" i="5" l="1"/>
  <c r="AR1634" i="5"/>
  <c r="AU1628" i="5" s="1"/>
  <c r="AW1687" i="5"/>
  <c r="AU1687" i="5"/>
  <c r="AX1687" i="5"/>
  <c r="AY1687" i="5"/>
  <c r="AR1635" i="5" l="1"/>
  <c r="AQ1635" i="5" s="1"/>
  <c r="AP1636" i="5"/>
  <c r="AX1630" i="5"/>
  <c r="AP1637" i="5" l="1"/>
  <c r="AR1636" i="5"/>
  <c r="AV1628" i="5" s="1"/>
  <c r="AT1631" i="5"/>
  <c r="AU1630" i="5"/>
  <c r="AV1630" i="5"/>
  <c r="AW1701" i="5"/>
  <c r="AY1631" i="5" l="1"/>
  <c r="AU1631" i="5"/>
  <c r="AX1631" i="5"/>
  <c r="AV1631" i="5"/>
  <c r="AW1631" i="5"/>
  <c r="AP1638" i="5"/>
  <c r="AR1637" i="5"/>
  <c r="AQ1637" i="5" s="1"/>
  <c r="AY1630" i="5" s="1"/>
  <c r="AR1702" i="5"/>
  <c r="AP1639" i="5" l="1"/>
  <c r="AP1640" i="5" s="1"/>
  <c r="AP1641" i="5" s="1"/>
  <c r="AP1642" i="5" s="1"/>
  <c r="AR1638" i="5"/>
  <c r="AQ1638" i="5" s="1"/>
  <c r="AW1630" i="5" s="1"/>
  <c r="AR1703" i="5"/>
  <c r="AT1713" i="5"/>
  <c r="AX1713" i="5" s="1"/>
  <c r="AR1642" i="5" l="1"/>
  <c r="AQ1642" i="5" s="1"/>
  <c r="AT1639" i="5" s="1"/>
  <c r="AP1643" i="5"/>
  <c r="AT1696" i="5"/>
  <c r="AR1704" i="5"/>
  <c r="AQ1704" i="5" s="1"/>
  <c r="AR1643" i="5" l="1"/>
  <c r="AU1639" i="5" s="1"/>
  <c r="AP1644" i="5"/>
  <c r="AX1696" i="5"/>
  <c r="AY1696" i="5"/>
  <c r="AW1696" i="5"/>
  <c r="AU1696" i="5"/>
  <c r="AV1696" i="5"/>
  <c r="AP1645" i="5" l="1"/>
  <c r="AR1644" i="5"/>
  <c r="AQ1644" i="5" s="1"/>
  <c r="AX1639" i="5" l="1"/>
  <c r="AR1645" i="5"/>
  <c r="AQ1645" i="5" s="1"/>
  <c r="AY1640" i="5" s="1"/>
  <c r="AP1646" i="5"/>
  <c r="AR1711" i="5"/>
  <c r="AP1647" i="5" l="1"/>
  <c r="AR1646" i="5"/>
  <c r="AU1640" i="5" s="1"/>
  <c r="AY1639" i="5"/>
  <c r="AV1639" i="5"/>
  <c r="AR1712" i="5"/>
  <c r="AY1713" i="5"/>
  <c r="AP1648" i="5" l="1"/>
  <c r="AP1649" i="5" s="1"/>
  <c r="AP1650" i="5" s="1"/>
  <c r="AP1651" i="5" s="1"/>
  <c r="AR1647" i="5"/>
  <c r="AQ1647" i="5" s="1"/>
  <c r="AW1639" i="5" s="1"/>
  <c r="AY1701" i="5"/>
  <c r="AR1713" i="5"/>
  <c r="AP1652" i="5" l="1"/>
  <c r="AR1651" i="5"/>
  <c r="AQ1651" i="5" s="1"/>
  <c r="AT1648" i="5" s="1"/>
  <c r="AV1701" i="5"/>
  <c r="AP1653" i="5" l="1"/>
  <c r="AR1652" i="5"/>
  <c r="AU1648" i="5" s="1"/>
  <c r="AT1705" i="5"/>
  <c r="AV1705" i="5" s="1"/>
  <c r="AP1654" i="5" l="1"/>
  <c r="AR1653" i="5"/>
  <c r="AX1648" i="5" s="1"/>
  <c r="AW1705" i="5"/>
  <c r="AX1705" i="5"/>
  <c r="AU1705" i="5"/>
  <c r="AY1705" i="5"/>
  <c r="AP1655" i="5" l="1"/>
  <c r="AR1654" i="5"/>
  <c r="AQ1654" i="5" s="1"/>
  <c r="AR1720" i="5"/>
  <c r="AQ1720" i="5" s="1"/>
  <c r="AT1716" i="5" s="1"/>
  <c r="AX1716" i="5" s="1"/>
  <c r="AV1648" i="5" l="1"/>
  <c r="AR1655" i="5"/>
  <c r="AQ1655" i="5" s="1"/>
  <c r="AW1648" i="5" s="1"/>
  <c r="AP1656" i="5"/>
  <c r="AR1721" i="5"/>
  <c r="AV1713" i="5" s="1"/>
  <c r="AP1657" i="5" l="1"/>
  <c r="AP1658" i="5" s="1"/>
  <c r="AP1659" i="5" s="1"/>
  <c r="AP1660" i="5" s="1"/>
  <c r="AR1656" i="5"/>
  <c r="AY1648" i="5" s="1"/>
  <c r="AR1722" i="5"/>
  <c r="AQ1722" i="5" s="1"/>
  <c r="AU1716" i="5"/>
  <c r="AP1661" i="5" l="1"/>
  <c r="AR1660" i="5"/>
  <c r="AQ1660" i="5" s="1"/>
  <c r="AT1657" i="5" s="1"/>
  <c r="AU1713" i="5"/>
  <c r="AW1713" i="5"/>
  <c r="AY1716" i="5"/>
  <c r="AP1662" i="5" l="1"/>
  <c r="AR1661" i="5"/>
  <c r="AQ1661" i="5" s="1"/>
  <c r="AU1657" i="5" s="1"/>
  <c r="AR1662" i="5" l="1"/>
  <c r="AX1657" i="5" s="1"/>
  <c r="AP1663" i="5"/>
  <c r="AW1716" i="5"/>
  <c r="AR1663" i="5" l="1"/>
  <c r="AQ1663" i="5" s="1"/>
  <c r="AP1664" i="5"/>
  <c r="AR1729" i="5"/>
  <c r="AQ1729" i="5" s="1"/>
  <c r="AT1725" i="5" s="1"/>
  <c r="AP1665" i="5" l="1"/>
  <c r="AR1664" i="5"/>
  <c r="AQ1664" i="5" s="1"/>
  <c r="AW1657" i="5" s="1"/>
  <c r="AV1657" i="5"/>
  <c r="AR1730" i="5"/>
  <c r="AQ1730" i="5" s="1"/>
  <c r="AX1725" i="5"/>
  <c r="AT1749" i="5"/>
  <c r="AR1665" i="5" l="1"/>
  <c r="AY1657" i="5" s="1"/>
  <c r="AP1666" i="5"/>
  <c r="AP1667" i="5" s="1"/>
  <c r="AP1668" i="5" s="1"/>
  <c r="AP1669" i="5" s="1"/>
  <c r="AU1725" i="5"/>
  <c r="AR1731" i="5"/>
  <c r="AY1725" i="5" s="1"/>
  <c r="AX1749" i="5"/>
  <c r="AP1670" i="5" l="1"/>
  <c r="AR1669" i="5"/>
  <c r="AQ1669" i="5" s="1"/>
  <c r="AT1666" i="5" s="1"/>
  <c r="AP1671" i="5" l="1"/>
  <c r="AR1670" i="5"/>
  <c r="AU1664" i="5" s="1"/>
  <c r="AT1737" i="5"/>
  <c r="AU1666" i="5" l="1"/>
  <c r="AP1672" i="5"/>
  <c r="AR1671" i="5"/>
  <c r="AW1725" i="5"/>
  <c r="AX1737" i="5"/>
  <c r="AU1737" i="5"/>
  <c r="AY1737" i="5"/>
  <c r="AV1737" i="5"/>
  <c r="AY1664" i="5" l="1"/>
  <c r="AX1666" i="5"/>
  <c r="AR1672" i="5"/>
  <c r="AQ1672" i="5" s="1"/>
  <c r="AP1673" i="5"/>
  <c r="AR1738" i="5"/>
  <c r="AQ1738" i="5" s="1"/>
  <c r="AT1734" i="5" s="1"/>
  <c r="AW1737" i="5"/>
  <c r="AV1666" i="5" l="1"/>
  <c r="AR1673" i="5"/>
  <c r="AQ1673" i="5" s="1"/>
  <c r="AW1664" i="5" s="1"/>
  <c r="AP1674" i="5"/>
  <c r="AR1739" i="5"/>
  <c r="AU1734" i="5" s="1"/>
  <c r="AX1734" i="5"/>
  <c r="AP1675" i="5" l="1"/>
  <c r="AP1676" i="5" s="1"/>
  <c r="AP1677" i="5" s="1"/>
  <c r="AP1678" i="5" s="1"/>
  <c r="AR1674" i="5"/>
  <c r="AY1666" i="5" s="1"/>
  <c r="AW1666" i="5"/>
  <c r="AR1740" i="5"/>
  <c r="AY1734" i="5" s="1"/>
  <c r="AP1679" i="5" l="1"/>
  <c r="AR1678" i="5"/>
  <c r="AQ1678" i="5" s="1"/>
  <c r="AT1675" i="5" s="1"/>
  <c r="AP1680" i="5" l="1"/>
  <c r="AR1679" i="5"/>
  <c r="AU1675" i="5" s="1"/>
  <c r="AV1734" i="5"/>
  <c r="AP1681" i="5" l="1"/>
  <c r="AR1680" i="5"/>
  <c r="AX1675" i="5" s="1"/>
  <c r="AP1682" i="5" l="1"/>
  <c r="AR1681" i="5"/>
  <c r="AQ1681" i="5" s="1"/>
  <c r="AR1747" i="5"/>
  <c r="AQ1747" i="5" s="1"/>
  <c r="AT1743" i="5" s="1"/>
  <c r="AV1675" i="5" l="1"/>
  <c r="AP1683" i="5"/>
  <c r="AP1684" i="5" s="1"/>
  <c r="AP1685" i="5" s="1"/>
  <c r="AP1686" i="5" s="1"/>
  <c r="AP1687" i="5" s="1"/>
  <c r="AR1682" i="5"/>
  <c r="AQ1682" i="5" s="1"/>
  <c r="AT1678" i="5" s="1"/>
  <c r="AX1743" i="5"/>
  <c r="AR1748" i="5"/>
  <c r="AU1743" i="5" s="1"/>
  <c r="AY1749" i="5"/>
  <c r="AW1675" i="5" l="1"/>
  <c r="AX1678" i="5"/>
  <c r="AU1678" i="5"/>
  <c r="AY1678" i="5"/>
  <c r="AW1678" i="5"/>
  <c r="AV1678" i="5"/>
  <c r="AY1675" i="5"/>
  <c r="AP1688" i="5"/>
  <c r="AR1687" i="5"/>
  <c r="AR1749" i="5"/>
  <c r="AY1743" i="5" s="1"/>
  <c r="AR1688" i="5" l="1"/>
  <c r="AQ1688" i="5" s="1"/>
  <c r="AT1684" i="5" s="1"/>
  <c r="AP1689" i="5"/>
  <c r="AR1689" i="5" l="1"/>
  <c r="AP1690" i="5"/>
  <c r="AY1684" i="5"/>
  <c r="AU1684" i="5"/>
  <c r="AP1691" i="5" l="1"/>
  <c r="AR1690" i="5"/>
  <c r="AX1684" i="5" s="1"/>
  <c r="AW1743" i="5"/>
  <c r="AP1692" i="5" l="1"/>
  <c r="AR1691" i="5"/>
  <c r="AQ1691" i="5" s="1"/>
  <c r="AV1684" i="5" s="1"/>
  <c r="AR1756" i="5"/>
  <c r="AQ1756" i="5" s="1"/>
  <c r="AT1752" i="5" s="1"/>
  <c r="AP1693" i="5" l="1"/>
  <c r="AP1694" i="5" s="1"/>
  <c r="AP1695" i="5" s="1"/>
  <c r="AP1696" i="5" s="1"/>
  <c r="AR1692" i="5"/>
  <c r="AQ1692" i="5" s="1"/>
  <c r="AW1684" i="5" s="1"/>
  <c r="AX1752" i="5"/>
  <c r="AR1757" i="5"/>
  <c r="AV1749" i="5" s="1"/>
  <c r="AP1697" i="5" l="1"/>
  <c r="AR1696" i="5"/>
  <c r="AR1758" i="5"/>
  <c r="AQ1758" i="5" s="1"/>
  <c r="AU1752" i="5"/>
  <c r="AR1792" i="5"/>
  <c r="AP1698" i="5" l="1"/>
  <c r="AR1697" i="5"/>
  <c r="AQ1697" i="5" s="1"/>
  <c r="AT1693" i="5" s="1"/>
  <c r="AU1749" i="5"/>
  <c r="AW1749" i="5"/>
  <c r="AY1752" i="5"/>
  <c r="AY1693" i="5" l="1"/>
  <c r="AP1699" i="5"/>
  <c r="AR1698" i="5"/>
  <c r="AU1693" i="5" s="1"/>
  <c r="AP1700" i="5" l="1"/>
  <c r="AR1699" i="5"/>
  <c r="AX1693" i="5" s="1"/>
  <c r="AW1752" i="5"/>
  <c r="AP1701" i="5" l="1"/>
  <c r="AR1700" i="5"/>
  <c r="AQ1700" i="5" s="1"/>
  <c r="AV1693" i="5" s="1"/>
  <c r="AR1765" i="5"/>
  <c r="AQ1765" i="5" s="1"/>
  <c r="AT1761" i="5" s="1"/>
  <c r="AP1702" i="5" l="1"/>
  <c r="AP1703" i="5" s="1"/>
  <c r="AP1704" i="5" s="1"/>
  <c r="AP1705" i="5" s="1"/>
  <c r="AR1701" i="5"/>
  <c r="AQ1701" i="5" s="1"/>
  <c r="AW1693" i="5" s="1"/>
  <c r="AR1766" i="5"/>
  <c r="AU1761" i="5" s="1"/>
  <c r="AX1761" i="5"/>
  <c r="AR1705" i="5" l="1"/>
  <c r="AP1706" i="5"/>
  <c r="AR1767" i="5"/>
  <c r="AY1761" i="5" s="1"/>
  <c r="AR1706" i="5" l="1"/>
  <c r="AQ1706" i="5" s="1"/>
  <c r="AT1702" i="5" s="1"/>
  <c r="AP1707" i="5"/>
  <c r="AP1708" i="5" l="1"/>
  <c r="AR1707" i="5"/>
  <c r="AU1701" i="5" s="1"/>
  <c r="AY1702" i="5"/>
  <c r="AV1761" i="5"/>
  <c r="AT1773" i="5"/>
  <c r="AU1702" i="5" l="1"/>
  <c r="AR1708" i="5"/>
  <c r="AX1702" i="5" s="1"/>
  <c r="AP1709" i="5"/>
  <c r="AU1773" i="5"/>
  <c r="AX1773" i="5"/>
  <c r="AV1773" i="5"/>
  <c r="AY1773" i="5"/>
  <c r="AW1773" i="5"/>
  <c r="AP1710" i="5" l="1"/>
  <c r="AR1709" i="5"/>
  <c r="AV1702" i="5" s="1"/>
  <c r="AR1774" i="5"/>
  <c r="AQ1774" i="5" s="1"/>
  <c r="AT1770" i="5" s="1"/>
  <c r="AR1710" i="5" l="1"/>
  <c r="AQ1710" i="5" s="1"/>
  <c r="AW1702" i="5" s="1"/>
  <c r="AP1711" i="5"/>
  <c r="AP1712" i="5" s="1"/>
  <c r="AP1713" i="5" s="1"/>
  <c r="AP1714" i="5" s="1"/>
  <c r="AR1775" i="5"/>
  <c r="AX1770" i="5"/>
  <c r="AU1770" i="5"/>
  <c r="AP1715" i="5" l="1"/>
  <c r="AR1714" i="5"/>
  <c r="AR1776" i="5"/>
  <c r="AY1770" i="5" s="1"/>
  <c r="AP1716" i="5" l="1"/>
  <c r="AR1715" i="5"/>
  <c r="AQ1715" i="5" s="1"/>
  <c r="AT1711" i="5" s="1"/>
  <c r="AY1711" i="5" l="1"/>
  <c r="AR1716" i="5"/>
  <c r="AU1711" i="5" s="1"/>
  <c r="AP1717" i="5"/>
  <c r="AV1770" i="5"/>
  <c r="AP1718" i="5" l="1"/>
  <c r="AR1717" i="5"/>
  <c r="AX1711" i="5" s="1"/>
  <c r="AR1783" i="5"/>
  <c r="AQ1783" i="5" s="1"/>
  <c r="AP1719" i="5" l="1"/>
  <c r="AR1718" i="5"/>
  <c r="AQ1718" i="5" s="1"/>
  <c r="AV1711" i="5" s="1"/>
  <c r="AR1784" i="5"/>
  <c r="AT1779" i="5"/>
  <c r="AR1719" i="5" l="1"/>
  <c r="AQ1719" i="5" s="1"/>
  <c r="AW1711" i="5" s="1"/>
  <c r="AP1720" i="5"/>
  <c r="AP1721" i="5" s="1"/>
  <c r="AP1722" i="5" s="1"/>
  <c r="AP1723" i="5" s="1"/>
  <c r="AR1785" i="5"/>
  <c r="AX1779" i="5"/>
  <c r="AU1779" i="5"/>
  <c r="AT1822" i="5"/>
  <c r="AY1822" i="5" s="1"/>
  <c r="AR1828" i="5"/>
  <c r="AP1724" i="5" l="1"/>
  <c r="AR1723" i="5"/>
  <c r="AV1716" i="5" s="1"/>
  <c r="AU1822" i="5"/>
  <c r="AR1724" i="5" l="1"/>
  <c r="AQ1724" i="5" s="1"/>
  <c r="AT1720" i="5" s="1"/>
  <c r="AP1725" i="5"/>
  <c r="AV1779" i="5"/>
  <c r="AP1726" i="5" l="1"/>
  <c r="AR1725" i="5"/>
  <c r="AU1720" i="5" s="1"/>
  <c r="AY1720" i="5"/>
  <c r="AR1726" i="5" l="1"/>
  <c r="AX1720" i="5" s="1"/>
  <c r="AP1727" i="5"/>
  <c r="AP1728" i="5" l="1"/>
  <c r="AR1727" i="5"/>
  <c r="AV1720" i="5" s="1"/>
  <c r="AW1779" i="5"/>
  <c r="AR1793" i="5"/>
  <c r="AQ1793" i="5" s="1"/>
  <c r="AP1729" i="5" l="1"/>
  <c r="AP1730" i="5" s="1"/>
  <c r="AP1731" i="5" s="1"/>
  <c r="AP1732" i="5" s="1"/>
  <c r="AR1728" i="5"/>
  <c r="AQ1728" i="5" s="1"/>
  <c r="AW1720" i="5" s="1"/>
  <c r="AT1790" i="5"/>
  <c r="AU1790" i="5" s="1"/>
  <c r="AR1794" i="5"/>
  <c r="AQ1794" i="5" s="1"/>
  <c r="AT1798" i="5"/>
  <c r="AR1732" i="5" l="1"/>
  <c r="AV1725" i="5" s="1"/>
  <c r="AP1733" i="5"/>
  <c r="AP1734" i="5" l="1"/>
  <c r="AR1733" i="5"/>
  <c r="AQ1733" i="5" s="1"/>
  <c r="AT1729" i="5" s="1"/>
  <c r="AX1790" i="5"/>
  <c r="AY1729" i="5" l="1"/>
  <c r="AU1729" i="5"/>
  <c r="AR1734" i="5"/>
  <c r="AQ1734" i="5" s="1"/>
  <c r="AP1735" i="5"/>
  <c r="AV1798" i="5"/>
  <c r="AR1735" i="5" l="1"/>
  <c r="AX1729" i="5" s="1"/>
  <c r="AP1736" i="5"/>
  <c r="AW1798" i="5"/>
  <c r="AP1737" i="5" l="1"/>
  <c r="AR1736" i="5"/>
  <c r="AV1729" i="5" s="1"/>
  <c r="AW1790" i="5"/>
  <c r="AR1802" i="5"/>
  <c r="AQ1802" i="5" s="1"/>
  <c r="AR1737" i="5" l="1"/>
  <c r="AQ1737" i="5" s="1"/>
  <c r="AW1729" i="5" s="1"/>
  <c r="AP1738" i="5"/>
  <c r="AP1739" i="5" s="1"/>
  <c r="AP1740" i="5" s="1"/>
  <c r="AP1741" i="5" s="1"/>
  <c r="AR1803" i="5"/>
  <c r="AU1798" i="5" s="1"/>
  <c r="AR1741" i="5" l="1"/>
  <c r="AQ1741" i="5" s="1"/>
  <c r="AP1742" i="5"/>
  <c r="AR1742" i="5" l="1"/>
  <c r="AQ1742" i="5" s="1"/>
  <c r="AW1734" i="5" s="1"/>
  <c r="AP1743" i="5"/>
  <c r="AT1738" i="5"/>
  <c r="AX1798" i="5"/>
  <c r="AY1738" i="5" l="1"/>
  <c r="AR1743" i="5"/>
  <c r="AU1738" i="5" s="1"/>
  <c r="AP1744" i="5"/>
  <c r="AR1855" i="5"/>
  <c r="AQ1855" i="5" s="1"/>
  <c r="AP1745" i="5" l="1"/>
  <c r="AR1744" i="5"/>
  <c r="AX1738" i="5" s="1"/>
  <c r="AR1745" i="5" l="1"/>
  <c r="AV1738" i="5" s="1"/>
  <c r="AP1746" i="5"/>
  <c r="AR1811" i="5"/>
  <c r="AQ1811" i="5" s="1"/>
  <c r="AR1746" i="5" l="1"/>
  <c r="AQ1746" i="5" s="1"/>
  <c r="AW1738" i="5" s="1"/>
  <c r="AP1747" i="5"/>
  <c r="AP1748" i="5" s="1"/>
  <c r="AP1749" i="5" s="1"/>
  <c r="AP1750" i="5" s="1"/>
  <c r="AR1812" i="5"/>
  <c r="AR1864" i="5"/>
  <c r="AR1750" i="5" l="1"/>
  <c r="AV1743" i="5" s="1"/>
  <c r="AP1751" i="5"/>
  <c r="AR1865" i="5"/>
  <c r="AR1751" i="5" l="1"/>
  <c r="AQ1751" i="5" s="1"/>
  <c r="AT1747" i="5" s="1"/>
  <c r="AP1752" i="5"/>
  <c r="AR1866" i="5"/>
  <c r="AR1752" i="5" l="1"/>
  <c r="AP1753" i="5"/>
  <c r="AY1747" i="5"/>
  <c r="AU1747" i="5"/>
  <c r="AR1753" i="5" l="1"/>
  <c r="AQ1753" i="5" s="1"/>
  <c r="AX1747" i="5" s="1"/>
  <c r="AP1754" i="5"/>
  <c r="AR1875" i="5"/>
  <c r="AP1755" i="5" l="1"/>
  <c r="AR1754" i="5"/>
  <c r="AV1747" i="5" s="1"/>
  <c r="AR1820" i="5"/>
  <c r="AQ1820" i="5" s="1"/>
  <c r="AR1755" i="5" l="1"/>
  <c r="AQ1755" i="5" s="1"/>
  <c r="AW1747" i="5" s="1"/>
  <c r="AP1756" i="5"/>
  <c r="AP1757" i="5" s="1"/>
  <c r="AP1758" i="5" s="1"/>
  <c r="AP1759" i="5" s="1"/>
  <c r="AR1821" i="5"/>
  <c r="AX1822" i="5"/>
  <c r="AP1760" i="5" l="1"/>
  <c r="AR1759" i="5"/>
  <c r="AV1752" i="5" s="1"/>
  <c r="AP1761" i="5" l="1"/>
  <c r="AR1760" i="5"/>
  <c r="AQ1760" i="5" s="1"/>
  <c r="AT1756" i="5" s="1"/>
  <c r="AY1756" i="5" l="1"/>
  <c r="AP1762" i="5"/>
  <c r="AR1761" i="5"/>
  <c r="AU1756" i="5" s="1"/>
  <c r="AR1762" i="5" l="1"/>
  <c r="AX1756" i="5" s="1"/>
  <c r="AP1763" i="5"/>
  <c r="AR1763" i="5" l="1"/>
  <c r="AV1756" i="5" s="1"/>
  <c r="AP1764" i="5"/>
  <c r="AR1829" i="5"/>
  <c r="AQ1829" i="5" s="1"/>
  <c r="AR1764" i="5" l="1"/>
  <c r="AQ1764" i="5" s="1"/>
  <c r="AW1756" i="5" s="1"/>
  <c r="AP1765" i="5"/>
  <c r="AP1766" i="5" s="1"/>
  <c r="AP1767" i="5" s="1"/>
  <c r="AP1768" i="5" s="1"/>
  <c r="AR1830" i="5"/>
  <c r="AV1822" i="5" s="1"/>
  <c r="AT1834" i="5"/>
  <c r="AY1834" i="5" s="1"/>
  <c r="AR1768" i="5" l="1"/>
  <c r="AQ1768" i="5" s="1"/>
  <c r="AT1765" i="5" s="1"/>
  <c r="AP1769" i="5"/>
  <c r="AU1834" i="5"/>
  <c r="AR1769" i="5" l="1"/>
  <c r="AQ1769" i="5" s="1"/>
  <c r="AW1761" i="5" s="1"/>
  <c r="AP1770" i="5"/>
  <c r="AY1765" i="5"/>
  <c r="AW1822" i="5"/>
  <c r="AR1891" i="5"/>
  <c r="AP1771" i="5" l="1"/>
  <c r="AR1770" i="5"/>
  <c r="AQ1770" i="5" s="1"/>
  <c r="AU1765" i="5" s="1"/>
  <c r="AV1834" i="5"/>
  <c r="AR1892" i="5"/>
  <c r="AQ1892" i="5" s="1"/>
  <c r="AR1771" i="5" l="1"/>
  <c r="AV1765" i="5" s="1"/>
  <c r="AP1772" i="5"/>
  <c r="AR1838" i="5"/>
  <c r="AW1834" i="5"/>
  <c r="AR1772" i="5" l="1"/>
  <c r="AX1765" i="5" s="1"/>
  <c r="AP1773" i="5"/>
  <c r="AR1839" i="5"/>
  <c r="AQ1839" i="5" s="1"/>
  <c r="AR1900" i="5"/>
  <c r="AQ1900" i="5" s="1"/>
  <c r="AT1895" i="5" s="1"/>
  <c r="AY1895" i="5" s="1"/>
  <c r="AP1774" i="5" l="1"/>
  <c r="AP1775" i="5" s="1"/>
  <c r="AP1776" i="5" s="1"/>
  <c r="AP1777" i="5" s="1"/>
  <c r="AR1773" i="5"/>
  <c r="AQ1773" i="5" s="1"/>
  <c r="AW1765" i="5" s="1"/>
  <c r="AR1901" i="5"/>
  <c r="AU1895" i="5" s="1"/>
  <c r="AR1777" i="5" l="1"/>
  <c r="AQ1777" i="5" s="1"/>
  <c r="AT1774" i="5" s="1"/>
  <c r="AP1778" i="5"/>
  <c r="AR1902" i="5"/>
  <c r="AX1895" i="5" s="1"/>
  <c r="AP1779" i="5" l="1"/>
  <c r="AR1778" i="5"/>
  <c r="AQ1778" i="5" s="1"/>
  <c r="AW1770" i="5" s="1"/>
  <c r="AX1834" i="5"/>
  <c r="AU1774" i="5" l="1"/>
  <c r="AR1779" i="5"/>
  <c r="AY1774" i="5" s="1"/>
  <c r="AP1780" i="5"/>
  <c r="AR1780" i="5" l="1"/>
  <c r="AV1774" i="5" s="1"/>
  <c r="AP1781" i="5"/>
  <c r="AR1847" i="5"/>
  <c r="AR1911" i="5"/>
  <c r="AR1781" i="5" l="1"/>
  <c r="AQ1781" i="5" s="1"/>
  <c r="AW1774" i="5" s="1"/>
  <c r="AP1782" i="5"/>
  <c r="AR1848" i="5"/>
  <c r="AQ1848" i="5" s="1"/>
  <c r="AP1783" i="5" l="1"/>
  <c r="AP1784" i="5" s="1"/>
  <c r="AP1785" i="5" s="1"/>
  <c r="AP1786" i="5" s="1"/>
  <c r="AR1782" i="5"/>
  <c r="AQ1782" i="5" s="1"/>
  <c r="AX1774" i="5" s="1"/>
  <c r="AT1844" i="5"/>
  <c r="AU1844" i="5" s="1"/>
  <c r="AT1907" i="5"/>
  <c r="AY1907" i="5" s="1"/>
  <c r="AY1844" i="5" l="1"/>
  <c r="AP1787" i="5"/>
  <c r="AR1786" i="5"/>
  <c r="AQ1786" i="5" s="1"/>
  <c r="AT1783" i="5" s="1"/>
  <c r="AP1788" i="5" l="1"/>
  <c r="AR1787" i="5"/>
  <c r="AY1779" i="5" s="1"/>
  <c r="AX1844" i="5"/>
  <c r="AP1789" i="5" l="1"/>
  <c r="AR1788" i="5"/>
  <c r="AY1783" i="5" s="1"/>
  <c r="AU1783" i="5"/>
  <c r="AP1790" i="5" l="1"/>
  <c r="AR1789" i="5"/>
  <c r="AQ1789" i="5" s="1"/>
  <c r="AR1857" i="5"/>
  <c r="AV1783" i="5" l="1"/>
  <c r="AW1783" i="5"/>
  <c r="AR1790" i="5"/>
  <c r="AQ1790" i="5" s="1"/>
  <c r="AT1786" i="5" s="1"/>
  <c r="AP1791" i="5"/>
  <c r="AT1858" i="5"/>
  <c r="AP1792" i="5" l="1"/>
  <c r="AP1793" i="5" s="1"/>
  <c r="AP1794" i="5" s="1"/>
  <c r="AP1795" i="5" s="1"/>
  <c r="AR1791" i="5"/>
  <c r="AU1786" i="5" s="1"/>
  <c r="AX1786" i="5"/>
  <c r="AV1786" i="5"/>
  <c r="AW1786" i="5"/>
  <c r="AY1786" i="5"/>
  <c r="AW1858" i="5"/>
  <c r="AY1858" i="5"/>
  <c r="AU1858" i="5"/>
  <c r="AX1858" i="5"/>
  <c r="AV1858" i="5"/>
  <c r="AX1783" i="5" l="1"/>
  <c r="AR1795" i="5"/>
  <c r="AQ1795" i="5" s="1"/>
  <c r="AT1792" i="5" s="1"/>
  <c r="AP1796" i="5"/>
  <c r="AP1797" i="5" l="1"/>
  <c r="AR1796" i="5"/>
  <c r="AV1790" i="5" s="1"/>
  <c r="AP1798" i="5" l="1"/>
  <c r="AR1797" i="5"/>
  <c r="AU1792" i="5"/>
  <c r="AY1790" i="5" l="1"/>
  <c r="AY1792" i="5"/>
  <c r="AP1799" i="5"/>
  <c r="AR1798" i="5"/>
  <c r="AQ1798" i="5" s="1"/>
  <c r="AP1800" i="5" l="1"/>
  <c r="AR1799" i="5"/>
  <c r="AQ1799" i="5" s="1"/>
  <c r="AW1792" i="5" s="1"/>
  <c r="AV1792" i="5"/>
  <c r="AT1853" i="5"/>
  <c r="AY1853" i="5" s="1"/>
  <c r="AU1853" i="5"/>
  <c r="AX1853" i="5"/>
  <c r="AV1853" i="5"/>
  <c r="AW1853" i="5" l="1"/>
  <c r="AP1801" i="5"/>
  <c r="AP1802" i="5" s="1"/>
  <c r="AP1803" i="5" s="1"/>
  <c r="AP1804" i="5" s="1"/>
  <c r="AR1800" i="5"/>
  <c r="AX1792" i="5" s="1"/>
  <c r="AT1871" i="5"/>
  <c r="AY1871" i="5" s="1"/>
  <c r="AP1805" i="5" l="1"/>
  <c r="AR1804" i="5"/>
  <c r="AQ1804" i="5" s="1"/>
  <c r="AT1801" i="5" s="1"/>
  <c r="AU1871" i="5"/>
  <c r="AR1938" i="5"/>
  <c r="AR1805" i="5" l="1"/>
  <c r="AU1801" i="5" s="1"/>
  <c r="AP1806" i="5"/>
  <c r="AP1807" i="5" l="1"/>
  <c r="AR1806" i="5"/>
  <c r="AQ1806" i="5" s="1"/>
  <c r="AT1799" i="5" l="1"/>
  <c r="AY1801" i="5"/>
  <c r="AP1808" i="5"/>
  <c r="AR1807" i="5"/>
  <c r="AY1798" i="5" s="1"/>
  <c r="AW1871" i="5"/>
  <c r="AR1947" i="5"/>
  <c r="AQ1947" i="5" s="1"/>
  <c r="AP1809" i="5" l="1"/>
  <c r="AP1810" i="5" s="1"/>
  <c r="AP1811" i="5" s="1"/>
  <c r="AP1812" i="5" s="1"/>
  <c r="AP1813" i="5" s="1"/>
  <c r="AR1808" i="5"/>
  <c r="AQ1808" i="5" s="1"/>
  <c r="AV1801" i="5"/>
  <c r="AW1799" i="5"/>
  <c r="AX1799" i="5"/>
  <c r="AV1799" i="5"/>
  <c r="AU1799" i="5"/>
  <c r="AY1799" i="5"/>
  <c r="AT1943" i="5"/>
  <c r="AX1801" i="5" l="1"/>
  <c r="AW1801" i="5"/>
  <c r="AP1814" i="5"/>
  <c r="AR1813" i="5"/>
  <c r="AR1814" i="5" l="1"/>
  <c r="AQ1814" i="5" s="1"/>
  <c r="AT1810" i="5" s="1"/>
  <c r="AP1815" i="5"/>
  <c r="AR1815" i="5" l="1"/>
  <c r="AQ1815" i="5" s="1"/>
  <c r="AT1808" i="5" s="1"/>
  <c r="AP1816" i="5"/>
  <c r="AU1810" i="5"/>
  <c r="AR1816" i="5" l="1"/>
  <c r="AP1817" i="5"/>
  <c r="AU1808" i="5"/>
  <c r="AV1808" i="5"/>
  <c r="AX1808" i="5"/>
  <c r="AW1808" i="5"/>
  <c r="AY1808" i="5"/>
  <c r="AV1871" i="5"/>
  <c r="AT1883" i="5"/>
  <c r="AP1818" i="5" l="1"/>
  <c r="AR1817" i="5"/>
  <c r="AV1810" i="5" s="1"/>
  <c r="AX1810" i="5"/>
  <c r="AY1810" i="5"/>
  <c r="AU1883" i="5"/>
  <c r="AY1883" i="5"/>
  <c r="AV1883" i="5"/>
  <c r="AW1883" i="5"/>
  <c r="AR1818" i="5" l="1"/>
  <c r="AQ1818" i="5" s="1"/>
  <c r="AW1810" i="5" s="1"/>
  <c r="AP1819" i="5"/>
  <c r="AP1820" i="5" s="1"/>
  <c r="AP1821" i="5" s="1"/>
  <c r="AP1822" i="5" s="1"/>
  <c r="AX1883" i="5"/>
  <c r="AR1822" i="5" l="1"/>
  <c r="AP1823" i="5"/>
  <c r="AR1823" i="5" l="1"/>
  <c r="AQ1823" i="5" s="1"/>
  <c r="AT1819" i="5" s="1"/>
  <c r="AP1824" i="5"/>
  <c r="AR1824" i="5" l="1"/>
  <c r="AQ1824" i="5" s="1"/>
  <c r="AT1817" i="5" s="1"/>
  <c r="AP1825" i="5"/>
  <c r="AX1819" i="5"/>
  <c r="AU1819" i="5"/>
  <c r="AR1825" i="5" l="1"/>
  <c r="AP1826" i="5"/>
  <c r="AX1817" i="5"/>
  <c r="AU1817" i="5"/>
  <c r="AW1817" i="5"/>
  <c r="AV1817" i="5"/>
  <c r="AR1965" i="5"/>
  <c r="AP1827" i="5" l="1"/>
  <c r="AR1826" i="5"/>
  <c r="AV1819" i="5" s="1"/>
  <c r="AY1817" i="5"/>
  <c r="AY1819" i="5"/>
  <c r="AR1827" i="5" l="1"/>
  <c r="AQ1827" i="5" s="1"/>
  <c r="AW1819" i="5" s="1"/>
  <c r="AP1828" i="5"/>
  <c r="AP1829" i="5" s="1"/>
  <c r="AP1830" i="5" s="1"/>
  <c r="AP1831" i="5" s="1"/>
  <c r="AR1973" i="5"/>
  <c r="AR1831" i="5" l="1"/>
  <c r="AQ1831" i="5" s="1"/>
  <c r="AP1832" i="5"/>
  <c r="AR1974" i="5"/>
  <c r="AP1833" i="5" l="1"/>
  <c r="AR1832" i="5"/>
  <c r="AQ1832" i="5" s="1"/>
  <c r="AT1828" i="5" s="1"/>
  <c r="AW1895" i="5"/>
  <c r="AX1828" i="5" l="1"/>
  <c r="AU1828" i="5"/>
  <c r="AP1834" i="5"/>
  <c r="AR1833" i="5"/>
  <c r="AQ1833" i="5" s="1"/>
  <c r="AT1826" i="5" s="1"/>
  <c r="AR1834" i="5" l="1"/>
  <c r="AY1828" i="5" s="1"/>
  <c r="AP1835" i="5"/>
  <c r="AY1826" i="5"/>
  <c r="AX1826" i="5"/>
  <c r="AW1826" i="5"/>
  <c r="AU1826" i="5"/>
  <c r="AV1826" i="5"/>
  <c r="AR1835" i="5" l="1"/>
  <c r="AV1828" i="5" s="1"/>
  <c r="AP1836" i="5"/>
  <c r="AR1836" i="5" l="1"/>
  <c r="AQ1836" i="5" s="1"/>
  <c r="AW1828" i="5" s="1"/>
  <c r="AP1837" i="5"/>
  <c r="AP1838" i="5" s="1"/>
  <c r="AP1839" i="5" s="1"/>
  <c r="AP1840" i="5" s="1"/>
  <c r="AP1841" i="5" l="1"/>
  <c r="AR1840" i="5"/>
  <c r="AV1895" i="5"/>
  <c r="AU1907" i="5"/>
  <c r="AR1841" i="5" l="1"/>
  <c r="AQ1841" i="5" s="1"/>
  <c r="AT1837" i="5" s="1"/>
  <c r="AP1842" i="5"/>
  <c r="AP1843" i="5" l="1"/>
  <c r="AR1842" i="5"/>
  <c r="AU1837" i="5" s="1"/>
  <c r="AX1837" i="5"/>
  <c r="AP1844" i="5" l="1"/>
  <c r="AR1843" i="5"/>
  <c r="AQ1843" i="5" s="1"/>
  <c r="AW1907" i="5"/>
  <c r="AT1835" i="5" l="1"/>
  <c r="AY1837" i="5"/>
  <c r="AP1845" i="5"/>
  <c r="AR1844" i="5"/>
  <c r="AV1837" i="5" s="1"/>
  <c r="AP1846" i="5" l="1"/>
  <c r="AP1847" i="5" s="1"/>
  <c r="AP1848" i="5" s="1"/>
  <c r="AP1849" i="5" s="1"/>
  <c r="AR1845" i="5"/>
  <c r="AQ1845" i="5" s="1"/>
  <c r="AW1837" i="5" s="1"/>
  <c r="AU1835" i="5"/>
  <c r="AY1835" i="5"/>
  <c r="AW1835" i="5"/>
  <c r="AV1835" i="5"/>
  <c r="AX1835" i="5"/>
  <c r="AP1850" i="5" l="1"/>
  <c r="AR1849" i="5"/>
  <c r="AP1851" i="5" l="1"/>
  <c r="AR1850" i="5"/>
  <c r="AQ1850" i="5" s="1"/>
  <c r="AT1846" i="5" s="1"/>
  <c r="AT1919" i="5"/>
  <c r="AX1846" i="5" l="1"/>
  <c r="AR1851" i="5"/>
  <c r="AQ1851" i="5" s="1"/>
  <c r="AV1844" i="5" s="1"/>
  <c r="AP1852" i="5"/>
  <c r="AV1907" i="5"/>
  <c r="AR1852" i="5" l="1"/>
  <c r="AQ1852" i="5" s="1"/>
  <c r="AP1853" i="5"/>
  <c r="AU1846" i="5"/>
  <c r="AP1854" i="5" l="1"/>
  <c r="AR1853" i="5"/>
  <c r="AV1846" i="5" s="1"/>
  <c r="AW1844" i="5"/>
  <c r="AY1846" i="5"/>
  <c r="AR1918" i="5"/>
  <c r="AQ1918" i="5" s="1"/>
  <c r="AX1919" i="5"/>
  <c r="AR1854" i="5" l="1"/>
  <c r="AQ1854" i="5" s="1"/>
  <c r="AW1846" i="5" s="1"/>
  <c r="AP1855" i="5"/>
  <c r="AP1856" i="5" s="1"/>
  <c r="AP1857" i="5" s="1"/>
  <c r="AP1858" i="5" s="1"/>
  <c r="AR1919" i="5"/>
  <c r="AV1919" i="5"/>
  <c r="AR1858" i="5" l="1"/>
  <c r="AQ1858" i="5" s="1"/>
  <c r="AP1859" i="5"/>
  <c r="AW1919" i="5"/>
  <c r="AP1860" i="5" l="1"/>
  <c r="AR1859" i="5"/>
  <c r="AQ1859" i="5" s="1"/>
  <c r="AT1855" i="5" s="1"/>
  <c r="AX1855" i="5" l="1"/>
  <c r="AP1861" i="5"/>
  <c r="AR1860" i="5"/>
  <c r="AU1855" i="5" s="1"/>
  <c r="AP1862" i="5" l="1"/>
  <c r="AR1861" i="5"/>
  <c r="AY1855" i="5" s="1"/>
  <c r="AR1862" i="5" l="1"/>
  <c r="AV1855" i="5" s="1"/>
  <c r="AP1863" i="5"/>
  <c r="AR1927" i="5"/>
  <c r="AT1931" i="5"/>
  <c r="AP1864" i="5" l="1"/>
  <c r="AP1865" i="5" s="1"/>
  <c r="AP1866" i="5" s="1"/>
  <c r="AP1867" i="5" s="1"/>
  <c r="AR1863" i="5"/>
  <c r="AQ1863" i="5" s="1"/>
  <c r="AW1855" i="5" s="1"/>
  <c r="AU1919" i="5"/>
  <c r="AR1928" i="5"/>
  <c r="AQ1928" i="5" s="1"/>
  <c r="AY1931" i="5"/>
  <c r="AV1931" i="5"/>
  <c r="AX1931" i="5"/>
  <c r="AW1931" i="5"/>
  <c r="AR1867" i="5" l="1"/>
  <c r="AQ1867" i="5" s="1"/>
  <c r="AP1868" i="5"/>
  <c r="AT1920" i="5"/>
  <c r="AV1920" i="5"/>
  <c r="AX1920" i="5"/>
  <c r="AU1920" i="5"/>
  <c r="AY1920" i="5"/>
  <c r="AW1920" i="5"/>
  <c r="AP1869" i="5" l="1"/>
  <c r="AR1868" i="5"/>
  <c r="AQ1868" i="5" s="1"/>
  <c r="AT1864" i="5" s="1"/>
  <c r="AX1864" i="5" l="1"/>
  <c r="AR1869" i="5"/>
  <c r="AU1864" i="5" s="1"/>
  <c r="AP1870" i="5"/>
  <c r="AP1871" i="5" l="1"/>
  <c r="AR1870" i="5"/>
  <c r="AY1864" i="5" s="1"/>
  <c r="AR1871" i="5" l="1"/>
  <c r="AV1864" i="5" s="1"/>
  <c r="AP1872" i="5"/>
  <c r="AR1872" i="5" l="1"/>
  <c r="AQ1872" i="5" s="1"/>
  <c r="AW1864" i="5" s="1"/>
  <c r="AP1873" i="5"/>
  <c r="AP1874" i="5" s="1"/>
  <c r="AP1875" i="5" s="1"/>
  <c r="AP1876" i="5" s="1"/>
  <c r="AP1877" i="5" l="1"/>
  <c r="AR1876" i="5"/>
  <c r="AQ1876" i="5" s="1"/>
  <c r="AR1936" i="5"/>
  <c r="AQ1936" i="5" s="1"/>
  <c r="AT1929" i="5" s="1"/>
  <c r="AP1878" i="5" l="1"/>
  <c r="AR1877" i="5"/>
  <c r="AQ1877" i="5" s="1"/>
  <c r="AT1873" i="5" s="1"/>
  <c r="AR1937" i="5"/>
  <c r="AU1931" i="5" s="1"/>
  <c r="AV1929" i="5"/>
  <c r="AY1929" i="5"/>
  <c r="AW1929" i="5"/>
  <c r="AX1929" i="5"/>
  <c r="AU1929" i="5"/>
  <c r="AV1943" i="5"/>
  <c r="AX1873" i="5" l="1"/>
  <c r="AP1879" i="5"/>
  <c r="AR1878" i="5"/>
  <c r="AX1871" i="5" s="1"/>
  <c r="AP1880" i="5" l="1"/>
  <c r="AR1879" i="5"/>
  <c r="AY1873" i="5" s="1"/>
  <c r="AU1873" i="5"/>
  <c r="AR1880" i="5" l="1"/>
  <c r="AQ1880" i="5" s="1"/>
  <c r="AV1873" i="5" s="1"/>
  <c r="AP1881" i="5"/>
  <c r="AR1881" i="5" l="1"/>
  <c r="AQ1881" i="5" s="1"/>
  <c r="AW1873" i="5" s="1"/>
  <c r="AP1882" i="5"/>
  <c r="AP1883" i="5" s="1"/>
  <c r="AP1884" i="5" s="1"/>
  <c r="AP1885" i="5" s="1"/>
  <c r="AR1885" i="5" l="1"/>
  <c r="AP1886" i="5"/>
  <c r="AR1945" i="5"/>
  <c r="AQ1945" i="5" s="1"/>
  <c r="AT1938" i="5" s="1"/>
  <c r="AR1886" i="5" l="1"/>
  <c r="AQ1886" i="5" s="1"/>
  <c r="AT1882" i="5" s="1"/>
  <c r="AP1887" i="5"/>
  <c r="AW1938" i="5"/>
  <c r="AU1938" i="5"/>
  <c r="AV1938" i="5"/>
  <c r="AY1938" i="5"/>
  <c r="AR1946" i="5"/>
  <c r="AX1938" i="5" s="1"/>
  <c r="AR1887" i="5" l="1"/>
  <c r="AP1888" i="5"/>
  <c r="AU1882" i="5"/>
  <c r="AX1882" i="5"/>
  <c r="AR1888" i="5" l="1"/>
  <c r="AQ1888" i="5" s="1"/>
  <c r="AY1882" i="5" s="1"/>
  <c r="AP1889" i="5"/>
  <c r="AU1943" i="5"/>
  <c r="AP1890" i="5" l="1"/>
  <c r="AR1889" i="5"/>
  <c r="AV1882" i="5" s="1"/>
  <c r="AP1891" i="5" l="1"/>
  <c r="AP1892" i="5" s="1"/>
  <c r="AP1893" i="5" s="1"/>
  <c r="AP1894" i="5" s="1"/>
  <c r="AR1890" i="5"/>
  <c r="AQ1890" i="5" s="1"/>
  <c r="AW1882" i="5" s="1"/>
  <c r="AP1895" i="5" l="1"/>
  <c r="AR1894" i="5"/>
  <c r="AR1954" i="5"/>
  <c r="AQ1954" i="5" s="1"/>
  <c r="AT1947" i="5" s="1"/>
  <c r="AP1896" i="5" l="1"/>
  <c r="AR1895" i="5"/>
  <c r="AQ1895" i="5" s="1"/>
  <c r="AT1891" i="5" s="1"/>
  <c r="AX1943" i="5"/>
  <c r="AW1947" i="5"/>
  <c r="AU1947" i="5"/>
  <c r="AY1947" i="5"/>
  <c r="AV1947" i="5"/>
  <c r="AR1955" i="5"/>
  <c r="AX1947" i="5" s="1"/>
  <c r="AX1891" i="5" l="1"/>
  <c r="AP1897" i="5"/>
  <c r="AR1896" i="5"/>
  <c r="AU1891" i="5" s="1"/>
  <c r="AP1898" i="5" l="1"/>
  <c r="AR1897" i="5"/>
  <c r="AY1891" i="5" s="1"/>
  <c r="AP1899" i="5" l="1"/>
  <c r="AR1898" i="5"/>
  <c r="AV1891" i="5" s="1"/>
  <c r="AP1900" i="5" l="1"/>
  <c r="AP1901" i="5" s="1"/>
  <c r="AP1902" i="5" s="1"/>
  <c r="AP1903" i="5" s="1"/>
  <c r="AR1899" i="5"/>
  <c r="AQ1899" i="5" s="1"/>
  <c r="AW1891" i="5" s="1"/>
  <c r="AR1962" i="5"/>
  <c r="AT1968" i="5"/>
  <c r="AP1904" i="5" l="1"/>
  <c r="AR1903" i="5"/>
  <c r="AQ1903" i="5" s="1"/>
  <c r="AR1963" i="5"/>
  <c r="AQ1963" i="5" s="1"/>
  <c r="AT1956" i="5" s="1"/>
  <c r="AU1968" i="5"/>
  <c r="AY1968" i="5"/>
  <c r="AV1968" i="5"/>
  <c r="AX1968" i="5"/>
  <c r="AW1968" i="5"/>
  <c r="AP1905" i="5" l="1"/>
  <c r="AR1904" i="5"/>
  <c r="AQ1904" i="5" s="1"/>
  <c r="AT1900" i="5" s="1"/>
  <c r="AY1956" i="5"/>
  <c r="AV1956" i="5"/>
  <c r="AU1956" i="5"/>
  <c r="AW1956" i="5"/>
  <c r="AR1964" i="5"/>
  <c r="AQ1964" i="5" s="1"/>
  <c r="AR1905" i="5" l="1"/>
  <c r="AU1900" i="5" s="1"/>
  <c r="AP1906" i="5"/>
  <c r="AX1956" i="5"/>
  <c r="AR1906" i="5" l="1"/>
  <c r="AP1907" i="5"/>
  <c r="AR1907" i="5" l="1"/>
  <c r="AY1900" i="5" s="1"/>
  <c r="AP1908" i="5"/>
  <c r="AX1900" i="5"/>
  <c r="AV1900" i="5"/>
  <c r="AP1909" i="5" l="1"/>
  <c r="AP1910" i="5" s="1"/>
  <c r="AP1911" i="5" s="1"/>
  <c r="AP1912" i="5" s="1"/>
  <c r="AR1908" i="5"/>
  <c r="AQ1908" i="5" s="1"/>
  <c r="AW1900" i="5" s="1"/>
  <c r="AP1913" i="5" l="1"/>
  <c r="AR1912" i="5"/>
  <c r="AQ1912" i="5" s="1"/>
  <c r="AR1972" i="5"/>
  <c r="AQ1972" i="5" s="1"/>
  <c r="AT1965" i="5" s="1"/>
  <c r="AR1913" i="5" l="1"/>
  <c r="AQ1913" i="5" s="1"/>
  <c r="AT1909" i="5" s="1"/>
  <c r="AP1914" i="5"/>
  <c r="AV1965" i="5"/>
  <c r="AW1965" i="5"/>
  <c r="AX1965" i="5"/>
  <c r="AY1965" i="5"/>
  <c r="AU1965" i="5"/>
  <c r="AP1915" i="5" l="1"/>
  <c r="AR1914" i="5"/>
  <c r="AX1907" i="5" s="1"/>
  <c r="AU1909" i="5"/>
  <c r="AX1909" i="5" l="1"/>
  <c r="AR1915" i="5"/>
  <c r="AV1909" i="5" s="1"/>
  <c r="AP1916" i="5"/>
  <c r="AP1917" i="5" l="1"/>
  <c r="AR1916" i="5"/>
  <c r="AQ1916" i="5" s="1"/>
  <c r="AY1909" i="5" l="1"/>
  <c r="AP1918" i="5"/>
  <c r="AP1919" i="5" s="1"/>
  <c r="AP1920" i="5" s="1"/>
  <c r="AP1921" i="5" s="1"/>
  <c r="AR1917" i="5"/>
  <c r="AQ1917" i="5" s="1"/>
  <c r="AW1909" i="5" s="1"/>
  <c r="AR1981" i="5"/>
  <c r="AR1921" i="5" l="1"/>
  <c r="AQ1921" i="5" s="1"/>
  <c r="AT1918" i="5" s="1"/>
  <c r="AP1922" i="5"/>
  <c r="AT1974" i="5"/>
  <c r="AX1974" i="5" s="1"/>
  <c r="AR1982" i="5"/>
  <c r="AQ1982" i="5" s="1"/>
  <c r="AR1922" i="5" l="1"/>
  <c r="AU1918" i="5" s="1"/>
  <c r="AP1923" i="5"/>
  <c r="AW1974" i="5"/>
  <c r="AV1974" i="5"/>
  <c r="AR1923" i="5" l="1"/>
  <c r="AQ1923" i="5" s="1"/>
  <c r="AP1924" i="5"/>
  <c r="AY1974" i="5"/>
  <c r="AT1992" i="5"/>
  <c r="AX1992" i="5" s="1"/>
  <c r="AP1925" i="5" l="1"/>
  <c r="AR1924" i="5"/>
  <c r="AY1919" i="5" s="1"/>
  <c r="AX1918" i="5"/>
  <c r="AV1918" i="5"/>
  <c r="AU1992" i="5"/>
  <c r="AR1925" i="5" l="1"/>
  <c r="AQ1925" i="5" s="1"/>
  <c r="AP1926" i="5"/>
  <c r="AR1990" i="5"/>
  <c r="AP1927" i="5" l="1"/>
  <c r="AP1928" i="5" s="1"/>
  <c r="AP1929" i="5" s="1"/>
  <c r="AP1930" i="5" s="1"/>
  <c r="AR1926" i="5"/>
  <c r="AY1918" i="5" s="1"/>
  <c r="AW1918" i="5"/>
  <c r="AR1991" i="5"/>
  <c r="AR1930" i="5" l="1"/>
  <c r="AQ1930" i="5" s="1"/>
  <c r="AT1927" i="5" s="1"/>
  <c r="AP1931" i="5"/>
  <c r="AR1992" i="5"/>
  <c r="AW1992" i="5"/>
  <c r="AR1931" i="5" l="1"/>
  <c r="AU1927" i="5" s="1"/>
  <c r="AP1932" i="5"/>
  <c r="AT1983" i="5"/>
  <c r="AP1933" i="5" l="1"/>
  <c r="AR1932" i="5"/>
  <c r="AQ1932" i="5" s="1"/>
  <c r="AW1983" i="5"/>
  <c r="AX1983" i="5"/>
  <c r="AU1983" i="5"/>
  <c r="AY1983" i="5"/>
  <c r="AV1983" i="5"/>
  <c r="AX1927" i="5" l="1"/>
  <c r="AR1933" i="5"/>
  <c r="AV1927" i="5" s="1"/>
  <c r="AP1934" i="5"/>
  <c r="AR1934" i="5" l="1"/>
  <c r="AQ1934" i="5" s="1"/>
  <c r="AW1927" i="5" s="1"/>
  <c r="AP1935" i="5"/>
  <c r="AR1999" i="5"/>
  <c r="AY1992" i="5" s="1"/>
  <c r="AV1992" i="5"/>
  <c r="AR1935" i="5" l="1"/>
  <c r="AQ1935" i="5" s="1"/>
  <c r="AY1927" i="5" s="1"/>
  <c r="AP1936" i="5"/>
  <c r="AP1937" i="5" s="1"/>
  <c r="AP1938" i="5" s="1"/>
  <c r="AP1939" i="5" s="1"/>
  <c r="AR2000" i="5"/>
  <c r="AT2004" i="5"/>
  <c r="AX2004" i="5" s="1"/>
  <c r="AP1940" i="5" l="1"/>
  <c r="AR1939" i="5"/>
  <c r="AQ1939" i="5" s="1"/>
  <c r="AT1936" i="5" s="1"/>
  <c r="AR2001" i="5"/>
  <c r="AQ2001" i="5" s="1"/>
  <c r="AW2004" i="5"/>
  <c r="AV2004" i="5"/>
  <c r="AP1941" i="5" l="1"/>
  <c r="AR1940" i="5"/>
  <c r="AQ1940" i="5" s="1"/>
  <c r="AU1936" i="5" s="1"/>
  <c r="AY2004" i="5"/>
  <c r="AR1941" i="5" l="1"/>
  <c r="AQ1941" i="5" s="1"/>
  <c r="AP1942" i="5"/>
  <c r="AR1942" i="5" l="1"/>
  <c r="AV1936" i="5" s="1"/>
  <c r="AP1943" i="5"/>
  <c r="AX1936" i="5"/>
  <c r="AR1943" i="5" l="1"/>
  <c r="AQ1943" i="5" s="1"/>
  <c r="AW1936" i="5" s="1"/>
  <c r="AP1944" i="5"/>
  <c r="AR2008" i="5"/>
  <c r="AR1944" i="5" l="1"/>
  <c r="AY1936" i="5" s="1"/>
  <c r="AP1945" i="5"/>
  <c r="AP1946" i="5" s="1"/>
  <c r="AP1947" i="5" s="1"/>
  <c r="AP1948" i="5" s="1"/>
  <c r="AR2009" i="5"/>
  <c r="AQ2009" i="5" s="1"/>
  <c r="AP1949" i="5" l="1"/>
  <c r="AR1948" i="5"/>
  <c r="AQ1948" i="5" s="1"/>
  <c r="AT1945" i="5" s="1"/>
  <c r="AR2010" i="5"/>
  <c r="AU2004" i="5" s="1"/>
  <c r="AP1950" i="5" l="1"/>
  <c r="AR1949" i="5"/>
  <c r="AY1943" i="5" s="1"/>
  <c r="AT2003" i="5"/>
  <c r="AV2003" i="5"/>
  <c r="AP1951" i="5" l="1"/>
  <c r="AR1950" i="5"/>
  <c r="AQ1950" i="5" s="1"/>
  <c r="AU1945" i="5"/>
  <c r="AW2003" i="5"/>
  <c r="AX2003" i="5"/>
  <c r="AU2003" i="5"/>
  <c r="AY2003" i="5"/>
  <c r="AX1945" i="5" l="1"/>
  <c r="AP1952" i="5"/>
  <c r="AR1951" i="5"/>
  <c r="AQ1951" i="5" s="1"/>
  <c r="AW1943" i="5" s="1"/>
  <c r="AR1952" i="5" l="1"/>
  <c r="AQ1952" i="5" s="1"/>
  <c r="AP1953" i="5"/>
  <c r="AV1945" i="5"/>
  <c r="AR2017" i="5"/>
  <c r="AR1953" i="5" l="1"/>
  <c r="AY1945" i="5" s="1"/>
  <c r="AP1954" i="5"/>
  <c r="AP1955" i="5" s="1"/>
  <c r="AP1956" i="5" s="1"/>
  <c r="AP1957" i="5" s="1"/>
  <c r="AW1945" i="5"/>
  <c r="AR2018" i="5"/>
  <c r="AP1958" i="5" l="1"/>
  <c r="AR1957" i="5"/>
  <c r="AQ1957" i="5" s="1"/>
  <c r="AT1954" i="5" s="1"/>
  <c r="AR2019" i="5"/>
  <c r="AR1958" i="5" l="1"/>
  <c r="AU1954" i="5" s="1"/>
  <c r="AP1959" i="5"/>
  <c r="AT2012" i="5"/>
  <c r="AP1960" i="5" l="1"/>
  <c r="AR1959" i="5"/>
  <c r="AQ1959" i="5" s="1"/>
  <c r="AX2012" i="5"/>
  <c r="AU2012" i="5"/>
  <c r="AY2012" i="5"/>
  <c r="AW2012" i="5"/>
  <c r="AV2012" i="5"/>
  <c r="AT2028" i="5"/>
  <c r="AX2028" i="5" s="1"/>
  <c r="AX1954" i="5" l="1"/>
  <c r="AR1960" i="5"/>
  <c r="AQ1960" i="5" s="1"/>
  <c r="AV1954" i="5" s="1"/>
  <c r="AP1961" i="5"/>
  <c r="AU2028" i="5"/>
  <c r="AR1961" i="5" l="1"/>
  <c r="AQ1961" i="5" s="1"/>
  <c r="AY1954" i="5" s="1"/>
  <c r="AP1962" i="5"/>
  <c r="AP1963" i="5" s="1"/>
  <c r="AP1964" i="5" s="1"/>
  <c r="AP1965" i="5" s="1"/>
  <c r="AP1966" i="5" s="1"/>
  <c r="AR2026" i="5"/>
  <c r="AP1967" i="5" l="1"/>
  <c r="AR1966" i="5"/>
  <c r="AW1954" i="5"/>
  <c r="AR2027" i="5"/>
  <c r="AR1967" i="5" l="1"/>
  <c r="AQ1967" i="5" s="1"/>
  <c r="AT1963" i="5" s="1"/>
  <c r="AP1968" i="5"/>
  <c r="AR2028" i="5"/>
  <c r="AW2028" i="5"/>
  <c r="AP1969" i="5" l="1"/>
  <c r="AR1968" i="5"/>
  <c r="AQ1968" i="5" s="1"/>
  <c r="AU1963" i="5" s="1"/>
  <c r="AY1963" i="5"/>
  <c r="AT2021" i="5"/>
  <c r="AR1969" i="5" l="1"/>
  <c r="AX1963" i="5" s="1"/>
  <c r="AP1970" i="5"/>
  <c r="AX2021" i="5"/>
  <c r="AU2021" i="5"/>
  <c r="AY2021" i="5"/>
  <c r="AW2021" i="5"/>
  <c r="AV2021" i="5"/>
  <c r="AP1971" i="5" l="1"/>
  <c r="AR1970" i="5"/>
  <c r="AV1963" i="5" s="1"/>
  <c r="AR1971" i="5" l="1"/>
  <c r="AQ1971" i="5" s="1"/>
  <c r="AW1963" i="5" s="1"/>
  <c r="AP1972" i="5"/>
  <c r="AP1973" i="5" s="1"/>
  <c r="AP1974" i="5" s="1"/>
  <c r="AP1975" i="5" s="1"/>
  <c r="AR2035" i="5"/>
  <c r="AY2028" i="5" s="1"/>
  <c r="AV2028" i="5"/>
  <c r="AP1976" i="5" l="1"/>
  <c r="AR1975" i="5"/>
  <c r="AR2036" i="5"/>
  <c r="AP1977" i="5" l="1"/>
  <c r="AR1976" i="5"/>
  <c r="AQ1976" i="5" s="1"/>
  <c r="AT1972" i="5" s="1"/>
  <c r="AR2037" i="5"/>
  <c r="AQ2037" i="5" s="1"/>
  <c r="AT2041" i="5"/>
  <c r="AY1972" i="5" l="1"/>
  <c r="AP1978" i="5"/>
  <c r="AR1977" i="5"/>
  <c r="AU1972" i="5" s="1"/>
  <c r="AU2041" i="5"/>
  <c r="AX2041" i="5"/>
  <c r="AY2041" i="5"/>
  <c r="AV2041" i="5"/>
  <c r="AW2041" i="5"/>
  <c r="AP1979" i="5" l="1"/>
  <c r="AR1978" i="5"/>
  <c r="AQ1978" i="5" s="1"/>
  <c r="AT2065" i="5"/>
  <c r="AX2065" i="5" s="1"/>
  <c r="AX1972" i="5" l="1"/>
  <c r="AV1972" i="5"/>
  <c r="AR1979" i="5"/>
  <c r="AU1974" i="5" s="1"/>
  <c r="AP1980" i="5"/>
  <c r="AR1980" i="5" l="1"/>
  <c r="AQ1980" i="5" s="1"/>
  <c r="AW1972" i="5" s="1"/>
  <c r="AP1981" i="5"/>
  <c r="AP1982" i="5" s="1"/>
  <c r="AP1983" i="5" s="1"/>
  <c r="AP1984" i="5" s="1"/>
  <c r="AR2044" i="5"/>
  <c r="AR1984" i="5" l="1"/>
  <c r="AQ1984" i="5" s="1"/>
  <c r="AP1985" i="5"/>
  <c r="AR2045" i="5"/>
  <c r="AP1986" i="5" l="1"/>
  <c r="AR1985" i="5"/>
  <c r="AQ1985" i="5" s="1"/>
  <c r="AT1980" i="5" s="1"/>
  <c r="AR2046" i="5"/>
  <c r="AQ2046" i="5" s="1"/>
  <c r="AT1981" i="5" l="1"/>
  <c r="AV1980" i="5"/>
  <c r="AX1980" i="5"/>
  <c r="AP1987" i="5"/>
  <c r="AR1986" i="5"/>
  <c r="AU1980" i="5" s="1"/>
  <c r="AT2039" i="5"/>
  <c r="AR1987" i="5" l="1"/>
  <c r="AY1980" i="5" s="1"/>
  <c r="AP1988" i="5"/>
  <c r="AX1981" i="5"/>
  <c r="AU1981" i="5"/>
  <c r="AY1981" i="5"/>
  <c r="AX2039" i="5"/>
  <c r="AU2039" i="5"/>
  <c r="AY2039" i="5"/>
  <c r="AV2039" i="5"/>
  <c r="AR1988" i="5" l="1"/>
  <c r="AQ1988" i="5" s="1"/>
  <c r="AP1989" i="5"/>
  <c r="AR1989" i="5" l="1"/>
  <c r="AQ1989" i="5" s="1"/>
  <c r="AW1980" i="5" s="1"/>
  <c r="AP1990" i="5"/>
  <c r="AP1991" i="5" s="1"/>
  <c r="AP1992" i="5" s="1"/>
  <c r="AP1993" i="5" s="1"/>
  <c r="AW1981" i="5"/>
  <c r="AV1981" i="5"/>
  <c r="AR2053" i="5"/>
  <c r="AR1993" i="5" l="1"/>
  <c r="AQ1993" i="5" s="1"/>
  <c r="AP1994" i="5"/>
  <c r="AR2054" i="5"/>
  <c r="AP1995" i="5" l="1"/>
  <c r="AR1994" i="5"/>
  <c r="AQ1994" i="5" s="1"/>
  <c r="AT1990" i="5" s="1"/>
  <c r="AR2055" i="5"/>
  <c r="AY1990" i="5" l="1"/>
  <c r="AR1995" i="5"/>
  <c r="AU1990" i="5" s="1"/>
  <c r="AP1996" i="5"/>
  <c r="AR1996" i="5" l="1"/>
  <c r="AX1990" i="5" s="1"/>
  <c r="AP1997" i="5"/>
  <c r="AP1998" i="5" l="1"/>
  <c r="AR1997" i="5"/>
  <c r="AQ1997" i="5" s="1"/>
  <c r="AR2062" i="5"/>
  <c r="AQ2062" i="5" s="1"/>
  <c r="AU2065" i="5"/>
  <c r="AV1990" i="5" l="1"/>
  <c r="AW1990" i="5"/>
  <c r="AP1999" i="5"/>
  <c r="AP2000" i="5" s="1"/>
  <c r="AP2001" i="5" s="1"/>
  <c r="AP2002" i="5" s="1"/>
  <c r="AR1998" i="5"/>
  <c r="AQ1998" i="5" s="1"/>
  <c r="AT1994" i="5" s="1"/>
  <c r="AR2063" i="5"/>
  <c r="AR2097" i="5"/>
  <c r="AR2002" i="5" l="1"/>
  <c r="AQ2002" i="5" s="1"/>
  <c r="AW1994" i="5" s="1"/>
  <c r="AP2003" i="5"/>
  <c r="AU1994" i="5"/>
  <c r="AX1994" i="5"/>
  <c r="AY1994" i="5"/>
  <c r="AV1994" i="5"/>
  <c r="AR2064" i="5"/>
  <c r="AR2003" i="5" l="1"/>
  <c r="AQ2003" i="5" s="1"/>
  <c r="AT1999" i="5" s="1"/>
  <c r="AP2004" i="5"/>
  <c r="AW2065" i="5"/>
  <c r="AR2004" i="5" l="1"/>
  <c r="AU1999" i="5" s="1"/>
  <c r="AP2005" i="5"/>
  <c r="AY1999" i="5"/>
  <c r="AR2005" i="5" l="1"/>
  <c r="AX1999" i="5" s="1"/>
  <c r="AP2006" i="5"/>
  <c r="AT2101" i="5"/>
  <c r="AX2101" i="5" s="1"/>
  <c r="AR2006" i="5" l="1"/>
  <c r="AV1999" i="5" s="1"/>
  <c r="AP2007" i="5"/>
  <c r="AR2071" i="5"/>
  <c r="AQ2071" i="5" s="1"/>
  <c r="AT2068" i="5" s="1"/>
  <c r="AP2008" i="5" l="1"/>
  <c r="AP2009" i="5" s="1"/>
  <c r="AP2010" i="5" s="1"/>
  <c r="AP2011" i="5" s="1"/>
  <c r="AR2007" i="5"/>
  <c r="AQ2007" i="5" s="1"/>
  <c r="AW1999" i="5" s="1"/>
  <c r="AR2072" i="5"/>
  <c r="AY2065" i="5" s="1"/>
  <c r="AV2065" i="5"/>
  <c r="AP2012" i="5" l="1"/>
  <c r="AR2011" i="5"/>
  <c r="AQ2011" i="5" s="1"/>
  <c r="AR2073" i="5"/>
  <c r="AX2068" i="5" s="1"/>
  <c r="AU2068" i="5"/>
  <c r="AP2013" i="5" l="1"/>
  <c r="AR2012" i="5"/>
  <c r="AQ2012" i="5" s="1"/>
  <c r="AT2008" i="5" s="1"/>
  <c r="AY2008" i="5" l="1"/>
  <c r="AP2014" i="5"/>
  <c r="AR2013" i="5"/>
  <c r="AQ2013" i="5" s="1"/>
  <c r="AU2008" i="5" s="1"/>
  <c r="AV2068" i="5"/>
  <c r="AP2015" i="5" l="1"/>
  <c r="AR2014" i="5"/>
  <c r="AX2008" i="5" s="1"/>
  <c r="AP2016" i="5" l="1"/>
  <c r="AR2015" i="5"/>
  <c r="AV2008" i="5" s="1"/>
  <c r="AR2080" i="5"/>
  <c r="AQ2080" i="5" s="1"/>
  <c r="AT2077" i="5" s="1"/>
  <c r="AP2017" i="5" l="1"/>
  <c r="AP2018" i="5" s="1"/>
  <c r="AP2019" i="5" s="1"/>
  <c r="AP2020" i="5" s="1"/>
  <c r="AR2016" i="5"/>
  <c r="AQ2016" i="5" s="1"/>
  <c r="AW2008" i="5" s="1"/>
  <c r="AR2081" i="5"/>
  <c r="AU2077" i="5" s="1"/>
  <c r="AP2021" i="5" l="1"/>
  <c r="AR2020" i="5"/>
  <c r="AQ2020" i="5" s="1"/>
  <c r="AR2082" i="5"/>
  <c r="AQ2082" i="5" s="1"/>
  <c r="AR2021" i="5" l="1"/>
  <c r="AQ2021" i="5" s="1"/>
  <c r="AT2016" i="5" s="1"/>
  <c r="AP2022" i="5"/>
  <c r="AX2077" i="5"/>
  <c r="AP2023" i="5" l="1"/>
  <c r="AR2022" i="5"/>
  <c r="AU2016" i="5" s="1"/>
  <c r="AX2016" i="5"/>
  <c r="AW2016" i="5"/>
  <c r="AV2016" i="5"/>
  <c r="AT2017" i="5"/>
  <c r="AV2077" i="5"/>
  <c r="AU2017" i="5" l="1"/>
  <c r="AY2017" i="5"/>
  <c r="AX2017" i="5"/>
  <c r="AP2024" i="5"/>
  <c r="AR2023" i="5"/>
  <c r="AY2016" i="5" s="1"/>
  <c r="AW2077" i="5"/>
  <c r="AR2024" i="5" l="1"/>
  <c r="AV2017" i="5" s="1"/>
  <c r="AP2025" i="5"/>
  <c r="AR2089" i="5"/>
  <c r="AQ2089" i="5" s="1"/>
  <c r="AT2086" i="5" s="1"/>
  <c r="AR2025" i="5" l="1"/>
  <c r="AQ2025" i="5" s="1"/>
  <c r="AW2017" i="5" s="1"/>
  <c r="AP2026" i="5"/>
  <c r="AP2027" i="5" s="1"/>
  <c r="AP2028" i="5" s="1"/>
  <c r="AP2029" i="5" s="1"/>
  <c r="AR2090" i="5"/>
  <c r="AU2086" i="5" s="1"/>
  <c r="AR2134" i="5"/>
  <c r="AP2030" i="5" l="1"/>
  <c r="AR2029" i="5"/>
  <c r="AQ2029" i="5" s="1"/>
  <c r="AT2026" i="5" s="1"/>
  <c r="AR2091" i="5"/>
  <c r="AX2086" i="5" s="1"/>
  <c r="AR2135" i="5"/>
  <c r="AQ2135" i="5" s="1"/>
  <c r="AR2030" i="5" l="1"/>
  <c r="AY2026" i="5" s="1"/>
  <c r="AP2031" i="5"/>
  <c r="AP2032" i="5" l="1"/>
  <c r="AR2031" i="5"/>
  <c r="AU2026" i="5" s="1"/>
  <c r="AV2086" i="5"/>
  <c r="AR2143" i="5"/>
  <c r="AR2032" i="5" l="1"/>
  <c r="AV2026" i="5" s="1"/>
  <c r="AP2033" i="5"/>
  <c r="AR2144" i="5"/>
  <c r="AP2034" i="5" l="1"/>
  <c r="AR2033" i="5"/>
  <c r="AQ2033" i="5" s="1"/>
  <c r="AR2098" i="5"/>
  <c r="AQ2098" i="5" s="1"/>
  <c r="AY2086" i="5"/>
  <c r="AU2101" i="5"/>
  <c r="AX2026" i="5" l="1"/>
  <c r="AP2035" i="5"/>
  <c r="AP2036" i="5" s="1"/>
  <c r="AP2037" i="5" s="1"/>
  <c r="AP2038" i="5" s="1"/>
  <c r="AR2034" i="5"/>
  <c r="AQ2034" i="5" s="1"/>
  <c r="AT2030" i="5" s="1"/>
  <c r="AR2099" i="5"/>
  <c r="AP2039" i="5" l="1"/>
  <c r="AR2038" i="5"/>
  <c r="AQ2038" i="5" s="1"/>
  <c r="AW2026" i="5"/>
  <c r="AU2030" i="5"/>
  <c r="AY2030" i="5"/>
  <c r="AV2030" i="5"/>
  <c r="AX2030" i="5"/>
  <c r="AR2100" i="5"/>
  <c r="AW2030" i="5" l="1"/>
  <c r="AT2035" i="5"/>
  <c r="AR2039" i="5"/>
  <c r="AP2040" i="5"/>
  <c r="AW2101" i="5"/>
  <c r="AU2035" i="5" l="1"/>
  <c r="AR2040" i="5"/>
  <c r="AY2035" i="5" s="1"/>
  <c r="AP2041" i="5"/>
  <c r="AR2041" i="5" l="1"/>
  <c r="AV2035" i="5" s="1"/>
  <c r="AP2042" i="5"/>
  <c r="AT2095" i="5"/>
  <c r="AV2095" i="5"/>
  <c r="AX2095" i="5"/>
  <c r="AW2095" i="5"/>
  <c r="AU2095" i="5"/>
  <c r="AR2042" i="5" l="1"/>
  <c r="AX2035" i="5" s="1"/>
  <c r="AP2043" i="5"/>
  <c r="AR2107" i="5"/>
  <c r="AQ2107" i="5" s="1"/>
  <c r="AT2104" i="5" s="1"/>
  <c r="AR2043" i="5" l="1"/>
  <c r="AQ2043" i="5" s="1"/>
  <c r="AW2035" i="5" s="1"/>
  <c r="AP2044" i="5"/>
  <c r="AP2045" i="5" s="1"/>
  <c r="AP2046" i="5" s="1"/>
  <c r="AP2047" i="5" s="1"/>
  <c r="AR2108" i="5"/>
  <c r="AY2101" i="5" s="1"/>
  <c r="AV2101" i="5"/>
  <c r="AP2048" i="5" l="1"/>
  <c r="AR2047" i="5"/>
  <c r="AQ2047" i="5" s="1"/>
  <c r="AR2109" i="5"/>
  <c r="AX2104" i="5" s="1"/>
  <c r="AU2104" i="5"/>
  <c r="AW2039" i="5" l="1"/>
  <c r="AT2044" i="5"/>
  <c r="AR2048" i="5"/>
  <c r="AP2049" i="5"/>
  <c r="AU2044" i="5" l="1"/>
  <c r="AP2050" i="5"/>
  <c r="AR2049" i="5"/>
  <c r="AY2044" i="5" s="1"/>
  <c r="AV2104" i="5"/>
  <c r="AP2051" i="5" l="1"/>
  <c r="AR2050" i="5"/>
  <c r="AQ2050" i="5" s="1"/>
  <c r="AV2044" i="5" l="1"/>
  <c r="AR2051" i="5"/>
  <c r="AQ2051" i="5" s="1"/>
  <c r="AP2052" i="5"/>
  <c r="AR2116" i="5"/>
  <c r="AQ2116" i="5" s="1"/>
  <c r="AT2113" i="5" s="1"/>
  <c r="AW2044" i="5" l="1"/>
  <c r="AP2053" i="5"/>
  <c r="AP2054" i="5" s="1"/>
  <c r="AP2055" i="5" s="1"/>
  <c r="AP2056" i="5" s="1"/>
  <c r="AR2052" i="5"/>
  <c r="AQ2052" i="5" s="1"/>
  <c r="AT2048" i="5" s="1"/>
  <c r="AR2117" i="5"/>
  <c r="AQ2117" i="5" s="1"/>
  <c r="AR2170" i="5"/>
  <c r="AQ2170" i="5" s="1"/>
  <c r="AP2057" i="5" l="1"/>
  <c r="AR2056" i="5"/>
  <c r="AQ2056" i="5" s="1"/>
  <c r="AT2053" i="5" s="1"/>
  <c r="AY2048" i="5"/>
  <c r="AV2048" i="5"/>
  <c r="AX2048" i="5"/>
  <c r="AU2048" i="5"/>
  <c r="AW2048" i="5"/>
  <c r="AX2044" i="5"/>
  <c r="AU2113" i="5"/>
  <c r="AR2118" i="5"/>
  <c r="AX2113" i="5" s="1"/>
  <c r="AR2057" i="5" l="1"/>
  <c r="AU2053" i="5" s="1"/>
  <c r="AP2058" i="5"/>
  <c r="AT2126" i="5"/>
  <c r="AR2179" i="5"/>
  <c r="AQ2179" i="5" s="1"/>
  <c r="AP2059" i="5" l="1"/>
  <c r="AR2058" i="5"/>
  <c r="AQ2058" i="5" s="1"/>
  <c r="AT2174" i="5"/>
  <c r="AY2174" i="5" s="1"/>
  <c r="AV2126" i="5"/>
  <c r="AY2126" i="5"/>
  <c r="AW2126" i="5"/>
  <c r="AR2180" i="5"/>
  <c r="AY2053" i="5" l="1"/>
  <c r="AP2060" i="5"/>
  <c r="AR2059" i="5"/>
  <c r="AV2053" i="5" s="1"/>
  <c r="AU2174" i="5"/>
  <c r="AW2113" i="5"/>
  <c r="AY2113" i="5"/>
  <c r="AR2126" i="5"/>
  <c r="AX2126" i="5"/>
  <c r="AP2061" i="5" l="1"/>
  <c r="AR2060" i="5"/>
  <c r="AQ2060" i="5" s="1"/>
  <c r="AR2127" i="5"/>
  <c r="AQ2127" i="5" s="1"/>
  <c r="AW2053" i="5" l="1"/>
  <c r="AP2062" i="5"/>
  <c r="AP2063" i="5" s="1"/>
  <c r="AP2064" i="5" s="1"/>
  <c r="AP2065" i="5" s="1"/>
  <c r="AR2061" i="5"/>
  <c r="AQ2061" i="5" s="1"/>
  <c r="AT2057" i="5" s="1"/>
  <c r="AT2122" i="5"/>
  <c r="AY2122" i="5"/>
  <c r="AU2122" i="5"/>
  <c r="AP2066" i="5" l="1"/>
  <c r="AR2065" i="5"/>
  <c r="AQ2065" i="5" s="1"/>
  <c r="AT2062" i="5" s="1"/>
  <c r="AX2057" i="5"/>
  <c r="AU2057" i="5"/>
  <c r="AV2057" i="5"/>
  <c r="AX2053" i="5"/>
  <c r="AR2190" i="5"/>
  <c r="AP2067" i="5" l="1"/>
  <c r="AR2066" i="5"/>
  <c r="AY2057" i="5" s="1"/>
  <c r="AU2126" i="5"/>
  <c r="AR2067" i="5" l="1"/>
  <c r="AQ2067" i="5" s="1"/>
  <c r="AP2068" i="5"/>
  <c r="AU2062" i="5"/>
  <c r="AP2069" i="5" l="1"/>
  <c r="AR2068" i="5"/>
  <c r="AV2062" i="5" s="1"/>
  <c r="AW2057" i="5"/>
  <c r="AY2062" i="5"/>
  <c r="AR2069" i="5" l="1"/>
  <c r="AQ2069" i="5" s="1"/>
  <c r="AW2062" i="5" s="1"/>
  <c r="AP2070" i="5"/>
  <c r="AR2136" i="5"/>
  <c r="AP2071" i="5" l="1"/>
  <c r="AP2072" i="5" s="1"/>
  <c r="AP2073" i="5" s="1"/>
  <c r="AP2074" i="5" s="1"/>
  <c r="AR2070" i="5"/>
  <c r="AQ2070" i="5" s="1"/>
  <c r="AX2062" i="5" s="1"/>
  <c r="AP2075" i="5" l="1"/>
  <c r="AR2074" i="5"/>
  <c r="AQ2074" i="5" s="1"/>
  <c r="AT2071" i="5" s="1"/>
  <c r="AW2122" i="5"/>
  <c r="AR2075" i="5" l="1"/>
  <c r="AQ2075" i="5" s="1"/>
  <c r="AW2068" i="5" s="1"/>
  <c r="AP2076" i="5"/>
  <c r="AP2077" i="5" l="1"/>
  <c r="AR2076" i="5"/>
  <c r="AY2068" i="5" s="1"/>
  <c r="AU2071" i="5"/>
  <c r="AT2133" i="5"/>
  <c r="AY2133" i="5" s="1"/>
  <c r="AY2071" i="5" l="1"/>
  <c r="AP2078" i="5"/>
  <c r="AR2077" i="5"/>
  <c r="AV2071" i="5" s="1"/>
  <c r="AU2133" i="5"/>
  <c r="AR2078" i="5" l="1"/>
  <c r="AQ2078" i="5" s="1"/>
  <c r="AW2071" i="5" s="1"/>
  <c r="AP2079" i="5"/>
  <c r="AR2145" i="5"/>
  <c r="AT2150" i="5"/>
  <c r="AP2080" i="5" l="1"/>
  <c r="AP2081" i="5" s="1"/>
  <c r="AP2082" i="5" s="1"/>
  <c r="AP2083" i="5" s="1"/>
  <c r="AR2079" i="5"/>
  <c r="AX2071" i="5" s="1"/>
  <c r="AU2150" i="5"/>
  <c r="AR2207" i="5"/>
  <c r="AQ2207" i="5" s="1"/>
  <c r="AP2084" i="5" l="1"/>
  <c r="AR2083" i="5"/>
  <c r="AQ2083" i="5" s="1"/>
  <c r="AT2080" i="5" s="1"/>
  <c r="AW2133" i="5"/>
  <c r="AR2084" i="5" l="1"/>
  <c r="AQ2084" i="5" s="1"/>
  <c r="AU2080" i="5" s="1"/>
  <c r="AP2085" i="5"/>
  <c r="AR2216" i="5"/>
  <c r="AQ2216" i="5" s="1"/>
  <c r="AP2086" i="5" l="1"/>
  <c r="AR2085" i="5"/>
  <c r="AY2077" i="5" s="1"/>
  <c r="AT2211" i="5"/>
  <c r="AY2211" i="5" s="1"/>
  <c r="AT2142" i="5"/>
  <c r="AW2150" i="5"/>
  <c r="AR2217" i="5"/>
  <c r="AU2211" i="5" l="1"/>
  <c r="AY2080" i="5"/>
  <c r="AR2086" i="5"/>
  <c r="AQ2086" i="5" s="1"/>
  <c r="AP2087" i="5"/>
  <c r="AY2142" i="5"/>
  <c r="AU2142" i="5"/>
  <c r="AY2150" i="5"/>
  <c r="AV2080" i="5" l="1"/>
  <c r="AR2087" i="5"/>
  <c r="AQ2087" i="5" s="1"/>
  <c r="AW2080" i="5" s="1"/>
  <c r="AP2088" i="5"/>
  <c r="AR2154" i="5"/>
  <c r="AQ2154" i="5" s="1"/>
  <c r="AR2088" i="5" l="1"/>
  <c r="AP2089" i="5"/>
  <c r="AP2090" i="5" s="1"/>
  <c r="AP2091" i="5" s="1"/>
  <c r="AP2092" i="5" s="1"/>
  <c r="AX2080" i="5"/>
  <c r="AR2092" i="5" l="1"/>
  <c r="AQ2092" i="5" s="1"/>
  <c r="AP2093" i="5"/>
  <c r="AW2142" i="5"/>
  <c r="AR2093" i="5" l="1"/>
  <c r="AQ2093" i="5" s="1"/>
  <c r="AW2086" i="5" s="1"/>
  <c r="AP2094" i="5"/>
  <c r="AT2162" i="5"/>
  <c r="AR3106" i="5"/>
  <c r="AR2094" i="5" l="1"/>
  <c r="AQ2094" i="5" s="1"/>
  <c r="AT2089" i="5" s="1"/>
  <c r="AP2095" i="5"/>
  <c r="AT2151" i="5"/>
  <c r="AX2151" i="5" s="1"/>
  <c r="AV2150" i="5"/>
  <c r="AV2162" i="5"/>
  <c r="AW2162" i="5"/>
  <c r="AY2162" i="5"/>
  <c r="AR2095" i="5" l="1"/>
  <c r="AV2089" i="5" s="1"/>
  <c r="AP2096" i="5"/>
  <c r="AU2089" i="5"/>
  <c r="AY2089" i="5"/>
  <c r="AX2150" i="5"/>
  <c r="AY2151" i="5"/>
  <c r="AU2151" i="5"/>
  <c r="AX2162" i="5"/>
  <c r="AP2097" i="5" l="1"/>
  <c r="AP2098" i="5" s="1"/>
  <c r="AP2099" i="5" s="1"/>
  <c r="AP2100" i="5" s="1"/>
  <c r="AP2101" i="5" s="1"/>
  <c r="AR2096" i="5"/>
  <c r="AQ2096" i="5" s="1"/>
  <c r="AR2163" i="5"/>
  <c r="AW2089" i="5" l="1"/>
  <c r="AX2089" i="5"/>
  <c r="AP2102" i="5"/>
  <c r="AR2101" i="5"/>
  <c r="AP2103" i="5" l="1"/>
  <c r="AR2102" i="5"/>
  <c r="AQ2102" i="5" s="1"/>
  <c r="AT2098" i="5" s="1"/>
  <c r="AX2098" i="5" l="1"/>
  <c r="AR2103" i="5"/>
  <c r="AY2095" i="5" s="1"/>
  <c r="AP2104" i="5"/>
  <c r="AR2104" i="5" l="1"/>
  <c r="AY2098" i="5" s="1"/>
  <c r="AP2105" i="5"/>
  <c r="AU2098" i="5"/>
  <c r="AT2160" i="5"/>
  <c r="AY2160" i="5" s="1"/>
  <c r="AX2160" i="5"/>
  <c r="AR2105" i="5" l="1"/>
  <c r="AV2098" i="5" s="1"/>
  <c r="AP2106" i="5"/>
  <c r="AV2160" i="5"/>
  <c r="AR2106" i="5" l="1"/>
  <c r="AQ2106" i="5" s="1"/>
  <c r="AW2098" i="5" s="1"/>
  <c r="AP2107" i="5"/>
  <c r="AP2108" i="5" s="1"/>
  <c r="AP2109" i="5" s="1"/>
  <c r="AP2110" i="5" s="1"/>
  <c r="AR2172" i="5"/>
  <c r="AR2243" i="5"/>
  <c r="AR2110" i="5" l="1"/>
  <c r="AQ2110" i="5" s="1"/>
  <c r="AP2111" i="5"/>
  <c r="AV2174" i="5"/>
  <c r="AR2244" i="5"/>
  <c r="AQ2244" i="5" s="1"/>
  <c r="AP2112" i="5" l="1"/>
  <c r="AR2111" i="5"/>
  <c r="AQ2111" i="5" s="1"/>
  <c r="AW2104" i="5" s="1"/>
  <c r="AW2160" i="5"/>
  <c r="AT2107" i="5" l="1"/>
  <c r="AP2113" i="5"/>
  <c r="AR2112" i="5"/>
  <c r="AY2104" i="5" s="1"/>
  <c r="AR2252" i="5"/>
  <c r="AQ2252" i="5" s="1"/>
  <c r="AP2114" i="5" l="1"/>
  <c r="AR2113" i="5"/>
  <c r="AY2107" i="5" s="1"/>
  <c r="AU2107" i="5"/>
  <c r="AX2107" i="5"/>
  <c r="AT2247" i="5"/>
  <c r="AY2247" i="5" s="1"/>
  <c r="AT2169" i="5"/>
  <c r="AY2169" i="5" s="1"/>
  <c r="AR2253" i="5"/>
  <c r="AU2247" i="5" l="1"/>
  <c r="AP2115" i="5"/>
  <c r="AR2114" i="5"/>
  <c r="AV2107" i="5" s="1"/>
  <c r="AP2116" i="5" l="1"/>
  <c r="AP2117" i="5" s="1"/>
  <c r="AP2118" i="5" s="1"/>
  <c r="AP2119" i="5" s="1"/>
  <c r="AR2115" i="5"/>
  <c r="AQ2115" i="5" s="1"/>
  <c r="AW2107" i="5" s="1"/>
  <c r="AR2181" i="5"/>
  <c r="AX2174" i="5" s="1"/>
  <c r="AT2186" i="5"/>
  <c r="AY2186" i="5" s="1"/>
  <c r="AR2119" i="5" l="1"/>
  <c r="AV2113" i="5" s="1"/>
  <c r="AP2120" i="5"/>
  <c r="AV2169" i="5"/>
  <c r="AR2120" i="5" l="1"/>
  <c r="AQ2120" i="5" s="1"/>
  <c r="AT2116" i="5" s="1"/>
  <c r="AP2121" i="5"/>
  <c r="AW2169" i="5"/>
  <c r="AR2121" i="5" l="1"/>
  <c r="AU2116" i="5" s="1"/>
  <c r="AP2122" i="5"/>
  <c r="AX2116" i="5"/>
  <c r="AR2122" i="5" l="1"/>
  <c r="AQ2122" i="5" s="1"/>
  <c r="AY2116" i="5" s="1"/>
  <c r="AP2123" i="5"/>
  <c r="AT2178" i="5"/>
  <c r="AT2259" i="5"/>
  <c r="AY2259" i="5" s="1"/>
  <c r="AW2186" i="5"/>
  <c r="AP2124" i="5" l="1"/>
  <c r="AR2123" i="5"/>
  <c r="AV2116" i="5" s="1"/>
  <c r="AY2178" i="5"/>
  <c r="AU2178" i="5"/>
  <c r="AP2125" i="5" l="1"/>
  <c r="AP2126" i="5" s="1"/>
  <c r="AP2127" i="5" s="1"/>
  <c r="AP2128" i="5" s="1"/>
  <c r="AR2124" i="5"/>
  <c r="AQ2124" i="5" s="1"/>
  <c r="AW2116" i="5" s="1"/>
  <c r="AP2129" i="5" l="1"/>
  <c r="AR2128" i="5"/>
  <c r="AX2178" i="5"/>
  <c r="AP2130" i="5" l="1"/>
  <c r="AR2129" i="5"/>
  <c r="AQ2129" i="5" s="1"/>
  <c r="AT2125" i="5" s="1"/>
  <c r="AW2178" i="5"/>
  <c r="AX2125" i="5" l="1"/>
  <c r="AR2130" i="5"/>
  <c r="AQ2130" i="5" s="1"/>
  <c r="AX2122" i="5" s="1"/>
  <c r="AP2131" i="5"/>
  <c r="AX2186" i="5"/>
  <c r="AR2131" i="5" l="1"/>
  <c r="AP2132" i="5"/>
  <c r="AU2125" i="5"/>
  <c r="AT2187" i="5"/>
  <c r="AR2132" i="5" l="1"/>
  <c r="AQ2132" i="5" s="1"/>
  <c r="AV2125" i="5" s="1"/>
  <c r="AP2133" i="5"/>
  <c r="AV2122" i="5"/>
  <c r="AY2125" i="5"/>
  <c r="AY2187" i="5"/>
  <c r="AU2187" i="5"/>
  <c r="AP2134" i="5" l="1"/>
  <c r="AP2135" i="5" s="1"/>
  <c r="AP2136" i="5" s="1"/>
  <c r="AP2137" i="5" s="1"/>
  <c r="AR2133" i="5"/>
  <c r="AQ2133" i="5" s="1"/>
  <c r="AW2125" i="5" s="1"/>
  <c r="AR2197" i="5"/>
  <c r="AQ2197" i="5" s="1"/>
  <c r="AW2187" i="5" s="1"/>
  <c r="AP2138" i="5" l="1"/>
  <c r="AR2137" i="5"/>
  <c r="AQ2137" i="5" s="1"/>
  <c r="AV2186" i="5"/>
  <c r="AP2139" i="5" l="1"/>
  <c r="AR2138" i="5"/>
  <c r="AQ2138" i="5" s="1"/>
  <c r="AT2134" i="5" s="1"/>
  <c r="AV2187" i="5"/>
  <c r="AX2134" i="5" l="1"/>
  <c r="AR2139" i="5"/>
  <c r="AX2133" i="5" s="1"/>
  <c r="AP2140" i="5"/>
  <c r="AU2134" i="5" l="1"/>
  <c r="AR2140" i="5"/>
  <c r="AP2141" i="5"/>
  <c r="AV2133" i="5" l="1"/>
  <c r="AY2134" i="5"/>
  <c r="AP2142" i="5"/>
  <c r="AR2141" i="5"/>
  <c r="AQ2141" i="5" s="1"/>
  <c r="AP2143" i="5" l="1"/>
  <c r="AP2144" i="5" s="1"/>
  <c r="AP2145" i="5" s="1"/>
  <c r="AP2146" i="5" s="1"/>
  <c r="AR2142" i="5"/>
  <c r="AQ2142" i="5" s="1"/>
  <c r="AT2138" i="5" s="1"/>
  <c r="AV2134" i="5"/>
  <c r="AR2206" i="5"/>
  <c r="AW2138" i="5" l="1"/>
  <c r="AU2138" i="5"/>
  <c r="AV2138" i="5"/>
  <c r="AX2138" i="5"/>
  <c r="AY2138" i="5"/>
  <c r="AW2134" i="5"/>
  <c r="AR2146" i="5"/>
  <c r="AQ2146" i="5" s="1"/>
  <c r="AP2147" i="5"/>
  <c r="AV2211" i="5"/>
  <c r="AR2147" i="5" l="1"/>
  <c r="AQ2147" i="5" s="1"/>
  <c r="AT2143" i="5" s="1"/>
  <c r="AP2148" i="5"/>
  <c r="AR2148" i="5" l="1"/>
  <c r="AX2142" i="5" s="1"/>
  <c r="AP2149" i="5"/>
  <c r="AU2143" i="5"/>
  <c r="AX2143" i="5"/>
  <c r="AP2150" i="5" l="1"/>
  <c r="AR2149" i="5"/>
  <c r="AV2142" i="5" l="1"/>
  <c r="AY2143" i="5"/>
  <c r="AP2151" i="5"/>
  <c r="AR2150" i="5"/>
  <c r="AQ2150" i="5" s="1"/>
  <c r="AV2143" i="5" s="1"/>
  <c r="AP2152" i="5" l="1"/>
  <c r="AP2153" i="5" s="1"/>
  <c r="AP2154" i="5" s="1"/>
  <c r="AP2155" i="5" s="1"/>
  <c r="AR2151" i="5"/>
  <c r="AQ2151" i="5" s="1"/>
  <c r="AW2143" i="5" s="1"/>
  <c r="AR2155" i="5" l="1"/>
  <c r="AQ2155" i="5" s="1"/>
  <c r="AP2156" i="5"/>
  <c r="AT2223" i="5"/>
  <c r="AY2223" i="5" s="1"/>
  <c r="AR2156" i="5" l="1"/>
  <c r="AQ2156" i="5" s="1"/>
  <c r="AT2152" i="5" s="1"/>
  <c r="AP2157" i="5"/>
  <c r="AR2157" i="5" l="1"/>
  <c r="AP2158" i="5"/>
  <c r="AU2152" i="5"/>
  <c r="AX2152" i="5"/>
  <c r="AR2215" i="5"/>
  <c r="AP2159" i="5" l="1"/>
  <c r="AR2158" i="5"/>
  <c r="AQ2158" i="5" s="1"/>
  <c r="AV2223" i="5"/>
  <c r="AV2151" i="5" l="1"/>
  <c r="AY2152" i="5"/>
  <c r="AV2152" i="5"/>
  <c r="AR2159" i="5"/>
  <c r="AQ2159" i="5" s="1"/>
  <c r="AW2151" i="5" s="1"/>
  <c r="AP2160" i="5"/>
  <c r="AX2211" i="5"/>
  <c r="AW2223" i="5"/>
  <c r="AR2160" i="5" l="1"/>
  <c r="AQ2160" i="5" s="1"/>
  <c r="AW2152" i="5" s="1"/>
  <c r="AP2161" i="5"/>
  <c r="AP2162" i="5" s="1"/>
  <c r="AP2163" i="5" s="1"/>
  <c r="AP2164" i="5" s="1"/>
  <c r="AR2164" i="5" l="1"/>
  <c r="AQ2164" i="5" s="1"/>
  <c r="AT2161" i="5" s="1"/>
  <c r="AP2165" i="5"/>
  <c r="AP2166" i="5" l="1"/>
  <c r="AR2165" i="5"/>
  <c r="AU2160" i="5" s="1"/>
  <c r="AX2161" i="5"/>
  <c r="AR2166" i="5" l="1"/>
  <c r="AQ2166" i="5" s="1"/>
  <c r="AP2167" i="5"/>
  <c r="AR2224" i="5"/>
  <c r="AP2168" i="5" l="1"/>
  <c r="AR2167" i="5"/>
  <c r="AU2162" i="5" s="1"/>
  <c r="AU2161" i="5"/>
  <c r="AT2235" i="5"/>
  <c r="AV2161" i="5" l="1"/>
  <c r="AP2169" i="5"/>
  <c r="AR2168" i="5"/>
  <c r="AQ2168" i="5" s="1"/>
  <c r="AY2161" i="5" s="1"/>
  <c r="AY2235" i="5"/>
  <c r="AV2235" i="5"/>
  <c r="AW2235" i="5"/>
  <c r="AU2235" i="5"/>
  <c r="AR2169" i="5" l="1"/>
  <c r="AQ2169" i="5" s="1"/>
  <c r="AW2161" i="5" s="1"/>
  <c r="AP2170" i="5"/>
  <c r="AP2171" i="5" s="1"/>
  <c r="AP2172" i="5" s="1"/>
  <c r="AP2173" i="5" s="1"/>
  <c r="AR2173" i="5" l="1"/>
  <c r="AQ2173" i="5" s="1"/>
  <c r="AT2170" i="5" s="1"/>
  <c r="AP2174" i="5"/>
  <c r="AX2223" i="5"/>
  <c r="AR2174" i="5" l="1"/>
  <c r="AU2169" i="5" s="1"/>
  <c r="AP2175" i="5"/>
  <c r="AU2170" i="5"/>
  <c r="AP2176" i="5" l="1"/>
  <c r="AR2175" i="5"/>
  <c r="AR2233" i="5"/>
  <c r="AX2169" i="5" l="1"/>
  <c r="AX2170" i="5"/>
  <c r="AR2176" i="5"/>
  <c r="AV2170" i="5" s="1"/>
  <c r="AP2177" i="5"/>
  <c r="AP2178" i="5" l="1"/>
  <c r="AR2177" i="5"/>
  <c r="AQ2177" i="5" s="1"/>
  <c r="AY2170" i="5" s="1"/>
  <c r="AR2178" i="5" l="1"/>
  <c r="AQ2178" i="5" s="1"/>
  <c r="AW2170" i="5" s="1"/>
  <c r="AP2179" i="5"/>
  <c r="AP2180" i="5" s="1"/>
  <c r="AP2181" i="5" s="1"/>
  <c r="AP2182" i="5" s="1"/>
  <c r="AP2183" i="5" l="1"/>
  <c r="AR2182" i="5"/>
  <c r="AQ2182" i="5" s="1"/>
  <c r="AT2179" i="5" s="1"/>
  <c r="AV2247" i="5"/>
  <c r="AR2183" i="5" l="1"/>
  <c r="AQ2183" i="5" s="1"/>
  <c r="AW2174" i="5" s="1"/>
  <c r="AP2184" i="5"/>
  <c r="AR2241" i="5"/>
  <c r="AQ2241" i="5" s="1"/>
  <c r="AT2234" i="5" s="1"/>
  <c r="AP2185" i="5" l="1"/>
  <c r="AR2184" i="5"/>
  <c r="AV2178" i="5" s="1"/>
  <c r="AU2179" i="5"/>
  <c r="AR2242" i="5"/>
  <c r="AX2235" i="5" s="1"/>
  <c r="AV2234" i="5"/>
  <c r="AX2234" i="5"/>
  <c r="AW2234" i="5"/>
  <c r="AY2234" i="5"/>
  <c r="AU2234" i="5"/>
  <c r="AP2186" i="5" l="1"/>
  <c r="AR2185" i="5"/>
  <c r="AV2179" i="5" s="1"/>
  <c r="AX2179" i="5"/>
  <c r="AP2187" i="5" l="1"/>
  <c r="AR2186" i="5"/>
  <c r="AQ2186" i="5" s="1"/>
  <c r="AW2179" i="5" s="1"/>
  <c r="AR2187" i="5" l="1"/>
  <c r="AY2179" i="5" s="1"/>
  <c r="AP2188" i="5"/>
  <c r="AP2189" i="5" s="1"/>
  <c r="AP2190" i="5" s="1"/>
  <c r="AP2191" i="5" s="1"/>
  <c r="AR2191" i="5" l="1"/>
  <c r="AQ2191" i="5" s="1"/>
  <c r="AT2188" i="5" s="1"/>
  <c r="AP2192" i="5"/>
  <c r="AP2193" i="5" l="1"/>
  <c r="AR2192" i="5"/>
  <c r="AU2186" i="5" s="1"/>
  <c r="AV2259" i="5"/>
  <c r="AU2188" i="5" l="1"/>
  <c r="AP2194" i="5"/>
  <c r="AR2193" i="5"/>
  <c r="AX2188" i="5" s="1"/>
  <c r="AT2243" i="5"/>
  <c r="AR2251" i="5"/>
  <c r="AX2243" i="5" s="1"/>
  <c r="AW2243" i="5"/>
  <c r="AV2243" i="5"/>
  <c r="AU2243" i="5"/>
  <c r="AY2243" i="5"/>
  <c r="AP2195" i="5" l="1"/>
  <c r="AR2194" i="5"/>
  <c r="AV2188" i="5" s="1"/>
  <c r="AR2195" i="5" l="1"/>
  <c r="AQ2195" i="5" s="1"/>
  <c r="AP2196" i="5"/>
  <c r="AR2196" i="5" l="1"/>
  <c r="AX2187" i="5" s="1"/>
  <c r="AP2197" i="5"/>
  <c r="AP2198" i="5" s="1"/>
  <c r="AP2199" i="5" s="1"/>
  <c r="AP2200" i="5" s="1"/>
  <c r="AW2188" i="5"/>
  <c r="AY2188" i="5"/>
  <c r="AR2200" i="5" l="1"/>
  <c r="AQ2200" i="5" s="1"/>
  <c r="AT2197" i="5" s="1"/>
  <c r="AP2201" i="5"/>
  <c r="AR2201" i="5" l="1"/>
  <c r="AQ2201" i="5" s="1"/>
  <c r="AT2198" i="5" s="1"/>
  <c r="AP2202" i="5"/>
  <c r="AU2197" i="5"/>
  <c r="AT2271" i="5"/>
  <c r="AY2271" i="5" s="1"/>
  <c r="AP2203" i="5" l="1"/>
  <c r="AR2202" i="5"/>
  <c r="AY2198" i="5"/>
  <c r="AX2198" i="5"/>
  <c r="AV2198" i="5"/>
  <c r="AT2252" i="5"/>
  <c r="AW2252" i="5" s="1"/>
  <c r="AU2271" i="5"/>
  <c r="AY2252" i="5" l="1"/>
  <c r="AU2198" i="5"/>
  <c r="AX2197" i="5"/>
  <c r="AV2252" i="5"/>
  <c r="AU2252" i="5"/>
  <c r="AX2252" i="5"/>
  <c r="AP2204" i="5"/>
  <c r="AR2203" i="5"/>
  <c r="AQ2203" i="5" s="1"/>
  <c r="AV2197" i="5" l="1"/>
  <c r="AW2197" i="5"/>
  <c r="AR2204" i="5"/>
  <c r="AQ2204" i="5" s="1"/>
  <c r="AP2205" i="5"/>
  <c r="AV2271" i="5"/>
  <c r="AR2205" i="5" l="1"/>
  <c r="AQ2205" i="5" s="1"/>
  <c r="AW2198" i="5" s="1"/>
  <c r="AP2206" i="5"/>
  <c r="AP2207" i="5" s="1"/>
  <c r="AP2208" i="5" s="1"/>
  <c r="AP2209" i="5" s="1"/>
  <c r="AW2271" i="5"/>
  <c r="AP2210" i="5" l="1"/>
  <c r="AR2209" i="5"/>
  <c r="AQ2209" i="5" s="1"/>
  <c r="AT2206" i="5" s="1"/>
  <c r="AY2197" i="5"/>
  <c r="AX2259" i="5"/>
  <c r="AR2269" i="5"/>
  <c r="AR2210" i="5" l="1"/>
  <c r="AQ2210" i="5" s="1"/>
  <c r="AU2206" i="5" s="1"/>
  <c r="AP2211" i="5"/>
  <c r="AT2261" i="5"/>
  <c r="AY2261" i="5" s="1"/>
  <c r="AR2270" i="5"/>
  <c r="AV2261" i="5" s="1"/>
  <c r="AP2212" i="5" l="1"/>
  <c r="AR2211" i="5"/>
  <c r="AX2206" i="5" s="1"/>
  <c r="AX2261" i="5"/>
  <c r="AU2261" i="5"/>
  <c r="AR2271" i="5"/>
  <c r="AQ2271" i="5" s="1"/>
  <c r="AR2212" i="5" l="1"/>
  <c r="AV2206" i="5" s="1"/>
  <c r="AP2213" i="5"/>
  <c r="AW2261" i="5"/>
  <c r="AT2283" i="5"/>
  <c r="AX2283" i="5" s="1"/>
  <c r="AP2214" i="5" l="1"/>
  <c r="AR2213" i="5"/>
  <c r="AQ2213" i="5" s="1"/>
  <c r="AY2283" i="5"/>
  <c r="AV2283" i="5"/>
  <c r="AW2206" i="5" l="1"/>
  <c r="AR2214" i="5"/>
  <c r="AQ2214" i="5" s="1"/>
  <c r="AT2207" i="5" s="1"/>
  <c r="AP2215" i="5"/>
  <c r="AP2216" i="5" s="1"/>
  <c r="AP2217" i="5" s="1"/>
  <c r="AP2218" i="5" s="1"/>
  <c r="AW2283" i="5"/>
  <c r="AU2283" i="5"/>
  <c r="AU2207" i="5" l="1"/>
  <c r="AY2207" i="5"/>
  <c r="AV2207" i="5"/>
  <c r="AW2207" i="5"/>
  <c r="AX2207" i="5"/>
  <c r="AP2219" i="5"/>
  <c r="AR2218" i="5"/>
  <c r="AQ2218" i="5" s="1"/>
  <c r="AT2215" i="5" s="1"/>
  <c r="AY2206" i="5"/>
  <c r="AR2278" i="5"/>
  <c r="AX2271" i="5" s="1"/>
  <c r="AR2219" i="5" l="1"/>
  <c r="AQ2219" i="5" s="1"/>
  <c r="AP2220" i="5"/>
  <c r="AU2215" i="5"/>
  <c r="AR2279" i="5"/>
  <c r="AR2220" i="5" l="1"/>
  <c r="AQ2220" i="5" s="1"/>
  <c r="AP2221" i="5"/>
  <c r="AR2280" i="5"/>
  <c r="AQ2280" i="5" s="1"/>
  <c r="AP2222" i="5" l="1"/>
  <c r="AR2221" i="5"/>
  <c r="AV2215" i="5" s="1"/>
  <c r="AW2211" i="5"/>
  <c r="AX2215" i="5"/>
  <c r="AT2272" i="5"/>
  <c r="AY2272" i="5" s="1"/>
  <c r="AP2223" i="5" l="1"/>
  <c r="AR2222" i="5"/>
  <c r="AQ2222" i="5" s="1"/>
  <c r="AW2272" i="5"/>
  <c r="AU2272" i="5"/>
  <c r="AX2272" i="5"/>
  <c r="AV2272" i="5"/>
  <c r="AW2215" i="5" l="1"/>
  <c r="AP2224" i="5"/>
  <c r="AP2225" i="5" s="1"/>
  <c r="AP2226" i="5" s="1"/>
  <c r="AP2227" i="5" s="1"/>
  <c r="AR2223" i="5"/>
  <c r="AQ2223" i="5" s="1"/>
  <c r="AT2216" i="5" s="1"/>
  <c r="AP2228" i="5" l="1"/>
  <c r="AR2227" i="5"/>
  <c r="AQ2227" i="5" s="1"/>
  <c r="AT2224" i="5" s="1"/>
  <c r="AV2216" i="5"/>
  <c r="AW2216" i="5"/>
  <c r="AU2216" i="5"/>
  <c r="AY2216" i="5"/>
  <c r="AX2216" i="5"/>
  <c r="AY2215" i="5"/>
  <c r="AR2287" i="5"/>
  <c r="AQ2287" i="5" s="1"/>
  <c r="AP2229" i="5" l="1"/>
  <c r="AR2228" i="5"/>
  <c r="AQ2228" i="5" s="1"/>
  <c r="AU2224" i="5" s="1"/>
  <c r="AR2288" i="5"/>
  <c r="AR2229" i="5" l="1"/>
  <c r="AU2223" i="5" s="1"/>
  <c r="AP2230" i="5"/>
  <c r="AX2224" i="5"/>
  <c r="AT2281" i="5"/>
  <c r="AR2289" i="5"/>
  <c r="AQ2289" i="5" s="1"/>
  <c r="AP2231" i="5" l="1"/>
  <c r="AR2230" i="5"/>
  <c r="AV2224" i="5" s="1"/>
  <c r="AW2281" i="5"/>
  <c r="AX2281" i="5"/>
  <c r="AY2281" i="5"/>
  <c r="AU2281" i="5"/>
  <c r="AV2281" i="5"/>
  <c r="AP2232" i="5" l="1"/>
  <c r="AR2231" i="5"/>
  <c r="AQ2231" i="5" s="1"/>
  <c r="AW2224" i="5" l="1"/>
  <c r="AP2233" i="5"/>
  <c r="AP2234" i="5" s="1"/>
  <c r="AP2235" i="5" s="1"/>
  <c r="AP2236" i="5" s="1"/>
  <c r="AR2232" i="5"/>
  <c r="AQ2232" i="5" s="1"/>
  <c r="AT2225" i="5" s="1"/>
  <c r="AR2236" i="5" l="1"/>
  <c r="AQ2236" i="5" s="1"/>
  <c r="AT2233" i="5" s="1"/>
  <c r="AP2237" i="5"/>
  <c r="AY2224" i="5"/>
  <c r="AU2225" i="5"/>
  <c r="AW2225" i="5"/>
  <c r="AY2225" i="5"/>
  <c r="AV2225" i="5"/>
  <c r="AX2225" i="5"/>
  <c r="AR2296" i="5"/>
  <c r="AP2238" i="5" l="1"/>
  <c r="AR2237" i="5"/>
  <c r="AQ2237" i="5" s="1"/>
  <c r="AR2297" i="5"/>
  <c r="AU2233" i="5" l="1"/>
  <c r="AP2239" i="5"/>
  <c r="AR2238" i="5"/>
  <c r="AX2233" i="5" s="1"/>
  <c r="AT2290" i="5"/>
  <c r="AV2290" i="5" s="1"/>
  <c r="AR2298" i="5"/>
  <c r="AQ2298" i="5" s="1"/>
  <c r="AR2239" i="5" l="1"/>
  <c r="AV2233" i="5" s="1"/>
  <c r="AP2240" i="5"/>
  <c r="AW2290" i="5"/>
  <c r="AU2290" i="5"/>
  <c r="AX2290" i="5"/>
  <c r="AY2290" i="5"/>
  <c r="AP2241" i="5" l="1"/>
  <c r="AP2242" i="5" s="1"/>
  <c r="AP2243" i="5" s="1"/>
  <c r="AP2244" i="5" s="1"/>
  <c r="AP2245" i="5" s="1"/>
  <c r="AR2240" i="5"/>
  <c r="AQ2240" i="5" s="1"/>
  <c r="AW2233" i="5" l="1"/>
  <c r="AY2233" i="5"/>
  <c r="AP2246" i="5"/>
  <c r="AR2245" i="5"/>
  <c r="AR2246" i="5" l="1"/>
  <c r="AQ2246" i="5" s="1"/>
  <c r="AT2242" i="5" s="1"/>
  <c r="AP2247" i="5"/>
  <c r="AR2305" i="5"/>
  <c r="AQ2305" i="5" s="1"/>
  <c r="AR2247" i="5" l="1"/>
  <c r="AU2242" i="5" s="1"/>
  <c r="AP2248" i="5"/>
  <c r="AY2242" i="5"/>
  <c r="AR2306" i="5"/>
  <c r="AR2248" i="5" l="1"/>
  <c r="AX2242" i="5" s="1"/>
  <c r="AP2249" i="5"/>
  <c r="AT2299" i="5"/>
  <c r="AV2299" i="5"/>
  <c r="AR2307" i="5"/>
  <c r="AQ2307" i="5" s="1"/>
  <c r="AR2249" i="5" l="1"/>
  <c r="AV2242" i="5" s="1"/>
  <c r="AP2250" i="5"/>
  <c r="AW2299" i="5"/>
  <c r="AX2299" i="5"/>
  <c r="AU2299" i="5"/>
  <c r="AY2299" i="5"/>
  <c r="AR2250" i="5" l="1"/>
  <c r="AQ2250" i="5" s="1"/>
  <c r="AW2242" i="5" s="1"/>
  <c r="AP2251" i="5"/>
  <c r="AP2252" i="5" s="1"/>
  <c r="AP2253" i="5" s="1"/>
  <c r="AP2254" i="5" s="1"/>
  <c r="AT2320" i="5"/>
  <c r="AR2254" i="5" l="1"/>
  <c r="AX2247" i="5" s="1"/>
  <c r="AP2255" i="5"/>
  <c r="AY2320" i="5"/>
  <c r="AV2320" i="5"/>
  <c r="AW2320" i="5"/>
  <c r="AX2320" i="5"/>
  <c r="AU2320" i="5"/>
  <c r="AP2256" i="5" l="1"/>
  <c r="AR2255" i="5"/>
  <c r="AQ2255" i="5" s="1"/>
  <c r="AT2251" i="5" s="1"/>
  <c r="AR2314" i="5"/>
  <c r="AT2344" i="5"/>
  <c r="AY2251" i="5" l="1"/>
  <c r="AP2257" i="5"/>
  <c r="AR2256" i="5"/>
  <c r="AQ2256" i="5" s="1"/>
  <c r="AW2247" i="5" s="1"/>
  <c r="AR2315" i="5"/>
  <c r="AU2251" i="5" l="1"/>
  <c r="AR2257" i="5"/>
  <c r="AX2251" i="5" s="1"/>
  <c r="AP2258" i="5"/>
  <c r="AT2308" i="5"/>
  <c r="AR2316" i="5"/>
  <c r="AQ2316" i="5" s="1"/>
  <c r="AP2259" i="5" l="1"/>
  <c r="AR2258" i="5"/>
  <c r="AV2251" i="5" s="1"/>
  <c r="AX2308" i="5"/>
  <c r="AY2308" i="5"/>
  <c r="AW2308" i="5"/>
  <c r="AV2308" i="5"/>
  <c r="AU2308" i="5"/>
  <c r="AP2260" i="5" l="1"/>
  <c r="AP2261" i="5" s="1"/>
  <c r="AP2262" i="5" s="1"/>
  <c r="AP2263" i="5" s="1"/>
  <c r="AR2259" i="5"/>
  <c r="AQ2259" i="5" s="1"/>
  <c r="AW2251" i="5" s="1"/>
  <c r="AW2344" i="5"/>
  <c r="AX2344" i="5"/>
  <c r="AP2264" i="5" l="1"/>
  <c r="AR2263" i="5"/>
  <c r="AR2264" i="5" l="1"/>
  <c r="AQ2264" i="5" s="1"/>
  <c r="AT2260" i="5" s="1"/>
  <c r="AP2265" i="5"/>
  <c r="AR2323" i="5"/>
  <c r="AP2266" i="5" l="1"/>
  <c r="AR2265" i="5"/>
  <c r="AU2259" i="5" s="1"/>
  <c r="AY2260" i="5"/>
  <c r="AR2324" i="5"/>
  <c r="AQ2324" i="5" s="1"/>
  <c r="AU2260" i="5" l="1"/>
  <c r="AP2267" i="5"/>
  <c r="AR2266" i="5"/>
  <c r="AX2260" i="5" s="1"/>
  <c r="AT2317" i="5"/>
  <c r="AR2325" i="5"/>
  <c r="AQ2325" i="5" s="1"/>
  <c r="AW2317" i="5" l="1"/>
  <c r="AP2268" i="5"/>
  <c r="AR2267" i="5"/>
  <c r="AQ2267" i="5" s="1"/>
  <c r="AX2317" i="5"/>
  <c r="AY2317" i="5"/>
  <c r="AV2317" i="5"/>
  <c r="AV2260" i="5" l="1"/>
  <c r="AP2269" i="5"/>
  <c r="AP2270" i="5" s="1"/>
  <c r="AP2271" i="5" s="1"/>
  <c r="AP2272" i="5" s="1"/>
  <c r="AR2268" i="5"/>
  <c r="AQ2268" i="5" s="1"/>
  <c r="AW2259" i="5" s="1"/>
  <c r="AR2272" i="5" l="1"/>
  <c r="AP2273" i="5"/>
  <c r="AW2260" i="5"/>
  <c r="AR2332" i="5"/>
  <c r="AR2273" i="5" l="1"/>
  <c r="AQ2273" i="5" s="1"/>
  <c r="AT2269" i="5" s="1"/>
  <c r="AP2274" i="5"/>
  <c r="AR2333" i="5"/>
  <c r="AR2274" i="5" l="1"/>
  <c r="AU2269" i="5" s="1"/>
  <c r="AP2275" i="5"/>
  <c r="AY2269" i="5"/>
  <c r="AR2334" i="5"/>
  <c r="AU2344" i="5"/>
  <c r="AR2275" i="5" l="1"/>
  <c r="AX2269" i="5" s="1"/>
  <c r="AP2276" i="5"/>
  <c r="AP2277" i="5" l="1"/>
  <c r="AR2276" i="5"/>
  <c r="AQ2276" i="5" s="1"/>
  <c r="AV2269" i="5" s="1"/>
  <c r="AR2277" i="5" l="1"/>
  <c r="AQ2277" i="5" s="1"/>
  <c r="AW2269" i="5" s="1"/>
  <c r="AP2278" i="5"/>
  <c r="AP2279" i="5" s="1"/>
  <c r="AP2280" i="5" s="1"/>
  <c r="AP2281" i="5" s="1"/>
  <c r="AR2281" i="5" l="1"/>
  <c r="AP2282" i="5"/>
  <c r="AR2341" i="5"/>
  <c r="AP2283" i="5" l="1"/>
  <c r="AR2282" i="5"/>
  <c r="AQ2282" i="5" s="1"/>
  <c r="AT2278" i="5" s="1"/>
  <c r="AR2342" i="5"/>
  <c r="AY2278" i="5" l="1"/>
  <c r="AR2283" i="5"/>
  <c r="AU2278" i="5" s="1"/>
  <c r="AP2284" i="5"/>
  <c r="AR2343" i="5"/>
  <c r="AR2284" i="5" l="1"/>
  <c r="AX2278" i="5" s="1"/>
  <c r="AP2285" i="5"/>
  <c r="AP2286" i="5" l="1"/>
  <c r="AR2285" i="5"/>
  <c r="AQ2285" i="5" s="1"/>
  <c r="AV2278" i="5" s="1"/>
  <c r="AP2287" i="5" l="1"/>
  <c r="AP2288" i="5" s="1"/>
  <c r="AP2289" i="5" s="1"/>
  <c r="AP2290" i="5" s="1"/>
  <c r="AR2286" i="5"/>
  <c r="AQ2286" i="5" s="1"/>
  <c r="AW2278" i="5" s="1"/>
  <c r="AR2290" i="5" l="1"/>
  <c r="AP2291" i="5"/>
  <c r="AR2350" i="5"/>
  <c r="AY2344" i="5" s="1"/>
  <c r="AR2291" i="5" l="1"/>
  <c r="AQ2291" i="5" s="1"/>
  <c r="AT2287" i="5" s="1"/>
  <c r="AP2292" i="5"/>
  <c r="AR2351" i="5"/>
  <c r="AV2344" i="5" s="1"/>
  <c r="AR2292" i="5" l="1"/>
  <c r="AQ2292" i="5" s="1"/>
  <c r="AP2293" i="5"/>
  <c r="AY2287" i="5"/>
  <c r="AU2287" i="5"/>
  <c r="AR2352" i="5"/>
  <c r="AQ2352" i="5" s="1"/>
  <c r="AR2293" i="5" l="1"/>
  <c r="AV2287" i="5" s="1"/>
  <c r="AP2294" i="5"/>
  <c r="AP2295" i="5" l="1"/>
  <c r="AR2294" i="5"/>
  <c r="AQ2294" i="5" s="1"/>
  <c r="AX2287" i="5" s="1"/>
  <c r="AP2296" i="5" l="1"/>
  <c r="AP2297" i="5" s="1"/>
  <c r="AP2298" i="5" s="1"/>
  <c r="AP2299" i="5" s="1"/>
  <c r="AR2295" i="5"/>
  <c r="AQ2295" i="5" s="1"/>
  <c r="AW2287" i="5" s="1"/>
  <c r="AR2299" i="5" l="1"/>
  <c r="AQ2299" i="5" s="1"/>
  <c r="AT2296" i="5" s="1"/>
  <c r="AP2300" i="5"/>
  <c r="AR2359" i="5"/>
  <c r="AR2300" i="5" l="1"/>
  <c r="AQ2300" i="5" s="1"/>
  <c r="AU2296" i="5" s="1"/>
  <c r="AP2301" i="5"/>
  <c r="AR2360" i="5"/>
  <c r="AQ2360" i="5" s="1"/>
  <c r="AP2302" i="5" l="1"/>
  <c r="AR2301" i="5"/>
  <c r="AY2296" i="5" s="1"/>
  <c r="AR2361" i="5"/>
  <c r="AQ2361" i="5" s="1"/>
  <c r="AT2356" i="5" s="1"/>
  <c r="AP2303" i="5" l="1"/>
  <c r="AR2302" i="5"/>
  <c r="AV2296" i="5" s="1"/>
  <c r="AW2356" i="5"/>
  <c r="AX2356" i="5"/>
  <c r="AV2356" i="5"/>
  <c r="AU2356" i="5"/>
  <c r="AR2413" i="5"/>
  <c r="AP2304" i="5" l="1"/>
  <c r="AR2303" i="5"/>
  <c r="AQ2303" i="5" s="1"/>
  <c r="AX2296" i="5" s="1"/>
  <c r="AR2304" i="5" l="1"/>
  <c r="AQ2304" i="5" s="1"/>
  <c r="AW2296" i="5" s="1"/>
  <c r="AP2305" i="5"/>
  <c r="AP2306" i="5" s="1"/>
  <c r="AP2307" i="5" s="1"/>
  <c r="AP2308" i="5" s="1"/>
  <c r="AR2367" i="5"/>
  <c r="AQ2367" i="5" s="1"/>
  <c r="AR2308" i="5" l="1"/>
  <c r="AQ2308" i="5" s="1"/>
  <c r="AT2305" i="5" s="1"/>
  <c r="AP2309" i="5"/>
  <c r="AR2368" i="5"/>
  <c r="AR2422" i="5"/>
  <c r="AQ2422" i="5" s="1"/>
  <c r="AP2310" i="5" l="1"/>
  <c r="AR2309" i="5"/>
  <c r="AU2305" i="5" s="1"/>
  <c r="AR2369" i="5"/>
  <c r="AT2417" i="5"/>
  <c r="AX2417" i="5" s="1"/>
  <c r="AR2310" i="5" l="1"/>
  <c r="AY2305" i="5" s="1"/>
  <c r="AP2311" i="5"/>
  <c r="AR2370" i="5"/>
  <c r="AR2311" i="5" l="1"/>
  <c r="AV2305" i="5" s="1"/>
  <c r="AP2312" i="5"/>
  <c r="AP2313" i="5" l="1"/>
  <c r="AR2312" i="5"/>
  <c r="AQ2312" i="5" s="1"/>
  <c r="AW2305" i="5" l="1"/>
  <c r="AR2313" i="5"/>
  <c r="AX2305" i="5" s="1"/>
  <c r="AP2314" i="5"/>
  <c r="AP2315" i="5" s="1"/>
  <c r="AP2316" i="5" s="1"/>
  <c r="AP2317" i="5" s="1"/>
  <c r="AR2317" i="5" l="1"/>
  <c r="AQ2317" i="5" s="1"/>
  <c r="AT2314" i="5" s="1"/>
  <c r="AP2318" i="5"/>
  <c r="AR2377" i="5"/>
  <c r="AQ2377" i="5" s="1"/>
  <c r="AR2318" i="5" l="1"/>
  <c r="AU2314" i="5" s="1"/>
  <c r="AP2319" i="5"/>
  <c r="AR2378" i="5"/>
  <c r="AR2319" i="5" l="1"/>
  <c r="AY2314" i="5" s="1"/>
  <c r="AP2320" i="5"/>
  <c r="AR2379" i="5"/>
  <c r="AP2321" i="5" l="1"/>
  <c r="AR2320" i="5"/>
  <c r="AV2314" i="5" s="1"/>
  <c r="AP2322" i="5" l="1"/>
  <c r="AR2321" i="5"/>
  <c r="AQ2321" i="5" s="1"/>
  <c r="AT2373" i="5"/>
  <c r="AU2373" i="5" s="1"/>
  <c r="AV2373" i="5"/>
  <c r="AW2314" i="5" l="1"/>
  <c r="AW2373" i="5"/>
  <c r="AX2373" i="5"/>
  <c r="AR2322" i="5"/>
  <c r="AU2317" i="5" s="1"/>
  <c r="AP2323" i="5"/>
  <c r="AP2324" i="5" s="1"/>
  <c r="AP2325" i="5" s="1"/>
  <c r="AP2326" i="5" s="1"/>
  <c r="AY2373" i="5"/>
  <c r="AT2393" i="5"/>
  <c r="AP2327" i="5" l="1"/>
  <c r="AR2326" i="5"/>
  <c r="AQ2326" i="5" s="1"/>
  <c r="AT2323" i="5" s="1"/>
  <c r="AX2314" i="5"/>
  <c r="AR2386" i="5"/>
  <c r="AQ2386" i="5" s="1"/>
  <c r="AT2381" i="5" s="1"/>
  <c r="AX2393" i="5"/>
  <c r="AV2393" i="5"/>
  <c r="AW2393" i="5"/>
  <c r="AP2328" i="5" l="1"/>
  <c r="AR2327" i="5"/>
  <c r="AU2323" i="5" s="1"/>
  <c r="AR2387" i="5"/>
  <c r="AU2381" i="5" s="1"/>
  <c r="AV2381" i="5"/>
  <c r="AX2381" i="5"/>
  <c r="AY2381" i="5"/>
  <c r="AY2393" i="5"/>
  <c r="AP2329" i="5" l="1"/>
  <c r="AR2328" i="5"/>
  <c r="AQ2328" i="5" s="1"/>
  <c r="AR2388" i="5"/>
  <c r="AY2323" i="5" l="1"/>
  <c r="AR2329" i="5"/>
  <c r="AV2323" i="5" s="1"/>
  <c r="AP2330" i="5"/>
  <c r="AT2382" i="5"/>
  <c r="AR2449" i="5"/>
  <c r="AR2330" i="5" l="1"/>
  <c r="AQ2330" i="5" s="1"/>
  <c r="AP2331" i="5"/>
  <c r="AU2382" i="5"/>
  <c r="AX2382" i="5"/>
  <c r="AV2382" i="5"/>
  <c r="AW2382" i="5"/>
  <c r="AR2331" i="5" l="1"/>
  <c r="AP2332" i="5"/>
  <c r="AP2333" i="5" s="1"/>
  <c r="AP2334" i="5" s="1"/>
  <c r="AP2335" i="5" s="1"/>
  <c r="AX2323" i="5"/>
  <c r="AW2323" i="5"/>
  <c r="AY2382" i="5"/>
  <c r="AR2395" i="5"/>
  <c r="AQ2395" i="5" s="1"/>
  <c r="AP2336" i="5" l="1"/>
  <c r="AR2335" i="5"/>
  <c r="AQ2335" i="5" s="1"/>
  <c r="AT2332" i="5" s="1"/>
  <c r="AR2396" i="5"/>
  <c r="AR2458" i="5"/>
  <c r="AQ2458" i="5" s="1"/>
  <c r="AR2336" i="5" l="1"/>
  <c r="AQ2336" i="5" s="1"/>
  <c r="AT2326" i="5" s="1"/>
  <c r="AP2337" i="5"/>
  <c r="AR2397" i="5"/>
  <c r="AT2453" i="5"/>
  <c r="AX2453" i="5" s="1"/>
  <c r="AT2405" i="5"/>
  <c r="AR2459" i="5"/>
  <c r="AW2326" i="5" l="1"/>
  <c r="AU2326" i="5"/>
  <c r="AX2326" i="5"/>
  <c r="AY2326" i="5"/>
  <c r="AV2326" i="5"/>
  <c r="AP2338" i="5"/>
  <c r="AR2337" i="5"/>
  <c r="AY2332" i="5" s="1"/>
  <c r="AU2332" i="5"/>
  <c r="AU2453" i="5"/>
  <c r="AX2405" i="5"/>
  <c r="AU2405" i="5"/>
  <c r="AY2405" i="5"/>
  <c r="AV2405" i="5"/>
  <c r="AW2405" i="5"/>
  <c r="AR2338" i="5" l="1"/>
  <c r="AV2332" i="5" s="1"/>
  <c r="AP2339" i="5"/>
  <c r="AR2339" i="5" l="1"/>
  <c r="AQ2339" i="5" s="1"/>
  <c r="AP2340" i="5"/>
  <c r="AU2393" i="5"/>
  <c r="AR2340" i="5" l="1"/>
  <c r="AQ2340" i="5" s="1"/>
  <c r="AT2337" i="5" s="1"/>
  <c r="AP2341" i="5"/>
  <c r="AP2342" i="5" s="1"/>
  <c r="AP2343" i="5" s="1"/>
  <c r="AP2344" i="5" s="1"/>
  <c r="AW2332" i="5"/>
  <c r="AX2332" i="5"/>
  <c r="AR2405" i="5"/>
  <c r="AP2345" i="5" l="1"/>
  <c r="AR2344" i="5"/>
  <c r="AQ2344" i="5" s="1"/>
  <c r="AT2341" i="5" s="1"/>
  <c r="AU2337" i="5"/>
  <c r="AX2337" i="5"/>
  <c r="AV2337" i="5"/>
  <c r="AY2337" i="5"/>
  <c r="AR2406" i="5"/>
  <c r="AQ2406" i="5" s="1"/>
  <c r="AP2346" i="5" l="1"/>
  <c r="AR2345" i="5"/>
  <c r="AQ2345" i="5" s="1"/>
  <c r="AW2337" i="5" s="1"/>
  <c r="AP2347" i="5" l="1"/>
  <c r="AR2346" i="5"/>
  <c r="AY2341" i="5" s="1"/>
  <c r="AU2341" i="5"/>
  <c r="AR2347" i="5" l="1"/>
  <c r="AV2341" i="5" s="1"/>
  <c r="AP2348" i="5"/>
  <c r="AY2417" i="5"/>
  <c r="AR2348" i="5" l="1"/>
  <c r="AQ2348" i="5" s="1"/>
  <c r="AW2341" i="5" s="1"/>
  <c r="AP2349" i="5"/>
  <c r="AP2350" i="5" l="1"/>
  <c r="AP2351" i="5" s="1"/>
  <c r="AP2352" i="5" s="1"/>
  <c r="AP2353" i="5" s="1"/>
  <c r="AR2349" i="5"/>
  <c r="AQ2349" i="5" s="1"/>
  <c r="AX2341" i="5" s="1"/>
  <c r="AT2402" i="5"/>
  <c r="AX2402" i="5" s="1"/>
  <c r="AY2402" i="5"/>
  <c r="AR2414" i="5"/>
  <c r="AQ2414" i="5" s="1"/>
  <c r="AU2402" i="5" l="1"/>
  <c r="AV2402" i="5"/>
  <c r="AW2402" i="5"/>
  <c r="AP2354" i="5"/>
  <c r="AR2353" i="5"/>
  <c r="AQ2353" i="5" s="1"/>
  <c r="AR2415" i="5"/>
  <c r="AQ2415" i="5" s="1"/>
  <c r="AT2411" i="5" s="1"/>
  <c r="AT2346" i="5" l="1"/>
  <c r="AT2350" i="5"/>
  <c r="AP2355" i="5"/>
  <c r="AR2354" i="5"/>
  <c r="AY2346" i="5" s="1"/>
  <c r="AY2411" i="5"/>
  <c r="AR2355" i="5" l="1"/>
  <c r="AY2350" i="5" s="1"/>
  <c r="AP2356" i="5"/>
  <c r="AU2350" i="5"/>
  <c r="AU2346" i="5"/>
  <c r="AW2346" i="5"/>
  <c r="AX2346" i="5"/>
  <c r="AV2346" i="5"/>
  <c r="AR2485" i="5"/>
  <c r="AP2357" i="5" l="1"/>
  <c r="AR2356" i="5"/>
  <c r="AV2350" i="5" s="1"/>
  <c r="AX2411" i="5"/>
  <c r="AR2486" i="5"/>
  <c r="AR2357" i="5" l="1"/>
  <c r="AQ2357" i="5" s="1"/>
  <c r="AW2350" i="5" s="1"/>
  <c r="AP2358" i="5"/>
  <c r="AW2417" i="5"/>
  <c r="AR2487" i="5"/>
  <c r="AQ2487" i="5" s="1"/>
  <c r="AP2359" i="5" l="1"/>
  <c r="AP2360" i="5" s="1"/>
  <c r="AP2361" i="5" s="1"/>
  <c r="AP2362" i="5" s="1"/>
  <c r="AR2358" i="5"/>
  <c r="AQ2358" i="5" s="1"/>
  <c r="AX2350" i="5" s="1"/>
  <c r="AR2423" i="5"/>
  <c r="AU2417" i="5" s="1"/>
  <c r="AR2494" i="5"/>
  <c r="AQ2494" i="5" s="1"/>
  <c r="AT2490" i="5" s="1"/>
  <c r="AR2362" i="5" l="1"/>
  <c r="AQ2362" i="5" s="1"/>
  <c r="AP2363" i="5"/>
  <c r="AR2424" i="5"/>
  <c r="AQ2424" i="5" s="1"/>
  <c r="AR2495" i="5"/>
  <c r="AU2490" i="5" s="1"/>
  <c r="AP2364" i="5" l="1"/>
  <c r="AR2363" i="5"/>
  <c r="AY2356" i="5" s="1"/>
  <c r="AT2355" i="5"/>
  <c r="AT2359" i="5"/>
  <c r="AT2420" i="5"/>
  <c r="AY2420" i="5"/>
  <c r="AR2496" i="5"/>
  <c r="AX2490" i="5" s="1"/>
  <c r="AU2355" i="5" l="1"/>
  <c r="AW2355" i="5"/>
  <c r="AX2355" i="5"/>
  <c r="AV2355" i="5"/>
  <c r="AY2355" i="5"/>
  <c r="AU2359" i="5"/>
  <c r="AP2365" i="5"/>
  <c r="AR2364" i="5"/>
  <c r="AQ2364" i="5" s="1"/>
  <c r="AY2359" i="5" s="1"/>
  <c r="AU2420" i="5"/>
  <c r="AR2365" i="5" l="1"/>
  <c r="AQ2365" i="5" s="1"/>
  <c r="AV2359" i="5" s="1"/>
  <c r="AP2366" i="5"/>
  <c r="AX2420" i="5"/>
  <c r="AR2366" i="5" l="1"/>
  <c r="AQ2366" i="5" s="1"/>
  <c r="AX2359" i="5" s="1"/>
  <c r="AP2367" i="5"/>
  <c r="AP2368" i="5" s="1"/>
  <c r="AP2369" i="5" s="1"/>
  <c r="AP2370" i="5" s="1"/>
  <c r="AP2371" i="5" s="1"/>
  <c r="AP2372" i="5" l="1"/>
  <c r="AR2371" i="5"/>
  <c r="AQ2371" i="5" s="1"/>
  <c r="AT2364" i="5" s="1"/>
  <c r="AW2359" i="5"/>
  <c r="AR2432" i="5"/>
  <c r="AW2364" i="5" l="1"/>
  <c r="AV2364" i="5"/>
  <c r="AX2364" i="5"/>
  <c r="AU2364" i="5"/>
  <c r="AY2364" i="5"/>
  <c r="AP2373" i="5"/>
  <c r="AR2372" i="5"/>
  <c r="AQ2372" i="5" s="1"/>
  <c r="AR2433" i="5"/>
  <c r="AQ2433" i="5" s="1"/>
  <c r="AP2374" i="5" l="1"/>
  <c r="AR2373" i="5"/>
  <c r="AQ2373" i="5" s="1"/>
  <c r="AT2368" i="5" s="1"/>
  <c r="AT2429" i="5"/>
  <c r="AY2429" i="5" s="1"/>
  <c r="AT2441" i="5"/>
  <c r="AX2368" i="5" l="1"/>
  <c r="AY2368" i="5"/>
  <c r="AR2374" i="5"/>
  <c r="AU2368" i="5" s="1"/>
  <c r="AP2375" i="5"/>
  <c r="AW2441" i="5"/>
  <c r="AX2441" i="5"/>
  <c r="AU2441" i="5"/>
  <c r="AY2441" i="5"/>
  <c r="AV2441" i="5"/>
  <c r="AP2376" i="5" l="1"/>
  <c r="AR2375" i="5"/>
  <c r="AV2368" i="5" s="1"/>
  <c r="AP2377" i="5" l="1"/>
  <c r="AP2378" i="5" s="1"/>
  <c r="AP2379" i="5" s="1"/>
  <c r="AP2380" i="5" s="1"/>
  <c r="AR2376" i="5"/>
  <c r="AQ2376" i="5" s="1"/>
  <c r="AW2368" i="5" s="1"/>
  <c r="AR2380" i="5" l="1"/>
  <c r="AQ2380" i="5" s="1"/>
  <c r="AP2381" i="5"/>
  <c r="AW2429" i="5"/>
  <c r="AR2441" i="5"/>
  <c r="AP2382" i="5" l="1"/>
  <c r="AR2381" i="5"/>
  <c r="AQ2381" i="5" s="1"/>
  <c r="AT2377" i="5" s="1"/>
  <c r="AR2442" i="5"/>
  <c r="AQ2442" i="5" s="1"/>
  <c r="AX2377" i="5" l="1"/>
  <c r="AR2382" i="5"/>
  <c r="AU2377" i="5" s="1"/>
  <c r="AP2383" i="5"/>
  <c r="AP2384" i="5" l="1"/>
  <c r="AR2383" i="5"/>
  <c r="AY2377" i="5" s="1"/>
  <c r="AY2453" i="5"/>
  <c r="AR2521" i="5"/>
  <c r="AR2384" i="5" l="1"/>
  <c r="AV2377" i="5" s="1"/>
  <c r="AP2385" i="5"/>
  <c r="AR2522" i="5"/>
  <c r="AQ2522" i="5" s="1"/>
  <c r="AR2385" i="5" l="1"/>
  <c r="AQ2385" i="5" s="1"/>
  <c r="AW2377" i="5" s="1"/>
  <c r="AP2386" i="5"/>
  <c r="AP2387" i="5" s="1"/>
  <c r="AP2388" i="5" s="1"/>
  <c r="AP2389" i="5" s="1"/>
  <c r="AR2523" i="5"/>
  <c r="AR2389" i="5" l="1"/>
  <c r="AQ2389" i="5" s="1"/>
  <c r="AP2390" i="5"/>
  <c r="AT2438" i="5"/>
  <c r="AX2438" i="5" s="1"/>
  <c r="AR2450" i="5"/>
  <c r="AQ2450" i="5" s="1"/>
  <c r="AV2438" i="5"/>
  <c r="AY2438" i="5"/>
  <c r="AU2438" i="5"/>
  <c r="AR2530" i="5"/>
  <c r="AQ2530" i="5" s="1"/>
  <c r="AT2526" i="5" s="1"/>
  <c r="AR2390" i="5" l="1"/>
  <c r="AQ2390" i="5" s="1"/>
  <c r="AW2381" i="5" s="1"/>
  <c r="AP2391" i="5"/>
  <c r="AT2386" i="5"/>
  <c r="AW2438" i="5"/>
  <c r="AR2451" i="5"/>
  <c r="AQ2451" i="5" s="1"/>
  <c r="AT2447" i="5" s="1"/>
  <c r="AY2447" i="5" s="1"/>
  <c r="AR2531" i="5"/>
  <c r="AU2526" i="5" s="1"/>
  <c r="AX2386" i="5" l="1"/>
  <c r="AP2392" i="5"/>
  <c r="AR2391" i="5"/>
  <c r="AU2386" i="5" s="1"/>
  <c r="AR2532" i="5"/>
  <c r="AX2526" i="5" s="1"/>
  <c r="AP2393" i="5" l="1"/>
  <c r="AR2392" i="5"/>
  <c r="AY2386" i="5" s="1"/>
  <c r="AU2447" i="5"/>
  <c r="AR2393" i="5" l="1"/>
  <c r="AV2386" i="5" s="1"/>
  <c r="AP2394" i="5"/>
  <c r="AP2395" i="5" l="1"/>
  <c r="AP2396" i="5" s="1"/>
  <c r="AP2397" i="5" s="1"/>
  <c r="AP2398" i="5" s="1"/>
  <c r="AR2394" i="5"/>
  <c r="AQ2394" i="5" s="1"/>
  <c r="AW2386" i="5" s="1"/>
  <c r="AR2398" i="5" l="1"/>
  <c r="AQ2398" i="5" s="1"/>
  <c r="AP2399" i="5"/>
  <c r="AW2447" i="5"/>
  <c r="AR2460" i="5"/>
  <c r="AQ2460" i="5" s="1"/>
  <c r="AW2453" i="5"/>
  <c r="AP2400" i="5" l="1"/>
  <c r="AR2399" i="5"/>
  <c r="AQ2399" i="5" s="1"/>
  <c r="AT2395" i="5" s="1"/>
  <c r="AT2456" i="5"/>
  <c r="AT2538" i="5"/>
  <c r="AX2395" i="5" l="1"/>
  <c r="AR2400" i="5"/>
  <c r="AQ2400" i="5" s="1"/>
  <c r="AT2391" i="5" s="1"/>
  <c r="AP2401" i="5"/>
  <c r="AV2453" i="5"/>
  <c r="AY2456" i="5"/>
  <c r="AU2538" i="5"/>
  <c r="AP2402" i="5" l="1"/>
  <c r="AR2401" i="5"/>
  <c r="AY2395" i="5"/>
  <c r="AW2391" i="5"/>
  <c r="AU2391" i="5"/>
  <c r="AY2391" i="5"/>
  <c r="AX2391" i="5"/>
  <c r="AV2391" i="5"/>
  <c r="AU2395" i="5"/>
  <c r="AP2403" i="5" l="1"/>
  <c r="AR2402" i="5"/>
  <c r="AQ2402" i="5" s="1"/>
  <c r="AV2395" i="5" s="1"/>
  <c r="AP2404" i="5" l="1"/>
  <c r="AP2405" i="5" s="1"/>
  <c r="AP2406" i="5" s="1"/>
  <c r="AP2407" i="5" s="1"/>
  <c r="AR2403" i="5"/>
  <c r="AQ2403" i="5" s="1"/>
  <c r="AW2395" i="5" s="1"/>
  <c r="AY2538" i="5"/>
  <c r="AW2538" i="5"/>
  <c r="AR2407" i="5" l="1"/>
  <c r="AP2408" i="5"/>
  <c r="AX2456" i="5"/>
  <c r="AP2409" i="5" l="1"/>
  <c r="AR2408" i="5"/>
  <c r="AQ2408" i="5" s="1"/>
  <c r="AT2404" i="5" s="1"/>
  <c r="AT2478" i="5"/>
  <c r="AX2404" i="5" l="1"/>
  <c r="AP2410" i="5"/>
  <c r="AR2409" i="5"/>
  <c r="AU2404" i="5" s="1"/>
  <c r="AX2478" i="5"/>
  <c r="AV2478" i="5"/>
  <c r="AY2478" i="5"/>
  <c r="AW2478" i="5"/>
  <c r="AP2411" i="5" l="1"/>
  <c r="AR2410" i="5"/>
  <c r="AQ2410" i="5" s="1"/>
  <c r="AY2404" i="5" s="1"/>
  <c r="AP2412" i="5" l="1"/>
  <c r="AR2411" i="5"/>
  <c r="AV2404" i="5" s="1"/>
  <c r="AR2412" i="5" l="1"/>
  <c r="AQ2412" i="5" s="1"/>
  <c r="AW2404" i="5" s="1"/>
  <c r="AP2413" i="5"/>
  <c r="AP2414" i="5" s="1"/>
  <c r="AP2415" i="5" s="1"/>
  <c r="AP2416" i="5" s="1"/>
  <c r="AP2417" i="5" l="1"/>
  <c r="AR2416" i="5"/>
  <c r="AU2411" i="5" s="1"/>
  <c r="AP2418" i="5" l="1"/>
  <c r="AR2417" i="5"/>
  <c r="AQ2417" i="5" s="1"/>
  <c r="AT2413" i="5" s="1"/>
  <c r="AX2413" i="5" l="1"/>
  <c r="AP2419" i="5"/>
  <c r="AR2418" i="5"/>
  <c r="AV2411" i="5" s="1"/>
  <c r="AU2413" i="5" l="1"/>
  <c r="AP2420" i="5"/>
  <c r="AR2419" i="5"/>
  <c r="AQ2419" i="5" s="1"/>
  <c r="AW2411" i="5" l="1"/>
  <c r="AY2413" i="5"/>
  <c r="AP2421" i="5"/>
  <c r="AR2420" i="5"/>
  <c r="AV2413" i="5" s="1"/>
  <c r="AV2490" i="5"/>
  <c r="AR2421" i="5" l="1"/>
  <c r="AQ2421" i="5" s="1"/>
  <c r="AW2413" i="5" s="1"/>
  <c r="AP2422" i="5"/>
  <c r="AP2423" i="5" s="1"/>
  <c r="AP2424" i="5" s="1"/>
  <c r="AP2425" i="5" s="1"/>
  <c r="AR2425" i="5" l="1"/>
  <c r="AV2417" i="5" s="1"/>
  <c r="AP2426" i="5"/>
  <c r="AR2426" i="5" l="1"/>
  <c r="AQ2426" i="5" s="1"/>
  <c r="AT2422" i="5" s="1"/>
  <c r="AP2427" i="5"/>
  <c r="AP2428" i="5" l="1"/>
  <c r="AR2427" i="5"/>
  <c r="AV2420" i="5" s="1"/>
  <c r="AU2422" i="5"/>
  <c r="AX2422" i="5"/>
  <c r="AR2428" i="5" l="1"/>
  <c r="AQ2428" i="5" s="1"/>
  <c r="AP2429" i="5"/>
  <c r="AP2430" i="5" l="1"/>
  <c r="AR2429" i="5"/>
  <c r="AV2422" i="5" s="1"/>
  <c r="AW2420" i="5"/>
  <c r="AY2422" i="5"/>
  <c r="AT2502" i="5"/>
  <c r="AP2431" i="5" l="1"/>
  <c r="AP2432" i="5" s="1"/>
  <c r="AP2433" i="5" s="1"/>
  <c r="AP2434" i="5" s="1"/>
  <c r="AR2430" i="5"/>
  <c r="AQ2430" i="5" s="1"/>
  <c r="AW2422" i="5" s="1"/>
  <c r="AR2434" i="5" l="1"/>
  <c r="AQ2434" i="5" s="1"/>
  <c r="AP2435" i="5"/>
  <c r="AP2436" i="5" l="1"/>
  <c r="AR2435" i="5"/>
  <c r="AX2429" i="5" s="1"/>
  <c r="AU2429" i="5"/>
  <c r="AT2431" i="5"/>
  <c r="AV2502" i="5"/>
  <c r="AX2431" i="5" l="1"/>
  <c r="AP2437" i="5"/>
  <c r="AR2436" i="5"/>
  <c r="AV2429" i="5" s="1"/>
  <c r="AW2502" i="5"/>
  <c r="AU2431" i="5" l="1"/>
  <c r="AP2438" i="5"/>
  <c r="AR2437" i="5"/>
  <c r="AQ2437" i="5" s="1"/>
  <c r="AV2431" i="5" l="1"/>
  <c r="AP2439" i="5"/>
  <c r="AR2438" i="5"/>
  <c r="AQ2438" i="5" s="1"/>
  <c r="AY2431" i="5" s="1"/>
  <c r="AP2440" i="5" l="1"/>
  <c r="AP2441" i="5" s="1"/>
  <c r="AP2442" i="5" s="1"/>
  <c r="AP2443" i="5" s="1"/>
  <c r="AR2439" i="5"/>
  <c r="AQ2439" i="5" s="1"/>
  <c r="AW2431" i="5" s="1"/>
  <c r="AP2444" i="5" l="1"/>
  <c r="AR2443" i="5"/>
  <c r="AQ2443" i="5" s="1"/>
  <c r="AT2440" i="5" s="1"/>
  <c r="AR2502" i="5"/>
  <c r="AR2444" i="5" l="1"/>
  <c r="AU2440" i="5" s="1"/>
  <c r="AP2445" i="5"/>
  <c r="AT2514" i="5"/>
  <c r="AR2445" i="5" l="1"/>
  <c r="AX2440" i="5" s="1"/>
  <c r="AP2446" i="5"/>
  <c r="AU2514" i="5"/>
  <c r="AV2514" i="5"/>
  <c r="AW2514" i="5"/>
  <c r="AY2514" i="5"/>
  <c r="AP2447" i="5" l="1"/>
  <c r="AR2446" i="5"/>
  <c r="AQ2446" i="5" s="1"/>
  <c r="AV2440" i="5" s="1"/>
  <c r="AU2502" i="5"/>
  <c r="AP2448" i="5" l="1"/>
  <c r="AR2447" i="5"/>
  <c r="AY2440" i="5" s="1"/>
  <c r="AP2449" i="5" l="1"/>
  <c r="AP2450" i="5" s="1"/>
  <c r="AP2451" i="5" s="1"/>
  <c r="AP2452" i="5" s="1"/>
  <c r="AR2448" i="5"/>
  <c r="AQ2448" i="5" s="1"/>
  <c r="AW2440" i="5" s="1"/>
  <c r="AR2452" i="5" l="1"/>
  <c r="AQ2452" i="5" s="1"/>
  <c r="AT2449" i="5" s="1"/>
  <c r="AP2453" i="5"/>
  <c r="AR2453" i="5" l="1"/>
  <c r="AX2447" i="5" s="1"/>
  <c r="AP2454" i="5"/>
  <c r="AU2449" i="5"/>
  <c r="AY2502" i="5"/>
  <c r="AR2454" i="5" l="1"/>
  <c r="AP2455" i="5"/>
  <c r="AP2456" i="5" l="1"/>
  <c r="AR2455" i="5"/>
  <c r="AQ2455" i="5" s="1"/>
  <c r="AV2447" i="5"/>
  <c r="AX2449" i="5"/>
  <c r="AV2449" i="5" l="1"/>
  <c r="AR2456" i="5"/>
  <c r="AQ2456" i="5" s="1"/>
  <c r="AW2449" i="5" s="1"/>
  <c r="AP2457" i="5"/>
  <c r="AW2526" i="5"/>
  <c r="AP2458" i="5" l="1"/>
  <c r="AP2459" i="5" s="1"/>
  <c r="AP2460" i="5" s="1"/>
  <c r="AP2461" i="5" s="1"/>
  <c r="AR2457" i="5"/>
  <c r="AY2449" i="5" s="1"/>
  <c r="AR2461" i="5" l="1"/>
  <c r="AQ2461" i="5" s="1"/>
  <c r="AT2458" i="5" s="1"/>
  <c r="AP2462" i="5"/>
  <c r="AR2462" i="5" l="1"/>
  <c r="AQ2462" i="5" s="1"/>
  <c r="AU2456" i="5" s="1"/>
  <c r="AP2463" i="5"/>
  <c r="AU2458" i="5"/>
  <c r="AX2514" i="5"/>
  <c r="AP2464" i="5" l="1"/>
  <c r="AR2463" i="5"/>
  <c r="AV2456" i="5" l="1"/>
  <c r="AX2458" i="5"/>
  <c r="AR2464" i="5"/>
  <c r="AV2458" i="5" s="1"/>
  <c r="AP2465" i="5"/>
  <c r="AR2465" i="5" l="1"/>
  <c r="AQ2465" i="5" s="1"/>
  <c r="AP2466" i="5"/>
  <c r="AR2466" i="5" l="1"/>
  <c r="AQ2466" i="5" s="1"/>
  <c r="AW2456" i="5" s="1"/>
  <c r="AP2467" i="5"/>
  <c r="AP2468" i="5" s="1"/>
  <c r="AP2469" i="5" s="1"/>
  <c r="AP2470" i="5" s="1"/>
  <c r="AW2458" i="5"/>
  <c r="AY2458" i="5"/>
  <c r="AV2538" i="5"/>
  <c r="AP2471" i="5" l="1"/>
  <c r="AR2470" i="5"/>
  <c r="AQ2470" i="5" s="1"/>
  <c r="AR2471" i="5" l="1"/>
  <c r="AQ2471" i="5" s="1"/>
  <c r="AT2466" i="5" s="1"/>
  <c r="AP2472" i="5"/>
  <c r="AR2472" i="5" l="1"/>
  <c r="AU2466" i="5" s="1"/>
  <c r="AP2473" i="5"/>
  <c r="AY2466" i="5"/>
  <c r="AW2466" i="5"/>
  <c r="AV2466" i="5"/>
  <c r="AX2466" i="5"/>
  <c r="AP2474" i="5" l="1"/>
  <c r="AR2473" i="5"/>
  <c r="AP2475" i="5" l="1"/>
  <c r="AR2474" i="5"/>
  <c r="AQ2474" i="5" s="1"/>
  <c r="AP2476" i="5" l="1"/>
  <c r="AP2477" i="5" s="1"/>
  <c r="AP2478" i="5" s="1"/>
  <c r="AP2479" i="5" s="1"/>
  <c r="AR2475" i="5"/>
  <c r="AQ2475" i="5" s="1"/>
  <c r="AT2467" i="5" s="1"/>
  <c r="AV2467" i="5" l="1"/>
  <c r="AU2467" i="5"/>
  <c r="AX2467" i="5"/>
  <c r="AW2467" i="5"/>
  <c r="AY2467" i="5"/>
  <c r="AR2479" i="5"/>
  <c r="AQ2479" i="5" s="1"/>
  <c r="AP2480" i="5"/>
  <c r="AR2539" i="5"/>
  <c r="AP2481" i="5" l="1"/>
  <c r="AR2480" i="5"/>
  <c r="AP2482" i="5" l="1"/>
  <c r="AR2481" i="5"/>
  <c r="AP2483" i="5" l="1"/>
  <c r="AR2482" i="5"/>
  <c r="AQ2482" i="5" s="1"/>
  <c r="AR2559" i="5"/>
  <c r="AQ2559" i="5" s="1"/>
  <c r="AR2483" i="5" l="1"/>
  <c r="AQ2483" i="5" s="1"/>
  <c r="AT2476" i="5" s="1"/>
  <c r="AP2484" i="5"/>
  <c r="AP2485" i="5" l="1"/>
  <c r="AP2486" i="5" s="1"/>
  <c r="AP2487" i="5" s="1"/>
  <c r="AP2488" i="5" s="1"/>
  <c r="AR2484" i="5"/>
  <c r="AU2478" i="5" s="1"/>
  <c r="AX2476" i="5"/>
  <c r="AU2476" i="5"/>
  <c r="AY2476" i="5"/>
  <c r="AW2476" i="5"/>
  <c r="AV2476" i="5"/>
  <c r="AT2541" i="5"/>
  <c r="AX2541" i="5" s="1"/>
  <c r="AR2548" i="5"/>
  <c r="AR2488" i="5" l="1"/>
  <c r="AQ2488" i="5" s="1"/>
  <c r="AP2489" i="5"/>
  <c r="AV2541" i="5"/>
  <c r="AR2549" i="5"/>
  <c r="AQ2549" i="5" s="1"/>
  <c r="AR2568" i="5"/>
  <c r="AQ2568" i="5" s="1"/>
  <c r="AT2563" i="5" s="1"/>
  <c r="AY2563" i="5" s="1"/>
  <c r="AR2489" i="5" l="1"/>
  <c r="AP2490" i="5"/>
  <c r="AW2541" i="5"/>
  <c r="AY2541" i="5"/>
  <c r="AR2490" i="5" l="1"/>
  <c r="AP2491" i="5"/>
  <c r="AP2492" i="5" l="1"/>
  <c r="AR2491" i="5"/>
  <c r="AR2492" i="5" l="1"/>
  <c r="AQ2492" i="5" s="1"/>
  <c r="AT2485" i="5" s="1"/>
  <c r="AP2493" i="5"/>
  <c r="AP2494" i="5" l="1"/>
  <c r="AP2495" i="5" s="1"/>
  <c r="AP2496" i="5" s="1"/>
  <c r="AP2497" i="5" s="1"/>
  <c r="AR2493" i="5"/>
  <c r="AX2485" i="5" s="1"/>
  <c r="AU2485" i="5"/>
  <c r="AV2485" i="5"/>
  <c r="AW2485" i="5"/>
  <c r="AY2485" i="5"/>
  <c r="AT2550" i="5"/>
  <c r="AX2550" i="5" s="1"/>
  <c r="AT2551" i="5"/>
  <c r="AY2550" i="5"/>
  <c r="AR2557" i="5"/>
  <c r="AR2497" i="5" l="1"/>
  <c r="AQ2497" i="5" s="1"/>
  <c r="AP2498" i="5"/>
  <c r="AU2551" i="5"/>
  <c r="AR2558" i="5"/>
  <c r="AQ2558" i="5" s="1"/>
  <c r="AV2550" i="5"/>
  <c r="AX2551" i="5"/>
  <c r="AW2551" i="5"/>
  <c r="AV2551" i="5"/>
  <c r="AY2551" i="5"/>
  <c r="AR2498" i="5" l="1"/>
  <c r="AQ2498" i="5" s="1"/>
  <c r="AW2490" i="5" s="1"/>
  <c r="AP2499" i="5"/>
  <c r="AW2550" i="5"/>
  <c r="AW2563" i="5"/>
  <c r="AP2500" i="5" l="1"/>
  <c r="AR2499" i="5"/>
  <c r="AY2490" i="5" s="1"/>
  <c r="AP2501" i="5" l="1"/>
  <c r="AR2500" i="5"/>
  <c r="AR2501" i="5" l="1"/>
  <c r="AQ2501" i="5" s="1"/>
  <c r="AT2494" i="5" s="1"/>
  <c r="AP2502" i="5"/>
  <c r="AP2503" i="5" s="1"/>
  <c r="AP2504" i="5" s="1"/>
  <c r="AP2505" i="5" s="1"/>
  <c r="AP2506" i="5" s="1"/>
  <c r="AR2506" i="5" l="1"/>
  <c r="AQ2506" i="5" s="1"/>
  <c r="AP2507" i="5"/>
  <c r="AV2494" i="5"/>
  <c r="AW2494" i="5"/>
  <c r="AU2494" i="5"/>
  <c r="AX2494" i="5"/>
  <c r="AY2494" i="5"/>
  <c r="AT2559" i="5"/>
  <c r="AX2559" i="5" s="1"/>
  <c r="AR2566" i="5"/>
  <c r="AV2559" i="5" s="1"/>
  <c r="AP2508" i="5" l="1"/>
  <c r="AR2507" i="5"/>
  <c r="AQ2507" i="5" s="1"/>
  <c r="AU2559" i="5"/>
  <c r="AR2567" i="5"/>
  <c r="AQ2567" i="5" s="1"/>
  <c r="AP2509" i="5" l="1"/>
  <c r="AR2508" i="5"/>
  <c r="AX2502" i="5" s="1"/>
  <c r="AY2559" i="5"/>
  <c r="AW2559" i="5"/>
  <c r="AP2510" i="5" l="1"/>
  <c r="AR2509" i="5"/>
  <c r="AU2563" i="5"/>
  <c r="AR2510" i="5" l="1"/>
  <c r="AQ2510" i="5" s="1"/>
  <c r="AT2503" i="5" s="1"/>
  <c r="AP2511" i="5"/>
  <c r="AR2595" i="5"/>
  <c r="AP2512" i="5" l="1"/>
  <c r="AP2513" i="5" s="1"/>
  <c r="AP2514" i="5" s="1"/>
  <c r="AP2515" i="5" s="1"/>
  <c r="AR2511" i="5"/>
  <c r="AQ2511" i="5" s="1"/>
  <c r="AW2503" i="5" s="1"/>
  <c r="AY2503" i="5"/>
  <c r="AV2503" i="5"/>
  <c r="AU2503" i="5"/>
  <c r="AX2503" i="5"/>
  <c r="AP2516" i="5" l="1"/>
  <c r="AR2515" i="5"/>
  <c r="AQ2515" i="5" s="1"/>
  <c r="AT2568" i="5"/>
  <c r="AR2575" i="5"/>
  <c r="AV2568" i="5" s="1"/>
  <c r="AR2516" i="5" l="1"/>
  <c r="AQ2516" i="5" s="1"/>
  <c r="AP2517" i="5"/>
  <c r="AX2568" i="5"/>
  <c r="AU2568" i="5"/>
  <c r="AR2576" i="5"/>
  <c r="AQ2576" i="5" s="1"/>
  <c r="AR2604" i="5"/>
  <c r="AQ2604" i="5" s="1"/>
  <c r="AT2599" i="5" s="1"/>
  <c r="AY2599" i="5" s="1"/>
  <c r="AR2517" i="5" l="1"/>
  <c r="AP2518" i="5"/>
  <c r="AY2568" i="5"/>
  <c r="AW2568" i="5"/>
  <c r="AR2518" i="5" l="1"/>
  <c r="AQ2518" i="5" s="1"/>
  <c r="AP2519" i="5"/>
  <c r="AR2519" i="5" l="1"/>
  <c r="AQ2519" i="5" s="1"/>
  <c r="AT2512" i="5" s="1"/>
  <c r="AP2520" i="5"/>
  <c r="AT2587" i="5"/>
  <c r="AP2521" i="5" l="1"/>
  <c r="AP2522" i="5" s="1"/>
  <c r="AP2523" i="5" s="1"/>
  <c r="AP2524" i="5" s="1"/>
  <c r="AR2520" i="5"/>
  <c r="AQ2520" i="5" s="1"/>
  <c r="AW2512" i="5" s="1"/>
  <c r="AY2512" i="5"/>
  <c r="AV2512" i="5"/>
  <c r="AU2512" i="5"/>
  <c r="AX2512" i="5"/>
  <c r="AY2587" i="5"/>
  <c r="AV2587" i="5"/>
  <c r="AW2587" i="5"/>
  <c r="AR2524" i="5" l="1"/>
  <c r="AQ2524" i="5" s="1"/>
  <c r="AP2525" i="5"/>
  <c r="AR2584" i="5"/>
  <c r="AQ2584" i="5" s="1"/>
  <c r="AX2587" i="5"/>
  <c r="AP2526" i="5" l="1"/>
  <c r="AR2525" i="5"/>
  <c r="AQ2525" i="5" s="1"/>
  <c r="AR2585" i="5"/>
  <c r="AQ2585" i="5" s="1"/>
  <c r="AP2527" i="5" l="1"/>
  <c r="AR2526" i="5"/>
  <c r="AP2528" i="5" l="1"/>
  <c r="AR2527" i="5"/>
  <c r="AR2528" i="5" l="1"/>
  <c r="AQ2528" i="5" s="1"/>
  <c r="AT2521" i="5" s="1"/>
  <c r="AP2529" i="5"/>
  <c r="AR2529" i="5" l="1"/>
  <c r="AQ2529" i="5" s="1"/>
  <c r="AW2521" i="5" s="1"/>
  <c r="AP2530" i="5"/>
  <c r="AP2531" i="5" s="1"/>
  <c r="AP2532" i="5" s="1"/>
  <c r="AP2533" i="5" s="1"/>
  <c r="AV2521" i="5"/>
  <c r="AY2521" i="5"/>
  <c r="AU2521" i="5"/>
  <c r="AX2521" i="5"/>
  <c r="AP2534" i="5" l="1"/>
  <c r="AR2533" i="5"/>
  <c r="AV2526" i="5" s="1"/>
  <c r="AT2586" i="5"/>
  <c r="AX2586" i="5" s="1"/>
  <c r="AR2593" i="5"/>
  <c r="AU2587" i="5" s="1"/>
  <c r="AY2586" i="5" l="1"/>
  <c r="AR2534" i="5"/>
  <c r="AQ2534" i="5" s="1"/>
  <c r="AP2535" i="5"/>
  <c r="AU2586" i="5"/>
  <c r="AV2586" i="5"/>
  <c r="AR2594" i="5"/>
  <c r="AQ2594" i="5" s="1"/>
  <c r="AW2599" i="5"/>
  <c r="AR2535" i="5" l="1"/>
  <c r="AY2526" i="5" s="1"/>
  <c r="AP2536" i="5"/>
  <c r="AW2586" i="5"/>
  <c r="AR2536" i="5" l="1"/>
  <c r="AP2537" i="5"/>
  <c r="AR2537" i="5" l="1"/>
  <c r="AP2538" i="5"/>
  <c r="AR2538" i="5" l="1"/>
  <c r="AQ2538" i="5" s="1"/>
  <c r="AT2530" i="5" s="1"/>
  <c r="AP2539" i="5"/>
  <c r="AP2540" i="5" s="1"/>
  <c r="AP2541" i="5" s="1"/>
  <c r="AP2542" i="5" s="1"/>
  <c r="AR2542" i="5" l="1"/>
  <c r="AQ2542" i="5" s="1"/>
  <c r="AP2543" i="5"/>
  <c r="AW2530" i="5"/>
  <c r="AY2530" i="5"/>
  <c r="AU2530" i="5"/>
  <c r="AV2530" i="5"/>
  <c r="AX2530" i="5"/>
  <c r="AT2595" i="5"/>
  <c r="AX2595" i="5" s="1"/>
  <c r="AR2602" i="5"/>
  <c r="AV2595" i="5" s="1"/>
  <c r="AR2543" i="5" l="1"/>
  <c r="AQ2543" i="5" s="1"/>
  <c r="AT2539" i="5" s="1"/>
  <c r="AP2544" i="5"/>
  <c r="AU2595" i="5"/>
  <c r="AR2603" i="5"/>
  <c r="AQ2603" i="5" s="1"/>
  <c r="AP2545" i="5" l="1"/>
  <c r="AR2544" i="5"/>
  <c r="AX2538" i="5" s="1"/>
  <c r="AY2539" i="5"/>
  <c r="AW2595" i="5"/>
  <c r="AU2539" i="5" l="1"/>
  <c r="AR2545" i="5"/>
  <c r="AQ2545" i="5" s="1"/>
  <c r="AP2546" i="5"/>
  <c r="AU2599" i="5"/>
  <c r="AP2547" i="5" l="1"/>
  <c r="AR2546" i="5"/>
  <c r="AQ2546" i="5" s="1"/>
  <c r="AU2541" i="5" s="1"/>
  <c r="AX2539" i="5"/>
  <c r="AV2539" i="5" l="1"/>
  <c r="AP2548" i="5"/>
  <c r="AP2549" i="5" s="1"/>
  <c r="AP2550" i="5" s="1"/>
  <c r="AP2551" i="5" s="1"/>
  <c r="AR2547" i="5"/>
  <c r="AQ2547" i="5" s="1"/>
  <c r="AW2539" i="5" s="1"/>
  <c r="AR2611" i="5"/>
  <c r="AR2551" i="5" l="1"/>
  <c r="AP2552" i="5"/>
  <c r="AT2604" i="5"/>
  <c r="AX2604" i="5" s="1"/>
  <c r="AR2612" i="5"/>
  <c r="AV2604" i="5" s="1"/>
  <c r="AR2552" i="5" l="1"/>
  <c r="AQ2552" i="5" s="1"/>
  <c r="AT2548" i="5" s="1"/>
  <c r="AP2553" i="5"/>
  <c r="AR2613" i="5"/>
  <c r="AY2604" i="5" s="1"/>
  <c r="AT2648" i="5"/>
  <c r="AP2554" i="5" l="1"/>
  <c r="AR2553" i="5"/>
  <c r="AU2548" i="5" s="1"/>
  <c r="AY2548" i="5"/>
  <c r="AY2648" i="5"/>
  <c r="AP2555" i="5" l="1"/>
  <c r="AR2554" i="5"/>
  <c r="AQ2554" i="5" s="1"/>
  <c r="AW2604" i="5"/>
  <c r="AX2548" i="5" l="1"/>
  <c r="AR2555" i="5"/>
  <c r="AQ2555" i="5" s="1"/>
  <c r="AU2550" i="5" s="1"/>
  <c r="AP2556" i="5"/>
  <c r="AV2548" i="5" l="1"/>
  <c r="AR2556" i="5"/>
  <c r="AQ2556" i="5" s="1"/>
  <c r="AW2548" i="5" s="1"/>
  <c r="AP2557" i="5"/>
  <c r="AP2558" i="5" s="1"/>
  <c r="AP2559" i="5" s="1"/>
  <c r="AP2560" i="5" s="1"/>
  <c r="AR2620" i="5"/>
  <c r="AQ2620" i="5" s="1"/>
  <c r="AR2560" i="5" l="1"/>
  <c r="AQ2560" i="5" s="1"/>
  <c r="AT2557" i="5" s="1"/>
  <c r="AP2561" i="5"/>
  <c r="AR2621" i="5"/>
  <c r="AR2561" i="5" l="1"/>
  <c r="AY2557" i="5" s="1"/>
  <c r="AP2562" i="5"/>
  <c r="AR2622" i="5"/>
  <c r="AQ2622" i="5" s="1"/>
  <c r="AR2562" i="5" l="1"/>
  <c r="AU2557" i="5" s="1"/>
  <c r="AP2563" i="5"/>
  <c r="AT2615" i="5"/>
  <c r="AV2615" i="5" s="1"/>
  <c r="AU2615" i="5"/>
  <c r="AW2615" i="5"/>
  <c r="AX2615" i="5" l="1"/>
  <c r="AR2563" i="5"/>
  <c r="AQ2563" i="5" s="1"/>
  <c r="AP2564" i="5"/>
  <c r="AY2615" i="5"/>
  <c r="AV2557" i="5" l="1"/>
  <c r="AR2564" i="5"/>
  <c r="AX2557" i="5" s="1"/>
  <c r="AP2565" i="5"/>
  <c r="AR2565" i="5" l="1"/>
  <c r="AQ2565" i="5" s="1"/>
  <c r="AW2557" i="5" s="1"/>
  <c r="AP2566" i="5"/>
  <c r="AP2567" i="5" s="1"/>
  <c r="AP2568" i="5" s="1"/>
  <c r="AP2569" i="5" s="1"/>
  <c r="AR2629" i="5"/>
  <c r="AP2570" i="5" l="1"/>
  <c r="AR2569" i="5"/>
  <c r="AQ2569" i="5" s="1"/>
  <c r="AT2566" i="5" s="1"/>
  <c r="AR2630" i="5"/>
  <c r="AP2571" i="5" l="1"/>
  <c r="AR2570" i="5"/>
  <c r="AX2563" i="5" s="1"/>
  <c r="AT2624" i="5"/>
  <c r="AV2624" i="5"/>
  <c r="AR2631" i="5"/>
  <c r="AQ2631" i="5" s="1"/>
  <c r="AR2571" i="5" l="1"/>
  <c r="AP2572" i="5"/>
  <c r="AU2566" i="5"/>
  <c r="AU2624" i="5"/>
  <c r="AX2624" i="5"/>
  <c r="AW2624" i="5"/>
  <c r="AR2572" i="5" l="1"/>
  <c r="AQ2572" i="5" s="1"/>
  <c r="AP2573" i="5"/>
  <c r="AV2563" i="5"/>
  <c r="AY2566" i="5"/>
  <c r="AY2624" i="5"/>
  <c r="AP2574" i="5" l="1"/>
  <c r="AR2573" i="5"/>
  <c r="AX2566" i="5" s="1"/>
  <c r="AV2566" i="5"/>
  <c r="AR2637" i="5"/>
  <c r="AR2574" i="5" l="1"/>
  <c r="AQ2574" i="5" s="1"/>
  <c r="AW2566" i="5" s="1"/>
  <c r="AP2575" i="5"/>
  <c r="AP2576" i="5" s="1"/>
  <c r="AP2577" i="5" s="1"/>
  <c r="AP2578" i="5" s="1"/>
  <c r="AR2638" i="5"/>
  <c r="AR2578" i="5" l="1"/>
  <c r="AQ2578" i="5" s="1"/>
  <c r="AT2575" i="5" s="1"/>
  <c r="AP2579" i="5"/>
  <c r="AR2639" i="5"/>
  <c r="AP2580" i="5" l="1"/>
  <c r="AR2579" i="5"/>
  <c r="AU2575" i="5"/>
  <c r="AT2633" i="5"/>
  <c r="AR2640" i="5"/>
  <c r="AQ2640" i="5" s="1"/>
  <c r="AP2581" i="5" l="1"/>
  <c r="AR2580" i="5"/>
  <c r="AQ2580" i="5" s="1"/>
  <c r="AU2633" i="5"/>
  <c r="AX2633" i="5"/>
  <c r="AV2633" i="5"/>
  <c r="AW2633" i="5"/>
  <c r="AU2648" i="5"/>
  <c r="AY2575" i="5" l="1"/>
  <c r="AP2582" i="5"/>
  <c r="AR2581" i="5"/>
  <c r="AQ2581" i="5" s="1"/>
  <c r="AT2577" i="5" s="1"/>
  <c r="AY2633" i="5"/>
  <c r="AX2577" i="5" l="1"/>
  <c r="AU2577" i="5"/>
  <c r="AV2577" i="5"/>
  <c r="AW2577" i="5"/>
  <c r="AV2575" i="5"/>
  <c r="AP2583" i="5"/>
  <c r="AR2582" i="5"/>
  <c r="AQ2582" i="5" s="1"/>
  <c r="AW2575" i="5" s="1"/>
  <c r="AR2583" i="5" l="1"/>
  <c r="AY2577" i="5" s="1"/>
  <c r="AP2584" i="5"/>
  <c r="AP2585" i="5" s="1"/>
  <c r="AP2586" i="5" s="1"/>
  <c r="AP2587" i="5" s="1"/>
  <c r="AX2575" i="5"/>
  <c r="AR2647" i="5"/>
  <c r="AW2648" i="5"/>
  <c r="AR2587" i="5" l="1"/>
  <c r="AQ2587" i="5" s="1"/>
  <c r="AT2584" i="5" s="1"/>
  <c r="AP2588" i="5"/>
  <c r="AR2648" i="5"/>
  <c r="AR2588" i="5" l="1"/>
  <c r="AU2584" i="5" s="1"/>
  <c r="AP2589" i="5"/>
  <c r="AR2649" i="5"/>
  <c r="AQ2649" i="5" s="1"/>
  <c r="AT2696" i="5"/>
  <c r="AP2590" i="5" l="1"/>
  <c r="AR2589" i="5"/>
  <c r="AY2584" i="5" s="1"/>
  <c r="AT2642" i="5"/>
  <c r="AV2642" i="5" s="1"/>
  <c r="AP2591" i="5" l="1"/>
  <c r="AR2590" i="5"/>
  <c r="AQ2590" i="5" s="1"/>
  <c r="AX2642" i="5"/>
  <c r="AW2642" i="5"/>
  <c r="AU2642" i="5"/>
  <c r="AV2584" i="5" l="1"/>
  <c r="AP2592" i="5"/>
  <c r="AR2591" i="5"/>
  <c r="AQ2591" i="5" s="1"/>
  <c r="AW2584" i="5" s="1"/>
  <c r="AR2592" i="5" l="1"/>
  <c r="AQ2592" i="5" s="1"/>
  <c r="AX2584" i="5" s="1"/>
  <c r="AP2593" i="5"/>
  <c r="AP2594" i="5" s="1"/>
  <c r="AP2595" i="5" s="1"/>
  <c r="AP2596" i="5" s="1"/>
  <c r="AR2656" i="5"/>
  <c r="AX2648" i="5" s="1"/>
  <c r="AR2596" i="5" l="1"/>
  <c r="AQ2596" i="5" s="1"/>
  <c r="AT2593" i="5" s="1"/>
  <c r="AP2597" i="5"/>
  <c r="AR2657" i="5"/>
  <c r="AQ2657" i="5" s="1"/>
  <c r="AR2597" i="5" l="1"/>
  <c r="AU2593" i="5" s="1"/>
  <c r="AP2598" i="5"/>
  <c r="AR2658" i="5"/>
  <c r="AQ2658" i="5" s="1"/>
  <c r="AT2651" i="5" s="1"/>
  <c r="AR2598" i="5" l="1"/>
  <c r="AY2593" i="5" s="1"/>
  <c r="AP2599" i="5"/>
  <c r="AV2648" i="5"/>
  <c r="AV2651" i="5"/>
  <c r="AU2651" i="5"/>
  <c r="AX2651" i="5"/>
  <c r="AW2651" i="5"/>
  <c r="AR2599" i="5" l="1"/>
  <c r="AQ2599" i="5" s="1"/>
  <c r="AP2600" i="5"/>
  <c r="AR2600" i="5" l="1"/>
  <c r="AQ2600" i="5" s="1"/>
  <c r="AP2601" i="5"/>
  <c r="AW2593" i="5"/>
  <c r="AV2593" i="5"/>
  <c r="AR2665" i="5"/>
  <c r="AP2602" i="5" l="1"/>
  <c r="AP2603" i="5" s="1"/>
  <c r="AP2604" i="5" s="1"/>
  <c r="AP2605" i="5" s="1"/>
  <c r="AR2601" i="5"/>
  <c r="AR2666" i="5"/>
  <c r="AY2595" i="5" l="1"/>
  <c r="AX2593" i="5"/>
  <c r="AP2606" i="5"/>
  <c r="AR2605" i="5"/>
  <c r="AQ2605" i="5" s="1"/>
  <c r="AT2602" i="5" s="1"/>
  <c r="AR2667" i="5"/>
  <c r="AR2606" i="5" l="1"/>
  <c r="AX2599" i="5" s="1"/>
  <c r="AP2607" i="5"/>
  <c r="AU2602" i="5"/>
  <c r="AP2608" i="5" l="1"/>
  <c r="AR2607" i="5"/>
  <c r="AT2660" i="5"/>
  <c r="AV2599" i="5" l="1"/>
  <c r="AY2602" i="5"/>
  <c r="AR2608" i="5"/>
  <c r="AQ2608" i="5" s="1"/>
  <c r="AP2609" i="5"/>
  <c r="AU2660" i="5"/>
  <c r="AX2660" i="5"/>
  <c r="AV2660" i="5"/>
  <c r="AW2660" i="5"/>
  <c r="AR2674" i="5"/>
  <c r="AV2602" i="5" l="1"/>
  <c r="AP2610" i="5"/>
  <c r="AR2609" i="5"/>
  <c r="AQ2609" i="5" s="1"/>
  <c r="AR2675" i="5"/>
  <c r="AQ2675" i="5" s="1"/>
  <c r="AW2602" i="5" l="1"/>
  <c r="AP2611" i="5"/>
  <c r="AP2612" i="5" s="1"/>
  <c r="AP2613" i="5" s="1"/>
  <c r="AP2614" i="5" s="1"/>
  <c r="AR2610" i="5"/>
  <c r="AU2604" i="5" s="1"/>
  <c r="AT2671" i="5"/>
  <c r="AY2671" i="5"/>
  <c r="AR2676" i="5"/>
  <c r="AQ2676" i="5" s="1"/>
  <c r="AT2672" i="5" s="1"/>
  <c r="AR2737" i="5"/>
  <c r="AQ2737" i="5" s="1"/>
  <c r="AR2614" i="5" l="1"/>
  <c r="AQ2614" i="5" s="1"/>
  <c r="AT2611" i="5" s="1"/>
  <c r="AP2615" i="5"/>
  <c r="AX2602" i="5"/>
  <c r="AX2672" i="5"/>
  <c r="AW2672" i="5"/>
  <c r="AV2672" i="5"/>
  <c r="AY2672" i="5"/>
  <c r="AU2671" i="5"/>
  <c r="AR2615" i="5" l="1"/>
  <c r="AP2616" i="5"/>
  <c r="AU2611" i="5"/>
  <c r="AX2671" i="5"/>
  <c r="AT2684" i="5"/>
  <c r="AR2616" i="5" l="1"/>
  <c r="AQ2616" i="5" s="1"/>
  <c r="AP2617" i="5"/>
  <c r="AV2671" i="5"/>
  <c r="AU2684" i="5"/>
  <c r="AY2684" i="5"/>
  <c r="AV2684" i="5"/>
  <c r="AW2684" i="5"/>
  <c r="AP2618" i="5" l="1"/>
  <c r="AR2617" i="5"/>
  <c r="AY2611" i="5"/>
  <c r="AR2683" i="5"/>
  <c r="AX2684" i="5"/>
  <c r="AR2618" i="5" l="1"/>
  <c r="AQ2618" i="5" s="1"/>
  <c r="AP2619" i="5"/>
  <c r="AR2684" i="5"/>
  <c r="AQ2684" i="5" s="1"/>
  <c r="AP2620" i="5" l="1"/>
  <c r="AP2621" i="5" s="1"/>
  <c r="AP2622" i="5" s="1"/>
  <c r="AP2623" i="5" s="1"/>
  <c r="AR2619" i="5"/>
  <c r="AV2611" i="5" s="1"/>
  <c r="AW2611" i="5"/>
  <c r="AR2685" i="5"/>
  <c r="AX2611" i="5" l="1"/>
  <c r="AR2623" i="5"/>
  <c r="AQ2623" i="5" s="1"/>
  <c r="AT2620" i="5" s="1"/>
  <c r="AP2624" i="5"/>
  <c r="AR2624" i="5" l="1"/>
  <c r="AU2620" i="5" s="1"/>
  <c r="AP2625" i="5"/>
  <c r="AP2626" i="5" l="1"/>
  <c r="AR2625" i="5"/>
  <c r="AY2620" i="5" s="1"/>
  <c r="AR2626" i="5" l="1"/>
  <c r="AV2620" i="5" s="1"/>
  <c r="AP2627" i="5"/>
  <c r="AR2692" i="5"/>
  <c r="AQ2692" i="5" s="1"/>
  <c r="AY2696" i="5"/>
  <c r="AP2628" i="5" l="1"/>
  <c r="AR2627" i="5"/>
  <c r="AQ2627" i="5" s="1"/>
  <c r="AR2693" i="5"/>
  <c r="AQ2693" i="5" s="1"/>
  <c r="AW2620" i="5" l="1"/>
  <c r="AP2629" i="5"/>
  <c r="AP2630" i="5" s="1"/>
  <c r="AP2631" i="5" s="1"/>
  <c r="AP2632" i="5" s="1"/>
  <c r="AR2628" i="5"/>
  <c r="AQ2628" i="5" s="1"/>
  <c r="AT2623" i="5" s="1"/>
  <c r="AT2689" i="5"/>
  <c r="AY2689" i="5"/>
  <c r="AR2694" i="5"/>
  <c r="AU2689" i="5" s="1"/>
  <c r="AP2633" i="5" l="1"/>
  <c r="AR2632" i="5"/>
  <c r="AQ2632" i="5" s="1"/>
  <c r="AX2620" i="5"/>
  <c r="AV2623" i="5"/>
  <c r="AU2623" i="5"/>
  <c r="AY2623" i="5"/>
  <c r="AX2623" i="5"/>
  <c r="AW2623" i="5" l="1"/>
  <c r="AT2629" i="5"/>
  <c r="AP2634" i="5"/>
  <c r="AR2633" i="5"/>
  <c r="AR2763" i="5"/>
  <c r="AR3834" i="5"/>
  <c r="AR2634" i="5" l="1"/>
  <c r="AY2629" i="5" s="1"/>
  <c r="AP2635" i="5"/>
  <c r="AU2629" i="5"/>
  <c r="AV2689" i="5"/>
  <c r="AR2764" i="5"/>
  <c r="AR2635" i="5" l="1"/>
  <c r="AV2629" i="5" s="1"/>
  <c r="AP2636" i="5"/>
  <c r="AR2701" i="5"/>
  <c r="AU2696" i="5" s="1"/>
  <c r="AR2765" i="5"/>
  <c r="AP2637" i="5" l="1"/>
  <c r="AP2638" i="5" s="1"/>
  <c r="AP2639" i="5" s="1"/>
  <c r="AP2640" i="5" s="1"/>
  <c r="AP2641" i="5" s="1"/>
  <c r="AR2636" i="5"/>
  <c r="AQ2636" i="5" s="1"/>
  <c r="AR2702" i="5"/>
  <c r="AQ2702" i="5" s="1"/>
  <c r="AW2696" i="5"/>
  <c r="AX2629" i="5" l="1"/>
  <c r="AW2629" i="5"/>
  <c r="AP2642" i="5"/>
  <c r="AR2641" i="5"/>
  <c r="AQ2641" i="5" s="1"/>
  <c r="AT2636" i="5" s="1"/>
  <c r="AT2698" i="5"/>
  <c r="AR2703" i="5"/>
  <c r="AV2696" i="5" s="1"/>
  <c r="AY2698" i="5"/>
  <c r="AR2773" i="5"/>
  <c r="AR2642" i="5" l="1"/>
  <c r="AQ2642" i="5" s="1"/>
  <c r="AT2638" i="5" s="1"/>
  <c r="AP2643" i="5"/>
  <c r="AX2636" i="5"/>
  <c r="AV2636" i="5"/>
  <c r="AW2636" i="5"/>
  <c r="AU2636" i="5"/>
  <c r="AY2636" i="5"/>
  <c r="AU2698" i="5"/>
  <c r="AR2774" i="5"/>
  <c r="AQ2774" i="5" s="1"/>
  <c r="AP2644" i="5" l="1"/>
  <c r="AR2643" i="5"/>
  <c r="AU2638" i="5" s="1"/>
  <c r="AX2638" i="5"/>
  <c r="AX2698" i="5"/>
  <c r="AT2769" i="5"/>
  <c r="AX2769" i="5" s="1"/>
  <c r="AP2645" i="5" l="1"/>
  <c r="AR2644" i="5"/>
  <c r="AY2638" i="5" s="1"/>
  <c r="AV2698" i="5"/>
  <c r="AP2646" i="5" l="1"/>
  <c r="AR2645" i="5"/>
  <c r="AQ2645" i="5" s="1"/>
  <c r="AV2638" i="5" s="1"/>
  <c r="AW2698" i="5"/>
  <c r="AR2710" i="5"/>
  <c r="AR2646" i="5" l="1"/>
  <c r="AQ2646" i="5" s="1"/>
  <c r="AW2638" i="5" s="1"/>
  <c r="AP2647" i="5"/>
  <c r="AP2648" i="5" s="1"/>
  <c r="AP2649" i="5" s="1"/>
  <c r="AP2650" i="5" s="1"/>
  <c r="AR2711" i="5"/>
  <c r="AQ2711" i="5" s="1"/>
  <c r="AP2651" i="5" l="1"/>
  <c r="AR2650" i="5"/>
  <c r="AY2642" i="5" s="1"/>
  <c r="AT2707" i="5"/>
  <c r="AY2707" i="5" s="1"/>
  <c r="AR2712" i="5"/>
  <c r="AQ2712" i="5" s="1"/>
  <c r="AT2708" i="5" s="1"/>
  <c r="AP2652" i="5" l="1"/>
  <c r="AR2651" i="5"/>
  <c r="AQ2651" i="5" s="1"/>
  <c r="AT2647" i="5" s="1"/>
  <c r="AU2707" i="5"/>
  <c r="AW2708" i="5"/>
  <c r="AX2708" i="5"/>
  <c r="AY2708" i="5"/>
  <c r="AV2708" i="5"/>
  <c r="AX2707" i="5"/>
  <c r="AX2647" i="5" l="1"/>
  <c r="AP2653" i="5"/>
  <c r="AR2652" i="5"/>
  <c r="AQ2652" i="5" s="1"/>
  <c r="AU2647" i="5" s="1"/>
  <c r="AU2708" i="5"/>
  <c r="AP2654" i="5" l="1"/>
  <c r="AR2653" i="5"/>
  <c r="AY2647" i="5" s="1"/>
  <c r="AR2654" i="5" l="1"/>
  <c r="AQ2654" i="5" s="1"/>
  <c r="AV2647" i="5" s="1"/>
  <c r="AP2655" i="5"/>
  <c r="AR2719" i="5"/>
  <c r="AR2655" i="5" l="1"/>
  <c r="AQ2655" i="5" s="1"/>
  <c r="AW2647" i="5" s="1"/>
  <c r="AP2656" i="5"/>
  <c r="AP2657" i="5" s="1"/>
  <c r="AP2658" i="5" s="1"/>
  <c r="AP2659" i="5" s="1"/>
  <c r="AR2720" i="5"/>
  <c r="AQ2720" i="5" s="1"/>
  <c r="AR2659" i="5" l="1"/>
  <c r="AY2651" i="5" s="1"/>
  <c r="AP2660" i="5"/>
  <c r="AT2716" i="5"/>
  <c r="AY2716" i="5" s="1"/>
  <c r="AR2721" i="5"/>
  <c r="AR2660" i="5" l="1"/>
  <c r="AQ2660" i="5" s="1"/>
  <c r="AT2656" i="5" s="1"/>
  <c r="AP2661" i="5"/>
  <c r="AU2716" i="5"/>
  <c r="AP2662" i="5" l="1"/>
  <c r="AR2661" i="5"/>
  <c r="AU2656" i="5" s="1"/>
  <c r="AX2656" i="5"/>
  <c r="AX2716" i="5"/>
  <c r="AR2662" i="5" l="1"/>
  <c r="AY2656" i="5" s="1"/>
  <c r="AP2663" i="5"/>
  <c r="AT2733" i="5"/>
  <c r="AX2733" i="5" s="1"/>
  <c r="AR2800" i="5"/>
  <c r="AP2664" i="5" l="1"/>
  <c r="AR2663" i="5"/>
  <c r="AV2656" i="5" s="1"/>
  <c r="AR2728" i="5"/>
  <c r="AR2801" i="5"/>
  <c r="AP2665" i="5" l="1"/>
  <c r="AP2666" i="5" s="1"/>
  <c r="AP2667" i="5" s="1"/>
  <c r="AP2668" i="5" s="1"/>
  <c r="AR2664" i="5"/>
  <c r="AQ2664" i="5" s="1"/>
  <c r="AW2656" i="5" s="1"/>
  <c r="AR2729" i="5"/>
  <c r="AQ2729" i="5" s="1"/>
  <c r="AP2669" i="5" l="1"/>
  <c r="AR2668" i="5"/>
  <c r="AQ2668" i="5" s="1"/>
  <c r="AT2725" i="5"/>
  <c r="AY2725" i="5" s="1"/>
  <c r="AR2730" i="5"/>
  <c r="AV2733" i="5"/>
  <c r="AR2810" i="5"/>
  <c r="AU2725" i="5" l="1"/>
  <c r="AP2670" i="5"/>
  <c r="AR2669" i="5"/>
  <c r="AQ2669" i="5" s="1"/>
  <c r="AY2660" i="5" s="1"/>
  <c r="AR2811" i="5"/>
  <c r="AQ2811" i="5" s="1"/>
  <c r="AP2671" i="5" l="1"/>
  <c r="AR2670" i="5"/>
  <c r="AT2665" i="5"/>
  <c r="AX2725" i="5"/>
  <c r="AT2806" i="5"/>
  <c r="AX2806" i="5" s="1"/>
  <c r="AX2665" i="5" l="1"/>
  <c r="AY2665" i="5"/>
  <c r="AU2665" i="5"/>
  <c r="AR2671" i="5"/>
  <c r="AP2672" i="5"/>
  <c r="AR2672" i="5" l="1"/>
  <c r="AV2665" i="5" s="1"/>
  <c r="AP2673" i="5"/>
  <c r="AR2738" i="5"/>
  <c r="AQ2738" i="5" s="1"/>
  <c r="AP2674" i="5" l="1"/>
  <c r="AP2675" i="5" s="1"/>
  <c r="AP2676" i="5" s="1"/>
  <c r="AP2677" i="5" s="1"/>
  <c r="AR2673" i="5"/>
  <c r="AQ2673" i="5" s="1"/>
  <c r="AW2665" i="5" s="1"/>
  <c r="AT2734" i="5"/>
  <c r="AR2739" i="5"/>
  <c r="AU2733" i="5" s="1"/>
  <c r="AR2677" i="5" l="1"/>
  <c r="AU2672" i="5" s="1"/>
  <c r="AP2678" i="5"/>
  <c r="AY2734" i="5"/>
  <c r="AR2678" i="5" l="1"/>
  <c r="AQ2678" i="5" s="1"/>
  <c r="AT2674" i="5" s="1"/>
  <c r="AP2679" i="5"/>
  <c r="AY2733" i="5"/>
  <c r="AU2734" i="5"/>
  <c r="AP2680" i="5" l="1"/>
  <c r="AR2679" i="5"/>
  <c r="AQ2679" i="5" s="1"/>
  <c r="AW2671" i="5" s="1"/>
  <c r="AX2674" i="5"/>
  <c r="AU2674" i="5" l="1"/>
  <c r="AR2680" i="5"/>
  <c r="AQ2680" i="5" s="1"/>
  <c r="AY2674" i="5" s="1"/>
  <c r="AP2681" i="5"/>
  <c r="AV2734" i="5"/>
  <c r="AP2682" i="5" l="1"/>
  <c r="AR2681" i="5"/>
  <c r="AV2674" i="5"/>
  <c r="AP2683" i="5" l="1"/>
  <c r="AP2684" i="5" s="1"/>
  <c r="AP2685" i="5" s="1"/>
  <c r="AP2686" i="5" s="1"/>
  <c r="AR2682" i="5"/>
  <c r="AQ2682" i="5" s="1"/>
  <c r="AW2674" i="5" s="1"/>
  <c r="AW2734" i="5"/>
  <c r="AR2748" i="5"/>
  <c r="AQ2748" i="5" s="1"/>
  <c r="AP2687" i="5" l="1"/>
  <c r="AR2686" i="5"/>
  <c r="AP2688" i="5" l="1"/>
  <c r="AR2687" i="5"/>
  <c r="AQ2687" i="5" s="1"/>
  <c r="AT2683" i="5" s="1"/>
  <c r="AX2683" i="5" l="1"/>
  <c r="AP2689" i="5"/>
  <c r="AR2688" i="5"/>
  <c r="AQ2688" i="5" s="1"/>
  <c r="AT2680" i="5" s="1"/>
  <c r="AR2689" i="5" l="1"/>
  <c r="AY2683" i="5" s="1"/>
  <c r="AP2690" i="5"/>
  <c r="AU2683" i="5"/>
  <c r="AX2680" i="5"/>
  <c r="AW2680" i="5"/>
  <c r="AY2680" i="5"/>
  <c r="AV2680" i="5"/>
  <c r="AU2680" i="5"/>
  <c r="AR2837" i="5"/>
  <c r="AR2690" i="5" l="1"/>
  <c r="AV2683" i="5" s="1"/>
  <c r="AP2691" i="5"/>
  <c r="AR2838" i="5"/>
  <c r="AR2691" i="5" l="1"/>
  <c r="AQ2691" i="5" s="1"/>
  <c r="AW2683" i="5" s="1"/>
  <c r="AP2692" i="5"/>
  <c r="AP2693" i="5" s="1"/>
  <c r="AP2694" i="5" s="1"/>
  <c r="AP2695" i="5" s="1"/>
  <c r="AT2745" i="5"/>
  <c r="AU2745" i="5" s="1"/>
  <c r="AR2757" i="5"/>
  <c r="AQ2757" i="5" s="1"/>
  <c r="AW2745" i="5"/>
  <c r="AV2745" i="5"/>
  <c r="AX2745" i="5"/>
  <c r="AY2745" i="5" l="1"/>
  <c r="AR2695" i="5"/>
  <c r="AX2689" i="5" s="1"/>
  <c r="AP2696" i="5"/>
  <c r="AT2754" i="5"/>
  <c r="AP2697" i="5" l="1"/>
  <c r="AR2696" i="5"/>
  <c r="AQ2696" i="5" s="1"/>
  <c r="AT2692" i="5" s="1"/>
  <c r="AU2754" i="5"/>
  <c r="AX2692" i="5" l="1"/>
  <c r="AP2698" i="5"/>
  <c r="AR2697" i="5"/>
  <c r="AQ2697" i="5" s="1"/>
  <c r="AW2689" i="5" s="1"/>
  <c r="AR2698" i="5" l="1"/>
  <c r="AY2692" i="5" s="1"/>
  <c r="AP2699" i="5"/>
  <c r="AU2692" i="5"/>
  <c r="AR2699" i="5" l="1"/>
  <c r="AV2692" i="5" s="1"/>
  <c r="AP2700" i="5"/>
  <c r="AW2754" i="5"/>
  <c r="AU2769" i="5"/>
  <c r="AP2701" i="5" l="1"/>
  <c r="AP2702" i="5" s="1"/>
  <c r="AP2703" i="5" s="1"/>
  <c r="AP2704" i="5" s="1"/>
  <c r="AR2700" i="5"/>
  <c r="AQ2700" i="5" s="1"/>
  <c r="AW2692" i="5" s="1"/>
  <c r="AR2766" i="5"/>
  <c r="AQ2766" i="5" s="1"/>
  <c r="AX2754" i="5"/>
  <c r="AP2705" i="5" l="1"/>
  <c r="AR2704" i="5"/>
  <c r="AQ2704" i="5" s="1"/>
  <c r="AT2701" i="5" s="1"/>
  <c r="AP2706" i="5" l="1"/>
  <c r="AR2705" i="5"/>
  <c r="AX2696" i="5" s="1"/>
  <c r="AW2769" i="5"/>
  <c r="AR2706" i="5" l="1"/>
  <c r="AQ2706" i="5" s="1"/>
  <c r="AX2701" i="5" s="1"/>
  <c r="AP2707" i="5"/>
  <c r="AU2701" i="5"/>
  <c r="AR2707" i="5" l="1"/>
  <c r="AV2701" i="5" s="1"/>
  <c r="AP2708" i="5"/>
  <c r="AP2709" i="5" l="1"/>
  <c r="AR2708" i="5"/>
  <c r="AY2701" i="5" s="1"/>
  <c r="AT2763" i="5"/>
  <c r="AU2763" i="5" s="1"/>
  <c r="AW2763" i="5" l="1"/>
  <c r="AY2763" i="5"/>
  <c r="AV2763" i="5"/>
  <c r="AP2710" i="5"/>
  <c r="AP2711" i="5" s="1"/>
  <c r="AP2712" i="5" s="1"/>
  <c r="AP2713" i="5" s="1"/>
  <c r="AR2709" i="5"/>
  <c r="AQ2709" i="5" s="1"/>
  <c r="AW2701" i="5" s="1"/>
  <c r="AR2775" i="5"/>
  <c r="AQ2775" i="5" s="1"/>
  <c r="AV2769" i="5"/>
  <c r="AR2713" i="5" l="1"/>
  <c r="AQ2713" i="5" s="1"/>
  <c r="AT2710" i="5" s="1"/>
  <c r="AP2714" i="5"/>
  <c r="AT2772" i="5"/>
  <c r="AP2715" i="5" l="1"/>
  <c r="AR2714" i="5"/>
  <c r="AV2707" i="5" s="1"/>
  <c r="AU2710" i="5"/>
  <c r="AU2772" i="5"/>
  <c r="AP2716" i="5" l="1"/>
  <c r="AR2715" i="5"/>
  <c r="AQ2715" i="5" s="1"/>
  <c r="AY2772" i="5"/>
  <c r="AW2707" i="5" l="1"/>
  <c r="AX2710" i="5"/>
  <c r="AV2710" i="5"/>
  <c r="AR2716" i="5"/>
  <c r="AQ2716" i="5" s="1"/>
  <c r="AP2717" i="5"/>
  <c r="AP2718" i="5" l="1"/>
  <c r="AR2717" i="5"/>
  <c r="AY2710" i="5" s="1"/>
  <c r="AP2719" i="5" l="1"/>
  <c r="AP2720" i="5" s="1"/>
  <c r="AP2721" i="5" s="1"/>
  <c r="AP2722" i="5" s="1"/>
  <c r="AR2718" i="5"/>
  <c r="AQ2718" i="5" s="1"/>
  <c r="AW2710" i="5" s="1"/>
  <c r="AR2784" i="5"/>
  <c r="AQ2784" i="5" s="1"/>
  <c r="AR2722" i="5" l="1"/>
  <c r="AQ2722" i="5" s="1"/>
  <c r="AT2719" i="5" s="1"/>
  <c r="AP2723" i="5"/>
  <c r="AP2724" i="5" l="1"/>
  <c r="AR2723" i="5"/>
  <c r="AV2716" i="5" s="1"/>
  <c r="AU2719" i="5" l="1"/>
  <c r="AP2725" i="5"/>
  <c r="AR2724" i="5"/>
  <c r="AQ2724" i="5" s="1"/>
  <c r="AW2716" i="5" l="1"/>
  <c r="AX2719" i="5"/>
  <c r="AR2725" i="5"/>
  <c r="AQ2725" i="5" s="1"/>
  <c r="AT2721" i="5" s="1"/>
  <c r="AP2726" i="5"/>
  <c r="AV2721" i="5" l="1"/>
  <c r="AW2721" i="5"/>
  <c r="AX2721" i="5"/>
  <c r="AU2721" i="5"/>
  <c r="AP2727" i="5"/>
  <c r="AR2726" i="5"/>
  <c r="AQ2726" i="5" s="1"/>
  <c r="AV2719" i="5"/>
  <c r="AT2781" i="5"/>
  <c r="AY2781" i="5"/>
  <c r="AV2781" i="5"/>
  <c r="AW2781" i="5"/>
  <c r="AU2781" i="5"/>
  <c r="AW2719" i="5" l="1"/>
  <c r="AP2728" i="5"/>
  <c r="AP2729" i="5" s="1"/>
  <c r="AP2730" i="5" s="1"/>
  <c r="AP2731" i="5" s="1"/>
  <c r="AR2727" i="5"/>
  <c r="AY2721" i="5" s="1"/>
  <c r="AR2793" i="5"/>
  <c r="AQ2793" i="5" s="1"/>
  <c r="AP2732" i="5" l="1"/>
  <c r="AR2731" i="5"/>
  <c r="AQ2731" i="5" s="1"/>
  <c r="AT2728" i="5" s="1"/>
  <c r="AY2719" i="5"/>
  <c r="AT2790" i="5"/>
  <c r="AR2732" i="5" l="1"/>
  <c r="AV2725" i="5" s="1"/>
  <c r="AP2733" i="5"/>
  <c r="AP2734" i="5" l="1"/>
  <c r="AR2733" i="5"/>
  <c r="AQ2733" i="5" s="1"/>
  <c r="AU2728" i="5"/>
  <c r="AY2790" i="5"/>
  <c r="AW2725" i="5" l="1"/>
  <c r="AX2728" i="5"/>
  <c r="AP2735" i="5"/>
  <c r="AR2734" i="5"/>
  <c r="AV2728" i="5" s="1"/>
  <c r="AP2736" i="5" l="1"/>
  <c r="AR2735" i="5"/>
  <c r="AQ2735" i="5" s="1"/>
  <c r="AW2728" i="5" s="1"/>
  <c r="AW2790" i="5"/>
  <c r="AU2806" i="5"/>
  <c r="AP2737" i="5" l="1"/>
  <c r="AP2738" i="5" s="1"/>
  <c r="AP2739" i="5" s="1"/>
  <c r="AP2740" i="5" s="1"/>
  <c r="AR2736" i="5"/>
  <c r="AY2728" i="5" s="1"/>
  <c r="AR2802" i="5"/>
  <c r="AQ2802" i="5" s="1"/>
  <c r="AX2790" i="5"/>
  <c r="AP2741" i="5" l="1"/>
  <c r="AR2740" i="5"/>
  <c r="AQ2740" i="5" s="1"/>
  <c r="AT2737" i="5" s="1"/>
  <c r="AP2742" i="5" l="1"/>
  <c r="AR2741" i="5"/>
  <c r="AQ2741" i="5" s="1"/>
  <c r="AU2737" i="5" s="1"/>
  <c r="AW2806" i="5"/>
  <c r="AR2742" i="5" l="1"/>
  <c r="AQ2742" i="5" s="1"/>
  <c r="AW2733" i="5" s="1"/>
  <c r="AP2743" i="5"/>
  <c r="AP2744" i="5" l="1"/>
  <c r="AR2743" i="5"/>
  <c r="AX2734" i="5" s="1"/>
  <c r="AX2737" i="5"/>
  <c r="AV2737" i="5"/>
  <c r="AP2745" i="5" l="1"/>
  <c r="AR2744" i="5"/>
  <c r="AQ2744" i="5" s="1"/>
  <c r="AW2737" i="5" s="1"/>
  <c r="AT2799" i="5"/>
  <c r="AU2799" i="5" s="1"/>
  <c r="AW2799" i="5"/>
  <c r="AY2799" i="5" l="1"/>
  <c r="AV2799" i="5"/>
  <c r="AP2746" i="5"/>
  <c r="AP2747" i="5" s="1"/>
  <c r="AP2748" i="5" s="1"/>
  <c r="AP2749" i="5" s="1"/>
  <c r="AR2745" i="5"/>
  <c r="AY2737" i="5" s="1"/>
  <c r="AR2749" i="5" l="1"/>
  <c r="AQ2749" i="5" s="1"/>
  <c r="AT2746" i="5" s="1"/>
  <c r="AP2750" i="5"/>
  <c r="AR2750" i="5" l="1"/>
  <c r="AQ2750" i="5" s="1"/>
  <c r="AP2751" i="5"/>
  <c r="AU2746" i="5"/>
  <c r="AY2806" i="5"/>
  <c r="AR3991" i="5"/>
  <c r="AP2752" i="5" l="1"/>
  <c r="AR2751" i="5"/>
  <c r="AX2746" i="5" s="1"/>
  <c r="AP2753" i="5" l="1"/>
  <c r="AR2752" i="5"/>
  <c r="AV2746" i="5" s="1"/>
  <c r="AP2754" i="5" l="1"/>
  <c r="AR2753" i="5"/>
  <c r="AQ2753" i="5" s="1"/>
  <c r="AW2746" i="5" s="1"/>
  <c r="AP2755" i="5" l="1"/>
  <c r="AP2756" i="5" s="1"/>
  <c r="AP2757" i="5" s="1"/>
  <c r="AP2758" i="5" s="1"/>
  <c r="AR2754" i="5"/>
  <c r="AQ2754" i="5" s="1"/>
  <c r="AY2746" i="5" s="1"/>
  <c r="AT2808" i="5"/>
  <c r="AY2808" i="5" s="1"/>
  <c r="AV2808" i="5"/>
  <c r="AU2808" i="5"/>
  <c r="AW2808" i="5"/>
  <c r="AX2808" i="5" l="1"/>
  <c r="AP2759" i="5"/>
  <c r="AR2758" i="5"/>
  <c r="AQ2758" i="5" s="1"/>
  <c r="AT2755" i="5" s="1"/>
  <c r="AP2760" i="5" l="1"/>
  <c r="AR2759" i="5"/>
  <c r="AY2754" i="5" s="1"/>
  <c r="AT2830" i="5"/>
  <c r="AU2755" i="5" l="1"/>
  <c r="AR2760" i="5"/>
  <c r="AP2761" i="5"/>
  <c r="AV2830" i="5"/>
  <c r="AY2830" i="5"/>
  <c r="AW2830" i="5"/>
  <c r="AR2761" i="5" l="1"/>
  <c r="AQ2761" i="5" s="1"/>
  <c r="AP2762" i="5"/>
  <c r="AV2754" i="5"/>
  <c r="AX2755" i="5"/>
  <c r="AU2830" i="5"/>
  <c r="AP2763" i="5" l="1"/>
  <c r="AP2764" i="5" s="1"/>
  <c r="AP2765" i="5" s="1"/>
  <c r="AP2766" i="5" s="1"/>
  <c r="AP2767" i="5" s="1"/>
  <c r="AR2762" i="5"/>
  <c r="AQ2762" i="5" s="1"/>
  <c r="AT2757" i="5" s="1"/>
  <c r="AV2755" i="5"/>
  <c r="AR2827" i="5"/>
  <c r="AQ2827" i="5" s="1"/>
  <c r="AT2819" i="5" s="1"/>
  <c r="AY2755" i="5" l="1"/>
  <c r="AW2755" i="5"/>
  <c r="AU2757" i="5"/>
  <c r="AY2757" i="5"/>
  <c r="AW2757" i="5"/>
  <c r="AX2757" i="5"/>
  <c r="AV2757" i="5"/>
  <c r="AR2767" i="5"/>
  <c r="AP2768" i="5"/>
  <c r="AV2819" i="5"/>
  <c r="AY2819" i="5"/>
  <c r="AU2819" i="5"/>
  <c r="AW2819" i="5"/>
  <c r="AX2819" i="5"/>
  <c r="AP2769" i="5" l="1"/>
  <c r="AR2768" i="5"/>
  <c r="AQ2768" i="5" s="1"/>
  <c r="AT2764" i="5" s="1"/>
  <c r="AY2764" i="5" l="1"/>
  <c r="AP2770" i="5"/>
  <c r="AR2769" i="5"/>
  <c r="AU2764" i="5" s="1"/>
  <c r="AX2830" i="5"/>
  <c r="AR2770" i="5" l="1"/>
  <c r="AQ2770" i="5" s="1"/>
  <c r="AP2771" i="5"/>
  <c r="AR2771" i="5" l="1"/>
  <c r="AX2763" i="5" s="1"/>
  <c r="AP2772" i="5"/>
  <c r="AX2764" i="5"/>
  <c r="AV2764" i="5"/>
  <c r="AR2846" i="5"/>
  <c r="AQ2846" i="5" s="1"/>
  <c r="AP2773" i="5" l="1"/>
  <c r="AP2774" i="5" s="1"/>
  <c r="AP2775" i="5" s="1"/>
  <c r="AP2776" i="5" s="1"/>
  <c r="AR2772" i="5"/>
  <c r="AQ2772" i="5" s="1"/>
  <c r="AW2764" i="5" s="1"/>
  <c r="AT2842" i="5"/>
  <c r="AR2836" i="5"/>
  <c r="AQ2836" i="5" s="1"/>
  <c r="AR2847" i="5"/>
  <c r="AU2842" i="5" s="1"/>
  <c r="AR2776" i="5" l="1"/>
  <c r="AY2769" i="5" s="1"/>
  <c r="AP2777" i="5"/>
  <c r="AR2777" i="5" l="1"/>
  <c r="AQ2777" i="5" s="1"/>
  <c r="AT2773" i="5" s="1"/>
  <c r="AP2778" i="5"/>
  <c r="AP2779" i="5" l="1"/>
  <c r="AR2778" i="5"/>
  <c r="AQ2778" i="5" s="1"/>
  <c r="AV2772" i="5" s="1"/>
  <c r="AY2773" i="5"/>
  <c r="AU2773" i="5" l="1"/>
  <c r="AP2780" i="5"/>
  <c r="AR2779" i="5"/>
  <c r="AQ2779" i="5" s="1"/>
  <c r="AY2842" i="5"/>
  <c r="AW2772" i="5" l="1"/>
  <c r="AX2773" i="5"/>
  <c r="AR2780" i="5"/>
  <c r="AX2772" i="5" s="1"/>
  <c r="AP2781" i="5"/>
  <c r="AV2773" i="5" l="1"/>
  <c r="AP2782" i="5"/>
  <c r="AP2783" i="5" s="1"/>
  <c r="AP2784" i="5" s="1"/>
  <c r="AP2785" i="5" s="1"/>
  <c r="AR2781" i="5"/>
  <c r="AQ2781" i="5" s="1"/>
  <c r="AW2773" i="5" s="1"/>
  <c r="AR2845" i="5"/>
  <c r="AQ2845" i="5" s="1"/>
  <c r="AR2785" i="5" l="1"/>
  <c r="AP2786" i="5"/>
  <c r="AR2786" i="5" l="1"/>
  <c r="AQ2786" i="5" s="1"/>
  <c r="AT2782" i="5" s="1"/>
  <c r="AP2787" i="5"/>
  <c r="AX2842" i="5"/>
  <c r="AR2787" i="5" l="1"/>
  <c r="AU2782" i="5" s="1"/>
  <c r="AP2788" i="5"/>
  <c r="AY2782" i="5"/>
  <c r="AP2789" i="5" l="1"/>
  <c r="AR2788" i="5"/>
  <c r="AQ2788" i="5" s="1"/>
  <c r="AX2782" i="5" l="1"/>
  <c r="AV2782" i="5"/>
  <c r="AP2790" i="5"/>
  <c r="AR2789" i="5"/>
  <c r="AX2781" i="5" s="1"/>
  <c r="AR2790" i="5" l="1"/>
  <c r="AQ2790" i="5" s="1"/>
  <c r="AW2782" i="5" s="1"/>
  <c r="AP2791" i="5"/>
  <c r="AP2792" i="5" s="1"/>
  <c r="AP2793" i="5" s="1"/>
  <c r="AP2794" i="5" s="1"/>
  <c r="AR2854" i="5"/>
  <c r="AQ2854" i="5" s="1"/>
  <c r="AP2795" i="5" l="1"/>
  <c r="AR2794" i="5"/>
  <c r="AU2790" i="5" s="1"/>
  <c r="AR2795" i="5" l="1"/>
  <c r="AQ2795" i="5" s="1"/>
  <c r="AT2791" i="5" s="1"/>
  <c r="AP2796" i="5"/>
  <c r="AR2873" i="5"/>
  <c r="AR2796" i="5" l="1"/>
  <c r="AV2790" i="5" s="1"/>
  <c r="AP2797" i="5"/>
  <c r="AY2791" i="5"/>
  <c r="AU2791" i="5"/>
  <c r="AT2855" i="5"/>
  <c r="AR2874" i="5"/>
  <c r="AQ2874" i="5" s="1"/>
  <c r="AR2797" i="5" l="1"/>
  <c r="AQ2797" i="5" s="1"/>
  <c r="AP2798" i="5"/>
  <c r="AU2855" i="5"/>
  <c r="AX2855" i="5"/>
  <c r="AR2798" i="5" l="1"/>
  <c r="AQ2798" i="5" s="1"/>
  <c r="AT2793" i="5" s="1"/>
  <c r="AP2799" i="5"/>
  <c r="AX2791" i="5"/>
  <c r="AV2791" i="5"/>
  <c r="AY2855" i="5"/>
  <c r="AP2800" i="5" l="1"/>
  <c r="AP2801" i="5" s="1"/>
  <c r="AP2802" i="5" s="1"/>
  <c r="AP2803" i="5" s="1"/>
  <c r="AR2799" i="5"/>
  <c r="AQ2799" i="5" s="1"/>
  <c r="AW2791" i="5" s="1"/>
  <c r="AV2793" i="5"/>
  <c r="AY2793" i="5"/>
  <c r="AU2793" i="5"/>
  <c r="AW2793" i="5"/>
  <c r="AX2793" i="5"/>
  <c r="AV2855" i="5"/>
  <c r="AR2863" i="5"/>
  <c r="AQ2863" i="5" s="1"/>
  <c r="AW2855" i="5" s="1"/>
  <c r="AT2866" i="5"/>
  <c r="AR2803" i="5" l="1"/>
  <c r="AP2804" i="5"/>
  <c r="AU2866" i="5"/>
  <c r="AV2866" i="5"/>
  <c r="AW2866" i="5"/>
  <c r="AY2866" i="5"/>
  <c r="AP2805" i="5" l="1"/>
  <c r="AR2804" i="5"/>
  <c r="AQ2804" i="5" s="1"/>
  <c r="AT2800" i="5" s="1"/>
  <c r="AX2866" i="5"/>
  <c r="AY2800" i="5" l="1"/>
  <c r="AP2806" i="5"/>
  <c r="AR2805" i="5"/>
  <c r="AU2800" i="5" s="1"/>
  <c r="AT2864" i="5"/>
  <c r="AR2806" i="5" l="1"/>
  <c r="AQ2806" i="5" s="1"/>
  <c r="AP2807" i="5"/>
  <c r="AX2864" i="5"/>
  <c r="AU2864" i="5"/>
  <c r="AR2807" i="5" l="1"/>
  <c r="AX2799" i="5" s="1"/>
  <c r="AP2808" i="5"/>
  <c r="AX2800" i="5"/>
  <c r="AV2800" i="5"/>
  <c r="AY2864" i="5"/>
  <c r="AP2809" i="5" l="1"/>
  <c r="AP2810" i="5" s="1"/>
  <c r="AP2811" i="5" s="1"/>
  <c r="AP2812" i="5" s="1"/>
  <c r="AR2808" i="5"/>
  <c r="AQ2808" i="5" s="1"/>
  <c r="AW2800" i="5" s="1"/>
  <c r="AR2872" i="5"/>
  <c r="AQ2872" i="5" s="1"/>
  <c r="AW2864" i="5" s="1"/>
  <c r="AT2891" i="5"/>
  <c r="AP2813" i="5" l="1"/>
  <c r="AR2812" i="5"/>
  <c r="AQ2812" i="5" s="1"/>
  <c r="AP2814" i="5" l="1"/>
  <c r="AR2813" i="5"/>
  <c r="AQ2813" i="5" s="1"/>
  <c r="AT2809" i="5" s="1"/>
  <c r="AT2878" i="5"/>
  <c r="AY2809" i="5" l="1"/>
  <c r="AP2815" i="5"/>
  <c r="AR2814" i="5"/>
  <c r="AV2806" i="5" s="1"/>
  <c r="AU2878" i="5"/>
  <c r="AX2878" i="5"/>
  <c r="AV2878" i="5"/>
  <c r="AW2878" i="5"/>
  <c r="AR2815" i="5" l="1"/>
  <c r="AQ2815" i="5" s="1"/>
  <c r="AP2816" i="5"/>
  <c r="AU2809" i="5"/>
  <c r="AT2873" i="5"/>
  <c r="AY2878" i="5"/>
  <c r="AP2817" i="5" l="1"/>
  <c r="AR2816" i="5"/>
  <c r="AX2809" i="5"/>
  <c r="AV2809" i="5"/>
  <c r="AR2881" i="5"/>
  <c r="AV2873" i="5" s="1"/>
  <c r="AX2873" i="5"/>
  <c r="AU2873" i="5"/>
  <c r="AR2817" i="5" l="1"/>
  <c r="AQ2817" i="5" s="1"/>
  <c r="AW2809" i="5" s="1"/>
  <c r="AP2818" i="5"/>
  <c r="AP2819" i="5" s="1"/>
  <c r="AP2820" i="5" s="1"/>
  <c r="AP2821" i="5" s="1"/>
  <c r="AR2882" i="5"/>
  <c r="AQ2882" i="5" s="1"/>
  <c r="AP2822" i="5" l="1"/>
  <c r="AR2821" i="5"/>
  <c r="AQ2821" i="5" s="1"/>
  <c r="AT2818" i="5" s="1"/>
  <c r="AY2873" i="5"/>
  <c r="AR2883" i="5"/>
  <c r="AQ2883" i="5" s="1"/>
  <c r="AW2873" i="5" s="1"/>
  <c r="AY2818" i="5" l="1"/>
  <c r="AR2822" i="5"/>
  <c r="AP2823" i="5"/>
  <c r="AR2823" i="5" l="1"/>
  <c r="AQ2823" i="5" s="1"/>
  <c r="AP2824" i="5"/>
  <c r="AT2884" i="5"/>
  <c r="AR2824" i="5" l="1"/>
  <c r="AU2818" i="5" s="1"/>
  <c r="AP2825" i="5"/>
  <c r="AX2818" i="5"/>
  <c r="AU2884" i="5"/>
  <c r="AU2891" i="5"/>
  <c r="AP2826" i="5" l="1"/>
  <c r="AR2825" i="5"/>
  <c r="AV2818" i="5" s="1"/>
  <c r="AR2890" i="5"/>
  <c r="AV2884" i="5" s="1"/>
  <c r="AR2826" i="5" l="1"/>
  <c r="AQ2826" i="5" s="1"/>
  <c r="AW2818" i="5" s="1"/>
  <c r="AP2827" i="5"/>
  <c r="AP2828" i="5" s="1"/>
  <c r="AP2829" i="5" s="1"/>
  <c r="AP2830" i="5" s="1"/>
  <c r="AR2891" i="5"/>
  <c r="AY2884" i="5" s="1"/>
  <c r="AP2831" i="5" l="1"/>
  <c r="AR2830" i="5"/>
  <c r="AQ2830" i="5" s="1"/>
  <c r="AT2827" i="5" s="1"/>
  <c r="AR2892" i="5"/>
  <c r="AQ2892" i="5" s="1"/>
  <c r="AW2891" i="5"/>
  <c r="AR2831" i="5" l="1"/>
  <c r="AU2827" i="5" s="1"/>
  <c r="AP2832" i="5"/>
  <c r="AW2884" i="5"/>
  <c r="AY2891" i="5"/>
  <c r="AP2833" i="5" l="1"/>
  <c r="AR2832" i="5"/>
  <c r="AQ2832" i="5" s="1"/>
  <c r="AT2828" i="5" l="1"/>
  <c r="AY2827" i="5"/>
  <c r="AP2834" i="5"/>
  <c r="AR2833" i="5"/>
  <c r="AU2828" i="5" s="1"/>
  <c r="AR2834" i="5" l="1"/>
  <c r="AQ2834" i="5" s="1"/>
  <c r="AX2827" i="5" s="1"/>
  <c r="AP2835" i="5"/>
  <c r="AV2827" i="5"/>
  <c r="AX2828" i="5"/>
  <c r="AY2828" i="5"/>
  <c r="AV2828" i="5"/>
  <c r="AW2828" i="5"/>
  <c r="AR2899" i="5"/>
  <c r="AQ2899" i="5" s="1"/>
  <c r="AR2835" i="5" l="1"/>
  <c r="AQ2835" i="5" s="1"/>
  <c r="AW2827" i="5" s="1"/>
  <c r="AP2836" i="5"/>
  <c r="AP2837" i="5" s="1"/>
  <c r="AP2838" i="5" s="1"/>
  <c r="AP2839" i="5" s="1"/>
  <c r="AR2900" i="5"/>
  <c r="AQ2900" i="5" s="1"/>
  <c r="AT2903" i="5"/>
  <c r="AP2840" i="5" l="1"/>
  <c r="AR2839" i="5"/>
  <c r="AQ2839" i="5" s="1"/>
  <c r="AT2836" i="5" s="1"/>
  <c r="AX2891" i="5"/>
  <c r="AT2893" i="5"/>
  <c r="AW2893" i="5" s="1"/>
  <c r="AV2893" i="5"/>
  <c r="AX2893" i="5"/>
  <c r="AR2901" i="5"/>
  <c r="AY2893" i="5" s="1"/>
  <c r="AW2903" i="5"/>
  <c r="AY2903" i="5"/>
  <c r="AU2903" i="5"/>
  <c r="AR2840" i="5" l="1"/>
  <c r="AU2836" i="5" s="1"/>
  <c r="AP2841" i="5"/>
  <c r="AU2893" i="5"/>
  <c r="AX2903" i="5"/>
  <c r="AR2841" i="5" l="1"/>
  <c r="AQ2841" i="5" s="1"/>
  <c r="AP2842" i="5"/>
  <c r="AP2843" i="5" l="1"/>
  <c r="AR2842" i="5"/>
  <c r="AT2837" i="5"/>
  <c r="AY2836" i="5"/>
  <c r="AV2836" i="5"/>
  <c r="AR2907" i="5"/>
  <c r="AQ2907" i="5" s="1"/>
  <c r="AX2837" i="5" l="1"/>
  <c r="AY2837" i="5"/>
  <c r="AV2837" i="5"/>
  <c r="AW2837" i="5"/>
  <c r="AU2837" i="5"/>
  <c r="AP2844" i="5"/>
  <c r="AR2843" i="5"/>
  <c r="AX2836" i="5" s="1"/>
  <c r="AR2908" i="5"/>
  <c r="AP2845" i="5" l="1"/>
  <c r="AP2846" i="5" s="1"/>
  <c r="AP2847" i="5" s="1"/>
  <c r="AP2848" i="5" s="1"/>
  <c r="AR2844" i="5"/>
  <c r="AQ2844" i="5" s="1"/>
  <c r="AW2836" i="5" s="1"/>
  <c r="AR2909" i="5"/>
  <c r="AQ2909" i="5" s="1"/>
  <c r="AP2849" i="5" l="1"/>
  <c r="AR2848" i="5"/>
  <c r="AQ2848" i="5" s="1"/>
  <c r="AT2845" i="5" s="1"/>
  <c r="AT2902" i="5"/>
  <c r="AR2910" i="5"/>
  <c r="AV2903" i="5" s="1"/>
  <c r="AX2902" i="5"/>
  <c r="AU2902" i="5"/>
  <c r="AW2902" i="5"/>
  <c r="AV2902" i="5"/>
  <c r="AY2902" i="5"/>
  <c r="AR2849" i="5" l="1"/>
  <c r="AV2842" i="5" s="1"/>
  <c r="AP2850" i="5"/>
  <c r="AP2851" i="5" l="1"/>
  <c r="AR2850" i="5"/>
  <c r="AQ2850" i="5" s="1"/>
  <c r="AU2845" i="5"/>
  <c r="AT2911" i="5"/>
  <c r="AT2846" i="5" l="1"/>
  <c r="AY2845" i="5"/>
  <c r="AP2852" i="5"/>
  <c r="AR2851" i="5"/>
  <c r="AQ2851" i="5" s="1"/>
  <c r="AW2842" i="5" s="1"/>
  <c r="AU2911" i="5"/>
  <c r="AP2853" i="5" l="1"/>
  <c r="AR2852" i="5"/>
  <c r="AQ2852" i="5" s="1"/>
  <c r="AW2845" i="5" s="1"/>
  <c r="AV2845" i="5"/>
  <c r="AX2846" i="5"/>
  <c r="AU2846" i="5"/>
  <c r="AY2846" i="5"/>
  <c r="AW2846" i="5"/>
  <c r="AR2917" i="5"/>
  <c r="AV2911" i="5" s="1"/>
  <c r="AP2854" i="5" l="1"/>
  <c r="AP2855" i="5" s="1"/>
  <c r="AP2856" i="5" s="1"/>
  <c r="AP2857" i="5" s="1"/>
  <c r="AR2853" i="5"/>
  <c r="AV2846" i="5" s="1"/>
  <c r="AX2845" i="5"/>
  <c r="AR2918" i="5"/>
  <c r="AQ2918" i="5" s="1"/>
  <c r="AP2858" i="5" l="1"/>
  <c r="AR2857" i="5"/>
  <c r="AQ2857" i="5" s="1"/>
  <c r="AT2854" i="5" s="1"/>
  <c r="AW2911" i="5"/>
  <c r="AR2919" i="5"/>
  <c r="AQ2919" i="5" s="1"/>
  <c r="AY2911" i="5" s="1"/>
  <c r="AR2858" i="5" l="1"/>
  <c r="AQ2858" i="5" s="1"/>
  <c r="AU2854" i="5" s="1"/>
  <c r="AP2859" i="5"/>
  <c r="AX2911" i="5"/>
  <c r="AY2854" i="5" l="1"/>
  <c r="AR2859" i="5"/>
  <c r="AQ2859" i="5" s="1"/>
  <c r="AP2860" i="5"/>
  <c r="AP2861" i="5" l="1"/>
  <c r="AR2860" i="5"/>
  <c r="AV2854" i="5" s="1"/>
  <c r="AT2927" i="5"/>
  <c r="AY2927" i="5" s="1"/>
  <c r="AR2861" i="5" l="1"/>
  <c r="AQ2861" i="5" s="1"/>
  <c r="AP2862" i="5"/>
  <c r="AR2926" i="5"/>
  <c r="AU2927" i="5"/>
  <c r="AP2863" i="5" l="1"/>
  <c r="AP2864" i="5" s="1"/>
  <c r="AP2865" i="5" s="1"/>
  <c r="AP2866" i="5" s="1"/>
  <c r="AR2862" i="5"/>
  <c r="AQ2862" i="5" s="1"/>
  <c r="AX2854" i="5" s="1"/>
  <c r="AW2854" i="5"/>
  <c r="AR2927" i="5"/>
  <c r="AQ2927" i="5" s="1"/>
  <c r="AT2963" i="5"/>
  <c r="AY2963" i="5" s="1"/>
  <c r="AR2866" i="5" l="1"/>
  <c r="AQ2866" i="5" s="1"/>
  <c r="AT2863" i="5" s="1"/>
  <c r="AP2867" i="5"/>
  <c r="AT2920" i="5"/>
  <c r="AV2920" i="5" s="1"/>
  <c r="AU2920" i="5"/>
  <c r="AX2920" i="5"/>
  <c r="AW2920" i="5"/>
  <c r="AR2928" i="5"/>
  <c r="AY2920" i="5" s="1"/>
  <c r="AV2927" i="5"/>
  <c r="AU2963" i="5"/>
  <c r="AP2868" i="5" l="1"/>
  <c r="AR2867" i="5"/>
  <c r="AU2863" i="5"/>
  <c r="AW2927" i="5"/>
  <c r="AP2869" i="5" l="1"/>
  <c r="AR2868" i="5"/>
  <c r="AQ2868" i="5" s="1"/>
  <c r="AY2863" i="5" l="1"/>
  <c r="AR2869" i="5"/>
  <c r="AV2863" i="5" s="1"/>
  <c r="AP2870" i="5"/>
  <c r="AR2870" i="5" l="1"/>
  <c r="AQ2870" i="5" s="1"/>
  <c r="AP2871" i="5"/>
  <c r="AR2935" i="5"/>
  <c r="AR2871" i="5" l="1"/>
  <c r="AV2864" i="5" s="1"/>
  <c r="AP2872" i="5"/>
  <c r="AP2873" i="5" s="1"/>
  <c r="AP2874" i="5" s="1"/>
  <c r="AP2875" i="5" s="1"/>
  <c r="AW2863" i="5"/>
  <c r="AX2863" i="5"/>
  <c r="AR2936" i="5"/>
  <c r="AQ2936" i="5" s="1"/>
  <c r="AT2939" i="5"/>
  <c r="AR2875" i="5" l="1"/>
  <c r="AQ2875" i="5" s="1"/>
  <c r="AT2872" i="5" s="1"/>
  <c r="AP2876" i="5"/>
  <c r="AT2929" i="5"/>
  <c r="AX2929" i="5" s="1"/>
  <c r="AR2937" i="5"/>
  <c r="AY2929" i="5" s="1"/>
  <c r="AY2939" i="5"/>
  <c r="AW2939" i="5"/>
  <c r="AP2877" i="5" l="1"/>
  <c r="AR2876" i="5"/>
  <c r="AU2872" i="5" s="1"/>
  <c r="AU2929" i="5"/>
  <c r="AW2929" i="5"/>
  <c r="AV2929" i="5"/>
  <c r="AX2927" i="5"/>
  <c r="AX2939" i="5"/>
  <c r="AP2878" i="5" l="1"/>
  <c r="AR2877" i="5"/>
  <c r="AQ2877" i="5" s="1"/>
  <c r="AV2939" i="5"/>
  <c r="AY2872" i="5" l="1"/>
  <c r="AP2879" i="5"/>
  <c r="AR2878" i="5"/>
  <c r="AV2872" i="5" s="1"/>
  <c r="AR2944" i="5"/>
  <c r="AQ2944" i="5" s="1"/>
  <c r="AP2880" i="5" l="1"/>
  <c r="AR2879" i="5"/>
  <c r="AQ2879" i="5" s="1"/>
  <c r="AR2945" i="5"/>
  <c r="AU2939" i="5" s="1"/>
  <c r="AW2872" i="5" l="1"/>
  <c r="AR2880" i="5"/>
  <c r="AX2872" i="5" s="1"/>
  <c r="AP2881" i="5"/>
  <c r="AP2882" i="5" s="1"/>
  <c r="AP2883" i="5" s="1"/>
  <c r="AP2884" i="5" s="1"/>
  <c r="AR2946" i="5"/>
  <c r="AR2884" i="5" l="1"/>
  <c r="AQ2884" i="5" s="1"/>
  <c r="AT2881" i="5" s="1"/>
  <c r="AP2885" i="5"/>
  <c r="AR2885" i="5" l="1"/>
  <c r="AU2881" i="5" s="1"/>
  <c r="AP2886" i="5"/>
  <c r="AT2938" i="5"/>
  <c r="AX2938" i="5" s="1"/>
  <c r="AW2938" i="5"/>
  <c r="AY2938" i="5"/>
  <c r="AV2938" i="5"/>
  <c r="AT2951" i="5"/>
  <c r="AU2938" i="5" l="1"/>
  <c r="AR2886" i="5"/>
  <c r="AQ2886" i="5" s="1"/>
  <c r="AP2887" i="5"/>
  <c r="AR2953" i="5"/>
  <c r="AQ2953" i="5" s="1"/>
  <c r="AU2951" i="5"/>
  <c r="AY2951" i="5"/>
  <c r="AX2951" i="5"/>
  <c r="AV2951" i="5"/>
  <c r="AW2951" i="5"/>
  <c r="AP2888" i="5" l="1"/>
  <c r="AR2887" i="5"/>
  <c r="AQ2887" i="5" s="1"/>
  <c r="AV2881" i="5"/>
  <c r="AY2881" i="5"/>
  <c r="AR2954" i="5"/>
  <c r="AT2949" i="5"/>
  <c r="AR2888" i="5" l="1"/>
  <c r="AQ2888" i="5" s="1"/>
  <c r="AW2881" i="5" s="1"/>
  <c r="AP2889" i="5"/>
  <c r="AR2955" i="5"/>
  <c r="AX2949" i="5" s="1"/>
  <c r="AY2949" i="5"/>
  <c r="AU2949" i="5"/>
  <c r="AT3000" i="5"/>
  <c r="AR2889" i="5" l="1"/>
  <c r="AX2884" i="5" s="1"/>
  <c r="AP2890" i="5"/>
  <c r="AP2891" i="5" s="1"/>
  <c r="AP2892" i="5" s="1"/>
  <c r="AP2893" i="5" s="1"/>
  <c r="AY3000" i="5"/>
  <c r="AP2894" i="5" l="1"/>
  <c r="AR2893" i="5"/>
  <c r="AQ2893" i="5" s="1"/>
  <c r="AT2890" i="5" s="1"/>
  <c r="AX2881" i="5"/>
  <c r="AV2949" i="5"/>
  <c r="AR2894" i="5" l="1"/>
  <c r="AU2890" i="5" s="1"/>
  <c r="AP2895" i="5"/>
  <c r="AP2896" i="5" l="1"/>
  <c r="AR2895" i="5"/>
  <c r="AQ2895" i="5" s="1"/>
  <c r="AR2962" i="5"/>
  <c r="AQ2962" i="5" s="1"/>
  <c r="AT2958" i="5" s="1"/>
  <c r="AY2890" i="5" l="1"/>
  <c r="AR2896" i="5"/>
  <c r="AQ2896" i="5" s="1"/>
  <c r="AP2897" i="5"/>
  <c r="AR2963" i="5"/>
  <c r="AU2958" i="5" s="1"/>
  <c r="AY2958" i="5"/>
  <c r="AP2898" i="5" l="1"/>
  <c r="AR2897" i="5"/>
  <c r="AQ2897" i="5" s="1"/>
  <c r="AV2890" i="5"/>
  <c r="AR2964" i="5"/>
  <c r="AX2958" i="5" s="1"/>
  <c r="AV2963" i="5"/>
  <c r="AW2890" i="5" l="1"/>
  <c r="AR2898" i="5"/>
  <c r="AV2891" i="5" s="1"/>
  <c r="AP2899" i="5"/>
  <c r="AP2900" i="5" s="1"/>
  <c r="AP2901" i="5" s="1"/>
  <c r="AP2902" i="5" s="1"/>
  <c r="AP2903" i="5" l="1"/>
  <c r="AR2902" i="5"/>
  <c r="AQ2902" i="5" s="1"/>
  <c r="AT2899" i="5" s="1"/>
  <c r="AX2890" i="5"/>
  <c r="AP2904" i="5" l="1"/>
  <c r="AR2903" i="5"/>
  <c r="AU2899" i="5" s="1"/>
  <c r="AP2905" i="5" l="1"/>
  <c r="AR2904" i="5"/>
  <c r="AY2899" i="5" s="1"/>
  <c r="AV2958" i="5"/>
  <c r="AR2971" i="5"/>
  <c r="AQ2971" i="5" s="1"/>
  <c r="AT2967" i="5" s="1"/>
  <c r="AR2905" i="5" l="1"/>
  <c r="AQ2905" i="5" s="1"/>
  <c r="AP2906" i="5"/>
  <c r="AR2972" i="5"/>
  <c r="AQ2972" i="5" s="1"/>
  <c r="AY2967" i="5"/>
  <c r="AR2906" i="5" l="1"/>
  <c r="AQ2906" i="5" s="1"/>
  <c r="AX2899" i="5" s="1"/>
  <c r="AP2907" i="5"/>
  <c r="AP2908" i="5" s="1"/>
  <c r="AP2909" i="5" s="1"/>
  <c r="AP2910" i="5" s="1"/>
  <c r="AP2911" i="5" s="1"/>
  <c r="AV2899" i="5"/>
  <c r="AW2899" i="5"/>
  <c r="AW2963" i="5"/>
  <c r="AU2967" i="5"/>
  <c r="AR2973" i="5"/>
  <c r="AX2967" i="5" s="1"/>
  <c r="AR2911" i="5" l="1"/>
  <c r="AQ2911" i="5" s="1"/>
  <c r="AP2912" i="5"/>
  <c r="AP2913" i="5" l="1"/>
  <c r="AR2912" i="5"/>
  <c r="AQ2912" i="5" s="1"/>
  <c r="AT2908" i="5" s="1"/>
  <c r="AX2908" i="5" l="1"/>
  <c r="AR2913" i="5"/>
  <c r="AU2908" i="5" s="1"/>
  <c r="AP2914" i="5"/>
  <c r="AX2963" i="5"/>
  <c r="AP2915" i="5" l="1"/>
  <c r="AR2914" i="5"/>
  <c r="AQ2914" i="5" s="1"/>
  <c r="AV2967" i="5"/>
  <c r="AR2980" i="5"/>
  <c r="AQ2980" i="5" s="1"/>
  <c r="AR3033" i="5"/>
  <c r="AY2908" i="5" l="1"/>
  <c r="AR2915" i="5"/>
  <c r="AV2908" i="5" s="1"/>
  <c r="AP2916" i="5"/>
  <c r="AR2981" i="5"/>
  <c r="AQ2981" i="5" s="1"/>
  <c r="AT2976" i="5"/>
  <c r="AR2916" i="5" l="1"/>
  <c r="AQ2916" i="5" s="1"/>
  <c r="AW2908" i="5" s="1"/>
  <c r="AP2917" i="5"/>
  <c r="AP2918" i="5" s="1"/>
  <c r="AP2919" i="5" s="1"/>
  <c r="AP2920" i="5" s="1"/>
  <c r="AR2982" i="5"/>
  <c r="AX2976" i="5" s="1"/>
  <c r="AY2976" i="5"/>
  <c r="AU2976" i="5"/>
  <c r="AP2921" i="5" l="1"/>
  <c r="AR2920" i="5"/>
  <c r="AQ2920" i="5" s="1"/>
  <c r="AT2915" i="5" s="1"/>
  <c r="AY2915" i="5" l="1"/>
  <c r="AV2915" i="5"/>
  <c r="AU2915" i="5"/>
  <c r="AR2921" i="5"/>
  <c r="AQ2921" i="5" s="1"/>
  <c r="AT2917" i="5" s="1"/>
  <c r="AP2922" i="5"/>
  <c r="AR3043" i="5"/>
  <c r="AP2923" i="5" l="1"/>
  <c r="AR2922" i="5"/>
  <c r="AX2915" i="5" s="1"/>
  <c r="AX2917" i="5"/>
  <c r="AU2917" i="5" l="1"/>
  <c r="AR2923" i="5"/>
  <c r="AQ2923" i="5" s="1"/>
  <c r="AP2924" i="5"/>
  <c r="AV2976" i="5"/>
  <c r="AR2989" i="5"/>
  <c r="AQ2989" i="5" s="1"/>
  <c r="AT2988" i="5"/>
  <c r="AR2924" i="5" l="1"/>
  <c r="AQ2924" i="5" s="1"/>
  <c r="AW2915" i="5" s="1"/>
  <c r="AP2925" i="5"/>
  <c r="AY2917" i="5"/>
  <c r="AV2917" i="5"/>
  <c r="AR2990" i="5"/>
  <c r="AY2988" i="5"/>
  <c r="AU2988" i="5"/>
  <c r="AX2988" i="5"/>
  <c r="AV2988" i="5"/>
  <c r="AW2988" i="5"/>
  <c r="AR3052" i="5"/>
  <c r="AQ3052" i="5" s="1"/>
  <c r="AP2926" i="5" l="1"/>
  <c r="AP2927" i="5" s="1"/>
  <c r="AP2928" i="5" s="1"/>
  <c r="AP2929" i="5" s="1"/>
  <c r="AR2925" i="5"/>
  <c r="AQ2925" i="5" s="1"/>
  <c r="AW2917" i="5" s="1"/>
  <c r="AR2991" i="5"/>
  <c r="AT3048" i="5"/>
  <c r="AP2930" i="5" l="1"/>
  <c r="AR2929" i="5"/>
  <c r="AR2930" i="5" l="1"/>
  <c r="AQ2930" i="5" s="1"/>
  <c r="AT2926" i="5" s="1"/>
  <c r="AP2931" i="5"/>
  <c r="AP2932" i="5" l="1"/>
  <c r="AR2931" i="5"/>
  <c r="AU2926" i="5" s="1"/>
  <c r="AX2926" i="5"/>
  <c r="AR2932" i="5" l="1"/>
  <c r="AQ2932" i="5" s="1"/>
  <c r="AP2933" i="5"/>
  <c r="AR2998" i="5"/>
  <c r="AQ2998" i="5" s="1"/>
  <c r="AT2994" i="5" s="1"/>
  <c r="AP2934" i="5" l="1"/>
  <c r="AR2933" i="5"/>
  <c r="AV2926" i="5" s="1"/>
  <c r="AY2926" i="5"/>
  <c r="AR2999" i="5"/>
  <c r="AU2994" i="5" s="1"/>
  <c r="AY2994" i="5"/>
  <c r="AU3000" i="5"/>
  <c r="AP2935" i="5" l="1"/>
  <c r="AP2936" i="5" s="1"/>
  <c r="AP2937" i="5" s="1"/>
  <c r="AP2938" i="5" s="1"/>
  <c r="AR2934" i="5"/>
  <c r="AQ2934" i="5" s="1"/>
  <c r="AW2926" i="5" s="1"/>
  <c r="AR3000" i="5"/>
  <c r="AX2994" i="5" s="1"/>
  <c r="AR2938" i="5" l="1"/>
  <c r="AP2939" i="5"/>
  <c r="AR2939" i="5" l="1"/>
  <c r="AQ2939" i="5" s="1"/>
  <c r="AT2935" i="5" s="1"/>
  <c r="AP2940" i="5"/>
  <c r="AW3000" i="5"/>
  <c r="AP2941" i="5" l="1"/>
  <c r="AR2940" i="5"/>
  <c r="AU2935" i="5" s="1"/>
  <c r="AX2935" i="5"/>
  <c r="AR2941" i="5" l="1"/>
  <c r="AY2935" i="5" s="1"/>
  <c r="AP2942" i="5"/>
  <c r="AV2994" i="5"/>
  <c r="AR3007" i="5"/>
  <c r="AV3000" i="5" s="1"/>
  <c r="AT3003" i="5"/>
  <c r="AR3070" i="5"/>
  <c r="AP2943" i="5" l="1"/>
  <c r="AR2942" i="5"/>
  <c r="AQ2942" i="5" s="1"/>
  <c r="AV2935" i="5" s="1"/>
  <c r="AR3008" i="5"/>
  <c r="AX3000" i="5" s="1"/>
  <c r="AY3003" i="5"/>
  <c r="AR2943" i="5" l="1"/>
  <c r="AQ2943" i="5" s="1"/>
  <c r="AW2935" i="5" s="1"/>
  <c r="AP2944" i="5"/>
  <c r="AP2945" i="5" s="1"/>
  <c r="AP2946" i="5" s="1"/>
  <c r="AP2947" i="5" s="1"/>
  <c r="AU3003" i="5"/>
  <c r="AR3009" i="5"/>
  <c r="AQ3009" i="5" s="1"/>
  <c r="AR2947" i="5" l="1"/>
  <c r="AQ2947" i="5" s="1"/>
  <c r="AP2948" i="5"/>
  <c r="AX3003" i="5"/>
  <c r="AR3079" i="5"/>
  <c r="AP2949" i="5" l="1"/>
  <c r="AR2948" i="5"/>
  <c r="AQ2948" i="5" s="1"/>
  <c r="AT2944" i="5" s="1"/>
  <c r="AX2944" i="5" s="1"/>
  <c r="AP2950" i="5" l="1"/>
  <c r="AR2949" i="5"/>
  <c r="AU2944" i="5" s="1"/>
  <c r="AR3016" i="5"/>
  <c r="AQ3016" i="5" s="1"/>
  <c r="AP2951" i="5" l="1"/>
  <c r="AR2950" i="5"/>
  <c r="AY2944" i="5" s="1"/>
  <c r="AV3003" i="5"/>
  <c r="AR3017" i="5"/>
  <c r="AQ3017" i="5" s="1"/>
  <c r="AP2952" i="5" l="1"/>
  <c r="AR2951" i="5"/>
  <c r="AV2944" i="5" s="1"/>
  <c r="AR3018" i="5"/>
  <c r="AT3012" i="5"/>
  <c r="AR3089" i="5"/>
  <c r="AQ3089" i="5" s="1"/>
  <c r="AR2952" i="5" l="1"/>
  <c r="AQ2952" i="5" s="1"/>
  <c r="AW2944" i="5" s="1"/>
  <c r="AP2953" i="5"/>
  <c r="AP2954" i="5" s="1"/>
  <c r="AP2955" i="5" s="1"/>
  <c r="AP2956" i="5" s="1"/>
  <c r="AU3012" i="5"/>
  <c r="AT3085" i="5"/>
  <c r="AR2956" i="5" l="1"/>
  <c r="AQ2956" i="5" s="1"/>
  <c r="AP2957" i="5"/>
  <c r="AP2958" i="5" l="1"/>
  <c r="AR2957" i="5"/>
  <c r="AQ2957" i="5" s="1"/>
  <c r="AW2949" i="5" s="1"/>
  <c r="AT3024" i="5"/>
  <c r="AT2953" i="5" l="1"/>
  <c r="AP2959" i="5"/>
  <c r="AR2958" i="5"/>
  <c r="AU3024" i="5"/>
  <c r="AW3024" i="5"/>
  <c r="AX3024" i="5"/>
  <c r="AR2959" i="5" l="1"/>
  <c r="AY2953" i="5" s="1"/>
  <c r="AP2960" i="5"/>
  <c r="AX2953" i="5"/>
  <c r="AU2953" i="5"/>
  <c r="AY3012" i="5"/>
  <c r="AR3026" i="5"/>
  <c r="AQ3026" i="5" s="1"/>
  <c r="AY3024" i="5"/>
  <c r="AP2961" i="5" l="1"/>
  <c r="AR2960" i="5"/>
  <c r="AQ2960" i="5" s="1"/>
  <c r="AV2953" i="5" s="1"/>
  <c r="AR3027" i="5"/>
  <c r="AV3024" i="5"/>
  <c r="AR2961" i="5" l="1"/>
  <c r="AQ2961" i="5" s="1"/>
  <c r="AW2953" i="5" s="1"/>
  <c r="AP2962" i="5"/>
  <c r="AP2963" i="5" s="1"/>
  <c r="AP2964" i="5" s="1"/>
  <c r="AP2965" i="5" s="1"/>
  <c r="AT3023" i="5"/>
  <c r="AP2966" i="5" l="1"/>
  <c r="AR2965" i="5"/>
  <c r="AQ2965" i="5" s="1"/>
  <c r="AT2962" i="5" s="1"/>
  <c r="AU3023" i="5"/>
  <c r="AY3023" i="5"/>
  <c r="AV3023" i="5"/>
  <c r="AP2967" i="5" l="1"/>
  <c r="AR2966" i="5"/>
  <c r="AQ2966" i="5" s="1"/>
  <c r="AW2958" i="5" s="1"/>
  <c r="AX2962" i="5" l="1"/>
  <c r="AP2968" i="5"/>
  <c r="AR2967" i="5"/>
  <c r="AU2962" i="5"/>
  <c r="AR2968" i="5" l="1"/>
  <c r="AQ2968" i="5" s="1"/>
  <c r="AP2969" i="5"/>
  <c r="AP2970" i="5" l="1"/>
  <c r="AR2969" i="5"/>
  <c r="AV2962" i="5" s="1"/>
  <c r="AY2962" i="5"/>
  <c r="AT3032" i="5"/>
  <c r="AR2970" i="5" l="1"/>
  <c r="AQ2970" i="5" s="1"/>
  <c r="AW2962" i="5" s="1"/>
  <c r="AP2971" i="5"/>
  <c r="AP2972" i="5" s="1"/>
  <c r="AP2973" i="5" s="1"/>
  <c r="AP2974" i="5" s="1"/>
  <c r="AX3023" i="5"/>
  <c r="AU3032" i="5"/>
  <c r="AR3115" i="5"/>
  <c r="AP2975" i="5" l="1"/>
  <c r="AR2974" i="5"/>
  <c r="AQ2974" i="5" s="1"/>
  <c r="AT2971" i="5" s="1"/>
  <c r="AW3023" i="5"/>
  <c r="AR3116" i="5"/>
  <c r="AP2976" i="5" l="1"/>
  <c r="AR2975" i="5"/>
  <c r="AQ2975" i="5" s="1"/>
  <c r="AW2967" i="5" s="1"/>
  <c r="AR3035" i="5"/>
  <c r="AQ3035" i="5" s="1"/>
  <c r="AR3117" i="5"/>
  <c r="AQ3117" i="5" s="1"/>
  <c r="AR2976" i="5" l="1"/>
  <c r="AP2977" i="5"/>
  <c r="AX2971" i="5"/>
  <c r="AU2971" i="5"/>
  <c r="AR3036" i="5"/>
  <c r="AW3032" i="5"/>
  <c r="AR2977" i="5" l="1"/>
  <c r="AV2971" i="5" s="1"/>
  <c r="AP2978" i="5"/>
  <c r="AX3032" i="5"/>
  <c r="AR2978" i="5" l="1"/>
  <c r="AY2971" i="5" s="1"/>
  <c r="AP2979" i="5"/>
  <c r="AR2979" i="5" l="1"/>
  <c r="AQ2979" i="5" s="1"/>
  <c r="AW2971" i="5" s="1"/>
  <c r="AP2980" i="5"/>
  <c r="AP2981" i="5" s="1"/>
  <c r="AP2982" i="5" s="1"/>
  <c r="AP2983" i="5" s="1"/>
  <c r="AV3032" i="5"/>
  <c r="AU3048" i="5"/>
  <c r="AR2983" i="5" l="1"/>
  <c r="AQ2983" i="5" s="1"/>
  <c r="AT2980" i="5" s="1"/>
  <c r="AP2984" i="5"/>
  <c r="AR2984" i="5" l="1"/>
  <c r="AQ2984" i="5" s="1"/>
  <c r="AW2976" i="5" s="1"/>
  <c r="AP2985" i="5"/>
  <c r="AU2980" i="5"/>
  <c r="AR3044" i="5"/>
  <c r="AQ3044" i="5" s="1"/>
  <c r="AP2986" i="5" l="1"/>
  <c r="AR2985" i="5"/>
  <c r="AQ2985" i="5" s="1"/>
  <c r="AR3045" i="5"/>
  <c r="AW3048" i="5"/>
  <c r="AX2980" i="5" l="1"/>
  <c r="AR2986" i="5"/>
  <c r="AV2980" i="5" s="1"/>
  <c r="AP2987" i="5"/>
  <c r="AX3048" i="5"/>
  <c r="AR2987" i="5" l="1"/>
  <c r="AQ2987" i="5" s="1"/>
  <c r="AW2980" i="5" s="1"/>
  <c r="AP2988" i="5"/>
  <c r="AP2989" i="5" l="1"/>
  <c r="AP2990" i="5" s="1"/>
  <c r="AP2991" i="5" s="1"/>
  <c r="AP2992" i="5" s="1"/>
  <c r="AR2988" i="5"/>
  <c r="AY2980" i="5" s="1"/>
  <c r="AR2992" i="5" l="1"/>
  <c r="AQ2992" i="5" s="1"/>
  <c r="AT2989" i="5" s="1"/>
  <c r="AP2993" i="5"/>
  <c r="AR2993" i="5" l="1"/>
  <c r="AQ2993" i="5" s="1"/>
  <c r="AT2985" i="5" s="1"/>
  <c r="AP2994" i="5"/>
  <c r="AU2989" i="5"/>
  <c r="AR3053" i="5"/>
  <c r="AQ3053" i="5" s="1"/>
  <c r="AP2995" i="5" l="1"/>
  <c r="AR2994" i="5"/>
  <c r="AX2989" i="5" s="1"/>
  <c r="AW2985" i="5"/>
  <c r="AU2985" i="5"/>
  <c r="AX2985" i="5"/>
  <c r="AY2985" i="5"/>
  <c r="AV2985" i="5"/>
  <c r="AR3054" i="5"/>
  <c r="AY3048" i="5" s="1"/>
  <c r="AR2995" i="5" l="1"/>
  <c r="AV2989" i="5" s="1"/>
  <c r="AP2996" i="5"/>
  <c r="AR2996" i="5" l="1"/>
  <c r="AQ2996" i="5" s="1"/>
  <c r="AW2989" i="5" s="1"/>
  <c r="AP2997" i="5"/>
  <c r="AP2998" i="5" l="1"/>
  <c r="AP2999" i="5" s="1"/>
  <c r="AP3000" i="5" s="1"/>
  <c r="AP3001" i="5" s="1"/>
  <c r="AR2997" i="5"/>
  <c r="AQ2997" i="5" s="1"/>
  <c r="AY2989" i="5" s="1"/>
  <c r="AR3001" i="5" l="1"/>
  <c r="AQ3001" i="5" s="1"/>
  <c r="AT2998" i="5" s="1"/>
  <c r="AP3002" i="5"/>
  <c r="AR3002" i="5" l="1"/>
  <c r="AQ3002" i="5" s="1"/>
  <c r="AW2994" i="5" s="1"/>
  <c r="AP3003" i="5"/>
  <c r="AU2998" i="5"/>
  <c r="AR3062" i="5"/>
  <c r="AQ3062" i="5" s="1"/>
  <c r="AP3004" i="5" l="1"/>
  <c r="AR3003" i="5"/>
  <c r="AX2998" i="5" s="1"/>
  <c r="AR3063" i="5"/>
  <c r="AR3004" i="5" l="1"/>
  <c r="AQ3004" i="5" s="1"/>
  <c r="AV2998" i="5" s="1"/>
  <c r="AP3005" i="5"/>
  <c r="AP3006" i="5" l="1"/>
  <c r="AR3005" i="5"/>
  <c r="AQ3005" i="5" s="1"/>
  <c r="AW2998" i="5" s="1"/>
  <c r="AP3007" i="5" l="1"/>
  <c r="AP3008" i="5" s="1"/>
  <c r="AP3009" i="5" s="1"/>
  <c r="AP3010" i="5" s="1"/>
  <c r="AR3006" i="5"/>
  <c r="AQ3006" i="5" s="1"/>
  <c r="AY2998" i="5" s="1"/>
  <c r="AR3010" i="5" l="1"/>
  <c r="AQ3010" i="5" s="1"/>
  <c r="AT3007" i="5" s="1"/>
  <c r="AP3011" i="5"/>
  <c r="AR3011" i="5" l="1"/>
  <c r="AQ3011" i="5" s="1"/>
  <c r="AW3003" i="5" s="1"/>
  <c r="AP3012" i="5"/>
  <c r="AU3007" i="5"/>
  <c r="AR3071" i="5"/>
  <c r="AQ3071" i="5" s="1"/>
  <c r="AR3012" i="5" l="1"/>
  <c r="AX3007" i="5" s="1"/>
  <c r="AP3013" i="5"/>
  <c r="AR3072" i="5"/>
  <c r="AR3013" i="5" l="1"/>
  <c r="AV3007" i="5" s="1"/>
  <c r="AP3014" i="5"/>
  <c r="AP3015" i="5" l="1"/>
  <c r="AR3014" i="5"/>
  <c r="AQ3014" i="5" s="1"/>
  <c r="AW3007" i="5" s="1"/>
  <c r="AP3016" i="5" l="1"/>
  <c r="AP3017" i="5" s="1"/>
  <c r="AP3018" i="5" s="1"/>
  <c r="AP3019" i="5" s="1"/>
  <c r="AR3015" i="5"/>
  <c r="AY3007" i="5" s="1"/>
  <c r="AU3085" i="5"/>
  <c r="AP3020" i="5" l="1"/>
  <c r="AR3019" i="5"/>
  <c r="AQ3019" i="5" s="1"/>
  <c r="AT3016" i="5" s="1"/>
  <c r="AP3021" i="5" l="1"/>
  <c r="AR3020" i="5"/>
  <c r="AV3012" i="5" s="1"/>
  <c r="AR3080" i="5"/>
  <c r="AQ3080" i="5" s="1"/>
  <c r="AR3021" i="5" l="1"/>
  <c r="AQ3021" i="5" s="1"/>
  <c r="AP3022" i="5"/>
  <c r="AU3016" i="5"/>
  <c r="AT3073" i="5"/>
  <c r="AR3081" i="5"/>
  <c r="AQ3081" i="5" s="1"/>
  <c r="AW3073" i="5" s="1"/>
  <c r="AW3085" i="5"/>
  <c r="AR3022" i="5" l="1"/>
  <c r="AQ3022" i="5" s="1"/>
  <c r="AW3012" i="5" s="1"/>
  <c r="AP3023" i="5"/>
  <c r="AX3012" i="5"/>
  <c r="AX3016" i="5"/>
  <c r="AU3073" i="5"/>
  <c r="AY3073" i="5"/>
  <c r="AV3073" i="5"/>
  <c r="AV3016" i="5" l="1"/>
  <c r="AP3024" i="5"/>
  <c r="AR3023" i="5"/>
  <c r="AQ3023" i="5" s="1"/>
  <c r="AW3016" i="5" s="1"/>
  <c r="AP3025" i="5" l="1"/>
  <c r="AP3026" i="5" s="1"/>
  <c r="AP3027" i="5" s="1"/>
  <c r="AP3028" i="5" s="1"/>
  <c r="AR3024" i="5"/>
  <c r="AY3016" i="5" s="1"/>
  <c r="AP3029" i="5" l="1"/>
  <c r="AR3028" i="5"/>
  <c r="AQ3028" i="5" s="1"/>
  <c r="AT3025" i="5" s="1"/>
  <c r="AP3030" i="5" l="1"/>
  <c r="AR3029" i="5"/>
  <c r="AU3025" i="5" s="1"/>
  <c r="AR3090" i="5"/>
  <c r="AQ3090" i="5" s="1"/>
  <c r="AR3030" i="5" l="1"/>
  <c r="AX3025" i="5" s="1"/>
  <c r="AP3031" i="5"/>
  <c r="AR3031" i="5" l="1"/>
  <c r="AQ3031" i="5" s="1"/>
  <c r="AP3032" i="5"/>
  <c r="AY3085" i="5"/>
  <c r="AP3033" i="5" l="1"/>
  <c r="AP3034" i="5" s="1"/>
  <c r="AP3035" i="5" s="1"/>
  <c r="AP3036" i="5" s="1"/>
  <c r="AP3037" i="5" s="1"/>
  <c r="AR3032" i="5"/>
  <c r="AQ3032" i="5" s="1"/>
  <c r="AW3025" i="5" s="1"/>
  <c r="AY3025" i="5"/>
  <c r="AV3025" i="5"/>
  <c r="AR3037" i="5" l="1"/>
  <c r="AY3032" i="5" s="1"/>
  <c r="AP3038" i="5"/>
  <c r="AR3038" i="5" l="1"/>
  <c r="AQ3038" i="5" s="1"/>
  <c r="AT3034" i="5" s="1"/>
  <c r="AP3039" i="5"/>
  <c r="AP3040" i="5" l="1"/>
  <c r="AR3039" i="5"/>
  <c r="AQ3039" i="5" s="1"/>
  <c r="AU3034" i="5" s="1"/>
  <c r="AY3034" i="5"/>
  <c r="AT3086" i="5"/>
  <c r="AU3086" i="5" s="1"/>
  <c r="AW3086" i="5"/>
  <c r="AV3086" i="5" l="1"/>
  <c r="AY3086" i="5"/>
  <c r="AX3086" i="5"/>
  <c r="AP3041" i="5"/>
  <c r="AR3040" i="5"/>
  <c r="AQ3040" i="5" s="1"/>
  <c r="AT3036" i="5" l="1"/>
  <c r="AX3034" i="5"/>
  <c r="AR3041" i="5"/>
  <c r="AV3034" i="5" s="1"/>
  <c r="AP3042" i="5"/>
  <c r="AR3042" i="5" l="1"/>
  <c r="AQ3042" i="5" s="1"/>
  <c r="AW3034" i="5" s="1"/>
  <c r="AP3043" i="5"/>
  <c r="AP3044" i="5" s="1"/>
  <c r="AP3045" i="5" s="1"/>
  <c r="AP3046" i="5" s="1"/>
  <c r="AU3036" i="5"/>
  <c r="AW3036" i="5"/>
  <c r="AV3036" i="5"/>
  <c r="AY3036" i="5"/>
  <c r="AX3036" i="5"/>
  <c r="AP3047" i="5" l="1"/>
  <c r="AR3046" i="5"/>
  <c r="AR3047" i="5" l="1"/>
  <c r="AQ3047" i="5" s="1"/>
  <c r="AT3043" i="5" s="1"/>
  <c r="AP3048" i="5"/>
  <c r="AP3049" i="5" l="1"/>
  <c r="AR3048" i="5"/>
  <c r="AQ3048" i="5" s="1"/>
  <c r="AT3041" i="5" s="1"/>
  <c r="AY3043" i="5"/>
  <c r="AW3041" i="5" l="1"/>
  <c r="AU3041" i="5"/>
  <c r="AY3041" i="5"/>
  <c r="AV3041" i="5"/>
  <c r="AX3043" i="5"/>
  <c r="AU3043" i="5"/>
  <c r="AR3049" i="5"/>
  <c r="AX3041" i="5" s="1"/>
  <c r="AP3050" i="5"/>
  <c r="AP3051" i="5" l="1"/>
  <c r="AR3050" i="5"/>
  <c r="AV3043" i="5" s="1"/>
  <c r="AP3052" i="5" l="1"/>
  <c r="AP3053" i="5" s="1"/>
  <c r="AP3054" i="5" s="1"/>
  <c r="AP3055" i="5" s="1"/>
  <c r="AR3051" i="5"/>
  <c r="AQ3051" i="5" s="1"/>
  <c r="AW3043" i="5" s="1"/>
  <c r="AR3125" i="5"/>
  <c r="AP3056" i="5" l="1"/>
  <c r="AR3055" i="5"/>
  <c r="AV3048" i="5" s="1"/>
  <c r="AR3126" i="5"/>
  <c r="AQ3126" i="5" s="1"/>
  <c r="AP3057" i="5" l="1"/>
  <c r="AR3056" i="5"/>
  <c r="AQ3056" i="5" s="1"/>
  <c r="AT3052" i="5" s="1"/>
  <c r="AT3121" i="5"/>
  <c r="AX3121" i="5" s="1"/>
  <c r="AY3052" i="5" l="1"/>
  <c r="AP3058" i="5"/>
  <c r="AR3057" i="5"/>
  <c r="AQ3057" i="5" s="1"/>
  <c r="AT3050" i="5" s="1"/>
  <c r="AV3050" i="5" l="1"/>
  <c r="AY3050" i="5"/>
  <c r="AW3050" i="5"/>
  <c r="AU3050" i="5"/>
  <c r="AU3052" i="5"/>
  <c r="AP3059" i="5"/>
  <c r="AR3058" i="5"/>
  <c r="AY3121" i="5"/>
  <c r="AP3060" i="5" l="1"/>
  <c r="AR3059" i="5"/>
  <c r="AV3052" i="5" s="1"/>
  <c r="AX3050" i="5"/>
  <c r="AX3052" i="5"/>
  <c r="AR3060" i="5" l="1"/>
  <c r="AQ3060" i="5" s="1"/>
  <c r="AW3052" i="5" s="1"/>
  <c r="AP3061" i="5"/>
  <c r="AP3062" i="5" s="1"/>
  <c r="AP3063" i="5" s="1"/>
  <c r="AP3064" i="5" s="1"/>
  <c r="AP3065" i="5" l="1"/>
  <c r="AR3064" i="5"/>
  <c r="AR3065" i="5" l="1"/>
  <c r="AQ3065" i="5" s="1"/>
  <c r="AT3061" i="5" s="1"/>
  <c r="AP3066" i="5"/>
  <c r="AP3067" i="5" l="1"/>
  <c r="AR3066" i="5"/>
  <c r="AQ3066" i="5" s="1"/>
  <c r="AT3059" i="5" s="1"/>
  <c r="AX3059" i="5" l="1"/>
  <c r="AW3059" i="5"/>
  <c r="AU3059" i="5"/>
  <c r="AY3059" i="5"/>
  <c r="AV3059" i="5"/>
  <c r="AU3061" i="5"/>
  <c r="AR3067" i="5"/>
  <c r="AP3068" i="5"/>
  <c r="AU3121" i="5"/>
  <c r="AP3069" i="5" l="1"/>
  <c r="AR3068" i="5"/>
  <c r="AV3061" i="5" s="1"/>
  <c r="AY3061" i="5"/>
  <c r="AX3061" i="5"/>
  <c r="AR3142" i="5"/>
  <c r="AQ3142" i="5" s="1"/>
  <c r="AP3070" i="5" l="1"/>
  <c r="AP3071" i="5" s="1"/>
  <c r="AP3072" i="5" s="1"/>
  <c r="AP3073" i="5" s="1"/>
  <c r="AR3069" i="5"/>
  <c r="AQ3069" i="5" s="1"/>
  <c r="AW3061" i="5" s="1"/>
  <c r="AR3073" i="5" l="1"/>
  <c r="AP3074" i="5"/>
  <c r="AW3121" i="5"/>
  <c r="AR3151" i="5"/>
  <c r="AQ3151" i="5" s="1"/>
  <c r="AT3146" i="5" s="1"/>
  <c r="AX3146" i="5" s="1"/>
  <c r="AR3074" i="5" l="1"/>
  <c r="AQ3074" i="5" s="1"/>
  <c r="AT3070" i="5" s="1"/>
  <c r="AP3075" i="5"/>
  <c r="AR3152" i="5"/>
  <c r="AU3146" i="5" s="1"/>
  <c r="AP3076" i="5" l="1"/>
  <c r="AR3075" i="5"/>
  <c r="AQ3075" i="5" s="1"/>
  <c r="AT3068" i="5" s="1"/>
  <c r="AY3070" i="5"/>
  <c r="AR3153" i="5"/>
  <c r="AY3146" i="5" s="1"/>
  <c r="AW3068" i="5" l="1"/>
  <c r="AV3068" i="5"/>
  <c r="AU3068" i="5"/>
  <c r="AY3068" i="5"/>
  <c r="AU3070" i="5"/>
  <c r="AP3077" i="5"/>
  <c r="AR3076" i="5"/>
  <c r="AP3078" i="5" l="1"/>
  <c r="AR3077" i="5"/>
  <c r="AQ3077" i="5" s="1"/>
  <c r="AV3070" i="5" s="1"/>
  <c r="AX3068" i="5"/>
  <c r="AX3070" i="5"/>
  <c r="AR3078" i="5" l="1"/>
  <c r="AQ3078" i="5" s="1"/>
  <c r="AW3070" i="5" s="1"/>
  <c r="AP3079" i="5"/>
  <c r="AP3080" i="5" s="1"/>
  <c r="AP3081" i="5" s="1"/>
  <c r="AP3082" i="5" s="1"/>
  <c r="AR3162" i="5"/>
  <c r="AR3082" i="5" l="1"/>
  <c r="AX3073" i="5" s="1"/>
  <c r="AP3083" i="5"/>
  <c r="AP3084" i="5" l="1"/>
  <c r="AR3083" i="5"/>
  <c r="AQ3083" i="5" s="1"/>
  <c r="AT3079" i="5" s="1"/>
  <c r="AT3158" i="5"/>
  <c r="AX3158" i="5" s="1"/>
  <c r="AY3079" i="5" l="1"/>
  <c r="AP3085" i="5"/>
  <c r="AR3084" i="5"/>
  <c r="AQ3084" i="5" s="1"/>
  <c r="AT3077" i="5" s="1"/>
  <c r="AU3158" i="5"/>
  <c r="AW3146" i="5"/>
  <c r="AV3077" i="5" l="1"/>
  <c r="AY3077" i="5"/>
  <c r="AW3077" i="5"/>
  <c r="AU3077" i="5"/>
  <c r="AU3079" i="5"/>
  <c r="AR3085" i="5"/>
  <c r="AX3077" i="5" s="1"/>
  <c r="AP3086" i="5"/>
  <c r="AR3086" i="5" l="1"/>
  <c r="AV3079" i="5" s="1"/>
  <c r="AP3087" i="5"/>
  <c r="AX3079" i="5"/>
  <c r="AP3088" i="5" l="1"/>
  <c r="AP3089" i="5" s="1"/>
  <c r="AP3090" i="5" s="1"/>
  <c r="AP3091" i="5" s="1"/>
  <c r="AR3087" i="5"/>
  <c r="AQ3087" i="5" s="1"/>
  <c r="AW3079" i="5" s="1"/>
  <c r="AP3092" i="5" l="1"/>
  <c r="AR3091" i="5"/>
  <c r="AQ3091" i="5" s="1"/>
  <c r="AT3088" i="5" s="1"/>
  <c r="AP3093" i="5" l="1"/>
  <c r="AR3092" i="5"/>
  <c r="AV3085" i="5" s="1"/>
  <c r="AR3093" i="5" l="1"/>
  <c r="AQ3093" i="5" s="1"/>
  <c r="AP3094" i="5"/>
  <c r="AY3088" i="5"/>
  <c r="AP3095" i="5" l="1"/>
  <c r="AR3094" i="5"/>
  <c r="AX3085" i="5" s="1"/>
  <c r="AU3088" i="5"/>
  <c r="AV3146" i="5"/>
  <c r="AY3158" i="5"/>
  <c r="AX3088" i="5" l="1"/>
  <c r="AR3095" i="5"/>
  <c r="AQ3095" i="5" s="1"/>
  <c r="AV3088" i="5" s="1"/>
  <c r="AP3096" i="5"/>
  <c r="AP3097" i="5" l="1"/>
  <c r="AP3098" i="5" s="1"/>
  <c r="AP3099" i="5" s="1"/>
  <c r="AP3100" i="5" s="1"/>
  <c r="AR3096" i="5"/>
  <c r="AQ3096" i="5" s="1"/>
  <c r="AW3088" i="5" s="1"/>
  <c r="AP3101" i="5" l="1"/>
  <c r="AR3100" i="5"/>
  <c r="AQ3100" i="5" s="1"/>
  <c r="AR3101" i="5" l="1"/>
  <c r="AQ3101" i="5" s="1"/>
  <c r="AT3097" i="5" s="1"/>
  <c r="AP3102" i="5"/>
  <c r="AR3160" i="5"/>
  <c r="AP3103" i="5" l="1"/>
  <c r="AR3102" i="5"/>
  <c r="AU3097" i="5" s="1"/>
  <c r="AR3161" i="5"/>
  <c r="AQ3161" i="5" s="1"/>
  <c r="AR3189" i="5"/>
  <c r="AP3104" i="5" l="1"/>
  <c r="AR3103" i="5"/>
  <c r="AY3097" i="5" l="1"/>
  <c r="AV3097" i="5"/>
  <c r="AR3104" i="5"/>
  <c r="AX3097" i="5" s="1"/>
  <c r="AP3105" i="5"/>
  <c r="AP3106" i="5" l="1"/>
  <c r="AP3107" i="5" s="1"/>
  <c r="AP3108" i="5" s="1"/>
  <c r="AP3109" i="5" s="1"/>
  <c r="AR3105" i="5"/>
  <c r="AQ3105" i="5" s="1"/>
  <c r="AW3097" i="5" s="1"/>
  <c r="AR3198" i="5"/>
  <c r="AQ3198" i="5" s="1"/>
  <c r="AP3110" i="5" l="1"/>
  <c r="AR3109" i="5"/>
  <c r="AQ3109" i="5" s="1"/>
  <c r="AT3194" i="5"/>
  <c r="AR3168" i="5"/>
  <c r="AP3111" i="5" l="1"/>
  <c r="AR3110" i="5"/>
  <c r="AQ3110" i="5" s="1"/>
  <c r="AT3106" i="5" s="1"/>
  <c r="AR3169" i="5"/>
  <c r="AQ3169" i="5" s="1"/>
  <c r="AT3162" i="5" s="1"/>
  <c r="AR3111" i="5" l="1"/>
  <c r="AU3106" i="5" s="1"/>
  <c r="AP3112" i="5"/>
  <c r="AW3158" i="5"/>
  <c r="AX3162" i="5"/>
  <c r="AV3162" i="5"/>
  <c r="AW3162" i="5"/>
  <c r="AU3162" i="5"/>
  <c r="AR3170" i="5"/>
  <c r="AY3162" i="5" s="1"/>
  <c r="AR3112" i="5" l="1"/>
  <c r="AP3113" i="5"/>
  <c r="AP3114" i="5" l="1"/>
  <c r="AR3113" i="5"/>
  <c r="AQ3113" i="5" s="1"/>
  <c r="AY3106" i="5"/>
  <c r="AV3106" i="5"/>
  <c r="AW3106" i="5" l="1"/>
  <c r="AR3114" i="5"/>
  <c r="AQ3114" i="5" s="1"/>
  <c r="AT3109" i="5" s="1"/>
  <c r="AP3115" i="5"/>
  <c r="AP3116" i="5" s="1"/>
  <c r="AP3117" i="5" s="1"/>
  <c r="AP3118" i="5" s="1"/>
  <c r="AU3109" i="5" l="1"/>
  <c r="AX3109" i="5"/>
  <c r="AV3109" i="5"/>
  <c r="AY3109" i="5"/>
  <c r="AW3109" i="5"/>
  <c r="AX3106" i="5"/>
  <c r="AR3118" i="5"/>
  <c r="AQ3118" i="5" s="1"/>
  <c r="AP3119" i="5"/>
  <c r="AT3206" i="5"/>
  <c r="AR3119" i="5" l="1"/>
  <c r="AQ3119" i="5" s="1"/>
  <c r="AT3115" i="5" s="1"/>
  <c r="AP3120" i="5"/>
  <c r="AR3178" i="5"/>
  <c r="AQ3178" i="5" s="1"/>
  <c r="AT3182" i="5"/>
  <c r="AP3121" i="5" l="1"/>
  <c r="AR3120" i="5"/>
  <c r="AU3115" i="5" s="1"/>
  <c r="AR3179" i="5"/>
  <c r="AQ3179" i="5" s="1"/>
  <c r="AX3182" i="5"/>
  <c r="AV3182" i="5"/>
  <c r="AY3182" i="5"/>
  <c r="AW3182" i="5"/>
  <c r="AP3122" i="5" l="1"/>
  <c r="AR3121" i="5"/>
  <c r="AY3115" i="5" l="1"/>
  <c r="AV3115" i="5"/>
  <c r="AR3122" i="5"/>
  <c r="AQ3122" i="5" s="1"/>
  <c r="AP3123" i="5"/>
  <c r="AR3123" i="5" l="1"/>
  <c r="AQ3123" i="5" s="1"/>
  <c r="AW3115" i="5" s="1"/>
  <c r="AP3124" i="5"/>
  <c r="AP3125" i="5" s="1"/>
  <c r="AP3126" i="5" s="1"/>
  <c r="AP3127" i="5" s="1"/>
  <c r="AR3127" i="5" l="1"/>
  <c r="AQ3127" i="5" s="1"/>
  <c r="AP3128" i="5"/>
  <c r="AX3115" i="5"/>
  <c r="AR3128" i="5" l="1"/>
  <c r="AQ3128" i="5" s="1"/>
  <c r="AT3124" i="5" s="1"/>
  <c r="AP3129" i="5"/>
  <c r="AR3187" i="5"/>
  <c r="AQ3187" i="5" s="1"/>
  <c r="AT3180" i="5" s="1"/>
  <c r="AR3129" i="5" l="1"/>
  <c r="AV3121" i="5" s="1"/>
  <c r="AP3130" i="5"/>
  <c r="AU3124" i="5"/>
  <c r="AY3124" i="5"/>
  <c r="AR3188" i="5"/>
  <c r="AU3182" i="5" s="1"/>
  <c r="AX3180" i="5"/>
  <c r="AV3180" i="5"/>
  <c r="AW3180" i="5"/>
  <c r="AU3180" i="5"/>
  <c r="AR3130" i="5" l="1"/>
  <c r="AQ3130" i="5" s="1"/>
  <c r="AP3131" i="5"/>
  <c r="AY3180" i="5"/>
  <c r="AV3194" i="5"/>
  <c r="AP3132" i="5" l="1"/>
  <c r="AR3131" i="5"/>
  <c r="AQ3131" i="5" s="1"/>
  <c r="AV3124" i="5"/>
  <c r="AP3133" i="5" l="1"/>
  <c r="AP3134" i="5" s="1"/>
  <c r="AP3135" i="5" s="1"/>
  <c r="AP3136" i="5" s="1"/>
  <c r="AR3132" i="5"/>
  <c r="AQ3132" i="5" s="1"/>
  <c r="AW3124" i="5" s="1"/>
  <c r="AR3136" i="5" l="1"/>
  <c r="AQ3136" i="5" s="1"/>
  <c r="AP3137" i="5"/>
  <c r="AX3124" i="5"/>
  <c r="AR3137" i="5" l="1"/>
  <c r="AQ3137" i="5" s="1"/>
  <c r="AT3133" i="5" s="1"/>
  <c r="AP3138" i="5"/>
  <c r="AR3196" i="5"/>
  <c r="AQ3196" i="5" s="1"/>
  <c r="AT3189" i="5" s="1"/>
  <c r="AP3139" i="5" l="1"/>
  <c r="AR3138" i="5"/>
  <c r="AQ3138" i="5" s="1"/>
  <c r="AU3133" i="5" s="1"/>
  <c r="AR3197" i="5"/>
  <c r="AY3189" i="5" s="1"/>
  <c r="AU3189" i="5"/>
  <c r="AW3189" i="5"/>
  <c r="AV3189" i="5"/>
  <c r="AX3189" i="5"/>
  <c r="AP3140" i="5" l="1"/>
  <c r="AR3139" i="5"/>
  <c r="AU3206" i="5"/>
  <c r="AP3141" i="5" l="1"/>
  <c r="AR3140" i="5"/>
  <c r="AQ3140" i="5" s="1"/>
  <c r="AY3133" i="5"/>
  <c r="AV3133" i="5"/>
  <c r="AR3141" i="5" l="1"/>
  <c r="AQ3141" i="5" s="1"/>
  <c r="AW3133" i="5" s="1"/>
  <c r="AP3142" i="5"/>
  <c r="AP3143" i="5" s="1"/>
  <c r="AP3144" i="5" s="1"/>
  <c r="AP3145" i="5" s="1"/>
  <c r="AX3194" i="5"/>
  <c r="AR3145" i="5" l="1"/>
  <c r="AQ3145" i="5" s="1"/>
  <c r="AT3142" i="5" s="1"/>
  <c r="AP3146" i="5"/>
  <c r="AX3133" i="5"/>
  <c r="AT3243" i="5"/>
  <c r="AW3206" i="5"/>
  <c r="AP3147" i="5" l="1"/>
  <c r="AR3146" i="5"/>
  <c r="AR3205" i="5"/>
  <c r="AQ3205" i="5" s="1"/>
  <c r="AT3198" i="5" s="1"/>
  <c r="AY3206" i="5"/>
  <c r="AP3148" i="5" l="1"/>
  <c r="AR3147" i="5"/>
  <c r="AU3142" i="5" s="1"/>
  <c r="AW3194" i="5"/>
  <c r="AX3198" i="5"/>
  <c r="AU3198" i="5"/>
  <c r="AV3198" i="5"/>
  <c r="AW3198" i="5"/>
  <c r="AR3206" i="5"/>
  <c r="AY3198" i="5" s="1"/>
  <c r="AR3148" i="5" l="1"/>
  <c r="AP3149" i="5"/>
  <c r="AR3149" i="5" l="1"/>
  <c r="AQ3149" i="5" s="1"/>
  <c r="AP3150" i="5"/>
  <c r="AY3142" i="5"/>
  <c r="AV3142" i="5"/>
  <c r="AP3151" i="5" l="1"/>
  <c r="AP3152" i="5" s="1"/>
  <c r="AP3153" i="5" s="1"/>
  <c r="AP3154" i="5" s="1"/>
  <c r="AR3150" i="5"/>
  <c r="AQ3150" i="5" s="1"/>
  <c r="AW3142" i="5" s="1"/>
  <c r="AX3142" i="5" l="1"/>
  <c r="AP3155" i="5"/>
  <c r="AR3154" i="5"/>
  <c r="AQ3154" i="5" s="1"/>
  <c r="AR3214" i="5"/>
  <c r="AQ3214" i="5" s="1"/>
  <c r="AR3155" i="5" l="1"/>
  <c r="AQ3155" i="5" s="1"/>
  <c r="AP3156" i="5"/>
  <c r="AR3215" i="5"/>
  <c r="AQ3215" i="5" s="1"/>
  <c r="AR3156" i="5" l="1"/>
  <c r="AQ3156" i="5" s="1"/>
  <c r="AT3151" i="5" s="1"/>
  <c r="AP3157" i="5"/>
  <c r="AT3207" i="5"/>
  <c r="AW3207" i="5" s="1"/>
  <c r="AU3207" i="5"/>
  <c r="AV3207" i="5"/>
  <c r="AX3207" i="5"/>
  <c r="AR3216" i="5"/>
  <c r="AY3207" i="5" l="1"/>
  <c r="AR3157" i="5"/>
  <c r="AU3151" i="5" s="1"/>
  <c r="AP3158" i="5"/>
  <c r="AY3151" i="5"/>
  <c r="AV3206" i="5"/>
  <c r="AR3158" i="5" l="1"/>
  <c r="AQ3158" i="5" s="1"/>
  <c r="AP3159" i="5"/>
  <c r="AP3160" i="5" l="1"/>
  <c r="AP3161" i="5" s="1"/>
  <c r="AP3162" i="5" s="1"/>
  <c r="AP3163" i="5" s="1"/>
  <c r="AR3159" i="5"/>
  <c r="AV3151" i="5" s="1"/>
  <c r="AX3151" i="5"/>
  <c r="AW3151" i="5"/>
  <c r="AR3223" i="5"/>
  <c r="AP3164" i="5" l="1"/>
  <c r="AR3163" i="5"/>
  <c r="AQ3163" i="5" s="1"/>
  <c r="AT3160" i="5" s="1"/>
  <c r="AR3224" i="5"/>
  <c r="AP3165" i="5" l="1"/>
  <c r="AR3164" i="5"/>
  <c r="AU3160" i="5" s="1"/>
  <c r="AR3225" i="5"/>
  <c r="AP3166" i="5" l="1"/>
  <c r="AR3165" i="5"/>
  <c r="AQ3165" i="5" s="1"/>
  <c r="AT3231" i="5"/>
  <c r="AY3160" i="5" l="1"/>
  <c r="AR3166" i="5"/>
  <c r="AV3158" i="5" s="1"/>
  <c r="AP3167" i="5"/>
  <c r="AT3218" i="5"/>
  <c r="AW3218" i="5" s="1"/>
  <c r="AU3231" i="5"/>
  <c r="AX3231" i="5"/>
  <c r="AV3231" i="5"/>
  <c r="AW3231" i="5"/>
  <c r="AP3168" i="5" l="1"/>
  <c r="AP3169" i="5" s="1"/>
  <c r="AP3170" i="5" s="1"/>
  <c r="AP3171" i="5" s="1"/>
  <c r="AP3172" i="5" s="1"/>
  <c r="AR3167" i="5"/>
  <c r="AQ3167" i="5" s="1"/>
  <c r="AV3160" i="5"/>
  <c r="AY3218" i="5"/>
  <c r="AU3218" i="5"/>
  <c r="AX3218" i="5"/>
  <c r="AV3218" i="5"/>
  <c r="AY3231" i="5"/>
  <c r="AX3160" i="5" l="1"/>
  <c r="AW3160" i="5"/>
  <c r="AR3172" i="5"/>
  <c r="AP3173" i="5"/>
  <c r="AR3232" i="5"/>
  <c r="AP3174" i="5" l="1"/>
  <c r="AR3173" i="5"/>
  <c r="AQ3173" i="5" s="1"/>
  <c r="AT3169" i="5" s="1"/>
  <c r="AR3233" i="5"/>
  <c r="AX3169" i="5" l="1"/>
  <c r="AR3174" i="5"/>
  <c r="AQ3174" i="5" s="1"/>
  <c r="AT3171" i="5" s="1"/>
  <c r="AP3175" i="5"/>
  <c r="AR3234" i="5"/>
  <c r="AX3171" i="5" l="1"/>
  <c r="AU3171" i="5"/>
  <c r="AW3171" i="5"/>
  <c r="AV3171" i="5"/>
  <c r="AY3171" i="5"/>
  <c r="AU3169" i="5"/>
  <c r="AP3176" i="5"/>
  <c r="AR3175" i="5"/>
  <c r="AQ3175" i="5" s="1"/>
  <c r="AT3170" i="5" s="1"/>
  <c r="AP3177" i="5" l="1"/>
  <c r="AR3176" i="5"/>
  <c r="AU3170" i="5" s="1"/>
  <c r="AV3170" i="5"/>
  <c r="AX3170" i="5"/>
  <c r="AY3170" i="5"/>
  <c r="AW3170" i="5"/>
  <c r="AY3169" i="5"/>
  <c r="AT3227" i="5"/>
  <c r="AW3227" i="5" s="1"/>
  <c r="AX3227" i="5"/>
  <c r="AV3227" i="5" l="1"/>
  <c r="AY3227" i="5"/>
  <c r="AU3227" i="5"/>
  <c r="AV3169" i="5"/>
  <c r="AP3178" i="5"/>
  <c r="AP3179" i="5" s="1"/>
  <c r="AP3180" i="5" s="1"/>
  <c r="AP3181" i="5" s="1"/>
  <c r="AR3177" i="5"/>
  <c r="AQ3177" i="5" s="1"/>
  <c r="AW3169" i="5" s="1"/>
  <c r="AX3243" i="5"/>
  <c r="AR3181" i="5" l="1"/>
  <c r="AP3182" i="5"/>
  <c r="AR3241" i="5"/>
  <c r="AP3183" i="5" l="1"/>
  <c r="AR3182" i="5"/>
  <c r="AQ3182" i="5" s="1"/>
  <c r="AT3178" i="5" s="1"/>
  <c r="AR3242" i="5"/>
  <c r="AX3178" i="5" l="1"/>
  <c r="AP3184" i="5"/>
  <c r="AR3183" i="5"/>
  <c r="AQ3183" i="5" s="1"/>
  <c r="AU3178" i="5" s="1"/>
  <c r="AR3243" i="5"/>
  <c r="AR3184" i="5" l="1"/>
  <c r="AY3178" i="5" s="1"/>
  <c r="AP3185" i="5"/>
  <c r="AR3185" i="5" l="1"/>
  <c r="AV3178" i="5" s="1"/>
  <c r="AP3186" i="5"/>
  <c r="AR3186" i="5" l="1"/>
  <c r="AQ3186" i="5" s="1"/>
  <c r="AW3178" i="5" s="1"/>
  <c r="AP3187" i="5"/>
  <c r="AP3188" i="5" s="1"/>
  <c r="AP3189" i="5" s="1"/>
  <c r="AP3190" i="5" s="1"/>
  <c r="AR3190" i="5" l="1"/>
  <c r="AP3191" i="5"/>
  <c r="AR3250" i="5"/>
  <c r="AV3243" i="5" s="1"/>
  <c r="AP3192" i="5" l="1"/>
  <c r="AR3191" i="5"/>
  <c r="AQ3191" i="5" s="1"/>
  <c r="AT3187" i="5" s="1"/>
  <c r="AR3251" i="5"/>
  <c r="AQ3251" i="5" s="1"/>
  <c r="AX3187" i="5" l="1"/>
  <c r="AR3192" i="5"/>
  <c r="AQ3192" i="5" s="1"/>
  <c r="AU3187" i="5" s="1"/>
  <c r="AP3193" i="5"/>
  <c r="AU3243" i="5"/>
  <c r="AW3243" i="5"/>
  <c r="AR3252" i="5"/>
  <c r="AY3243" i="5" s="1"/>
  <c r="AP3194" i="5" l="1"/>
  <c r="AR3193" i="5"/>
  <c r="AY3187" i="5" s="1"/>
  <c r="AP3195" i="5" l="1"/>
  <c r="AR3194" i="5"/>
  <c r="AV3187" i="5" s="1"/>
  <c r="AR3195" i="5" l="1"/>
  <c r="AQ3195" i="5" s="1"/>
  <c r="AW3187" i="5" s="1"/>
  <c r="AP3196" i="5"/>
  <c r="AP3197" i="5" s="1"/>
  <c r="AP3198" i="5" s="1"/>
  <c r="AP3199" i="5" s="1"/>
  <c r="AP3200" i="5" l="1"/>
  <c r="AR3199" i="5"/>
  <c r="AU3194" i="5" s="1"/>
  <c r="AR3259" i="5"/>
  <c r="AQ3259" i="5" s="1"/>
  <c r="AT3255" i="5" s="1"/>
  <c r="AP3201" i="5" l="1"/>
  <c r="AR3200" i="5"/>
  <c r="AQ3200" i="5" s="1"/>
  <c r="AT3196" i="5" s="1"/>
  <c r="AR3260" i="5"/>
  <c r="AU3255" i="5" s="1"/>
  <c r="AX3255" i="5"/>
  <c r="AY3255" i="5"/>
  <c r="AW3255" i="5"/>
  <c r="AV3255" i="5"/>
  <c r="AT3316" i="5"/>
  <c r="AY3316" i="5" s="1"/>
  <c r="AX3196" i="5" l="1"/>
  <c r="AP3202" i="5"/>
  <c r="AR3201" i="5"/>
  <c r="AQ3201" i="5" s="1"/>
  <c r="AU3196" i="5" s="1"/>
  <c r="AR3261" i="5"/>
  <c r="AP3203" i="5" l="1"/>
  <c r="AR3202" i="5"/>
  <c r="AY3194" i="5" s="1"/>
  <c r="AT3267" i="5"/>
  <c r="AP3204" i="5" l="1"/>
  <c r="AR3203" i="5"/>
  <c r="AQ3203" i="5" s="1"/>
  <c r="AV3196" i="5" s="1"/>
  <c r="AY3196" i="5"/>
  <c r="AU3267" i="5"/>
  <c r="AX3267" i="5"/>
  <c r="AV3267" i="5"/>
  <c r="AY3267" i="5"/>
  <c r="AW3267" i="5"/>
  <c r="AP3205" i="5" l="1"/>
  <c r="AP3206" i="5" s="1"/>
  <c r="AP3207" i="5" s="1"/>
  <c r="AP3208" i="5" s="1"/>
  <c r="AR3204" i="5"/>
  <c r="AQ3204" i="5" s="1"/>
  <c r="AW3196" i="5" s="1"/>
  <c r="AP3209" i="5" l="1"/>
  <c r="AR3208" i="5"/>
  <c r="AR3268" i="5"/>
  <c r="AP3210" i="5" l="1"/>
  <c r="AR3209" i="5"/>
  <c r="AQ3209" i="5" s="1"/>
  <c r="AT3205" i="5" s="1"/>
  <c r="AR3269" i="5"/>
  <c r="AX3205" i="5" l="1"/>
  <c r="AP3211" i="5"/>
  <c r="AR3210" i="5"/>
  <c r="AQ3210" i="5" s="1"/>
  <c r="AU3205" i="5" s="1"/>
  <c r="AR3270" i="5"/>
  <c r="AP3212" i="5" l="1"/>
  <c r="AR3211" i="5"/>
  <c r="AQ3211" i="5" s="1"/>
  <c r="AR3212" i="5" l="1"/>
  <c r="AX3206" i="5" s="1"/>
  <c r="AP3213" i="5"/>
  <c r="AV3205" i="5"/>
  <c r="AY3205" i="5"/>
  <c r="AT3263" i="5"/>
  <c r="AW3263" i="5"/>
  <c r="AX3263" i="5"/>
  <c r="AU3263" i="5"/>
  <c r="AV3263" i="5"/>
  <c r="AY3263" i="5"/>
  <c r="AR3213" i="5" l="1"/>
  <c r="AQ3213" i="5" s="1"/>
  <c r="AW3205" i="5" s="1"/>
  <c r="AP3214" i="5"/>
  <c r="AP3215" i="5" s="1"/>
  <c r="AP3216" i="5" s="1"/>
  <c r="AP3217" i="5" s="1"/>
  <c r="AT3272" i="5"/>
  <c r="AR3217" i="5" l="1"/>
  <c r="AP3218" i="5"/>
  <c r="AY3272" i="5"/>
  <c r="AR3277" i="5"/>
  <c r="AU3272" i="5" s="1"/>
  <c r="AP3219" i="5" l="1"/>
  <c r="AR3218" i="5"/>
  <c r="AQ3218" i="5" s="1"/>
  <c r="AT3214" i="5" s="1"/>
  <c r="AR3278" i="5"/>
  <c r="AX3272" i="5" s="1"/>
  <c r="AX3214" i="5" l="1"/>
  <c r="AR3219" i="5"/>
  <c r="AU3214" i="5" s="1"/>
  <c r="AP3220" i="5"/>
  <c r="AR3279" i="5"/>
  <c r="AV3272" i="5" s="1"/>
  <c r="AR3220" i="5" l="1"/>
  <c r="AY3214" i="5" s="1"/>
  <c r="AP3221" i="5"/>
  <c r="AR3221" i="5" l="1"/>
  <c r="AV3214" i="5" s="1"/>
  <c r="AP3222" i="5"/>
  <c r="AW3272" i="5"/>
  <c r="AP3223" i="5" l="1"/>
  <c r="AP3224" i="5" s="1"/>
  <c r="AP3225" i="5" s="1"/>
  <c r="AP3226" i="5" s="1"/>
  <c r="AR3222" i="5"/>
  <c r="AQ3222" i="5" s="1"/>
  <c r="AW3214" i="5" s="1"/>
  <c r="AR3286" i="5"/>
  <c r="AP3227" i="5" l="1"/>
  <c r="AR3226" i="5"/>
  <c r="AQ3226" i="5" s="1"/>
  <c r="AT3223" i="5" s="1"/>
  <c r="AR3287" i="5"/>
  <c r="AQ3287" i="5" s="1"/>
  <c r="AP3228" i="5" l="1"/>
  <c r="AR3227" i="5"/>
  <c r="AX3223" i="5" s="1"/>
  <c r="AR3288" i="5"/>
  <c r="AQ3288" i="5" s="1"/>
  <c r="AT3352" i="5"/>
  <c r="AY3352" i="5" s="1"/>
  <c r="AR3358" i="5"/>
  <c r="AR3228" i="5" l="1"/>
  <c r="AU3223" i="5" s="1"/>
  <c r="AP3229" i="5"/>
  <c r="AU3352" i="5"/>
  <c r="AP3230" i="5" l="1"/>
  <c r="AR3229" i="5"/>
  <c r="AY3223" i="5" s="1"/>
  <c r="AP3231" i="5" l="1"/>
  <c r="AR3230" i="5"/>
  <c r="AV3223" i="5" s="1"/>
  <c r="AP3232" i="5" l="1"/>
  <c r="AP3233" i="5" s="1"/>
  <c r="AP3234" i="5" s="1"/>
  <c r="AP3235" i="5" s="1"/>
  <c r="AR3231" i="5"/>
  <c r="AQ3231" i="5" s="1"/>
  <c r="AW3223" i="5" s="1"/>
  <c r="AR3295" i="5"/>
  <c r="AQ3295" i="5" s="1"/>
  <c r="AR3368" i="5"/>
  <c r="AQ3368" i="5" s="1"/>
  <c r="AP3236" i="5" l="1"/>
  <c r="AR3235" i="5"/>
  <c r="AQ3235" i="5" s="1"/>
  <c r="AT3232" i="5" s="1"/>
  <c r="AR3296" i="5"/>
  <c r="AQ3296" i="5" s="1"/>
  <c r="AT3364" i="5"/>
  <c r="AP3237" i="5" l="1"/>
  <c r="AR3236" i="5"/>
  <c r="AU3232" i="5" s="1"/>
  <c r="AT3291" i="5"/>
  <c r="AY3291" i="5"/>
  <c r="AX3291" i="5"/>
  <c r="AV3291" i="5"/>
  <c r="AW3291" i="5"/>
  <c r="AR3297" i="5"/>
  <c r="AU3291" i="5" s="1"/>
  <c r="AP3238" i="5" l="1"/>
  <c r="AR3237" i="5"/>
  <c r="AX3232" i="5" s="1"/>
  <c r="AR3238" i="5" l="1"/>
  <c r="AV3232" i="5" s="1"/>
  <c r="AP3239" i="5"/>
  <c r="AT3303" i="5"/>
  <c r="AP3240" i="5" l="1"/>
  <c r="AR3239" i="5"/>
  <c r="AQ3239" i="5" s="1"/>
  <c r="AU3303" i="5"/>
  <c r="AY3303" i="5"/>
  <c r="AX3303" i="5"/>
  <c r="AV3303" i="5"/>
  <c r="AW3303" i="5"/>
  <c r="AY3232" i="5" l="1"/>
  <c r="AR3240" i="5"/>
  <c r="AQ3240" i="5" s="1"/>
  <c r="AT3236" i="5" s="1"/>
  <c r="AP3241" i="5"/>
  <c r="AP3242" i="5" s="1"/>
  <c r="AP3243" i="5" s="1"/>
  <c r="AP3244" i="5" s="1"/>
  <c r="AR3304" i="5"/>
  <c r="AQ3304" i="5" s="1"/>
  <c r="AY3236" i="5" l="1"/>
  <c r="AX3236" i="5"/>
  <c r="AU3236" i="5"/>
  <c r="AV3236" i="5"/>
  <c r="AW3236" i="5"/>
  <c r="AP3245" i="5"/>
  <c r="AR3244" i="5"/>
  <c r="AQ3244" i="5" s="1"/>
  <c r="AT3241" i="5" s="1"/>
  <c r="AW3232" i="5"/>
  <c r="AR3305" i="5"/>
  <c r="AR3245" i="5" l="1"/>
  <c r="AP3246" i="5"/>
  <c r="AU3241" i="5"/>
  <c r="AR3306" i="5"/>
  <c r="AR3246" i="5" l="1"/>
  <c r="AX3241" i="5" s="1"/>
  <c r="AP3247" i="5"/>
  <c r="AR3247" i="5" l="1"/>
  <c r="AQ3247" i="5" s="1"/>
  <c r="AP3248" i="5"/>
  <c r="AR3248" i="5" l="1"/>
  <c r="AQ3248" i="5" s="1"/>
  <c r="AW3241" i="5" s="1"/>
  <c r="AP3249" i="5"/>
  <c r="AV3241" i="5"/>
  <c r="AT3301" i="5"/>
  <c r="AV3301" i="5" s="1"/>
  <c r="AU3301" i="5"/>
  <c r="AW3301" i="5"/>
  <c r="AR3385" i="5"/>
  <c r="AQ3385" i="5" s="1"/>
  <c r="AY3301" i="5" l="1"/>
  <c r="AP3250" i="5"/>
  <c r="AP3251" i="5" s="1"/>
  <c r="AP3252" i="5" s="1"/>
  <c r="AP3253" i="5" s="1"/>
  <c r="AR3249" i="5"/>
  <c r="AQ3249" i="5" s="1"/>
  <c r="AU3316" i="5"/>
  <c r="AP3254" i="5" l="1"/>
  <c r="AR3253" i="5"/>
  <c r="AQ3253" i="5" s="1"/>
  <c r="AT3250" i="5" s="1"/>
  <c r="AT3245" i="5"/>
  <c r="AY3241" i="5"/>
  <c r="AX3245" i="5" l="1"/>
  <c r="AV3245" i="5"/>
  <c r="AY3245" i="5"/>
  <c r="AU3245" i="5"/>
  <c r="AW3245" i="5"/>
  <c r="AP3255" i="5"/>
  <c r="AR3254" i="5"/>
  <c r="AU3250" i="5" s="1"/>
  <c r="AR3394" i="5"/>
  <c r="AP3256" i="5" l="1"/>
  <c r="AR3255" i="5"/>
  <c r="AX3250" i="5" s="1"/>
  <c r="AR3313" i="5"/>
  <c r="AQ3313" i="5" s="1"/>
  <c r="AW3316" i="5"/>
  <c r="AR3395" i="5"/>
  <c r="AR3256" i="5" l="1"/>
  <c r="AV3250" i="5" s="1"/>
  <c r="AP3257" i="5"/>
  <c r="AR3314" i="5"/>
  <c r="AP3258" i="5" l="1"/>
  <c r="AR3257" i="5"/>
  <c r="AQ3257" i="5" s="1"/>
  <c r="AR3315" i="5"/>
  <c r="AW3250" i="5" l="1"/>
  <c r="AR3258" i="5"/>
  <c r="AQ3258" i="5" s="1"/>
  <c r="AT3254" i="5" s="1"/>
  <c r="AP3259" i="5"/>
  <c r="AP3260" i="5" s="1"/>
  <c r="AP3261" i="5" s="1"/>
  <c r="AP3262" i="5" s="1"/>
  <c r="AY3250" i="5" l="1"/>
  <c r="AY3254" i="5"/>
  <c r="AX3254" i="5"/>
  <c r="AV3254" i="5"/>
  <c r="AU3254" i="5"/>
  <c r="AW3254" i="5"/>
  <c r="AR3262" i="5"/>
  <c r="AQ3262" i="5" s="1"/>
  <c r="AT3259" i="5" s="1"/>
  <c r="AP3263" i="5"/>
  <c r="AP3264" i="5" l="1"/>
  <c r="AR3263" i="5"/>
  <c r="AQ3263" i="5" s="1"/>
  <c r="AT3310" i="5"/>
  <c r="AW3310" i="5" s="1"/>
  <c r="AU3310" i="5"/>
  <c r="AY3310" i="5"/>
  <c r="AU3259" i="5" l="1"/>
  <c r="AV3310" i="5"/>
  <c r="AP3265" i="5"/>
  <c r="AR3264" i="5"/>
  <c r="AX3259" i="5" s="1"/>
  <c r="AR3322" i="5"/>
  <c r="AQ3322" i="5" s="1"/>
  <c r="AR3265" i="5" l="1"/>
  <c r="AV3259" i="5" s="1"/>
  <c r="AP3266" i="5"/>
  <c r="AR3323" i="5"/>
  <c r="AX3316" i="5" s="1"/>
  <c r="AR3266" i="5" l="1"/>
  <c r="AQ3266" i="5" s="1"/>
  <c r="AW3259" i="5" s="1"/>
  <c r="AP3267" i="5"/>
  <c r="AR3324" i="5"/>
  <c r="AV3316" i="5" s="1"/>
  <c r="AP3268" i="5" l="1"/>
  <c r="AP3269" i="5" s="1"/>
  <c r="AP3270" i="5" s="1"/>
  <c r="AP3271" i="5" s="1"/>
  <c r="AR3267" i="5"/>
  <c r="AQ3267" i="5" s="1"/>
  <c r="AY3259" i="5" s="1"/>
  <c r="AP3272" i="5" l="1"/>
  <c r="AR3271" i="5"/>
  <c r="AQ3271" i="5" s="1"/>
  <c r="AT3268" i="5" s="1"/>
  <c r="AP3273" i="5" l="1"/>
  <c r="AR3272" i="5"/>
  <c r="AU3268" i="5" s="1"/>
  <c r="AR3273" i="5" l="1"/>
  <c r="AX3268" i="5" s="1"/>
  <c r="AP3274" i="5"/>
  <c r="AR3331" i="5"/>
  <c r="AQ3331" i="5" s="1"/>
  <c r="AT3328" i="5" s="1"/>
  <c r="AR3274" i="5" l="1"/>
  <c r="AV3268" i="5" s="1"/>
  <c r="AP3275" i="5"/>
  <c r="AR3332" i="5"/>
  <c r="AU3328" i="5" s="1"/>
  <c r="AP3276" i="5" l="1"/>
  <c r="AR3275" i="5"/>
  <c r="AQ3275" i="5" s="1"/>
  <c r="AW3268" i="5" s="1"/>
  <c r="AR3333" i="5"/>
  <c r="AQ3333" i="5" s="1"/>
  <c r="AP3277" i="5" l="1"/>
  <c r="AP3278" i="5" s="1"/>
  <c r="AP3279" i="5" s="1"/>
  <c r="AP3280" i="5" s="1"/>
  <c r="AR3276" i="5"/>
  <c r="AQ3276" i="5" s="1"/>
  <c r="AY3268" i="5" s="1"/>
  <c r="AY3328" i="5"/>
  <c r="AR3280" i="5" l="1"/>
  <c r="AQ3280" i="5" s="1"/>
  <c r="AT3277" i="5" s="1"/>
  <c r="AP3281" i="5"/>
  <c r="AR3281" i="5" l="1"/>
  <c r="AP3282" i="5"/>
  <c r="AU3277" i="5"/>
  <c r="AW3328" i="5"/>
  <c r="AP3283" i="5" l="1"/>
  <c r="AR3282" i="5"/>
  <c r="AX3277" i="5" s="1"/>
  <c r="AR3340" i="5"/>
  <c r="AQ3340" i="5" s="1"/>
  <c r="AT3337" i="5" s="1"/>
  <c r="AR3283" i="5" l="1"/>
  <c r="AQ3283" i="5" s="1"/>
  <c r="AP3284" i="5"/>
  <c r="AR3341" i="5"/>
  <c r="AU3337" i="5" s="1"/>
  <c r="AP3285" i="5" l="1"/>
  <c r="AR3284" i="5"/>
  <c r="AQ3284" i="5" s="1"/>
  <c r="AT3279" i="5" s="1"/>
  <c r="AV3277" i="5"/>
  <c r="AR3342" i="5"/>
  <c r="AY3337" i="5" s="1"/>
  <c r="AU3279" i="5" l="1"/>
  <c r="AX3279" i="5"/>
  <c r="AW3279" i="5"/>
  <c r="AY3279" i="5"/>
  <c r="AV3279" i="5"/>
  <c r="AW3277" i="5"/>
  <c r="AP3286" i="5"/>
  <c r="AP3287" i="5" s="1"/>
  <c r="AP3288" i="5" s="1"/>
  <c r="AP3289" i="5" s="1"/>
  <c r="AR3285" i="5"/>
  <c r="AQ3285" i="5" s="1"/>
  <c r="AT3281" i="5" s="1"/>
  <c r="AX3352" i="5"/>
  <c r="AX3281" i="5" l="1"/>
  <c r="AU3281" i="5"/>
  <c r="AV3281" i="5"/>
  <c r="AY3281" i="5"/>
  <c r="AP3290" i="5"/>
  <c r="AR3289" i="5"/>
  <c r="AQ3289" i="5" s="1"/>
  <c r="AT3286" i="5" s="1"/>
  <c r="AY3277" i="5"/>
  <c r="AP3291" i="5" l="1"/>
  <c r="AR3290" i="5"/>
  <c r="AQ3290" i="5" s="1"/>
  <c r="AW3281" i="5" s="1"/>
  <c r="AW3337" i="5"/>
  <c r="AR3291" i="5" l="1"/>
  <c r="AX3286" i="5" s="1"/>
  <c r="AP3292" i="5"/>
  <c r="AU3286" i="5"/>
  <c r="AR3349" i="5"/>
  <c r="AQ3349" i="5" s="1"/>
  <c r="AX3337" i="5"/>
  <c r="AR3292" i="5" l="1"/>
  <c r="AV3286" i="5" s="1"/>
  <c r="AP3293" i="5"/>
  <c r="AR3350" i="5"/>
  <c r="AR3293" i="5" l="1"/>
  <c r="AQ3293" i="5" s="1"/>
  <c r="AP3294" i="5"/>
  <c r="AP3295" i="5" s="1"/>
  <c r="AP3296" i="5" s="1"/>
  <c r="AP3297" i="5" s="1"/>
  <c r="AP3298" i="5" s="1"/>
  <c r="AR3351" i="5"/>
  <c r="AP3299" i="5" l="1"/>
  <c r="AR3298" i="5"/>
  <c r="AY3286" i="5"/>
  <c r="AW3286" i="5"/>
  <c r="AR3299" i="5" l="1"/>
  <c r="AQ3299" i="5" s="1"/>
  <c r="AT3295" i="5" s="1"/>
  <c r="AP3300" i="5"/>
  <c r="AU3364" i="5"/>
  <c r="AP3301" i="5" l="1"/>
  <c r="AR3300" i="5"/>
  <c r="AQ3300" i="5" s="1"/>
  <c r="AT3292" i="5" s="1"/>
  <c r="AY3295" i="5"/>
  <c r="AW3292" i="5" l="1"/>
  <c r="AX3292" i="5"/>
  <c r="AU3292" i="5"/>
  <c r="AV3292" i="5"/>
  <c r="AY3292" i="5"/>
  <c r="AU3295" i="5"/>
  <c r="AR3301" i="5"/>
  <c r="AX3295" i="5" s="1"/>
  <c r="AP3302" i="5"/>
  <c r="AR3359" i="5"/>
  <c r="AQ3359" i="5" s="1"/>
  <c r="AR3302" i="5" l="1"/>
  <c r="AV3295" i="5" s="1"/>
  <c r="AP3303" i="5"/>
  <c r="AR3360" i="5"/>
  <c r="AV3352" i="5" s="1"/>
  <c r="AW3364" i="5"/>
  <c r="AP3304" i="5" l="1"/>
  <c r="AP3305" i="5" s="1"/>
  <c r="AP3306" i="5" s="1"/>
  <c r="AP3307" i="5" s="1"/>
  <c r="AR3303" i="5"/>
  <c r="AQ3303" i="5" s="1"/>
  <c r="AW3295" i="5" s="1"/>
  <c r="AP3308" i="5" l="1"/>
  <c r="AR3307" i="5"/>
  <c r="AW3352" i="5"/>
  <c r="AP3309" i="5" l="1"/>
  <c r="AR3308" i="5"/>
  <c r="AQ3308" i="5" s="1"/>
  <c r="AT3304" i="5" s="1"/>
  <c r="AY3304" i="5" l="1"/>
  <c r="AR3309" i="5"/>
  <c r="AX3301" i="5" s="1"/>
  <c r="AP3310" i="5"/>
  <c r="AR3310" i="5" l="1"/>
  <c r="AX3304" i="5" s="1"/>
  <c r="AP3311" i="5"/>
  <c r="AU3304" i="5"/>
  <c r="AR3369" i="5"/>
  <c r="AY3364" i="5" s="1"/>
  <c r="AP3312" i="5" l="1"/>
  <c r="AR3311" i="5"/>
  <c r="AV3304" i="5" s="1"/>
  <c r="AX3364" i="5"/>
  <c r="AR3312" i="5" l="1"/>
  <c r="AQ3312" i="5" s="1"/>
  <c r="AW3304" i="5" s="1"/>
  <c r="AP3313" i="5"/>
  <c r="AP3314" i="5" s="1"/>
  <c r="AP3315" i="5" s="1"/>
  <c r="AP3316" i="5" s="1"/>
  <c r="AT3366" i="5"/>
  <c r="AX3366" i="5" s="1"/>
  <c r="AP3317" i="5" l="1"/>
  <c r="AR3316" i="5"/>
  <c r="AU3366" i="5"/>
  <c r="AR3317" i="5" l="1"/>
  <c r="AQ3317" i="5" s="1"/>
  <c r="AT3313" i="5" s="1"/>
  <c r="AP3318" i="5"/>
  <c r="AP3319" i="5" l="1"/>
  <c r="AR3318" i="5"/>
  <c r="AX3310" i="5" s="1"/>
  <c r="AU3313" i="5"/>
  <c r="AY3313" i="5"/>
  <c r="AV3366" i="5"/>
  <c r="AP3320" i="5" l="1"/>
  <c r="AR3319" i="5"/>
  <c r="AX3313" i="5" s="1"/>
  <c r="AR3378" i="5"/>
  <c r="AR3320" i="5" l="1"/>
  <c r="AV3313" i="5" s="1"/>
  <c r="AP3321" i="5"/>
  <c r="AR3321" i="5" l="1"/>
  <c r="AQ3321" i="5" s="1"/>
  <c r="AW3313" i="5" s="1"/>
  <c r="AP3322" i="5"/>
  <c r="AP3323" i="5" s="1"/>
  <c r="AP3324" i="5" s="1"/>
  <c r="AP3325" i="5" s="1"/>
  <c r="AT3388" i="5"/>
  <c r="AR3325" i="5" l="1"/>
  <c r="AQ3325" i="5" s="1"/>
  <c r="AP3326" i="5"/>
  <c r="AW3388" i="5"/>
  <c r="AU3388" i="5"/>
  <c r="AY3388" i="5"/>
  <c r="AV3388" i="5"/>
  <c r="AP3327" i="5" l="1"/>
  <c r="AR3326" i="5"/>
  <c r="AQ3326" i="5" s="1"/>
  <c r="AT3319" i="5" s="1"/>
  <c r="AX3388" i="5"/>
  <c r="AY3319" i="5" l="1"/>
  <c r="AU3319" i="5"/>
  <c r="AW3319" i="5"/>
  <c r="AV3319" i="5"/>
  <c r="AT3322" i="5"/>
  <c r="AP3328" i="5"/>
  <c r="AR3327" i="5"/>
  <c r="AX3319" i="5" s="1"/>
  <c r="AU3322" i="5" l="1"/>
  <c r="AY3322" i="5"/>
  <c r="AR3328" i="5"/>
  <c r="AX3322" i="5" s="1"/>
  <c r="AP3329" i="5"/>
  <c r="AR3387" i="5"/>
  <c r="AR3329" i="5" l="1"/>
  <c r="AV3322" i="5" s="1"/>
  <c r="AP3330" i="5"/>
  <c r="AR3330" i="5" l="1"/>
  <c r="AQ3330" i="5" s="1"/>
  <c r="AW3322" i="5" s="1"/>
  <c r="AP3331" i="5"/>
  <c r="AP3332" i="5" s="1"/>
  <c r="AP3333" i="5" s="1"/>
  <c r="AP3334" i="5" s="1"/>
  <c r="AR3334" i="5" l="1"/>
  <c r="AV3328" i="5" s="1"/>
  <c r="AP3335" i="5"/>
  <c r="AT3401" i="5"/>
  <c r="AR3335" i="5" l="1"/>
  <c r="AQ3335" i="5" s="1"/>
  <c r="AT3331" i="5" s="1"/>
  <c r="AP3336" i="5"/>
  <c r="AU3401" i="5"/>
  <c r="AP3337" i="5" l="1"/>
  <c r="AR3336" i="5"/>
  <c r="AX3328" i="5" s="1"/>
  <c r="AY3331" i="5"/>
  <c r="AU3331" i="5" l="1"/>
  <c r="AR3337" i="5"/>
  <c r="AQ3337" i="5" s="1"/>
  <c r="AX3331" i="5" s="1"/>
  <c r="AP3338" i="5"/>
  <c r="AT3384" i="5"/>
  <c r="AY3384" i="5"/>
  <c r="AX3384" i="5"/>
  <c r="AU3384" i="5"/>
  <c r="AV3384" i="5"/>
  <c r="AW3384" i="5"/>
  <c r="AR3396" i="5"/>
  <c r="AQ3396" i="5" s="1"/>
  <c r="AP3339" i="5" l="1"/>
  <c r="AR3338" i="5"/>
  <c r="AV3331" i="5" s="1"/>
  <c r="AW3401" i="5"/>
  <c r="AR3339" i="5" l="1"/>
  <c r="AQ3339" i="5" s="1"/>
  <c r="AW3331" i="5" s="1"/>
  <c r="AP3340" i="5"/>
  <c r="AP3341" i="5" s="1"/>
  <c r="AP3342" i="5" s="1"/>
  <c r="AP3343" i="5" s="1"/>
  <c r="AX3401" i="5"/>
  <c r="AP3344" i="5" l="1"/>
  <c r="AR3343" i="5"/>
  <c r="AV3337" i="5" s="1"/>
  <c r="AP3345" i="5" l="1"/>
  <c r="AR3344" i="5"/>
  <c r="AQ3344" i="5" s="1"/>
  <c r="AR3345" i="5" l="1"/>
  <c r="AQ3345" i="5" s="1"/>
  <c r="AT3340" i="5" s="1"/>
  <c r="AP3346" i="5"/>
  <c r="AP3347" i="5" l="1"/>
  <c r="AR3346" i="5"/>
  <c r="AX3340" i="5" s="1"/>
  <c r="AY3340" i="5"/>
  <c r="AU3340" i="5"/>
  <c r="AR3405" i="5"/>
  <c r="AQ3405" i="5" s="1"/>
  <c r="AT3413" i="5"/>
  <c r="AV3413" i="5" s="1"/>
  <c r="AR3421" i="5"/>
  <c r="AQ3421" i="5" s="1"/>
  <c r="AR3347" i="5" l="1"/>
  <c r="AV3340" i="5" s="1"/>
  <c r="AP3348" i="5"/>
  <c r="AV3401" i="5"/>
  <c r="AU3413" i="5"/>
  <c r="AW3413" i="5"/>
  <c r="AR3422" i="5"/>
  <c r="AX3413" i="5" s="1"/>
  <c r="AR3348" i="5" l="1"/>
  <c r="AQ3348" i="5" s="1"/>
  <c r="AW3340" i="5" s="1"/>
  <c r="AP3349" i="5"/>
  <c r="AP3350" i="5" s="1"/>
  <c r="AP3351" i="5" s="1"/>
  <c r="AP3352" i="5" s="1"/>
  <c r="AY3413" i="5"/>
  <c r="AR3352" i="5" l="1"/>
  <c r="AQ3352" i="5" s="1"/>
  <c r="AT3349" i="5" s="1"/>
  <c r="AP3353" i="5"/>
  <c r="AR3353" i="5" l="1"/>
  <c r="AQ3353" i="5" s="1"/>
  <c r="AT3346" i="5" s="1"/>
  <c r="AP3354" i="5"/>
  <c r="AY3349" i="5"/>
  <c r="AR3431" i="5"/>
  <c r="AP3355" i="5" l="1"/>
  <c r="AR3354" i="5"/>
  <c r="AW3346" i="5"/>
  <c r="AU3346" i="5"/>
  <c r="AV3346" i="5"/>
  <c r="AY3346" i="5"/>
  <c r="AR3432" i="5"/>
  <c r="AX3346" i="5" l="1"/>
  <c r="AU3349" i="5"/>
  <c r="AP3356" i="5"/>
  <c r="AR3355" i="5"/>
  <c r="AX3349" i="5" s="1"/>
  <c r="AR3414" i="5"/>
  <c r="AR3356" i="5" l="1"/>
  <c r="AV3349" i="5" s="1"/>
  <c r="AP3357" i="5"/>
  <c r="AR3357" i="5" l="1"/>
  <c r="AQ3357" i="5" s="1"/>
  <c r="AW3349" i="5" s="1"/>
  <c r="AP3358" i="5"/>
  <c r="AP3359" i="5" s="1"/>
  <c r="AP3360" i="5" s="1"/>
  <c r="AP3361" i="5" s="1"/>
  <c r="AT3411" i="5"/>
  <c r="AX3411" i="5" s="1"/>
  <c r="AT3425" i="5"/>
  <c r="AR3441" i="5"/>
  <c r="AQ3441" i="5" s="1"/>
  <c r="AP3362" i="5" l="1"/>
  <c r="AR3361" i="5"/>
  <c r="AQ3361" i="5" s="1"/>
  <c r="AT3358" i="5" s="1"/>
  <c r="AU3425" i="5"/>
  <c r="AT3437" i="5"/>
  <c r="AY3425" i="5"/>
  <c r="AV3425" i="5"/>
  <c r="AW3425" i="5"/>
  <c r="AP3363" i="5" l="1"/>
  <c r="AR3362" i="5"/>
  <c r="AU3358" i="5" s="1"/>
  <c r="AU3437" i="5"/>
  <c r="AX3425" i="5"/>
  <c r="AP3364" i="5" l="1"/>
  <c r="AR3363" i="5"/>
  <c r="AQ3363" i="5" s="1"/>
  <c r="AT3355" i="5" l="1"/>
  <c r="AY3358" i="5"/>
  <c r="AP3365" i="5"/>
  <c r="AR3364" i="5"/>
  <c r="AX3358" i="5" s="1"/>
  <c r="AW3411" i="5"/>
  <c r="AP3366" i="5" l="1"/>
  <c r="AR3365" i="5"/>
  <c r="AV3358" i="5" s="1"/>
  <c r="AW3355" i="5"/>
  <c r="AV3355" i="5"/>
  <c r="AX3355" i="5"/>
  <c r="AY3355" i="5"/>
  <c r="AU3355" i="5"/>
  <c r="AT3420" i="5"/>
  <c r="AR3366" i="5" l="1"/>
  <c r="AQ3366" i="5" s="1"/>
  <c r="AW3358" i="5" s="1"/>
  <c r="AP3367" i="5"/>
  <c r="AP3368" i="5" s="1"/>
  <c r="AP3369" i="5" s="1"/>
  <c r="AP3370" i="5" s="1"/>
  <c r="AP3371" i="5" l="1"/>
  <c r="AR3370" i="5"/>
  <c r="AQ3370" i="5" s="1"/>
  <c r="AT3367" i="5" s="1"/>
  <c r="AR3371" i="5" l="1"/>
  <c r="AV3364" i="5" s="1"/>
  <c r="AP3372" i="5"/>
  <c r="AY3437" i="5"/>
  <c r="AP3373" i="5" l="1"/>
  <c r="AR3372" i="5"/>
  <c r="AU3367" i="5"/>
  <c r="AY3420" i="5"/>
  <c r="AR3429" i="5"/>
  <c r="AQ3429" i="5" s="1"/>
  <c r="AV3420" i="5" s="1"/>
  <c r="AY3366" i="5" l="1"/>
  <c r="AY3367" i="5"/>
  <c r="AR3373" i="5"/>
  <c r="AQ3373" i="5" s="1"/>
  <c r="AP3374" i="5"/>
  <c r="AR3430" i="5"/>
  <c r="AQ3430" i="5" s="1"/>
  <c r="AW3420" i="5" s="1"/>
  <c r="AV3367" i="5" l="1"/>
  <c r="AP3375" i="5"/>
  <c r="AR3374" i="5"/>
  <c r="AQ3374" i="5" s="1"/>
  <c r="AW3366" i="5" s="1"/>
  <c r="AR3458" i="5"/>
  <c r="AP3376" i="5" l="1"/>
  <c r="AP3377" i="5" s="1"/>
  <c r="AP3378" i="5" s="1"/>
  <c r="AP3379" i="5" s="1"/>
  <c r="AR3375" i="5"/>
  <c r="AQ3375" i="5" s="1"/>
  <c r="AW3367" i="5" s="1"/>
  <c r="AX3367" i="5"/>
  <c r="AP3380" i="5" l="1"/>
  <c r="AR3379" i="5"/>
  <c r="AQ3379" i="5" s="1"/>
  <c r="AT3375" i="5" s="1"/>
  <c r="AX3375" i="5" l="1"/>
  <c r="AU3375" i="5"/>
  <c r="AY3375" i="5"/>
  <c r="AV3375" i="5"/>
  <c r="AW3375" i="5"/>
  <c r="AP3381" i="5"/>
  <c r="AR3380" i="5"/>
  <c r="AQ3380" i="5" s="1"/>
  <c r="AT3376" i="5" s="1"/>
  <c r="AR3467" i="5"/>
  <c r="AP3382" i="5" l="1"/>
  <c r="AR3381" i="5"/>
  <c r="AU3376" i="5" s="1"/>
  <c r="AY3376" i="5"/>
  <c r="AR3468" i="5"/>
  <c r="AP3383" i="5" l="1"/>
  <c r="AR3382" i="5"/>
  <c r="AV3376" i="5" s="1"/>
  <c r="AT3431" i="5"/>
  <c r="AW3431" i="5"/>
  <c r="AU3431" i="5"/>
  <c r="AX3431" i="5"/>
  <c r="AV3431" i="5"/>
  <c r="AR3439" i="5"/>
  <c r="AY3431" i="5" s="1"/>
  <c r="AP3384" i="5" l="1"/>
  <c r="AR3383" i="5"/>
  <c r="AQ3383" i="5" s="1"/>
  <c r="AR3477" i="5"/>
  <c r="AQ3477" i="5" s="1"/>
  <c r="AW3376" i="5" l="1"/>
  <c r="AR3384" i="5"/>
  <c r="AX3376" i="5" s="1"/>
  <c r="AP3385" i="5"/>
  <c r="AP3386" i="5" s="1"/>
  <c r="AP3387" i="5" s="1"/>
  <c r="AP3388" i="5" s="1"/>
  <c r="AP3389" i="5" l="1"/>
  <c r="AR3388" i="5"/>
  <c r="AQ3388" i="5" s="1"/>
  <c r="AT3385" i="5" s="1"/>
  <c r="AP3390" i="5" l="1"/>
  <c r="AR3389" i="5"/>
  <c r="AU3385" i="5" s="1"/>
  <c r="AW3437" i="5"/>
  <c r="AR3390" i="5" l="1"/>
  <c r="AY3385" i="5" s="1"/>
  <c r="AP3391" i="5"/>
  <c r="AP3392" i="5" l="1"/>
  <c r="AR3391" i="5"/>
  <c r="AV3385" i="5" s="1"/>
  <c r="AT3440" i="5"/>
  <c r="AU3440" i="5" s="1"/>
  <c r="AR3448" i="5"/>
  <c r="AW3440" i="5" l="1"/>
  <c r="AX3440" i="5"/>
  <c r="AV3440" i="5"/>
  <c r="AY3440" i="5"/>
  <c r="AR3392" i="5"/>
  <c r="AQ3392" i="5" s="1"/>
  <c r="AW3385" i="5" s="1"/>
  <c r="AP3393" i="5"/>
  <c r="AR3393" i="5" l="1"/>
  <c r="AX3385" i="5" s="1"/>
  <c r="AP3394" i="5"/>
  <c r="AP3395" i="5" s="1"/>
  <c r="AP3396" i="5" s="1"/>
  <c r="AP3397" i="5" s="1"/>
  <c r="AT3461" i="5"/>
  <c r="AP3398" i="5" l="1"/>
  <c r="AR3397" i="5"/>
  <c r="AQ3397" i="5" s="1"/>
  <c r="AY3461" i="5"/>
  <c r="AV3461" i="5"/>
  <c r="AX3461" i="5"/>
  <c r="AW3461" i="5"/>
  <c r="AU3461" i="5"/>
  <c r="AT3393" i="5" l="1"/>
  <c r="AT3394" i="5"/>
  <c r="AR3398" i="5"/>
  <c r="AU3393" i="5" s="1"/>
  <c r="AP3399" i="5"/>
  <c r="AP3400" i="5" l="1"/>
  <c r="AR3399" i="5"/>
  <c r="AY3393" i="5" s="1"/>
  <c r="AX3393" i="5"/>
  <c r="AV3393" i="5"/>
  <c r="AW3393" i="5"/>
  <c r="AU3394" i="5"/>
  <c r="AY3394" i="5" l="1"/>
  <c r="AR3400" i="5"/>
  <c r="AV3394" i="5" s="1"/>
  <c r="AP3401" i="5"/>
  <c r="AT3449" i="5"/>
  <c r="AR3457" i="5"/>
  <c r="AQ3457" i="5" s="1"/>
  <c r="AY3449" i="5" s="1"/>
  <c r="AU3449" i="5"/>
  <c r="AX3449" i="5"/>
  <c r="AW3449" i="5"/>
  <c r="AV3449" i="5"/>
  <c r="AP3402" i="5" l="1"/>
  <c r="AR3401" i="5"/>
  <c r="AQ3401" i="5" s="1"/>
  <c r="AW3394" i="5" s="1"/>
  <c r="AP3403" i="5" l="1"/>
  <c r="AP3404" i="5" s="1"/>
  <c r="AP3405" i="5" s="1"/>
  <c r="AP3406" i="5" s="1"/>
  <c r="AR3402" i="5"/>
  <c r="AX3394" i="5" s="1"/>
  <c r="AR3406" i="5" l="1"/>
  <c r="AQ3406" i="5" s="1"/>
  <c r="AP3407" i="5"/>
  <c r="AR3407" i="5" l="1"/>
  <c r="AY3401" i="5" s="1"/>
  <c r="AP3408" i="5"/>
  <c r="AT3402" i="5"/>
  <c r="AT3403" i="5"/>
  <c r="AX3402" i="5" l="1"/>
  <c r="AU3402" i="5"/>
  <c r="AV3402" i="5"/>
  <c r="AR3408" i="5"/>
  <c r="AY3402" i="5" s="1"/>
  <c r="AP3409" i="5"/>
  <c r="AU3403" i="5"/>
  <c r="AY3403" i="5"/>
  <c r="AP3410" i="5" l="1"/>
  <c r="AR3409" i="5"/>
  <c r="AQ3409" i="5" s="1"/>
  <c r="AT3458" i="5"/>
  <c r="AX3458" i="5" s="1"/>
  <c r="AR3466" i="5"/>
  <c r="AY3458" i="5" l="1"/>
  <c r="AW3458" i="5"/>
  <c r="AV3458" i="5"/>
  <c r="AV3403" i="5"/>
  <c r="AU3458" i="5"/>
  <c r="AP3411" i="5"/>
  <c r="AR3410" i="5"/>
  <c r="AQ3410" i="5" s="1"/>
  <c r="AW3402" i="5" s="1"/>
  <c r="AW3403" i="5" l="1"/>
  <c r="AR3411" i="5"/>
  <c r="AX3403" i="5" s="1"/>
  <c r="AP3412" i="5"/>
  <c r="AP3413" i="5" s="1"/>
  <c r="AP3414" i="5" s="1"/>
  <c r="AP3415" i="5" s="1"/>
  <c r="AR3415" i="5" l="1"/>
  <c r="AQ3415" i="5" s="1"/>
  <c r="AT3412" i="5" s="1"/>
  <c r="AP3416" i="5"/>
  <c r="AT3510" i="5"/>
  <c r="AX3510" i="5" s="1"/>
  <c r="AR3416" i="5" l="1"/>
  <c r="AU3411" i="5" s="1"/>
  <c r="AP3417" i="5"/>
  <c r="AU3412" i="5"/>
  <c r="AU3510" i="5"/>
  <c r="AP3418" i="5" l="1"/>
  <c r="AR3417" i="5"/>
  <c r="AQ3417" i="5" s="1"/>
  <c r="AY3411" i="5" l="1"/>
  <c r="AY3412" i="5"/>
  <c r="AR3418" i="5"/>
  <c r="AV3411" i="5" s="1"/>
  <c r="AP3419" i="5"/>
  <c r="AT3467" i="5"/>
  <c r="AX3467" i="5" s="1"/>
  <c r="AW3467" i="5"/>
  <c r="AR3475" i="5"/>
  <c r="AV3467" i="5" l="1"/>
  <c r="AV3412" i="5"/>
  <c r="AY3467" i="5"/>
  <c r="AU3467" i="5"/>
  <c r="AP3420" i="5"/>
  <c r="AR3419" i="5"/>
  <c r="AQ3419" i="5" s="1"/>
  <c r="AW3412" i="5" l="1"/>
  <c r="AX3412" i="5"/>
  <c r="AP3421" i="5"/>
  <c r="AP3422" i="5" s="1"/>
  <c r="AP3423" i="5" s="1"/>
  <c r="AP3424" i="5" s="1"/>
  <c r="AR3420" i="5"/>
  <c r="AT3473" i="5"/>
  <c r="AP3425" i="5" l="1"/>
  <c r="AR3424" i="5"/>
  <c r="AQ3424" i="5" s="1"/>
  <c r="AT3421" i="5" s="1"/>
  <c r="AX3473" i="5"/>
  <c r="AU3473" i="5"/>
  <c r="AV3473" i="5"/>
  <c r="AR3425" i="5" l="1"/>
  <c r="AU3420" i="5" s="1"/>
  <c r="AP3426" i="5"/>
  <c r="AP3427" i="5" l="1"/>
  <c r="AR3426" i="5"/>
  <c r="AU3421" i="5"/>
  <c r="AX3420" i="5" l="1"/>
  <c r="AY3421" i="5"/>
  <c r="AR3427" i="5"/>
  <c r="AV3421" i="5" s="1"/>
  <c r="AP3428" i="5"/>
  <c r="AP3429" i="5" l="1"/>
  <c r="AP3430" i="5" s="1"/>
  <c r="AP3431" i="5" s="1"/>
  <c r="AP3432" i="5" s="1"/>
  <c r="AP3433" i="5" s="1"/>
  <c r="AR3428" i="5"/>
  <c r="AQ3428" i="5" s="1"/>
  <c r="AW3421" i="5" l="1"/>
  <c r="AX3421" i="5"/>
  <c r="AP3434" i="5"/>
  <c r="AR3433" i="5"/>
  <c r="AQ3433" i="5" s="1"/>
  <c r="AT3498" i="5"/>
  <c r="AR3434" i="5" l="1"/>
  <c r="AQ3434" i="5" s="1"/>
  <c r="AP3435" i="5"/>
  <c r="AT3430" i="5"/>
  <c r="AU3498" i="5"/>
  <c r="AX3498" i="5"/>
  <c r="AY3498" i="5"/>
  <c r="AV3498" i="5"/>
  <c r="AW3498" i="5"/>
  <c r="AX3430" i="5" l="1"/>
  <c r="AR3435" i="5"/>
  <c r="AU3430" i="5" s="1"/>
  <c r="AP3436" i="5"/>
  <c r="AR3493" i="5"/>
  <c r="AR3436" i="5" l="1"/>
  <c r="AY3430" i="5" s="1"/>
  <c r="AP3437" i="5"/>
  <c r="AR3494" i="5"/>
  <c r="AR3437" i="5" l="1"/>
  <c r="AV3430" i="5" s="1"/>
  <c r="AP3438" i="5"/>
  <c r="AR3495" i="5"/>
  <c r="AQ3495" i="5" s="1"/>
  <c r="AP3439" i="5" l="1"/>
  <c r="AP3440" i="5" s="1"/>
  <c r="AP3441" i="5" s="1"/>
  <c r="AP3442" i="5" s="1"/>
  <c r="AR3438" i="5"/>
  <c r="AQ3438" i="5" s="1"/>
  <c r="AW3430" i="5" s="1"/>
  <c r="AT3485" i="5"/>
  <c r="AU3485" i="5" s="1"/>
  <c r="AV3485" i="5"/>
  <c r="AX3485" i="5" l="1"/>
  <c r="AW3485" i="5"/>
  <c r="AY3485" i="5"/>
  <c r="AR3442" i="5"/>
  <c r="AP3443" i="5"/>
  <c r="AP3444" i="5" l="1"/>
  <c r="AR3443" i="5"/>
  <c r="AQ3443" i="5" s="1"/>
  <c r="AT3439" i="5" s="1"/>
  <c r="AX3439" i="5" l="1"/>
  <c r="AR3444" i="5"/>
  <c r="AV3437" i="5" s="1"/>
  <c r="AP3445" i="5"/>
  <c r="AR3502" i="5"/>
  <c r="AU3439" i="5" l="1"/>
  <c r="AR3445" i="5"/>
  <c r="AQ3445" i="5" s="1"/>
  <c r="AP3446" i="5"/>
  <c r="AR3503" i="5"/>
  <c r="AQ3503" i="5" s="1"/>
  <c r="AV3510" i="5"/>
  <c r="AY3439" i="5" l="1"/>
  <c r="AR3446" i="5"/>
  <c r="AX3437" i="5" s="1"/>
  <c r="AP3447" i="5"/>
  <c r="AT3496" i="5"/>
  <c r="AR3504" i="5"/>
  <c r="AQ3504" i="5" s="1"/>
  <c r="AW3496" i="5" s="1"/>
  <c r="AR3447" i="5" l="1"/>
  <c r="AQ3447" i="5" s="1"/>
  <c r="AW3439" i="5" s="1"/>
  <c r="AP3448" i="5"/>
  <c r="AP3449" i="5" s="1"/>
  <c r="AP3450" i="5" s="1"/>
  <c r="AP3451" i="5" s="1"/>
  <c r="AV3439" i="5"/>
  <c r="AU3496" i="5"/>
  <c r="AY3496" i="5"/>
  <c r="AX3496" i="5"/>
  <c r="AV3496" i="5"/>
  <c r="AP3452" i="5" l="1"/>
  <c r="AR3451" i="5"/>
  <c r="AT3558" i="5"/>
  <c r="AR3452" i="5" l="1"/>
  <c r="AQ3452" i="5" s="1"/>
  <c r="AT3448" i="5" s="1"/>
  <c r="AP3453" i="5"/>
  <c r="AP3454" i="5" l="1"/>
  <c r="AR3453" i="5"/>
  <c r="AQ3453" i="5" s="1"/>
  <c r="AU3448" i="5" s="1"/>
  <c r="AX3448" i="5"/>
  <c r="AR3511" i="5"/>
  <c r="AP3455" i="5" l="1"/>
  <c r="AR3454" i="5"/>
  <c r="AY3448" i="5" s="1"/>
  <c r="AR3512" i="5"/>
  <c r="AT3522" i="5"/>
  <c r="AX3522" i="5" s="1"/>
  <c r="AP3456" i="5" l="1"/>
  <c r="AR3455" i="5"/>
  <c r="AV3448" i="5" s="1"/>
  <c r="AT3505" i="5"/>
  <c r="AR3513" i="5"/>
  <c r="AQ3513" i="5" s="1"/>
  <c r="AU3522" i="5"/>
  <c r="AR3456" i="5" l="1"/>
  <c r="AQ3456" i="5" s="1"/>
  <c r="AW3448" i="5" s="1"/>
  <c r="AP3457" i="5"/>
  <c r="AP3458" i="5" s="1"/>
  <c r="AP3459" i="5" s="1"/>
  <c r="AP3460" i="5" s="1"/>
  <c r="AW3505" i="5"/>
  <c r="AY3505" i="5"/>
  <c r="AX3505" i="5"/>
  <c r="AV3505" i="5"/>
  <c r="GQ347" i="10"/>
  <c r="GS347" i="10" s="1"/>
  <c r="GQ338" i="10"/>
  <c r="GQ337" i="10" s="1"/>
  <c r="AR3460" i="5" l="1"/>
  <c r="AP3461" i="5"/>
  <c r="AV3522" i="5"/>
  <c r="AP3462" i="5" l="1"/>
  <c r="AR3461" i="5"/>
  <c r="AQ3461" i="5" s="1"/>
  <c r="AT3457" i="5" s="1"/>
  <c r="BU314" i="16"/>
  <c r="AW3522" i="5"/>
  <c r="GQ335" i="10"/>
  <c r="GQ334" i="10" s="1"/>
  <c r="AX3457" i="5" l="1"/>
  <c r="AR3462" i="5"/>
  <c r="AU3457" i="5" s="1"/>
  <c r="AP3463" i="5"/>
  <c r="AR3520" i="5"/>
  <c r="BU315" i="16"/>
  <c r="BU313" i="16"/>
  <c r="DW345" i="10"/>
  <c r="DY345" i="10" s="1"/>
  <c r="EO347" i="10"/>
  <c r="EQ347" i="10" s="1"/>
  <c r="AP3464" i="5" l="1"/>
  <c r="AR3463" i="5"/>
  <c r="AY3457" i="5" s="1"/>
  <c r="AY3510" i="5"/>
  <c r="AR3521" i="5"/>
  <c r="AU302" i="16"/>
  <c r="DH338" i="10" l="1"/>
  <c r="AU301" i="16"/>
  <c r="AP3465" i="5"/>
  <c r="AR3464" i="5"/>
  <c r="AV3457" i="5" s="1"/>
  <c r="AT3514" i="5"/>
  <c r="AV3514" i="5"/>
  <c r="AR3522" i="5"/>
  <c r="AQ3522" i="5" s="1"/>
  <c r="C376" i="5"/>
  <c r="C381" i="5"/>
  <c r="F380" i="5"/>
  <c r="B377" i="5"/>
  <c r="F374" i="5"/>
  <c r="B380" i="5"/>
  <c r="E379" i="5"/>
  <c r="D379" i="5"/>
  <c r="E378" i="5"/>
  <c r="B378" i="5"/>
  <c r="E374" i="5"/>
  <c r="E375" i="5"/>
  <c r="E381" i="5"/>
  <c r="B375" i="5"/>
  <c r="B376" i="5"/>
  <c r="G374" i="5"/>
  <c r="D378" i="5"/>
  <c r="D380" i="5"/>
  <c r="B381" i="5"/>
  <c r="D374" i="5"/>
  <c r="F376" i="5"/>
  <c r="G380" i="5"/>
  <c r="B379" i="5"/>
  <c r="G379" i="5"/>
  <c r="F379" i="5"/>
  <c r="G381" i="5"/>
  <c r="C374" i="5"/>
  <c r="F375" i="5"/>
  <c r="C378" i="5"/>
  <c r="D375" i="5"/>
  <c r="B374" i="5"/>
  <c r="C377" i="5"/>
  <c r="G378" i="5"/>
  <c r="G377" i="5"/>
  <c r="G375" i="5"/>
  <c r="E377" i="5"/>
  <c r="G376" i="5"/>
  <c r="F377" i="5"/>
  <c r="C380" i="5"/>
  <c r="C375" i="5"/>
  <c r="D376" i="5"/>
  <c r="D377" i="5"/>
  <c r="C379" i="5"/>
  <c r="F378" i="5"/>
  <c r="D381" i="5"/>
  <c r="E380" i="5"/>
  <c r="F381" i="5"/>
  <c r="E376" i="5"/>
  <c r="AP3466" i="5" l="1"/>
  <c r="AP3467" i="5" s="1"/>
  <c r="AP3468" i="5" s="1"/>
  <c r="AP3469" i="5" s="1"/>
  <c r="AR3465" i="5"/>
  <c r="AQ3465" i="5" s="1"/>
  <c r="AW3457" i="5" s="1"/>
  <c r="AW3514" i="5"/>
  <c r="AY3514" i="5"/>
  <c r="AU3514" i="5"/>
  <c r="AX3514" i="5"/>
  <c r="BS320" i="16"/>
  <c r="FP345" i="10"/>
  <c r="FR345" i="10" s="1"/>
  <c r="BS319" i="16" l="1"/>
  <c r="BS321" i="16"/>
  <c r="AR3469" i="5"/>
  <c r="AQ3469" i="5" s="1"/>
  <c r="AP3470" i="5"/>
  <c r="AG344" i="16"/>
  <c r="AX344" i="16"/>
  <c r="AK350" i="16"/>
  <c r="AK351" i="16" s="1"/>
  <c r="AK347" i="16"/>
  <c r="AV308" i="16"/>
  <c r="AG326" i="16"/>
  <c r="AG327" i="16" s="1"/>
  <c r="AG323" i="16"/>
  <c r="BX329" i="16"/>
  <c r="BX330" i="16" s="1"/>
  <c r="BX326" i="16"/>
  <c r="EF343" i="10" s="1"/>
  <c r="AV314" i="16"/>
  <c r="AV315" i="16" s="1"/>
  <c r="AW315" i="16" s="1"/>
  <c r="AV311" i="16"/>
  <c r="BV278" i="16"/>
  <c r="BV277" i="16" s="1"/>
  <c r="BM263" i="16"/>
  <c r="BM262" i="16" s="1"/>
  <c r="BP263" i="16"/>
  <c r="AV305" i="16"/>
  <c r="AK320" i="16"/>
  <c r="AK321" i="16" s="1"/>
  <c r="AK317" i="16"/>
  <c r="AX311" i="16"/>
  <c r="AX312" i="16" s="1"/>
  <c r="AU257" i="16"/>
  <c r="AU255" i="16"/>
  <c r="BL338" i="10" s="1"/>
  <c r="BH275" i="16"/>
  <c r="BS278" i="16"/>
  <c r="BS277" i="16" s="1"/>
  <c r="AT3534" i="5"/>
  <c r="AK348" i="16" l="1"/>
  <c r="AV309" i="16"/>
  <c r="AW309" i="16" s="1"/>
  <c r="BO338" i="10"/>
  <c r="AU256" i="16"/>
  <c r="AU258" i="16"/>
  <c r="CG345" i="10"/>
  <c r="BH276" i="16"/>
  <c r="BH274" i="16"/>
  <c r="BU347" i="10"/>
  <c r="BP262" i="16"/>
  <c r="AV306" i="16"/>
  <c r="AW306" i="16" s="1"/>
  <c r="BX328" i="16"/>
  <c r="BX331" i="16"/>
  <c r="AG324" i="16"/>
  <c r="AK352" i="16"/>
  <c r="AK349" i="16"/>
  <c r="EI343" i="10"/>
  <c r="BX327" i="16"/>
  <c r="AW308" i="16"/>
  <c r="AV307" i="16"/>
  <c r="AW307" i="16" s="1"/>
  <c r="AX313" i="16"/>
  <c r="AW314" i="16"/>
  <c r="DT332" i="10" s="1"/>
  <c r="DT331" i="10" s="1"/>
  <c r="AV316" i="16"/>
  <c r="AW316" i="16" s="1"/>
  <c r="AV313" i="16"/>
  <c r="AW313" i="16" s="1"/>
  <c r="AK318" i="16"/>
  <c r="AW305" i="16"/>
  <c r="AK322" i="16"/>
  <c r="AK319" i="16"/>
  <c r="AW311" i="16"/>
  <c r="AV310" i="16"/>
  <c r="AW310" i="16" s="1"/>
  <c r="AV312" i="16"/>
  <c r="AW312" i="16" s="1"/>
  <c r="AG328" i="16"/>
  <c r="AG325" i="16"/>
  <c r="AP3471" i="5"/>
  <c r="AR3470" i="5"/>
  <c r="AQ3470" i="5" s="1"/>
  <c r="AT3466" i="5" s="1"/>
  <c r="AJ215" i="16"/>
  <c r="AF218" i="16"/>
  <c r="BM302" i="16"/>
  <c r="BM301" i="16" s="1"/>
  <c r="AF224" i="16"/>
  <c r="AU287" i="16"/>
  <c r="BS302" i="16"/>
  <c r="BS301" i="16" s="1"/>
  <c r="BM284" i="16"/>
  <c r="BM283" i="16" s="1"/>
  <c r="AF221" i="16"/>
  <c r="AF215" i="16"/>
  <c r="AL215" i="16"/>
  <c r="AU3534" i="5"/>
  <c r="AX3534" i="5"/>
  <c r="AY3534" i="5"/>
  <c r="AV3534" i="5"/>
  <c r="AW3534" i="5"/>
  <c r="DN332" i="10" l="1"/>
  <c r="AF220" i="16"/>
  <c r="DK332" i="10"/>
  <c r="AF223" i="16"/>
  <c r="CS338" i="10"/>
  <c r="AU286" i="16"/>
  <c r="AU288" i="16"/>
  <c r="DQ332" i="10"/>
  <c r="DQ331" i="10" s="1"/>
  <c r="AF222" i="16"/>
  <c r="AF217" i="16"/>
  <c r="AF219" i="16"/>
  <c r="AX3466" i="5"/>
  <c r="AR3471" i="5"/>
  <c r="AU3466" i="5" s="1"/>
  <c r="AP3472" i="5"/>
  <c r="AR3529" i="5"/>
  <c r="AY3522" i="5" s="1"/>
  <c r="AJ389" i="16"/>
  <c r="AJ245" i="16"/>
  <c r="AF245" i="16"/>
  <c r="BX302" i="16"/>
  <c r="BX303" i="16" s="1"/>
  <c r="AM302" i="16"/>
  <c r="AJ251" i="16"/>
  <c r="AJ248" i="16"/>
  <c r="AF251" i="16"/>
  <c r="AF248" i="16"/>
  <c r="AL251" i="16"/>
  <c r="AL248" i="16"/>
  <c r="AF247" i="16" l="1"/>
  <c r="AJ72" i="10" s="1"/>
  <c r="AJ246" i="16"/>
  <c r="AV71" i="10" s="1"/>
  <c r="BB71" i="10" s="1"/>
  <c r="J23" i="19" s="1"/>
  <c r="J223" i="19" s="1"/>
  <c r="AF246" i="16"/>
  <c r="AJ71" i="10" s="1"/>
  <c r="DH343" i="10"/>
  <c r="AV76" i="10"/>
  <c r="BB76" i="10" s="1"/>
  <c r="J28" i="19" s="1"/>
  <c r="AJ253" i="16"/>
  <c r="AV78" i="10" s="1"/>
  <c r="BB78" i="10" s="1"/>
  <c r="AJ250" i="16"/>
  <c r="AV75" i="10" s="1"/>
  <c r="BB75" i="10" s="1"/>
  <c r="J27" i="19" s="1"/>
  <c r="BE138" i="12" s="1"/>
  <c r="AJ249" i="16"/>
  <c r="AV74" i="10" s="1"/>
  <c r="BB74" i="10" s="1"/>
  <c r="J26" i="19" s="1"/>
  <c r="J226" i="19" s="1"/>
  <c r="AV70" i="10"/>
  <c r="BB70" i="10" s="1"/>
  <c r="J22" i="19" s="1"/>
  <c r="BE133" i="12" s="1"/>
  <c r="BH76" i="10"/>
  <c r="BQ76" i="10" s="1"/>
  <c r="P28" i="19" s="1"/>
  <c r="AL250" i="16"/>
  <c r="BH75" i="10" s="1"/>
  <c r="BQ75" i="10" s="1"/>
  <c r="P27" i="19" s="1"/>
  <c r="BK138" i="12" s="1"/>
  <c r="AV73" i="10"/>
  <c r="BB73" i="10" s="1"/>
  <c r="J25" i="19" s="1"/>
  <c r="AJ247" i="16"/>
  <c r="AV72" i="10" s="1"/>
  <c r="BB72" i="10" s="1"/>
  <c r="V12" i="16" s="1"/>
  <c r="BO12" i="16" s="1"/>
  <c r="AM304" i="16"/>
  <c r="BX304" i="16"/>
  <c r="AJ76" i="10"/>
  <c r="AF250" i="16"/>
  <c r="AJ75" i="10" s="1"/>
  <c r="AJ252" i="16"/>
  <c r="AV77" i="10" s="1"/>
  <c r="BB77" i="10" s="1"/>
  <c r="J29" i="19" s="1"/>
  <c r="AM303" i="16"/>
  <c r="AJ70" i="10"/>
  <c r="AP3473" i="5"/>
  <c r="AR3472" i="5"/>
  <c r="AY3466" i="5" s="1"/>
  <c r="AR3530" i="5"/>
  <c r="AL249" i="16"/>
  <c r="BH74" i="10" s="1"/>
  <c r="BQ74" i="10" s="1"/>
  <c r="BH73" i="10"/>
  <c r="BQ73" i="10" s="1"/>
  <c r="AF249" i="16"/>
  <c r="AJ74" i="10" s="1"/>
  <c r="AJ73" i="10"/>
  <c r="FY347" i="10"/>
  <c r="GA347" i="10" s="1"/>
  <c r="BT76" i="10" l="1"/>
  <c r="Z16" i="16" s="1"/>
  <c r="V11" i="16"/>
  <c r="BO11" i="16" s="1"/>
  <c r="BE134" i="12"/>
  <c r="J227" i="19"/>
  <c r="BE137" i="12"/>
  <c r="V13" i="16"/>
  <c r="BO13" i="16" s="1"/>
  <c r="Y16" i="16"/>
  <c r="BP16" i="16" s="1"/>
  <c r="V17" i="16"/>
  <c r="BO17" i="16" s="1"/>
  <c r="J222" i="19"/>
  <c r="V16" i="16"/>
  <c r="BO16" i="16" s="1"/>
  <c r="V10" i="16"/>
  <c r="BO10" i="16" s="1"/>
  <c r="J24" i="19"/>
  <c r="BE135" i="12" s="1"/>
  <c r="S27" i="19"/>
  <c r="BN138" i="12" s="1"/>
  <c r="V15" i="16"/>
  <c r="BO15" i="16" s="1"/>
  <c r="P227" i="19"/>
  <c r="BT75" i="10"/>
  <c r="Z15" i="16" s="1"/>
  <c r="V18" i="16"/>
  <c r="BO18" i="16" s="1"/>
  <c r="J30" i="19"/>
  <c r="Y15" i="16"/>
  <c r="BP15" i="16" s="1"/>
  <c r="V14" i="16"/>
  <c r="BO14" i="16" s="1"/>
  <c r="AP3474" i="5"/>
  <c r="AR3473" i="5"/>
  <c r="AV3466" i="5" s="1"/>
  <c r="AR3531" i="5"/>
  <c r="AQ3531" i="5" s="1"/>
  <c r="J228" i="19"/>
  <c r="BE139" i="12"/>
  <c r="J229" i="19"/>
  <c r="BE140" i="12"/>
  <c r="P228" i="19"/>
  <c r="S28" i="19"/>
  <c r="BK139" i="12"/>
  <c r="Y13" i="16"/>
  <c r="BP13" i="16" s="1"/>
  <c r="P25" i="19"/>
  <c r="BT73" i="10"/>
  <c r="Z13" i="16" s="1"/>
  <c r="BE136" i="12"/>
  <c r="J225" i="19"/>
  <c r="P26" i="19"/>
  <c r="Y14" i="16"/>
  <c r="BP14" i="16" s="1"/>
  <c r="BT74" i="10"/>
  <c r="Z14" i="16" s="1"/>
  <c r="J224" i="19" l="1"/>
  <c r="S227" i="19"/>
  <c r="J230" i="19"/>
  <c r="BE141" i="12"/>
  <c r="AR3474" i="5"/>
  <c r="AQ3474" i="5" s="1"/>
  <c r="AW3466" i="5" s="1"/>
  <c r="AP3475" i="5"/>
  <c r="AP3476" i="5" s="1"/>
  <c r="AP3477" i="5" s="1"/>
  <c r="AP3478" i="5" s="1"/>
  <c r="AT3523" i="5"/>
  <c r="AY3523" i="5" s="1"/>
  <c r="S26" i="19"/>
  <c r="BK137" i="12"/>
  <c r="P226" i="19"/>
  <c r="BK136" i="12"/>
  <c r="S25" i="19"/>
  <c r="P225" i="19"/>
  <c r="BN139" i="12"/>
  <c r="S228" i="19"/>
  <c r="AR3599" i="5"/>
  <c r="AQ3599" i="5" s="1"/>
  <c r="GH347" i="10"/>
  <c r="GJ347" i="10" s="1"/>
  <c r="AP3479" i="5" l="1"/>
  <c r="AR3478" i="5"/>
  <c r="AQ3478" i="5" s="1"/>
  <c r="AV3523" i="5"/>
  <c r="AW3523" i="5"/>
  <c r="AX3523" i="5"/>
  <c r="AU3523" i="5"/>
  <c r="BN136" i="12"/>
  <c r="S225" i="19"/>
  <c r="BN137" i="12"/>
  <c r="S226" i="19"/>
  <c r="AT3595" i="5"/>
  <c r="AP3480" i="5" l="1"/>
  <c r="AR3479" i="5"/>
  <c r="AQ3479" i="5" s="1"/>
  <c r="AT3476" i="5" s="1"/>
  <c r="AP3481" i="5" l="1"/>
  <c r="AR3480" i="5"/>
  <c r="AY3473" i="5" s="1"/>
  <c r="AU3476" i="5"/>
  <c r="AX3476" i="5"/>
  <c r="AV3476" i="5"/>
  <c r="AW3476" i="5"/>
  <c r="AT3475" i="5"/>
  <c r="AR3538" i="5"/>
  <c r="AU3475" i="5" l="1"/>
  <c r="AX3475" i="5"/>
  <c r="AR3481" i="5"/>
  <c r="AQ3481" i="5" s="1"/>
  <c r="AP3482" i="5"/>
  <c r="AR3539" i="5"/>
  <c r="AQ3539" i="5" s="1"/>
  <c r="AX254" i="16"/>
  <c r="AX255" i="16" s="1"/>
  <c r="BL331" i="10" s="1"/>
  <c r="AX251" i="16"/>
  <c r="AX248" i="16"/>
  <c r="AX250" i="16" l="1"/>
  <c r="AX249" i="16" s="1"/>
  <c r="AT331" i="10" s="1"/>
  <c r="AQ331" i="10"/>
  <c r="BI331" i="10"/>
  <c r="AX256" i="16"/>
  <c r="AX253" i="16"/>
  <c r="BF331" i="10" s="1"/>
  <c r="AY3475" i="5"/>
  <c r="AP3483" i="5"/>
  <c r="AR3482" i="5"/>
  <c r="AQ3482" i="5" s="1"/>
  <c r="AW3473" i="5" s="1"/>
  <c r="AT3532" i="5"/>
  <c r="AR3540" i="5"/>
  <c r="AQ3540" i="5" s="1"/>
  <c r="AW3532" i="5" s="1"/>
  <c r="AX252" i="16"/>
  <c r="BC331" i="10" s="1"/>
  <c r="AZ331" i="10"/>
  <c r="AW331" i="10" l="1"/>
  <c r="AR3483" i="5"/>
  <c r="AQ3483" i="5" s="1"/>
  <c r="AY3476" i="5" s="1"/>
  <c r="AP3484" i="5"/>
  <c r="AP3485" i="5" s="1"/>
  <c r="AP3486" i="5" s="1"/>
  <c r="AP3487" i="5" s="1"/>
  <c r="AV3475" i="5"/>
  <c r="AY3532" i="5"/>
  <c r="AX3532" i="5"/>
  <c r="AV3532" i="5"/>
  <c r="AP3488" i="5" l="1"/>
  <c r="AR3487" i="5"/>
  <c r="AQ3487" i="5" s="1"/>
  <c r="AT3484" i="5" s="1"/>
  <c r="AW3475" i="5"/>
  <c r="AR3488" i="5" l="1"/>
  <c r="AX3484" i="5" s="1"/>
  <c r="AP3489" i="5"/>
  <c r="AR3489" i="5" l="1"/>
  <c r="AU3484" i="5" s="1"/>
  <c r="AP3490" i="5"/>
  <c r="AR3547" i="5"/>
  <c r="AX230" i="16"/>
  <c r="BX233" i="16"/>
  <c r="BX230" i="16"/>
  <c r="AM230" i="16"/>
  <c r="AK239" i="16"/>
  <c r="AK236" i="16"/>
  <c r="AG239" i="16"/>
  <c r="AM239" i="16"/>
  <c r="AM236" i="16"/>
  <c r="AX233" i="16"/>
  <c r="AX234" i="16" s="1"/>
  <c r="AV239" i="16"/>
  <c r="AK233" i="16"/>
  <c r="AG242" i="16"/>
  <c r="AG241" i="16" s="1"/>
  <c r="AU3558" i="5"/>
  <c r="BX231" i="16" l="1"/>
  <c r="AM241" i="16"/>
  <c r="AM238" i="16"/>
  <c r="AK241" i="16"/>
  <c r="AK238" i="16"/>
  <c r="AV241" i="16"/>
  <c r="AW241" i="16" s="1"/>
  <c r="AG240" i="16"/>
  <c r="AM240" i="16"/>
  <c r="AK240" i="16"/>
  <c r="BX234" i="16"/>
  <c r="BX235" i="16"/>
  <c r="BX232" i="16"/>
  <c r="AX235" i="16"/>
  <c r="AX232" i="16"/>
  <c r="AM237" i="16"/>
  <c r="AK237" i="16"/>
  <c r="AK235" i="16"/>
  <c r="AK234" i="16"/>
  <c r="AX231" i="16"/>
  <c r="AP3491" i="5"/>
  <c r="AR3490" i="5"/>
  <c r="AQ3490" i="5" s="1"/>
  <c r="AM218" i="16"/>
  <c r="AK209" i="16"/>
  <c r="AK208" i="16" s="1"/>
  <c r="AK207" i="16" s="1"/>
  <c r="AR3548" i="5"/>
  <c r="AM215" i="16"/>
  <c r="AX209" i="16"/>
  <c r="AK215" i="16"/>
  <c r="AK212" i="16"/>
  <c r="AV240" i="16"/>
  <c r="AW240" i="16" s="1"/>
  <c r="AW239" i="16"/>
  <c r="AR3615" i="5"/>
  <c r="AQ3615" i="5" s="1"/>
  <c r="AM216" i="16" l="1"/>
  <c r="AK211" i="16"/>
  <c r="AK210" i="16"/>
  <c r="AK214" i="16"/>
  <c r="AK213" i="16" s="1"/>
  <c r="AM217" i="16"/>
  <c r="AX208" i="16"/>
  <c r="AX207" i="16"/>
  <c r="AY3484" i="5"/>
  <c r="AP3492" i="5"/>
  <c r="AR3491" i="5"/>
  <c r="AQ3491" i="5" s="1"/>
  <c r="AT3486" i="5" s="1"/>
  <c r="AT3541" i="5"/>
  <c r="AV3541" i="5"/>
  <c r="AR3549" i="5"/>
  <c r="AQ3549" i="5" s="1"/>
  <c r="AR3616" i="5"/>
  <c r="AP3493" i="5" l="1"/>
  <c r="AP3494" i="5" s="1"/>
  <c r="AP3495" i="5" s="1"/>
  <c r="AP3496" i="5" s="1"/>
  <c r="AR3492" i="5"/>
  <c r="AQ3492" i="5" s="1"/>
  <c r="AW3484" i="5" s="1"/>
  <c r="AV3484" i="5"/>
  <c r="AV3486" i="5"/>
  <c r="AW3486" i="5"/>
  <c r="AY3486" i="5"/>
  <c r="AX3486" i="5"/>
  <c r="AU3486" i="5"/>
  <c r="AW3541" i="5"/>
  <c r="AY3541" i="5"/>
  <c r="AU3541" i="5"/>
  <c r="AX3541" i="5"/>
  <c r="GQ345" i="10"/>
  <c r="GS345" i="10" s="1"/>
  <c r="AY3558" i="5"/>
  <c r="AP3497" i="5" l="1"/>
  <c r="AR3496" i="5"/>
  <c r="AQ3496" i="5" s="1"/>
  <c r="AT3493" i="5" s="1"/>
  <c r="AT308" i="16"/>
  <c r="AU303" i="16"/>
  <c r="AU305" i="16"/>
  <c r="BH302" i="16"/>
  <c r="BH308" i="16"/>
  <c r="BK318" i="16"/>
  <c r="BI318" i="16" s="1"/>
  <c r="BK320" i="16"/>
  <c r="BP308" i="16"/>
  <c r="AU308" i="16"/>
  <c r="AU306" i="16"/>
  <c r="AW3558" i="5"/>
  <c r="AR3624" i="5"/>
  <c r="DN345" i="10" l="1"/>
  <c r="BH309" i="16"/>
  <c r="BH307" i="16"/>
  <c r="BI320" i="16"/>
  <c r="EB345" i="10" s="1"/>
  <c r="BK321" i="16"/>
  <c r="BI321" i="16" s="1"/>
  <c r="BK319" i="16"/>
  <c r="BI319" i="16" s="1"/>
  <c r="DN338" i="10"/>
  <c r="DN337" i="10" s="1"/>
  <c r="AU309" i="16"/>
  <c r="AU307" i="16"/>
  <c r="DH345" i="10"/>
  <c r="BH301" i="16"/>
  <c r="AT309" i="16"/>
  <c r="AT307" i="16"/>
  <c r="DN347" i="10"/>
  <c r="BP309" i="16"/>
  <c r="BP307" i="16"/>
  <c r="DK338" i="10"/>
  <c r="AU304" i="16"/>
  <c r="AR3497" i="5"/>
  <c r="AU3493" i="5" s="1"/>
  <c r="AP3498" i="5"/>
  <c r="AR3555" i="5"/>
  <c r="AQ3555" i="5" s="1"/>
  <c r="AV3558" i="5"/>
  <c r="AR3625" i="5"/>
  <c r="AR3498" i="5" l="1"/>
  <c r="AX3493" i="5" s="1"/>
  <c r="AP3499" i="5"/>
  <c r="AR3556" i="5"/>
  <c r="AR3626" i="5"/>
  <c r="AR3499" i="5" l="1"/>
  <c r="AY3493" i="5" s="1"/>
  <c r="AP3500" i="5"/>
  <c r="AT3550" i="5"/>
  <c r="AX3550" i="5" s="1"/>
  <c r="AR3557" i="5"/>
  <c r="H318" i="16"/>
  <c r="I318" i="16" s="1"/>
  <c r="H319" i="16"/>
  <c r="I319" i="16" s="1"/>
  <c r="AV3550" i="5" l="1"/>
  <c r="AR3500" i="5"/>
  <c r="AQ3500" i="5" s="1"/>
  <c r="AV3493" i="5" s="1"/>
  <c r="AP3501" i="5"/>
  <c r="AY3550" i="5"/>
  <c r="AU3550" i="5"/>
  <c r="AR3558" i="5"/>
  <c r="AQ3558" i="5" s="1"/>
  <c r="AR3635" i="5"/>
  <c r="AQ3635" i="5" s="1"/>
  <c r="P319" i="16"/>
  <c r="E319" i="16"/>
  <c r="M319" i="16"/>
  <c r="O319" i="16"/>
  <c r="O318" i="16"/>
  <c r="M318" i="16"/>
  <c r="E318" i="16"/>
  <c r="P318" i="16"/>
  <c r="AR3501" i="5" l="1"/>
  <c r="AQ3501" i="5" s="1"/>
  <c r="AW3493" i="5" s="1"/>
  <c r="AP3502" i="5"/>
  <c r="AP3503" i="5" s="1"/>
  <c r="AP3504" i="5" s="1"/>
  <c r="AP3505" i="5" s="1"/>
  <c r="AW3550" i="5"/>
  <c r="AX350" i="16"/>
  <c r="AX356" i="16"/>
  <c r="AX353" i="16"/>
  <c r="AT3571" i="5"/>
  <c r="AR3636" i="5"/>
  <c r="AQ3636" i="5" s="1"/>
  <c r="AT3631" i="5" s="1"/>
  <c r="AY3631" i="5" s="1"/>
  <c r="S318" i="16"/>
  <c r="S319" i="16"/>
  <c r="AX352" i="16" l="1"/>
  <c r="AX354" i="16"/>
  <c r="AX355" i="16"/>
  <c r="AX351" i="16"/>
  <c r="AR3505" i="5"/>
  <c r="AQ3505" i="5" s="1"/>
  <c r="AT3502" i="5" s="1"/>
  <c r="AP3506" i="5"/>
  <c r="AV347" i="16"/>
  <c r="AU3571" i="5"/>
  <c r="AW3571" i="5"/>
  <c r="AY3571" i="5"/>
  <c r="T318" i="16"/>
  <c r="T319" i="16"/>
  <c r="AW347" i="16" l="1"/>
  <c r="AV346" i="16"/>
  <c r="AW346" i="16" s="1"/>
  <c r="AV345" i="16"/>
  <c r="AW345" i="16" s="1"/>
  <c r="EX332" i="10" s="1"/>
  <c r="AR3506" i="5"/>
  <c r="AU3502" i="5" s="1"/>
  <c r="AP3507" i="5"/>
  <c r="AR3565" i="5"/>
  <c r="BX356" i="16"/>
  <c r="BX350" i="16"/>
  <c r="BX353" i="16"/>
  <c r="AX3571" i="5"/>
  <c r="BX354" i="16" l="1"/>
  <c r="BX351" i="16"/>
  <c r="FJ343" i="10"/>
  <c r="BX355" i="16"/>
  <c r="FD343" i="10"/>
  <c r="FG343" i="10"/>
  <c r="BX352" i="16"/>
  <c r="AP3508" i="5"/>
  <c r="AR3507" i="5"/>
  <c r="AQ3507" i="5" s="1"/>
  <c r="AR3566" i="5"/>
  <c r="AX377" i="16"/>
  <c r="AX374" i="16"/>
  <c r="AV3571" i="5"/>
  <c r="AX375" i="16" l="1"/>
  <c r="AX376" i="16"/>
  <c r="AX3502" i="5"/>
  <c r="AP3509" i="5"/>
  <c r="AR3508" i="5"/>
  <c r="AV3502" i="5" s="1"/>
  <c r="AR3567" i="5"/>
  <c r="AQ3567" i="5" s="1"/>
  <c r="AV380" i="16"/>
  <c r="AV374" i="16"/>
  <c r="AV377" i="16"/>
  <c r="BX362" i="16"/>
  <c r="AV379" i="16" l="1"/>
  <c r="AW379" i="16" s="1"/>
  <c r="AV378" i="16"/>
  <c r="AW378" i="16" s="1"/>
  <c r="GE332" i="10" s="1"/>
  <c r="GE331" i="10" s="1"/>
  <c r="AW374" i="16"/>
  <c r="AW377" i="16"/>
  <c r="AV376" i="16"/>
  <c r="AW376" i="16" s="1"/>
  <c r="FP343" i="10"/>
  <c r="AV375" i="16"/>
  <c r="AW375" i="16" s="1"/>
  <c r="GB332" i="10" s="1"/>
  <c r="GB331" i="10" s="1"/>
  <c r="AP3510" i="5"/>
  <c r="AR3509" i="5"/>
  <c r="AQ3509" i="5" s="1"/>
  <c r="BX383" i="16"/>
  <c r="GK343" i="10" s="1"/>
  <c r="BX380" i="16"/>
  <c r="AW380" i="16"/>
  <c r="AV275" i="16"/>
  <c r="BX365" i="16"/>
  <c r="AV290" i="16"/>
  <c r="AV287" i="16"/>
  <c r="AV272" i="16"/>
  <c r="AV278" i="16"/>
  <c r="BX382" i="16" l="1"/>
  <c r="FS343" i="10"/>
  <c r="BX364" i="16"/>
  <c r="BX363" i="16"/>
  <c r="GH343" i="10"/>
  <c r="AW278" i="16"/>
  <c r="AV277" i="16"/>
  <c r="AW277" i="16" s="1"/>
  <c r="AW272" i="16"/>
  <c r="AV271" i="16"/>
  <c r="AW271" i="16" s="1"/>
  <c r="AV270" i="16"/>
  <c r="AW270" i="16" s="1"/>
  <c r="CA332" i="10" s="1"/>
  <c r="AW290" i="16"/>
  <c r="AV292" i="16"/>
  <c r="AW292" i="16" s="1"/>
  <c r="AV289" i="16"/>
  <c r="AW289" i="16" s="1"/>
  <c r="AV288" i="16"/>
  <c r="AW288" i="16" s="1"/>
  <c r="AV276" i="16"/>
  <c r="AW276" i="16" s="1"/>
  <c r="AW287" i="16"/>
  <c r="AW275" i="16"/>
  <c r="AV274" i="16"/>
  <c r="AW274" i="16" s="1"/>
  <c r="AV273" i="16"/>
  <c r="AW273" i="16" s="1"/>
  <c r="CD332" i="10" s="1"/>
  <c r="AV291" i="16"/>
  <c r="AW291" i="16" s="1"/>
  <c r="CV332" i="10" s="1"/>
  <c r="AW3502" i="5"/>
  <c r="AR3510" i="5"/>
  <c r="AU3505" i="5" s="1"/>
  <c r="AP3511" i="5"/>
  <c r="AP3512" i="5" s="1"/>
  <c r="AP3513" i="5" s="1"/>
  <c r="AP3514" i="5" s="1"/>
  <c r="AX3558" i="5"/>
  <c r="BY383" i="16"/>
  <c r="GM343" i="10" s="1"/>
  <c r="BX290" i="16"/>
  <c r="BX287" i="16"/>
  <c r="AG254" i="16"/>
  <c r="AG255" i="16" s="1"/>
  <c r="AL80" i="10" s="1"/>
  <c r="BY382" i="16" l="1"/>
  <c r="CG332" i="10"/>
  <c r="BX289" i="16"/>
  <c r="CV343" i="10"/>
  <c r="CS332" i="10"/>
  <c r="BX288" i="16"/>
  <c r="AL79" i="10"/>
  <c r="AG256" i="16"/>
  <c r="CS343" i="10"/>
  <c r="AP3515" i="5"/>
  <c r="AR3514" i="5"/>
  <c r="AQ3514" i="5" s="1"/>
  <c r="AT3511" i="5" s="1"/>
  <c r="AY3502" i="5"/>
  <c r="AG212" i="16"/>
  <c r="BX212" i="16"/>
  <c r="BX209" i="16"/>
  <c r="AG218" i="16"/>
  <c r="AG215" i="16"/>
  <c r="AG213" i="16" s="1"/>
  <c r="AG230" i="16"/>
  <c r="AG233" i="16"/>
  <c r="AF209" i="16"/>
  <c r="AF208" i="16" s="1"/>
  <c r="AL209" i="16"/>
  <c r="AJ209" i="16"/>
  <c r="AG248" i="16"/>
  <c r="AJ212" i="16"/>
  <c r="AF212" i="16"/>
  <c r="AG251" i="16"/>
  <c r="AL221" i="16"/>
  <c r="AL224" i="16"/>
  <c r="AU212" i="16"/>
  <c r="AU211" i="16" s="1"/>
  <c r="AL212" i="16"/>
  <c r="AL213" i="16" s="1"/>
  <c r="BX207" i="16"/>
  <c r="BY207" i="16" s="1"/>
  <c r="AG232" i="16" l="1"/>
  <c r="AG217" i="16"/>
  <c r="AG216" i="16"/>
  <c r="AG214" i="16"/>
  <c r="BX211" i="16"/>
  <c r="BX210" i="16"/>
  <c r="BX208" i="16"/>
  <c r="AG249" i="16"/>
  <c r="AL74" i="10" s="1"/>
  <c r="AP74" i="10" s="1"/>
  <c r="AR74" i="10" s="1"/>
  <c r="BV74" i="10" s="1"/>
  <c r="AA14" i="16" s="1"/>
  <c r="AL222" i="16"/>
  <c r="AF207" i="16"/>
  <c r="AG252" i="16"/>
  <c r="AL77" i="10" s="1"/>
  <c r="AF214" i="16"/>
  <c r="AF216" i="16" s="1"/>
  <c r="AF211" i="16"/>
  <c r="AJ207" i="16"/>
  <c r="AJ208" i="16"/>
  <c r="AJ214" i="16"/>
  <c r="AJ211" i="16"/>
  <c r="AL76" i="10"/>
  <c r="AP76" i="10" s="1"/>
  <c r="U16" i="16" s="1"/>
  <c r="BF16" i="16" s="1"/>
  <c r="AG250" i="16"/>
  <c r="AL75" i="10" s="1"/>
  <c r="AP75" i="10" s="1"/>
  <c r="U15" i="16" s="1"/>
  <c r="BF15" i="16" s="1"/>
  <c r="AJ213" i="16"/>
  <c r="AF210" i="16"/>
  <c r="AL210" i="16"/>
  <c r="AL208" i="16"/>
  <c r="AL207" i="16" s="1"/>
  <c r="AJ210" i="16"/>
  <c r="AG253" i="16"/>
  <c r="AL78" i="10" s="1"/>
  <c r="AL73" i="10"/>
  <c r="AP73" i="10" s="1"/>
  <c r="H25" i="19" s="1"/>
  <c r="H225" i="19" s="1"/>
  <c r="AL214" i="16"/>
  <c r="AL211" i="16"/>
  <c r="AL223" i="16"/>
  <c r="AF213" i="16"/>
  <c r="AG231" i="16"/>
  <c r="AR3515" i="5"/>
  <c r="AQ3515" i="5" s="1"/>
  <c r="AU3511" i="5" s="1"/>
  <c r="AP3516" i="5"/>
  <c r="AR3574" i="5"/>
  <c r="CK426" i="10" l="1"/>
  <c r="U14" i="16"/>
  <c r="T14" i="16" s="1"/>
  <c r="W14" i="16" s="1"/>
  <c r="BQ14" i="16" s="1"/>
  <c r="BD74" i="10"/>
  <c r="BE74" i="10" s="1"/>
  <c r="H26" i="19"/>
  <c r="F26" i="19" s="1"/>
  <c r="BA137" i="12" s="1"/>
  <c r="H28" i="19"/>
  <c r="BC139" i="12" s="1"/>
  <c r="BB139" i="12" s="1"/>
  <c r="AR76" i="10"/>
  <c r="BV76" i="10" s="1"/>
  <c r="AA16" i="16" s="1"/>
  <c r="F25" i="19"/>
  <c r="BA136" i="12" s="1"/>
  <c r="U13" i="16"/>
  <c r="T13" i="16" s="1"/>
  <c r="W13" i="16" s="1"/>
  <c r="BQ13" i="16" s="1"/>
  <c r="BH15" i="16"/>
  <c r="AR75" i="10"/>
  <c r="BV75" i="10" s="1"/>
  <c r="AA15" i="16" s="1"/>
  <c r="G25" i="19"/>
  <c r="T15" i="16"/>
  <c r="W15" i="16" s="1"/>
  <c r="BQ15" i="16" s="1"/>
  <c r="H27" i="19"/>
  <c r="G27" i="19" s="1"/>
  <c r="BC136" i="12"/>
  <c r="BB136" i="12" s="1"/>
  <c r="CJ426" i="10"/>
  <c r="AR73" i="10"/>
  <c r="BD73" i="10" s="1"/>
  <c r="BE73" i="10" s="1"/>
  <c r="AR3516" i="5"/>
  <c r="AX3511" i="5" s="1"/>
  <c r="AP3517" i="5"/>
  <c r="AR3575" i="5"/>
  <c r="AQ3575" i="5" s="1"/>
  <c r="AF386" i="16"/>
  <c r="AF387" i="16" s="1"/>
  <c r="AF383" i="16"/>
  <c r="T16" i="16"/>
  <c r="BH16" i="16"/>
  <c r="H228" i="19" l="1"/>
  <c r="BH14" i="16"/>
  <c r="F226" i="19"/>
  <c r="U226" i="19" s="1"/>
  <c r="BC14" i="16"/>
  <c r="BF14" i="16"/>
  <c r="BC137" i="12"/>
  <c r="BB137" i="12" s="1"/>
  <c r="U26" i="19"/>
  <c r="BP137" i="12" s="1"/>
  <c r="G26" i="19"/>
  <c r="H226" i="19"/>
  <c r="L26" i="19"/>
  <c r="BG137" i="12" s="1"/>
  <c r="BH137" i="12" s="1"/>
  <c r="BC15" i="16"/>
  <c r="F28" i="19"/>
  <c r="L28" i="19" s="1"/>
  <c r="BG139" i="12" s="1"/>
  <c r="BH139" i="12" s="1"/>
  <c r="G28" i="19"/>
  <c r="L25" i="19"/>
  <c r="BG136" i="12" s="1"/>
  <c r="BH136" i="12" s="1"/>
  <c r="U25" i="19"/>
  <c r="BP136" i="12" s="1"/>
  <c r="BD76" i="10"/>
  <c r="BE76" i="10" s="1"/>
  <c r="BH13" i="16"/>
  <c r="BF13" i="16"/>
  <c r="BD75" i="10"/>
  <c r="BE75" i="10" s="1"/>
  <c r="F225" i="19"/>
  <c r="U225" i="19" s="1"/>
  <c r="F27" i="19"/>
  <c r="U27" i="19" s="1"/>
  <c r="BP138" i="12" s="1"/>
  <c r="H227" i="19"/>
  <c r="BC138" i="12"/>
  <c r="BB138" i="12" s="1"/>
  <c r="BV73" i="10"/>
  <c r="AA13" i="16" s="1"/>
  <c r="BC13" i="16" s="1"/>
  <c r="AF384" i="16"/>
  <c r="AF388" i="16"/>
  <c r="AF385" i="16"/>
  <c r="AP3518" i="5"/>
  <c r="AR3517" i="5"/>
  <c r="AV3511" i="5" s="1"/>
  <c r="AR3576" i="5"/>
  <c r="W16" i="16"/>
  <c r="BQ16" i="16" s="1"/>
  <c r="DW335" i="10"/>
  <c r="DW334" i="10" s="1"/>
  <c r="L226" i="19" l="1"/>
  <c r="M26" i="19"/>
  <c r="BA139" i="12"/>
  <c r="U28" i="19"/>
  <c r="BP139" i="12" s="1"/>
  <c r="F228" i="19"/>
  <c r="U228" i="19" s="1"/>
  <c r="L228" i="19"/>
  <c r="M28" i="19"/>
  <c r="M25" i="19"/>
  <c r="L225" i="19"/>
  <c r="BA138" i="12"/>
  <c r="L27" i="19"/>
  <c r="L227" i="19" s="1"/>
  <c r="F227" i="19"/>
  <c r="U227" i="19" s="1"/>
  <c r="AR3518" i="5"/>
  <c r="AQ3518" i="5" s="1"/>
  <c r="AP3519" i="5"/>
  <c r="AT3570" i="5"/>
  <c r="AV3570" i="5" s="1"/>
  <c r="AX371" i="16"/>
  <c r="AX372" i="16" s="1"/>
  <c r="AG377" i="16"/>
  <c r="AG374" i="16"/>
  <c r="AM377" i="16"/>
  <c r="AM374" i="16"/>
  <c r="BX368" i="16"/>
  <c r="BX371" i="16"/>
  <c r="AK377" i="16"/>
  <c r="BX377" i="16"/>
  <c r="BX378" i="16" s="1"/>
  <c r="BX374" i="16"/>
  <c r="AM371" i="16"/>
  <c r="AV371" i="16"/>
  <c r="AV372" i="16" s="1"/>
  <c r="AW372" i="16" s="1"/>
  <c r="AX308" i="16"/>
  <c r="DN331" i="10" s="1"/>
  <c r="AX305" i="16"/>
  <c r="DK331" i="10" s="1"/>
  <c r="AV350" i="16"/>
  <c r="AK365" i="16"/>
  <c r="BC16" i="16"/>
  <c r="BX369" i="16" l="1"/>
  <c r="AG376" i="16"/>
  <c r="BG138" i="12"/>
  <c r="BH138" i="12" s="1"/>
  <c r="M27" i="19"/>
  <c r="AM376" i="16"/>
  <c r="AW350" i="16"/>
  <c r="AV349" i="16"/>
  <c r="AM375" i="16"/>
  <c r="AM373" i="16"/>
  <c r="AG375" i="16"/>
  <c r="BX379" i="16"/>
  <c r="BX381" i="16" s="1"/>
  <c r="BX376" i="16"/>
  <c r="AW371" i="16"/>
  <c r="AV373" i="16"/>
  <c r="AW373" i="16" s="1"/>
  <c r="AM372" i="16"/>
  <c r="GE343" i="10"/>
  <c r="FY343" i="10"/>
  <c r="BX370" i="16"/>
  <c r="BX375" i="16"/>
  <c r="BX373" i="16"/>
  <c r="BX372" i="16"/>
  <c r="FV343" i="10"/>
  <c r="BX367" i="16"/>
  <c r="BX366" i="16" s="1"/>
  <c r="AX373" i="16"/>
  <c r="AX306" i="16"/>
  <c r="AX310" i="16"/>
  <c r="AX307" i="16"/>
  <c r="AX309" i="16"/>
  <c r="GB343" i="10"/>
  <c r="AP3520" i="5"/>
  <c r="AP3521" i="5" s="1"/>
  <c r="AP3522" i="5" s="1"/>
  <c r="AP3523" i="5" s="1"/>
  <c r="AR3519" i="5"/>
  <c r="AQ3519" i="5" s="1"/>
  <c r="AW3510" i="5" s="1"/>
  <c r="AW3511" i="5"/>
  <c r="AU3570" i="5"/>
  <c r="AY3570" i="5"/>
  <c r="FY332" i="10"/>
  <c r="FY331" i="10" s="1"/>
  <c r="AK260" i="16"/>
  <c r="AV348" i="16" l="1"/>
  <c r="AW348" i="16" s="1"/>
  <c r="FA332" i="10" s="1"/>
  <c r="AW349" i="16"/>
  <c r="AY3511" i="5"/>
  <c r="AR3523" i="5"/>
  <c r="AQ3523" i="5" s="1"/>
  <c r="AT3520" i="5" s="1"/>
  <c r="AP3524" i="5"/>
  <c r="AW3570" i="5"/>
  <c r="BP272" i="16"/>
  <c r="AU275" i="16"/>
  <c r="CG338" i="10" s="1"/>
  <c r="AG302" i="16"/>
  <c r="BO251" i="16"/>
  <c r="AT275" i="16"/>
  <c r="AX290" i="16"/>
  <c r="AX293" i="16"/>
  <c r="AR3662" i="5"/>
  <c r="AX292" i="16" l="1"/>
  <c r="CG337" i="10"/>
  <c r="AT276" i="16"/>
  <c r="AT274" i="16"/>
  <c r="CD347" i="10"/>
  <c r="BP271" i="16"/>
  <c r="BP273" i="16"/>
  <c r="BO252" i="16"/>
  <c r="BO250" i="16"/>
  <c r="AU276" i="16"/>
  <c r="AU274" i="16"/>
  <c r="AX291" i="16"/>
  <c r="AR3524" i="5"/>
  <c r="AU3520" i="5" s="1"/>
  <c r="AP3525" i="5"/>
  <c r="AR3583" i="5"/>
  <c r="AR3663" i="5"/>
  <c r="AP3526" i="5" l="1"/>
  <c r="AR3525" i="5"/>
  <c r="AX3520" i="5" s="1"/>
  <c r="AR3584" i="5"/>
  <c r="AR3664" i="5"/>
  <c r="FP335" i="10"/>
  <c r="FP334" i="10" s="1"/>
  <c r="AP3527" i="5" l="1"/>
  <c r="AR3526" i="5"/>
  <c r="AV3520" i="5" s="1"/>
  <c r="AR3585" i="5"/>
  <c r="AU3595" i="5"/>
  <c r="AP3528" i="5" l="1"/>
  <c r="AR3527" i="5"/>
  <c r="AQ3527" i="5" s="1"/>
  <c r="AT3579" i="5"/>
  <c r="AV3579" i="5"/>
  <c r="BO287" i="16"/>
  <c r="BO286" i="16" s="1"/>
  <c r="FY335" i="10"/>
  <c r="FY334" i="10" s="1"/>
  <c r="AR3672" i="5"/>
  <c r="AW3520" i="5" l="1"/>
  <c r="AR3528" i="5"/>
  <c r="AY3520" i="5" s="1"/>
  <c r="AP3529" i="5"/>
  <c r="AP3530" i="5" s="1"/>
  <c r="AP3531" i="5" s="1"/>
  <c r="AP3532" i="5" s="1"/>
  <c r="AU3579" i="5"/>
  <c r="AY3579" i="5"/>
  <c r="AW3579" i="5"/>
  <c r="BO288" i="16"/>
  <c r="BO290" i="16"/>
  <c r="AR3673" i="5"/>
  <c r="AQ3673" i="5" s="1"/>
  <c r="BO291" i="16" l="1"/>
  <c r="BO289" i="16"/>
  <c r="AR3532" i="5"/>
  <c r="AQ3532" i="5" s="1"/>
  <c r="AT3529" i="5" s="1"/>
  <c r="AP3533" i="5"/>
  <c r="AX3579" i="5"/>
  <c r="BO296" i="16"/>
  <c r="BO295" i="16" s="1"/>
  <c r="AT3668" i="5"/>
  <c r="AY3668" i="5" s="1"/>
  <c r="AW3595" i="5"/>
  <c r="AP3534" i="5" l="1"/>
  <c r="AR3533" i="5"/>
  <c r="AU3529" i="5" s="1"/>
  <c r="AY3595" i="5"/>
  <c r="AP3535" i="5" l="1"/>
  <c r="AR3534" i="5"/>
  <c r="AX3529" i="5" s="1"/>
  <c r="AV3595" i="5"/>
  <c r="AR3535" i="5" l="1"/>
  <c r="AV3529" i="5" s="1"/>
  <c r="AP3536" i="5"/>
  <c r="AR3536" i="5" l="1"/>
  <c r="AQ3536" i="5" s="1"/>
  <c r="AP3537" i="5"/>
  <c r="AT3588" i="5"/>
  <c r="AU3588" i="5" s="1"/>
  <c r="AR3592" i="5"/>
  <c r="AP3538" i="5" l="1"/>
  <c r="AP3539" i="5" s="1"/>
  <c r="AP3540" i="5" s="1"/>
  <c r="AP3541" i="5" s="1"/>
  <c r="AR3537" i="5"/>
  <c r="AU3532" i="5" s="1"/>
  <c r="AW3529" i="5"/>
  <c r="AR3593" i="5"/>
  <c r="AY3588" i="5" s="1"/>
  <c r="AT3607" i="5"/>
  <c r="AR3541" i="5" l="1"/>
  <c r="AQ3541" i="5" s="1"/>
  <c r="AT3538" i="5" s="1"/>
  <c r="AP3542" i="5"/>
  <c r="AY3529" i="5"/>
  <c r="AR3594" i="5"/>
  <c r="AV3588" i="5" s="1"/>
  <c r="AW3607" i="5"/>
  <c r="AY3607" i="5"/>
  <c r="AP3543" i="5" l="1"/>
  <c r="AR3542" i="5"/>
  <c r="AU3538" i="5" s="1"/>
  <c r="AR3595" i="5"/>
  <c r="AQ3595" i="5" s="1"/>
  <c r="AW3588" i="5" s="1"/>
  <c r="AX3607" i="5"/>
  <c r="AP3544" i="5" l="1"/>
  <c r="AR3543" i="5"/>
  <c r="AQ3543" i="5" s="1"/>
  <c r="AR3596" i="5"/>
  <c r="AX3588" i="5" s="1"/>
  <c r="AX3538" i="5" l="1"/>
  <c r="AR3544" i="5"/>
  <c r="AV3538" i="5" s="1"/>
  <c r="AP3545" i="5"/>
  <c r="AR3600" i="5"/>
  <c r="AQ3600" i="5" s="1"/>
  <c r="AT3597" i="5" s="1"/>
  <c r="AR3689" i="5"/>
  <c r="AQ3689" i="5" s="1"/>
  <c r="AR3545" i="5" l="1"/>
  <c r="AQ3545" i="5" s="1"/>
  <c r="AW3538" i="5" s="1"/>
  <c r="AP3546" i="5"/>
  <c r="AR3601" i="5"/>
  <c r="AX3595" i="5" s="1"/>
  <c r="AP3547" i="5" l="1"/>
  <c r="AP3548" i="5" s="1"/>
  <c r="AP3549" i="5" s="1"/>
  <c r="AP3550" i="5" s="1"/>
  <c r="AR3546" i="5"/>
  <c r="AY3538" i="5" s="1"/>
  <c r="AR3602" i="5"/>
  <c r="AY3597" i="5" s="1"/>
  <c r="AU3597" i="5"/>
  <c r="AP3551" i="5" l="1"/>
  <c r="AR3550" i="5"/>
  <c r="AQ3550" i="5" s="1"/>
  <c r="AR3603" i="5"/>
  <c r="AQ3603" i="5" s="1"/>
  <c r="AV3597" i="5" s="1"/>
  <c r="AT3546" i="5" l="1"/>
  <c r="AT3547" i="5"/>
  <c r="AP3552" i="5"/>
  <c r="AR3551" i="5"/>
  <c r="AX3546" i="5" s="1"/>
  <c r="AR3604" i="5"/>
  <c r="AQ3604" i="5" s="1"/>
  <c r="AW3597" i="5" s="1"/>
  <c r="AP3553" i="5" l="1"/>
  <c r="AR3552" i="5"/>
  <c r="AU3546" i="5" s="1"/>
  <c r="AU3547" i="5"/>
  <c r="AW3546" i="5"/>
  <c r="AV3546" i="5"/>
  <c r="AY3546" i="5"/>
  <c r="AR3605" i="5"/>
  <c r="AX3597" i="5" s="1"/>
  <c r="AX3547" i="5" l="1"/>
  <c r="AP3554" i="5"/>
  <c r="AR3553" i="5"/>
  <c r="AQ3553" i="5" s="1"/>
  <c r="AR3609" i="5"/>
  <c r="AQ3609" i="5" s="1"/>
  <c r="AV3547" i="5" l="1"/>
  <c r="AY3547" i="5"/>
  <c r="AR3554" i="5"/>
  <c r="AQ3554" i="5" s="1"/>
  <c r="AW3547" i="5" s="1"/>
  <c r="AP3555" i="5"/>
  <c r="AP3556" i="5" s="1"/>
  <c r="AP3557" i="5" s="1"/>
  <c r="AP3558" i="5" s="1"/>
  <c r="AP3559" i="5" s="1"/>
  <c r="AR3610" i="5"/>
  <c r="AP3560" i="5" l="1"/>
  <c r="AR3559" i="5"/>
  <c r="AR3611" i="5"/>
  <c r="AQ3611" i="5" s="1"/>
  <c r="AR3560" i="5" l="1"/>
  <c r="AQ3560" i="5" s="1"/>
  <c r="AT3556" i="5" s="1"/>
  <c r="AP3561" i="5"/>
  <c r="AR3612" i="5"/>
  <c r="AU3607" i="5" s="1"/>
  <c r="AP3562" i="5" l="1"/>
  <c r="AR3561" i="5"/>
  <c r="AU3556" i="5" s="1"/>
  <c r="AY3556" i="5"/>
  <c r="AR3613" i="5"/>
  <c r="AQ3613" i="5" s="1"/>
  <c r="AT3606" i="5" s="1"/>
  <c r="AR3562" i="5" l="1"/>
  <c r="AQ3562" i="5" s="1"/>
  <c r="AP3563" i="5"/>
  <c r="AU3606" i="5"/>
  <c r="AY3606" i="5"/>
  <c r="AW3606" i="5"/>
  <c r="AV3606" i="5"/>
  <c r="AR3614" i="5"/>
  <c r="AV3607" i="5" s="1"/>
  <c r="AP3564" i="5" l="1"/>
  <c r="AR3563" i="5"/>
  <c r="AQ3563" i="5" s="1"/>
  <c r="AT3559" i="5" s="1"/>
  <c r="AX3556" i="5"/>
  <c r="AR3618" i="5"/>
  <c r="AQ3618" i="5" s="1"/>
  <c r="AT3615" i="5" s="1"/>
  <c r="AX3606" i="5"/>
  <c r="AX3631" i="5"/>
  <c r="AX3559" i="5" l="1"/>
  <c r="AY3559" i="5"/>
  <c r="AU3559" i="5"/>
  <c r="AV3559" i="5"/>
  <c r="AW3559" i="5"/>
  <c r="AV3556" i="5"/>
  <c r="AR3564" i="5"/>
  <c r="AQ3564" i="5" s="1"/>
  <c r="AW3556" i="5" s="1"/>
  <c r="AP3565" i="5"/>
  <c r="AP3566" i="5" s="1"/>
  <c r="AP3567" i="5" s="1"/>
  <c r="AP3568" i="5" s="1"/>
  <c r="AR3619" i="5"/>
  <c r="AU3615" i="5" s="1"/>
  <c r="AP3569" i="5" l="1"/>
  <c r="AR3568" i="5"/>
  <c r="AR3620" i="5"/>
  <c r="AY3615" i="5" s="1"/>
  <c r="AP3570" i="5" l="1"/>
  <c r="AR3569" i="5"/>
  <c r="AQ3569" i="5" s="1"/>
  <c r="AT3565" i="5" s="1"/>
  <c r="AR3621" i="5"/>
  <c r="AV3615" i="5" s="1"/>
  <c r="AY3565" i="5" l="1"/>
  <c r="AR3570" i="5"/>
  <c r="AU3565" i="5" s="1"/>
  <c r="AP3571" i="5"/>
  <c r="AR3622" i="5"/>
  <c r="AQ3622" i="5" s="1"/>
  <c r="AR3571" i="5" l="1"/>
  <c r="AX3565" i="5" s="1"/>
  <c r="AP3572" i="5"/>
  <c r="AR3623" i="5"/>
  <c r="AQ3623" i="5" s="1"/>
  <c r="AT3619" i="5" s="1"/>
  <c r="AW3615" i="5"/>
  <c r="AR3572" i="5" l="1"/>
  <c r="AV3565" i="5" s="1"/>
  <c r="AP3573" i="5"/>
  <c r="AX3615" i="5"/>
  <c r="AU3619" i="5"/>
  <c r="AV3619" i="5"/>
  <c r="AY3619" i="5"/>
  <c r="AX3619" i="5"/>
  <c r="AW3619" i="5"/>
  <c r="AR3627" i="5"/>
  <c r="AQ3627" i="5" s="1"/>
  <c r="AP3574" i="5" l="1"/>
  <c r="AP3575" i="5" s="1"/>
  <c r="AP3576" i="5" s="1"/>
  <c r="AP3577" i="5" s="1"/>
  <c r="AR3573" i="5"/>
  <c r="AQ3573" i="5" s="1"/>
  <c r="AW3565" i="5" s="1"/>
  <c r="AR3628" i="5"/>
  <c r="AT3643" i="5"/>
  <c r="AY3643" i="5" s="1"/>
  <c r="AR3577" i="5" l="1"/>
  <c r="AX3570" i="5" s="1"/>
  <c r="AP3578" i="5"/>
  <c r="AR3629" i="5"/>
  <c r="AU3643" i="5"/>
  <c r="AP3579" i="5" l="1"/>
  <c r="AR3578" i="5"/>
  <c r="AQ3578" i="5" s="1"/>
  <c r="AT3574" i="5" s="1"/>
  <c r="AR3630" i="5"/>
  <c r="AY3574" i="5" l="1"/>
  <c r="AR3579" i="5"/>
  <c r="AQ3579" i="5" s="1"/>
  <c r="AU3574" i="5" s="1"/>
  <c r="AP3580" i="5"/>
  <c r="AR3631" i="5"/>
  <c r="AQ3631" i="5" s="1"/>
  <c r="AT3624" i="5" s="1"/>
  <c r="AV3643" i="5"/>
  <c r="AP3581" i="5" l="1"/>
  <c r="AR3580" i="5"/>
  <c r="AX3574" i="5" s="1"/>
  <c r="AR3637" i="5"/>
  <c r="AU3631" i="5" s="1"/>
  <c r="AW3624" i="5"/>
  <c r="AY3624" i="5"/>
  <c r="AV3624" i="5"/>
  <c r="AX3624" i="5"/>
  <c r="AU3624" i="5"/>
  <c r="AW3643" i="5"/>
  <c r="AR3581" i="5" l="1"/>
  <c r="AV3574" i="5" s="1"/>
  <c r="AP3582" i="5"/>
  <c r="AR3638" i="5"/>
  <c r="AQ3638" i="5" s="1"/>
  <c r="AT3633" i="5" s="1"/>
  <c r="AX3643" i="5"/>
  <c r="AR3582" i="5" l="1"/>
  <c r="AQ3582" i="5" s="1"/>
  <c r="AW3574" i="5" s="1"/>
  <c r="AP3583" i="5"/>
  <c r="AP3584" i="5" s="1"/>
  <c r="AP3585" i="5" s="1"/>
  <c r="AP3586" i="5" s="1"/>
  <c r="AX3633" i="5"/>
  <c r="AR3639" i="5"/>
  <c r="AQ3639" i="5" s="1"/>
  <c r="AV3631" i="5" s="1"/>
  <c r="AR3586" i="5" l="1"/>
  <c r="AQ3586" i="5" s="1"/>
  <c r="AP3587" i="5"/>
  <c r="AR3640" i="5"/>
  <c r="AQ3640" i="5" s="1"/>
  <c r="AW3631" i="5" s="1"/>
  <c r="AU3633" i="5"/>
  <c r="AP3588" i="5" l="1"/>
  <c r="AR3587" i="5"/>
  <c r="AQ3587" i="5" s="1"/>
  <c r="AT3583" i="5" s="1"/>
  <c r="AR3641" i="5"/>
  <c r="AY3633" i="5" s="1"/>
  <c r="AY3583" i="5" l="1"/>
  <c r="AP3589" i="5"/>
  <c r="AR3588" i="5"/>
  <c r="AU3583" i="5" s="1"/>
  <c r="AR3642" i="5"/>
  <c r="AV3633" i="5" s="1"/>
  <c r="AP3590" i="5" l="1"/>
  <c r="AR3589" i="5"/>
  <c r="AX3583" i="5" s="1"/>
  <c r="AR3643" i="5"/>
  <c r="AQ3643" i="5" s="1"/>
  <c r="AW3633" i="5" s="1"/>
  <c r="AT3656" i="5"/>
  <c r="AR3590" i="5" l="1"/>
  <c r="AV3583" i="5" s="1"/>
  <c r="AP3591" i="5"/>
  <c r="AR3647" i="5"/>
  <c r="AW3656" i="5"/>
  <c r="AY3656" i="5"/>
  <c r="AU3656" i="5"/>
  <c r="AX3656" i="5"/>
  <c r="AV3656" i="5"/>
  <c r="AP3592" i="5" l="1"/>
  <c r="AP3593" i="5" s="1"/>
  <c r="AP3594" i="5" s="1"/>
  <c r="AP3595" i="5" s="1"/>
  <c r="AP3596" i="5" s="1"/>
  <c r="AP3597" i="5" s="1"/>
  <c r="AP3598" i="5" s="1"/>
  <c r="AP3599" i="5" s="1"/>
  <c r="AP3600" i="5" s="1"/>
  <c r="AP3601" i="5" s="1"/>
  <c r="AP3602" i="5" s="1"/>
  <c r="AP3603" i="5" s="1"/>
  <c r="AP3604" i="5" s="1"/>
  <c r="AP3605" i="5" s="1"/>
  <c r="AP3606" i="5" s="1"/>
  <c r="AP3607" i="5" s="1"/>
  <c r="AP3608" i="5" s="1"/>
  <c r="AP3609" i="5" s="1"/>
  <c r="AP3610" i="5" s="1"/>
  <c r="AP3611" i="5" s="1"/>
  <c r="AP3612" i="5" s="1"/>
  <c r="AP3613" i="5" s="1"/>
  <c r="AP3614" i="5" s="1"/>
  <c r="AP3615" i="5" s="1"/>
  <c r="AP3616" i="5" s="1"/>
  <c r="AP3617" i="5" s="1"/>
  <c r="AP3618" i="5" s="1"/>
  <c r="AP3619" i="5" s="1"/>
  <c r="AP3620" i="5" s="1"/>
  <c r="AP3621" i="5" s="1"/>
  <c r="AP3622" i="5" s="1"/>
  <c r="AP3623" i="5" s="1"/>
  <c r="AP3624" i="5" s="1"/>
  <c r="AP3625" i="5" s="1"/>
  <c r="AP3626" i="5" s="1"/>
  <c r="AP3627" i="5" s="1"/>
  <c r="AP3628" i="5" s="1"/>
  <c r="AP3629" i="5" s="1"/>
  <c r="AP3630" i="5" s="1"/>
  <c r="AP3631" i="5" s="1"/>
  <c r="AP3632" i="5" s="1"/>
  <c r="AP3633" i="5" s="1"/>
  <c r="AP3634" i="5" s="1"/>
  <c r="AP3635" i="5" s="1"/>
  <c r="AP3636" i="5" s="1"/>
  <c r="AP3637" i="5" s="1"/>
  <c r="AP3638" i="5" s="1"/>
  <c r="AP3639" i="5" s="1"/>
  <c r="AP3640" i="5" s="1"/>
  <c r="AP3641" i="5" s="1"/>
  <c r="AP3642" i="5" s="1"/>
  <c r="AP3643" i="5" s="1"/>
  <c r="AP3644" i="5" s="1"/>
  <c r="AP3645" i="5" s="1"/>
  <c r="AP3646" i="5" s="1"/>
  <c r="AP3647" i="5" s="1"/>
  <c r="AP3648" i="5" s="1"/>
  <c r="AP3649" i="5" s="1"/>
  <c r="AP3650" i="5" s="1"/>
  <c r="AP3651" i="5" s="1"/>
  <c r="AP3652" i="5" s="1"/>
  <c r="AP3653" i="5" s="1"/>
  <c r="AP3654" i="5" s="1"/>
  <c r="AP3655" i="5" s="1"/>
  <c r="AP3656" i="5" s="1"/>
  <c r="AP3657" i="5" s="1"/>
  <c r="AP3658" i="5" s="1"/>
  <c r="AP3659" i="5" s="1"/>
  <c r="AP3660" i="5" s="1"/>
  <c r="AP3661" i="5" s="1"/>
  <c r="AP3662" i="5" s="1"/>
  <c r="AP3663" i="5" s="1"/>
  <c r="AP3664" i="5" s="1"/>
  <c r="AP3665" i="5" s="1"/>
  <c r="AP3666" i="5" s="1"/>
  <c r="AP3667" i="5" s="1"/>
  <c r="AP3668" i="5" s="1"/>
  <c r="AP3669" i="5" s="1"/>
  <c r="AP3670" i="5" s="1"/>
  <c r="AP3671" i="5" s="1"/>
  <c r="AP3672" i="5" s="1"/>
  <c r="AP3673" i="5" s="1"/>
  <c r="AP3674" i="5" s="1"/>
  <c r="AP3675" i="5" s="1"/>
  <c r="AP3676" i="5" s="1"/>
  <c r="AP3677" i="5" s="1"/>
  <c r="AP3678" i="5" s="1"/>
  <c r="AP3679" i="5" s="1"/>
  <c r="AP3680" i="5" s="1"/>
  <c r="AP3681" i="5" s="1"/>
  <c r="AP3682" i="5" s="1"/>
  <c r="AP3683" i="5" s="1"/>
  <c r="AP3684" i="5" s="1"/>
  <c r="AP3685" i="5" s="1"/>
  <c r="AP3686" i="5" s="1"/>
  <c r="AP3687" i="5" s="1"/>
  <c r="AP3688" i="5" s="1"/>
  <c r="AP3689" i="5" s="1"/>
  <c r="AP3690" i="5" s="1"/>
  <c r="AP3691" i="5" s="1"/>
  <c r="AP3692" i="5" s="1"/>
  <c r="AP3693" i="5" s="1"/>
  <c r="AP3694" i="5" s="1"/>
  <c r="AP3695" i="5" s="1"/>
  <c r="AP3696" i="5" s="1"/>
  <c r="AP3697" i="5" s="1"/>
  <c r="AP3698" i="5" s="1"/>
  <c r="AP3699" i="5" s="1"/>
  <c r="AP3700" i="5" s="1"/>
  <c r="AP3701" i="5" s="1"/>
  <c r="AP3702" i="5" s="1"/>
  <c r="AP3703" i="5" s="1"/>
  <c r="AP3704" i="5" s="1"/>
  <c r="AP3705" i="5" s="1"/>
  <c r="AP3706" i="5" s="1"/>
  <c r="AP3707" i="5" s="1"/>
  <c r="AP3708" i="5" s="1"/>
  <c r="AP3709" i="5" s="1"/>
  <c r="AP3710" i="5" s="1"/>
  <c r="AP3711" i="5" s="1"/>
  <c r="AP3712" i="5" s="1"/>
  <c r="AP3713" i="5" s="1"/>
  <c r="AP3714" i="5" s="1"/>
  <c r="AP3715" i="5" s="1"/>
  <c r="AP3716" i="5" s="1"/>
  <c r="AP3717" i="5" s="1"/>
  <c r="AP3718" i="5" s="1"/>
  <c r="AP3719" i="5" s="1"/>
  <c r="AP3720" i="5" s="1"/>
  <c r="AP3721" i="5" s="1"/>
  <c r="AP3722" i="5" s="1"/>
  <c r="AP3723" i="5" s="1"/>
  <c r="AP3724" i="5" s="1"/>
  <c r="AP3725" i="5" s="1"/>
  <c r="AP3726" i="5" s="1"/>
  <c r="AP3727" i="5" s="1"/>
  <c r="AP3728" i="5" s="1"/>
  <c r="AP3729" i="5" s="1"/>
  <c r="AP3730" i="5" s="1"/>
  <c r="AP3731" i="5" s="1"/>
  <c r="AP3732" i="5" s="1"/>
  <c r="AP3733" i="5" s="1"/>
  <c r="AP3734" i="5" s="1"/>
  <c r="AP3735" i="5" s="1"/>
  <c r="AP3736" i="5" s="1"/>
  <c r="AP3737" i="5" s="1"/>
  <c r="AP3738" i="5" s="1"/>
  <c r="AP3739" i="5" s="1"/>
  <c r="AP3740" i="5" s="1"/>
  <c r="AP3741" i="5" s="1"/>
  <c r="AP3742" i="5" s="1"/>
  <c r="AP3743" i="5" s="1"/>
  <c r="AP3744" i="5" s="1"/>
  <c r="AP3745" i="5" s="1"/>
  <c r="AP3746" i="5" s="1"/>
  <c r="AP3747" i="5" s="1"/>
  <c r="AP3748" i="5" s="1"/>
  <c r="AP3749" i="5" s="1"/>
  <c r="AP3750" i="5" s="1"/>
  <c r="AP3751" i="5" s="1"/>
  <c r="AP3752" i="5" s="1"/>
  <c r="AP3753" i="5" s="1"/>
  <c r="AP3754" i="5" s="1"/>
  <c r="AP3755" i="5" s="1"/>
  <c r="AP3756" i="5" s="1"/>
  <c r="AP3757" i="5" s="1"/>
  <c r="AP3758" i="5" s="1"/>
  <c r="AP3759" i="5" s="1"/>
  <c r="AP3760" i="5" s="1"/>
  <c r="AP3761" i="5" s="1"/>
  <c r="AP3762" i="5" s="1"/>
  <c r="AP3763" i="5" s="1"/>
  <c r="AP3764" i="5" s="1"/>
  <c r="AP3765" i="5" s="1"/>
  <c r="AP3766" i="5" s="1"/>
  <c r="AP3767" i="5" s="1"/>
  <c r="AP3768" i="5" s="1"/>
  <c r="AP3769" i="5" s="1"/>
  <c r="AP3770" i="5" s="1"/>
  <c r="AP3771" i="5" s="1"/>
  <c r="AP3772" i="5" s="1"/>
  <c r="AP3773" i="5" s="1"/>
  <c r="AP3774" i="5" s="1"/>
  <c r="AP3775" i="5" s="1"/>
  <c r="AP3776" i="5" s="1"/>
  <c r="AP3777" i="5" s="1"/>
  <c r="AP3778" i="5" s="1"/>
  <c r="AP3779" i="5" s="1"/>
  <c r="AP3780" i="5" s="1"/>
  <c r="AP3781" i="5" s="1"/>
  <c r="AP3782" i="5" s="1"/>
  <c r="AP3783" i="5" s="1"/>
  <c r="AP3784" i="5" s="1"/>
  <c r="AP3785" i="5" s="1"/>
  <c r="AP3786" i="5" s="1"/>
  <c r="AP3787" i="5" s="1"/>
  <c r="AP3788" i="5" s="1"/>
  <c r="AP3789" i="5" s="1"/>
  <c r="AP3790" i="5" s="1"/>
  <c r="AP3791" i="5" s="1"/>
  <c r="AP3792" i="5" s="1"/>
  <c r="AP3793" i="5" s="1"/>
  <c r="AP3794" i="5" s="1"/>
  <c r="AP3795" i="5" s="1"/>
  <c r="AP3796" i="5" s="1"/>
  <c r="AP3797" i="5" s="1"/>
  <c r="AP3798" i="5" s="1"/>
  <c r="AP3799" i="5" s="1"/>
  <c r="AP3800" i="5" s="1"/>
  <c r="AP3801" i="5" s="1"/>
  <c r="AP3802" i="5" s="1"/>
  <c r="AP3803" i="5" s="1"/>
  <c r="AP3804" i="5" s="1"/>
  <c r="AP3805" i="5" s="1"/>
  <c r="AP3806" i="5" s="1"/>
  <c r="AP3807" i="5" s="1"/>
  <c r="AP3808" i="5" s="1"/>
  <c r="AP3809" i="5" s="1"/>
  <c r="AP3810" i="5" s="1"/>
  <c r="AP3811" i="5" s="1"/>
  <c r="AP3812" i="5" s="1"/>
  <c r="AP3813" i="5" s="1"/>
  <c r="AP3814" i="5" s="1"/>
  <c r="AP3815" i="5" s="1"/>
  <c r="AP3816" i="5" s="1"/>
  <c r="AP3817" i="5" s="1"/>
  <c r="AP3818" i="5" s="1"/>
  <c r="AP3819" i="5" s="1"/>
  <c r="AP3820" i="5" s="1"/>
  <c r="AP3821" i="5" s="1"/>
  <c r="AP3822" i="5" s="1"/>
  <c r="AP3823" i="5" s="1"/>
  <c r="AP3824" i="5" s="1"/>
  <c r="AP3825" i="5" s="1"/>
  <c r="AP3826" i="5" s="1"/>
  <c r="AP3827" i="5" s="1"/>
  <c r="AP3828" i="5" s="1"/>
  <c r="AP3829" i="5" s="1"/>
  <c r="AP3830" i="5" s="1"/>
  <c r="AP3831" i="5" s="1"/>
  <c r="AP3832" i="5" s="1"/>
  <c r="AP3833" i="5" s="1"/>
  <c r="AP3834" i="5" s="1"/>
  <c r="AP3835" i="5" s="1"/>
  <c r="AP3836" i="5" s="1"/>
  <c r="AP3837" i="5" s="1"/>
  <c r="AP3838" i="5" s="1"/>
  <c r="AP3839" i="5" s="1"/>
  <c r="AP3840" i="5" s="1"/>
  <c r="AP3841" i="5" s="1"/>
  <c r="AP3842" i="5" s="1"/>
  <c r="AP3843" i="5" s="1"/>
  <c r="AP3844" i="5" s="1"/>
  <c r="AP3845" i="5" s="1"/>
  <c r="AP3846" i="5" s="1"/>
  <c r="AP3847" i="5" s="1"/>
  <c r="AP3848" i="5" s="1"/>
  <c r="AP3849" i="5" s="1"/>
  <c r="AP3850" i="5" s="1"/>
  <c r="AP3851" i="5" s="1"/>
  <c r="AP3852" i="5" s="1"/>
  <c r="AP3853" i="5" s="1"/>
  <c r="AP3854" i="5" s="1"/>
  <c r="AP3855" i="5" s="1"/>
  <c r="AP3856" i="5" s="1"/>
  <c r="AP3857" i="5" s="1"/>
  <c r="AP3858" i="5" s="1"/>
  <c r="AP3859" i="5" s="1"/>
  <c r="AP3860" i="5" s="1"/>
  <c r="AP3861" i="5" s="1"/>
  <c r="AP3862" i="5" s="1"/>
  <c r="AP3863" i="5" s="1"/>
  <c r="AP3864" i="5" s="1"/>
  <c r="AP3865" i="5" s="1"/>
  <c r="AP3866" i="5" s="1"/>
  <c r="AP3867" i="5" s="1"/>
  <c r="AP3868" i="5" s="1"/>
  <c r="AP3869" i="5" s="1"/>
  <c r="AP3870" i="5" s="1"/>
  <c r="AP3871" i="5" s="1"/>
  <c r="AP3872" i="5" s="1"/>
  <c r="AP3873" i="5" s="1"/>
  <c r="AP3874" i="5" s="1"/>
  <c r="AP3875" i="5" s="1"/>
  <c r="AP3876" i="5" s="1"/>
  <c r="AP3877" i="5" s="1"/>
  <c r="AP3878" i="5" s="1"/>
  <c r="AP3879" i="5" s="1"/>
  <c r="AP3880" i="5" s="1"/>
  <c r="AP3881" i="5" s="1"/>
  <c r="AP3882" i="5" s="1"/>
  <c r="AP3883" i="5" s="1"/>
  <c r="AP3884" i="5" s="1"/>
  <c r="AP3885" i="5" s="1"/>
  <c r="AP3886" i="5" s="1"/>
  <c r="AP3887" i="5" s="1"/>
  <c r="AP3888" i="5" s="1"/>
  <c r="AP3889" i="5" s="1"/>
  <c r="AP3890" i="5" s="1"/>
  <c r="AP3891" i="5" s="1"/>
  <c r="AP3892" i="5" s="1"/>
  <c r="AP3893" i="5" s="1"/>
  <c r="AP3894" i="5" s="1"/>
  <c r="AP3895" i="5" s="1"/>
  <c r="AP3896" i="5" s="1"/>
  <c r="AP3897" i="5" s="1"/>
  <c r="AP3898" i="5" s="1"/>
  <c r="AP3899" i="5" s="1"/>
  <c r="AP3900" i="5" s="1"/>
  <c r="AP3901" i="5" s="1"/>
  <c r="AP3902" i="5" s="1"/>
  <c r="AP3903" i="5" s="1"/>
  <c r="AP3904" i="5" s="1"/>
  <c r="AP3905" i="5" s="1"/>
  <c r="AP3906" i="5" s="1"/>
  <c r="AP3907" i="5" s="1"/>
  <c r="AP3908" i="5" s="1"/>
  <c r="AP3909" i="5" s="1"/>
  <c r="AP3910" i="5" s="1"/>
  <c r="AP3911" i="5" s="1"/>
  <c r="AP3912" i="5" s="1"/>
  <c r="AP3913" i="5" s="1"/>
  <c r="AP3914" i="5" s="1"/>
  <c r="AP3915" i="5" s="1"/>
  <c r="AP3916" i="5" s="1"/>
  <c r="AP3917" i="5" s="1"/>
  <c r="AP3918" i="5" s="1"/>
  <c r="AP3919" i="5" s="1"/>
  <c r="AP3920" i="5" s="1"/>
  <c r="AP3921" i="5" s="1"/>
  <c r="AP3922" i="5" s="1"/>
  <c r="AP3923" i="5" s="1"/>
  <c r="AP3924" i="5" s="1"/>
  <c r="AP3925" i="5" s="1"/>
  <c r="AP3926" i="5" s="1"/>
  <c r="AP3927" i="5" s="1"/>
  <c r="AP3928" i="5" s="1"/>
  <c r="AP3929" i="5" s="1"/>
  <c r="AP3930" i="5" s="1"/>
  <c r="AP3931" i="5" s="1"/>
  <c r="AP3932" i="5" s="1"/>
  <c r="AP3933" i="5" s="1"/>
  <c r="AP3934" i="5" s="1"/>
  <c r="AP3935" i="5" s="1"/>
  <c r="AP3936" i="5" s="1"/>
  <c r="AP3937" i="5" s="1"/>
  <c r="AP3938" i="5" s="1"/>
  <c r="AP3939" i="5" s="1"/>
  <c r="AP3940" i="5" s="1"/>
  <c r="AP3941" i="5" s="1"/>
  <c r="AP3942" i="5" s="1"/>
  <c r="AP3943" i="5" s="1"/>
  <c r="AP3944" i="5" s="1"/>
  <c r="AP3945" i="5" s="1"/>
  <c r="AP3946" i="5" s="1"/>
  <c r="AP3947" i="5" s="1"/>
  <c r="AP3948" i="5" s="1"/>
  <c r="AP3949" i="5" s="1"/>
  <c r="AP3950" i="5" s="1"/>
  <c r="AP3951" i="5" s="1"/>
  <c r="AP3952" i="5" s="1"/>
  <c r="AP3953" i="5" s="1"/>
  <c r="AP3954" i="5" s="1"/>
  <c r="AP3955" i="5" s="1"/>
  <c r="AP3956" i="5" s="1"/>
  <c r="AP3957" i="5" s="1"/>
  <c r="AP3958" i="5" s="1"/>
  <c r="AP3959" i="5" s="1"/>
  <c r="AP3960" i="5" s="1"/>
  <c r="AP3961" i="5" s="1"/>
  <c r="AP3962" i="5" s="1"/>
  <c r="AP3963" i="5" s="1"/>
  <c r="AP3964" i="5" s="1"/>
  <c r="AP3965" i="5" s="1"/>
  <c r="AP3966" i="5" s="1"/>
  <c r="AP3967" i="5" s="1"/>
  <c r="AP3968" i="5" s="1"/>
  <c r="AP3969" i="5" s="1"/>
  <c r="AP3970" i="5" s="1"/>
  <c r="AP3971" i="5" s="1"/>
  <c r="AP3972" i="5" s="1"/>
  <c r="AP3973" i="5" s="1"/>
  <c r="AP3974" i="5" s="1"/>
  <c r="AP3975" i="5" s="1"/>
  <c r="AP3976" i="5" s="1"/>
  <c r="AP3977" i="5" s="1"/>
  <c r="AP3978" i="5" s="1"/>
  <c r="AP3979" i="5" s="1"/>
  <c r="AP3980" i="5" s="1"/>
  <c r="AP3981" i="5" s="1"/>
  <c r="AP3982" i="5" s="1"/>
  <c r="AP3983" i="5" s="1"/>
  <c r="AP3984" i="5" s="1"/>
  <c r="AP3985" i="5" s="1"/>
  <c r="AP3986" i="5" s="1"/>
  <c r="AP3987" i="5" s="1"/>
  <c r="AP3988" i="5" s="1"/>
  <c r="AP3989" i="5" s="1"/>
  <c r="AP3990" i="5" s="1"/>
  <c r="AP3991" i="5" s="1"/>
  <c r="AP3992" i="5" s="1"/>
  <c r="AP3993" i="5" s="1"/>
  <c r="AP3994" i="5" s="1"/>
  <c r="AP3995" i="5" s="1"/>
  <c r="AP3996" i="5" s="1"/>
  <c r="AP3997" i="5" s="1"/>
  <c r="AP3998" i="5" s="1"/>
  <c r="AP3999" i="5" s="1"/>
  <c r="AP4000" i="5" s="1"/>
  <c r="AP4001" i="5" s="1"/>
  <c r="AP4002" i="5" s="1"/>
  <c r="AP4003" i="5" s="1"/>
  <c r="AP4004" i="5" s="1"/>
  <c r="AP4005" i="5" s="1"/>
  <c r="AP4006" i="5" s="1"/>
  <c r="AP4007" i="5" s="1"/>
  <c r="AP4008" i="5" s="1"/>
  <c r="AP4009" i="5" s="1"/>
  <c r="AP4010" i="5" s="1"/>
  <c r="AP4011" i="5" s="1"/>
  <c r="AP4012" i="5" s="1"/>
  <c r="AP4013" i="5" s="1"/>
  <c r="AP4014" i="5" s="1"/>
  <c r="AP4015" i="5" s="1"/>
  <c r="AP4016" i="5" s="1"/>
  <c r="AP4017" i="5" s="1"/>
  <c r="AP4018" i="5" s="1"/>
  <c r="AP4019" i="5" s="1"/>
  <c r="AP4020" i="5" s="1"/>
  <c r="AP4021" i="5" s="1"/>
  <c r="AP4022" i="5" s="1"/>
  <c r="AP4023" i="5" s="1"/>
  <c r="AP4024" i="5" s="1"/>
  <c r="AP4025" i="5" s="1"/>
  <c r="AP4026" i="5" s="1"/>
  <c r="AP4027" i="5" s="1"/>
  <c r="AP4028" i="5" s="1"/>
  <c r="AP4029" i="5" s="1"/>
  <c r="AP4030" i="5" s="1"/>
  <c r="AP4031" i="5" s="1"/>
  <c r="AP4032" i="5" s="1"/>
  <c r="AP4033" i="5" s="1"/>
  <c r="AP4034" i="5" s="1"/>
  <c r="AP4035" i="5" s="1"/>
  <c r="AP4036" i="5" s="1"/>
  <c r="AP4037" i="5" s="1"/>
  <c r="AP4038" i="5" s="1"/>
  <c r="AP4039" i="5" s="1"/>
  <c r="AP4040" i="5" s="1"/>
  <c r="AP4041" i="5" s="1"/>
  <c r="AP4042" i="5" s="1"/>
  <c r="AP4043" i="5" s="1"/>
  <c r="AP4044" i="5" s="1"/>
  <c r="AP4045" i="5" s="1"/>
  <c r="AP4046" i="5" s="1"/>
  <c r="AP4047" i="5" s="1"/>
  <c r="AP4048" i="5" s="1"/>
  <c r="AP4049" i="5" s="1"/>
  <c r="AP4050" i="5" s="1"/>
  <c r="AP4051" i="5" s="1"/>
  <c r="AP4052" i="5" s="1"/>
  <c r="AP4053" i="5" s="1"/>
  <c r="AP4054" i="5" s="1"/>
  <c r="AP4055" i="5" s="1"/>
  <c r="AP4056" i="5" s="1"/>
  <c r="AP4057" i="5" s="1"/>
  <c r="AP4058" i="5" s="1"/>
  <c r="AP4059" i="5" s="1"/>
  <c r="AP4060" i="5" s="1"/>
  <c r="AP4061" i="5" s="1"/>
  <c r="AP4062" i="5" s="1"/>
  <c r="AP4063" i="5" s="1"/>
  <c r="AP4064" i="5" s="1"/>
  <c r="AP4065" i="5" s="1"/>
  <c r="AP4066" i="5" s="1"/>
  <c r="AP4067" i="5" s="1"/>
  <c r="AP4068" i="5" s="1"/>
  <c r="AP4069" i="5" s="1"/>
  <c r="AP4070" i="5" s="1"/>
  <c r="AP4071" i="5" s="1"/>
  <c r="AP4072" i="5" s="1"/>
  <c r="AP4073" i="5" s="1"/>
  <c r="AP4074" i="5" s="1"/>
  <c r="AP4075" i="5" s="1"/>
  <c r="AP4076" i="5" s="1"/>
  <c r="AP4077" i="5" s="1"/>
  <c r="AP4078" i="5" s="1"/>
  <c r="AP4079" i="5" s="1"/>
  <c r="AP4080" i="5" s="1"/>
  <c r="AP4081" i="5" s="1"/>
  <c r="AP4082" i="5" s="1"/>
  <c r="AP4083" i="5" s="1"/>
  <c r="AP4084" i="5" s="1"/>
  <c r="AP4085" i="5" s="1"/>
  <c r="AP4086" i="5" s="1"/>
  <c r="AP4087" i="5" s="1"/>
  <c r="AP4088" i="5" s="1"/>
  <c r="AP4089" i="5" s="1"/>
  <c r="AP4090" i="5" s="1"/>
  <c r="AP4091" i="5" s="1"/>
  <c r="AP4092" i="5" s="1"/>
  <c r="AP4093" i="5" s="1"/>
  <c r="AP4094" i="5" s="1"/>
  <c r="AP4095" i="5" s="1"/>
  <c r="AP4096" i="5" s="1"/>
  <c r="AP4097" i="5" s="1"/>
  <c r="AP4098" i="5" s="1"/>
  <c r="AP4099" i="5" s="1"/>
  <c r="AP4100" i="5" s="1"/>
  <c r="AP4101" i="5" s="1"/>
  <c r="AP4102" i="5" s="1"/>
  <c r="AP4103" i="5" s="1"/>
  <c r="AP4104" i="5" s="1"/>
  <c r="AP4105" i="5" s="1"/>
  <c r="AP4106" i="5" s="1"/>
  <c r="AP4107" i="5" s="1"/>
  <c r="AP4108" i="5" s="1"/>
  <c r="AP4109" i="5" s="1"/>
  <c r="AP4110" i="5" s="1"/>
  <c r="AP4111" i="5" s="1"/>
  <c r="AP4112" i="5" s="1"/>
  <c r="AP4113" i="5" s="1"/>
  <c r="AP4114" i="5" s="1"/>
  <c r="AP4115" i="5" s="1"/>
  <c r="AP4116" i="5" s="1"/>
  <c r="AP4117" i="5" s="1"/>
  <c r="AP4118" i="5" s="1"/>
  <c r="AP4119" i="5" s="1"/>
  <c r="AP4120" i="5" s="1"/>
  <c r="AP4121" i="5" s="1"/>
  <c r="AP4122" i="5" s="1"/>
  <c r="AP4123" i="5" s="1"/>
  <c r="AP4124" i="5" s="1"/>
  <c r="AP4125" i="5" s="1"/>
  <c r="AP4126" i="5" s="1"/>
  <c r="AP4127" i="5" s="1"/>
  <c r="AP4128" i="5" s="1"/>
  <c r="AP4129" i="5" s="1"/>
  <c r="AP4130" i="5" s="1"/>
  <c r="AP4131" i="5" s="1"/>
  <c r="AP4132" i="5" s="1"/>
  <c r="AP4133" i="5" s="1"/>
  <c r="AP4134" i="5" s="1"/>
  <c r="AP4135" i="5" s="1"/>
  <c r="AP4136" i="5" s="1"/>
  <c r="AP4137" i="5" s="1"/>
  <c r="AP4138" i="5" s="1"/>
  <c r="AP4139" i="5" s="1"/>
  <c r="AP4140" i="5" s="1"/>
  <c r="AP4141" i="5" s="1"/>
  <c r="AP4142" i="5" s="1"/>
  <c r="AP4143" i="5" s="1"/>
  <c r="AP4144" i="5" s="1"/>
  <c r="AP4145" i="5" s="1"/>
  <c r="AP4146" i="5" s="1"/>
  <c r="AP4147" i="5" s="1"/>
  <c r="AP4148" i="5" s="1"/>
  <c r="AP4149" i="5" s="1"/>
  <c r="AP4150" i="5" s="1"/>
  <c r="AP4151" i="5" s="1"/>
  <c r="AP4152" i="5" s="1"/>
  <c r="AP4153" i="5" s="1"/>
  <c r="AP4154" i="5" s="1"/>
  <c r="AP4155" i="5" s="1"/>
  <c r="AP4156" i="5" s="1"/>
  <c r="AP4157" i="5" s="1"/>
  <c r="AP4158" i="5" s="1"/>
  <c r="AP4159" i="5" s="1"/>
  <c r="AP4160" i="5" s="1"/>
  <c r="AP4161" i="5" s="1"/>
  <c r="AP4162" i="5" s="1"/>
  <c r="AP4163" i="5" s="1"/>
  <c r="AP4164" i="5" s="1"/>
  <c r="AP4165" i="5" s="1"/>
  <c r="AP4166" i="5" s="1"/>
  <c r="AP4167" i="5" s="1"/>
  <c r="AP4168" i="5" s="1"/>
  <c r="AP4169" i="5" s="1"/>
  <c r="AP4170" i="5" s="1"/>
  <c r="AP4171" i="5" s="1"/>
  <c r="AP4172" i="5" s="1"/>
  <c r="AP4173" i="5" s="1"/>
  <c r="AP4174" i="5" s="1"/>
  <c r="AP4175" i="5" s="1"/>
  <c r="AP4176" i="5" s="1"/>
  <c r="AP4177" i="5" s="1"/>
  <c r="AP4178" i="5" s="1"/>
  <c r="AP4179" i="5" s="1"/>
  <c r="AP4180" i="5" s="1"/>
  <c r="AP4181" i="5" s="1"/>
  <c r="AP4182" i="5" s="1"/>
  <c r="AP4183" i="5" s="1"/>
  <c r="AP4184" i="5" s="1"/>
  <c r="AP4185" i="5" s="1"/>
  <c r="AP4186" i="5" s="1"/>
  <c r="AP4187" i="5" s="1"/>
  <c r="AP4188" i="5" s="1"/>
  <c r="AP4189" i="5" s="1"/>
  <c r="AP4190" i="5" s="1"/>
  <c r="AP4191" i="5" s="1"/>
  <c r="AP4192" i="5" s="1"/>
  <c r="AP4193" i="5" s="1"/>
  <c r="AP4194" i="5" s="1"/>
  <c r="AP4195" i="5" s="1"/>
  <c r="AP4196" i="5" s="1"/>
  <c r="AP4197" i="5" s="1"/>
  <c r="AP4198" i="5" s="1"/>
  <c r="AP4199" i="5" s="1"/>
  <c r="AP4200" i="5" s="1"/>
  <c r="AP4201" i="5" s="1"/>
  <c r="AP4202" i="5" s="1"/>
  <c r="AP4203" i="5" s="1"/>
  <c r="AP4204" i="5" s="1"/>
  <c r="AP4205" i="5" s="1"/>
  <c r="AP4206" i="5" s="1"/>
  <c r="AP4207" i="5" s="1"/>
  <c r="AP4208" i="5" s="1"/>
  <c r="AP4209" i="5" s="1"/>
  <c r="AP4210" i="5" s="1"/>
  <c r="AP4211" i="5" s="1"/>
  <c r="AP4212" i="5" s="1"/>
  <c r="AP4213" i="5" s="1"/>
  <c r="AP4214" i="5" s="1"/>
  <c r="AP4215" i="5" s="1"/>
  <c r="AP4216" i="5" s="1"/>
  <c r="AP4217" i="5" s="1"/>
  <c r="AP4218" i="5" s="1"/>
  <c r="AP4219" i="5" s="1"/>
  <c r="AP4220" i="5" s="1"/>
  <c r="AP4221" i="5" s="1"/>
  <c r="AP4222" i="5" s="1"/>
  <c r="AP4223" i="5" s="1"/>
  <c r="AP4224" i="5" s="1"/>
  <c r="AP4225" i="5" s="1"/>
  <c r="AP4226" i="5" s="1"/>
  <c r="AP4227" i="5" s="1"/>
  <c r="AP4228" i="5" s="1"/>
  <c r="AP4229" i="5" s="1"/>
  <c r="AP4230" i="5" s="1"/>
  <c r="AP4231" i="5" s="1"/>
  <c r="AP4232" i="5" s="1"/>
  <c r="AP4233" i="5" s="1"/>
  <c r="AP4234" i="5" s="1"/>
  <c r="AP4235" i="5" s="1"/>
  <c r="AP4236" i="5" s="1"/>
  <c r="AP4237" i="5" s="1"/>
  <c r="AP4238" i="5" s="1"/>
  <c r="AP4239" i="5" s="1"/>
  <c r="AP4240" i="5" s="1"/>
  <c r="AP4241" i="5" s="1"/>
  <c r="AP4242" i="5" s="1"/>
  <c r="AP4243" i="5" s="1"/>
  <c r="AP4244" i="5" s="1"/>
  <c r="AP4245" i="5" s="1"/>
  <c r="AP4246" i="5" s="1"/>
  <c r="AP4247" i="5" s="1"/>
  <c r="AP4248" i="5" s="1"/>
  <c r="AP4249" i="5" s="1"/>
  <c r="AP4250" i="5" s="1"/>
  <c r="AP4251" i="5" s="1"/>
  <c r="AP4252" i="5" s="1"/>
  <c r="AP4253" i="5" s="1"/>
  <c r="AP4254" i="5" s="1"/>
  <c r="AP4255" i="5" s="1"/>
  <c r="AP4256" i="5" s="1"/>
  <c r="AP4257" i="5" s="1"/>
  <c r="AP4258" i="5" s="1"/>
  <c r="AP4259" i="5" s="1"/>
  <c r="AP4260" i="5" s="1"/>
  <c r="AP4261" i="5" s="1"/>
  <c r="AP4262" i="5" s="1"/>
  <c r="AP4263" i="5" s="1"/>
  <c r="AP4264" i="5" s="1"/>
  <c r="AP4265" i="5" s="1"/>
  <c r="AP4266" i="5" s="1"/>
  <c r="AP4267" i="5" s="1"/>
  <c r="AP4268" i="5" s="1"/>
  <c r="AP4269" i="5" s="1"/>
  <c r="AP4270" i="5" s="1"/>
  <c r="AP4271" i="5" s="1"/>
  <c r="AP4272" i="5" s="1"/>
  <c r="AP4273" i="5" s="1"/>
  <c r="AP4274" i="5" s="1"/>
  <c r="AP4275" i="5" s="1"/>
  <c r="AP4276" i="5" s="1"/>
  <c r="AP4277" i="5" s="1"/>
  <c r="AP4278" i="5" s="1"/>
  <c r="AP4279" i="5" s="1"/>
  <c r="AP4280" i="5" s="1"/>
  <c r="AP4281" i="5" s="1"/>
  <c r="AP4282" i="5" s="1"/>
  <c r="AP4283" i="5" s="1"/>
  <c r="AP4284" i="5" s="1"/>
  <c r="AP4285" i="5" s="1"/>
  <c r="AP4286" i="5" s="1"/>
  <c r="AP4287" i="5" s="1"/>
  <c r="AP4288" i="5" s="1"/>
  <c r="AP4289" i="5" s="1"/>
  <c r="AP4290" i="5" s="1"/>
  <c r="AP4291" i="5" s="1"/>
  <c r="AP4292" i="5" s="1"/>
  <c r="AP4293" i="5" s="1"/>
  <c r="AP4294" i="5" s="1"/>
  <c r="AP4295" i="5" s="1"/>
  <c r="AP4296" i="5" s="1"/>
  <c r="AP4297" i="5" s="1"/>
  <c r="AP4298" i="5" s="1"/>
  <c r="AP4299" i="5" s="1"/>
  <c r="AP4300" i="5" s="1"/>
  <c r="AP4301" i="5" s="1"/>
  <c r="AP4302" i="5" s="1"/>
  <c r="AP4303" i="5" s="1"/>
  <c r="AP4304" i="5" s="1"/>
  <c r="AP4305" i="5" s="1"/>
  <c r="AP4306" i="5" s="1"/>
  <c r="AP4307" i="5" s="1"/>
  <c r="AP4308" i="5" s="1"/>
  <c r="AP4309" i="5" s="1"/>
  <c r="AP4310" i="5" s="1"/>
  <c r="AP4311" i="5" s="1"/>
  <c r="AP4312" i="5" s="1"/>
  <c r="AP4313" i="5" s="1"/>
  <c r="AP4314" i="5" s="1"/>
  <c r="AP4315" i="5" s="1"/>
  <c r="AP4316" i="5" s="1"/>
  <c r="AP4317" i="5" s="1"/>
  <c r="AP4318" i="5" s="1"/>
  <c r="AP4319" i="5" s="1"/>
  <c r="AP4320" i="5" s="1"/>
  <c r="AP4321" i="5" s="1"/>
  <c r="AP4322" i="5" s="1"/>
  <c r="AP4323" i="5" s="1"/>
  <c r="AP4324" i="5" s="1"/>
  <c r="AP4325" i="5" s="1"/>
  <c r="AP4326" i="5" s="1"/>
  <c r="AP4327" i="5" s="1"/>
  <c r="AP4328" i="5" s="1"/>
  <c r="AP4329" i="5" s="1"/>
  <c r="AP4330" i="5" s="1"/>
  <c r="AP4331" i="5" s="1"/>
  <c r="AP4332" i="5" s="1"/>
  <c r="AP4333" i="5" s="1"/>
  <c r="AP4334" i="5" s="1"/>
  <c r="AP4335" i="5" s="1"/>
  <c r="AP4336" i="5" s="1"/>
  <c r="AP4337" i="5" s="1"/>
  <c r="AP4338" i="5" s="1"/>
  <c r="AP4339" i="5" s="1"/>
  <c r="AP4340" i="5" s="1"/>
  <c r="AP4341" i="5" s="1"/>
  <c r="AP4342" i="5" s="1"/>
  <c r="AP4343" i="5" s="1"/>
  <c r="AP4344" i="5" s="1"/>
  <c r="AP4345" i="5" s="1"/>
  <c r="AP4346" i="5" s="1"/>
  <c r="AP4347" i="5" s="1"/>
  <c r="AP4348" i="5" s="1"/>
  <c r="AP4349" i="5" s="1"/>
  <c r="AP4350" i="5" s="1"/>
  <c r="AP4351" i="5" s="1"/>
  <c r="AP4352" i="5" s="1"/>
  <c r="AP4353" i="5" s="1"/>
  <c r="AP4354" i="5" s="1"/>
  <c r="AP4355" i="5" s="1"/>
  <c r="AP4356" i="5" s="1"/>
  <c r="AP4357" i="5" s="1"/>
  <c r="AP4358" i="5" s="1"/>
  <c r="AP4359" i="5" s="1"/>
  <c r="AP4360" i="5" s="1"/>
  <c r="AP4361" i="5" s="1"/>
  <c r="AP4362" i="5" s="1"/>
  <c r="AP4363" i="5" s="1"/>
  <c r="AP4364" i="5" s="1"/>
  <c r="AP4365" i="5" s="1"/>
  <c r="AP4366" i="5" s="1"/>
  <c r="AP4367" i="5" s="1"/>
  <c r="AP4368" i="5" s="1"/>
  <c r="AP4369" i="5" s="1"/>
  <c r="AP4370" i="5" s="1"/>
  <c r="AP4371" i="5" s="1"/>
  <c r="AP4372" i="5" s="1"/>
  <c r="AP4373" i="5" s="1"/>
  <c r="AP4374" i="5" s="1"/>
  <c r="AP4375" i="5" s="1"/>
  <c r="AP4376" i="5" s="1"/>
  <c r="AP4377" i="5" s="1"/>
  <c r="AP4378" i="5" s="1"/>
  <c r="AP4379" i="5" s="1"/>
  <c r="AP4380" i="5" s="1"/>
  <c r="AP4381" i="5" s="1"/>
  <c r="AP4382" i="5" s="1"/>
  <c r="AP4383" i="5" s="1"/>
  <c r="AP4384" i="5" s="1"/>
  <c r="AP4385" i="5" s="1"/>
  <c r="AP4386" i="5" s="1"/>
  <c r="AP4387" i="5" s="1"/>
  <c r="AP4388" i="5" s="1"/>
  <c r="AP4389" i="5" s="1"/>
  <c r="AP4390" i="5" s="1"/>
  <c r="AP4391" i="5" s="1"/>
  <c r="AP4392" i="5" s="1"/>
  <c r="AP4393" i="5" s="1"/>
  <c r="AP4394" i="5" s="1"/>
  <c r="AP4395" i="5" s="1"/>
  <c r="AP4396" i="5" s="1"/>
  <c r="AP4397" i="5" s="1"/>
  <c r="AP4398" i="5" s="1"/>
  <c r="AP4399" i="5" s="1"/>
  <c r="AP4400" i="5" s="1"/>
  <c r="AP4401" i="5" s="1"/>
  <c r="AP4402" i="5" s="1"/>
  <c r="AP4403" i="5" s="1"/>
  <c r="AP4404" i="5" s="1"/>
  <c r="AP4405" i="5" s="1"/>
  <c r="AP4406" i="5" s="1"/>
  <c r="AP4407" i="5" s="1"/>
  <c r="AP4408" i="5" s="1"/>
  <c r="AP4409" i="5" s="1"/>
  <c r="AP4410" i="5" s="1"/>
  <c r="AP4411" i="5" s="1"/>
  <c r="AP4412" i="5" s="1"/>
  <c r="AP4413" i="5" s="1"/>
  <c r="AP4414" i="5" s="1"/>
  <c r="AP4415" i="5" s="1"/>
  <c r="AP4416" i="5" s="1"/>
  <c r="AP4417" i="5" s="1"/>
  <c r="AP4418" i="5" s="1"/>
  <c r="AP4419" i="5" s="1"/>
  <c r="AP4420" i="5" s="1"/>
  <c r="AP4421" i="5" s="1"/>
  <c r="AP4422" i="5" s="1"/>
  <c r="AP4423" i="5" s="1"/>
  <c r="AP4424" i="5" s="1"/>
  <c r="AP4425" i="5" s="1"/>
  <c r="AP4426" i="5" s="1"/>
  <c r="AP4427" i="5" s="1"/>
  <c r="AP4428" i="5" s="1"/>
  <c r="AP4429" i="5" s="1"/>
  <c r="AP4430" i="5" s="1"/>
  <c r="AP4431" i="5" s="1"/>
  <c r="AP4432" i="5" s="1"/>
  <c r="AP4433" i="5" s="1"/>
  <c r="AP4434" i="5" s="1"/>
  <c r="AP4435" i="5" s="1"/>
  <c r="AP4436" i="5" s="1"/>
  <c r="AP4437" i="5" s="1"/>
  <c r="AP4438" i="5" s="1"/>
  <c r="AP4439" i="5" s="1"/>
  <c r="AP4440" i="5" s="1"/>
  <c r="AP4441" i="5" s="1"/>
  <c r="AP4442" i="5" s="1"/>
  <c r="AP4443" i="5" s="1"/>
  <c r="AP4444" i="5" s="1"/>
  <c r="AP4445" i="5" s="1"/>
  <c r="AP4446" i="5" s="1"/>
  <c r="AP4447" i="5" s="1"/>
  <c r="AP4448" i="5" s="1"/>
  <c r="AP4449" i="5" s="1"/>
  <c r="AP4450" i="5" s="1"/>
  <c r="AP4451" i="5" s="1"/>
  <c r="AP4452" i="5" s="1"/>
  <c r="AP4453" i="5" s="1"/>
  <c r="AP4454" i="5" s="1"/>
  <c r="AP4455" i="5" s="1"/>
  <c r="AP4456" i="5" s="1"/>
  <c r="AP4457" i="5" s="1"/>
  <c r="AP4458" i="5" s="1"/>
  <c r="AP4459" i="5" s="1"/>
  <c r="AP4460" i="5" s="1"/>
  <c r="AP4461" i="5" s="1"/>
  <c r="AP4462" i="5" s="1"/>
  <c r="AP4463" i="5" s="1"/>
  <c r="AP4464" i="5" s="1"/>
  <c r="AP4465" i="5" s="1"/>
  <c r="AP4466" i="5" s="1"/>
  <c r="AP4467" i="5" s="1"/>
  <c r="AP4468" i="5" s="1"/>
  <c r="AP4469" i="5" s="1"/>
  <c r="AP4470" i="5" s="1"/>
  <c r="AP4471" i="5" s="1"/>
  <c r="AP4472" i="5" s="1"/>
  <c r="AP4473" i="5" s="1"/>
  <c r="AP4474" i="5" s="1"/>
  <c r="AP4475" i="5" s="1"/>
  <c r="AP4476" i="5" s="1"/>
  <c r="AP4477" i="5" s="1"/>
  <c r="AP4478" i="5" s="1"/>
  <c r="AP4479" i="5" s="1"/>
  <c r="AP4480" i="5" s="1"/>
  <c r="AP4481" i="5" s="1"/>
  <c r="AP4482" i="5" s="1"/>
  <c r="AP4483" i="5" s="1"/>
  <c r="AP4484" i="5" s="1"/>
  <c r="AP4485" i="5" s="1"/>
  <c r="AP4486" i="5" s="1"/>
  <c r="AP4487" i="5" s="1"/>
  <c r="AP4488" i="5" s="1"/>
  <c r="AP4489" i="5" s="1"/>
  <c r="AP4490" i="5" s="1"/>
  <c r="AP4491" i="5" s="1"/>
  <c r="AP4492" i="5" s="1"/>
  <c r="AP4493" i="5" s="1"/>
  <c r="AP4494" i="5" s="1"/>
  <c r="AP4495" i="5" s="1"/>
  <c r="AP4496" i="5" s="1"/>
  <c r="AP4497" i="5" s="1"/>
  <c r="AP4498" i="5" s="1"/>
  <c r="AP4499" i="5" s="1"/>
  <c r="AP4500" i="5" s="1"/>
  <c r="AP4501" i="5" s="1"/>
  <c r="AP4502" i="5" s="1"/>
  <c r="AP4503" i="5" s="1"/>
  <c r="AP4504" i="5" s="1"/>
  <c r="AP4505" i="5" s="1"/>
  <c r="AP4506" i="5" s="1"/>
  <c r="AP4507" i="5" s="1"/>
  <c r="AP4508" i="5" s="1"/>
  <c r="AP4509" i="5" s="1"/>
  <c r="AP4510" i="5" s="1"/>
  <c r="AP4511" i="5" s="1"/>
  <c r="AP4512" i="5" s="1"/>
  <c r="AP4513" i="5" s="1"/>
  <c r="AP4514" i="5" s="1"/>
  <c r="AP4515" i="5" s="1"/>
  <c r="AP4516" i="5" s="1"/>
  <c r="AP4517" i="5" s="1"/>
  <c r="AP4518" i="5" s="1"/>
  <c r="AP4519" i="5" s="1"/>
  <c r="AP4520" i="5" s="1"/>
  <c r="AP4521" i="5" s="1"/>
  <c r="AP4522" i="5" s="1"/>
  <c r="AP4523" i="5" s="1"/>
  <c r="AP4524" i="5" s="1"/>
  <c r="AP4525" i="5" s="1"/>
  <c r="AP4526" i="5" s="1"/>
  <c r="AP4527" i="5" s="1"/>
  <c r="AP4528" i="5" s="1"/>
  <c r="AP4529" i="5" s="1"/>
  <c r="AP4530" i="5" s="1"/>
  <c r="AP4531" i="5" s="1"/>
  <c r="AP4532" i="5" s="1"/>
  <c r="AP4533" i="5" s="1"/>
  <c r="AP4534" i="5" s="1"/>
  <c r="AP4535" i="5" s="1"/>
  <c r="AP4536" i="5" s="1"/>
  <c r="AP4537" i="5" s="1"/>
  <c r="AP4538" i="5" s="1"/>
  <c r="AP4539" i="5" s="1"/>
  <c r="AP4540" i="5" s="1"/>
  <c r="AP4541" i="5" s="1"/>
  <c r="AP4542" i="5" s="1"/>
  <c r="AP4543" i="5" s="1"/>
  <c r="AP4544" i="5" s="1"/>
  <c r="AP4545" i="5" s="1"/>
  <c r="AP4546" i="5" s="1"/>
  <c r="AP4547" i="5" s="1"/>
  <c r="AP4548" i="5" s="1"/>
  <c r="AP4549" i="5" s="1"/>
  <c r="AP4550" i="5" s="1"/>
  <c r="AP4551" i="5" s="1"/>
  <c r="AP4552" i="5" s="1"/>
  <c r="AP4553" i="5" s="1"/>
  <c r="AP4554" i="5" s="1"/>
  <c r="AP4555" i="5" s="1"/>
  <c r="AP4556" i="5" s="1"/>
  <c r="AP4557" i="5" s="1"/>
  <c r="AP4558" i="5" s="1"/>
  <c r="AP4559" i="5" s="1"/>
  <c r="AP4560" i="5" s="1"/>
  <c r="AP4561" i="5" s="1"/>
  <c r="AP4562" i="5" s="1"/>
  <c r="AP4563" i="5" s="1"/>
  <c r="AP4564" i="5" s="1"/>
  <c r="AP4565" i="5" s="1"/>
  <c r="AP4566" i="5" s="1"/>
  <c r="AP4567" i="5" s="1"/>
  <c r="AP4568" i="5" s="1"/>
  <c r="AP4569" i="5" s="1"/>
  <c r="AP4570" i="5" s="1"/>
  <c r="AP4571" i="5" s="1"/>
  <c r="AP4572" i="5" s="1"/>
  <c r="AP4573" i="5" s="1"/>
  <c r="AP4574" i="5" s="1"/>
  <c r="AR3591" i="5"/>
  <c r="AQ3591" i="5" s="1"/>
  <c r="AW3583" i="5" s="1"/>
  <c r="AR3648" i="5"/>
  <c r="AQ3648" i="5" s="1"/>
  <c r="AT3644" i="5" s="1"/>
  <c r="AX3644" i="5" s="1"/>
  <c r="H322" i="5" l="1"/>
  <c r="H328" i="5"/>
  <c r="H324" i="5"/>
  <c r="H330" i="5"/>
  <c r="H326" i="5"/>
  <c r="H57" i="5"/>
  <c r="H63" i="5"/>
  <c r="H69" i="5"/>
  <c r="H75" i="5"/>
  <c r="H81" i="5"/>
  <c r="H87" i="5"/>
  <c r="H93" i="5"/>
  <c r="H99" i="5"/>
  <c r="H105" i="5"/>
  <c r="H111" i="5"/>
  <c r="H117" i="5"/>
  <c r="H123" i="5"/>
  <c r="H129" i="5"/>
  <c r="H135" i="5"/>
  <c r="H141" i="5"/>
  <c r="H147" i="5"/>
  <c r="H153" i="5"/>
  <c r="H159" i="5"/>
  <c r="H165" i="5"/>
  <c r="H171" i="5"/>
  <c r="H177" i="5"/>
  <c r="H183" i="5"/>
  <c r="H189" i="5"/>
  <c r="H195" i="5"/>
  <c r="H201" i="5"/>
  <c r="H207" i="5"/>
  <c r="H213" i="5"/>
  <c r="H219" i="5"/>
  <c r="H225" i="5"/>
  <c r="H231" i="5"/>
  <c r="H237" i="5"/>
  <c r="H243" i="5"/>
  <c r="H249" i="5"/>
  <c r="H255" i="5"/>
  <c r="H261" i="5"/>
  <c r="H267" i="5"/>
  <c r="H273" i="5"/>
  <c r="H279" i="5"/>
  <c r="H285" i="5"/>
  <c r="H291" i="5"/>
  <c r="H297" i="5"/>
  <c r="H303" i="5"/>
  <c r="H309" i="5"/>
  <c r="H315" i="5"/>
  <c r="H321" i="5"/>
  <c r="H327" i="5"/>
  <c r="H295" i="5"/>
  <c r="H313" i="5"/>
  <c r="H331" i="5"/>
  <c r="H59" i="5"/>
  <c r="H65" i="5"/>
  <c r="H71" i="5"/>
  <c r="H77" i="5"/>
  <c r="H83" i="5"/>
  <c r="H89" i="5"/>
  <c r="H95" i="5"/>
  <c r="H101" i="5"/>
  <c r="H107" i="5"/>
  <c r="H113" i="5"/>
  <c r="H119" i="5"/>
  <c r="H125" i="5"/>
  <c r="H131" i="5"/>
  <c r="H137" i="5"/>
  <c r="H143" i="5"/>
  <c r="H149" i="5"/>
  <c r="H155" i="5"/>
  <c r="H161" i="5"/>
  <c r="H167" i="5"/>
  <c r="H173" i="5"/>
  <c r="H179" i="5"/>
  <c r="H185" i="5"/>
  <c r="H191" i="5"/>
  <c r="H197" i="5"/>
  <c r="H203" i="5"/>
  <c r="H209" i="5"/>
  <c r="H215" i="5"/>
  <c r="H221" i="5"/>
  <c r="H227" i="5"/>
  <c r="H233" i="5"/>
  <c r="H239" i="5"/>
  <c r="H245" i="5"/>
  <c r="H251" i="5"/>
  <c r="H257" i="5"/>
  <c r="H263" i="5"/>
  <c r="H269" i="5"/>
  <c r="H275" i="5"/>
  <c r="H281" i="5"/>
  <c r="H287" i="5"/>
  <c r="H293" i="5"/>
  <c r="H299" i="5"/>
  <c r="H305" i="5"/>
  <c r="H311" i="5"/>
  <c r="H317" i="5"/>
  <c r="H323" i="5"/>
  <c r="H329" i="5"/>
  <c r="H301" i="5"/>
  <c r="H319" i="5"/>
  <c r="H61" i="5"/>
  <c r="H67" i="5"/>
  <c r="H73" i="5"/>
  <c r="H79" i="5"/>
  <c r="H85" i="5"/>
  <c r="H91" i="5"/>
  <c r="H97" i="5"/>
  <c r="H103" i="5"/>
  <c r="H109" i="5"/>
  <c r="H115" i="5"/>
  <c r="H121" i="5"/>
  <c r="H127" i="5"/>
  <c r="H133" i="5"/>
  <c r="H139" i="5"/>
  <c r="H145" i="5"/>
  <c r="H151" i="5"/>
  <c r="H157" i="5"/>
  <c r="H163" i="5"/>
  <c r="H169" i="5"/>
  <c r="H175" i="5"/>
  <c r="H181" i="5"/>
  <c r="H187" i="5"/>
  <c r="H193" i="5"/>
  <c r="H199" i="5"/>
  <c r="H205" i="5"/>
  <c r="H211" i="5"/>
  <c r="H217" i="5"/>
  <c r="H223" i="5"/>
  <c r="H229" i="5"/>
  <c r="H235" i="5"/>
  <c r="H241" i="5"/>
  <c r="H247" i="5"/>
  <c r="H253" i="5"/>
  <c r="H259" i="5"/>
  <c r="H265" i="5"/>
  <c r="H271" i="5"/>
  <c r="H277" i="5"/>
  <c r="H283" i="5"/>
  <c r="H289" i="5"/>
  <c r="H307" i="5"/>
  <c r="H325" i="5"/>
  <c r="H58" i="5"/>
  <c r="H64" i="5"/>
  <c r="H70" i="5"/>
  <c r="H76" i="5"/>
  <c r="H82" i="5"/>
  <c r="H88" i="5"/>
  <c r="H94" i="5"/>
  <c r="H100" i="5"/>
  <c r="H106" i="5"/>
  <c r="H112" i="5"/>
  <c r="H118" i="5"/>
  <c r="H124" i="5"/>
  <c r="H130" i="5"/>
  <c r="H136" i="5"/>
  <c r="H142" i="5"/>
  <c r="H148" i="5"/>
  <c r="H154" i="5"/>
  <c r="H160" i="5"/>
  <c r="H166" i="5"/>
  <c r="H172" i="5"/>
  <c r="H178" i="5"/>
  <c r="H184" i="5"/>
  <c r="H190" i="5"/>
  <c r="H196" i="5"/>
  <c r="H202" i="5"/>
  <c r="H208" i="5"/>
  <c r="H214" i="5"/>
  <c r="H220" i="5"/>
  <c r="H226" i="5"/>
  <c r="H232" i="5"/>
  <c r="H238" i="5"/>
  <c r="H244" i="5"/>
  <c r="H250" i="5"/>
  <c r="H256" i="5"/>
  <c r="H262" i="5"/>
  <c r="H268" i="5"/>
  <c r="H274" i="5"/>
  <c r="H280" i="5"/>
  <c r="H286" i="5"/>
  <c r="H292" i="5"/>
  <c r="H310" i="5"/>
  <c r="H60" i="5"/>
  <c r="H66" i="5"/>
  <c r="H72" i="5"/>
  <c r="H78" i="5"/>
  <c r="H84" i="5"/>
  <c r="H90" i="5"/>
  <c r="H96" i="5"/>
  <c r="H102" i="5"/>
  <c r="H108" i="5"/>
  <c r="H114" i="5"/>
  <c r="H120" i="5"/>
  <c r="H126" i="5"/>
  <c r="H132" i="5"/>
  <c r="H138" i="5"/>
  <c r="H144" i="5"/>
  <c r="H150" i="5"/>
  <c r="H156" i="5"/>
  <c r="H162" i="5"/>
  <c r="H168" i="5"/>
  <c r="H174" i="5"/>
  <c r="H180" i="5"/>
  <c r="H186" i="5"/>
  <c r="H192" i="5"/>
  <c r="H198" i="5"/>
  <c r="H204" i="5"/>
  <c r="H210" i="5"/>
  <c r="H216" i="5"/>
  <c r="H222" i="5"/>
  <c r="H228" i="5"/>
  <c r="H234" i="5"/>
  <c r="H240" i="5"/>
  <c r="H246" i="5"/>
  <c r="H252" i="5"/>
  <c r="H258" i="5"/>
  <c r="H264" i="5"/>
  <c r="H270" i="5"/>
  <c r="H276" i="5"/>
  <c r="H282" i="5"/>
  <c r="H288" i="5"/>
  <c r="H294" i="5"/>
  <c r="H300" i="5"/>
  <c r="H306" i="5"/>
  <c r="H312" i="5"/>
  <c r="H318" i="5"/>
  <c r="H304" i="5"/>
  <c r="H56" i="5"/>
  <c r="H62" i="5"/>
  <c r="H68" i="5"/>
  <c r="H74" i="5"/>
  <c r="H80" i="5"/>
  <c r="H86" i="5"/>
  <c r="H92" i="5"/>
  <c r="H98" i="5"/>
  <c r="H104" i="5"/>
  <c r="H110" i="5"/>
  <c r="H116" i="5"/>
  <c r="H122" i="5"/>
  <c r="H128" i="5"/>
  <c r="H134" i="5"/>
  <c r="H140" i="5"/>
  <c r="H146" i="5"/>
  <c r="H152" i="5"/>
  <c r="H158" i="5"/>
  <c r="H164" i="5"/>
  <c r="H170" i="5"/>
  <c r="H176" i="5"/>
  <c r="H182" i="5"/>
  <c r="H188" i="5"/>
  <c r="H194" i="5"/>
  <c r="H200" i="5"/>
  <c r="H206" i="5"/>
  <c r="H212" i="5"/>
  <c r="H218" i="5"/>
  <c r="H224" i="5"/>
  <c r="H230" i="5"/>
  <c r="H236" i="5"/>
  <c r="H242" i="5"/>
  <c r="H248" i="5"/>
  <c r="H254" i="5"/>
  <c r="H260" i="5"/>
  <c r="H266" i="5"/>
  <c r="H272" i="5"/>
  <c r="H278" i="5"/>
  <c r="H284" i="5"/>
  <c r="H290" i="5"/>
  <c r="H296" i="5"/>
  <c r="H302" i="5"/>
  <c r="H308" i="5"/>
  <c r="H314" i="5"/>
  <c r="H320" i="5"/>
  <c r="H332" i="5"/>
  <c r="H298" i="5"/>
  <c r="H316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7" i="5"/>
  <c r="H346" i="5"/>
  <c r="H348" i="5"/>
  <c r="H349" i="5"/>
  <c r="H350" i="5"/>
  <c r="H351" i="5"/>
  <c r="H353" i="5"/>
  <c r="H352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B370" i="5"/>
  <c r="H371" i="5"/>
  <c r="H372" i="5"/>
  <c r="H373" i="5"/>
  <c r="H374" i="5"/>
  <c r="H375" i="5"/>
  <c r="H377" i="5"/>
  <c r="H376" i="5"/>
  <c r="H378" i="5"/>
  <c r="H379" i="5"/>
  <c r="H380" i="5"/>
  <c r="H381" i="5"/>
  <c r="AR3649" i="5"/>
  <c r="AU3644" i="5" s="1"/>
  <c r="AR3650" i="5" l="1"/>
  <c r="AY3644" i="5" s="1"/>
  <c r="AR3651" i="5" l="1"/>
  <c r="AV3644" i="5" s="1"/>
  <c r="AR3652" i="5" l="1"/>
  <c r="AQ3652" i="5" s="1"/>
  <c r="AW3644" i="5" s="1"/>
  <c r="AR3656" i="5" l="1"/>
  <c r="AR3657" i="5" l="1"/>
  <c r="AQ3657" i="5" s="1"/>
  <c r="AT3653" i="5" s="1"/>
  <c r="AX3653" i="5" s="1"/>
  <c r="AX3668" i="5"/>
  <c r="AR3658" i="5" l="1"/>
  <c r="AU3653" i="5" s="1"/>
  <c r="AR3659" i="5" l="1"/>
  <c r="AY3653" i="5" s="1"/>
  <c r="AR3660" i="5" l="1"/>
  <c r="AV3653" i="5" s="1"/>
  <c r="AR3661" i="5" l="1"/>
  <c r="AQ3661" i="5" s="1"/>
  <c r="AW3653" i="5" s="1"/>
  <c r="AR3665" i="5" l="1"/>
  <c r="AQ3665" i="5" s="1"/>
  <c r="AW3668" i="5"/>
  <c r="AR3666" i="5" l="1"/>
  <c r="AQ3666" i="5" s="1"/>
  <c r="AT3662" i="5" s="1"/>
  <c r="AX3662" i="5" s="1"/>
  <c r="AR3667" i="5" l="1"/>
  <c r="AU3662" i="5" s="1"/>
  <c r="AR3668" i="5" l="1"/>
  <c r="AY3662" i="5" s="1"/>
  <c r="AR3669" i="5" l="1"/>
  <c r="AV3662" i="5" s="1"/>
  <c r="AR3670" i="5" l="1"/>
  <c r="AQ3670" i="5" s="1"/>
  <c r="AW3662" i="5" s="1"/>
  <c r="AR3674" i="5" l="1"/>
  <c r="AU3668" i="5" s="1"/>
  <c r="AR3675" i="5" l="1"/>
  <c r="AQ3675" i="5" s="1"/>
  <c r="AT3671" i="5" s="1"/>
  <c r="AX3671" i="5" l="1"/>
  <c r="AR3676" i="5"/>
  <c r="AV3668" i="5" s="1"/>
  <c r="AR3677" i="5" l="1"/>
  <c r="AQ3677" i="5" s="1"/>
  <c r="AY3671" i="5" s="1"/>
  <c r="AU3671" i="5"/>
  <c r="AR3678" i="5" l="1"/>
  <c r="AV3671" i="5" s="1"/>
  <c r="AR3679" i="5" l="1"/>
  <c r="AQ3679" i="5" s="1"/>
  <c r="AW3671" i="5" s="1"/>
  <c r="AT3692" i="5"/>
  <c r="AY3692" i="5" s="1"/>
  <c r="AR3683" i="5" l="1"/>
  <c r="AR3684" i="5" l="1"/>
  <c r="AQ3684" i="5" s="1"/>
  <c r="AT3680" i="5" s="1"/>
  <c r="AX3680" i="5" s="1"/>
  <c r="AR3685" i="5" l="1"/>
  <c r="AQ3685" i="5" s="1"/>
  <c r="AU3680" i="5" s="1"/>
  <c r="AR3686" i="5" l="1"/>
  <c r="AY3680" i="5" s="1"/>
  <c r="AR3687" i="5" l="1"/>
  <c r="AV3680" i="5" s="1"/>
  <c r="AR3688" i="5" l="1"/>
  <c r="AQ3688" i="5" s="1"/>
  <c r="AW3680" i="5" s="1"/>
  <c r="AR3692" i="5" l="1"/>
  <c r="AQ3692" i="5" s="1"/>
  <c r="AT3689" i="5" s="1"/>
  <c r="AR3693" i="5" l="1"/>
  <c r="AX3689" i="5" s="1"/>
  <c r="AR3694" i="5" l="1"/>
  <c r="AU3689" i="5" s="1"/>
  <c r="AR3695" i="5" l="1"/>
  <c r="AY3689" i="5" s="1"/>
  <c r="AR3696" i="5" l="1"/>
  <c r="AV3689" i="5" s="1"/>
  <c r="AR3697" i="5" l="1"/>
  <c r="AQ3697" i="5" s="1"/>
  <c r="AW3689" i="5" s="1"/>
  <c r="AR3698" i="5" l="1"/>
  <c r="AU3692" i="5" s="1"/>
  <c r="AR3699" i="5" l="1"/>
  <c r="AX3692" i="5" s="1"/>
  <c r="AR3700" i="5" l="1"/>
  <c r="AV3692" i="5" s="1"/>
  <c r="AR3701" i="5" l="1"/>
  <c r="AQ3701" i="5" s="1"/>
  <c r="AW3692" i="5" s="1"/>
  <c r="AR3708" i="5" l="1"/>
  <c r="AR3709" i="5" l="1"/>
  <c r="AQ3709" i="5" s="1"/>
  <c r="AT3704" i="5" s="1"/>
  <c r="AY3704" i="5" s="1"/>
  <c r="AR3710" i="5" l="1"/>
  <c r="AU3704" i="5" s="1"/>
  <c r="AR3711" i="5" l="1"/>
  <c r="AX3704" i="5" s="1"/>
  <c r="AR3712" i="5" l="1"/>
  <c r="AV3704" i="5" s="1"/>
  <c r="AR3713" i="5" l="1"/>
  <c r="AQ3713" i="5" s="1"/>
  <c r="AW3704" i="5" s="1"/>
  <c r="AR3720" i="5" l="1"/>
  <c r="AR3721" i="5" l="1"/>
  <c r="AQ3721" i="5" s="1"/>
  <c r="AT3716" i="5" s="1"/>
  <c r="AY3716" i="5" s="1"/>
  <c r="AR3722" i="5" l="1"/>
  <c r="AU3716" i="5" s="1"/>
  <c r="AR3723" i="5" l="1"/>
  <c r="AX3716" i="5" s="1"/>
  <c r="AR3724" i="5" l="1"/>
  <c r="AV3716" i="5" s="1"/>
  <c r="AR3725" i="5" l="1"/>
  <c r="AQ3725" i="5" s="1"/>
  <c r="AW3716" i="5" s="1"/>
  <c r="AR3732" i="5" l="1"/>
  <c r="AQ3732" i="5" s="1"/>
  <c r="AT3728" i="5" s="1"/>
  <c r="AR3733" i="5" l="1"/>
  <c r="AY3728" i="5" s="1"/>
  <c r="AR3734" i="5" l="1"/>
  <c r="AU3728" i="5" s="1"/>
  <c r="AR3735" i="5" l="1"/>
  <c r="AV3728" i="5" s="1"/>
  <c r="AR3736" i="5" l="1"/>
  <c r="AX3728" i="5" s="1"/>
  <c r="AR3737" i="5" l="1"/>
  <c r="AQ3737" i="5" s="1"/>
  <c r="AW3728" i="5" s="1"/>
  <c r="AR3744" i="5" l="1"/>
  <c r="AQ3744" i="5" s="1"/>
  <c r="AT3740" i="5" s="1"/>
  <c r="AR3745" i="5" l="1"/>
  <c r="AU3740" i="5" s="1"/>
  <c r="AR3746" i="5" l="1"/>
  <c r="AY3740" i="5" s="1"/>
  <c r="AR3747" i="5" l="1"/>
  <c r="AV3740" i="5" s="1"/>
  <c r="AR3748" i="5" l="1"/>
  <c r="AX3740" i="5" s="1"/>
  <c r="AR3749" i="5" l="1"/>
  <c r="AQ3749" i="5" s="1"/>
  <c r="AW3740" i="5" s="1"/>
  <c r="AR3756" i="5" l="1"/>
  <c r="AQ3756" i="5" s="1"/>
  <c r="AT3752" i="5" s="1"/>
  <c r="AR3757" i="5" l="1"/>
  <c r="AU3752" i="5" s="1"/>
  <c r="AR3758" i="5" l="1"/>
  <c r="AY3752" i="5" s="1"/>
  <c r="AR3759" i="5" l="1"/>
  <c r="AV3752" i="5" s="1"/>
  <c r="AR3760" i="5" l="1"/>
  <c r="AQ3760" i="5" s="1"/>
  <c r="AR3761" i="5" l="1"/>
  <c r="AW3752" i="5"/>
  <c r="AX3752" i="5"/>
  <c r="AR3768" i="5" l="1"/>
  <c r="AQ3768" i="5" s="1"/>
  <c r="AT3764" i="5" s="1"/>
  <c r="AR3769" i="5" l="1"/>
  <c r="AU3764" i="5" s="1"/>
  <c r="AR3770" i="5" l="1"/>
  <c r="AY3764" i="5" s="1"/>
  <c r="AR3771" i="5" l="1"/>
  <c r="AV3764" i="5" s="1"/>
  <c r="AR3772" i="5" l="1"/>
  <c r="AQ3772" i="5" s="1"/>
  <c r="AW3764" i="5" s="1"/>
  <c r="AR3773" i="5" l="1"/>
  <c r="AX3764" i="5" s="1"/>
  <c r="AR3780" i="5" l="1"/>
  <c r="AQ3780" i="5" s="1"/>
  <c r="AT3776" i="5" s="1"/>
  <c r="AR3781" i="5" l="1"/>
  <c r="AU3776" i="5"/>
  <c r="AR3782" i="5" l="1"/>
  <c r="AY3776" i="5" s="1"/>
  <c r="AR3783" i="5" l="1"/>
  <c r="AV3776" i="5" s="1"/>
  <c r="AR3784" i="5" l="1"/>
  <c r="AQ3784" i="5" s="1"/>
  <c r="AW3776" i="5" s="1"/>
  <c r="AR3785" i="5" l="1"/>
  <c r="AX3776" i="5" s="1"/>
  <c r="AR3792" i="5" l="1"/>
  <c r="AQ3792" i="5" s="1"/>
  <c r="AT3788" i="5" s="1"/>
  <c r="AR3793" i="5" l="1"/>
  <c r="AU3788" i="5" s="1"/>
  <c r="AR3794" i="5" l="1"/>
  <c r="AY3788" i="5" s="1"/>
  <c r="AR3795" i="5" l="1"/>
  <c r="AV3788" i="5" s="1"/>
  <c r="AR3796" i="5" l="1"/>
  <c r="AQ3796" i="5" s="1"/>
  <c r="AW3788" i="5" s="1"/>
  <c r="AR3797" i="5" l="1"/>
  <c r="AX3788" i="5" s="1"/>
  <c r="AR3804" i="5" l="1"/>
  <c r="AQ3804" i="5" s="1"/>
  <c r="AT3800" i="5" s="1"/>
  <c r="AR3805" i="5" l="1"/>
  <c r="AU3800" i="5" s="1"/>
  <c r="AR3806" i="5" l="1"/>
  <c r="AY3800" i="5" s="1"/>
  <c r="AR3807" i="5" l="1"/>
  <c r="AV3800" i="5" s="1"/>
  <c r="AR3808" i="5" l="1"/>
  <c r="AQ3808" i="5" s="1"/>
  <c r="AW3800" i="5" s="1"/>
  <c r="AR3809" i="5" l="1"/>
  <c r="AX3800" i="5" s="1"/>
  <c r="AR3816" i="5" l="1"/>
  <c r="AQ3816" i="5" s="1"/>
  <c r="AT3812" i="5" s="1"/>
  <c r="AR3817" i="5" l="1"/>
  <c r="AU3812" i="5" s="1"/>
  <c r="AR3818" i="5" l="1"/>
  <c r="AY3812" i="5" s="1"/>
  <c r="AR3819" i="5" l="1"/>
  <c r="AV3812" i="5" s="1"/>
  <c r="AR3820" i="5" l="1"/>
  <c r="AQ3820" i="5" s="1"/>
  <c r="AW3812" i="5" s="1"/>
  <c r="AR3821" i="5" l="1"/>
  <c r="AX3812" i="5" s="1"/>
  <c r="AR3829" i="5" l="1"/>
  <c r="AQ3829" i="5" s="1"/>
  <c r="AR3830" i="5" l="1"/>
  <c r="AR3831" i="5" l="1"/>
  <c r="AR3832" i="5" l="1"/>
  <c r="AR3833" i="5" l="1"/>
  <c r="AQ3833" i="5" s="1"/>
  <c r="AT3825" i="5" s="1"/>
  <c r="AV3825" i="5" l="1"/>
  <c r="AU3825" i="5"/>
  <c r="AW3825" i="5"/>
  <c r="AX3825" i="5"/>
  <c r="AY3825" i="5"/>
  <c r="AR3841" i="5"/>
  <c r="AQ3841" i="5" s="1"/>
  <c r="AR3842" i="5" l="1"/>
  <c r="AQ3842" i="5" s="1"/>
  <c r="AT3837" i="5" s="1"/>
  <c r="AX3837" i="5" s="1"/>
  <c r="AR3843" i="5" l="1"/>
  <c r="AU3837" i="5" s="1"/>
  <c r="AR3844" i="5" l="1"/>
  <c r="AY3837" i="5" s="1"/>
  <c r="AR3845" i="5" l="1"/>
  <c r="AQ3845" i="5" s="1"/>
  <c r="AV3837" i="5" s="1"/>
  <c r="AR3846" i="5" l="1"/>
  <c r="AQ3846" i="5" s="1"/>
  <c r="AW3837" i="5" s="1"/>
  <c r="AR3853" i="5" l="1"/>
  <c r="AR3854" i="5" l="1"/>
  <c r="AQ3854" i="5" s="1"/>
  <c r="AT3849" i="5" s="1"/>
  <c r="AX3849" i="5" s="1"/>
  <c r="AR3855" i="5" l="1"/>
  <c r="AU3849" i="5" s="1"/>
  <c r="AR3856" i="5" l="1"/>
  <c r="AY3849" i="5" s="1"/>
  <c r="AR3857" i="5" l="1"/>
  <c r="AV3849" i="5" s="1"/>
  <c r="AR3858" i="5" l="1"/>
  <c r="AQ3858" i="5" s="1"/>
  <c r="AW3849" i="5" s="1"/>
  <c r="AR3865" i="5" l="1"/>
  <c r="AR3866" i="5" l="1"/>
  <c r="AQ3866" i="5" s="1"/>
  <c r="AT3861" i="5" s="1"/>
  <c r="AX3861" i="5" s="1"/>
  <c r="AR3867" i="5" l="1"/>
  <c r="AU3861" i="5" s="1"/>
  <c r="AR3868" i="5" l="1"/>
  <c r="AY3861" i="5" s="1"/>
  <c r="AR3869" i="5" l="1"/>
  <c r="AV3861" i="5" s="1"/>
  <c r="AR3870" i="5" l="1"/>
  <c r="AQ3870" i="5" s="1"/>
  <c r="AW3861" i="5" s="1"/>
  <c r="AR3877" i="5" l="1"/>
  <c r="AR3878" i="5" l="1"/>
  <c r="AQ3878" i="5" s="1"/>
  <c r="AT3873" i="5" s="1"/>
  <c r="AR3879" i="5" l="1"/>
  <c r="AU3873" i="5" s="1"/>
  <c r="AX3873" i="5"/>
  <c r="AR3880" i="5" l="1"/>
  <c r="AY3873" i="5" s="1"/>
  <c r="AR3881" i="5" l="1"/>
  <c r="AV3873" i="5" s="1"/>
  <c r="AR3882" i="5" l="1"/>
  <c r="AQ3882" i="5" s="1"/>
  <c r="AW3873" i="5" s="1"/>
  <c r="AR3889" i="5" l="1"/>
  <c r="AR3890" i="5" l="1"/>
  <c r="AQ3890" i="5" s="1"/>
  <c r="AT3885" i="5" s="1"/>
  <c r="AX3885" i="5" s="1"/>
  <c r="AR3891" i="5" l="1"/>
  <c r="AU3885" i="5" s="1"/>
  <c r="AR3892" i="5" l="1"/>
  <c r="AY3885" i="5" s="1"/>
  <c r="AR3893" i="5" l="1"/>
  <c r="AV3885" i="5" s="1"/>
  <c r="AR3894" i="5" l="1"/>
  <c r="AQ3894" i="5" s="1"/>
  <c r="AW3885" i="5" s="1"/>
  <c r="AR3901" i="5" l="1"/>
  <c r="AQ3901" i="5" s="1"/>
  <c r="AT3897" i="5" s="1"/>
  <c r="AR3902" i="5" l="1"/>
  <c r="AX3897" i="5" s="1"/>
  <c r="AR3903" i="5" l="1"/>
  <c r="AU3897" i="5" s="1"/>
  <c r="AR3904" i="5" l="1"/>
  <c r="AY3897" i="5" s="1"/>
  <c r="AR3905" i="5" l="1"/>
  <c r="AV3897" i="5" s="1"/>
  <c r="AR3906" i="5" l="1"/>
  <c r="AQ3906" i="5" s="1"/>
  <c r="AW3897" i="5" s="1"/>
  <c r="AR3914" i="5" l="1"/>
  <c r="AQ3914" i="5" s="1"/>
  <c r="AT3910" i="5" s="1"/>
  <c r="AR3915" i="5" l="1"/>
  <c r="AU3910" i="5" s="1"/>
  <c r="AR3916" i="5" l="1"/>
  <c r="AX3910" i="5" s="1"/>
  <c r="AR3917" i="5" l="1"/>
  <c r="AV3910" i="5" s="1"/>
  <c r="AR3918" i="5" l="1"/>
  <c r="AY3910" i="5" s="1"/>
  <c r="AR3919" i="5" l="1"/>
  <c r="AQ3919" i="5" s="1"/>
  <c r="AW3910" i="5" s="1"/>
  <c r="AR3926" i="5" l="1"/>
  <c r="AQ3926" i="5" s="1"/>
  <c r="AT3922" i="5" s="1"/>
  <c r="AR3927" i="5" l="1"/>
  <c r="AU3922" i="5" s="1"/>
  <c r="AR3928" i="5" l="1"/>
  <c r="AX3922" i="5" s="1"/>
  <c r="AR3929" i="5" l="1"/>
  <c r="AV3922" i="5" s="1"/>
  <c r="AR3930" i="5" l="1"/>
  <c r="AQ3930" i="5" s="1"/>
  <c r="AW3922" i="5" s="1"/>
  <c r="AR3931" i="5" l="1"/>
  <c r="AY3922" i="5" s="1"/>
  <c r="AR3938" i="5" l="1"/>
  <c r="AQ3938" i="5" s="1"/>
  <c r="AT3934" i="5" s="1"/>
  <c r="AR3939" i="5" l="1"/>
  <c r="AU3934" i="5" s="1"/>
  <c r="AR3940" i="5" l="1"/>
  <c r="AX3934" i="5" s="1"/>
  <c r="AR3941" i="5" l="1"/>
  <c r="AV3934" i="5" s="1"/>
  <c r="AR3942" i="5" l="1"/>
  <c r="AQ3942" i="5" s="1"/>
  <c r="AW3934" i="5" s="1"/>
  <c r="AR3943" i="5" l="1"/>
  <c r="AY3934" i="5" s="1"/>
  <c r="AR3950" i="5" l="1"/>
  <c r="AQ3950" i="5" s="1"/>
  <c r="AT3946" i="5" s="1"/>
  <c r="AR3951" i="5" l="1"/>
  <c r="AU3946" i="5" s="1"/>
  <c r="AR3952" i="5" l="1"/>
  <c r="AX3946" i="5" s="1"/>
  <c r="AR3953" i="5" l="1"/>
  <c r="AV3946" i="5" s="1"/>
  <c r="AR3954" i="5" l="1"/>
  <c r="AQ3954" i="5" s="1"/>
  <c r="AW3946" i="5" s="1"/>
  <c r="AR3955" i="5" l="1"/>
  <c r="AY3946" i="5" s="1"/>
  <c r="AR3962" i="5" l="1"/>
  <c r="AQ3962" i="5" s="1"/>
  <c r="AT3958" i="5" s="1"/>
  <c r="AR3963" i="5" l="1"/>
  <c r="AU3958" i="5" s="1"/>
  <c r="AR3964" i="5" l="1"/>
  <c r="AX3958" i="5" s="1"/>
  <c r="AR3965" i="5" l="1"/>
  <c r="AV3958" i="5" s="1"/>
  <c r="AR3966" i="5" l="1"/>
  <c r="AQ3966" i="5" s="1"/>
  <c r="AW3958" i="5" s="1"/>
  <c r="AR3967" i="5" l="1"/>
  <c r="AY3958" i="5" s="1"/>
  <c r="AR3974" i="5" l="1"/>
  <c r="AQ3974" i="5" s="1"/>
  <c r="AT3970" i="5" s="1"/>
  <c r="AR3975" i="5" l="1"/>
  <c r="AU3970" i="5" s="1"/>
  <c r="AR3976" i="5" l="1"/>
  <c r="AX3970" i="5" s="1"/>
  <c r="AR3977" i="5" l="1"/>
  <c r="AV3970" i="5" s="1"/>
  <c r="AR3978" i="5" l="1"/>
  <c r="AQ3978" i="5" s="1"/>
  <c r="AW3970" i="5" s="1"/>
  <c r="AR3979" i="5" l="1"/>
  <c r="AY3970" i="5" s="1"/>
  <c r="AR3986" i="5" l="1"/>
  <c r="AQ3986" i="5" s="1"/>
  <c r="AR3987" i="5" l="1"/>
  <c r="AR3988" i="5" l="1"/>
  <c r="AR3989" i="5" l="1"/>
  <c r="AR3990" i="5" l="1"/>
  <c r="AQ3990" i="5" s="1"/>
  <c r="AT3982" i="5" s="1"/>
  <c r="AW3982" i="5" l="1"/>
  <c r="AY3982" i="5"/>
  <c r="AX3982" i="5"/>
  <c r="AV3982" i="5"/>
  <c r="AU3982" i="5"/>
  <c r="AR3999" i="5"/>
  <c r="AQ3999" i="5" s="1"/>
  <c r="AR4000" i="5" l="1"/>
  <c r="AQ4000" i="5" s="1"/>
  <c r="AT3995" i="5" s="1"/>
  <c r="AY3995" i="5" s="1"/>
  <c r="AR4001" i="5" l="1"/>
  <c r="AU3995" i="5" s="1"/>
  <c r="AR4002" i="5" l="1"/>
  <c r="AX3995" i="5" s="1"/>
  <c r="AR4003" i="5" l="1"/>
  <c r="AQ4003" i="5" s="1"/>
  <c r="AV3995" i="5" s="1"/>
  <c r="AR4004" i="5" l="1"/>
  <c r="AQ4004" i="5" s="1"/>
  <c r="AW3995" i="5" s="1"/>
  <c r="AR4011" i="5" l="1"/>
  <c r="AR4012" i="5" l="1"/>
  <c r="AQ4012" i="5" s="1"/>
  <c r="AT4007" i="5" s="1"/>
  <c r="AY4007" i="5" s="1"/>
  <c r="AR4013" i="5" l="1"/>
  <c r="AU4007" i="5" s="1"/>
  <c r="AR4014" i="5" l="1"/>
  <c r="AX4007" i="5" s="1"/>
  <c r="AR4015" i="5" l="1"/>
  <c r="AV4007" i="5" s="1"/>
  <c r="AR4016" i="5" l="1"/>
  <c r="AQ4016" i="5" s="1"/>
  <c r="AW4007" i="5" s="1"/>
  <c r="AR4023" i="5" l="1"/>
  <c r="AR4024" i="5" l="1"/>
  <c r="AQ4024" i="5" s="1"/>
  <c r="AT4019" i="5" s="1"/>
  <c r="AR4025" i="5" l="1"/>
  <c r="AU4019" i="5"/>
  <c r="AY4019" i="5"/>
  <c r="AR4026" i="5" l="1"/>
  <c r="AX4019" i="5" s="1"/>
  <c r="AR4027" i="5" l="1"/>
  <c r="AV4019" i="5" s="1"/>
  <c r="AR4028" i="5" l="1"/>
  <c r="AQ4028" i="5" s="1"/>
  <c r="AW4019" i="5" s="1"/>
  <c r="AR4035" i="5" l="1"/>
  <c r="AR4036" i="5" l="1"/>
  <c r="AQ4036" i="5" s="1"/>
  <c r="AT4031" i="5" s="1"/>
  <c r="AY4031" i="5" s="1"/>
  <c r="AR4037" i="5" l="1"/>
  <c r="AU4031" i="5" s="1"/>
  <c r="AR4038" i="5" l="1"/>
  <c r="AX4031" i="5" s="1"/>
  <c r="AR4039" i="5" l="1"/>
  <c r="AV4031" i="5" s="1"/>
  <c r="AR4040" i="5" l="1"/>
  <c r="AQ4040" i="5" s="1"/>
  <c r="AW4031" i="5" s="1"/>
  <c r="AR4047" i="5" l="1"/>
  <c r="AR4048" i="5" l="1"/>
  <c r="AQ4048" i="5" s="1"/>
  <c r="AT4043" i="5" s="1"/>
  <c r="AR4049" i="5" l="1"/>
  <c r="AU4043" i="5" s="1"/>
  <c r="AY4043" i="5"/>
  <c r="AR4050" i="5" l="1"/>
  <c r="AX4043" i="5" s="1"/>
  <c r="AR4051" i="5" l="1"/>
  <c r="AV4043" i="5" s="1"/>
  <c r="AR4052" i="5" l="1"/>
  <c r="AQ4052" i="5" s="1"/>
  <c r="AW4043" i="5" s="1"/>
  <c r="AR4059" i="5" l="1"/>
  <c r="AR4060" i="5" l="1"/>
  <c r="AQ4060" i="5" s="1"/>
  <c r="AT4055" i="5" s="1"/>
  <c r="AY4055" i="5" s="1"/>
  <c r="AR4061" i="5" l="1"/>
  <c r="AU4055" i="5" s="1"/>
  <c r="AR4062" i="5" l="1"/>
  <c r="AX4055" i="5" s="1"/>
  <c r="AR4063" i="5" l="1"/>
  <c r="AV4055" i="5" s="1"/>
  <c r="AR4064" i="5" l="1"/>
  <c r="AQ4064" i="5" s="1"/>
  <c r="AW4055" i="5" s="1"/>
  <c r="AR4071" i="5" l="1"/>
  <c r="AR4072" i="5" l="1"/>
  <c r="AQ4072" i="5" s="1"/>
  <c r="AT4067" i="5" s="1"/>
  <c r="AR4073" i="5" l="1"/>
  <c r="AY4067" i="5"/>
  <c r="AU4067" i="5"/>
  <c r="AR4074" i="5" l="1"/>
  <c r="AX4067" i="5" s="1"/>
  <c r="AR4075" i="5" l="1"/>
  <c r="AV4067" i="5" s="1"/>
  <c r="AR4076" i="5" l="1"/>
  <c r="AQ4076" i="5" s="1"/>
  <c r="AW4067" i="5" s="1"/>
  <c r="AR4084" i="5" l="1"/>
  <c r="AQ4084" i="5" s="1"/>
  <c r="AT4080" i="5" s="1"/>
  <c r="AR4085" i="5" l="1"/>
  <c r="AY4080" i="5" s="1"/>
  <c r="AR4086" i="5" l="1"/>
  <c r="AU4080" i="5" s="1"/>
  <c r="AR4087" i="5" l="1"/>
  <c r="AX4080" i="5" s="1"/>
  <c r="AR4088" i="5" l="1"/>
  <c r="AV4080" i="5" s="1"/>
  <c r="AR4089" i="5" l="1"/>
  <c r="AQ4089" i="5" s="1"/>
  <c r="AW4080" i="5" s="1"/>
  <c r="AR4096" i="5" l="1"/>
  <c r="AQ4096" i="5" s="1"/>
  <c r="AT4092" i="5" s="1"/>
  <c r="AR4097" i="5" l="1"/>
  <c r="AU4092" i="5" s="1"/>
  <c r="AR4098" i="5" l="1"/>
  <c r="AY4092" i="5" s="1"/>
  <c r="AR4099" i="5" l="1"/>
  <c r="AV4092" i="5" s="1"/>
  <c r="AR4100" i="5" l="1"/>
  <c r="AX4092" i="5" s="1"/>
  <c r="AR4101" i="5" l="1"/>
  <c r="AQ4101" i="5" s="1"/>
  <c r="AW4092" i="5" s="1"/>
  <c r="AR4108" i="5" l="1"/>
  <c r="AQ4108" i="5" s="1"/>
  <c r="AT4104" i="5" s="1"/>
  <c r="AR4109" i="5" l="1"/>
  <c r="AU4104" i="5" s="1"/>
  <c r="AR4110" i="5" l="1"/>
  <c r="AY4104" i="5" s="1"/>
  <c r="AR4111" i="5" l="1"/>
  <c r="AV4104" i="5" s="1"/>
  <c r="AR4112" i="5" l="1"/>
  <c r="AQ4112" i="5" s="1"/>
  <c r="AW4104" i="5" s="1"/>
  <c r="AR4113" i="5" l="1"/>
  <c r="AX4104" i="5" s="1"/>
  <c r="AR4120" i="5" l="1"/>
  <c r="AQ4120" i="5" s="1"/>
  <c r="AT4116" i="5" s="1"/>
  <c r="AR4121" i="5" l="1"/>
  <c r="AU4116" i="5" s="1"/>
  <c r="AR4122" i="5" l="1"/>
  <c r="AY4116" i="5" s="1"/>
  <c r="AR4123" i="5" l="1"/>
  <c r="AV4116" i="5" s="1"/>
  <c r="AR4124" i="5" l="1"/>
  <c r="AQ4124" i="5" s="1"/>
  <c r="AW4116" i="5" s="1"/>
  <c r="AR4125" i="5" l="1"/>
  <c r="AX4116" i="5" s="1"/>
  <c r="AR4132" i="5" l="1"/>
  <c r="AQ4132" i="5" s="1"/>
  <c r="AT4128" i="5" s="1"/>
  <c r="AR4133" i="5" l="1"/>
  <c r="AU4128" i="5" s="1"/>
  <c r="AR4134" i="5" l="1"/>
  <c r="AY4128" i="5" s="1"/>
  <c r="AR4135" i="5" l="1"/>
  <c r="AV4128" i="5" s="1"/>
  <c r="AR4136" i="5" l="1"/>
  <c r="AQ4136" i="5" s="1"/>
  <c r="AW4128" i="5" s="1"/>
  <c r="AR4137" i="5" l="1"/>
  <c r="AX4128" i="5" s="1"/>
  <c r="AR4144" i="5" l="1"/>
  <c r="AQ4144" i="5" s="1"/>
  <c r="AT4140" i="5" s="1"/>
  <c r="AR4145" i="5" l="1"/>
  <c r="AU4140" i="5" s="1"/>
  <c r="AR4146" i="5" l="1"/>
  <c r="AY4140" i="5" s="1"/>
  <c r="AR4147" i="5" l="1"/>
  <c r="AV4140" i="5" s="1"/>
  <c r="AR4148" i="5" l="1"/>
  <c r="AQ4148" i="5" s="1"/>
  <c r="AW4140" i="5" s="1"/>
  <c r="AR4149" i="5" l="1"/>
  <c r="AX4140" i="5" s="1"/>
  <c r="AR4156" i="5" l="1"/>
  <c r="AQ4156" i="5" s="1"/>
  <c r="AT4152" i="5" s="1"/>
  <c r="AR4157" i="5" l="1"/>
  <c r="AU4152" i="5" s="1"/>
  <c r="AR4158" i="5" l="1"/>
  <c r="AY4152" i="5" s="1"/>
  <c r="AR4159" i="5" l="1"/>
  <c r="AV4152" i="5" s="1"/>
  <c r="AR4160" i="5" l="1"/>
  <c r="AQ4160" i="5" s="1"/>
  <c r="AW4152" i="5" s="1"/>
  <c r="AR4161" i="5" l="1"/>
  <c r="AX4152" i="5" s="1"/>
  <c r="AR4169" i="5" l="1"/>
  <c r="AQ4169" i="5" s="1"/>
  <c r="AT4165" i="5" s="1"/>
  <c r="AR4170" i="5" l="1"/>
  <c r="AU4165" i="5" s="1"/>
  <c r="AR4171" i="5" l="1"/>
  <c r="AY4165" i="5" s="1"/>
  <c r="AR4172" i="5" l="1"/>
  <c r="AV4165" i="5" s="1"/>
  <c r="AR4173" i="5" l="1"/>
  <c r="AQ4173" i="5" s="1"/>
  <c r="AW4165" i="5" s="1"/>
  <c r="AR4174" i="5" l="1"/>
  <c r="AX4165" i="5" s="1"/>
  <c r="AR4181" i="5" l="1"/>
  <c r="AQ4181" i="5" s="1"/>
  <c r="AR4182" i="5" l="1"/>
  <c r="AR4183" i="5" l="1"/>
  <c r="AR4184" i="5" l="1"/>
  <c r="AR4185" i="5" l="1"/>
  <c r="AQ4185" i="5" s="1"/>
  <c r="AT4177" i="5" s="1"/>
  <c r="AX4177" i="5" l="1"/>
  <c r="AY4177" i="5"/>
  <c r="AU4177" i="5"/>
  <c r="AW4177" i="5"/>
  <c r="AV4177" i="5"/>
  <c r="AR4193" i="5"/>
  <c r="AR4194" i="5" l="1"/>
  <c r="AQ4194" i="5" s="1"/>
  <c r="AT4189" i="5" s="1"/>
  <c r="AX4189" i="5" s="1"/>
  <c r="AR4195" i="5" l="1"/>
  <c r="AU4189" i="5" s="1"/>
  <c r="AR4196" i="5" l="1"/>
  <c r="AY4189" i="5" s="1"/>
  <c r="AR4197" i="5" l="1"/>
  <c r="AV4189" i="5" s="1"/>
  <c r="AR4198" i="5" l="1"/>
  <c r="AQ4198" i="5" s="1"/>
  <c r="AW4189" i="5" s="1"/>
  <c r="AR4205" i="5" l="1"/>
  <c r="AR4206" i="5" l="1"/>
  <c r="AQ4206" i="5" s="1"/>
  <c r="AT4201" i="5" s="1"/>
  <c r="AX4201" i="5" s="1"/>
  <c r="AR4207" i="5" l="1"/>
  <c r="AU4201" i="5" s="1"/>
  <c r="AR4208" i="5" l="1"/>
  <c r="AY4201" i="5" s="1"/>
  <c r="AR4209" i="5" l="1"/>
  <c r="AV4201" i="5" s="1"/>
  <c r="AR4210" i="5" l="1"/>
  <c r="AQ4210" i="5" s="1"/>
  <c r="AW4201" i="5" s="1"/>
  <c r="AR4217" i="5" l="1"/>
  <c r="AR4218" i="5" l="1"/>
  <c r="AQ4218" i="5" s="1"/>
  <c r="AT4213" i="5" s="1"/>
  <c r="AX4213" i="5" l="1"/>
  <c r="AR4219" i="5"/>
  <c r="AU4213" i="5" s="1"/>
  <c r="AR4220" i="5" l="1"/>
  <c r="AY4213" i="5" s="1"/>
  <c r="AR4221" i="5" l="1"/>
  <c r="AV4213" i="5" s="1"/>
  <c r="AR4222" i="5" l="1"/>
  <c r="AQ4222" i="5" s="1"/>
  <c r="AW4213" i="5" s="1"/>
  <c r="AR4229" i="5" l="1"/>
  <c r="AR4230" i="5" l="1"/>
  <c r="AQ4230" i="5" s="1"/>
  <c r="AT4225" i="5" s="1"/>
  <c r="AX4225" i="5" s="1"/>
  <c r="AR4231" i="5" l="1"/>
  <c r="AU4225" i="5" s="1"/>
  <c r="AR4232" i="5" l="1"/>
  <c r="AY4225" i="5" s="1"/>
  <c r="AR4233" i="5" l="1"/>
  <c r="AV4225" i="5" s="1"/>
  <c r="AR4234" i="5" l="1"/>
  <c r="AQ4234" i="5" s="1"/>
  <c r="AW4225" i="5" s="1"/>
  <c r="AR4241" i="5" l="1"/>
  <c r="AR4242" i="5" l="1"/>
  <c r="AQ4242" i="5" s="1"/>
  <c r="AT4237" i="5" s="1"/>
  <c r="AX4237" i="5" s="1"/>
  <c r="AR4243" i="5" l="1"/>
  <c r="AU4237" i="5" s="1"/>
  <c r="AR4244" i="5" l="1"/>
  <c r="AY4237" i="5" s="1"/>
  <c r="AR4245" i="5" l="1"/>
  <c r="AV4237" i="5" s="1"/>
  <c r="AR4246" i="5" l="1"/>
  <c r="AQ4246" i="5" s="1"/>
  <c r="AW4237" i="5" s="1"/>
  <c r="AR4254" i="5" l="1"/>
  <c r="AR4255" i="5" l="1"/>
  <c r="AQ4255" i="5" s="1"/>
  <c r="AT4250" i="5" s="1"/>
  <c r="AR4256" i="5" l="1"/>
  <c r="AX4250" i="5"/>
  <c r="AU4250" i="5"/>
  <c r="AR4257" i="5" l="1"/>
  <c r="AY4250" i="5" s="1"/>
  <c r="AR4258" i="5" l="1"/>
  <c r="AV4250" i="5" s="1"/>
  <c r="AR4259" i="5" l="1"/>
  <c r="AQ4259" i="5" s="1"/>
  <c r="AW4250" i="5" s="1"/>
  <c r="AR4266" i="5" l="1"/>
  <c r="AQ4266" i="5" s="1"/>
  <c r="AT4262" i="5" s="1"/>
  <c r="AR4267" i="5" l="1"/>
  <c r="AX4262" i="5" s="1"/>
  <c r="AR4268" i="5" l="1"/>
  <c r="AU4262" i="5" s="1"/>
  <c r="AR4269" i="5" l="1"/>
  <c r="AV4262" i="5" s="1"/>
  <c r="AR4270" i="5" l="1"/>
  <c r="AY4262" i="5" s="1"/>
  <c r="AR4271" i="5" l="1"/>
  <c r="AQ4271" i="5" s="1"/>
  <c r="AW4262" i="5" s="1"/>
  <c r="AR4278" i="5" l="1"/>
  <c r="AQ4278" i="5" s="1"/>
  <c r="AT4274" i="5" s="1"/>
  <c r="AR4279" i="5" l="1"/>
  <c r="AU4274" i="5" s="1"/>
  <c r="AR4280" i="5" l="1"/>
  <c r="AX4274" i="5" s="1"/>
  <c r="AR4281" i="5" l="1"/>
  <c r="AV4274" i="5" s="1"/>
  <c r="AR4282" i="5" l="1"/>
  <c r="AQ4282" i="5" s="1"/>
  <c r="AW4274" i="5" s="1"/>
  <c r="AR4283" i="5" l="1"/>
  <c r="AY4274" i="5" s="1"/>
  <c r="AR4290" i="5" l="1"/>
  <c r="AQ4290" i="5" s="1"/>
  <c r="AT4286" i="5" s="1"/>
  <c r="AR4291" i="5" l="1"/>
  <c r="AU4286" i="5" s="1"/>
  <c r="AR4292" i="5" l="1"/>
  <c r="AX4286" i="5" s="1"/>
  <c r="AR4293" i="5" l="1"/>
  <c r="AV4286" i="5" s="1"/>
  <c r="AR4294" i="5" l="1"/>
  <c r="AQ4294" i="5" s="1"/>
  <c r="AW4286" i="5" s="1"/>
  <c r="AR4295" i="5" l="1"/>
  <c r="AY4286" i="5" s="1"/>
  <c r="AR4302" i="5" l="1"/>
  <c r="AQ4302" i="5" s="1"/>
  <c r="AT4298" i="5" s="1"/>
  <c r="AR4303" i="5" l="1"/>
  <c r="AU4298" i="5" s="1"/>
  <c r="AR4304" i="5" l="1"/>
  <c r="AX4298" i="5" s="1"/>
  <c r="AR4305" i="5" l="1"/>
  <c r="AV4298" i="5" s="1"/>
  <c r="AR4306" i="5" l="1"/>
  <c r="AQ4306" i="5" s="1"/>
  <c r="AW4298" i="5" s="1"/>
  <c r="AR4307" i="5" l="1"/>
  <c r="AY4298" i="5" s="1"/>
  <c r="AR4314" i="5" l="1"/>
  <c r="AQ4314" i="5" s="1"/>
  <c r="AT4310" i="5" s="1"/>
  <c r="AR4315" i="5" l="1"/>
  <c r="AU4310" i="5" s="1"/>
  <c r="AR4316" i="5" l="1"/>
  <c r="AX4310" i="5" s="1"/>
  <c r="AR4317" i="5" l="1"/>
  <c r="AV4310" i="5" s="1"/>
  <c r="AR4318" i="5" l="1"/>
  <c r="AQ4318" i="5" s="1"/>
  <c r="AW4310" i="5" s="1"/>
  <c r="AR4319" i="5" l="1"/>
  <c r="AY4310" i="5" s="1"/>
  <c r="AR4326" i="5" l="1"/>
  <c r="AQ4326" i="5" s="1"/>
  <c r="AT4322" i="5" s="1"/>
  <c r="AR4327" i="5" l="1"/>
  <c r="AU4322" i="5" s="1"/>
  <c r="AR4328" i="5" l="1"/>
  <c r="AX4322" i="5" s="1"/>
  <c r="AR4329" i="5" l="1"/>
  <c r="AV4322" i="5" s="1"/>
  <c r="AR4330" i="5" l="1"/>
  <c r="AQ4330" i="5" s="1"/>
  <c r="AW4322" i="5" s="1"/>
  <c r="AR4331" i="5" l="1"/>
  <c r="AY4322" i="5" s="1"/>
  <c r="AR4339" i="5" l="1"/>
  <c r="AQ4339" i="5" s="1"/>
  <c r="AT4335" i="5" s="1"/>
  <c r="AR4340" i="5" l="1"/>
  <c r="AU4335" i="5" s="1"/>
  <c r="AR4341" i="5" l="1"/>
  <c r="AX4335" i="5" s="1"/>
  <c r="AR4342" i="5" l="1"/>
  <c r="AV4335" i="5" s="1"/>
  <c r="AR4343" i="5" l="1"/>
  <c r="AQ4343" i="5" s="1"/>
  <c r="AW4335" i="5" s="1"/>
  <c r="AR4344" i="5" l="1"/>
  <c r="AY4335" i="5" s="1"/>
  <c r="AR4351" i="5" l="1"/>
  <c r="AQ4351" i="5" s="1"/>
  <c r="AR4352" i="5" l="1"/>
  <c r="AR4353" i="5" l="1"/>
  <c r="AR4354" i="5" l="1"/>
  <c r="AR4355" i="5" l="1"/>
  <c r="AQ4355" i="5" s="1"/>
  <c r="AT4347" i="5" s="1"/>
  <c r="AV4347" i="5" l="1"/>
  <c r="AU4347" i="5"/>
  <c r="AY4347" i="5"/>
  <c r="AW4347" i="5"/>
  <c r="AX4347" i="5"/>
  <c r="AR4363" i="5"/>
  <c r="AR4364" i="5" l="1"/>
  <c r="AQ4364" i="5" s="1"/>
  <c r="AT4359" i="5" s="1"/>
  <c r="AY4359" i="5" s="1"/>
  <c r="AR4365" i="5" l="1"/>
  <c r="AU4359" i="5" s="1"/>
  <c r="AR4366" i="5" l="1"/>
  <c r="AX4359" i="5" s="1"/>
  <c r="AR4367" i="5" l="1"/>
  <c r="AV4359" i="5" s="1"/>
  <c r="AR4368" i="5" l="1"/>
  <c r="AQ4368" i="5" s="1"/>
  <c r="AW4359" i="5" s="1"/>
  <c r="AR4375" i="5" l="1"/>
  <c r="AR4376" i="5" l="1"/>
  <c r="AQ4376" i="5" s="1"/>
  <c r="AT4371" i="5" s="1"/>
  <c r="AR4377" i="5" l="1"/>
  <c r="AU4371" i="5" s="1"/>
  <c r="AY4371" i="5"/>
  <c r="AR4378" i="5" l="1"/>
  <c r="AX4371" i="5" s="1"/>
  <c r="AR4379" i="5" l="1"/>
  <c r="AV4371" i="5" s="1"/>
  <c r="AR4380" i="5" l="1"/>
  <c r="AQ4380" i="5" s="1"/>
  <c r="AW4371" i="5" s="1"/>
  <c r="AR4387" i="5" l="1"/>
  <c r="AR4388" i="5" l="1"/>
  <c r="AQ4388" i="5" s="1"/>
  <c r="AT4383" i="5" s="1"/>
  <c r="AY4383" i="5" s="1"/>
  <c r="AR4389" i="5" l="1"/>
  <c r="AU4383" i="5" s="1"/>
  <c r="AR4390" i="5" l="1"/>
  <c r="AX4383" i="5" s="1"/>
  <c r="AR4391" i="5" l="1"/>
  <c r="AV4383" i="5" s="1"/>
  <c r="AR4392" i="5" l="1"/>
  <c r="AQ4392" i="5" s="1"/>
  <c r="AW4383" i="5" s="1"/>
  <c r="AR4399" i="5" l="1"/>
  <c r="AR4400" i="5" l="1"/>
  <c r="AQ4400" i="5" s="1"/>
  <c r="AT4395" i="5" s="1"/>
  <c r="AY4395" i="5" s="1"/>
  <c r="AR4401" i="5" l="1"/>
  <c r="AU4395" i="5" s="1"/>
  <c r="AR4402" i="5" l="1"/>
  <c r="AX4395" i="5" s="1"/>
  <c r="AR4403" i="5" l="1"/>
  <c r="AV4395" i="5" s="1"/>
  <c r="AR4404" i="5" l="1"/>
  <c r="AQ4404" i="5" s="1"/>
  <c r="AW4395" i="5" s="1"/>
  <c r="AR4411" i="5" l="1"/>
  <c r="AR4412" i="5" l="1"/>
  <c r="AQ4412" i="5" s="1"/>
  <c r="AT4407" i="5" s="1"/>
  <c r="AR4413" i="5" l="1"/>
  <c r="AU4407" i="5" s="1"/>
  <c r="AY4407" i="5"/>
  <c r="AR4414" i="5" l="1"/>
  <c r="AX4407" i="5" s="1"/>
  <c r="AR4415" i="5" l="1"/>
  <c r="AV4407" i="5" s="1"/>
  <c r="AR4416" i="5" l="1"/>
  <c r="AQ4416" i="5" s="1"/>
  <c r="AW4407" i="5" s="1"/>
  <c r="AR4424" i="5" l="1"/>
  <c r="AR4425" i="5" l="1"/>
  <c r="AQ4425" i="5" s="1"/>
  <c r="AT4420" i="5" s="1"/>
  <c r="AY4420" i="5" s="1"/>
  <c r="AR4426" i="5" l="1"/>
  <c r="AU4420" i="5" s="1"/>
  <c r="AR4427" i="5" l="1"/>
  <c r="AX4420" i="5" s="1"/>
  <c r="AR4428" i="5" l="1"/>
  <c r="AV4420" i="5" s="1"/>
  <c r="AR4429" i="5" l="1"/>
  <c r="AQ4429" i="5" s="1"/>
  <c r="AW4420" i="5" s="1"/>
  <c r="AR4436" i="5" l="1"/>
  <c r="AR4437" i="5" l="1"/>
  <c r="AQ4437" i="5" s="1"/>
  <c r="AT4432" i="5" s="1"/>
  <c r="AY4432" i="5" s="1"/>
  <c r="AR4438" i="5" l="1"/>
  <c r="AU4432" i="5" s="1"/>
  <c r="AR4439" i="5" l="1"/>
  <c r="AX4432" i="5" s="1"/>
  <c r="AR4440" i="5" l="1"/>
  <c r="AV4432" i="5" s="1"/>
  <c r="AR4441" i="5" l="1"/>
  <c r="AQ4441" i="5" s="1"/>
  <c r="AW4432" i="5" s="1"/>
  <c r="AR4448" i="5" l="1"/>
  <c r="AQ4448" i="5" s="1"/>
  <c r="AT4444" i="5" s="1"/>
  <c r="AR4449" i="5" l="1"/>
  <c r="AY4444" i="5" s="1"/>
  <c r="AR4450" i="5" l="1"/>
  <c r="AU4444" i="5" s="1"/>
  <c r="AR4451" i="5" l="1"/>
  <c r="AX4444" i="5" s="1"/>
  <c r="AR4452" i="5" l="1"/>
  <c r="AV4444" i="5" s="1"/>
  <c r="AR4453" i="5" l="1"/>
  <c r="AQ4453" i="5" s="1"/>
  <c r="AW4444" i="5" s="1"/>
  <c r="AR4460" i="5" l="1"/>
  <c r="AQ4460" i="5" s="1"/>
  <c r="AT4456" i="5" s="1"/>
  <c r="AR4461" i="5" l="1"/>
  <c r="AU4456" i="5" s="1"/>
  <c r="AR4462" i="5" l="1"/>
  <c r="AY4456" i="5" s="1"/>
  <c r="AR4463" i="5" l="1"/>
  <c r="AV4456" i="5" s="1"/>
  <c r="AR4464" i="5" l="1"/>
  <c r="AX4456" i="5" s="1"/>
  <c r="AR4465" i="5" l="1"/>
  <c r="AQ4465" i="5" s="1"/>
  <c r="AW4456" i="5" s="1"/>
  <c r="AR4472" i="5" l="1"/>
  <c r="AQ4472" i="5" s="1"/>
  <c r="AT4468" i="5" s="1"/>
  <c r="AR4473" i="5" l="1"/>
  <c r="AU4468" i="5" s="1"/>
  <c r="AR4474" i="5" l="1"/>
  <c r="AY4468" i="5" s="1"/>
  <c r="AR4475" i="5" l="1"/>
  <c r="AV4468" i="5" s="1"/>
  <c r="AR4476" i="5" l="1"/>
  <c r="AQ4476" i="5" s="1"/>
  <c r="AW4468" i="5" s="1"/>
  <c r="AR4477" i="5" l="1"/>
  <c r="AX4468" i="5" s="1"/>
  <c r="AR4484" i="5" l="1"/>
  <c r="AQ4484" i="5" s="1"/>
  <c r="AT4480" i="5" s="1"/>
  <c r="AR4485" i="5" l="1"/>
  <c r="AU4480" i="5" s="1"/>
  <c r="AR4486" i="5" l="1"/>
  <c r="AY4480" i="5" s="1"/>
  <c r="AR4487" i="5" l="1"/>
  <c r="AV4480" i="5" s="1"/>
  <c r="AR4488" i="5" l="1"/>
  <c r="AQ4488" i="5" s="1"/>
  <c r="AW4480" i="5" s="1"/>
  <c r="AR4489" i="5" l="1"/>
  <c r="AX4480" i="5" s="1"/>
  <c r="AR4496" i="5" l="1"/>
  <c r="AQ4496" i="5" s="1"/>
  <c r="AT4492" i="5" s="1"/>
  <c r="AR4497" i="5" l="1"/>
  <c r="AU4492" i="5" s="1"/>
  <c r="AR4498" i="5" l="1"/>
  <c r="AY4492" i="5" s="1"/>
  <c r="AR4499" i="5" l="1"/>
  <c r="AV4492" i="5" s="1"/>
  <c r="AR4500" i="5" l="1"/>
  <c r="AQ4500" i="5" s="1"/>
  <c r="AW4492" i="5" s="1"/>
  <c r="AR4501" i="5" l="1"/>
  <c r="AX4492" i="5" s="1"/>
  <c r="AR4509" i="5" l="1"/>
  <c r="AQ4509" i="5" s="1"/>
  <c r="AT4505" i="5" s="1"/>
  <c r="AR4510" i="5" l="1"/>
  <c r="AU4505" i="5" s="1"/>
  <c r="AR4511" i="5" l="1"/>
  <c r="AY4505" i="5" s="1"/>
  <c r="AR4512" i="5" l="1"/>
  <c r="AV4505" i="5" s="1"/>
  <c r="AR4513" i="5" l="1"/>
  <c r="AQ4513" i="5" s="1"/>
  <c r="AW4505" i="5" s="1"/>
  <c r="AR4514" i="5" l="1"/>
  <c r="AX4505" i="5" s="1"/>
  <c r="AR4521" i="5" l="1"/>
  <c r="AQ4521" i="5" s="1"/>
  <c r="AT4517" i="5" s="1"/>
  <c r="AR4522" i="5" l="1"/>
  <c r="AU4517" i="5" s="1"/>
  <c r="AR4523" i="5" l="1"/>
  <c r="AY4517" i="5" s="1"/>
  <c r="AR4524" i="5" l="1"/>
  <c r="AV4517" i="5" s="1"/>
  <c r="AR4525" i="5" l="1"/>
  <c r="AQ4525" i="5" s="1"/>
  <c r="AW4517" i="5" s="1"/>
  <c r="AR4526" i="5" l="1"/>
  <c r="AX4517" i="5" s="1"/>
  <c r="AR4533" i="5" l="1"/>
  <c r="AQ4533" i="5" s="1"/>
  <c r="AR4534" i="5" l="1"/>
  <c r="AR4535" i="5" l="1"/>
  <c r="AR4536" i="5" l="1"/>
  <c r="AR4537" i="5" l="1"/>
  <c r="AQ4537" i="5" s="1"/>
  <c r="AT4529" i="5" s="1"/>
  <c r="AU4529" i="5" l="1"/>
  <c r="AW4529" i="5"/>
  <c r="AX4529" i="5"/>
  <c r="AV4529" i="5"/>
  <c r="AY4529" i="5"/>
  <c r="AR4545" i="5"/>
  <c r="AR4546" i="5" l="1"/>
  <c r="AQ4546" i="5" s="1"/>
  <c r="AT4541" i="5" s="1"/>
  <c r="AX4541" i="5" s="1"/>
  <c r="AR4547" i="5" l="1"/>
  <c r="AU4541" i="5" s="1"/>
  <c r="AR4548" i="5" l="1"/>
  <c r="AY4541" i="5" s="1"/>
  <c r="AR4549" i="5" l="1"/>
  <c r="AV4541" i="5" s="1"/>
  <c r="AR4550" i="5" l="1"/>
  <c r="AQ4550" i="5" s="1"/>
  <c r="AW4541" i="5" s="1"/>
  <c r="AR4557" i="5" l="1"/>
  <c r="C41" i="5"/>
  <c r="E21" i="5"/>
  <c r="G22" i="5"/>
  <c r="D22" i="5"/>
  <c r="D24" i="5"/>
  <c r="B24" i="5"/>
  <c r="D25" i="5"/>
  <c r="E25" i="5"/>
  <c r="E27" i="5"/>
  <c r="F26" i="5"/>
  <c r="F28" i="5"/>
  <c r="B27" i="5"/>
  <c r="F27" i="5"/>
  <c r="G28" i="5"/>
  <c r="G29" i="5"/>
  <c r="B31" i="5"/>
  <c r="E30" i="5"/>
  <c r="C30" i="5"/>
  <c r="G31" i="5"/>
  <c r="C33" i="5"/>
  <c r="G34" i="5"/>
  <c r="F34" i="5"/>
  <c r="B36" i="5"/>
  <c r="F36" i="5"/>
  <c r="E38" i="5"/>
  <c r="D38" i="5"/>
  <c r="C21" i="5"/>
  <c r="D41" i="5"/>
  <c r="E22" i="5"/>
  <c r="D23" i="5"/>
  <c r="F22" i="5"/>
  <c r="E24" i="5"/>
  <c r="C23" i="5"/>
  <c r="G25" i="5"/>
  <c r="F24" i="5"/>
  <c r="C26" i="5"/>
  <c r="G27" i="5"/>
  <c r="C27" i="5"/>
  <c r="E28" i="5"/>
  <c r="E31" i="5"/>
  <c r="F30" i="5"/>
  <c r="E29" i="5"/>
  <c r="C28" i="5"/>
  <c r="C31" i="5"/>
  <c r="D31" i="5"/>
  <c r="F31" i="5"/>
  <c r="G33" i="5"/>
  <c r="D33" i="5"/>
  <c r="B35" i="5"/>
  <c r="E35" i="5"/>
  <c r="C36" i="5"/>
  <c r="C34" i="5"/>
  <c r="C37" i="5"/>
  <c r="F41" i="5"/>
  <c r="D21" i="5"/>
  <c r="G21" i="5"/>
  <c r="G23" i="5"/>
  <c r="F23" i="5"/>
  <c r="E23" i="5"/>
  <c r="D26" i="5"/>
  <c r="C24" i="5"/>
  <c r="E26" i="5"/>
  <c r="G26" i="5"/>
  <c r="D27" i="5"/>
  <c r="B28" i="5"/>
  <c r="D29" i="5"/>
  <c r="F29" i="5"/>
  <c r="G30" i="5"/>
  <c r="E33" i="5"/>
  <c r="F33" i="5"/>
  <c r="D30" i="5"/>
  <c r="C32" i="5"/>
  <c r="B34" i="5"/>
  <c r="B33" i="5"/>
  <c r="C35" i="5"/>
  <c r="D34" i="5"/>
  <c r="G37" i="5"/>
  <c r="F35" i="5"/>
  <c r="B37" i="5"/>
  <c r="E36" i="5"/>
  <c r="F38" i="5"/>
  <c r="F21" i="5"/>
  <c r="B22" i="5"/>
  <c r="B23" i="5"/>
  <c r="G24" i="5"/>
  <c r="C22" i="5"/>
  <c r="C25" i="5"/>
  <c r="F25" i="5"/>
  <c r="B26" i="5"/>
  <c r="B25" i="5"/>
  <c r="D28" i="5"/>
  <c r="B29" i="5"/>
  <c r="C29" i="5"/>
  <c r="B30" i="5"/>
  <c r="F32" i="5"/>
  <c r="G32" i="5"/>
  <c r="E32" i="5"/>
  <c r="D32" i="5"/>
  <c r="D35" i="5"/>
  <c r="E34" i="5"/>
  <c r="B32" i="5"/>
  <c r="G35" i="5"/>
  <c r="D36" i="5"/>
  <c r="G36" i="5"/>
  <c r="E37" i="5"/>
  <c r="C38" i="5"/>
  <c r="G38" i="5"/>
  <c r="D37" i="5"/>
  <c r="B38" i="5"/>
  <c r="F37" i="5"/>
  <c r="G41" i="5"/>
  <c r="FY338" i="10"/>
  <c r="FY337" i="10" s="1"/>
  <c r="GH345" i="10"/>
  <c r="GJ345" i="10" s="1"/>
  <c r="GH338" i="10"/>
  <c r="GH337" i="10" s="1"/>
  <c r="GH335" i="10"/>
  <c r="GH334" i="10" s="1"/>
  <c r="AR4558" i="5" l="1"/>
  <c r="AQ4558" i="5" s="1"/>
  <c r="AT4553" i="5" s="1"/>
  <c r="AX4553" i="5" s="1"/>
  <c r="C17" i="5"/>
  <c r="B16" i="5"/>
  <c r="F158" i="5"/>
  <c r="F9" i="5"/>
  <c r="C9" i="5"/>
  <c r="D9" i="5"/>
  <c r="E9" i="5"/>
  <c r="G9" i="5"/>
  <c r="F10" i="5"/>
  <c r="E10" i="5"/>
  <c r="G10" i="5"/>
  <c r="B12" i="5"/>
  <c r="C12" i="5"/>
  <c r="C11" i="5"/>
  <c r="F12" i="5"/>
  <c r="E11" i="5"/>
  <c r="D10" i="5"/>
  <c r="B10" i="5"/>
  <c r="B11" i="5"/>
  <c r="F14" i="5"/>
  <c r="G13" i="5"/>
  <c r="F11" i="5"/>
  <c r="C13" i="5"/>
  <c r="E13" i="5"/>
  <c r="G12" i="5"/>
  <c r="G11" i="5"/>
  <c r="F13" i="5"/>
  <c r="C10" i="5"/>
  <c r="E12" i="5"/>
  <c r="D12" i="5"/>
  <c r="D11" i="5"/>
  <c r="B13" i="5"/>
  <c r="E14" i="5"/>
  <c r="C15" i="5"/>
  <c r="C14" i="5"/>
  <c r="D13" i="5"/>
  <c r="D14" i="5"/>
  <c r="G15" i="5"/>
  <c r="G16" i="5"/>
  <c r="B15" i="5"/>
  <c r="G14" i="5"/>
  <c r="F15" i="5"/>
  <c r="B14" i="5"/>
  <c r="D16" i="5"/>
  <c r="E15" i="5"/>
  <c r="F16" i="5"/>
  <c r="D15" i="5"/>
  <c r="C16" i="5"/>
  <c r="F17" i="5"/>
  <c r="B17" i="5"/>
  <c r="E16" i="5"/>
  <c r="E17" i="5"/>
  <c r="D17" i="5"/>
  <c r="C18" i="5"/>
  <c r="D18" i="5"/>
  <c r="G19" i="5"/>
  <c r="E19" i="5"/>
  <c r="B20" i="5"/>
  <c r="D19" i="5"/>
  <c r="C19" i="5"/>
  <c r="E18" i="5"/>
  <c r="G18" i="5"/>
  <c r="G17" i="5"/>
  <c r="F19" i="5"/>
  <c r="B19" i="5"/>
  <c r="B18" i="5"/>
  <c r="F18" i="5"/>
  <c r="F20" i="5"/>
  <c r="C20" i="5"/>
  <c r="E20" i="5"/>
  <c r="D20" i="5"/>
  <c r="G20" i="5"/>
  <c r="B39" i="5"/>
  <c r="C39" i="5"/>
  <c r="G39" i="5"/>
  <c r="D39" i="5"/>
  <c r="F39" i="5"/>
  <c r="E39" i="5"/>
  <c r="B40" i="5"/>
  <c r="G40" i="5"/>
  <c r="D40" i="5"/>
  <c r="C40" i="5"/>
  <c r="E40" i="5"/>
  <c r="F40" i="5"/>
  <c r="B41" i="5"/>
  <c r="C178" i="5"/>
  <c r="B151" i="5"/>
  <c r="E217" i="5"/>
  <c r="C42" i="5"/>
  <c r="C228" i="5"/>
  <c r="G143" i="5"/>
  <c r="C134" i="5"/>
  <c r="D66" i="5"/>
  <c r="F70" i="5"/>
  <c r="C197" i="5"/>
  <c r="C53" i="5"/>
  <c r="B56" i="5"/>
  <c r="D141" i="5"/>
  <c r="F107" i="5"/>
  <c r="D108" i="5"/>
  <c r="D118" i="5"/>
  <c r="D192" i="5"/>
  <c r="F63" i="5"/>
  <c r="F76" i="5"/>
  <c r="B65" i="5"/>
  <c r="E210" i="5"/>
  <c r="E269" i="5"/>
  <c r="C70" i="5"/>
  <c r="G132" i="5"/>
  <c r="B85" i="5"/>
  <c r="G103" i="5"/>
  <c r="E143" i="5"/>
  <c r="E197" i="5"/>
  <c r="F88" i="5"/>
  <c r="D86" i="5"/>
  <c r="F195" i="5"/>
  <c r="F109" i="5"/>
  <c r="C128" i="5"/>
  <c r="D333" i="5"/>
  <c r="F92" i="5"/>
  <c r="C76" i="5"/>
  <c r="E270" i="5"/>
  <c r="G168" i="5"/>
  <c r="G89" i="5"/>
  <c r="B153" i="5"/>
  <c r="B177" i="5"/>
  <c r="F120" i="5"/>
  <c r="G234" i="5"/>
  <c r="D166" i="5"/>
  <c r="C136" i="5"/>
  <c r="D372" i="5"/>
  <c r="F65" i="5"/>
  <c r="G208" i="5"/>
  <c r="C52" i="5"/>
  <c r="E169" i="5"/>
  <c r="G68" i="5"/>
  <c r="E91" i="5"/>
  <c r="C205" i="5"/>
  <c r="D205" i="5"/>
  <c r="C122" i="5"/>
  <c r="G44" i="5"/>
  <c r="D130" i="5"/>
  <c r="E193" i="5"/>
  <c r="D68" i="5"/>
  <c r="F227" i="5"/>
  <c r="E146" i="5"/>
  <c r="F66" i="5"/>
  <c r="G174" i="5"/>
  <c r="F237" i="5"/>
  <c r="D196" i="5"/>
  <c r="E168" i="5"/>
  <c r="C221" i="5"/>
  <c r="C198" i="5"/>
  <c r="C102" i="5"/>
  <c r="B241" i="5"/>
  <c r="D174" i="5"/>
  <c r="C94" i="5"/>
  <c r="E307" i="5"/>
  <c r="E76" i="5"/>
  <c r="G52" i="5"/>
  <c r="E83" i="5"/>
  <c r="B327" i="5"/>
  <c r="B316" i="5"/>
  <c r="E114" i="5"/>
  <c r="D150" i="5"/>
  <c r="D132" i="5"/>
  <c r="B171" i="5"/>
  <c r="D198" i="5"/>
  <c r="F71" i="5"/>
  <c r="D210" i="5"/>
  <c r="G112" i="5"/>
  <c r="B122" i="5"/>
  <c r="E71" i="5"/>
  <c r="E122" i="5"/>
  <c r="G172" i="5"/>
  <c r="G199" i="5"/>
  <c r="G74" i="5"/>
  <c r="G82" i="5"/>
  <c r="G72" i="5"/>
  <c r="C104" i="5"/>
  <c r="G136" i="5"/>
  <c r="F98" i="5"/>
  <c r="C119" i="5"/>
  <c r="B235" i="5"/>
  <c r="G257" i="5"/>
  <c r="C192" i="5"/>
  <c r="G149" i="5"/>
  <c r="B112" i="5"/>
  <c r="F133" i="5"/>
  <c r="D44" i="5"/>
  <c r="G189" i="5"/>
  <c r="F161" i="5"/>
  <c r="G221" i="5"/>
  <c r="C123" i="5"/>
  <c r="E178" i="5"/>
  <c r="B105" i="5"/>
  <c r="E211" i="5"/>
  <c r="F287" i="5"/>
  <c r="B217" i="5"/>
  <c r="G129" i="5"/>
  <c r="F136" i="5"/>
  <c r="D93" i="5"/>
  <c r="D76" i="5"/>
  <c r="F110" i="5"/>
  <c r="D55" i="5"/>
  <c r="G146" i="5"/>
  <c r="E185" i="5"/>
  <c r="G106" i="5"/>
  <c r="E251" i="5"/>
  <c r="F129" i="5"/>
  <c r="E240" i="5"/>
  <c r="D135" i="5"/>
  <c r="C180" i="5"/>
  <c r="C224" i="5"/>
  <c r="E167" i="5"/>
  <c r="F60" i="5"/>
  <c r="C222" i="5"/>
  <c r="C55" i="5"/>
  <c r="E155" i="5"/>
  <c r="B79" i="5"/>
  <c r="D48" i="5"/>
  <c r="G124" i="5"/>
  <c r="G115" i="5"/>
  <c r="G282" i="5"/>
  <c r="G69" i="5"/>
  <c r="G77" i="5"/>
  <c r="G58" i="5"/>
  <c r="B221" i="5"/>
  <c r="D206" i="5"/>
  <c r="C156" i="5"/>
  <c r="C82" i="5"/>
  <c r="F307" i="5"/>
  <c r="F181" i="5"/>
  <c r="B119" i="5"/>
  <c r="G121" i="5"/>
  <c r="G118" i="5"/>
  <c r="B87" i="5"/>
  <c r="B239" i="5"/>
  <c r="E229" i="5"/>
  <c r="C111" i="5"/>
  <c r="F213" i="5"/>
  <c r="G51" i="5"/>
  <c r="E129" i="5"/>
  <c r="C173" i="5"/>
  <c r="B97" i="5"/>
  <c r="F205" i="5"/>
  <c r="G97" i="5"/>
  <c r="D54" i="5"/>
  <c r="C69" i="5"/>
  <c r="D117" i="5"/>
  <c r="E225" i="5"/>
  <c r="F57" i="5"/>
  <c r="B185" i="5"/>
  <c r="G111" i="5"/>
  <c r="G182" i="5"/>
  <c r="C79" i="5"/>
  <c r="C90" i="5"/>
  <c r="G211" i="5"/>
  <c r="G171" i="5"/>
  <c r="F78" i="5"/>
  <c r="C49" i="5"/>
  <c r="C114" i="5"/>
  <c r="B74" i="5"/>
  <c r="G135" i="5"/>
  <c r="D245" i="5"/>
  <c r="B137" i="5"/>
  <c r="B68" i="5"/>
  <c r="D152" i="5"/>
  <c r="F138" i="5"/>
  <c r="G235" i="5"/>
  <c r="C282" i="5"/>
  <c r="B141" i="5"/>
  <c r="D83" i="5"/>
  <c r="F115" i="5"/>
  <c r="E85" i="5"/>
  <c r="E140" i="5"/>
  <c r="C203" i="5"/>
  <c r="E177" i="5"/>
  <c r="F339" i="5"/>
  <c r="C125" i="5"/>
  <c r="D164" i="5"/>
  <c r="B186" i="5"/>
  <c r="B134" i="5"/>
  <c r="B126" i="5"/>
  <c r="E157" i="5"/>
  <c r="C218" i="5"/>
  <c r="E154" i="5"/>
  <c r="B360" i="5"/>
  <c r="E191" i="5"/>
  <c r="F46" i="5"/>
  <c r="D339" i="5"/>
  <c r="B91" i="5"/>
  <c r="E228" i="5"/>
  <c r="F112" i="5"/>
  <c r="G175" i="5"/>
  <c r="C272" i="5"/>
  <c r="E103" i="5"/>
  <c r="C239" i="5"/>
  <c r="D62" i="5"/>
  <c r="G109" i="5"/>
  <c r="G157" i="5"/>
  <c r="B55" i="5"/>
  <c r="C314" i="5"/>
  <c r="C54" i="5"/>
  <c r="F108" i="5"/>
  <c r="G102" i="5"/>
  <c r="C189" i="5"/>
  <c r="B218" i="5"/>
  <c r="E90" i="5"/>
  <c r="E117" i="5"/>
  <c r="D79" i="5"/>
  <c r="G138" i="5"/>
  <c r="G242" i="5"/>
  <c r="C157" i="5"/>
  <c r="D184" i="5"/>
  <c r="G258" i="5"/>
  <c r="G86" i="5"/>
  <c r="E315" i="5"/>
  <c r="F185" i="5"/>
  <c r="C234" i="5"/>
  <c r="F344" i="5"/>
  <c r="C93" i="5"/>
  <c r="G198" i="5"/>
  <c r="G71" i="5"/>
  <c r="B47" i="5"/>
  <c r="E239" i="5"/>
  <c r="F139" i="5"/>
  <c r="D61" i="5"/>
  <c r="C165" i="5"/>
  <c r="F87" i="5"/>
  <c r="E214" i="5"/>
  <c r="B310" i="5"/>
  <c r="G207" i="5"/>
  <c r="G268" i="5"/>
  <c r="E68" i="5"/>
  <c r="D144" i="5"/>
  <c r="B106" i="5"/>
  <c r="AE12" i="19"/>
  <c r="E205" i="5"/>
  <c r="D224" i="5"/>
  <c r="C324" i="5"/>
  <c r="D91" i="5"/>
  <c r="E120" i="5"/>
  <c r="E111" i="5"/>
  <c r="C61" i="5"/>
  <c r="B80" i="5"/>
  <c r="F75" i="5"/>
  <c r="G92" i="5"/>
  <c r="B145" i="5"/>
  <c r="C185" i="5"/>
  <c r="E82" i="5"/>
  <c r="F101" i="5"/>
  <c r="D109" i="5"/>
  <c r="C166" i="5"/>
  <c r="F47" i="5"/>
  <c r="D138" i="5"/>
  <c r="C153" i="5"/>
  <c r="F127" i="5"/>
  <c r="G260" i="5"/>
  <c r="E171" i="5"/>
  <c r="B349" i="5"/>
  <c r="D140" i="5"/>
  <c r="C240" i="5"/>
  <c r="F216" i="5"/>
  <c r="C226" i="5"/>
  <c r="G181" i="5"/>
  <c r="C126" i="5"/>
  <c r="D63" i="5"/>
  <c r="B163" i="5"/>
  <c r="E108" i="5"/>
  <c r="G240" i="5"/>
  <c r="E80" i="5"/>
  <c r="F230" i="5"/>
  <c r="D139" i="5"/>
  <c r="G141" i="5"/>
  <c r="E62" i="5"/>
  <c r="C87" i="5"/>
  <c r="E182" i="5"/>
  <c r="B203" i="5"/>
  <c r="E125" i="5"/>
  <c r="G160" i="5"/>
  <c r="E44" i="5"/>
  <c r="F89" i="5"/>
  <c r="E158" i="5"/>
  <c r="B368" i="5"/>
  <c r="E218" i="5"/>
  <c r="C133" i="5"/>
  <c r="C191" i="5"/>
  <c r="E115" i="5"/>
  <c r="F102" i="5"/>
  <c r="F155" i="5"/>
  <c r="G288" i="5"/>
  <c r="C48" i="5"/>
  <c r="E203" i="5"/>
  <c r="F198" i="5"/>
  <c r="B59" i="5"/>
  <c r="F173" i="5"/>
  <c r="C152" i="5"/>
  <c r="B109" i="5"/>
  <c r="C227" i="5"/>
  <c r="G150" i="5"/>
  <c r="B114" i="5"/>
  <c r="C302" i="5"/>
  <c r="G65" i="5"/>
  <c r="F83" i="5"/>
  <c r="C147" i="5"/>
  <c r="D113" i="5"/>
  <c r="C96" i="5"/>
  <c r="F121" i="5"/>
  <c r="G80" i="5"/>
  <c r="B64" i="5"/>
  <c r="F84" i="5"/>
  <c r="E186" i="5"/>
  <c r="E200" i="5"/>
  <c r="B98" i="5"/>
  <c r="B117" i="5"/>
  <c r="B147" i="5"/>
  <c r="F187" i="5"/>
  <c r="C169" i="5"/>
  <c r="D172" i="5"/>
  <c r="F95" i="5"/>
  <c r="E237" i="5"/>
  <c r="G186" i="5"/>
  <c r="E181" i="5"/>
  <c r="D98" i="5"/>
  <c r="G62" i="5"/>
  <c r="F122" i="5"/>
  <c r="D230" i="5"/>
  <c r="E192" i="5"/>
  <c r="D69" i="5"/>
  <c r="B138" i="5"/>
  <c r="C105" i="5"/>
  <c r="C179" i="5"/>
  <c r="B66" i="5"/>
  <c r="D131" i="5"/>
  <c r="C72" i="5"/>
  <c r="D50" i="5"/>
  <c r="E135" i="5"/>
  <c r="E93" i="5"/>
  <c r="C131" i="5"/>
  <c r="G79" i="5"/>
  <c r="B111" i="5"/>
  <c r="G162" i="5"/>
  <c r="G222" i="5"/>
  <c r="B73" i="5"/>
  <c r="D160" i="5"/>
  <c r="E100" i="5"/>
  <c r="G100" i="5"/>
  <c r="F149" i="5"/>
  <c r="E183" i="5"/>
  <c r="B308" i="5"/>
  <c r="E56" i="5"/>
  <c r="F219" i="5"/>
  <c r="C211" i="5"/>
  <c r="B108" i="5"/>
  <c r="D58" i="5"/>
  <c r="C288" i="5"/>
  <c r="C59" i="5"/>
  <c r="E50" i="5"/>
  <c r="D47" i="5"/>
  <c r="G361" i="5"/>
  <c r="D212" i="5"/>
  <c r="F97" i="5"/>
  <c r="E132" i="5"/>
  <c r="D121" i="5"/>
  <c r="D100" i="5"/>
  <c r="G195" i="5"/>
  <c r="F143" i="5"/>
  <c r="B334" i="5"/>
  <c r="E88" i="5"/>
  <c r="D146" i="5"/>
  <c r="C73" i="5"/>
  <c r="C212" i="5"/>
  <c r="B175" i="5"/>
  <c r="B183" i="5"/>
  <c r="B244" i="5"/>
  <c r="F248" i="5"/>
  <c r="F252" i="5"/>
  <c r="F153" i="5"/>
  <c r="C367" i="5"/>
  <c r="G322" i="5"/>
  <c r="C83" i="5"/>
  <c r="F189" i="5"/>
  <c r="G140" i="5"/>
  <c r="E220" i="5"/>
  <c r="D359" i="5"/>
  <c r="F72" i="5"/>
  <c r="D45" i="5"/>
  <c r="F167" i="5"/>
  <c r="D176" i="5"/>
  <c r="C273" i="5"/>
  <c r="F254" i="5"/>
  <c r="F79" i="5"/>
  <c r="C335" i="5"/>
  <c r="G83" i="5"/>
  <c r="C155" i="5"/>
  <c r="C243" i="5"/>
  <c r="C107" i="5"/>
  <c r="E126" i="5"/>
  <c r="E371" i="5"/>
  <c r="G214" i="5"/>
  <c r="D296" i="5"/>
  <c r="F348" i="5"/>
  <c r="B152" i="5"/>
  <c r="C305" i="5"/>
  <c r="B231" i="5"/>
  <c r="B313" i="5"/>
  <c r="G194" i="5"/>
  <c r="D191" i="5"/>
  <c r="F317" i="5"/>
  <c r="F132" i="5"/>
  <c r="D373" i="5"/>
  <c r="F55" i="5"/>
  <c r="B341" i="5"/>
  <c r="G308" i="5"/>
  <c r="E373" i="5"/>
  <c r="E277" i="5"/>
  <c r="E231" i="5"/>
  <c r="F197" i="5"/>
  <c r="F81" i="5"/>
  <c r="B192" i="5"/>
  <c r="B247" i="5"/>
  <c r="B258" i="5"/>
  <c r="F174" i="5"/>
  <c r="C162" i="5"/>
  <c r="E280" i="5"/>
  <c r="E365" i="5"/>
  <c r="D148" i="5"/>
  <c r="D70" i="5"/>
  <c r="F367" i="5"/>
  <c r="D274" i="5"/>
  <c r="C210" i="5"/>
  <c r="E311" i="5"/>
  <c r="C113" i="5"/>
  <c r="F336" i="5"/>
  <c r="E142" i="5"/>
  <c r="G245" i="5"/>
  <c r="F73" i="5"/>
  <c r="F244" i="5"/>
  <c r="B209" i="5"/>
  <c r="D180" i="5"/>
  <c r="B168" i="5"/>
  <c r="B224" i="5"/>
  <c r="D197" i="5"/>
  <c r="B90" i="5"/>
  <c r="D337" i="5"/>
  <c r="F265" i="5"/>
  <c r="C293" i="5"/>
  <c r="G239" i="5"/>
  <c r="B102" i="5"/>
  <c r="E312" i="5"/>
  <c r="B331" i="5"/>
  <c r="B58" i="5"/>
  <c r="B123" i="5"/>
  <c r="B81" i="5"/>
  <c r="C360" i="5"/>
  <c r="F258" i="5"/>
  <c r="E263" i="5"/>
  <c r="F308" i="5"/>
  <c r="E130" i="5"/>
  <c r="G237" i="5"/>
  <c r="G321" i="5"/>
  <c r="E179" i="5"/>
  <c r="G342" i="5"/>
  <c r="E261" i="5"/>
  <c r="D246" i="5"/>
  <c r="G275" i="5"/>
  <c r="C292" i="5"/>
  <c r="G284" i="5"/>
  <c r="F201" i="5"/>
  <c r="B216" i="5"/>
  <c r="B222" i="5"/>
  <c r="G165" i="5"/>
  <c r="F283" i="5"/>
  <c r="G367" i="5"/>
  <c r="D165" i="5"/>
  <c r="F209" i="5"/>
  <c r="C71" i="5"/>
  <c r="B194" i="5"/>
  <c r="B345" i="5"/>
  <c r="F334" i="5"/>
  <c r="G159" i="5"/>
  <c r="C307" i="5"/>
  <c r="C67" i="5"/>
  <c r="C337" i="5"/>
  <c r="E321" i="5"/>
  <c r="D204" i="5"/>
  <c r="E65" i="5"/>
  <c r="F269" i="5"/>
  <c r="C244" i="5"/>
  <c r="G231" i="5"/>
  <c r="E124" i="5"/>
  <c r="B352" i="5"/>
  <c r="F340" i="5"/>
  <c r="B280" i="5"/>
  <c r="F49" i="5"/>
  <c r="C269" i="5"/>
  <c r="B130" i="5"/>
  <c r="C296" i="5"/>
  <c r="F50" i="5"/>
  <c r="E335" i="5"/>
  <c r="E328" i="5"/>
  <c r="B136" i="5"/>
  <c r="G366" i="5"/>
  <c r="B169" i="5"/>
  <c r="B275" i="5"/>
  <c r="G117" i="5"/>
  <c r="G197" i="5"/>
  <c r="G304" i="5"/>
  <c r="F151" i="5"/>
  <c r="F200" i="5"/>
  <c r="G170" i="5"/>
  <c r="E127" i="5"/>
  <c r="D193" i="5"/>
  <c r="F240" i="5"/>
  <c r="E213" i="5"/>
  <c r="G337" i="5"/>
  <c r="D65" i="5"/>
  <c r="F204" i="5"/>
  <c r="G335" i="5"/>
  <c r="E349" i="5"/>
  <c r="E138" i="5"/>
  <c r="F323" i="5"/>
  <c r="G319" i="5"/>
  <c r="C88" i="5"/>
  <c r="B371" i="5"/>
  <c r="B207" i="5"/>
  <c r="C167" i="5"/>
  <c r="G373" i="5"/>
  <c r="D316" i="5"/>
  <c r="F324" i="5"/>
  <c r="F111" i="5"/>
  <c r="B292" i="5"/>
  <c r="D183" i="5"/>
  <c r="F45" i="5"/>
  <c r="C287" i="5"/>
  <c r="E96" i="5"/>
  <c r="C284" i="5"/>
  <c r="E290" i="5"/>
  <c r="B289" i="5"/>
  <c r="G123" i="5"/>
  <c r="F259" i="5"/>
  <c r="C209" i="5"/>
  <c r="D247" i="5"/>
  <c r="C208" i="5"/>
  <c r="C181" i="5"/>
  <c r="E160" i="5"/>
  <c r="F222" i="5"/>
  <c r="E113" i="5"/>
  <c r="D241" i="5"/>
  <c r="E323" i="5"/>
  <c r="G190" i="5"/>
  <c r="B333" i="5"/>
  <c r="F346" i="5"/>
  <c r="D213" i="5"/>
  <c r="C146" i="5"/>
  <c r="E285" i="5"/>
  <c r="G287" i="5"/>
  <c r="G264" i="5"/>
  <c r="C297" i="5"/>
  <c r="E84" i="5"/>
  <c r="D315" i="5"/>
  <c r="D264" i="5"/>
  <c r="G215" i="5"/>
  <c r="C172" i="5"/>
  <c r="C312" i="5"/>
  <c r="G266" i="5"/>
  <c r="D188" i="5"/>
  <c r="E212" i="5"/>
  <c r="E43" i="5"/>
  <c r="G310" i="5"/>
  <c r="B291" i="5"/>
  <c r="E250" i="5"/>
  <c r="E98" i="5"/>
  <c r="G225" i="5"/>
  <c r="B307" i="5"/>
  <c r="F327" i="5"/>
  <c r="F295" i="5"/>
  <c r="G250" i="5"/>
  <c r="D171" i="5"/>
  <c r="E206" i="5"/>
  <c r="B302" i="5"/>
  <c r="B234" i="5"/>
  <c r="B314" i="5"/>
  <c r="F125" i="5"/>
  <c r="C64" i="5"/>
  <c r="C193" i="5"/>
  <c r="F318" i="5"/>
  <c r="E325" i="5"/>
  <c r="D72" i="5"/>
  <c r="E144" i="5"/>
  <c r="B159" i="5"/>
  <c r="D237" i="5"/>
  <c r="F371" i="5"/>
  <c r="E264" i="5"/>
  <c r="D119" i="5"/>
  <c r="B60" i="5"/>
  <c r="D330" i="5"/>
  <c r="C267" i="5"/>
  <c r="E70" i="5"/>
  <c r="C57" i="5"/>
  <c r="B243" i="5"/>
  <c r="E51" i="5"/>
  <c r="D129" i="5"/>
  <c r="B182" i="5"/>
  <c r="G219" i="5"/>
  <c r="C339" i="5"/>
  <c r="C207" i="5"/>
  <c r="F335" i="5"/>
  <c r="D311" i="5"/>
  <c r="F302" i="5"/>
  <c r="D77" i="5"/>
  <c r="C164" i="5"/>
  <c r="F331" i="5"/>
  <c r="F105" i="5"/>
  <c r="E355" i="5"/>
  <c r="F373" i="5"/>
  <c r="C62" i="5"/>
  <c r="D238" i="5"/>
  <c r="D126" i="5"/>
  <c r="D95" i="5"/>
  <c r="D232" i="5"/>
  <c r="F56" i="5"/>
  <c r="E188" i="5"/>
  <c r="B317" i="5"/>
  <c r="C219" i="5"/>
  <c r="C329" i="5"/>
  <c r="D221" i="5"/>
  <c r="B323" i="5"/>
  <c r="D302" i="5"/>
  <c r="E118" i="5"/>
  <c r="C303" i="5"/>
  <c r="F239" i="5"/>
  <c r="F215" i="5"/>
  <c r="D244" i="5"/>
  <c r="D179" i="5"/>
  <c r="E199" i="5"/>
  <c r="C154" i="5"/>
  <c r="G226" i="5"/>
  <c r="D181" i="5"/>
  <c r="B332" i="5"/>
  <c r="F245" i="5"/>
  <c r="E156" i="5"/>
  <c r="E86" i="5"/>
  <c r="G119" i="5"/>
  <c r="B70" i="5"/>
  <c r="G178" i="5"/>
  <c r="E77" i="5"/>
  <c r="F43" i="5"/>
  <c r="F211" i="5"/>
  <c r="G295" i="5"/>
  <c r="B103" i="5"/>
  <c r="D222" i="5"/>
  <c r="D299" i="5"/>
  <c r="E281" i="5"/>
  <c r="E313" i="5"/>
  <c r="B154" i="5"/>
  <c r="C98" i="5"/>
  <c r="B48" i="5"/>
  <c r="D254" i="5"/>
  <c r="E102" i="5"/>
  <c r="D120" i="5"/>
  <c r="C365" i="5"/>
  <c r="G151" i="5"/>
  <c r="E45" i="5"/>
  <c r="C350" i="5"/>
  <c r="B157" i="5"/>
  <c r="D52" i="5"/>
  <c r="B200" i="5"/>
  <c r="D78" i="5"/>
  <c r="G84" i="5"/>
  <c r="B268" i="5"/>
  <c r="C248" i="5"/>
  <c r="D137" i="5"/>
  <c r="B45" i="5"/>
  <c r="E74" i="5"/>
  <c r="D285" i="5"/>
  <c r="C342" i="5"/>
  <c r="B198" i="5"/>
  <c r="C84" i="5"/>
  <c r="E310" i="5"/>
  <c r="E275" i="5"/>
  <c r="G73" i="5"/>
  <c r="D326" i="5"/>
  <c r="B129" i="5"/>
  <c r="E81" i="5"/>
  <c r="E327" i="5"/>
  <c r="D189" i="5"/>
  <c r="D228" i="5"/>
  <c r="F274" i="5"/>
  <c r="C256" i="5"/>
  <c r="D123" i="5"/>
  <c r="G183" i="5"/>
  <c r="G48" i="5"/>
  <c r="F320" i="5"/>
  <c r="C120" i="5"/>
  <c r="E42" i="5"/>
  <c r="F131" i="5"/>
  <c r="B161" i="5"/>
  <c r="B84" i="5"/>
  <c r="C268" i="5"/>
  <c r="C132" i="5"/>
  <c r="C264" i="5"/>
  <c r="C344" i="5"/>
  <c r="G278" i="5"/>
  <c r="B336" i="5"/>
  <c r="B347" i="5"/>
  <c r="B337" i="5"/>
  <c r="E147" i="5"/>
  <c r="F114" i="5"/>
  <c r="F257" i="5"/>
  <c r="F364" i="5"/>
  <c r="E89" i="5"/>
  <c r="D365" i="5"/>
  <c r="F314" i="5"/>
  <c r="G354" i="5"/>
  <c r="F294" i="5"/>
  <c r="F313" i="5"/>
  <c r="F310" i="5"/>
  <c r="F147" i="5"/>
  <c r="E165" i="5"/>
  <c r="E170" i="5"/>
  <c r="C270" i="5"/>
  <c r="E152" i="5"/>
  <c r="G229" i="5"/>
  <c r="F347" i="5"/>
  <c r="B249" i="5"/>
  <c r="E133" i="5"/>
  <c r="E302" i="5"/>
  <c r="B99" i="5"/>
  <c r="G88" i="5"/>
  <c r="G130" i="5"/>
  <c r="E359" i="5"/>
  <c r="B253" i="5"/>
  <c r="C348" i="5"/>
  <c r="B140" i="5"/>
  <c r="E271" i="5"/>
  <c r="B311" i="5"/>
  <c r="C151" i="5"/>
  <c r="F293" i="5"/>
  <c r="C321" i="5"/>
  <c r="D53" i="5"/>
  <c r="E107" i="5"/>
  <c r="F243" i="5"/>
  <c r="E163" i="5"/>
  <c r="B206" i="5"/>
  <c r="G188" i="5"/>
  <c r="C271" i="5"/>
  <c r="D343" i="5"/>
  <c r="E351" i="5"/>
  <c r="B214" i="5"/>
  <c r="F291" i="5"/>
  <c r="G327" i="5"/>
  <c r="D105" i="5"/>
  <c r="B312" i="5"/>
  <c r="F170" i="5"/>
  <c r="E293" i="5"/>
  <c r="G236" i="5"/>
  <c r="C249" i="5"/>
  <c r="B75" i="5"/>
  <c r="B52" i="5"/>
  <c r="B223" i="5"/>
  <c r="D243" i="5"/>
  <c r="G343" i="5"/>
  <c r="F337" i="5"/>
  <c r="E119" i="5"/>
  <c r="E284" i="5"/>
  <c r="F142" i="5"/>
  <c r="B294" i="5"/>
  <c r="E136" i="5"/>
  <c r="B205" i="5"/>
  <c r="E268" i="5"/>
  <c r="G173" i="5"/>
  <c r="E234" i="5"/>
  <c r="G280" i="5"/>
  <c r="G216" i="5"/>
  <c r="D51" i="5"/>
  <c r="D312" i="5"/>
  <c r="G107" i="5"/>
  <c r="G224" i="5"/>
  <c r="C58" i="5"/>
  <c r="B274" i="5"/>
  <c r="E187" i="5"/>
  <c r="E223" i="5"/>
  <c r="E266" i="5"/>
  <c r="D286" i="5"/>
  <c r="C176" i="5"/>
  <c r="E262" i="5"/>
  <c r="C95" i="5"/>
  <c r="G248" i="5"/>
  <c r="G371" i="5"/>
  <c r="B284" i="5"/>
  <c r="E274" i="5"/>
  <c r="B71" i="5"/>
  <c r="D219" i="5"/>
  <c r="G348" i="5"/>
  <c r="C66" i="5"/>
  <c r="G345" i="5"/>
  <c r="F106" i="5"/>
  <c r="D162" i="5"/>
  <c r="C285" i="5"/>
  <c r="G317" i="5"/>
  <c r="G276" i="5"/>
  <c r="D256" i="5"/>
  <c r="B211" i="5"/>
  <c r="C45" i="5"/>
  <c r="F315" i="5"/>
  <c r="C127" i="5"/>
  <c r="G145" i="5"/>
  <c r="D163" i="5"/>
  <c r="F272" i="5"/>
  <c r="G120" i="5"/>
  <c r="G332" i="5"/>
  <c r="F288" i="5"/>
  <c r="F100" i="5"/>
  <c r="B282" i="5"/>
  <c r="C163" i="5"/>
  <c r="D258" i="5"/>
  <c r="G227" i="5"/>
  <c r="F62" i="5"/>
  <c r="F113" i="5"/>
  <c r="F202" i="5"/>
  <c r="F270" i="5"/>
  <c r="C56" i="5"/>
  <c r="E368" i="5"/>
  <c r="G353" i="5"/>
  <c r="G369" i="5"/>
  <c r="E253" i="5"/>
  <c r="E314" i="5"/>
  <c r="D338" i="5"/>
  <c r="F355" i="5"/>
  <c r="B164" i="5"/>
  <c r="D156" i="5"/>
  <c r="B57" i="5"/>
  <c r="D271" i="5"/>
  <c r="D248" i="5"/>
  <c r="C373" i="5"/>
  <c r="E299" i="5"/>
  <c r="E172" i="5"/>
  <c r="E208" i="5"/>
  <c r="G363" i="5"/>
  <c r="E69" i="5"/>
  <c r="F282" i="5"/>
  <c r="B51" i="5"/>
  <c r="E235" i="5"/>
  <c r="C91" i="5"/>
  <c r="C158" i="5"/>
  <c r="G42" i="5"/>
  <c r="F150" i="5"/>
  <c r="E123" i="5"/>
  <c r="B107" i="5"/>
  <c r="B365" i="5"/>
  <c r="F176" i="5"/>
  <c r="C300" i="5"/>
  <c r="F366" i="5"/>
  <c r="D67" i="5"/>
  <c r="F148" i="5"/>
  <c r="C175" i="5"/>
  <c r="C100" i="5"/>
  <c r="D362" i="5"/>
  <c r="G163" i="5"/>
  <c r="C135" i="5"/>
  <c r="D327" i="5"/>
  <c r="F365" i="5"/>
  <c r="C259" i="5"/>
  <c r="E60" i="5"/>
  <c r="C229" i="5"/>
  <c r="B172" i="5"/>
  <c r="D87" i="5"/>
  <c r="D350" i="5"/>
  <c r="B208" i="5"/>
  <c r="F163" i="5"/>
  <c r="C106" i="5"/>
  <c r="D112" i="5"/>
  <c r="C280" i="5"/>
  <c r="C291" i="5"/>
  <c r="F116" i="5"/>
  <c r="E297" i="5"/>
  <c r="D82" i="5"/>
  <c r="D349" i="5"/>
  <c r="B202" i="5"/>
  <c r="B116" i="5"/>
  <c r="G99" i="5"/>
  <c r="E318" i="5"/>
  <c r="G306" i="5"/>
  <c r="E58" i="5"/>
  <c r="E353" i="5"/>
  <c r="C188" i="5"/>
  <c r="B191" i="5"/>
  <c r="B219" i="5"/>
  <c r="F184" i="5"/>
  <c r="C213" i="5"/>
  <c r="E230" i="5"/>
  <c r="F345" i="5"/>
  <c r="E145" i="5"/>
  <c r="G185" i="5"/>
  <c r="B148" i="5"/>
  <c r="C118" i="5"/>
  <c r="E37" i="12"/>
  <c r="E245" i="5"/>
  <c r="G70" i="5"/>
  <c r="C349" i="5"/>
  <c r="E73" i="5"/>
  <c r="D71" i="5"/>
  <c r="G203" i="5"/>
  <c r="G113" i="5"/>
  <c r="G364" i="5"/>
  <c r="B83" i="5"/>
  <c r="C186" i="5"/>
  <c r="B204" i="5"/>
  <c r="B306" i="5"/>
  <c r="B196" i="5"/>
  <c r="D277" i="5"/>
  <c r="C355" i="5"/>
  <c r="E366" i="5"/>
  <c r="C265" i="5"/>
  <c r="D307" i="5"/>
  <c r="E159" i="5"/>
  <c r="D57" i="5"/>
  <c r="E106" i="5"/>
  <c r="G315" i="5"/>
  <c r="F267" i="5"/>
  <c r="F358" i="5"/>
  <c r="G60" i="5"/>
  <c r="E369" i="5"/>
  <c r="C310" i="5"/>
  <c r="E330" i="5"/>
  <c r="E363" i="5"/>
  <c r="C196" i="5"/>
  <c r="D332" i="5"/>
  <c r="G232" i="5"/>
  <c r="E291" i="5"/>
  <c r="C315" i="5"/>
  <c r="D341" i="5"/>
  <c r="F130" i="5"/>
  <c r="B286" i="5"/>
  <c r="F304" i="5"/>
  <c r="E242" i="5"/>
  <c r="C101" i="5"/>
  <c r="D159" i="5"/>
  <c r="F124" i="5"/>
  <c r="F119" i="5"/>
  <c r="F234" i="5"/>
  <c r="B132" i="5"/>
  <c r="D116" i="5"/>
  <c r="G63" i="5"/>
  <c r="C140" i="5"/>
  <c r="D358" i="5"/>
  <c r="C139" i="5"/>
  <c r="D240" i="5"/>
  <c r="C242" i="5"/>
  <c r="F255" i="5"/>
  <c r="C362" i="5"/>
  <c r="G298" i="5"/>
  <c r="D225" i="5"/>
  <c r="B133" i="5"/>
  <c r="G244" i="5"/>
  <c r="G147" i="5"/>
  <c r="C43" i="5"/>
  <c r="G338" i="5"/>
  <c r="G352" i="5"/>
  <c r="G91" i="5"/>
  <c r="D186" i="5"/>
  <c r="C263" i="5"/>
  <c r="D272" i="5"/>
  <c r="B261" i="5"/>
  <c r="G316" i="5"/>
  <c r="F325" i="5"/>
  <c r="B263" i="5"/>
  <c r="B369" i="5"/>
  <c r="Z7" i="19" s="1"/>
  <c r="C171" i="5"/>
  <c r="G330" i="5"/>
  <c r="F175" i="5"/>
  <c r="F160" i="5"/>
  <c r="C89" i="5"/>
  <c r="E279" i="5"/>
  <c r="C358" i="5"/>
  <c r="D157" i="5"/>
  <c r="F182" i="5"/>
  <c r="D145" i="5"/>
  <c r="B279" i="5"/>
  <c r="C103" i="5"/>
  <c r="E244" i="5"/>
  <c r="B372" i="5"/>
  <c r="D209" i="5"/>
  <c r="F164" i="5"/>
  <c r="C279" i="5"/>
  <c r="D328" i="5"/>
  <c r="C304" i="5"/>
  <c r="G303" i="5"/>
  <c r="G47" i="5"/>
  <c r="C75" i="5"/>
  <c r="G299" i="5"/>
  <c r="G148" i="5"/>
  <c r="C294" i="5"/>
  <c r="F286" i="5"/>
  <c r="E49" i="5"/>
  <c r="G256" i="5"/>
  <c r="B339" i="5"/>
  <c r="E343" i="5"/>
  <c r="G347" i="5"/>
  <c r="E201" i="5"/>
  <c r="G191" i="5"/>
  <c r="F166" i="5"/>
  <c r="B210" i="5"/>
  <c r="C116" i="5"/>
  <c r="E101" i="5"/>
  <c r="D75" i="5"/>
  <c r="E204" i="5"/>
  <c r="D364" i="5"/>
  <c r="F93" i="5"/>
  <c r="D313" i="5"/>
  <c r="B287" i="5"/>
  <c r="B348" i="5"/>
  <c r="B82" i="5"/>
  <c r="E216" i="5"/>
  <c r="G43" i="5"/>
  <c r="G87" i="5"/>
  <c r="G351" i="5"/>
  <c r="G263" i="5"/>
  <c r="D260" i="5"/>
  <c r="F94" i="5"/>
  <c r="B189" i="5"/>
  <c r="C354" i="5"/>
  <c r="B335" i="5"/>
  <c r="G61" i="5"/>
  <c r="G217" i="5"/>
  <c r="C168" i="5"/>
  <c r="B178" i="5"/>
  <c r="C330" i="5"/>
  <c r="E344" i="5"/>
  <c r="E121" i="5"/>
  <c r="C357" i="5"/>
  <c r="G246" i="5"/>
  <c r="F303" i="5"/>
  <c r="D347" i="5"/>
  <c r="G254" i="5"/>
  <c r="E176" i="5"/>
  <c r="G285" i="5"/>
  <c r="E236" i="5"/>
  <c r="F351" i="5"/>
  <c r="F226" i="5"/>
  <c r="D110" i="5"/>
  <c r="F349" i="5"/>
  <c r="D269" i="5"/>
  <c r="D366" i="5"/>
  <c r="B238" i="5"/>
  <c r="G192" i="5"/>
  <c r="C236" i="5"/>
  <c r="C97" i="5"/>
  <c r="F165" i="5"/>
  <c r="D177" i="5"/>
  <c r="B143" i="5"/>
  <c r="D353" i="5"/>
  <c r="F333" i="5"/>
  <c r="C183" i="5"/>
  <c r="B54" i="5"/>
  <c r="B127" i="5"/>
  <c r="G357" i="5"/>
  <c r="B357" i="5"/>
  <c r="D64" i="5"/>
  <c r="B271" i="5"/>
  <c r="B297" i="5"/>
  <c r="D253" i="5"/>
  <c r="C251" i="5"/>
  <c r="E196" i="5"/>
  <c r="F154" i="5"/>
  <c r="C223" i="5"/>
  <c r="B342" i="5"/>
  <c r="G154" i="5"/>
  <c r="C318" i="5"/>
  <c r="C217" i="5"/>
  <c r="D147" i="5"/>
  <c r="G349" i="5"/>
  <c r="E109" i="5"/>
  <c r="C99" i="5"/>
  <c r="B193" i="5"/>
  <c r="E55" i="5"/>
  <c r="C276" i="5"/>
  <c r="E319" i="5"/>
  <c r="F311" i="5"/>
  <c r="G247" i="5"/>
  <c r="B88" i="5"/>
  <c r="G243" i="5"/>
  <c r="D136" i="5"/>
  <c r="B272" i="5"/>
  <c r="E219" i="5"/>
  <c r="F236" i="5"/>
  <c r="F194" i="5"/>
  <c r="E79" i="5"/>
  <c r="F212" i="5"/>
  <c r="G205" i="5"/>
  <c r="E357" i="5"/>
  <c r="B227" i="5"/>
  <c r="E306" i="5"/>
  <c r="F233" i="5"/>
  <c r="B322" i="5"/>
  <c r="B212" i="5"/>
  <c r="C117" i="5"/>
  <c r="C177" i="5"/>
  <c r="B170" i="5"/>
  <c r="B267" i="5"/>
  <c r="B245" i="5"/>
  <c r="B301" i="5"/>
  <c r="B364" i="5"/>
  <c r="F353" i="5"/>
  <c r="B195" i="5"/>
  <c r="D102" i="5"/>
  <c r="D94" i="5"/>
  <c r="F297" i="5"/>
  <c r="B124" i="5"/>
  <c r="D279" i="5"/>
  <c r="G53" i="5"/>
  <c r="G196" i="5"/>
  <c r="D202" i="5"/>
  <c r="D301" i="5"/>
  <c r="B167" i="5"/>
  <c r="B226" i="5"/>
  <c r="B276" i="5"/>
  <c r="C316" i="5"/>
  <c r="B262" i="5"/>
  <c r="G200" i="5"/>
  <c r="C346" i="5"/>
  <c r="G271" i="5"/>
  <c r="G101" i="5"/>
  <c r="B69" i="5"/>
  <c r="E202" i="5"/>
  <c r="G108" i="5"/>
  <c r="F298" i="5"/>
  <c r="G75" i="5"/>
  <c r="F183" i="5"/>
  <c r="D233" i="5"/>
  <c r="C366" i="5"/>
  <c r="D220" i="5"/>
  <c r="E52" i="5"/>
  <c r="D143" i="5"/>
  <c r="F329" i="5"/>
  <c r="D199" i="5"/>
  <c r="D304" i="5"/>
  <c r="D214" i="5"/>
  <c r="E184" i="5"/>
  <c r="F249" i="5"/>
  <c r="D169" i="5"/>
  <c r="E308" i="5"/>
  <c r="F328" i="5"/>
  <c r="F186" i="5"/>
  <c r="D92" i="5"/>
  <c r="G210" i="5"/>
  <c r="C311" i="5"/>
  <c r="F126" i="5"/>
  <c r="E350" i="5"/>
  <c r="F268" i="5"/>
  <c r="D170" i="5"/>
  <c r="E233" i="5"/>
  <c r="B94" i="5"/>
  <c r="D278" i="5"/>
  <c r="C290" i="5"/>
  <c r="D345" i="5"/>
  <c r="C331" i="5"/>
  <c r="E95" i="5"/>
  <c r="C46" i="5"/>
  <c r="B299" i="5"/>
  <c r="B283" i="5"/>
  <c r="E288" i="5"/>
  <c r="F350" i="5"/>
  <c r="C68" i="5"/>
  <c r="D195" i="5"/>
  <c r="D56" i="5"/>
  <c r="G55" i="5"/>
  <c r="F271" i="5"/>
  <c r="C283" i="5"/>
  <c r="G334" i="5"/>
  <c r="E301" i="5"/>
  <c r="D288" i="5"/>
  <c r="D262" i="5"/>
  <c r="F356" i="5"/>
  <c r="F118" i="5"/>
  <c r="D367" i="5"/>
  <c r="B150" i="5"/>
  <c r="D331" i="5"/>
  <c r="E153" i="5"/>
  <c r="B43" i="5"/>
  <c r="E174" i="5"/>
  <c r="E54" i="5"/>
  <c r="C250" i="5"/>
  <c r="F305" i="5"/>
  <c r="D111" i="5"/>
  <c r="G255" i="5"/>
  <c r="B242" i="5"/>
  <c r="B298" i="5"/>
  <c r="B199" i="5"/>
  <c r="F250" i="5"/>
  <c r="C368" i="5"/>
  <c r="G314" i="5"/>
  <c r="B92" i="5"/>
  <c r="B259" i="5"/>
  <c r="C190" i="5"/>
  <c r="F178" i="5"/>
  <c r="G131" i="5"/>
  <c r="G281" i="5"/>
  <c r="F247" i="5"/>
  <c r="B104" i="5"/>
  <c r="E134" i="5"/>
  <c r="B338" i="5"/>
  <c r="G179" i="5"/>
  <c r="D97" i="5"/>
  <c r="C159" i="5"/>
  <c r="B184" i="5"/>
  <c r="D310" i="5"/>
  <c r="F214" i="5"/>
  <c r="F290" i="5"/>
  <c r="C278" i="5"/>
  <c r="F370" i="5"/>
  <c r="H38" i="12" s="1"/>
  <c r="G362" i="5"/>
  <c r="B146" i="5"/>
  <c r="G329" i="5"/>
  <c r="C51" i="5"/>
  <c r="C298" i="5"/>
  <c r="D317" i="5"/>
  <c r="F312" i="5"/>
  <c r="B355" i="5"/>
  <c r="B321" i="5"/>
  <c r="B139" i="5"/>
  <c r="B72" i="5"/>
  <c r="D346" i="5"/>
  <c r="E148" i="5"/>
  <c r="C351" i="5"/>
  <c r="D251" i="5"/>
  <c r="B340" i="5"/>
  <c r="D280" i="5"/>
  <c r="D90" i="5"/>
  <c r="E166" i="5"/>
  <c r="C187" i="5"/>
  <c r="F203" i="5"/>
  <c r="C352" i="5"/>
  <c r="D265" i="5"/>
  <c r="C336" i="5"/>
  <c r="F144" i="5"/>
  <c r="E131" i="5"/>
  <c r="B149" i="5"/>
  <c r="F242" i="5"/>
  <c r="B273" i="5"/>
  <c r="F301" i="5"/>
  <c r="B325" i="5"/>
  <c r="G296" i="5"/>
  <c r="B187" i="5"/>
  <c r="E105" i="5"/>
  <c r="E354" i="5"/>
  <c r="G66" i="5"/>
  <c r="G251" i="5"/>
  <c r="G313" i="5"/>
  <c r="F206" i="5"/>
  <c r="B293" i="5"/>
  <c r="D303" i="5"/>
  <c r="F191" i="5"/>
  <c r="F309" i="5"/>
  <c r="B120" i="5"/>
  <c r="B359" i="5"/>
  <c r="F241" i="5"/>
  <c r="D42" i="5"/>
  <c r="G307" i="5"/>
  <c r="F280" i="5"/>
  <c r="B89" i="5"/>
  <c r="B246" i="5"/>
  <c r="G116" i="5"/>
  <c r="E59" i="5"/>
  <c r="E189" i="5"/>
  <c r="E333" i="5"/>
  <c r="B46" i="5"/>
  <c r="C255" i="5"/>
  <c r="C233" i="5"/>
  <c r="C220" i="5"/>
  <c r="D283" i="5"/>
  <c r="F172" i="5"/>
  <c r="D217" i="5"/>
  <c r="B101" i="5"/>
  <c r="E139" i="5"/>
  <c r="B329" i="5"/>
  <c r="E372" i="5"/>
  <c r="F91" i="5"/>
  <c r="C129" i="5"/>
  <c r="C313" i="5"/>
  <c r="E260" i="5"/>
  <c r="G355" i="5"/>
  <c r="C246" i="5"/>
  <c r="C214" i="5"/>
  <c r="B188" i="5"/>
  <c r="D340" i="5"/>
  <c r="E332" i="5"/>
  <c r="B305" i="5"/>
  <c r="D151" i="5"/>
  <c r="B350" i="5"/>
  <c r="E112" i="5"/>
  <c r="G259" i="5"/>
  <c r="D276" i="5"/>
  <c r="G46" i="5"/>
  <c r="D207" i="5"/>
  <c r="B309" i="5"/>
  <c r="F179" i="5"/>
  <c r="E66" i="5"/>
  <c r="G274" i="5"/>
  <c r="G54" i="5"/>
  <c r="D275" i="5"/>
  <c r="E356" i="5"/>
  <c r="B229" i="5"/>
  <c r="G164" i="5"/>
  <c r="F146" i="5"/>
  <c r="F263" i="5"/>
  <c r="G320" i="5"/>
  <c r="E337" i="5"/>
  <c r="D142" i="5"/>
  <c r="B270" i="5"/>
  <c r="G339" i="5"/>
  <c r="G122" i="5"/>
  <c r="F281" i="5"/>
  <c r="F44" i="5"/>
  <c r="E161" i="5"/>
  <c r="G45" i="5"/>
  <c r="C320" i="5"/>
  <c r="D127" i="5"/>
  <c r="G134" i="5"/>
  <c r="F342" i="5"/>
  <c r="D323" i="5"/>
  <c r="C195" i="5"/>
  <c r="F86" i="5"/>
  <c r="C170" i="5"/>
  <c r="C257" i="5"/>
  <c r="C200" i="5"/>
  <c r="C258" i="5"/>
  <c r="G137" i="5"/>
  <c r="D252" i="5"/>
  <c r="E305" i="5"/>
  <c r="E361" i="5"/>
  <c r="E348" i="5"/>
  <c r="F48" i="5"/>
  <c r="B260" i="5"/>
  <c r="G233" i="5"/>
  <c r="E292" i="5"/>
  <c r="G133" i="5"/>
  <c r="C281" i="5"/>
  <c r="C372" i="5"/>
  <c r="C44" i="5"/>
  <c r="F188" i="5"/>
  <c r="G331" i="5"/>
  <c r="G50" i="5"/>
  <c r="E300" i="5"/>
  <c r="G184" i="5"/>
  <c r="G95" i="5"/>
  <c r="D371" i="5"/>
  <c r="F134" i="5"/>
  <c r="D154" i="5"/>
  <c r="C325" i="5"/>
  <c r="D182" i="5"/>
  <c r="F162" i="5"/>
  <c r="D234" i="5"/>
  <c r="D74" i="5"/>
  <c r="C141" i="5"/>
  <c r="B77" i="5"/>
  <c r="E341" i="5"/>
  <c r="E342" i="5"/>
  <c r="F285" i="5"/>
  <c r="G318" i="5"/>
  <c r="F322" i="5"/>
  <c r="D115" i="5"/>
  <c r="B252" i="5"/>
  <c r="E61" i="5"/>
  <c r="B320" i="5"/>
  <c r="F299" i="5"/>
  <c r="E128" i="5"/>
  <c r="E247" i="5"/>
  <c r="E246" i="5"/>
  <c r="D291" i="5"/>
  <c r="G350" i="5"/>
  <c r="G311" i="5"/>
  <c r="B296" i="5"/>
  <c r="G262" i="5"/>
  <c r="E221" i="5"/>
  <c r="D185" i="5"/>
  <c r="C252" i="5"/>
  <c r="B165" i="5"/>
  <c r="D88" i="5"/>
  <c r="G223" i="5"/>
  <c r="B254" i="5"/>
  <c r="F177" i="5"/>
  <c r="G202" i="5"/>
  <c r="E267" i="5"/>
  <c r="C359" i="5"/>
  <c r="D319" i="5"/>
  <c r="D293" i="5"/>
  <c r="F53" i="5"/>
  <c r="C345" i="5"/>
  <c r="B346" i="5"/>
  <c r="E338" i="5"/>
  <c r="F156" i="5"/>
  <c r="E347" i="5"/>
  <c r="G305" i="5"/>
  <c r="F372" i="5"/>
  <c r="B162" i="5"/>
  <c r="G290" i="5"/>
  <c r="D290" i="5"/>
  <c r="E215" i="5"/>
  <c r="F225" i="5"/>
  <c r="B63" i="5"/>
  <c r="C275" i="5"/>
  <c r="G127" i="5"/>
  <c r="G273" i="5"/>
  <c r="E336" i="5"/>
  <c r="B304" i="5"/>
  <c r="G341" i="5"/>
  <c r="E322" i="5"/>
  <c r="B115" i="5"/>
  <c r="C338" i="5"/>
  <c r="E150" i="5"/>
  <c r="D357" i="5"/>
  <c r="G156" i="5"/>
  <c r="C77" i="5"/>
  <c r="E141" i="5"/>
  <c r="G220" i="5"/>
  <c r="B213" i="5"/>
  <c r="D334" i="5"/>
  <c r="C199" i="5"/>
  <c r="C328" i="5"/>
  <c r="F128" i="5"/>
  <c r="G344" i="5"/>
  <c r="B344" i="5"/>
  <c r="D308" i="5"/>
  <c r="F85" i="5"/>
  <c r="F59" i="5"/>
  <c r="D81" i="5"/>
  <c r="B78" i="5"/>
  <c r="G94" i="5"/>
  <c r="C309" i="5"/>
  <c r="G253" i="5"/>
  <c r="D336" i="5"/>
  <c r="G56" i="5"/>
  <c r="B155" i="5"/>
  <c r="G167" i="5"/>
  <c r="D363" i="5"/>
  <c r="F251" i="5"/>
  <c r="D107" i="5"/>
  <c r="G358" i="5"/>
  <c r="E257" i="5"/>
  <c r="B197" i="5"/>
  <c r="D361" i="5"/>
  <c r="F208" i="5"/>
  <c r="F279" i="5"/>
  <c r="C174" i="5"/>
  <c r="D370" i="5"/>
  <c r="E39" i="12" s="1"/>
  <c r="F210" i="5"/>
  <c r="G166" i="5"/>
  <c r="B96" i="5"/>
  <c r="D305" i="5"/>
  <c r="C371" i="5"/>
  <c r="E248" i="5"/>
  <c r="D354" i="5"/>
  <c r="E195" i="5"/>
  <c r="G228" i="5"/>
  <c r="D351" i="5"/>
  <c r="E255" i="5"/>
  <c r="C363" i="5"/>
  <c r="B324" i="5"/>
  <c r="F123" i="5"/>
  <c r="C262" i="5"/>
  <c r="E151" i="5"/>
  <c r="C150" i="5"/>
  <c r="B225" i="5"/>
  <c r="G114" i="5"/>
  <c r="E316" i="5"/>
  <c r="C149" i="5"/>
  <c r="D200" i="5"/>
  <c r="F193" i="5"/>
  <c r="D133" i="5"/>
  <c r="C260" i="5"/>
  <c r="B173" i="5"/>
  <c r="C308" i="5"/>
  <c r="G81" i="5"/>
  <c r="G213" i="5"/>
  <c r="C261" i="5"/>
  <c r="F192" i="5"/>
  <c r="E258" i="5"/>
  <c r="D242" i="5"/>
  <c r="D294" i="5"/>
  <c r="B373" i="5"/>
  <c r="E296" i="5"/>
  <c r="F343" i="5"/>
  <c r="C121" i="5"/>
  <c r="G96" i="5"/>
  <c r="F229" i="5"/>
  <c r="F319" i="5"/>
  <c r="D175" i="5"/>
  <c r="D231" i="5"/>
  <c r="B220" i="5"/>
  <c r="C231" i="5"/>
  <c r="F228" i="5"/>
  <c r="B158" i="5"/>
  <c r="D134" i="5"/>
  <c r="G139" i="5"/>
  <c r="D320" i="5"/>
  <c r="B363" i="5"/>
  <c r="E254" i="5"/>
  <c r="D227" i="5"/>
  <c r="F338" i="5"/>
  <c r="G272" i="5"/>
  <c r="D208" i="5"/>
  <c r="C112" i="5"/>
  <c r="D201" i="5"/>
  <c r="B255" i="5"/>
  <c r="F96" i="5"/>
  <c r="E116" i="5"/>
  <c r="B358" i="5"/>
  <c r="F140" i="5"/>
  <c r="B250" i="5"/>
  <c r="D257" i="5"/>
  <c r="E358" i="5"/>
  <c r="F360" i="5"/>
  <c r="G218" i="5"/>
  <c r="D114" i="5"/>
  <c r="C216" i="5"/>
  <c r="F80" i="5"/>
  <c r="F266" i="5"/>
  <c r="G176" i="5"/>
  <c r="D173" i="5"/>
  <c r="C322" i="5"/>
  <c r="B265" i="5"/>
  <c r="B93" i="5"/>
  <c r="E360" i="5"/>
  <c r="G302" i="5"/>
  <c r="E194" i="5"/>
  <c r="B266" i="5"/>
  <c r="F199" i="5"/>
  <c r="E48" i="5"/>
  <c r="B367" i="5"/>
  <c r="G340" i="5"/>
  <c r="E256" i="5"/>
  <c r="G325" i="5"/>
  <c r="C299" i="5"/>
  <c r="G125" i="5"/>
  <c r="G206" i="5"/>
  <c r="D284" i="5"/>
  <c r="B362" i="5"/>
  <c r="B67" i="5"/>
  <c r="B328" i="5"/>
  <c r="E367" i="5"/>
  <c r="D223" i="5"/>
  <c r="E317" i="5"/>
  <c r="G180" i="5"/>
  <c r="E276" i="5"/>
  <c r="B50" i="5"/>
  <c r="E149" i="5"/>
  <c r="G158" i="5"/>
  <c r="E340" i="5"/>
  <c r="C253" i="5"/>
  <c r="C301" i="5"/>
  <c r="C353" i="5"/>
  <c r="B113" i="5"/>
  <c r="D122" i="5"/>
  <c r="F141" i="5"/>
  <c r="D360" i="5"/>
  <c r="F54" i="5"/>
  <c r="E259" i="5"/>
  <c r="B118" i="5"/>
  <c r="B326" i="5"/>
  <c r="F68" i="5"/>
  <c r="E352" i="5"/>
  <c r="C65" i="5"/>
  <c r="G261" i="5"/>
  <c r="C148" i="5"/>
  <c r="D106" i="5"/>
  <c r="F220" i="5"/>
  <c r="C340" i="5"/>
  <c r="C142" i="5"/>
  <c r="E97" i="5"/>
  <c r="D216" i="5"/>
  <c r="D125" i="5"/>
  <c r="B366" i="5"/>
  <c r="F145" i="5"/>
  <c r="G333" i="5"/>
  <c r="G57" i="5"/>
  <c r="B95" i="5"/>
  <c r="B277" i="5"/>
  <c r="F276" i="5"/>
  <c r="B353" i="5"/>
  <c r="F180" i="5"/>
  <c r="D281" i="5"/>
  <c r="F232" i="5"/>
  <c r="D287" i="5"/>
  <c r="F256" i="5"/>
  <c r="D236" i="5"/>
  <c r="F64" i="5"/>
  <c r="C130" i="5"/>
  <c r="B144" i="5"/>
  <c r="B303" i="5"/>
  <c r="D292" i="5"/>
  <c r="B356" i="5"/>
  <c r="D321" i="5"/>
  <c r="B131" i="5"/>
  <c r="G212" i="5"/>
  <c r="F362" i="5"/>
  <c r="G78" i="5"/>
  <c r="B281" i="5"/>
  <c r="D309" i="5"/>
  <c r="B42" i="5"/>
  <c r="D261" i="5"/>
  <c r="F231" i="5"/>
  <c r="G59" i="5"/>
  <c r="F369" i="5"/>
  <c r="AE8" i="19" s="1"/>
  <c r="B53" i="5"/>
  <c r="G324" i="5"/>
  <c r="E46" i="5"/>
  <c r="D59" i="5"/>
  <c r="C238" i="5"/>
  <c r="G297" i="5"/>
  <c r="C286" i="5"/>
  <c r="F221" i="5"/>
  <c r="F326" i="5"/>
  <c r="G283" i="5"/>
  <c r="D282" i="5"/>
  <c r="C332" i="5"/>
  <c r="E364" i="5"/>
  <c r="F104" i="5"/>
  <c r="F273" i="5"/>
  <c r="E273" i="5"/>
  <c r="E252" i="5"/>
  <c r="G267" i="5"/>
  <c r="F235" i="5"/>
  <c r="D335" i="5"/>
  <c r="G370" i="5"/>
  <c r="D318" i="5"/>
  <c r="F368" i="5"/>
  <c r="E309" i="5"/>
  <c r="G326" i="5"/>
  <c r="E164" i="5"/>
  <c r="D215" i="5"/>
  <c r="D263" i="5"/>
  <c r="B160" i="5"/>
  <c r="B128" i="5"/>
  <c r="C245" i="5"/>
  <c r="B343" i="5"/>
  <c r="F168" i="5"/>
  <c r="G279" i="5"/>
  <c r="F292" i="5"/>
  <c r="F238" i="5"/>
  <c r="B190" i="5"/>
  <c r="F99" i="5"/>
  <c r="C327" i="5"/>
  <c r="B176" i="5"/>
  <c r="F354" i="5"/>
  <c r="F82" i="5"/>
  <c r="D229" i="5"/>
  <c r="D322" i="5"/>
  <c r="C225" i="5"/>
  <c r="F137" i="5"/>
  <c r="E345" i="5"/>
  <c r="B215" i="5"/>
  <c r="C254" i="5"/>
  <c r="G323" i="5"/>
  <c r="B110" i="5"/>
  <c r="D73" i="5"/>
  <c r="F52" i="5"/>
  <c r="B228" i="5"/>
  <c r="F196" i="5"/>
  <c r="B142" i="5"/>
  <c r="G155" i="5"/>
  <c r="G126" i="5"/>
  <c r="F261" i="5"/>
  <c r="E94" i="5"/>
  <c r="C215" i="5"/>
  <c r="C343" i="5"/>
  <c r="F278" i="5"/>
  <c r="C334" i="5"/>
  <c r="G292" i="5"/>
  <c r="F330" i="5"/>
  <c r="D268" i="5"/>
  <c r="C194" i="5"/>
  <c r="B100" i="5"/>
  <c r="D266" i="5"/>
  <c r="C317" i="5"/>
  <c r="E180" i="5"/>
  <c r="D187" i="5"/>
  <c r="G104" i="5"/>
  <c r="G144" i="5"/>
  <c r="C235" i="5"/>
  <c r="F306" i="5"/>
  <c r="C160" i="5"/>
  <c r="C109" i="5"/>
  <c r="C306" i="5"/>
  <c r="G309" i="5"/>
  <c r="D96" i="5"/>
  <c r="E110" i="5"/>
  <c r="B248" i="5"/>
  <c r="C50" i="5"/>
  <c r="F289" i="5"/>
  <c r="B256" i="5"/>
  <c r="B62" i="5"/>
  <c r="B76" i="5"/>
  <c r="E137" i="5"/>
  <c r="E294" i="5"/>
  <c r="E226" i="5"/>
  <c r="G301" i="5"/>
  <c r="E282" i="5"/>
  <c r="B201" i="5"/>
  <c r="E87" i="5"/>
  <c r="E238" i="5"/>
  <c r="B180" i="5"/>
  <c r="E283" i="5"/>
  <c r="F264" i="5"/>
  <c r="B121" i="5"/>
  <c r="E99" i="5"/>
  <c r="G98" i="5"/>
  <c r="F275" i="5"/>
  <c r="E173" i="5"/>
  <c r="D344" i="5"/>
  <c r="E57" i="5"/>
  <c r="E272" i="5"/>
  <c r="G372" i="5"/>
  <c r="D267" i="5"/>
  <c r="D324" i="5"/>
  <c r="B44" i="5"/>
  <c r="D295" i="5"/>
  <c r="F169" i="5"/>
  <c r="D49" i="5"/>
  <c r="F42" i="5"/>
  <c r="E162" i="5"/>
  <c r="D249" i="5"/>
  <c r="G265" i="5"/>
  <c r="B315" i="5"/>
  <c r="G368" i="5"/>
  <c r="C369" i="5"/>
  <c r="Z9" i="19" s="1"/>
  <c r="E289" i="5"/>
  <c r="B125" i="5"/>
  <c r="D80" i="5"/>
  <c r="E104" i="5"/>
  <c r="G64" i="5"/>
  <c r="D218" i="5"/>
  <c r="G153" i="5"/>
  <c r="E175" i="5"/>
  <c r="C237" i="5"/>
  <c r="C266" i="5"/>
  <c r="E295" i="5"/>
  <c r="G76" i="5"/>
  <c r="F296" i="5"/>
  <c r="F341" i="5"/>
  <c r="F117" i="5"/>
  <c r="C370" i="5"/>
  <c r="E38" i="12" s="1"/>
  <c r="G169" i="5"/>
  <c r="E249" i="5"/>
  <c r="C206" i="5"/>
  <c r="B174" i="5"/>
  <c r="E339" i="5"/>
  <c r="G152" i="5"/>
  <c r="G312" i="5"/>
  <c r="C74" i="5"/>
  <c r="E227" i="5"/>
  <c r="E329" i="5"/>
  <c r="D342" i="5"/>
  <c r="E286" i="5"/>
  <c r="B264" i="5"/>
  <c r="G90" i="5"/>
  <c r="D273" i="5"/>
  <c r="B251" i="5"/>
  <c r="G241" i="5"/>
  <c r="F316" i="5"/>
  <c r="G142" i="5"/>
  <c r="F253" i="5"/>
  <c r="F171" i="5"/>
  <c r="C289" i="5"/>
  <c r="G294" i="5"/>
  <c r="D297" i="5"/>
  <c r="G291" i="5"/>
  <c r="C202" i="5"/>
  <c r="G105" i="5"/>
  <c r="D161" i="5"/>
  <c r="E287" i="5"/>
  <c r="D167" i="5"/>
  <c r="F352" i="5"/>
  <c r="G161" i="5"/>
  <c r="E303" i="5"/>
  <c r="C86" i="5"/>
  <c r="E334" i="5"/>
  <c r="C108" i="5"/>
  <c r="B49" i="5"/>
  <c r="B232" i="5"/>
  <c r="G269" i="5"/>
  <c r="C232" i="5"/>
  <c r="F157" i="5"/>
  <c r="D255" i="5"/>
  <c r="G249" i="5"/>
  <c r="G289" i="5"/>
  <c r="F357" i="5"/>
  <c r="E346" i="5"/>
  <c r="C115" i="5"/>
  <c r="C143" i="5"/>
  <c r="G110" i="5"/>
  <c r="F361" i="5"/>
  <c r="G328" i="5"/>
  <c r="C333" i="5"/>
  <c r="G300" i="5"/>
  <c r="D356" i="5"/>
  <c r="G204" i="5"/>
  <c r="G238" i="5"/>
  <c r="C323" i="5"/>
  <c r="D103" i="5"/>
  <c r="D306" i="5"/>
  <c r="C110" i="5"/>
  <c r="C341" i="5"/>
  <c r="D60" i="5"/>
  <c r="F58" i="5"/>
  <c r="E47" i="5"/>
  <c r="B135" i="5"/>
  <c r="D194" i="5"/>
  <c r="D155" i="5"/>
  <c r="G277" i="5"/>
  <c r="B290" i="5"/>
  <c r="B156" i="5"/>
  <c r="C81" i="5"/>
  <c r="F332" i="5"/>
  <c r="D368" i="5"/>
  <c r="E198" i="5"/>
  <c r="E92" i="5"/>
  <c r="F77" i="5"/>
  <c r="E67" i="5"/>
  <c r="D259" i="5"/>
  <c r="B269" i="5"/>
  <c r="C182" i="5"/>
  <c r="F69" i="5"/>
  <c r="F277" i="5"/>
  <c r="B240" i="5"/>
  <c r="E304" i="5"/>
  <c r="D124" i="5"/>
  <c r="D348" i="5"/>
  <c r="F135" i="5"/>
  <c r="B181" i="5"/>
  <c r="D158" i="5"/>
  <c r="F262" i="5"/>
  <c r="E232" i="5"/>
  <c r="C274" i="5"/>
  <c r="F159" i="5"/>
  <c r="E331" i="5"/>
  <c r="G67" i="5"/>
  <c r="F223" i="5"/>
  <c r="D300" i="5"/>
  <c r="G336" i="5"/>
  <c r="C326" i="5"/>
  <c r="B330" i="5"/>
  <c r="D211" i="5"/>
  <c r="D89" i="5"/>
  <c r="D298" i="5"/>
  <c r="F260" i="5"/>
  <c r="E207" i="5"/>
  <c r="C241" i="5"/>
  <c r="C144" i="5"/>
  <c r="B86" i="5"/>
  <c r="G356" i="5"/>
  <c r="C230" i="5"/>
  <c r="B300" i="5"/>
  <c r="D325" i="5"/>
  <c r="E241" i="5"/>
  <c r="E53" i="5"/>
  <c r="B166" i="5"/>
  <c r="C184" i="5"/>
  <c r="C78" i="5"/>
  <c r="B61" i="5"/>
  <c r="B257" i="5"/>
  <c r="F103" i="5"/>
  <c r="D352" i="5"/>
  <c r="F190" i="5"/>
  <c r="E362" i="5"/>
  <c r="C63" i="5"/>
  <c r="C277" i="5"/>
  <c r="E224" i="5"/>
  <c r="B354" i="5"/>
  <c r="G252" i="5"/>
  <c r="G230" i="5"/>
  <c r="C47" i="5"/>
  <c r="D84" i="5"/>
  <c r="B237" i="5"/>
  <c r="C356" i="5"/>
  <c r="G365" i="5"/>
  <c r="C347" i="5"/>
  <c r="E320" i="5"/>
  <c r="G360" i="5"/>
  <c r="E190" i="5"/>
  <c r="C361" i="5"/>
  <c r="E278" i="5"/>
  <c r="G201" i="5"/>
  <c r="D190" i="5"/>
  <c r="D43" i="5"/>
  <c r="D101" i="5"/>
  <c r="E370" i="5"/>
  <c r="E40" i="12" s="1"/>
  <c r="E63" i="5"/>
  <c r="F359" i="5"/>
  <c r="C60" i="5"/>
  <c r="B230" i="5"/>
  <c r="D235" i="5"/>
  <c r="D149" i="5"/>
  <c r="F51" i="5"/>
  <c r="D85" i="5"/>
  <c r="G128" i="5"/>
  <c r="D355" i="5"/>
  <c r="D99" i="5"/>
  <c r="F224" i="5"/>
  <c r="F152" i="5"/>
  <c r="C204" i="5"/>
  <c r="E222" i="5"/>
  <c r="G85" i="5"/>
  <c r="E243" i="5"/>
  <c r="C138" i="5"/>
  <c r="D168" i="5"/>
  <c r="B351" i="5"/>
  <c r="E64" i="5"/>
  <c r="G49" i="5"/>
  <c r="G193" i="5"/>
  <c r="D128" i="5"/>
  <c r="D104" i="5"/>
  <c r="D239" i="5"/>
  <c r="B233" i="5"/>
  <c r="G346" i="5"/>
  <c r="F363" i="5"/>
  <c r="E298" i="5"/>
  <c r="G293" i="5"/>
  <c r="B278" i="5"/>
  <c r="B295" i="5"/>
  <c r="F321" i="5"/>
  <c r="F284" i="5"/>
  <c r="G359" i="5"/>
  <c r="E324" i="5"/>
  <c r="B179" i="5"/>
  <c r="F300" i="5"/>
  <c r="E72" i="5"/>
  <c r="C161" i="5"/>
  <c r="C80" i="5"/>
  <c r="D369" i="5"/>
  <c r="Z11" i="19" s="1"/>
  <c r="F217" i="5"/>
  <c r="D289" i="5"/>
  <c r="E75" i="5"/>
  <c r="C85" i="5"/>
  <c r="D250" i="5"/>
  <c r="D226" i="5"/>
  <c r="C295" i="5"/>
  <c r="B319" i="5"/>
  <c r="E78" i="5"/>
  <c r="D314" i="5"/>
  <c r="G187" i="5"/>
  <c r="G177" i="5"/>
  <c r="B288" i="5"/>
  <c r="D203" i="5"/>
  <c r="C319" i="5"/>
  <c r="G93" i="5"/>
  <c r="C201" i="5"/>
  <c r="G286" i="5"/>
  <c r="G209" i="5"/>
  <c r="F246" i="5"/>
  <c r="D178" i="5"/>
  <c r="C137" i="5"/>
  <c r="B285" i="5"/>
  <c r="C92" i="5"/>
  <c r="C247" i="5"/>
  <c r="E265" i="5"/>
  <c r="B318" i="5"/>
  <c r="F90" i="5"/>
  <c r="B361" i="5"/>
  <c r="F218" i="5"/>
  <c r="F207" i="5"/>
  <c r="D46" i="5"/>
  <c r="D153" i="5"/>
  <c r="D329" i="5"/>
  <c r="C145" i="5"/>
  <c r="B236" i="5"/>
  <c r="E209" i="5"/>
  <c r="C124" i="5"/>
  <c r="F74" i="5"/>
  <c r="D270" i="5"/>
  <c r="G270" i="5"/>
  <c r="E326" i="5"/>
  <c r="C364" i="5"/>
  <c r="F67" i="5"/>
  <c r="F61" i="5"/>
  <c r="B21" i="5"/>
  <c r="H39" i="12" l="1"/>
  <c r="Z13" i="19"/>
  <c r="BV125" i="12" s="1"/>
  <c r="AE10" i="19"/>
  <c r="CB122" i="12" s="1"/>
  <c r="AO52" i="19"/>
  <c r="AO252" i="19" s="1"/>
  <c r="AG37" i="12"/>
  <c r="AR4559" i="5"/>
  <c r="AU4553" i="5" s="1"/>
  <c r="AG38" i="12"/>
  <c r="AO53" i="19"/>
  <c r="AO253" i="19" s="1"/>
  <c r="AJ39" i="12"/>
  <c r="AU53" i="19"/>
  <c r="AU253" i="19" s="1"/>
  <c r="AJ38" i="12"/>
  <c r="AU52" i="19"/>
  <c r="AU252" i="19" s="1"/>
  <c r="AG40" i="12"/>
  <c r="AO55" i="19"/>
  <c r="AO255" i="19" s="1"/>
  <c r="AJ40" i="12"/>
  <c r="AU54" i="19"/>
  <c r="AU254" i="19" s="1"/>
  <c r="AO54" i="19"/>
  <c r="AO254" i="19" s="1"/>
  <c r="AG39" i="12"/>
  <c r="CF3" i="16"/>
  <c r="BV121" i="12"/>
  <c r="Z209" i="19"/>
  <c r="W53" i="19"/>
  <c r="W253" i="19" s="1"/>
  <c r="V39" i="12"/>
  <c r="L38" i="12"/>
  <c r="E53" i="19"/>
  <c r="E253" i="19" s="1"/>
  <c r="W52" i="19"/>
  <c r="W252" i="19" s="1"/>
  <c r="V38" i="12"/>
  <c r="V40" i="12"/>
  <c r="W54" i="19"/>
  <c r="W254" i="19" s="1"/>
  <c r="S37" i="12"/>
  <c r="Q52" i="19"/>
  <c r="Q252" i="19" s="1"/>
  <c r="L40" i="12"/>
  <c r="E55" i="19"/>
  <c r="E255" i="19" s="1"/>
  <c r="CF4" i="16"/>
  <c r="BV123" i="12"/>
  <c r="Z211" i="19"/>
  <c r="Z37" i="12"/>
  <c r="AC52" i="19"/>
  <c r="AC252" i="19" s="1"/>
  <c r="Z207" i="19"/>
  <c r="BV119" i="12"/>
  <c r="K53" i="19"/>
  <c r="CN7" i="16" s="1"/>
  <c r="O39" i="12"/>
  <c r="AI54" i="19"/>
  <c r="AI254" i="19" s="1"/>
  <c r="AC40" i="12"/>
  <c r="S40" i="12"/>
  <c r="Q55" i="19"/>
  <c r="Q255" i="19" s="1"/>
  <c r="Z38" i="12"/>
  <c r="AC53" i="19"/>
  <c r="AC253" i="19" s="1"/>
  <c r="L37" i="12"/>
  <c r="E52" i="19"/>
  <c r="E252" i="19" s="1"/>
  <c r="CB124" i="12"/>
  <c r="AE212" i="19"/>
  <c r="CG7" i="16"/>
  <c r="AE208" i="19"/>
  <c r="CB120" i="12"/>
  <c r="E54" i="19"/>
  <c r="E254" i="19" s="1"/>
  <c r="L39" i="12"/>
  <c r="S38" i="12"/>
  <c r="Q53" i="19"/>
  <c r="Q253" i="19" s="1"/>
  <c r="K54" i="19"/>
  <c r="K254" i="19" s="1"/>
  <c r="CI23" i="16"/>
  <c r="CI26" i="16"/>
  <c r="O40" i="12"/>
  <c r="CI24" i="16"/>
  <c r="CI25" i="16"/>
  <c r="AC38" i="12"/>
  <c r="AI52" i="19"/>
  <c r="AI252" i="19" s="1"/>
  <c r="K52" i="19"/>
  <c r="CM7" i="16" s="1"/>
  <c r="O38" i="12"/>
  <c r="AI53" i="19"/>
  <c r="AI253" i="19" s="1"/>
  <c r="AC39" i="12"/>
  <c r="Z40" i="12"/>
  <c r="AC55" i="19"/>
  <c r="AC255" i="19" s="1"/>
  <c r="AC54" i="19"/>
  <c r="AC254" i="19" s="1"/>
  <c r="Z39" i="12"/>
  <c r="S39" i="12"/>
  <c r="Q54" i="19"/>
  <c r="Q254" i="19" s="1"/>
  <c r="CI8" i="16"/>
  <c r="H40" i="12"/>
  <c r="CI19" i="16"/>
  <c r="CI17" i="16"/>
  <c r="CI11" i="16"/>
  <c r="CI9" i="16"/>
  <c r="CI10" i="16"/>
  <c r="CI21" i="16"/>
  <c r="CI16" i="16"/>
  <c r="CI15" i="16"/>
  <c r="CI12" i="16"/>
  <c r="CI22" i="16"/>
  <c r="CI14" i="16"/>
  <c r="CI20" i="16"/>
  <c r="CI13" i="16"/>
  <c r="CI18" i="16"/>
  <c r="BV305" i="16"/>
  <c r="BV304" i="16" s="1"/>
  <c r="Z213" i="19" l="1"/>
  <c r="CH7" i="16"/>
  <c r="CG2" i="16" s="1"/>
  <c r="AE210" i="19"/>
  <c r="BU311" i="16"/>
  <c r="BU312" i="16" s="1"/>
  <c r="AR4560" i="5"/>
  <c r="AY4553" i="5" s="1"/>
  <c r="CF5" i="16"/>
  <c r="BY8" i="16" s="1"/>
  <c r="BX8" i="16" s="1"/>
  <c r="U22" i="6"/>
  <c r="S22" i="6"/>
  <c r="V22" i="6"/>
  <c r="T22" i="6"/>
  <c r="O22" i="6"/>
  <c r="BA16" i="16"/>
  <c r="R79" i="19" s="1"/>
  <c r="Y228" i="19" s="1"/>
  <c r="Q22" i="6"/>
  <c r="R22" i="6"/>
  <c r="P22" i="6"/>
  <c r="BA13" i="16"/>
  <c r="R76" i="19" s="1"/>
  <c r="Y225" i="19" s="1"/>
  <c r="BA14" i="16"/>
  <c r="R77" i="19" s="1"/>
  <c r="S78" i="12" s="1"/>
  <c r="BA15" i="16"/>
  <c r="R78" i="19" s="1"/>
  <c r="S79" i="12" s="1"/>
  <c r="CI2" i="16"/>
  <c r="K253" i="19"/>
  <c r="CF2" i="16"/>
  <c r="CB3" i="16"/>
  <c r="K252" i="19"/>
  <c r="CH2" i="16"/>
  <c r="AU299" i="16"/>
  <c r="BH299" i="16"/>
  <c r="BP299" i="16"/>
  <c r="BP300" i="16" s="1"/>
  <c r="BP302" i="16"/>
  <c r="BP301" i="16" s="1"/>
  <c r="CM5" i="16" l="1"/>
  <c r="BY9" i="16"/>
  <c r="BX9" i="16" s="1"/>
  <c r="BZ9" i="16" s="1"/>
  <c r="DE347" i="10"/>
  <c r="BP298" i="16"/>
  <c r="DE345" i="10"/>
  <c r="BH300" i="16"/>
  <c r="BH298" i="16"/>
  <c r="DE338" i="10"/>
  <c r="AU300" i="16"/>
  <c r="AU298" i="16"/>
  <c r="BU310" i="16"/>
  <c r="BY20" i="16"/>
  <c r="BX20" i="16" s="1"/>
  <c r="CA20" i="16" s="1"/>
  <c r="DH347" i="10"/>
  <c r="BY16" i="16"/>
  <c r="BX16" i="16" s="1"/>
  <c r="CA16" i="16" s="1"/>
  <c r="BY15" i="16"/>
  <c r="BX15" i="16" s="1"/>
  <c r="BZ15" i="16" s="1"/>
  <c r="BY14" i="16"/>
  <c r="BX14" i="16" s="1"/>
  <c r="CA14" i="16" s="1"/>
  <c r="BY10" i="16"/>
  <c r="BX10" i="16" s="1"/>
  <c r="CA10" i="16" s="1"/>
  <c r="BY12" i="16"/>
  <c r="BX12" i="16" s="1"/>
  <c r="BZ12" i="16" s="1"/>
  <c r="BY13" i="16"/>
  <c r="BX13" i="16" s="1"/>
  <c r="BZ13" i="16" s="1"/>
  <c r="BY19" i="16"/>
  <c r="BX19" i="16" s="1"/>
  <c r="BZ19" i="16" s="1"/>
  <c r="BY17" i="16"/>
  <c r="BX17" i="16" s="1"/>
  <c r="CA17" i="16" s="1"/>
  <c r="BY18" i="16"/>
  <c r="BX18" i="16" s="1"/>
  <c r="CA18" i="16" s="1"/>
  <c r="BY11" i="16"/>
  <c r="BX11" i="16" s="1"/>
  <c r="BZ11" i="16" s="1"/>
  <c r="S80" i="12"/>
  <c r="AR4561" i="5"/>
  <c r="AV4553" i="5" s="1"/>
  <c r="Y226" i="19"/>
  <c r="S77" i="12"/>
  <c r="Y227" i="19"/>
  <c r="CA9" i="16"/>
  <c r="BZ8" i="16"/>
  <c r="CA8" i="16"/>
  <c r="CO5" i="16"/>
  <c r="CO4" i="16" s="1"/>
  <c r="CK5" i="16"/>
  <c r="CK4" i="16" s="1"/>
  <c r="CL5" i="16"/>
  <c r="CL4" i="16" s="1"/>
  <c r="CN5" i="16"/>
  <c r="CN4" i="16" s="1"/>
  <c r="CP5" i="16"/>
  <c r="CP4" i="16" s="1"/>
  <c r="BZ20" i="16" l="1"/>
  <c r="CA19" i="16"/>
  <c r="BZ14" i="16"/>
  <c r="BM14" i="16" s="1"/>
  <c r="BN14" i="16" s="1"/>
  <c r="BR14" i="16" s="1"/>
  <c r="BS14" i="16" s="1"/>
  <c r="BT14" i="16" s="1"/>
  <c r="CA13" i="16"/>
  <c r="BM13" i="16" s="1"/>
  <c r="BN13" i="16" s="1"/>
  <c r="BR13" i="16" s="1"/>
  <c r="BS13" i="16" s="1"/>
  <c r="BT13" i="16" s="1"/>
  <c r="CA15" i="16"/>
  <c r="BM15" i="16" s="1"/>
  <c r="BN15" i="16" s="1"/>
  <c r="BR15" i="16" s="1"/>
  <c r="BS15" i="16" s="1"/>
  <c r="BT15" i="16" s="1"/>
  <c r="BZ16" i="16"/>
  <c r="BM16" i="16" s="1"/>
  <c r="BN16" i="16" s="1"/>
  <c r="CA12" i="16"/>
  <c r="BZ10" i="16"/>
  <c r="BZ17" i="16"/>
  <c r="BZ18" i="16"/>
  <c r="CA11" i="16"/>
  <c r="AR4562" i="5"/>
  <c r="AQ4562" i="5" s="1"/>
  <c r="AW4553" i="5" s="1"/>
  <c r="CM4" i="16"/>
  <c r="CF20" i="16" s="1"/>
  <c r="CC20" i="16" s="1"/>
  <c r="EO338" i="10"/>
  <c r="EO337" i="10" s="1"/>
  <c r="CJ335" i="10"/>
  <c r="CD20" i="16" l="1"/>
  <c r="CJ20" i="16"/>
  <c r="AX215" i="16"/>
  <c r="CF12" i="16"/>
  <c r="CC12" i="16" s="1"/>
  <c r="CF17" i="16"/>
  <c r="CC17" i="16" s="1"/>
  <c r="CF18" i="16"/>
  <c r="CC18" i="16" s="1"/>
  <c r="CF22" i="16"/>
  <c r="CC22" i="16" s="1"/>
  <c r="CJ22" i="16" s="1"/>
  <c r="CF19" i="16"/>
  <c r="CC19" i="16" s="1"/>
  <c r="CJ19" i="16" s="1"/>
  <c r="CF13" i="16"/>
  <c r="CC13" i="16" s="1"/>
  <c r="CJ13" i="16" s="1"/>
  <c r="CF15" i="16"/>
  <c r="CC15" i="16" s="1"/>
  <c r="CF21" i="16"/>
  <c r="CC21" i="16" s="1"/>
  <c r="CF14" i="16"/>
  <c r="CC14" i="16" s="1"/>
  <c r="CF16" i="16"/>
  <c r="CC16" i="16" s="1"/>
  <c r="CJ16" i="16" s="1"/>
  <c r="CF11" i="16"/>
  <c r="CC11" i="16" s="1"/>
  <c r="CJ11" i="16" s="1"/>
  <c r="CF8" i="16"/>
  <c r="CC8" i="16" s="1"/>
  <c r="CF9" i="16"/>
  <c r="CC9" i="16" s="1"/>
  <c r="CF10" i="16"/>
  <c r="CC10" i="16" s="1"/>
  <c r="BK14" i="16"/>
  <c r="BL14" i="16" s="1"/>
  <c r="X14" i="16" s="1"/>
  <c r="BK13" i="16"/>
  <c r="BL13" i="16" s="1"/>
  <c r="X13" i="16" s="1"/>
  <c r="AR4569" i="5"/>
  <c r="CF23" i="16"/>
  <c r="CC23" i="16" s="1"/>
  <c r="CE20" i="16"/>
  <c r="BK15" i="16"/>
  <c r="BL15" i="16" s="1"/>
  <c r="X15" i="16" s="1"/>
  <c r="CF24" i="16"/>
  <c r="CC24" i="16" s="1"/>
  <c r="CF25" i="16"/>
  <c r="CC25" i="16" s="1"/>
  <c r="CJ25" i="16" s="1"/>
  <c r="CF26" i="16"/>
  <c r="CC26" i="16" s="1"/>
  <c r="CJ26" i="16" s="1"/>
  <c r="BK16" i="16"/>
  <c r="BL16" i="16" s="1"/>
  <c r="BR16" i="16"/>
  <c r="BS16" i="16" s="1"/>
  <c r="BT16" i="16" s="1"/>
  <c r="AM212" i="16"/>
  <c r="AM213" i="16" s="1"/>
  <c r="AM209" i="16"/>
  <c r="BX215" i="16"/>
  <c r="AX218" i="16"/>
  <c r="AV230" i="16"/>
  <c r="AK224" i="16"/>
  <c r="AM227" i="16"/>
  <c r="AM228" i="16" s="1"/>
  <c r="AM224" i="16"/>
  <c r="AG227" i="16"/>
  <c r="AG224" i="16"/>
  <c r="AX227" i="16"/>
  <c r="AX224" i="16"/>
  <c r="BX227" i="16"/>
  <c r="BX228" i="16" s="1"/>
  <c r="BX224" i="16"/>
  <c r="AV236" i="16"/>
  <c r="AV233" i="16"/>
  <c r="BX257" i="16"/>
  <c r="BX258" i="16" s="1"/>
  <c r="BX254" i="16"/>
  <c r="AJ224" i="16"/>
  <c r="BX251" i="16"/>
  <c r="AX217" i="16" l="1"/>
  <c r="AX216" i="16" s="1"/>
  <c r="CD9" i="16"/>
  <c r="CJ9" i="16"/>
  <c r="CE14" i="16"/>
  <c r="CJ14" i="16"/>
  <c r="CE12" i="16"/>
  <c r="CJ12" i="16"/>
  <c r="CE8" i="16"/>
  <c r="CJ8" i="16"/>
  <c r="CD10" i="16"/>
  <c r="CJ10" i="16"/>
  <c r="CE24" i="16"/>
  <c r="CJ24" i="16"/>
  <c r="CE19" i="16"/>
  <c r="CE21" i="16"/>
  <c r="CJ21" i="16"/>
  <c r="CD15" i="16"/>
  <c r="N27" i="19" s="1"/>
  <c r="V27" i="19" s="1"/>
  <c r="CJ15" i="16"/>
  <c r="CD18" i="16"/>
  <c r="CJ18" i="16"/>
  <c r="CD23" i="16"/>
  <c r="CJ23" i="16"/>
  <c r="CD17" i="16"/>
  <c r="CJ17" i="16"/>
  <c r="X16" i="16"/>
  <c r="BD16" i="16" s="1"/>
  <c r="T79" i="19" s="1"/>
  <c r="BD14" i="16"/>
  <c r="T77" i="19" s="1"/>
  <c r="U78" i="12" s="1"/>
  <c r="BF74" i="10"/>
  <c r="BD13" i="16"/>
  <c r="T76" i="19" s="1"/>
  <c r="U77" i="12" s="1"/>
  <c r="BF73" i="10"/>
  <c r="BD15" i="16"/>
  <c r="T78" i="19" s="1"/>
  <c r="BF75" i="10"/>
  <c r="AX225" i="16"/>
  <c r="AX228" i="16"/>
  <c r="AV234" i="16"/>
  <c r="AW234" i="16" s="1"/>
  <c r="BX214" i="16"/>
  <c r="BX213" i="16"/>
  <c r="AM210" i="16"/>
  <c r="AM208" i="16"/>
  <c r="AM207" i="16" s="1"/>
  <c r="AM214" i="16"/>
  <c r="AM211" i="16"/>
  <c r="BX255" i="16"/>
  <c r="BL343" i="10" s="1"/>
  <c r="AG225" i="16"/>
  <c r="AM229" i="16"/>
  <c r="AM226" i="16"/>
  <c r="AM225" i="16" s="1"/>
  <c r="BX229" i="16"/>
  <c r="BX226" i="16"/>
  <c r="AG229" i="16"/>
  <c r="AG226" i="16"/>
  <c r="AX229" i="16"/>
  <c r="AX226" i="16"/>
  <c r="BX253" i="16"/>
  <c r="BF343" i="10" s="1"/>
  <c r="BX252" i="16"/>
  <c r="BC343" i="10" s="1"/>
  <c r="AW233" i="16"/>
  <c r="AV232" i="16"/>
  <c r="AW232" i="16" s="1"/>
  <c r="BX250" i="16"/>
  <c r="BX249" i="16"/>
  <c r="BX259" i="16"/>
  <c r="BX256" i="16"/>
  <c r="AV238" i="16"/>
  <c r="AW238" i="16" s="1"/>
  <c r="AV235" i="16"/>
  <c r="AW235" i="16" s="1"/>
  <c r="AV231" i="16"/>
  <c r="AW231" i="16" s="1"/>
  <c r="AG228" i="16"/>
  <c r="AW230" i="16"/>
  <c r="CE9" i="16"/>
  <c r="BB14" i="16"/>
  <c r="U77" i="19" s="1"/>
  <c r="CD12" i="16"/>
  <c r="CD19" i="16"/>
  <c r="BY227" i="16"/>
  <c r="CD14" i="16"/>
  <c r="N26" i="19" s="1"/>
  <c r="N226" i="19" s="1"/>
  <c r="V226" i="19" s="1"/>
  <c r="CE17" i="16"/>
  <c r="CE13" i="16"/>
  <c r="BB13" i="16" s="1"/>
  <c r="U76" i="19" s="1"/>
  <c r="CE18" i="16"/>
  <c r="CE15" i="16"/>
  <c r="CD21" i="16"/>
  <c r="CE22" i="16"/>
  <c r="CD22" i="16"/>
  <c r="CE11" i="16"/>
  <c r="CD13" i="16"/>
  <c r="N25" i="19" s="1"/>
  <c r="BI136" i="12" s="1"/>
  <c r="BQ136" i="12" s="1"/>
  <c r="CD16" i="16"/>
  <c r="CE10" i="16"/>
  <c r="CE16" i="16"/>
  <c r="BB16" i="16" s="1"/>
  <c r="U79" i="19" s="1"/>
  <c r="CD8" i="16"/>
  <c r="CD11" i="16"/>
  <c r="CD25" i="16"/>
  <c r="CE23" i="16"/>
  <c r="AR4570" i="5"/>
  <c r="AQ4570" i="5" s="1"/>
  <c r="AT4565" i="5" s="1"/>
  <c r="AX4565" i="5" s="1"/>
  <c r="CE25" i="16"/>
  <c r="CD24" i="16"/>
  <c r="CE26" i="16"/>
  <c r="CD26" i="16"/>
  <c r="BS308" i="16"/>
  <c r="AT296" i="16"/>
  <c r="BW296" i="16"/>
  <c r="BW295" i="16" s="1"/>
  <c r="BP296" i="16"/>
  <c r="BP297" i="16" s="1"/>
  <c r="BX225" i="16"/>
  <c r="AV237" i="16"/>
  <c r="AW237" i="16" s="1"/>
  <c r="AW236" i="16"/>
  <c r="BK302" i="16"/>
  <c r="BK301" i="16" s="1"/>
  <c r="BH290" i="16"/>
  <c r="BM290" i="16"/>
  <c r="BV287" i="16"/>
  <c r="BP288" i="16"/>
  <c r="FG347" i="10" s="1"/>
  <c r="FI347" i="10" s="1"/>
  <c r="BP290" i="16"/>
  <c r="BP289" i="16" s="1"/>
  <c r="BK290" i="16"/>
  <c r="BK289" i="16" s="1"/>
  <c r="BV293" i="16"/>
  <c r="BW284" i="16"/>
  <c r="BS303" i="16"/>
  <c r="BS305" i="16"/>
  <c r="BK296" i="16"/>
  <c r="AV368" i="16"/>
  <c r="AG371" i="16"/>
  <c r="AG372" i="16" s="1"/>
  <c r="AG368" i="16"/>
  <c r="BV279" i="16"/>
  <c r="BV281" i="16"/>
  <c r="BO263" i="16"/>
  <c r="BW264" i="16"/>
  <c r="BW266" i="16"/>
  <c r="BK269" i="16"/>
  <c r="BK268" i="16" s="1"/>
  <c r="BM285" i="16"/>
  <c r="BM287" i="16"/>
  <c r="BM286" i="16" s="1"/>
  <c r="AV362" i="16"/>
  <c r="BM264" i="16"/>
  <c r="BM266" i="16"/>
  <c r="BH261" i="16"/>
  <c r="BH263" i="16"/>
  <c r="BP258" i="16"/>
  <c r="BP260" i="16"/>
  <c r="BU275" i="16"/>
  <c r="BU274" i="16" s="1"/>
  <c r="BO269" i="16"/>
  <c r="BP264" i="16"/>
  <c r="BP266" i="16"/>
  <c r="BP265" i="16" s="1"/>
  <c r="AG311" i="16"/>
  <c r="AG308" i="16"/>
  <c r="AK305" i="16"/>
  <c r="AK344" i="16"/>
  <c r="AK345" i="16" s="1"/>
  <c r="AK341" i="16"/>
  <c r="AX341" i="16"/>
  <c r="AX342" i="16" s="1"/>
  <c r="AX338" i="16"/>
  <c r="ER331" i="10" s="1"/>
  <c r="AV353" i="16"/>
  <c r="BU278" i="16"/>
  <c r="AK314" i="16"/>
  <c r="AK315" i="16" s="1"/>
  <c r="AK311" i="16"/>
  <c r="AU279" i="16"/>
  <c r="EF338" i="10" s="1"/>
  <c r="EF337" i="10" s="1"/>
  <c r="AU281" i="16"/>
  <c r="AU280" i="16" s="1"/>
  <c r="BX323" i="16"/>
  <c r="BX324" i="16" s="1"/>
  <c r="BX320" i="16"/>
  <c r="BU272" i="16"/>
  <c r="BU271" i="16" s="1"/>
  <c r="BK278" i="16"/>
  <c r="BK277" i="16" s="1"/>
  <c r="AT266" i="16"/>
  <c r="AM347" i="16"/>
  <c r="AM344" i="16"/>
  <c r="AG341" i="16"/>
  <c r="AG342" i="16" s="1"/>
  <c r="AG338" i="16"/>
  <c r="AV365" i="16"/>
  <c r="BM272" i="16"/>
  <c r="BM271" i="16" s="1"/>
  <c r="AG320" i="16"/>
  <c r="AG317" i="16"/>
  <c r="BK275" i="16"/>
  <c r="BK274" i="16" s="1"/>
  <c r="BK284" i="16"/>
  <c r="BK283" i="16" s="1"/>
  <c r="AV359" i="16"/>
  <c r="AV356" i="16"/>
  <c r="BV257" i="16"/>
  <c r="BO343" i="10"/>
  <c r="AZ343" i="10"/>
  <c r="BI343" i="10"/>
  <c r="BF76" i="10" l="1"/>
  <c r="N227" i="19"/>
  <c r="V227" i="19" s="1"/>
  <c r="N28" i="19"/>
  <c r="N228" i="19" s="1"/>
  <c r="V228" i="19" s="1"/>
  <c r="N225" i="19"/>
  <c r="V225" i="19" s="1"/>
  <c r="V25" i="19"/>
  <c r="V26" i="19"/>
  <c r="BI138" i="12"/>
  <c r="BQ138" i="12" s="1"/>
  <c r="AC226" i="19"/>
  <c r="BI137" i="12"/>
  <c r="BQ137" i="12" s="1"/>
  <c r="AC225" i="19"/>
  <c r="U79" i="12"/>
  <c r="AC227" i="19"/>
  <c r="AV355" i="16"/>
  <c r="AW355" i="16" s="1"/>
  <c r="BS307" i="16"/>
  <c r="BS309" i="16"/>
  <c r="AT295" i="16"/>
  <c r="AT297" i="16"/>
  <c r="AV357" i="16"/>
  <c r="AW357" i="16" s="1"/>
  <c r="AV366" i="16"/>
  <c r="AW366" i="16" s="1"/>
  <c r="CM338" i="10"/>
  <c r="BM289" i="16"/>
  <c r="BM291" i="16"/>
  <c r="BX347" i="10"/>
  <c r="BO270" i="16"/>
  <c r="BO268" i="16"/>
  <c r="BR347" i="10"/>
  <c r="BP259" i="16"/>
  <c r="BP261" i="16"/>
  <c r="BM267" i="16"/>
  <c r="BM265" i="16"/>
  <c r="BW265" i="16"/>
  <c r="BW267" i="16"/>
  <c r="BV282" i="16"/>
  <c r="BV280" i="16"/>
  <c r="BW283" i="16"/>
  <c r="BM288" i="16"/>
  <c r="DB347" i="10"/>
  <c r="BP295" i="16"/>
  <c r="AT265" i="16"/>
  <c r="BU279" i="16"/>
  <c r="BU277" i="16"/>
  <c r="BU276" i="16" s="1"/>
  <c r="BV258" i="16"/>
  <c r="BV256" i="16"/>
  <c r="CV347" i="10"/>
  <c r="BS306" i="16"/>
  <c r="BS304" i="16"/>
  <c r="BV288" i="16"/>
  <c r="BV286" i="16"/>
  <c r="CV345" i="10"/>
  <c r="BH289" i="16"/>
  <c r="AT267" i="16"/>
  <c r="BU345" i="10"/>
  <c r="BH262" i="16"/>
  <c r="BO262" i="16"/>
  <c r="BO264" i="16"/>
  <c r="BK297" i="16"/>
  <c r="BK295" i="16"/>
  <c r="BV294" i="16"/>
  <c r="BV292" i="16"/>
  <c r="BM273" i="16"/>
  <c r="AW365" i="16"/>
  <c r="AV364" i="16"/>
  <c r="EU331" i="10"/>
  <c r="AX343" i="16"/>
  <c r="EX331" i="10" s="1"/>
  <c r="AX340" i="16"/>
  <c r="AW362" i="16"/>
  <c r="AV361" i="16"/>
  <c r="AW361" i="16" s="1"/>
  <c r="AM345" i="16"/>
  <c r="AW353" i="16"/>
  <c r="AV352" i="16"/>
  <c r="AX339" i="16"/>
  <c r="AG339" i="16"/>
  <c r="AW368" i="16"/>
  <c r="AV370" i="16"/>
  <c r="AW370" i="16" s="1"/>
  <c r="AV367" i="16"/>
  <c r="AW367" i="16" s="1"/>
  <c r="AG369" i="16"/>
  <c r="AW359" i="16"/>
  <c r="AV358" i="16"/>
  <c r="AW358" i="16" s="1"/>
  <c r="AM349" i="16"/>
  <c r="AM346" i="16"/>
  <c r="AV360" i="16"/>
  <c r="AW360" i="16" s="1"/>
  <c r="FM332" i="10" s="1"/>
  <c r="AG343" i="16"/>
  <c r="AG340" i="16"/>
  <c r="AM348" i="16"/>
  <c r="AK342" i="16"/>
  <c r="BX321" i="16"/>
  <c r="AK346" i="16"/>
  <c r="AK343" i="16"/>
  <c r="AG310" i="16"/>
  <c r="AG373" i="16"/>
  <c r="AG370" i="16"/>
  <c r="AV369" i="16"/>
  <c r="AW369" i="16" s="1"/>
  <c r="FV332" i="10" s="1"/>
  <c r="AG309" i="16"/>
  <c r="EC343" i="10"/>
  <c r="BY226" i="16"/>
  <c r="AK312" i="16"/>
  <c r="AG318" i="16"/>
  <c r="AT343" i="10"/>
  <c r="AG322" i="16"/>
  <c r="AG319" i="16"/>
  <c r="BX325" i="16"/>
  <c r="BX322" i="16"/>
  <c r="AK316" i="16"/>
  <c r="AK313" i="16"/>
  <c r="AW343" i="10"/>
  <c r="AG321" i="16"/>
  <c r="DZ343" i="10"/>
  <c r="V77" i="12"/>
  <c r="AE225" i="19"/>
  <c r="V78" i="12"/>
  <c r="AE226" i="19"/>
  <c r="V80" i="12"/>
  <c r="AE228" i="19"/>
  <c r="BB15" i="16"/>
  <c r="U78" i="19" s="1"/>
  <c r="AR4571" i="5"/>
  <c r="AU4565" i="5" s="1"/>
  <c r="U80" i="12"/>
  <c r="AC228" i="19"/>
  <c r="BK291" i="16"/>
  <c r="AJ341" i="16"/>
  <c r="AK275" i="16"/>
  <c r="AG299" i="16"/>
  <c r="AG296" i="16"/>
  <c r="BK276" i="16"/>
  <c r="AL389" i="16"/>
  <c r="AL386" i="16"/>
  <c r="AM299" i="16"/>
  <c r="AM300" i="16" s="1"/>
  <c r="AM296" i="16"/>
  <c r="AV354" i="16"/>
  <c r="AW354" i="16" s="1"/>
  <c r="FG332" i="10" s="1"/>
  <c r="FG331" i="10" s="1"/>
  <c r="AW356" i="16"/>
  <c r="BU273" i="16"/>
  <c r="AF380" i="16"/>
  <c r="AF377" i="16"/>
  <c r="V28" i="19" l="1"/>
  <c r="BI139" i="12"/>
  <c r="BQ139" i="12" s="1"/>
  <c r="FJ332" i="10"/>
  <c r="FJ331" i="10" s="1"/>
  <c r="FS332" i="10"/>
  <c r="AG297" i="16"/>
  <c r="AG300" i="16"/>
  <c r="AV351" i="16"/>
  <c r="AW351" i="16" s="1"/>
  <c r="FD332" i="10" s="1"/>
  <c r="FD331" i="10" s="1"/>
  <c r="AW352" i="16"/>
  <c r="AV363" i="16"/>
  <c r="AW363" i="16" s="1"/>
  <c r="FP332" i="10" s="1"/>
  <c r="AW364" i="16"/>
  <c r="AF378" i="16"/>
  <c r="AM301" i="16"/>
  <c r="AM298" i="16"/>
  <c r="AM297" i="16"/>
  <c r="AF382" i="16"/>
  <c r="AF379" i="16"/>
  <c r="AF381" i="16"/>
  <c r="AL388" i="16"/>
  <c r="AG301" i="16"/>
  <c r="AG298" i="16"/>
  <c r="AL387" i="16"/>
  <c r="V79" i="12"/>
  <c r="AE227" i="19"/>
  <c r="AR4572" i="5"/>
  <c r="AY4565" i="5" s="1"/>
  <c r="BY245" i="16"/>
  <c r="AK302" i="16"/>
  <c r="AU246" i="16"/>
  <c r="AK338" i="10" s="1"/>
  <c r="AU248" i="16"/>
  <c r="AQ338" i="10" l="1"/>
  <c r="AU247" i="16"/>
  <c r="AN338" i="10" s="1"/>
  <c r="AK303" i="16"/>
  <c r="AK304" i="16"/>
  <c r="AJ343" i="10"/>
  <c r="AR4573" i="5"/>
  <c r="AV4565" i="5" s="1"/>
  <c r="AR4574" i="5"/>
  <c r="AQ4574" i="5" s="1"/>
  <c r="AW4565" i="5" s="1"/>
  <c r="E41" i="5" s="1"/>
  <c r="BY251" i="16"/>
  <c r="FY345" i="10"/>
  <c r="GA345" i="10" s="1"/>
  <c r="BB343" i="10" l="1"/>
  <c r="BS218" i="16"/>
  <c r="BS217" i="16" s="1"/>
  <c r="AU227" i="16"/>
  <c r="AU226" i="16" s="1"/>
  <c r="AU242" i="16"/>
  <c r="BV215" i="16"/>
  <c r="BV214" i="16" s="1"/>
  <c r="BW209" i="16"/>
  <c r="BW208" i="16" s="1"/>
  <c r="BW207" i="16" s="1"/>
  <c r="BP215" i="16"/>
  <c r="BP214" i="16" s="1"/>
  <c r="BO209" i="16"/>
  <c r="BO208" i="16" s="1"/>
  <c r="AU243" i="16" l="1"/>
  <c r="AB338" i="10" s="1"/>
  <c r="AU241" i="16"/>
  <c r="BH296" i="16"/>
  <c r="BM308" i="16"/>
  <c r="BM307" i="16" s="1"/>
  <c r="BX389" i="16"/>
  <c r="BK303" i="16"/>
  <c r="BK305" i="16"/>
  <c r="BM303" i="16"/>
  <c r="BM305" i="16"/>
  <c r="BH291" i="16"/>
  <c r="BH293" i="16"/>
  <c r="BM296" i="16"/>
  <c r="BM295" i="16" s="1"/>
  <c r="GQ343" i="10" l="1"/>
  <c r="CY345" i="10"/>
  <c r="BH292" i="16"/>
  <c r="BK306" i="16"/>
  <c r="BK304" i="16"/>
  <c r="BH297" i="16"/>
  <c r="BH295" i="16"/>
  <c r="BI295" i="16" s="1"/>
  <c r="BM306" i="16"/>
  <c r="BM304" i="16"/>
  <c r="DB345" i="10"/>
  <c r="BW297" i="16"/>
  <c r="BI296" i="16" s="1"/>
  <c r="BW299" i="16"/>
  <c r="BV299" i="16"/>
  <c r="BV298" i="16" s="1"/>
  <c r="BM309" i="16"/>
  <c r="BK311" i="16"/>
  <c r="AT302" i="16"/>
  <c r="BV306" i="16"/>
  <c r="BV308" i="16"/>
  <c r="BS314" i="16"/>
  <c r="BK314" i="16"/>
  <c r="BW305" i="16"/>
  <c r="BW304" i="16" s="1"/>
  <c r="BU320" i="16"/>
  <c r="BK312" i="16"/>
  <c r="AX386" i="16"/>
  <c r="AX389" i="16"/>
  <c r="AK386" i="16"/>
  <c r="AK389" i="16"/>
  <c r="AG383" i="16"/>
  <c r="AG386" i="16"/>
  <c r="AV386" i="16"/>
  <c r="AV389" i="16"/>
  <c r="BY389" i="16"/>
  <c r="AK383" i="16"/>
  <c r="BH294" i="16"/>
  <c r="AK384" i="16" l="1"/>
  <c r="GS343" i="10"/>
  <c r="DD345" i="10"/>
  <c r="AG388" i="16"/>
  <c r="AG385" i="16"/>
  <c r="AK385" i="16"/>
  <c r="DH337" i="10"/>
  <c r="AT301" i="16"/>
  <c r="BW300" i="16"/>
  <c r="BW298" i="16"/>
  <c r="AW389" i="16"/>
  <c r="GQ332" i="10" s="1"/>
  <c r="GQ331" i="10" s="1"/>
  <c r="AV388" i="16"/>
  <c r="AW388" i="16" s="1"/>
  <c r="AV387" i="16"/>
  <c r="AW387" i="16" s="1"/>
  <c r="AG387" i="16"/>
  <c r="AX387" i="16"/>
  <c r="AX388" i="16"/>
  <c r="BQ320" i="16"/>
  <c r="EB347" i="10" s="1"/>
  <c r="BU319" i="16"/>
  <c r="BQ319" i="16" s="1"/>
  <c r="BU321" i="16"/>
  <c r="BQ321" i="16" s="1"/>
  <c r="BI314" i="16"/>
  <c r="DV345" i="10" s="1"/>
  <c r="BK313" i="16"/>
  <c r="BI313" i="16" s="1"/>
  <c r="BK315" i="16"/>
  <c r="BI315" i="16" s="1"/>
  <c r="AW386" i="16"/>
  <c r="AG384" i="16"/>
  <c r="BV309" i="16"/>
  <c r="BV307" i="16"/>
  <c r="BK310" i="16"/>
  <c r="AK387" i="16"/>
  <c r="AK388" i="16"/>
  <c r="BQ314" i="16"/>
  <c r="DV347" i="10" s="1"/>
  <c r="BS313" i="16"/>
  <c r="BQ313" i="16" s="1"/>
  <c r="BS315" i="16"/>
  <c r="BQ315" i="16" s="1"/>
  <c r="GN332" i="10" l="1"/>
  <c r="GN331" i="10" s="1"/>
  <c r="BY242" i="16"/>
  <c r="BY239" i="16" l="1"/>
  <c r="BY243" i="16" l="1"/>
  <c r="BY228" i="16"/>
  <c r="AD343" i="10" l="1"/>
  <c r="BY244" i="16"/>
  <c r="AG343" i="10" s="1"/>
  <c r="BY257" i="16"/>
  <c r="BQ343" i="10" l="1"/>
  <c r="BY380" i="16" l="1"/>
  <c r="BY381" i="16" l="1"/>
  <c r="GJ343" i="10"/>
  <c r="BY254" i="16"/>
  <c r="BH207" i="16"/>
  <c r="BN233" i="16"/>
  <c r="BN232" i="16" s="1"/>
  <c r="AR209" i="16"/>
  <c r="AR208" i="16" s="1"/>
  <c r="AR207" i="16" s="1"/>
  <c r="AS230" i="16"/>
  <c r="AS229" i="16" s="1"/>
  <c r="AU209" i="16"/>
  <c r="BO212" i="16"/>
  <c r="BO211" i="16" s="1"/>
  <c r="BO210" i="16" s="1"/>
  <c r="BO227" i="16"/>
  <c r="AS209" i="16"/>
  <c r="AS208" i="16" s="1"/>
  <c r="AS207" i="16" s="1"/>
  <c r="AU221" i="16"/>
  <c r="AU220" i="16" s="1"/>
  <c r="AU215" i="16"/>
  <c r="AU214" i="16" s="1"/>
  <c r="AU213" i="16" s="1"/>
  <c r="AU236" i="16"/>
  <c r="AU235" i="16" s="1"/>
  <c r="BV212" i="16"/>
  <c r="BW210" i="16"/>
  <c r="BU209" i="16"/>
  <c r="BP216" i="16"/>
  <c r="BO221" i="16"/>
  <c r="BO220" i="16" s="1"/>
  <c r="AT207" i="16"/>
  <c r="BV218" i="16"/>
  <c r="BV217" i="16" s="1"/>
  <c r="BV216" i="16" s="1"/>
  <c r="AT239" i="16"/>
  <c r="AR210" i="16" l="1"/>
  <c r="BO228" i="16"/>
  <c r="BO226" i="16"/>
  <c r="AU210" i="16"/>
  <c r="AU208" i="16"/>
  <c r="AU207" i="16" s="1"/>
  <c r="AT240" i="16"/>
  <c r="AT238" i="16"/>
  <c r="BO222" i="16"/>
  <c r="BV219" i="16"/>
  <c r="BV213" i="16"/>
  <c r="BV211" i="16"/>
  <c r="BU208" i="16"/>
  <c r="BK343" i="10"/>
  <c r="AF329" i="16"/>
  <c r="AL332" i="16"/>
  <c r="BO213" i="16"/>
  <c r="AS210" i="16"/>
  <c r="BS212" i="16"/>
  <c r="BS211" i="16" s="1"/>
  <c r="BH221" i="16"/>
  <c r="BN212" i="16"/>
  <c r="BN211" i="16" s="1"/>
  <c r="AK290" i="16"/>
  <c r="BN239" i="16"/>
  <c r="BN238" i="16" s="1"/>
  <c r="BU245" i="16"/>
  <c r="BU244" i="16" s="1"/>
  <c r="BM230" i="16"/>
  <c r="BM229" i="16" s="1"/>
  <c r="BV239" i="16"/>
  <c r="AT233" i="16"/>
  <c r="AT232" i="16" s="1"/>
  <c r="AS245" i="16"/>
  <c r="AS244" i="16" s="1"/>
  <c r="AE335" i="10" s="1"/>
  <c r="BH242" i="16"/>
  <c r="BH241" i="16" s="1"/>
  <c r="BS254" i="16"/>
  <c r="BS253" i="16" s="1"/>
  <c r="BS251" i="16"/>
  <c r="AS239" i="16"/>
  <c r="AS238" i="16" s="1"/>
  <c r="BK233" i="16"/>
  <c r="BK251" i="16"/>
  <c r="BK250" i="16" s="1"/>
  <c r="AS231" i="16"/>
  <c r="BK227" i="16"/>
  <c r="BK226" i="16" s="1"/>
  <c r="AF326" i="16"/>
  <c r="AK287" i="16"/>
  <c r="AR242" i="16"/>
  <c r="BV233" i="16"/>
  <c r="BV232" i="16" s="1"/>
  <c r="BU260" i="16"/>
  <c r="BU259" i="16" s="1"/>
  <c r="BH230" i="16"/>
  <c r="BH229" i="16" s="1"/>
  <c r="BW236" i="16"/>
  <c r="BS257" i="16"/>
  <c r="BS256" i="16" s="1"/>
  <c r="BW251" i="16"/>
  <c r="BW250" i="16" s="1"/>
  <c r="BS255" i="16" l="1"/>
  <c r="AR243" i="16"/>
  <c r="AR241" i="16"/>
  <c r="AK289" i="16"/>
  <c r="AF327" i="16"/>
  <c r="AK288" i="16"/>
  <c r="BV240" i="16"/>
  <c r="BV238" i="16"/>
  <c r="BH222" i="16"/>
  <c r="BH220" i="16"/>
  <c r="BW237" i="16"/>
  <c r="BW235" i="16"/>
  <c r="AF328" i="16"/>
  <c r="BU207" i="16"/>
  <c r="BS252" i="16"/>
  <c r="BS250" i="16"/>
  <c r="BK234" i="16"/>
  <c r="BK232" i="16"/>
  <c r="AL263" i="16"/>
  <c r="AL305" i="16"/>
  <c r="AJ269" i="16"/>
  <c r="BM218" i="16"/>
  <c r="BM217" i="16" s="1"/>
  <c r="AM266" i="16"/>
  <c r="BP224" i="16"/>
  <c r="BP223" i="16" s="1"/>
  <c r="AT221" i="16"/>
  <c r="BX272" i="16"/>
  <c r="AM275" i="16"/>
  <c r="AF275" i="16"/>
  <c r="BV227" i="16"/>
  <c r="BV226" i="16" s="1"/>
  <c r="BK245" i="16"/>
  <c r="BK244" i="16" s="1"/>
  <c r="AF371" i="16"/>
  <c r="AL266" i="16"/>
  <c r="AF308" i="16"/>
  <c r="AL236" i="16"/>
  <c r="AU230" i="16"/>
  <c r="AU228" i="16"/>
  <c r="AX272" i="16"/>
  <c r="AM263" i="16"/>
  <c r="AL308" i="16"/>
  <c r="AG290" i="16"/>
  <c r="BU221" i="16"/>
  <c r="BU220" i="16" s="1"/>
  <c r="BX263" i="16"/>
  <c r="AM269" i="16"/>
  <c r="AL317" i="16"/>
  <c r="AF233" i="16"/>
  <c r="BX296" i="16"/>
  <c r="DB343" i="10" s="1"/>
  <c r="BX281" i="16"/>
  <c r="BK215" i="16"/>
  <c r="BK209" i="16"/>
  <c r="BN213" i="16"/>
  <c r="BW230" i="16"/>
  <c r="BW229" i="16" s="1"/>
  <c r="BS221" i="16"/>
  <c r="BS220" i="16" s="1"/>
  <c r="BS219" i="16" s="1"/>
  <c r="BK212" i="16"/>
  <c r="BK211" i="16" s="1"/>
  <c r="AX275" i="16"/>
  <c r="AM290" i="16"/>
  <c r="AG278" i="16"/>
  <c r="AF236" i="16"/>
  <c r="AJ374" i="16"/>
  <c r="AF272" i="16"/>
  <c r="AF239" i="16"/>
  <c r="AF290" i="16"/>
  <c r="AL278" i="16"/>
  <c r="AL281" i="16"/>
  <c r="AX269" i="16"/>
  <c r="AL353" i="16"/>
  <c r="AL338" i="16"/>
  <c r="AL320" i="16"/>
  <c r="AJ272" i="16"/>
  <c r="AF356" i="16"/>
  <c r="AL230" i="16"/>
  <c r="AJ242" i="16"/>
  <c r="AJ243" i="16" s="1"/>
  <c r="AV68" i="10" s="1"/>
  <c r="BB68" i="10" s="1"/>
  <c r="AJ308" i="16"/>
  <c r="AL239" i="16"/>
  <c r="AM293" i="16"/>
  <c r="AM294" i="16" s="1"/>
  <c r="AK281" i="16"/>
  <c r="BO233" i="16"/>
  <c r="AL257" i="16"/>
  <c r="AF311" i="16"/>
  <c r="AJ275" i="16"/>
  <c r="BH231" i="16"/>
  <c r="BU261" i="16"/>
  <c r="AH335" i="10"/>
  <c r="AK272" i="16"/>
  <c r="AK273" i="16" s="1"/>
  <c r="AM272" i="16"/>
  <c r="AG269" i="16"/>
  <c r="AX302" i="16"/>
  <c r="AX303" i="16" s="1"/>
  <c r="AL269" i="16"/>
  <c r="AL260" i="16"/>
  <c r="AJ266" i="16"/>
  <c r="AF242" i="16"/>
  <c r="AJ386" i="16"/>
  <c r="AJ359" i="16"/>
  <c r="AJ236" i="16"/>
  <c r="BX278" i="16"/>
  <c r="BM233" i="16"/>
  <c r="BM232" i="16" s="1"/>
  <c r="BU242" i="16"/>
  <c r="AM284" i="16"/>
  <c r="AJ323" i="16"/>
  <c r="AJ230" i="16"/>
  <c r="AJ239" i="16"/>
  <c r="AM287" i="16"/>
  <c r="AF314" i="16"/>
  <c r="AF313" i="16" s="1"/>
  <c r="AF299" i="16"/>
  <c r="BU224" i="16"/>
  <c r="BU223" i="16" s="1"/>
  <c r="BK239" i="16"/>
  <c r="BX293" i="16"/>
  <c r="BX275" i="16"/>
  <c r="BM242" i="16"/>
  <c r="BM241" i="16" s="1"/>
  <c r="BP233" i="16"/>
  <c r="BK221" i="16"/>
  <c r="BK220" i="16" s="1"/>
  <c r="AJ377" i="16"/>
  <c r="AK284" i="16"/>
  <c r="AK269" i="16"/>
  <c r="AL311" i="16"/>
  <c r="AX296" i="16"/>
  <c r="AX299" i="16"/>
  <c r="AL314" i="16"/>
  <c r="AF305" i="16"/>
  <c r="AF353" i="16"/>
  <c r="AJ320" i="16"/>
  <c r="AJ383" i="16"/>
  <c r="AL233" i="16"/>
  <c r="AJ233" i="16"/>
  <c r="AF374" i="16"/>
  <c r="AF375" i="16" s="1"/>
  <c r="AG293" i="16"/>
  <c r="AG294" i="16" s="1"/>
  <c r="BM254" i="16"/>
  <c r="BM253" i="16" s="1"/>
  <c r="BX299" i="16"/>
  <c r="BX300" i="16" s="1"/>
  <c r="BS227" i="16"/>
  <c r="BX284" i="16"/>
  <c r="CP343" i="10" s="1"/>
  <c r="BP242" i="16"/>
  <c r="BS233" i="16"/>
  <c r="BS232" i="16" s="1"/>
  <c r="BP239" i="16"/>
  <c r="BM231" i="16"/>
  <c r="AM285" i="16" l="1"/>
  <c r="BU222" i="16"/>
  <c r="BY252" i="16"/>
  <c r="BK246" i="16"/>
  <c r="AL264" i="16"/>
  <c r="AF273" i="16"/>
  <c r="AL268" i="16"/>
  <c r="BP225" i="16"/>
  <c r="AJ274" i="16"/>
  <c r="AJ231" i="16"/>
  <c r="AX298" i="16"/>
  <c r="AX297" i="16" s="1"/>
  <c r="AJ376" i="16"/>
  <c r="AM271" i="16"/>
  <c r="AL310" i="16"/>
  <c r="AL234" i="16"/>
  <c r="AX271" i="16"/>
  <c r="CD331" i="10" s="1"/>
  <c r="BX297" i="16"/>
  <c r="AJ267" i="16"/>
  <c r="AL313" i="16"/>
  <c r="AJ232" i="16"/>
  <c r="AK282" i="16"/>
  <c r="BP243" i="16"/>
  <c r="AB347" i="10" s="1"/>
  <c r="BP241" i="16"/>
  <c r="BX282" i="16"/>
  <c r="BU241" i="16"/>
  <c r="BU243" i="16"/>
  <c r="AM288" i="16"/>
  <c r="BX279" i="16"/>
  <c r="BX285" i="16"/>
  <c r="AF240" i="16"/>
  <c r="AF309" i="16"/>
  <c r="AL238" i="16"/>
  <c r="AF312" i="16"/>
  <c r="AL315" i="16"/>
  <c r="AJ271" i="16"/>
  <c r="AL307" i="16"/>
  <c r="DE343" i="10"/>
  <c r="AJ235" i="16"/>
  <c r="AL231" i="16"/>
  <c r="AL312" i="16"/>
  <c r="AL259" i="16"/>
  <c r="AJ322" i="16"/>
  <c r="AF310" i="16"/>
  <c r="AL319" i="16"/>
  <c r="AF235" i="16"/>
  <c r="AM265" i="16"/>
  <c r="BP234" i="16"/>
  <c r="BP232" i="16"/>
  <c r="AJ388" i="16"/>
  <c r="AJ385" i="16"/>
  <c r="AL262" i="16"/>
  <c r="BX286" i="16"/>
  <c r="BX283" i="16"/>
  <c r="BX301" i="16"/>
  <c r="BX298" i="16"/>
  <c r="AG295" i="16"/>
  <c r="AG292" i="16"/>
  <c r="AJ384" i="16"/>
  <c r="AK283" i="16"/>
  <c r="AK285" i="16" s="1"/>
  <c r="AM286" i="16"/>
  <c r="AJ387" i="16"/>
  <c r="AL258" i="16"/>
  <c r="AX304" i="16"/>
  <c r="AX301" i="16"/>
  <c r="AF355" i="16"/>
  <c r="AL309" i="16"/>
  <c r="AX273" i="16"/>
  <c r="AL280" i="16"/>
  <c r="AF238" i="16"/>
  <c r="AF237" i="16"/>
  <c r="AM291" i="16"/>
  <c r="AM289" i="16"/>
  <c r="AJ234" i="16"/>
  <c r="BK214" i="16"/>
  <c r="BK216" i="16"/>
  <c r="AL237" i="16"/>
  <c r="AL261" i="16"/>
  <c r="AM264" i="16"/>
  <c r="AF307" i="16"/>
  <c r="AT222" i="16"/>
  <c r="AT220" i="16"/>
  <c r="AX270" i="16"/>
  <c r="AK286" i="16"/>
  <c r="BX292" i="16"/>
  <c r="CY343" i="10"/>
  <c r="BX291" i="16"/>
  <c r="BK213" i="16"/>
  <c r="AF372" i="16"/>
  <c r="BX294" i="16"/>
  <c r="AJ273" i="16"/>
  <c r="AX295" i="16"/>
  <c r="AX294" i="16"/>
  <c r="BK240" i="16"/>
  <c r="BK238" i="16"/>
  <c r="AJ238" i="16"/>
  <c r="BX277" i="16"/>
  <c r="AJ240" i="16"/>
  <c r="AF243" i="16"/>
  <c r="AJ68" i="10" s="1"/>
  <c r="AF306" i="16"/>
  <c r="AK274" i="16"/>
  <c r="AK271" i="16"/>
  <c r="AM295" i="16"/>
  <c r="AM292" i="16"/>
  <c r="AM270" i="16"/>
  <c r="AX268" i="16"/>
  <c r="CA331" i="10" s="1"/>
  <c r="AX267" i="16"/>
  <c r="AL279" i="16"/>
  <c r="BK208" i="16"/>
  <c r="BX280" i="16"/>
  <c r="AL318" i="16"/>
  <c r="AL316" i="16"/>
  <c r="AJ375" i="16"/>
  <c r="AM262" i="16"/>
  <c r="AM261" i="16"/>
  <c r="AU229" i="16"/>
  <c r="AU231" i="16"/>
  <c r="AL267" i="16"/>
  <c r="AL265" i="16"/>
  <c r="AX300" i="16"/>
  <c r="AF274" i="16"/>
  <c r="AJ270" i="16"/>
  <c r="AJ268" i="16"/>
  <c r="BP240" i="16"/>
  <c r="BP238" i="16"/>
  <c r="BS228" i="16"/>
  <c r="BS226" i="16"/>
  <c r="BU225" i="16"/>
  <c r="BX262" i="16"/>
  <c r="BX261" i="16"/>
  <c r="BU343" i="10"/>
  <c r="AF376" i="16"/>
  <c r="AF373" i="16"/>
  <c r="AL232" i="16"/>
  <c r="BX274" i="16"/>
  <c r="CD343" i="10"/>
  <c r="BX273" i="16"/>
  <c r="AF244" i="16"/>
  <c r="AJ69" i="10" s="1"/>
  <c r="AF241" i="16"/>
  <c r="BO234" i="16"/>
  <c r="BO232" i="16"/>
  <c r="AJ244" i="16"/>
  <c r="AV69" i="10" s="1"/>
  <c r="BB69" i="10" s="1"/>
  <c r="AJ241" i="16"/>
  <c r="AF234" i="16"/>
  <c r="AM273" i="16"/>
  <c r="AJ237" i="16"/>
  <c r="AG291" i="16"/>
  <c r="AX274" i="16"/>
  <c r="CG331" i="10" s="1"/>
  <c r="BK210" i="16"/>
  <c r="BX295" i="16"/>
  <c r="AF354" i="16"/>
  <c r="AM268" i="16"/>
  <c r="AJ321" i="16"/>
  <c r="AM267" i="16"/>
  <c r="AL235" i="16"/>
  <c r="AM274" i="16"/>
  <c r="AL306" i="16"/>
  <c r="AK270" i="16"/>
  <c r="AX281" i="16"/>
  <c r="BK257" i="16"/>
  <c r="CG343" i="10"/>
  <c r="CJ343" i="10"/>
  <c r="J20" i="19"/>
  <c r="V8" i="16"/>
  <c r="AX278" i="16"/>
  <c r="AL296" i="16"/>
  <c r="AL383" i="16"/>
  <c r="AL384" i="16" s="1"/>
  <c r="AL380" i="16"/>
  <c r="AL371" i="16"/>
  <c r="AJ326" i="16"/>
  <c r="AJ329" i="16"/>
  <c r="BM243" i="16"/>
  <c r="AL329" i="16"/>
  <c r="AL330" i="16" s="1"/>
  <c r="AF347" i="16"/>
  <c r="AF344" i="16"/>
  <c r="AL272" i="16"/>
  <c r="AL299" i="16"/>
  <c r="BV245" i="16"/>
  <c r="BN240" i="16"/>
  <c r="AL302" i="16"/>
  <c r="AL303" i="16" s="1"/>
  <c r="AF260" i="16"/>
  <c r="AL293" i="16"/>
  <c r="AL275" i="16"/>
  <c r="AJ350" i="16"/>
  <c r="AL350" i="16"/>
  <c r="BE343" i="10" l="1"/>
  <c r="BY253" i="16"/>
  <c r="BH343" i="10" s="1"/>
  <c r="AL274" i="16"/>
  <c r="AL273" i="16" s="1"/>
  <c r="AF346" i="16"/>
  <c r="BK258" i="16"/>
  <c r="BK256" i="16"/>
  <c r="BV246" i="16"/>
  <c r="BV244" i="16"/>
  <c r="AX279" i="16"/>
  <c r="AL304" i="16"/>
  <c r="AL300" i="16"/>
  <c r="AL298" i="16"/>
  <c r="AL331" i="16"/>
  <c r="AL297" i="16"/>
  <c r="AX277" i="16"/>
  <c r="AX276" i="16"/>
  <c r="AL270" i="16"/>
  <c r="AL271" i="16"/>
  <c r="BX276" i="16"/>
  <c r="J21" i="19"/>
  <c r="V9" i="16"/>
  <c r="BO9" i="16" s="1"/>
  <c r="AF345" i="16"/>
  <c r="AJ327" i="16"/>
  <c r="AJ328" i="16"/>
  <c r="AL294" i="16"/>
  <c r="AL295" i="16"/>
  <c r="AL301" i="16"/>
  <c r="AL276" i="16"/>
  <c r="AJ325" i="16"/>
  <c r="AJ324" i="16"/>
  <c r="AL385" i="16"/>
  <c r="AL382" i="16"/>
  <c r="AL381" i="16" s="1"/>
  <c r="AX280" i="16"/>
  <c r="CM343" i="10"/>
  <c r="AL277" i="16"/>
  <c r="AL352" i="16"/>
  <c r="J220" i="19"/>
  <c r="BE131" i="12"/>
  <c r="BO8" i="16"/>
  <c r="BE132" i="12" l="1"/>
  <c r="J221" i="19"/>
  <c r="BM255" i="16" l="1"/>
  <c r="T73" i="12"/>
  <c r="EF347" i="10"/>
  <c r="EH347" i="10" s="1"/>
  <c r="BK279" i="16" l="1"/>
  <c r="BX266" i="16"/>
  <c r="BU246" i="16"/>
  <c r="BO242" i="16"/>
  <c r="BW248" i="16"/>
  <c r="AU263" i="16"/>
  <c r="BK222" i="16"/>
  <c r="AS263" i="16"/>
  <c r="AU249" i="16"/>
  <c r="AT338" i="10" s="1"/>
  <c r="AS269" i="16"/>
  <c r="AS270" i="16" s="1"/>
  <c r="BP281" i="16"/>
  <c r="AU261" i="16"/>
  <c r="BH264" i="16"/>
  <c r="AS275" i="16"/>
  <c r="BH272" i="16"/>
  <c r="AU269" i="16"/>
  <c r="AU270" i="16" s="1"/>
  <c r="BK272" i="16"/>
  <c r="BX269" i="16"/>
  <c r="BX267" i="16" s="1"/>
  <c r="BW231" i="16"/>
  <c r="BN275" i="16"/>
  <c r="BN274" i="16" s="1"/>
  <c r="BW254" i="16"/>
  <c r="BW255" i="16" s="1"/>
  <c r="BK266" i="16"/>
  <c r="AS255" i="16"/>
  <c r="BL335" i="10" s="1"/>
  <c r="BM260" i="16"/>
  <c r="AS267" i="16"/>
  <c r="BP269" i="16"/>
  <c r="BN257" i="16"/>
  <c r="BN256" i="16" s="1"/>
  <c r="BN263" i="16"/>
  <c r="BN262" i="16" s="1"/>
  <c r="BS272" i="16"/>
  <c r="BS271" i="16" s="1"/>
  <c r="BN272" i="16"/>
  <c r="BN271" i="16" s="1"/>
  <c r="BN254" i="16"/>
  <c r="BN253" i="16" s="1"/>
  <c r="BW278" i="16"/>
  <c r="AT281" i="16"/>
  <c r="AT280" i="16" s="1"/>
  <c r="AR269" i="16"/>
  <c r="BV263" i="16"/>
  <c r="BS224" i="16"/>
  <c r="AR266" i="16"/>
  <c r="AR265" i="16" s="1"/>
  <c r="BP267" i="16"/>
  <c r="BK230" i="16"/>
  <c r="BV272" i="16"/>
  <c r="BV271" i="16" s="1"/>
  <c r="BK252" i="16"/>
  <c r="BS275" i="16"/>
  <c r="BP279" i="16"/>
  <c r="BS258" i="16"/>
  <c r="AT272" i="16"/>
  <c r="BS234" i="16"/>
  <c r="BM234" i="16"/>
  <c r="BH245" i="16"/>
  <c r="AT245" i="16"/>
  <c r="AT246" i="16" s="1"/>
  <c r="AK337" i="10" s="1"/>
  <c r="BS290" i="16"/>
  <c r="BS289" i="16" s="1"/>
  <c r="BK287" i="16"/>
  <c r="AR263" i="16"/>
  <c r="AR262" i="16" s="1"/>
  <c r="AR261" i="16" s="1"/>
  <c r="AR275" i="16"/>
  <c r="AR274" i="16" s="1"/>
  <c r="AR273" i="16" s="1"/>
  <c r="BW260" i="16"/>
  <c r="BW272" i="16"/>
  <c r="AS251" i="16"/>
  <c r="AT255" i="16"/>
  <c r="BL337" i="10" s="1"/>
  <c r="AT260" i="16"/>
  <c r="AT248" i="16"/>
  <c r="BU266" i="16"/>
  <c r="BS260" i="16"/>
  <c r="BS261" i="16" s="1"/>
  <c r="BV275" i="16"/>
  <c r="AR254" i="16"/>
  <c r="AR255" i="16" s="1"/>
  <c r="AS260" i="16"/>
  <c r="AS261" i="16" s="1"/>
  <c r="AS272" i="16"/>
  <c r="AT257" i="16"/>
  <c r="AT256" i="16" s="1"/>
  <c r="AU272" i="16"/>
  <c r="BS284" i="16"/>
  <c r="BS283" i="16" s="1"/>
  <c r="BS269" i="16"/>
  <c r="BS268" i="16" s="1"/>
  <c r="BS281" i="16"/>
  <c r="BS280" i="16" s="1"/>
  <c r="BS279" i="16"/>
  <c r="AF281" i="16"/>
  <c r="AL242" i="16"/>
  <c r="AF320" i="16"/>
  <c r="AF227" i="16"/>
  <c r="AT236" i="16"/>
  <c r="AJ314" i="16"/>
  <c r="BM219" i="16"/>
  <c r="AJ338" i="16"/>
  <c r="AJ281" i="16"/>
  <c r="AL284" i="16"/>
  <c r="AJ356" i="16"/>
  <c r="AJ357" i="16" s="1"/>
  <c r="BW252" i="16"/>
  <c r="AL344" i="16"/>
  <c r="AX287" i="16"/>
  <c r="AX288" i="16" s="1"/>
  <c r="AS224" i="16"/>
  <c r="BU233" i="16"/>
  <c r="AG272" i="16"/>
  <c r="BW233" i="16"/>
  <c r="AL323" i="16"/>
  <c r="AU237" i="16"/>
  <c r="AT230" i="16"/>
  <c r="AG275" i="16"/>
  <c r="AG276" i="16" s="1"/>
  <c r="BN234" i="16"/>
  <c r="AJ362" i="16"/>
  <c r="BV230" i="16"/>
  <c r="AX368" i="16"/>
  <c r="AM368" i="16"/>
  <c r="AG353" i="16"/>
  <c r="AX332" i="16"/>
  <c r="AX365" i="16"/>
  <c r="AX329" i="16"/>
  <c r="EI331" i="10" s="1"/>
  <c r="AM365" i="16"/>
  <c r="AF266" i="16"/>
  <c r="AF335" i="16"/>
  <c r="AF263" i="16"/>
  <c r="AF284" i="16"/>
  <c r="AJ335" i="16"/>
  <c r="AF287" i="16"/>
  <c r="AF338" i="16"/>
  <c r="AF368" i="16"/>
  <c r="AL365" i="16"/>
  <c r="AL374" i="16"/>
  <c r="AS240" i="16"/>
  <c r="AS246" i="16"/>
  <c r="AK335" i="10" s="1"/>
  <c r="BW257" i="16"/>
  <c r="AL356" i="16"/>
  <c r="AX284" i="16"/>
  <c r="BV234" i="16"/>
  <c r="AJ365" i="16"/>
  <c r="AJ302" i="16"/>
  <c r="AJ368" i="16"/>
  <c r="AJ263" i="16"/>
  <c r="AM278" i="16"/>
  <c r="AG284" i="16"/>
  <c r="AJ260" i="16"/>
  <c r="AK299" i="16"/>
  <c r="AF365" i="16"/>
  <c r="AF293" i="16"/>
  <c r="AK263" i="16"/>
  <c r="AV281" i="16"/>
  <c r="AV284" i="16"/>
  <c r="AK296" i="16"/>
  <c r="AL359" i="16"/>
  <c r="AL245" i="16"/>
  <c r="AL246" i="16" s="1"/>
  <c r="BH71" i="10" s="1"/>
  <c r="BQ71" i="10" s="1"/>
  <c r="BT71" i="10" s="1"/>
  <c r="AJ287" i="16"/>
  <c r="AJ299" i="16"/>
  <c r="AL377" i="16"/>
  <c r="AJ284" i="16"/>
  <c r="AJ278" i="16"/>
  <c r="AJ305" i="16"/>
  <c r="AL287" i="16"/>
  <c r="AJ296" i="16"/>
  <c r="AL368" i="16"/>
  <c r="AF283" i="16" l="1"/>
  <c r="AJ364" i="16"/>
  <c r="BX334" i="10"/>
  <c r="CM337" i="10"/>
  <c r="AL286" i="16"/>
  <c r="AL375" i="16"/>
  <c r="AL358" i="16"/>
  <c r="AL357" i="16" s="1"/>
  <c r="AJ367" i="16"/>
  <c r="AX331" i="16"/>
  <c r="AX330" i="16" s="1"/>
  <c r="AJ283" i="16"/>
  <c r="BO337" i="10"/>
  <c r="AT273" i="16"/>
  <c r="AT271" i="16"/>
  <c r="BV276" i="16"/>
  <c r="BV274" i="16"/>
  <c r="BV273" i="16" s="1"/>
  <c r="AT258" i="16"/>
  <c r="AT261" i="16"/>
  <c r="AT259" i="16"/>
  <c r="AH345" i="10"/>
  <c r="BH246" i="16"/>
  <c r="AK345" i="10" s="1"/>
  <c r="BH244" i="16"/>
  <c r="BS276" i="16"/>
  <c r="BS274" i="16"/>
  <c r="BU338" i="10"/>
  <c r="AU264" i="16"/>
  <c r="AU262" i="16"/>
  <c r="BW256" i="16"/>
  <c r="CD335" i="10"/>
  <c r="CD334" i="10" s="1"/>
  <c r="AS271" i="16"/>
  <c r="BW273" i="16"/>
  <c r="BW271" i="16"/>
  <c r="BQ271" i="16" s="1"/>
  <c r="BV262" i="16"/>
  <c r="CA347" i="10"/>
  <c r="BP270" i="16"/>
  <c r="BP268" i="16"/>
  <c r="BS291" i="16"/>
  <c r="BW261" i="16"/>
  <c r="BW259" i="16"/>
  <c r="BW258" i="16" s="1"/>
  <c r="BV264" i="16"/>
  <c r="BS285" i="16"/>
  <c r="AR270" i="16"/>
  <c r="AR268" i="16"/>
  <c r="AR267" i="16" s="1"/>
  <c r="BQ278" i="16"/>
  <c r="BW279" i="16"/>
  <c r="BQ279" i="16" s="1"/>
  <c r="BW277" i="16"/>
  <c r="BQ277" i="16" s="1"/>
  <c r="BN258" i="16"/>
  <c r="BW253" i="16"/>
  <c r="AS273" i="16"/>
  <c r="CA338" i="10"/>
  <c r="AU268" i="16"/>
  <c r="CM347" i="10"/>
  <c r="BP282" i="16"/>
  <c r="BP280" i="16"/>
  <c r="BU335" i="10"/>
  <c r="BU334" i="10" s="1"/>
  <c r="AS264" i="16"/>
  <c r="AS262" i="16"/>
  <c r="BO243" i="16"/>
  <c r="BO241" i="16"/>
  <c r="BR337" i="10"/>
  <c r="BS270" i="16"/>
  <c r="BK273" i="16"/>
  <c r="BK271" i="16"/>
  <c r="BK270" i="16" s="1"/>
  <c r="CG335" i="10"/>
  <c r="CG334" i="10" s="1"/>
  <c r="AS276" i="16"/>
  <c r="AS274" i="16"/>
  <c r="BW249" i="16"/>
  <c r="BW247" i="16"/>
  <c r="BS282" i="16"/>
  <c r="BR335" i="10"/>
  <c r="BR334" i="10" s="1"/>
  <c r="AS259" i="16"/>
  <c r="AR264" i="16"/>
  <c r="BU267" i="16"/>
  <c r="BU265" i="16"/>
  <c r="CD338" i="10"/>
  <c r="CD337" i="10" s="1"/>
  <c r="AU273" i="16"/>
  <c r="AU271" i="16"/>
  <c r="BI334" i="10"/>
  <c r="AR253" i="16"/>
  <c r="BF334" i="10" s="1"/>
  <c r="BS259" i="16"/>
  <c r="AQ337" i="10"/>
  <c r="AT249" i="16"/>
  <c r="AT337" i="10" s="1"/>
  <c r="AT247" i="16"/>
  <c r="AN337" i="10" s="1"/>
  <c r="AZ335" i="10"/>
  <c r="AS252" i="16"/>
  <c r="BC335" i="10" s="1"/>
  <c r="AS250" i="16"/>
  <c r="AW335" i="10" s="1"/>
  <c r="BK288" i="16"/>
  <c r="BK286" i="16"/>
  <c r="BK285" i="16" s="1"/>
  <c r="AH337" i="10"/>
  <c r="AT244" i="16"/>
  <c r="AE337" i="10" s="1"/>
  <c r="BN255" i="16"/>
  <c r="BM261" i="16"/>
  <c r="BM259" i="16"/>
  <c r="BK267" i="16"/>
  <c r="BK265" i="16"/>
  <c r="BN273" i="16"/>
  <c r="CD345" i="10"/>
  <c r="BH273" i="16"/>
  <c r="BH271" i="16"/>
  <c r="CA335" i="10"/>
  <c r="CA334" i="10" s="1"/>
  <c r="AS268" i="16"/>
  <c r="BN264" i="16"/>
  <c r="AX370" i="16"/>
  <c r="AX367" i="16"/>
  <c r="FV331" i="10" s="1"/>
  <c r="AX366" i="16"/>
  <c r="AG355" i="16"/>
  <c r="AX369" i="16"/>
  <c r="AG354" i="16"/>
  <c r="AM370" i="16"/>
  <c r="AM367" i="16"/>
  <c r="AM366" i="16" s="1"/>
  <c r="EL331" i="10"/>
  <c r="AK297" i="16"/>
  <c r="FS331" i="10"/>
  <c r="AM369" i="16"/>
  <c r="AJ363" i="16"/>
  <c r="AF337" i="16"/>
  <c r="AF285" i="16"/>
  <c r="AJ261" i="16"/>
  <c r="AF336" i="16"/>
  <c r="CL347" i="10"/>
  <c r="BX270" i="16"/>
  <c r="AJ307" i="16"/>
  <c r="AJ304" i="16"/>
  <c r="AJ306" i="16" s="1"/>
  <c r="AL379" i="16"/>
  <c r="AL376" i="16"/>
  <c r="AL378" i="16" s="1"/>
  <c r="AG271" i="16"/>
  <c r="AG270" i="16"/>
  <c r="AJ340" i="16"/>
  <c r="AJ337" i="16"/>
  <c r="AJ336" i="16" s="1"/>
  <c r="BY266" i="16"/>
  <c r="BX265" i="16"/>
  <c r="BX264" i="16"/>
  <c r="AL370" i="16"/>
  <c r="AL367" i="16"/>
  <c r="AL369" i="16" s="1"/>
  <c r="AL366" i="16"/>
  <c r="AW281" i="16"/>
  <c r="AV280" i="16"/>
  <c r="AW280" i="16" s="1"/>
  <c r="AV279" i="16"/>
  <c r="AW279" i="16" s="1"/>
  <c r="CJ332" i="10" s="1"/>
  <c r="CJ331" i="10" s="1"/>
  <c r="AK262" i="16"/>
  <c r="AK261" i="16"/>
  <c r="AJ265" i="16"/>
  <c r="AJ262" i="16"/>
  <c r="AJ264" i="16" s="1"/>
  <c r="AJ301" i="16"/>
  <c r="AJ366" i="16"/>
  <c r="AX283" i="16"/>
  <c r="AX282" i="16"/>
  <c r="AL373" i="16"/>
  <c r="AL372" i="16"/>
  <c r="AF370" i="16"/>
  <c r="AF367" i="16"/>
  <c r="AF369" i="16" s="1"/>
  <c r="BV231" i="16"/>
  <c r="BV229" i="16"/>
  <c r="BV228" i="16" s="1"/>
  <c r="AT231" i="16"/>
  <c r="AT229" i="16"/>
  <c r="AS225" i="16"/>
  <c r="AS223" i="16"/>
  <c r="AJ358" i="16"/>
  <c r="AL283" i="16"/>
  <c r="AL282" i="16"/>
  <c r="AT237" i="16"/>
  <c r="AT235" i="16"/>
  <c r="AT234" i="16" s="1"/>
  <c r="AF226" i="16"/>
  <c r="AF225" i="16"/>
  <c r="AL241" i="16"/>
  <c r="AL240" i="16"/>
  <c r="BS225" i="16"/>
  <c r="BS223" i="16"/>
  <c r="AJ303" i="16"/>
  <c r="AW284" i="16"/>
  <c r="AV286" i="16"/>
  <c r="AW286" i="16" s="1"/>
  <c r="AV283" i="16"/>
  <c r="AF366" i="16"/>
  <c r="AF262" i="16"/>
  <c r="AF261" i="16"/>
  <c r="AL322" i="16"/>
  <c r="AL321" i="16"/>
  <c r="AX289" i="16"/>
  <c r="CV331" i="10" s="1"/>
  <c r="AX286" i="16"/>
  <c r="AX285" i="16" s="1"/>
  <c r="AJ277" i="16"/>
  <c r="AJ276" i="16"/>
  <c r="AJ298" i="16"/>
  <c r="AJ297" i="16" s="1"/>
  <c r="AJ286" i="16"/>
  <c r="AJ285" i="16" s="1"/>
  <c r="AV282" i="16"/>
  <c r="AW282" i="16" s="1"/>
  <c r="AJ300" i="16"/>
  <c r="AL355" i="16"/>
  <c r="AL354" i="16"/>
  <c r="AJ361" i="16"/>
  <c r="AJ360" i="16"/>
  <c r="BW234" i="16"/>
  <c r="BW232" i="16"/>
  <c r="AJ279" i="16"/>
  <c r="AJ280" i="16"/>
  <c r="AJ282" i="16" s="1"/>
  <c r="AM277" i="16"/>
  <c r="AM276" i="16"/>
  <c r="AG277" i="16"/>
  <c r="AG274" i="16"/>
  <c r="AG273" i="16" s="1"/>
  <c r="AL285" i="16"/>
  <c r="BH70" i="10"/>
  <c r="BQ70" i="10" s="1"/>
  <c r="P22" i="19" s="1"/>
  <c r="AL247" i="16"/>
  <c r="BH72" i="10" s="1"/>
  <c r="BQ72" i="10" s="1"/>
  <c r="AL244" i="16"/>
  <c r="AF292" i="16"/>
  <c r="AF291" i="16"/>
  <c r="AK301" i="16"/>
  <c r="AK298" i="16"/>
  <c r="AK300" i="16" s="1"/>
  <c r="AF289" i="16"/>
  <c r="AF286" i="16"/>
  <c r="AF288" i="16" s="1"/>
  <c r="AF265" i="16"/>
  <c r="AF264" i="16" s="1"/>
  <c r="CS331" i="10"/>
  <c r="BU234" i="16"/>
  <c r="BQ234" i="16" s="1"/>
  <c r="BU232" i="16"/>
  <c r="AJ339" i="16"/>
  <c r="AF282" i="16"/>
  <c r="BK231" i="16"/>
  <c r="BK229" i="16"/>
  <c r="BX271" i="16"/>
  <c r="BX268" i="16"/>
  <c r="BL334" i="10"/>
  <c r="BQ233" i="16"/>
  <c r="BQ272" i="16"/>
  <c r="CF347" i="10" s="1"/>
  <c r="Y11" i="16"/>
  <c r="BP11" i="16" s="1"/>
  <c r="P23" i="19"/>
  <c r="BK134" i="12" s="1"/>
  <c r="Z11" i="16"/>
  <c r="BH243" i="16" l="1"/>
  <c r="AB345" i="10" s="1"/>
  <c r="AE345" i="10"/>
  <c r="BS273" i="16"/>
  <c r="BQ273" i="16" s="1"/>
  <c r="Y10" i="16"/>
  <c r="BP10" i="16" s="1"/>
  <c r="BT70" i="10"/>
  <c r="Z10" i="16" s="1"/>
  <c r="AV285" i="16"/>
  <c r="AW285" i="16" s="1"/>
  <c r="CP332" i="10" s="1"/>
  <c r="CP331" i="10" s="1"/>
  <c r="AW283" i="16"/>
  <c r="BS222" i="16"/>
  <c r="Y12" i="16"/>
  <c r="BP12" i="16" s="1"/>
  <c r="BT72" i="10"/>
  <c r="P24" i="19"/>
  <c r="BX343" i="10"/>
  <c r="BZ343" i="10" s="1"/>
  <c r="CA343" i="10"/>
  <c r="BK228" i="16"/>
  <c r="BQ232" i="16"/>
  <c r="AL243" i="16"/>
  <c r="BH68" i="10" s="1"/>
  <c r="BQ68" i="10" s="1"/>
  <c r="BH69" i="10"/>
  <c r="BQ69" i="10" s="1"/>
  <c r="CM332" i="10"/>
  <c r="CM331" i="10" s="1"/>
  <c r="S23" i="19"/>
  <c r="P223" i="19"/>
  <c r="S22" i="19"/>
  <c r="BK133" i="12"/>
  <c r="P222" i="19"/>
  <c r="P224" i="19" l="1"/>
  <c r="BK135" i="12"/>
  <c r="S24" i="19"/>
  <c r="Z12" i="16"/>
  <c r="Y9" i="16"/>
  <c r="BP9" i="16" s="1"/>
  <c r="P21" i="19"/>
  <c r="BT69" i="10"/>
  <c r="P20" i="19"/>
  <c r="BT68" i="10"/>
  <c r="Y8" i="16"/>
  <c r="BP8" i="16" s="1"/>
  <c r="S223" i="19"/>
  <c r="BN134" i="12"/>
  <c r="S222" i="19"/>
  <c r="BN133" i="12"/>
  <c r="S224" i="19" l="1"/>
  <c r="BN135" i="12"/>
  <c r="Z8" i="16"/>
  <c r="Z9" i="16"/>
  <c r="BK131" i="12"/>
  <c r="S20" i="19"/>
  <c r="P220" i="19"/>
  <c r="S21" i="19"/>
  <c r="BK132" i="12"/>
  <c r="P221" i="19"/>
  <c r="BN132" i="12" l="1"/>
  <c r="S221" i="19"/>
  <c r="BN131" i="12"/>
  <c r="S220" i="19"/>
  <c r="BS213" i="16"/>
  <c r="BW221" i="16"/>
  <c r="BM212" i="16"/>
  <c r="BH212" i="16"/>
  <c r="AK374" i="16"/>
  <c r="AK375" i="16" s="1"/>
  <c r="AU224" i="16"/>
  <c r="BO218" i="16"/>
  <c r="AK371" i="16"/>
  <c r="AS218" i="16"/>
  <c r="BU212" i="16"/>
  <c r="BU213" i="16" s="1"/>
  <c r="AU218" i="16"/>
  <c r="BV224" i="16"/>
  <c r="AR221" i="16"/>
  <c r="AK376" i="16" l="1"/>
  <c r="AK373" i="16"/>
  <c r="AK372" i="16" s="1"/>
  <c r="AU225" i="16"/>
  <c r="AU223" i="16"/>
  <c r="AU222" i="16" s="1"/>
  <c r="AR222" i="16"/>
  <c r="AR220" i="16"/>
  <c r="BU211" i="16"/>
  <c r="BM213" i="16"/>
  <c r="BM211" i="16"/>
  <c r="BW222" i="16"/>
  <c r="BW220" i="16"/>
  <c r="BV225" i="16"/>
  <c r="BV223" i="16"/>
  <c r="AS219" i="16"/>
  <c r="AS217" i="16"/>
  <c r="BO219" i="16"/>
  <c r="BO217" i="16"/>
  <c r="AU219" i="16"/>
  <c r="AU217" i="16"/>
  <c r="AU216" i="16" s="1"/>
  <c r="BH213" i="16"/>
  <c r="BH211" i="16"/>
  <c r="AU284" i="16"/>
  <c r="AU285" i="16" s="1"/>
  <c r="EX338" i="10" s="1"/>
  <c r="EX337" i="10" s="1"/>
  <c r="AU283" i="16" l="1"/>
  <c r="BU210" i="16"/>
  <c r="CP338" i="10"/>
  <c r="AS287" i="16"/>
  <c r="BW290" i="16"/>
  <c r="BW289" i="16" s="1"/>
  <c r="AU293" i="16"/>
  <c r="BW293" i="16"/>
  <c r="BU305" i="16"/>
  <c r="BU304" i="16" s="1"/>
  <c r="AS279" i="16"/>
  <c r="BP293" i="16"/>
  <c r="BM299" i="16"/>
  <c r="AS281" i="16"/>
  <c r="AS282" i="16" s="1"/>
  <c r="AU291" i="16"/>
  <c r="AU282" i="16"/>
  <c r="BP291" i="16"/>
  <c r="AT282" i="16"/>
  <c r="BW285" i="16"/>
  <c r="AS284" i="16"/>
  <c r="AS285" i="16" s="1"/>
  <c r="BM297" i="16"/>
  <c r="BH285" i="16"/>
  <c r="AR276" i="16"/>
  <c r="AR285" i="16"/>
  <c r="AT287" i="16"/>
  <c r="BW287" i="16"/>
  <c r="BW288" i="16" s="1"/>
  <c r="BW291" i="16" l="1"/>
  <c r="BI290" i="16" s="1"/>
  <c r="CP335" i="10"/>
  <c r="CP334" i="10" s="1"/>
  <c r="AS283" i="16"/>
  <c r="BM300" i="16"/>
  <c r="BM298" i="16"/>
  <c r="BW294" i="16"/>
  <c r="BW292" i="16"/>
  <c r="BI291" i="16" s="1"/>
  <c r="CS335" i="10"/>
  <c r="AS286" i="16"/>
  <c r="BW286" i="16"/>
  <c r="CM335" i="10"/>
  <c r="AS280" i="16"/>
  <c r="AT288" i="16"/>
  <c r="AT286" i="16"/>
  <c r="CS337" i="10" s="1"/>
  <c r="CY347" i="10"/>
  <c r="BP294" i="16"/>
  <c r="BP292" i="16"/>
  <c r="CY338" i="10"/>
  <c r="AU294" i="16"/>
  <c r="AU292" i="16"/>
  <c r="BI289" i="16"/>
  <c r="CX345" i="10" l="1"/>
  <c r="BU299" i="16"/>
  <c r="BU296" i="16"/>
  <c r="BU297" i="16" s="1"/>
  <c r="BU300" i="16" l="1"/>
  <c r="BU298" i="16"/>
  <c r="BU295" i="16"/>
  <c r="AX245" i="16"/>
  <c r="AX246" i="16" s="1"/>
  <c r="AK331" i="10" s="1"/>
  <c r="BN278" i="16"/>
  <c r="BN277" i="16" s="1"/>
  <c r="BN276" i="16" s="1"/>
  <c r="AR290" i="16"/>
  <c r="AR289" i="16" s="1"/>
  <c r="AS290" i="16"/>
  <c r="AS291" i="16" s="1"/>
  <c r="AS293" i="16"/>
  <c r="AS288" i="16"/>
  <c r="AX383" i="16"/>
  <c r="AX384" i="16" s="1"/>
  <c r="AX380" i="16"/>
  <c r="AX242" i="16"/>
  <c r="AX243" i="16" s="1"/>
  <c r="AB331" i="10" s="1"/>
  <c r="AX381" i="16" l="1"/>
  <c r="AX385" i="16"/>
  <c r="AX382" i="16"/>
  <c r="AR291" i="16"/>
  <c r="CY335" i="10"/>
  <c r="AS292" i="16"/>
  <c r="CV335" i="10"/>
  <c r="CV334" i="10" s="1"/>
  <c r="AS289" i="16"/>
  <c r="BN279" i="16"/>
  <c r="AX379" i="16"/>
  <c r="AX378" i="16"/>
  <c r="AH331" i="10"/>
  <c r="AX247" i="16"/>
  <c r="AN331" i="10" s="1"/>
  <c r="AX244" i="16"/>
  <c r="AE331" i="10" s="1"/>
  <c r="AM389" i="16"/>
  <c r="AK230" i="16"/>
  <c r="AK231" i="16" s="1"/>
  <c r="AK227" i="16"/>
  <c r="AM383" i="16"/>
  <c r="AK226" i="16" l="1"/>
  <c r="AK225" i="16"/>
  <c r="AK232" i="16"/>
  <c r="AK229" i="16"/>
  <c r="AK228" i="16" s="1"/>
  <c r="BX221" i="16"/>
  <c r="BX222" i="16" s="1"/>
  <c r="BX218" i="16"/>
  <c r="BU317" i="16"/>
  <c r="BU316" i="16" s="1"/>
  <c r="AT303" i="16"/>
  <c r="AS308" i="16"/>
  <c r="AS309" i="16" s="1"/>
  <c r="BO305" i="16"/>
  <c r="BO304" i="16" s="1"/>
  <c r="AR305" i="16"/>
  <c r="AR304" i="16" s="1"/>
  <c r="AS305" i="16"/>
  <c r="AS304" i="16" s="1"/>
  <c r="AR302" i="16"/>
  <c r="AR301" i="16" s="1"/>
  <c r="BO299" i="16"/>
  <c r="BO298" i="16" s="1"/>
  <c r="AR299" i="16"/>
  <c r="AR298" i="16" s="1"/>
  <c r="AR300" i="16" l="1"/>
  <c r="BY218" i="16"/>
  <c r="BX217" i="16"/>
  <c r="BY217" i="16" s="1"/>
  <c r="BX216" i="16"/>
  <c r="AR303" i="16"/>
  <c r="AS306" i="16"/>
  <c r="BU318" i="16"/>
  <c r="AS307" i="16"/>
  <c r="BY221" i="16"/>
  <c r="BX223" i="16"/>
  <c r="BX220" i="16"/>
  <c r="DK335" i="10"/>
  <c r="DK334" i="10" s="1"/>
  <c r="DN335" i="10"/>
  <c r="BO297" i="16"/>
  <c r="BI297" i="16" s="1"/>
  <c r="BV302" i="16"/>
  <c r="BW308" i="16"/>
  <c r="BO300" i="16"/>
  <c r="BH305" i="16"/>
  <c r="BW306" i="16"/>
  <c r="BO302" i="16"/>
  <c r="BO303" i="16" s="1"/>
  <c r="BP303" i="16"/>
  <c r="BU308" i="16"/>
  <c r="BU309" i="16" s="1"/>
  <c r="BQ309" i="16" s="1"/>
  <c r="AR306" i="16"/>
  <c r="BO306" i="16"/>
  <c r="AS299" i="16"/>
  <c r="AS302" i="16"/>
  <c r="AS303" i="16" s="1"/>
  <c r="BP305" i="16"/>
  <c r="BH303" i="16"/>
  <c r="AS294" i="16"/>
  <c r="BI305" i="16" l="1"/>
  <c r="BQ305" i="16"/>
  <c r="BP306" i="16"/>
  <c r="BP304" i="16"/>
  <c r="BQ304" i="16" s="1"/>
  <c r="DE335" i="10"/>
  <c r="DE334" i="10" s="1"/>
  <c r="AS298" i="16"/>
  <c r="DK345" i="10"/>
  <c r="BH306" i="16"/>
  <c r="BH304" i="16"/>
  <c r="BI304" i="16" s="1"/>
  <c r="BV303" i="16"/>
  <c r="BV301" i="16"/>
  <c r="BV300" i="16" s="1"/>
  <c r="BO301" i="16"/>
  <c r="BW309" i="16"/>
  <c r="BW307" i="16"/>
  <c r="DH335" i="10"/>
  <c r="DH334" i="10" s="1"/>
  <c r="AS301" i="16"/>
  <c r="AS300" i="16"/>
  <c r="BQ308" i="16"/>
  <c r="BU307" i="16"/>
  <c r="BX219" i="16"/>
  <c r="BY219" i="16" s="1"/>
  <c r="BY220" i="16"/>
  <c r="DK347" i="10"/>
  <c r="BI303" i="16"/>
  <c r="DM345" i="10" l="1"/>
  <c r="BI306" i="16"/>
  <c r="DM347" i="10"/>
  <c r="BU306" i="16"/>
  <c r="BQ306" i="16" s="1"/>
  <c r="BQ307" i="16"/>
  <c r="DP347" i="10" s="1"/>
  <c r="BN290" i="16" l="1"/>
  <c r="BN289" i="16" s="1"/>
  <c r="BN291" i="16" l="1"/>
  <c r="BY317" i="16"/>
  <c r="BY287" i="16" l="1"/>
  <c r="BN308" i="16" l="1"/>
  <c r="BN309" i="16" s="1"/>
  <c r="BN305" i="16"/>
  <c r="BN304" i="16" s="1"/>
  <c r="BN302" i="16"/>
  <c r="BN303" i="16" s="1"/>
  <c r="BN299" i="16"/>
  <c r="BN300" i="16" s="1"/>
  <c r="BY293" i="16"/>
  <c r="BY368" i="16"/>
  <c r="BY326" i="16"/>
  <c r="BY341" i="16"/>
  <c r="BY356" i="16"/>
  <c r="BY377" i="16"/>
  <c r="BY359" i="16"/>
  <c r="BY335" i="16"/>
  <c r="BY350" i="16"/>
  <c r="BY311" i="16"/>
  <c r="BY299" i="16"/>
  <c r="BY290" i="16"/>
  <c r="BY281" i="16"/>
  <c r="BY284" i="16"/>
  <c r="BY260" i="16"/>
  <c r="BY261" i="16" s="1"/>
  <c r="BY275" i="16"/>
  <c r="BY272" i="16"/>
  <c r="BY347" i="16"/>
  <c r="BY371" i="16"/>
  <c r="BY365" i="16"/>
  <c r="BY314" i="16"/>
  <c r="BY308" i="16"/>
  <c r="BY323" i="16"/>
  <c r="BY302" i="16"/>
  <c r="BY332" i="16"/>
  <c r="BN306" i="16" l="1"/>
  <c r="BN301" i="16"/>
  <c r="BN298" i="16"/>
  <c r="BN307" i="16"/>
  <c r="GG343" i="10"/>
  <c r="GA343" i="10"/>
  <c r="EQ343" i="10"/>
  <c r="EN343" i="10"/>
  <c r="FX343" i="10"/>
  <c r="CO343" i="10"/>
  <c r="CF343" i="10"/>
  <c r="CX343" i="10"/>
  <c r="DA343" i="10"/>
  <c r="DG343" i="10"/>
  <c r="FU343" i="10"/>
  <c r="DP343" i="10"/>
  <c r="CI343" i="10"/>
  <c r="CR343" i="10"/>
  <c r="FL343" i="10"/>
  <c r="EH343" i="10"/>
  <c r="EE343" i="10"/>
  <c r="BY259" i="16"/>
  <c r="BY258" i="16" s="1"/>
  <c r="BT343" i="10"/>
  <c r="DJ343" i="10"/>
  <c r="DV343" i="10"/>
  <c r="FF343" i="10"/>
  <c r="EW343" i="10"/>
  <c r="BX317" i="16" l="1"/>
  <c r="BX318" i="16" s="1"/>
  <c r="BS209" i="16"/>
  <c r="BS210" i="16" s="1"/>
  <c r="BP209" i="16"/>
  <c r="BP210" i="16" s="1"/>
  <c r="BP212" i="16"/>
  <c r="BP211" i="16" s="1"/>
  <c r="BU218" i="16"/>
  <c r="BU219" i="16" s="1"/>
  <c r="BP218" i="16"/>
  <c r="BP219" i="16" s="1"/>
  <c r="BM221" i="16"/>
  <c r="BI221" i="16" s="1"/>
  <c r="BU215" i="16"/>
  <c r="BU214" i="16" s="1"/>
  <c r="BS215" i="16"/>
  <c r="BS214" i="16" s="1"/>
  <c r="BK218" i="16"/>
  <c r="BK219" i="16" s="1"/>
  <c r="BH218" i="16"/>
  <c r="BH217" i="16" s="1"/>
  <c r="BP221" i="16"/>
  <c r="BM209" i="16"/>
  <c r="BM210" i="16" s="1"/>
  <c r="BH209" i="16"/>
  <c r="BH210" i="16" s="1"/>
  <c r="BM227" i="16"/>
  <c r="BM228" i="16" s="1"/>
  <c r="BH227" i="16"/>
  <c r="BH228" i="16" s="1"/>
  <c r="BY269" i="16"/>
  <c r="BU236" i="16"/>
  <c r="BU237" i="16" s="1"/>
  <c r="BS236" i="16"/>
  <c r="BS237" i="16" s="1"/>
  <c r="BP236" i="16"/>
  <c r="BP237" i="16" s="1"/>
  <c r="BH233" i="16"/>
  <c r="BH232" i="16" s="1"/>
  <c r="BI232" i="16" s="1"/>
  <c r="BM236" i="16"/>
  <c r="BM237" i="16" s="1"/>
  <c r="BK236" i="16"/>
  <c r="BK237" i="16" s="1"/>
  <c r="BH236" i="16"/>
  <c r="BH237" i="16" s="1"/>
  <c r="BM224" i="16"/>
  <c r="BM225" i="16" s="1"/>
  <c r="BK224" i="16"/>
  <c r="BK225" i="16" s="1"/>
  <c r="BH224" i="16"/>
  <c r="BH225" i="16" s="1"/>
  <c r="BM248" i="16"/>
  <c r="BM247" i="16" s="1"/>
  <c r="BK248" i="16"/>
  <c r="BK247" i="16" s="1"/>
  <c r="BK242" i="16"/>
  <c r="BK243" i="16" s="1"/>
  <c r="BS242" i="16"/>
  <c r="BS243" i="16" s="1"/>
  <c r="BS245" i="16"/>
  <c r="BS246" i="16" s="1"/>
  <c r="BU230" i="16"/>
  <c r="BU231" i="16" s="1"/>
  <c r="BS230" i="16"/>
  <c r="BS231" i="16" s="1"/>
  <c r="BP230" i="16"/>
  <c r="BP231" i="16" s="1"/>
  <c r="BU248" i="16"/>
  <c r="BU247" i="16" s="1"/>
  <c r="BS248" i="16"/>
  <c r="BS247" i="16" s="1"/>
  <c r="BU239" i="16"/>
  <c r="BU240" i="16" s="1"/>
  <c r="BS239" i="16"/>
  <c r="BS238" i="16" s="1"/>
  <c r="BM239" i="16"/>
  <c r="BM240" i="16" s="1"/>
  <c r="BH239" i="16"/>
  <c r="BH240" i="16" s="1"/>
  <c r="AR239" i="16"/>
  <c r="AR240" i="16" s="1"/>
  <c r="AU239" i="16"/>
  <c r="AU240" i="16" s="1"/>
  <c r="AR236" i="16"/>
  <c r="AR237" i="16" s="1"/>
  <c r="AR227" i="16"/>
  <c r="AR228" i="16" s="1"/>
  <c r="AF341" i="16"/>
  <c r="AF339" i="16" s="1"/>
  <c r="BM215" i="16"/>
  <c r="BM214" i="16" s="1"/>
  <c r="BH215" i="16"/>
  <c r="BH214" i="16" s="1"/>
  <c r="AL326" i="16"/>
  <c r="AL325" i="16" s="1"/>
  <c r="AL347" i="16"/>
  <c r="AL348" i="16" s="1"/>
  <c r="AL351" i="16"/>
  <c r="BY278" i="16"/>
  <c r="BY263" i="16"/>
  <c r="BW343" i="10" s="1"/>
  <c r="AM281" i="16"/>
  <c r="AM280" i="16" s="1"/>
  <c r="AJ317" i="16"/>
  <c r="AF296" i="16"/>
  <c r="AF294" i="16" s="1"/>
  <c r="AF230" i="16"/>
  <c r="AF232" i="16" s="1"/>
  <c r="BY296" i="16"/>
  <c r="AJ371" i="16"/>
  <c r="AJ372" i="16" s="1"/>
  <c r="AK266" i="16"/>
  <c r="AK264" i="16" s="1"/>
  <c r="BS208" i="16"/>
  <c r="BS207" i="16" s="1"/>
  <c r="AL362" i="16"/>
  <c r="AL363" i="16" s="1"/>
  <c r="AV302" i="16"/>
  <c r="AV300" i="16" s="1"/>
  <c r="AW300" i="16" s="1"/>
  <c r="DE332" i="10" s="1"/>
  <c r="DE331" i="10" s="1"/>
  <c r="BM251" i="16"/>
  <c r="BM252" i="16" s="1"/>
  <c r="BI252" i="16" s="1"/>
  <c r="BE345" i="10" s="1"/>
  <c r="BU227" i="16"/>
  <c r="BU228" i="16" s="1"/>
  <c r="BP227" i="16"/>
  <c r="BP226" i="16" s="1"/>
  <c r="AF317" i="16"/>
  <c r="AG266" i="16"/>
  <c r="AG268" i="16" s="1"/>
  <c r="AG263" i="16"/>
  <c r="AG261" i="16" s="1"/>
  <c r="AF278" i="16"/>
  <c r="AF277" i="16" s="1"/>
  <c r="AF362" i="16"/>
  <c r="AF363" i="16" s="1"/>
  <c r="AF359" i="16"/>
  <c r="AF358" i="16" s="1"/>
  <c r="AJ347" i="16"/>
  <c r="AJ349" i="16" s="1"/>
  <c r="AJ344" i="16"/>
  <c r="AG281" i="16"/>
  <c r="AG283" i="16" s="1"/>
  <c r="BU216" i="16"/>
  <c r="AF257" i="16"/>
  <c r="AF259" i="16" s="1"/>
  <c r="AF254" i="16"/>
  <c r="AF252" i="16" s="1"/>
  <c r="AJ77" i="10" s="1"/>
  <c r="AP77" i="10" s="1"/>
  <c r="AJ353" i="16"/>
  <c r="AJ354" i="16" s="1"/>
  <c r="AL341" i="16"/>
  <c r="AL342" i="16" s="1"/>
  <c r="AJ332" i="16"/>
  <c r="AJ330" i="16" s="1"/>
  <c r="AJ311" i="16"/>
  <c r="AJ312" i="16" s="1"/>
  <c r="BU251" i="16"/>
  <c r="BU252" i="16" s="1"/>
  <c r="AS236" i="16"/>
  <c r="AS235" i="16" s="1"/>
  <c r="BV236" i="16"/>
  <c r="BV237" i="16" s="1"/>
  <c r="BO236" i="16"/>
  <c r="BO237" i="16" s="1"/>
  <c r="AJ293" i="16"/>
  <c r="AJ290" i="16"/>
  <c r="AL290" i="16"/>
  <c r="AL288" i="16" s="1"/>
  <c r="AT224" i="16"/>
  <c r="AT225" i="16" s="1"/>
  <c r="AS215" i="16"/>
  <c r="AS216" i="16" s="1"/>
  <c r="BV209" i="16"/>
  <c r="BV208" i="16" s="1"/>
  <c r="BV207" i="16" s="1"/>
  <c r="BU217" i="16"/>
  <c r="BP217" i="16"/>
  <c r="AF332" i="16"/>
  <c r="AF330" i="16" s="1"/>
  <c r="AS212" i="16"/>
  <c r="AS211" i="16" s="1"/>
  <c r="AK293" i="16"/>
  <c r="AK291" i="16" s="1"/>
  <c r="AL335" i="16"/>
  <c r="AL337" i="16" s="1"/>
  <c r="BW224" i="16"/>
  <c r="AS233" i="16"/>
  <c r="AS232" i="16" s="1"/>
  <c r="BO239" i="16"/>
  <c r="BO240" i="16" s="1"/>
  <c r="AJ380" i="16"/>
  <c r="AJ378" i="16" s="1"/>
  <c r="AR230" i="16"/>
  <c r="AR231" i="16" s="1"/>
  <c r="BO215" i="16"/>
  <c r="BO216" i="16" s="1"/>
  <c r="AT227" i="16"/>
  <c r="AT228" i="16" s="1"/>
  <c r="AG287" i="16"/>
  <c r="AG285" i="16" s="1"/>
  <c r="AR215" i="16"/>
  <c r="AR216" i="16" s="1"/>
  <c r="AT209" i="16"/>
  <c r="AT210" i="16" s="1"/>
  <c r="AT212" i="16"/>
  <c r="AT213" i="16" s="1"/>
  <c r="AR224" i="16"/>
  <c r="AR225" i="16" s="1"/>
  <c r="BW218" i="16"/>
  <c r="BW219" i="16" s="1"/>
  <c r="AS227" i="16"/>
  <c r="AS228" i="16" s="1"/>
  <c r="AR233" i="16"/>
  <c r="AR234" i="16" s="1"/>
  <c r="BV221" i="16"/>
  <c r="BV222" i="16" s="1"/>
  <c r="AT215" i="16"/>
  <c r="AT214" i="16" s="1"/>
  <c r="BY320" i="16"/>
  <c r="AR218" i="16"/>
  <c r="AR219" i="16" s="1"/>
  <c r="AR212" i="16"/>
  <c r="AR213" i="16" s="1"/>
  <c r="AS221" i="16"/>
  <c r="AS222" i="16" s="1"/>
  <c r="BO224" i="16"/>
  <c r="BO225" i="16" s="1"/>
  <c r="BW239" i="16"/>
  <c r="BW240" i="16" s="1"/>
  <c r="AU233" i="16"/>
  <c r="AU234" i="16" s="1"/>
  <c r="BY305" i="16"/>
  <c r="BY230" i="16"/>
  <c r="BY229" i="16" s="1"/>
  <c r="BY233" i="16"/>
  <c r="BY232" i="16" s="1"/>
  <c r="BY236" i="16"/>
  <c r="BY237" i="16" s="1"/>
  <c r="BY238" i="16" s="1"/>
  <c r="BW212" i="16"/>
  <c r="BW227" i="16"/>
  <c r="BW228" i="16" s="1"/>
  <c r="AF350" i="16"/>
  <c r="AF352" i="16" s="1"/>
  <c r="AF323" i="16"/>
  <c r="AF321" i="16" s="1"/>
  <c r="AK278" i="16"/>
  <c r="AK280" i="16" s="1"/>
  <c r="AF302" i="16"/>
  <c r="AF303" i="16" s="1"/>
  <c r="AF269" i="16"/>
  <c r="AF267" i="16" s="1"/>
  <c r="AV227" i="16"/>
  <c r="AV226" i="16" s="1"/>
  <c r="AJ227" i="16"/>
  <c r="AJ225" i="16" s="1"/>
  <c r="BO230" i="16"/>
  <c r="AV296" i="16"/>
  <c r="AV297" i="16" s="1"/>
  <c r="AW297" i="16" s="1"/>
  <c r="DB332" i="10" s="1"/>
  <c r="DB331" i="10" s="1"/>
  <c r="AT218" i="16"/>
  <c r="AT219" i="16" s="1"/>
  <c r="AG245" i="16"/>
  <c r="AG247" i="16" s="1"/>
  <c r="AL72" i="10" s="1"/>
  <c r="AP72" i="10" s="1"/>
  <c r="AL227" i="16"/>
  <c r="AL229" i="16" s="1"/>
  <c r="BW215" i="16"/>
  <c r="BW216" i="16" s="1"/>
  <c r="AJ221" i="16"/>
  <c r="AJ222" i="16" s="1"/>
  <c r="AJ218" i="16"/>
  <c r="AJ217" i="16" s="1"/>
  <c r="BY248" i="16"/>
  <c r="AG236" i="16"/>
  <c r="AG234" i="16" s="1"/>
  <c r="AM233" i="16"/>
  <c r="AM235" i="16" s="1"/>
  <c r="AV260" i="16"/>
  <c r="AW260" i="16" s="1"/>
  <c r="AL218" i="16"/>
  <c r="AL219" i="16" s="1"/>
  <c r="AG314" i="16"/>
  <c r="AG315" i="16" s="1"/>
  <c r="AK308" i="16"/>
  <c r="AK309" i="16" s="1"/>
  <c r="AG305" i="16"/>
  <c r="AG303" i="16" s="1"/>
  <c r="AX239" i="16"/>
  <c r="AX241" i="16" s="1"/>
  <c r="AL254" i="16"/>
  <c r="AL256" i="16" s="1"/>
  <c r="AJ257" i="16"/>
  <c r="AJ259" i="16" s="1"/>
  <c r="AX326" i="16"/>
  <c r="AX328" i="16" s="1"/>
  <c r="AV263" i="16"/>
  <c r="AW263" i="16" s="1"/>
  <c r="AK257" i="16"/>
  <c r="AK255" i="16" s="1"/>
  <c r="AX80" i="10" s="1"/>
  <c r="BQ221" i="16" l="1"/>
  <c r="BQ212" i="16"/>
  <c r="CL426" i="10"/>
  <c r="H29" i="19"/>
  <c r="AR77" i="10"/>
  <c r="BD77" i="10" s="1"/>
  <c r="BE77" i="10" s="1"/>
  <c r="U17" i="16"/>
  <c r="AV228" i="16"/>
  <c r="AW228" i="16" s="1"/>
  <c r="AG262" i="16"/>
  <c r="AF357" i="16"/>
  <c r="AG235" i="16"/>
  <c r="BY231" i="16"/>
  <c r="AV229" i="16"/>
  <c r="AW229" i="16" s="1"/>
  <c r="AX238" i="16"/>
  <c r="AM234" i="16"/>
  <c r="BH208" i="16"/>
  <c r="BK223" i="16"/>
  <c r="BV210" i="16"/>
  <c r="AV259" i="16"/>
  <c r="AW259" i="16" s="1"/>
  <c r="BQ218" i="16"/>
  <c r="AV265" i="16"/>
  <c r="AW265" i="16" s="1"/>
  <c r="BH216" i="16"/>
  <c r="BP208" i="16"/>
  <c r="BP207" i="16" s="1"/>
  <c r="BQ207" i="16" s="1"/>
  <c r="BQ209" i="16"/>
  <c r="BS216" i="16"/>
  <c r="BQ216" i="16" s="1"/>
  <c r="BM208" i="16"/>
  <c r="BM223" i="16"/>
  <c r="AV258" i="16"/>
  <c r="AW258" i="16" s="1"/>
  <c r="BO332" i="10" s="1"/>
  <c r="BO331" i="10" s="1"/>
  <c r="BM226" i="16"/>
  <c r="BW211" i="16"/>
  <c r="BQ211" i="16" s="1"/>
  <c r="BI211" i="16"/>
  <c r="AR72" i="10"/>
  <c r="BV72" i="10" s="1"/>
  <c r="AA12" i="16" s="1"/>
  <c r="AJ216" i="16"/>
  <c r="BO231" i="16"/>
  <c r="BI231" i="16" s="1"/>
  <c r="BI230" i="16"/>
  <c r="BW223" i="16"/>
  <c r="BQ223" i="16" s="1"/>
  <c r="BQ224" i="16"/>
  <c r="AV261" i="16"/>
  <c r="AW261" i="16" s="1"/>
  <c r="BR332" i="10" s="1"/>
  <c r="BR331" i="10" s="1"/>
  <c r="AK256" i="16"/>
  <c r="AW302" i="16"/>
  <c r="BH235" i="16"/>
  <c r="BK241" i="16"/>
  <c r="BM235" i="16"/>
  <c r="AV301" i="16"/>
  <c r="AW301" i="16" s="1"/>
  <c r="AV304" i="16"/>
  <c r="AW304" i="16" s="1"/>
  <c r="BI227" i="16"/>
  <c r="BP228" i="16"/>
  <c r="BQ228" i="16" s="1"/>
  <c r="BH226" i="16"/>
  <c r="AM232" i="16"/>
  <c r="BI218" i="16"/>
  <c r="AG267" i="16"/>
  <c r="BU249" i="16"/>
  <c r="BI215" i="16"/>
  <c r="BU229" i="16"/>
  <c r="AT217" i="16"/>
  <c r="BS235" i="16"/>
  <c r="AV298" i="16"/>
  <c r="AW298" i="16" s="1"/>
  <c r="BM216" i="16"/>
  <c r="BM249" i="16"/>
  <c r="BS241" i="16"/>
  <c r="BP229" i="16"/>
  <c r="BH223" i="16"/>
  <c r="BK217" i="16"/>
  <c r="BI217" i="16" s="1"/>
  <c r="BP213" i="16"/>
  <c r="AR214" i="16"/>
  <c r="AV262" i="16"/>
  <c r="AW262" i="16" s="1"/>
  <c r="AL217" i="16"/>
  <c r="AJ219" i="16"/>
  <c r="AL226" i="16"/>
  <c r="AJ226" i="16"/>
  <c r="AT211" i="16"/>
  <c r="AT208" i="16"/>
  <c r="AS214" i="16"/>
  <c r="AV264" i="16"/>
  <c r="AW264" i="16" s="1"/>
  <c r="BU332" i="10" s="1"/>
  <c r="BU331" i="10" s="1"/>
  <c r="AL216" i="16"/>
  <c r="AJ223" i="16"/>
  <c r="AR217" i="16"/>
  <c r="AS213" i="16"/>
  <c r="AG264" i="16"/>
  <c r="BI209" i="16"/>
  <c r="AR229" i="16"/>
  <c r="AT223" i="16"/>
  <c r="AK268" i="16"/>
  <c r="BY262" i="16"/>
  <c r="AK306" i="16"/>
  <c r="BO223" i="16"/>
  <c r="BP222" i="16"/>
  <c r="BQ222" i="16" s="1"/>
  <c r="BH219" i="16"/>
  <c r="BI219" i="16" s="1"/>
  <c r="AR223" i="16"/>
  <c r="BP220" i="16"/>
  <c r="BQ227" i="16"/>
  <c r="AW296" i="16"/>
  <c r="AJ79" i="10"/>
  <c r="AP79" i="10" s="1"/>
  <c r="U19" i="16" s="1"/>
  <c r="BB19" i="16" s="1"/>
  <c r="U82" i="19" s="1"/>
  <c r="AF253" i="16"/>
  <c r="AJ78" i="10" s="1"/>
  <c r="AP78" i="10" s="1"/>
  <c r="AL225" i="16"/>
  <c r="BO229" i="16"/>
  <c r="BI229" i="16" s="1"/>
  <c r="AU232" i="16"/>
  <c r="AS226" i="16"/>
  <c r="AV303" i="16"/>
  <c r="AW303" i="16" s="1"/>
  <c r="DH332" i="10" s="1"/>
  <c r="DH331" i="10" s="1"/>
  <c r="AK265" i="16"/>
  <c r="AR226" i="16"/>
  <c r="BP235" i="16"/>
  <c r="AV295" i="16"/>
  <c r="AW295" i="16" s="1"/>
  <c r="AJ220" i="16"/>
  <c r="AK276" i="16"/>
  <c r="AJ345" i="16"/>
  <c r="BU226" i="16"/>
  <c r="AK267" i="16"/>
  <c r="AX325" i="16"/>
  <c r="BI251" i="16"/>
  <c r="BB345" i="10" s="1"/>
  <c r="AL220" i="16"/>
  <c r="AR232" i="16"/>
  <c r="AT226" i="16"/>
  <c r="AS234" i="16"/>
  <c r="AS237" i="16"/>
  <c r="BK249" i="16"/>
  <c r="BS229" i="16"/>
  <c r="BM222" i="16"/>
  <c r="BI222" i="16" s="1"/>
  <c r="BM220" i="16"/>
  <c r="BI220" i="16" s="1"/>
  <c r="AG304" i="16"/>
  <c r="AL228" i="16"/>
  <c r="AJ228" i="16"/>
  <c r="BO238" i="16"/>
  <c r="BV235" i="16"/>
  <c r="AF229" i="16"/>
  <c r="AR238" i="16"/>
  <c r="AJ229" i="16"/>
  <c r="BO235" i="16"/>
  <c r="AF228" i="16"/>
  <c r="AJ342" i="16"/>
  <c r="AJ292" i="16"/>
  <c r="BI233" i="16"/>
  <c r="CI426" i="10"/>
  <c r="U12" i="16"/>
  <c r="AF333" i="16"/>
  <c r="BI236" i="16"/>
  <c r="BQ210" i="16"/>
  <c r="EF331" i="10"/>
  <c r="AK307" i="16"/>
  <c r="BS244" i="16"/>
  <c r="AK310" i="16"/>
  <c r="AG313" i="16"/>
  <c r="AK292" i="16"/>
  <c r="AG312" i="16"/>
  <c r="AK295" i="16"/>
  <c r="AL349" i="16"/>
  <c r="AJ289" i="16"/>
  <c r="AJ331" i="16"/>
  <c r="AF298" i="16"/>
  <c r="AF268" i="16"/>
  <c r="AJ343" i="16"/>
  <c r="AL360" i="16"/>
  <c r="H24" i="19"/>
  <c r="H224" i="19" s="1"/>
  <c r="AG286" i="16"/>
  <c r="BQ236" i="16"/>
  <c r="BS249" i="16"/>
  <c r="BQ230" i="16"/>
  <c r="AR235" i="16"/>
  <c r="BQ239" i="16"/>
  <c r="BQ231" i="16"/>
  <c r="BH234" i="16"/>
  <c r="BI234" i="16" s="1"/>
  <c r="AX324" i="16"/>
  <c r="AX327" i="16"/>
  <c r="AG316" i="16"/>
  <c r="DM343" i="10"/>
  <c r="BQ215" i="16"/>
  <c r="AG288" i="16"/>
  <c r="AJ291" i="16"/>
  <c r="AG280" i="16"/>
  <c r="AJ348" i="16"/>
  <c r="BM250" i="16"/>
  <c r="BI250" i="16" s="1"/>
  <c r="AY345" i="10" s="1"/>
  <c r="AF231" i="16"/>
  <c r="BS240" i="16"/>
  <c r="BQ240" i="16" s="1"/>
  <c r="AL328" i="16"/>
  <c r="BI239" i="16"/>
  <c r="AU238" i="16"/>
  <c r="BK235" i="16"/>
  <c r="BH238" i="16"/>
  <c r="BI228" i="16"/>
  <c r="AK277" i="16"/>
  <c r="BW238" i="16"/>
  <c r="BI237" i="16" s="1"/>
  <c r="AG289" i="16"/>
  <c r="AL289" i="16"/>
  <c r="BU250" i="16"/>
  <c r="AJ355" i="16"/>
  <c r="AG279" i="16"/>
  <c r="AL361" i="16"/>
  <c r="BU235" i="16"/>
  <c r="BQ237" i="16"/>
  <c r="BM238" i="16"/>
  <c r="AW227" i="16"/>
  <c r="EB343" i="10"/>
  <c r="AM282" i="16"/>
  <c r="AG307" i="16"/>
  <c r="AG306" i="16"/>
  <c r="BX319" i="16"/>
  <c r="BX316" i="16"/>
  <c r="DW343" i="10"/>
  <c r="DY343" i="10" s="1"/>
  <c r="AM283" i="16"/>
  <c r="CL343" i="10"/>
  <c r="AL252" i="16"/>
  <c r="BH77" i="10" s="1"/>
  <c r="BQ77" i="10" s="1"/>
  <c r="P29" i="19" s="1"/>
  <c r="P229" i="19" s="1"/>
  <c r="AL253" i="16"/>
  <c r="BH78" i="10" s="1"/>
  <c r="BQ78" i="10" s="1"/>
  <c r="P30" i="19" s="1"/>
  <c r="BK141" i="12" s="1"/>
  <c r="AF351" i="16"/>
  <c r="AJ379" i="16"/>
  <c r="AL334" i="16"/>
  <c r="AF331" i="16"/>
  <c r="AJ333" i="16"/>
  <c r="AL339" i="16"/>
  <c r="AJ351" i="16"/>
  <c r="AJ346" i="16"/>
  <c r="AJ373" i="16"/>
  <c r="AF297" i="16"/>
  <c r="AF342" i="16"/>
  <c r="AL336" i="16"/>
  <c r="AJ334" i="16"/>
  <c r="AL343" i="16"/>
  <c r="AF361" i="16"/>
  <c r="AJ370" i="16"/>
  <c r="AL255" i="16"/>
  <c r="BH80" i="10" s="1"/>
  <c r="BQ80" i="10" s="1"/>
  <c r="P32" i="19" s="1"/>
  <c r="S32" i="19" s="1"/>
  <c r="AF270" i="16"/>
  <c r="AF349" i="16"/>
  <c r="BH79" i="10"/>
  <c r="BQ79" i="10" s="1"/>
  <c r="P31" i="19" s="1"/>
  <c r="BK142" i="12" s="1"/>
  <c r="AF348" i="16"/>
  <c r="AL333" i="16"/>
  <c r="AL340" i="16"/>
  <c r="AJ352" i="16"/>
  <c r="AF258" i="16"/>
  <c r="AF295" i="16"/>
  <c r="AL346" i="16"/>
  <c r="AF343" i="16"/>
  <c r="AF322" i="16"/>
  <c r="AF318" i="16"/>
  <c r="AF315" i="16"/>
  <c r="AF319" i="16"/>
  <c r="DD343" i="10"/>
  <c r="AJ318" i="16"/>
  <c r="AJ316" i="16"/>
  <c r="AJ315" i="16"/>
  <c r="AF301" i="16"/>
  <c r="AK258" i="16"/>
  <c r="AJ255" i="16"/>
  <c r="AV80" i="10" s="1"/>
  <c r="BB80" i="10" s="1"/>
  <c r="AX237" i="16"/>
  <c r="AG243" i="16"/>
  <c r="AL68" i="10" s="1"/>
  <c r="AP68" i="10" s="1"/>
  <c r="AG244" i="16"/>
  <c r="AL69" i="10" s="1"/>
  <c r="AP69" i="10" s="1"/>
  <c r="H21" i="19" s="1"/>
  <c r="BC132" i="12" s="1"/>
  <c r="BB132" i="12" s="1"/>
  <c r="AM231" i="16"/>
  <c r="AG237" i="16"/>
  <c r="AS343" i="10"/>
  <c r="AV225" i="16"/>
  <c r="AW225" i="16" s="1"/>
  <c r="AW226" i="16"/>
  <c r="AF271" i="16"/>
  <c r="AF300" i="16"/>
  <c r="AK279" i="16"/>
  <c r="AF324" i="16"/>
  <c r="AJ288" i="16"/>
  <c r="BW213" i="16"/>
  <c r="BI212" i="16" s="1"/>
  <c r="BY235" i="16"/>
  <c r="BY234" i="16" s="1"/>
  <c r="AR211" i="16"/>
  <c r="BV220" i="16"/>
  <c r="AJ381" i="16"/>
  <c r="AK294" i="16"/>
  <c r="AF334" i="16"/>
  <c r="AL292" i="16"/>
  <c r="AJ294" i="16"/>
  <c r="AJ295" i="16"/>
  <c r="AF256" i="16"/>
  <c r="AF255" i="16"/>
  <c r="AJ80" i="10" s="1"/>
  <c r="AP80" i="10" s="1"/>
  <c r="U20" i="16" s="1"/>
  <c r="AF279" i="16"/>
  <c r="AF276" i="16"/>
  <c r="AF280" i="16"/>
  <c r="AK259" i="16"/>
  <c r="AJ258" i="16"/>
  <c r="AX240" i="16"/>
  <c r="AG238" i="16"/>
  <c r="BW214" i="16"/>
  <c r="BI213" i="16" s="1"/>
  <c r="AV294" i="16"/>
  <c r="AW294" i="16" s="1"/>
  <c r="CY332" i="10" s="1"/>
  <c r="CY331" i="10" s="1"/>
  <c r="AF304" i="16"/>
  <c r="AF325" i="16"/>
  <c r="BW226" i="16"/>
  <c r="BI225" i="16" s="1"/>
  <c r="AS220" i="16"/>
  <c r="AT216" i="16"/>
  <c r="BW217" i="16"/>
  <c r="BQ217" i="16" s="1"/>
  <c r="AJ382" i="16"/>
  <c r="BW225" i="16"/>
  <c r="BQ225" i="16" s="1"/>
  <c r="AL291" i="16"/>
  <c r="AJ309" i="16"/>
  <c r="AJ310" i="16"/>
  <c r="AJ313" i="16"/>
  <c r="AJ256" i="16"/>
  <c r="AL70" i="10"/>
  <c r="AP70" i="10" s="1"/>
  <c r="H22" i="19" s="1"/>
  <c r="BC133" i="12" s="1"/>
  <c r="BB133" i="12" s="1"/>
  <c r="AG246" i="16"/>
  <c r="AL71" i="10" s="1"/>
  <c r="AP71" i="10" s="1"/>
  <c r="H23" i="19" s="1"/>
  <c r="BC134" i="12" s="1"/>
  <c r="BB134" i="12" s="1"/>
  <c r="BO214" i="16"/>
  <c r="BI214" i="16" s="1"/>
  <c r="AF316" i="16"/>
  <c r="AJ319" i="16"/>
  <c r="BI210" i="16"/>
  <c r="BQ219" i="16"/>
  <c r="AM279" i="16"/>
  <c r="AL345" i="16"/>
  <c r="AL327" i="16"/>
  <c r="BU238" i="16"/>
  <c r="BQ238" i="16" s="1"/>
  <c r="CC343" i="10"/>
  <c r="AL324" i="16"/>
  <c r="AF340" i="16"/>
  <c r="BX315" i="16"/>
  <c r="AG282" i="16"/>
  <c r="AF364" i="16"/>
  <c r="AG265" i="16"/>
  <c r="AL364" i="16"/>
  <c r="AJ369" i="16"/>
  <c r="AF360" i="16"/>
  <c r="V83" i="12" l="1"/>
  <c r="AE231" i="19"/>
  <c r="BI226" i="16"/>
  <c r="BQ220" i="16"/>
  <c r="BQ208" i="16"/>
  <c r="BY247" i="16"/>
  <c r="BH19" i="16"/>
  <c r="BI208" i="16"/>
  <c r="P231" i="19"/>
  <c r="BH20" i="16"/>
  <c r="BA19" i="16"/>
  <c r="R82" i="19" s="1"/>
  <c r="Y231" i="19" s="1"/>
  <c r="BF19" i="16"/>
  <c r="P230" i="19"/>
  <c r="S31" i="19"/>
  <c r="S231" i="19" s="1"/>
  <c r="S30" i="19"/>
  <c r="BN141" i="12" s="1"/>
  <c r="BK140" i="12"/>
  <c r="BY250" i="16"/>
  <c r="S29" i="19"/>
  <c r="AR79" i="10"/>
  <c r="BD79" i="10" s="1"/>
  <c r="BE79" i="10" s="1"/>
  <c r="T19" i="16"/>
  <c r="BM19" i="16" s="1"/>
  <c r="BN19" i="16" s="1"/>
  <c r="BR19" i="16" s="1"/>
  <c r="BS19" i="16" s="1"/>
  <c r="BT19" i="16" s="1"/>
  <c r="H31" i="19"/>
  <c r="BC142" i="12" s="1"/>
  <c r="BB142" i="12" s="1"/>
  <c r="P232" i="19"/>
  <c r="BK143" i="12"/>
  <c r="T20" i="16"/>
  <c r="BM20" i="16" s="1"/>
  <c r="BN20" i="16" s="1"/>
  <c r="Y18" i="16"/>
  <c r="BP18" i="16" s="1"/>
  <c r="AG25" i="19"/>
  <c r="BF20" i="16"/>
  <c r="BB20" i="16"/>
  <c r="U83" i="19" s="1"/>
  <c r="BA20" i="16"/>
  <c r="R83" i="19" s="1"/>
  <c r="S84" i="12" s="1"/>
  <c r="V20" i="16"/>
  <c r="BO20" i="16" s="1"/>
  <c r="J32" i="19"/>
  <c r="J232" i="19" s="1"/>
  <c r="AR80" i="10"/>
  <c r="BD80" i="10" s="1"/>
  <c r="BE80" i="10" s="1"/>
  <c r="BT77" i="10"/>
  <c r="BV77" i="10" s="1"/>
  <c r="AA17" i="16" s="1"/>
  <c r="BT80" i="10"/>
  <c r="Z20" i="16" s="1"/>
  <c r="H32" i="19"/>
  <c r="H232" i="19" s="1"/>
  <c r="Y19" i="16"/>
  <c r="BP19" i="16" s="1"/>
  <c r="H30" i="19"/>
  <c r="AR78" i="10"/>
  <c r="BD78" i="10" s="1"/>
  <c r="BE78" i="10" s="1"/>
  <c r="U18" i="16"/>
  <c r="Y20" i="16"/>
  <c r="BP20" i="16" s="1"/>
  <c r="H229" i="19"/>
  <c r="F29" i="19"/>
  <c r="G29" i="19"/>
  <c r="BC140" i="12"/>
  <c r="BB140" i="12" s="1"/>
  <c r="Y17" i="16"/>
  <c r="BP17" i="16" s="1"/>
  <c r="BT78" i="10"/>
  <c r="CM426" i="10"/>
  <c r="BT79" i="10"/>
  <c r="Z19" i="16" s="1"/>
  <c r="T17" i="16"/>
  <c r="BM17" i="16" s="1"/>
  <c r="BN17" i="16" s="1"/>
  <c r="BR17" i="16" s="1"/>
  <c r="BS17" i="16" s="1"/>
  <c r="BT17" i="16" s="1"/>
  <c r="BF17" i="16"/>
  <c r="BH17" i="16"/>
  <c r="BA17" i="16"/>
  <c r="R80" i="19" s="1"/>
  <c r="BB17" i="16"/>
  <c r="U80" i="19" s="1"/>
  <c r="BQ214" i="16"/>
  <c r="BQ213" i="16"/>
  <c r="CF426" i="10"/>
  <c r="BD72" i="10"/>
  <c r="BE72" i="10" s="1"/>
  <c r="F21" i="19"/>
  <c r="L21" i="19" s="1"/>
  <c r="M21" i="19" s="1"/>
  <c r="U9" i="16"/>
  <c r="H221" i="19"/>
  <c r="F23" i="19"/>
  <c r="BA134" i="12" s="1"/>
  <c r="F22" i="19"/>
  <c r="L22" i="19" s="1"/>
  <c r="L222" i="19" s="1"/>
  <c r="AR69" i="10"/>
  <c r="BV69" i="10" s="1"/>
  <c r="AA9" i="16" s="1"/>
  <c r="AR68" i="10"/>
  <c r="H20" i="19"/>
  <c r="U8" i="16"/>
  <c r="U23" i="6" s="1"/>
  <c r="U24" i="6" s="1"/>
  <c r="AR70" i="10"/>
  <c r="BV70" i="10" s="1"/>
  <c r="AA10" i="16" s="1"/>
  <c r="U10" i="16"/>
  <c r="G23" i="19"/>
  <c r="H222" i="19"/>
  <c r="AR71" i="10"/>
  <c r="BV71" i="10" s="1"/>
  <c r="AA11" i="16" s="1"/>
  <c r="G21" i="19"/>
  <c r="H223" i="19"/>
  <c r="G22" i="19"/>
  <c r="U11" i="16"/>
  <c r="CH426" i="10"/>
  <c r="CG426" i="10"/>
  <c r="BI216" i="16"/>
  <c r="BI235" i="16"/>
  <c r="BQ229" i="16"/>
  <c r="BQ226" i="16"/>
  <c r="BI223" i="16"/>
  <c r="BI224" i="16"/>
  <c r="BI238" i="16"/>
  <c r="BH12" i="16"/>
  <c r="T12" i="16"/>
  <c r="BM12" i="16" s="1"/>
  <c r="BN12" i="16" s="1"/>
  <c r="BR12" i="16" s="1"/>
  <c r="BS12" i="16" s="1"/>
  <c r="BT12" i="16" s="1"/>
  <c r="BB12" i="16"/>
  <c r="U75" i="19" s="1"/>
  <c r="BA12" i="16"/>
  <c r="R75" i="19" s="1"/>
  <c r="Y224" i="19" s="1"/>
  <c r="BF12" i="16"/>
  <c r="BQ235" i="16"/>
  <c r="BC135" i="12"/>
  <c r="BB135" i="12" s="1"/>
  <c r="F24" i="19"/>
  <c r="G24" i="19"/>
  <c r="S232" i="19"/>
  <c r="BN143" i="12"/>
  <c r="BA10" i="16" l="1"/>
  <c r="R73" i="19" s="1"/>
  <c r="S74" i="12" s="1"/>
  <c r="BB10" i="16"/>
  <c r="U73" i="19" s="1"/>
  <c r="V84" i="12"/>
  <c r="AE232" i="19"/>
  <c r="V76" i="12"/>
  <c r="AE224" i="19"/>
  <c r="V81" i="12"/>
  <c r="AE229" i="19"/>
  <c r="AP343" i="10"/>
  <c r="BY246" i="16"/>
  <c r="AM343" i="10" s="1"/>
  <c r="BV78" i="10"/>
  <c r="AA18" i="16" s="1"/>
  <c r="AY343" i="10"/>
  <c r="BY249" i="16"/>
  <c r="AV343" i="10" s="1"/>
  <c r="BC143" i="12"/>
  <c r="BB143" i="12" s="1"/>
  <c r="V23" i="6"/>
  <c r="V24" i="6" s="1"/>
  <c r="AA74" i="19" s="1"/>
  <c r="AB75" i="12" s="1"/>
  <c r="BA133" i="12"/>
  <c r="Q81" i="6"/>
  <c r="Q82" i="6" s="1"/>
  <c r="S83" i="12"/>
  <c r="W19" i="16"/>
  <c r="BQ19" i="16" s="1"/>
  <c r="BK19" i="16" s="1"/>
  <c r="BL19" i="16" s="1"/>
  <c r="X19" i="16" s="1"/>
  <c r="BF80" i="10" s="1"/>
  <c r="CB136" i="12"/>
  <c r="BN142" i="12"/>
  <c r="AG225" i="19"/>
  <c r="AG23" i="19"/>
  <c r="S230" i="19"/>
  <c r="Z18" i="16"/>
  <c r="BV79" i="10"/>
  <c r="AA19" i="16" s="1"/>
  <c r="BN140" i="12"/>
  <c r="S229" i="19"/>
  <c r="G31" i="19"/>
  <c r="F31" i="19"/>
  <c r="L31" i="19" s="1"/>
  <c r="M31" i="19" s="1"/>
  <c r="H231" i="19"/>
  <c r="U29" i="19"/>
  <c r="BP140" i="12" s="1"/>
  <c r="F222" i="19"/>
  <c r="U222" i="19" s="1"/>
  <c r="S81" i="6"/>
  <c r="S82" i="6" s="1"/>
  <c r="L221" i="19"/>
  <c r="U64" i="6"/>
  <c r="U65" i="6" s="1"/>
  <c r="M22" i="19"/>
  <c r="U81" i="6"/>
  <c r="U82" i="6" s="1"/>
  <c r="BA132" i="12"/>
  <c r="BV80" i="10"/>
  <c r="AA20" i="16" s="1"/>
  <c r="Y232" i="19"/>
  <c r="BE143" i="12"/>
  <c r="G32" i="19"/>
  <c r="F32" i="19"/>
  <c r="U32" i="19" s="1"/>
  <c r="BP143" i="12" s="1"/>
  <c r="Z17" i="16"/>
  <c r="W20" i="16"/>
  <c r="BQ20" i="16" s="1"/>
  <c r="BK20" i="16" s="1"/>
  <c r="BL20" i="16" s="1"/>
  <c r="AG30" i="19"/>
  <c r="CB141" i="12" s="1"/>
  <c r="W17" i="16"/>
  <c r="BQ17" i="16" s="1"/>
  <c r="BK17" i="16" s="1"/>
  <c r="BL17" i="16" s="1"/>
  <c r="X17" i="16" s="1"/>
  <c r="BF18" i="16"/>
  <c r="BH18" i="16"/>
  <c r="T18" i="16"/>
  <c r="BM18" i="16" s="1"/>
  <c r="BN18" i="16" s="1"/>
  <c r="BA18" i="16"/>
  <c r="R81" i="19" s="1"/>
  <c r="BB18" i="16"/>
  <c r="U81" i="19" s="1"/>
  <c r="Y229" i="19"/>
  <c r="S81" i="12"/>
  <c r="L29" i="19"/>
  <c r="F229" i="19"/>
  <c r="BA140" i="12"/>
  <c r="G30" i="19"/>
  <c r="H230" i="19"/>
  <c r="F30" i="19"/>
  <c r="L30" i="19" s="1"/>
  <c r="BC141" i="12"/>
  <c r="BB141" i="12" s="1"/>
  <c r="S23" i="6"/>
  <c r="S24" i="6" s="1"/>
  <c r="T23" i="6"/>
  <c r="T24" i="6" s="1"/>
  <c r="S64" i="6"/>
  <c r="S65" i="6" s="1"/>
  <c r="BF10" i="16"/>
  <c r="L23" i="19"/>
  <c r="M23" i="19" s="1"/>
  <c r="AJ21" i="19"/>
  <c r="AT452" i="10" s="1"/>
  <c r="F223" i="19"/>
  <c r="U223" i="19" s="1"/>
  <c r="O23" i="6"/>
  <c r="O24" i="6" s="1"/>
  <c r="Q64" i="6"/>
  <c r="Q65" i="6" s="1"/>
  <c r="Q23" i="6"/>
  <c r="Q24" i="6" s="1"/>
  <c r="R23" i="6"/>
  <c r="R24" i="6" s="1"/>
  <c r="BA9" i="16"/>
  <c r="R72" i="19" s="1"/>
  <c r="Y221" i="19" s="1"/>
  <c r="BG132" i="12"/>
  <c r="BH132" i="12" s="1"/>
  <c r="BG133" i="12"/>
  <c r="BH133" i="12" s="1"/>
  <c r="U21" i="19"/>
  <c r="BP132" i="12" s="1"/>
  <c r="BD71" i="10"/>
  <c r="BE71" i="10" s="1"/>
  <c r="O64" i="6"/>
  <c r="O65" i="6" s="1"/>
  <c r="P23" i="6"/>
  <c r="P24" i="6" s="1"/>
  <c r="O81" i="6"/>
  <c r="O82" i="6" s="1"/>
  <c r="BB9" i="16"/>
  <c r="U72" i="19" s="1"/>
  <c r="U22" i="19"/>
  <c r="BP133" i="12" s="1"/>
  <c r="F221" i="19"/>
  <c r="U221" i="19" s="1"/>
  <c r="BD70" i="10"/>
  <c r="BE70" i="10" s="1"/>
  <c r="BA11" i="16"/>
  <c r="R74" i="19" s="1"/>
  <c r="Y223" i="19" s="1"/>
  <c r="BF9" i="16"/>
  <c r="BH11" i="16"/>
  <c r="BD69" i="10"/>
  <c r="BE69" i="10" s="1"/>
  <c r="BB11" i="16"/>
  <c r="U74" i="19" s="1"/>
  <c r="BF11" i="16"/>
  <c r="T11" i="16"/>
  <c r="W11" i="16" s="1"/>
  <c r="BQ11" i="16" s="1"/>
  <c r="T9" i="16"/>
  <c r="W9" i="16" s="1"/>
  <c r="BQ9" i="16" s="1"/>
  <c r="BH9" i="16"/>
  <c r="CN426" i="10"/>
  <c r="BC426" i="10" s="1"/>
  <c r="BB426" i="10" s="1"/>
  <c r="W12" i="16"/>
  <c r="BQ12" i="16" s="1"/>
  <c r="BK12" i="16" s="1"/>
  <c r="BL12" i="16" s="1"/>
  <c r="X12" i="16" s="1"/>
  <c r="AJ19" i="19"/>
  <c r="AM452" i="10" s="1"/>
  <c r="BH10" i="16"/>
  <c r="T10" i="16"/>
  <c r="W10" i="16" s="1"/>
  <c r="U23" i="19"/>
  <c r="BP134" i="12" s="1"/>
  <c r="BH8" i="16"/>
  <c r="BB8" i="16"/>
  <c r="U71" i="19" s="1"/>
  <c r="T8" i="16"/>
  <c r="W8" i="16" s="1"/>
  <c r="BA8" i="16"/>
  <c r="R71" i="19" s="1"/>
  <c r="BF8" i="16"/>
  <c r="G20" i="19"/>
  <c r="F20" i="19"/>
  <c r="BC131" i="12"/>
  <c r="BB131" i="12" s="1"/>
  <c r="H220" i="19"/>
  <c r="BD68" i="10"/>
  <c r="BE68" i="10" s="1"/>
  <c r="BV68" i="10"/>
  <c r="AA8" i="16" s="1"/>
  <c r="S76" i="12"/>
  <c r="F224" i="19"/>
  <c r="U224" i="19" s="1"/>
  <c r="BA135" i="12"/>
  <c r="L24" i="19"/>
  <c r="U24" i="19"/>
  <c r="BR20" i="16"/>
  <c r="BS20" i="16" s="1"/>
  <c r="BT20" i="16" s="1"/>
  <c r="BY224" i="16"/>
  <c r="BY225" i="16" s="1"/>
  <c r="AK221" i="16"/>
  <c r="AK223" i="16" s="1"/>
  <c r="AK218" i="16"/>
  <c r="AX221" i="16"/>
  <c r="AX219" i="16" s="1"/>
  <c r="AM221" i="16"/>
  <c r="AM219" i="16" s="1"/>
  <c r="AG221" i="16"/>
  <c r="AG223" i="16" s="1"/>
  <c r="Y222" i="19" l="1"/>
  <c r="AA71" i="19"/>
  <c r="AV234" i="19" s="1"/>
  <c r="AA73" i="19"/>
  <c r="AB74" i="12" s="1"/>
  <c r="AA72" i="19"/>
  <c r="AB73" i="12" s="1"/>
  <c r="V74" i="12"/>
  <c r="AE222" i="19"/>
  <c r="V82" i="12"/>
  <c r="AE230" i="19"/>
  <c r="V72" i="12"/>
  <c r="AE220" i="19"/>
  <c r="V75" i="12"/>
  <c r="AE223" i="19"/>
  <c r="V73" i="12"/>
  <c r="AE221" i="19"/>
  <c r="U229" i="19"/>
  <c r="N31" i="19"/>
  <c r="N231" i="19" s="1"/>
  <c r="BF79" i="10"/>
  <c r="BD19" i="16"/>
  <c r="T82" i="19" s="1"/>
  <c r="U83" i="12" s="1"/>
  <c r="BD17" i="16"/>
  <c r="T80" i="19" s="1"/>
  <c r="N29" i="19"/>
  <c r="N229" i="19" s="1"/>
  <c r="BF77" i="10"/>
  <c r="N24" i="19"/>
  <c r="V24" i="19" s="1"/>
  <c r="BD12" i="16"/>
  <c r="T75" i="19" s="1"/>
  <c r="BF72" i="10"/>
  <c r="X20" i="16"/>
  <c r="AM220" i="16"/>
  <c r="AX223" i="16"/>
  <c r="BY223" i="16"/>
  <c r="BY222" i="16" s="1"/>
  <c r="F231" i="19"/>
  <c r="U231" i="19" s="1"/>
  <c r="U31" i="19"/>
  <c r="BP142" i="12" s="1"/>
  <c r="AV236" i="19"/>
  <c r="AV238" i="19"/>
  <c r="AG230" i="19"/>
  <c r="AG223" i="19"/>
  <c r="BA143" i="12"/>
  <c r="BC19" i="16"/>
  <c r="CB134" i="12"/>
  <c r="BG142" i="12"/>
  <c r="BH142" i="12" s="1"/>
  <c r="BA142" i="12"/>
  <c r="L231" i="19"/>
  <c r="F232" i="19"/>
  <c r="U232" i="19" s="1"/>
  <c r="L32" i="19"/>
  <c r="M32" i="19" s="1"/>
  <c r="BC17" i="16"/>
  <c r="W18" i="16"/>
  <c r="BQ18" i="16" s="1"/>
  <c r="BK18" i="16" s="1"/>
  <c r="BL18" i="16" s="1"/>
  <c r="AG21" i="19"/>
  <c r="BC20" i="16"/>
  <c r="L230" i="19"/>
  <c r="M30" i="19"/>
  <c r="BG141" i="12"/>
  <c r="BH141" i="12" s="1"/>
  <c r="L229" i="19"/>
  <c r="M29" i="19"/>
  <c r="BG140" i="12"/>
  <c r="BH140" i="12" s="1"/>
  <c r="F230" i="19"/>
  <c r="U230" i="19" s="1"/>
  <c r="BA141" i="12"/>
  <c r="U30" i="19"/>
  <c r="S82" i="12"/>
  <c r="Y230" i="19"/>
  <c r="BR18" i="16"/>
  <c r="BS18" i="16" s="1"/>
  <c r="BT18" i="16" s="1"/>
  <c r="AM223" i="16"/>
  <c r="AG220" i="16"/>
  <c r="AM222" i="16"/>
  <c r="AX220" i="16"/>
  <c r="AG219" i="16"/>
  <c r="AX222" i="16"/>
  <c r="AK219" i="16"/>
  <c r="AK220" i="16"/>
  <c r="AG222" i="16"/>
  <c r="AK217" i="16"/>
  <c r="AK216" i="16"/>
  <c r="AK222" i="16"/>
  <c r="BG134" i="12"/>
  <c r="BH134" i="12" s="1"/>
  <c r="L223" i="19"/>
  <c r="BM10" i="16"/>
  <c r="BN10" i="16" s="1"/>
  <c r="BR10" i="16" s="1"/>
  <c r="BS10" i="16" s="1"/>
  <c r="BT10" i="16" s="1"/>
  <c r="BQ8" i="16"/>
  <c r="S73" i="12"/>
  <c r="BM9" i="16"/>
  <c r="BN9" i="16" s="1"/>
  <c r="BR9" i="16" s="1"/>
  <c r="BS9" i="16" s="1"/>
  <c r="BT9" i="16" s="1"/>
  <c r="BC9" i="16"/>
  <c r="S75" i="12"/>
  <c r="CE130" i="12"/>
  <c r="BC11" i="16"/>
  <c r="BM11" i="16"/>
  <c r="BN11" i="16" s="1"/>
  <c r="BR11" i="16" s="1"/>
  <c r="BS11" i="16" s="1"/>
  <c r="BT11" i="16" s="1"/>
  <c r="BC12" i="16"/>
  <c r="AG19" i="19"/>
  <c r="CE132" i="12"/>
  <c r="AJ219" i="19"/>
  <c r="Y220" i="19"/>
  <c r="S72" i="12"/>
  <c r="AJ221" i="19"/>
  <c r="BM8" i="16"/>
  <c r="BN8" i="16" s="1"/>
  <c r="BC8" i="16"/>
  <c r="L20" i="19"/>
  <c r="BA131" i="12"/>
  <c r="F220" i="19"/>
  <c r="U220" i="19" s="1"/>
  <c r="U20" i="19"/>
  <c r="BQ10" i="16"/>
  <c r="U35" i="6"/>
  <c r="U36" i="6" s="1"/>
  <c r="BP135" i="12"/>
  <c r="L224" i="19"/>
  <c r="BG135" i="12"/>
  <c r="BH135" i="12" s="1"/>
  <c r="M24" i="19"/>
  <c r="BC10" i="16"/>
  <c r="BX359" i="16"/>
  <c r="BX357" i="16" s="1"/>
  <c r="BX347" i="16"/>
  <c r="BX348" i="16" s="1"/>
  <c r="BY344" i="16"/>
  <c r="BY329" i="16"/>
  <c r="EK343" i="10" s="1"/>
  <c r="BY362" i="16"/>
  <c r="FR343" i="10" s="1"/>
  <c r="BY374" i="16"/>
  <c r="BY338" i="16"/>
  <c r="ET343" i="10" s="1"/>
  <c r="BY353" i="16"/>
  <c r="AG350" i="16"/>
  <c r="AG352" i="16" s="1"/>
  <c r="AG347" i="16"/>
  <c r="AG346" i="16" s="1"/>
  <c r="AG365" i="16"/>
  <c r="AG367" i="16" s="1"/>
  <c r="AG362" i="16"/>
  <c r="AG361" i="16" s="1"/>
  <c r="AK368" i="16"/>
  <c r="AK369" i="16" s="1"/>
  <c r="AX362" i="16"/>
  <c r="AX364" i="16" s="1"/>
  <c r="AX359" i="16"/>
  <c r="FM331" i="10" s="1"/>
  <c r="AX347" i="16"/>
  <c r="AX348" i="16" s="1"/>
  <c r="AX335" i="16"/>
  <c r="AX336" i="16" s="1"/>
  <c r="AG335" i="16"/>
  <c r="AG333" i="16" s="1"/>
  <c r="AM362" i="16"/>
  <c r="AM363" i="16" s="1"/>
  <c r="AK362" i="16"/>
  <c r="AK364" i="16" s="1"/>
  <c r="AK338" i="16"/>
  <c r="AK336" i="16" s="1"/>
  <c r="AM341" i="16"/>
  <c r="AM342" i="16" s="1"/>
  <c r="BK299" i="16"/>
  <c r="BI299" i="16" s="1"/>
  <c r="DG345" i="10" s="1"/>
  <c r="BN287" i="16"/>
  <c r="BN286" i="16" s="1"/>
  <c r="BS296" i="16"/>
  <c r="BS297" i="16" s="1"/>
  <c r="BH287" i="16"/>
  <c r="BI287" i="16" s="1"/>
  <c r="BU287" i="16"/>
  <c r="BU288" i="16" s="1"/>
  <c r="BS287" i="16"/>
  <c r="BS286" i="16" s="1"/>
  <c r="BN281" i="16"/>
  <c r="BN282" i="16" s="1"/>
  <c r="BS299" i="16"/>
  <c r="BS298" i="16" s="1"/>
  <c r="BQ298" i="16" s="1"/>
  <c r="BN284" i="16"/>
  <c r="BN285" i="16" s="1"/>
  <c r="BU284" i="16"/>
  <c r="BU285" i="16" s="1"/>
  <c r="BP284" i="16"/>
  <c r="CP347" i="10" s="1"/>
  <c r="BK293" i="16"/>
  <c r="BK292" i="16" s="1"/>
  <c r="BM278" i="16"/>
  <c r="BM279" i="16" s="1"/>
  <c r="BU290" i="16"/>
  <c r="BU289" i="16" s="1"/>
  <c r="BU293" i="16"/>
  <c r="BU292" i="16" s="1"/>
  <c r="BS293" i="16"/>
  <c r="BS292" i="16" s="1"/>
  <c r="FG345" i="10"/>
  <c r="FI345" i="10" s="1"/>
  <c r="BM281" i="16"/>
  <c r="BM280" i="16" s="1"/>
  <c r="BK281" i="16"/>
  <c r="BK280" i="16" s="1"/>
  <c r="AR278" i="16"/>
  <c r="AT284" i="16"/>
  <c r="CP337" i="10" s="1"/>
  <c r="AR287" i="16"/>
  <c r="BM245" i="16"/>
  <c r="BM244" i="16" s="1"/>
  <c r="BK260" i="16"/>
  <c r="BH266" i="16"/>
  <c r="BH267" i="16" s="1"/>
  <c r="BS266" i="16"/>
  <c r="BS267" i="16" s="1"/>
  <c r="BM257" i="16"/>
  <c r="AS248" i="16"/>
  <c r="AS249" i="16" s="1"/>
  <c r="AT335" i="10" s="1"/>
  <c r="BU257" i="16"/>
  <c r="BU256" i="16" s="1"/>
  <c r="BQ256" i="16" s="1"/>
  <c r="BK254" i="16"/>
  <c r="BK253" i="16" s="1"/>
  <c r="BU254" i="16"/>
  <c r="BU253" i="16" s="1"/>
  <c r="BP254" i="16"/>
  <c r="BP253" i="16" s="1"/>
  <c r="BF347" i="10" s="1"/>
  <c r="BH269" i="16"/>
  <c r="CA345" i="10" s="1"/>
  <c r="BM269" i="16"/>
  <c r="BK263" i="16"/>
  <c r="BK264" i="16" s="1"/>
  <c r="BI264" i="16" s="1"/>
  <c r="BU263" i="16"/>
  <c r="BU262" i="16" s="1"/>
  <c r="BS263" i="16"/>
  <c r="BS262" i="16" s="1"/>
  <c r="BU269" i="16"/>
  <c r="BU268" i="16" s="1"/>
  <c r="BU281" i="16"/>
  <c r="BU280" i="16" s="1"/>
  <c r="AU251" i="16"/>
  <c r="AU250" i="16" s="1"/>
  <c r="AW338" i="10" s="1"/>
  <c r="AS257" i="16"/>
  <c r="BO335" i="10" s="1"/>
  <c r="AR257" i="16"/>
  <c r="AR256" i="16" s="1"/>
  <c r="BN251" i="16"/>
  <c r="BN252" i="16" s="1"/>
  <c r="BN266" i="16"/>
  <c r="BN267" i="16" s="1"/>
  <c r="BN260" i="16"/>
  <c r="BN261" i="16" s="1"/>
  <c r="BV266" i="16"/>
  <c r="BV267" i="16" s="1"/>
  <c r="AR251" i="16"/>
  <c r="AZ334" i="10" s="1"/>
  <c r="BW245" i="16"/>
  <c r="BV269" i="16"/>
  <c r="BV270" i="16" s="1"/>
  <c r="BN269" i="16"/>
  <c r="BN270" i="16" s="1"/>
  <c r="BN242" i="16"/>
  <c r="BN243" i="16" s="1"/>
  <c r="AS242" i="16"/>
  <c r="AS243" i="16" s="1"/>
  <c r="AB335" i="10" s="1"/>
  <c r="AB334" i="10" s="1"/>
  <c r="AR245" i="16"/>
  <c r="BN245" i="16"/>
  <c r="BN246" i="16" s="1"/>
  <c r="BV248" i="16"/>
  <c r="BV251" i="16"/>
  <c r="AU266" i="16"/>
  <c r="AU265" i="16" s="1"/>
  <c r="AU296" i="16"/>
  <c r="DB338" i="10" s="1"/>
  <c r="DB337" i="10" s="1"/>
  <c r="BM275" i="16"/>
  <c r="BM274" i="16" s="1"/>
  <c r="BN248" i="16"/>
  <c r="BN247" i="16" s="1"/>
  <c r="BO272" i="16"/>
  <c r="BO281" i="16"/>
  <c r="BO282" i="16" s="1"/>
  <c r="AT269" i="16"/>
  <c r="BO245" i="16"/>
  <c r="BO246" i="16" s="1"/>
  <c r="AT251" i="16"/>
  <c r="AT252" i="16" s="1"/>
  <c r="BO248" i="16"/>
  <c r="BO275" i="16"/>
  <c r="BO274" i="16" s="1"/>
  <c r="BO284" i="16"/>
  <c r="AT290" i="16"/>
  <c r="AT289" i="16" s="1"/>
  <c r="BO257" i="16"/>
  <c r="BO256" i="16" s="1"/>
  <c r="AT263" i="16"/>
  <c r="AT264" i="16" s="1"/>
  <c r="BO278" i="16"/>
  <c r="BO279" i="16" s="1"/>
  <c r="BO266" i="16"/>
  <c r="BO265" i="16" s="1"/>
  <c r="BV260" i="16"/>
  <c r="BO254" i="16"/>
  <c r="BO253" i="16" s="1"/>
  <c r="BV254" i="16"/>
  <c r="BV255" i="16" s="1"/>
  <c r="BO260" i="16"/>
  <c r="BO259" i="16" s="1"/>
  <c r="BV296" i="16"/>
  <c r="BV297" i="16" s="1"/>
  <c r="BV290" i="16"/>
  <c r="BV289" i="16" s="1"/>
  <c r="BV284" i="16"/>
  <c r="BV283" i="16" s="1"/>
  <c r="BW281" i="16"/>
  <c r="BW282" i="16" s="1"/>
  <c r="AT278" i="16"/>
  <c r="AT293" i="16"/>
  <c r="AT292" i="16" s="1"/>
  <c r="BW269" i="16"/>
  <c r="BW270" i="16" s="1"/>
  <c r="BW275" i="16"/>
  <c r="AR281" i="16"/>
  <c r="AR248" i="16"/>
  <c r="AR247" i="16" s="1"/>
  <c r="S35" i="6" l="1"/>
  <c r="S36" i="6" s="1"/>
  <c r="AU297" i="16"/>
  <c r="BU294" i="16"/>
  <c r="BQ297" i="16"/>
  <c r="BQ289" i="16"/>
  <c r="AV240" i="19"/>
  <c r="AB72" i="12"/>
  <c r="AV235" i="19"/>
  <c r="AV239" i="19"/>
  <c r="AV237" i="19"/>
  <c r="BI142" i="12"/>
  <c r="V29" i="19"/>
  <c r="BI140" i="12"/>
  <c r="BQ140" i="12" s="1"/>
  <c r="V229" i="19"/>
  <c r="V231" i="19"/>
  <c r="V31" i="19"/>
  <c r="AC231" i="19"/>
  <c r="X18" i="16"/>
  <c r="BF78" i="10" s="1"/>
  <c r="N32" i="19"/>
  <c r="BD20" i="16"/>
  <c r="T83" i="19" s="1"/>
  <c r="N224" i="19"/>
  <c r="V224" i="19" s="1"/>
  <c r="BI135" i="12"/>
  <c r="BQ135" i="12" s="1"/>
  <c r="AC224" i="19"/>
  <c r="U76" i="12"/>
  <c r="U81" i="12"/>
  <c r="AC229" i="19"/>
  <c r="BQ142" i="12"/>
  <c r="AJ28" i="19"/>
  <c r="Q35" i="6"/>
  <c r="Q36" i="6" s="1"/>
  <c r="O35" i="6"/>
  <c r="O36" i="6" s="1"/>
  <c r="BQ267" i="16"/>
  <c r="BV252" i="16"/>
  <c r="BQ252" i="16" s="1"/>
  <c r="BE347" i="10" s="1"/>
  <c r="BQ251" i="16"/>
  <c r="BB347" i="10" s="1"/>
  <c r="BV249" i="16"/>
  <c r="BQ249" i="16" s="1"/>
  <c r="AV347" i="10" s="1"/>
  <c r="BQ248" i="16"/>
  <c r="AS347" i="10" s="1"/>
  <c r="L232" i="19"/>
  <c r="BG143" i="12"/>
  <c r="BH143" i="12" s="1"/>
  <c r="BC18" i="16"/>
  <c r="CB130" i="12"/>
  <c r="BU282" i="16"/>
  <c r="BQ282" i="16" s="1"/>
  <c r="BP141" i="12"/>
  <c r="BS294" i="16"/>
  <c r="BS300" i="16"/>
  <c r="BQ300" i="16" s="1"/>
  <c r="BK294" i="16"/>
  <c r="AG28" i="19"/>
  <c r="BQ299" i="16"/>
  <c r="DG347" i="10" s="1"/>
  <c r="BK10" i="16"/>
  <c r="BL10" i="16" s="1"/>
  <c r="X10" i="16" s="1"/>
  <c r="BK9" i="16"/>
  <c r="BL9" i="16" s="1"/>
  <c r="X9" i="16" s="1"/>
  <c r="BK11" i="16"/>
  <c r="BL11" i="16" s="1"/>
  <c r="X11" i="16" s="1"/>
  <c r="CB132" i="12"/>
  <c r="AG219" i="19"/>
  <c r="AU267" i="16"/>
  <c r="AG360" i="16"/>
  <c r="BR8" i="16"/>
  <c r="BS8" i="16" s="1"/>
  <c r="BT8" i="16" s="1"/>
  <c r="BK8" i="16"/>
  <c r="BL8" i="16" s="1"/>
  <c r="BG131" i="12"/>
  <c r="M20" i="19"/>
  <c r="L220" i="19"/>
  <c r="BS288" i="16"/>
  <c r="BQ288" i="16" s="1"/>
  <c r="AG221" i="19"/>
  <c r="BP131" i="12"/>
  <c r="AJ23" i="19"/>
  <c r="BW246" i="16"/>
  <c r="BQ246" i="16" s="1"/>
  <c r="AM347" i="10" s="1"/>
  <c r="BQ245" i="16"/>
  <c r="AJ347" i="10" s="1"/>
  <c r="BI257" i="16"/>
  <c r="BQ345" i="10" s="1"/>
  <c r="BI253" i="16"/>
  <c r="BH345" i="10" s="1"/>
  <c r="BO247" i="16"/>
  <c r="BI247" i="16" s="1"/>
  <c r="AP345" i="10" s="1"/>
  <c r="BI248" i="16"/>
  <c r="AS345" i="10" s="1"/>
  <c r="BQ254" i="16"/>
  <c r="BI263" i="16"/>
  <c r="BW345" i="10" s="1"/>
  <c r="BI260" i="16"/>
  <c r="BT345" i="10" s="1"/>
  <c r="BM282" i="16"/>
  <c r="BH288" i="16"/>
  <c r="BI288" i="16" s="1"/>
  <c r="BQ281" i="16"/>
  <c r="CO347" i="10" s="1"/>
  <c r="BK262" i="16"/>
  <c r="BI262" i="16" s="1"/>
  <c r="BI254" i="16"/>
  <c r="BK345" i="10" s="1"/>
  <c r="AR258" i="16"/>
  <c r="BQ287" i="16"/>
  <c r="CU347" i="10" s="1"/>
  <c r="CV337" i="10"/>
  <c r="BK255" i="16"/>
  <c r="BW274" i="16"/>
  <c r="BQ275" i="16"/>
  <c r="CI347" i="10" s="1"/>
  <c r="BI266" i="16"/>
  <c r="BQ269" i="16"/>
  <c r="CC347" i="10" s="1"/>
  <c r="BO271" i="16"/>
  <c r="BI271" i="16" s="1"/>
  <c r="BI272" i="16"/>
  <c r="CF345" i="10" s="1"/>
  <c r="AU252" i="16"/>
  <c r="BC338" i="10" s="1"/>
  <c r="BC337" i="10" s="1"/>
  <c r="BO285" i="16"/>
  <c r="BI285" i="16" s="1"/>
  <c r="BI284" i="16"/>
  <c r="CR345" i="10" s="1"/>
  <c r="BI274" i="16"/>
  <c r="AR288" i="16"/>
  <c r="CS334" i="10"/>
  <c r="AT294" i="16"/>
  <c r="BO261" i="16"/>
  <c r="BU337" i="10"/>
  <c r="BV295" i="16"/>
  <c r="BO276" i="16"/>
  <c r="AG345" i="16"/>
  <c r="BI347" i="10"/>
  <c r="BQ296" i="16"/>
  <c r="DD347" i="10" s="1"/>
  <c r="FP331" i="10"/>
  <c r="BN250" i="16"/>
  <c r="FM343" i="10"/>
  <c r="FO343" i="10" s="1"/>
  <c r="AK361" i="16"/>
  <c r="AG337" i="16"/>
  <c r="BV261" i="16"/>
  <c r="BQ261" i="16" s="1"/>
  <c r="BQ260" i="16"/>
  <c r="BT347" i="10" s="1"/>
  <c r="BM258" i="16"/>
  <c r="BK259" i="16"/>
  <c r="BI259" i="16" s="1"/>
  <c r="AK360" i="16"/>
  <c r="BQ262" i="16"/>
  <c r="AR244" i="16"/>
  <c r="AE334" i="10" s="1"/>
  <c r="AH334" i="10"/>
  <c r="BQ284" i="16"/>
  <c r="CR347" i="10" s="1"/>
  <c r="EZ343" i="10"/>
  <c r="BM276" i="16"/>
  <c r="BQ290" i="16"/>
  <c r="CX347" i="10" s="1"/>
  <c r="BK282" i="16"/>
  <c r="BM246" i="16"/>
  <c r="BI246" i="16" s="1"/>
  <c r="AM345" i="10" s="1"/>
  <c r="BV268" i="16"/>
  <c r="BU270" i="16"/>
  <c r="BQ270" i="16" s="1"/>
  <c r="BI278" i="16"/>
  <c r="CL345" i="10" s="1"/>
  <c r="AT279" i="16"/>
  <c r="CJ337" i="10"/>
  <c r="AR249" i="16"/>
  <c r="AT334" i="10" s="1"/>
  <c r="BO280" i="16"/>
  <c r="BI280" i="16" s="1"/>
  <c r="BN259" i="16"/>
  <c r="BP255" i="16"/>
  <c r="BL347" i="10" s="1"/>
  <c r="BM256" i="16"/>
  <c r="BI256" i="16" s="1"/>
  <c r="BM277" i="16"/>
  <c r="AG336" i="16"/>
  <c r="AX334" i="16"/>
  <c r="AX346" i="16"/>
  <c r="AX358" i="16"/>
  <c r="AG348" i="16"/>
  <c r="BX346" i="16"/>
  <c r="BX349" i="16"/>
  <c r="BV253" i="16"/>
  <c r="BQ253" i="16" s="1"/>
  <c r="BH347" i="10" s="1"/>
  <c r="BN244" i="16"/>
  <c r="BN241" i="16"/>
  <c r="AM361" i="16"/>
  <c r="AX345" i="16"/>
  <c r="AG363" i="16"/>
  <c r="BO334" i="10"/>
  <c r="BU255" i="16"/>
  <c r="BX345" i="10"/>
  <c r="AX349" i="16"/>
  <c r="AT270" i="16"/>
  <c r="CA337" i="10"/>
  <c r="BO273" i="16"/>
  <c r="BN268" i="16"/>
  <c r="BI269" i="16"/>
  <c r="CC345" i="10" s="1"/>
  <c r="BU291" i="16"/>
  <c r="BU286" i="16"/>
  <c r="BQ286" i="16" s="1"/>
  <c r="BN288" i="16"/>
  <c r="AM339" i="16"/>
  <c r="AX333" i="16"/>
  <c r="AX360" i="16"/>
  <c r="BX345" i="16"/>
  <c r="AR279" i="16"/>
  <c r="CJ334" i="10"/>
  <c r="AT277" i="16"/>
  <c r="AU295" i="16"/>
  <c r="BM270" i="16"/>
  <c r="AS258" i="16"/>
  <c r="BU283" i="16"/>
  <c r="BN283" i="16"/>
  <c r="AK337" i="16"/>
  <c r="EO331" i="10"/>
  <c r="AX357" i="16"/>
  <c r="AR280" i="16"/>
  <c r="CM334" i="10"/>
  <c r="BO267" i="16"/>
  <c r="AZ338" i="10"/>
  <c r="AZ337" i="10" s="1"/>
  <c r="BV265" i="16"/>
  <c r="AM340" i="16"/>
  <c r="AK339" i="16"/>
  <c r="AK363" i="16"/>
  <c r="AG334" i="16"/>
  <c r="AX337" i="16"/>
  <c r="FA331" i="10"/>
  <c r="AX363" i="16"/>
  <c r="BK261" i="16"/>
  <c r="AR286" i="16"/>
  <c r="BI281" i="16"/>
  <c r="CO345" i="10" s="1"/>
  <c r="BP283" i="16"/>
  <c r="CS345" i="10"/>
  <c r="CU345" i="10" s="1"/>
  <c r="BK300" i="16"/>
  <c r="BW268" i="16"/>
  <c r="CY337" i="10"/>
  <c r="BV285" i="16"/>
  <c r="BV291" i="16"/>
  <c r="BV259" i="16"/>
  <c r="BQ259" i="16" s="1"/>
  <c r="BO258" i="16"/>
  <c r="BX338" i="10"/>
  <c r="BX337" i="10" s="1"/>
  <c r="BV247" i="16"/>
  <c r="BQ247" i="16" s="1"/>
  <c r="AP347" i="10" s="1"/>
  <c r="AS256" i="16"/>
  <c r="BQ266" i="16"/>
  <c r="BZ347" i="10" s="1"/>
  <c r="BS265" i="16"/>
  <c r="BQ265" i="16" s="1"/>
  <c r="AR277" i="16"/>
  <c r="BP285" i="16"/>
  <c r="BQ292" i="16"/>
  <c r="BO283" i="16"/>
  <c r="BI283" i="16" s="1"/>
  <c r="BW276" i="16"/>
  <c r="BQ276" i="16" s="1"/>
  <c r="BO255" i="16"/>
  <c r="AT291" i="16"/>
  <c r="AT250" i="16"/>
  <c r="AW337" i="10" s="1"/>
  <c r="AT268" i="16"/>
  <c r="BN249" i="16"/>
  <c r="BV250" i="16"/>
  <c r="BQ250" i="16" s="1"/>
  <c r="AY347" i="10" s="1"/>
  <c r="BM268" i="16"/>
  <c r="BU258" i="16"/>
  <c r="BQ258" i="16" s="1"/>
  <c r="AT285" i="16"/>
  <c r="BH286" i="16"/>
  <c r="BI286" i="16" s="1"/>
  <c r="BK298" i="16"/>
  <c r="BI298" i="16" s="1"/>
  <c r="AM343" i="16"/>
  <c r="AK367" i="16"/>
  <c r="AG366" i="16"/>
  <c r="FA343" i="10"/>
  <c r="FC343" i="10" s="1"/>
  <c r="AJ223" i="19"/>
  <c r="BO244" i="16"/>
  <c r="BI244" i="16" s="1"/>
  <c r="AG345" i="10" s="1"/>
  <c r="AS241" i="16"/>
  <c r="AT262" i="16"/>
  <c r="BS264" i="16"/>
  <c r="AR250" i="16"/>
  <c r="AW334" i="10" s="1"/>
  <c r="BQ257" i="16"/>
  <c r="BQ347" i="10" s="1"/>
  <c r="BH265" i="16"/>
  <c r="BI265" i="16" s="1"/>
  <c r="AT283" i="16"/>
  <c r="BS295" i="16"/>
  <c r="BQ295" i="16" s="1"/>
  <c r="AK340" i="16"/>
  <c r="AM360" i="16"/>
  <c r="AX361" i="16"/>
  <c r="AK366" i="16"/>
  <c r="AG364" i="16"/>
  <c r="FI343" i="10"/>
  <c r="GD343" i="10"/>
  <c r="BO249" i="16"/>
  <c r="BI249" i="16" s="1"/>
  <c r="AV345" i="10" s="1"/>
  <c r="AR246" i="16"/>
  <c r="AK334" i="10" s="1"/>
  <c r="BU264" i="16"/>
  <c r="BW244" i="16"/>
  <c r="BN265" i="16"/>
  <c r="AQ335" i="10"/>
  <c r="AQ334" i="10" s="1"/>
  <c r="BN280" i="16"/>
  <c r="AM364" i="16"/>
  <c r="AK370" i="16"/>
  <c r="AG351" i="16"/>
  <c r="BX361" i="16"/>
  <c r="BX358" i="16"/>
  <c r="AR282" i="16"/>
  <c r="BW280" i="16"/>
  <c r="BQ280" i="16" s="1"/>
  <c r="BO277" i="16"/>
  <c r="BQ293" i="16"/>
  <c r="DA347" i="10" s="1"/>
  <c r="AR252" i="16"/>
  <c r="BC334" i="10" s="1"/>
  <c r="BH270" i="16"/>
  <c r="BH268" i="16"/>
  <c r="AS247" i="16"/>
  <c r="AN335" i="10" s="1"/>
  <c r="AN334" i="10" s="1"/>
  <c r="BQ263" i="16"/>
  <c r="BW347" i="10" s="1"/>
  <c r="AG349" i="16"/>
  <c r="BX360" i="16"/>
  <c r="BM293" i="16"/>
  <c r="BN236" i="16"/>
  <c r="BN237" i="16" s="1"/>
  <c r="BW242" i="16"/>
  <c r="AT242" i="16"/>
  <c r="AT241" i="16" s="1"/>
  <c r="BV242" i="16"/>
  <c r="BV241" i="16" s="1"/>
  <c r="BU302" i="16"/>
  <c r="BU303" i="16" s="1"/>
  <c r="BK308" i="16"/>
  <c r="BK309" i="16" s="1"/>
  <c r="AR296" i="16"/>
  <c r="AR297" i="16" s="1"/>
  <c r="AS296" i="16"/>
  <c r="AS297" i="16" s="1"/>
  <c r="AR293" i="16"/>
  <c r="BN293" i="16"/>
  <c r="BN294" i="16" s="1"/>
  <c r="BN296" i="16"/>
  <c r="BN297" i="16" s="1"/>
  <c r="BO293" i="16"/>
  <c r="BO294" i="16" s="1"/>
  <c r="BQ294" i="16" l="1"/>
  <c r="BQ285" i="16"/>
  <c r="BQ268" i="16"/>
  <c r="AG228" i="19"/>
  <c r="BQ242" i="16"/>
  <c r="BD18" i="16"/>
  <c r="T81" i="19" s="1"/>
  <c r="N30" i="19"/>
  <c r="BF70" i="10"/>
  <c r="BD10" i="16"/>
  <c r="T73" i="19" s="1"/>
  <c r="N22" i="19"/>
  <c r="AC232" i="19"/>
  <c r="U84" i="12"/>
  <c r="BI143" i="12"/>
  <c r="BQ143" i="12" s="1"/>
  <c r="N232" i="19"/>
  <c r="V232" i="19" s="1"/>
  <c r="V32" i="19"/>
  <c r="X8" i="16"/>
  <c r="Q48" i="6" s="1"/>
  <c r="Q49" i="6" s="1"/>
  <c r="BF71" i="10"/>
  <c r="BD11" i="16"/>
  <c r="T74" i="19" s="1"/>
  <c r="N23" i="19"/>
  <c r="BD9" i="16"/>
  <c r="T72" i="19" s="1"/>
  <c r="BF69" i="10"/>
  <c r="N21" i="19"/>
  <c r="BQ291" i="16"/>
  <c r="CE139" i="12"/>
  <c r="BK347" i="10"/>
  <c r="BI245" i="16"/>
  <c r="AJ345" i="10" s="1"/>
  <c r="BI276" i="16"/>
  <c r="BN292" i="16"/>
  <c r="BI261" i="16"/>
  <c r="BK307" i="16"/>
  <c r="CE134" i="12"/>
  <c r="BI268" i="16"/>
  <c r="BI270" i="16"/>
  <c r="AJ228" i="19"/>
  <c r="BH131" i="12"/>
  <c r="CB139" i="12"/>
  <c r="BQ255" i="16"/>
  <c r="BN347" i="10" s="1"/>
  <c r="BI243" i="16"/>
  <c r="AD345" i="10" s="1"/>
  <c r="BQ244" i="16"/>
  <c r="AG347" i="10" s="1"/>
  <c r="BI282" i="16"/>
  <c r="BW243" i="16"/>
  <c r="BI241" i="16"/>
  <c r="BI255" i="16"/>
  <c r="BN345" i="10" s="1"/>
  <c r="BI258" i="16"/>
  <c r="BU301" i="16"/>
  <c r="BI267" i="16"/>
  <c r="BZ345" i="10"/>
  <c r="BI277" i="16"/>
  <c r="BI279" i="16"/>
  <c r="BQ274" i="16"/>
  <c r="BI273" i="16"/>
  <c r="BI275" i="16"/>
  <c r="CI345" i="10" s="1"/>
  <c r="BI293" i="16"/>
  <c r="DA345" i="10" s="1"/>
  <c r="AS295" i="16"/>
  <c r="BV243" i="16"/>
  <c r="BQ283" i="16"/>
  <c r="BN235" i="16"/>
  <c r="BQ264" i="16"/>
  <c r="AT243" i="16"/>
  <c r="AB337" i="10" s="1"/>
  <c r="AR294" i="16"/>
  <c r="CY334" i="10"/>
  <c r="BW241" i="16"/>
  <c r="BM294" i="16"/>
  <c r="BI294" i="16" s="1"/>
  <c r="BM292" i="16"/>
  <c r="BN295" i="16"/>
  <c r="AR295" i="16"/>
  <c r="AR292" i="16"/>
  <c r="BO292" i="16"/>
  <c r="DB335" i="10"/>
  <c r="DB334" i="10" s="1"/>
  <c r="BS317" i="16"/>
  <c r="BQ317" i="16" s="1"/>
  <c r="DY347" i="10" s="1"/>
  <c r="BS316" i="16"/>
  <c r="BQ316" i="16" s="1"/>
  <c r="AV383" i="16"/>
  <c r="AW383" i="16" s="1"/>
  <c r="AM386" i="16"/>
  <c r="AM388" i="16" s="1"/>
  <c r="BM311" i="16"/>
  <c r="AM380" i="16"/>
  <c r="AM378" i="16" s="1"/>
  <c r="AG380" i="16"/>
  <c r="AG378" i="16" s="1"/>
  <c r="AK380" i="16"/>
  <c r="AK378" i="16" s="1"/>
  <c r="BX386" i="16"/>
  <c r="GN343" i="10" s="1"/>
  <c r="BS311" i="16"/>
  <c r="BQ311" i="16" s="1"/>
  <c r="DS347" i="10" s="1"/>
  <c r="BY386" i="16"/>
  <c r="AV381" i="16"/>
  <c r="AW381" i="16" s="1"/>
  <c r="GH332" i="10" s="1"/>
  <c r="GH331" i="10" s="1"/>
  <c r="AV382" i="16"/>
  <c r="AW382" i="16" s="1"/>
  <c r="AV385" i="16"/>
  <c r="AW385" i="16" s="1"/>
  <c r="AT305" i="16"/>
  <c r="DK337" i="10" s="1"/>
  <c r="AT299" i="16"/>
  <c r="DE337" i="10" s="1"/>
  <c r="BW302" i="16"/>
  <c r="BI301" i="16" s="1"/>
  <c r="AR308" i="16"/>
  <c r="DN334" i="10" s="1"/>
  <c r="BO308" i="16"/>
  <c r="BI308" i="16" s="1"/>
  <c r="DP345" i="10" s="1"/>
  <c r="BN227" i="16"/>
  <c r="BN228" i="16" s="1"/>
  <c r="BN230" i="16"/>
  <c r="BN229" i="16" s="1"/>
  <c r="BI311" i="16" l="1"/>
  <c r="DS345" i="10" s="1"/>
  <c r="BM312" i="16"/>
  <c r="BI312" i="16" s="1"/>
  <c r="BS318" i="16"/>
  <c r="BQ318" i="16" s="1"/>
  <c r="BS312" i="16"/>
  <c r="BQ312" i="16" s="1"/>
  <c r="O48" i="6"/>
  <c r="O49" i="6" s="1"/>
  <c r="AR307" i="16"/>
  <c r="AM384" i="16"/>
  <c r="AT300" i="16"/>
  <c r="BS310" i="16"/>
  <c r="BQ310" i="16" s="1"/>
  <c r="AM385" i="16"/>
  <c r="S48" i="6"/>
  <c r="S49" i="6" s="1"/>
  <c r="U48" i="6"/>
  <c r="U49" i="6" s="1"/>
  <c r="V30" i="19"/>
  <c r="N230" i="19"/>
  <c r="V230" i="19" s="1"/>
  <c r="BI141" i="12"/>
  <c r="BQ141" i="12" s="1"/>
  <c r="U82" i="12"/>
  <c r="AC230" i="19"/>
  <c r="N221" i="19"/>
  <c r="V221" i="19" s="1"/>
  <c r="V21" i="19"/>
  <c r="BI132" i="12"/>
  <c r="BQ132" i="12" s="1"/>
  <c r="AC223" i="19"/>
  <c r="U75" i="12"/>
  <c r="N222" i="19"/>
  <c r="V222" i="19" s="1"/>
  <c r="V22" i="19"/>
  <c r="BI133" i="12"/>
  <c r="BQ133" i="12" s="1"/>
  <c r="U74" i="12"/>
  <c r="AC222" i="19"/>
  <c r="U73" i="12"/>
  <c r="AC221" i="19"/>
  <c r="BD8" i="16"/>
  <c r="T71" i="19" s="1"/>
  <c r="BF68" i="10"/>
  <c r="N20" i="19"/>
  <c r="AG32" i="19"/>
  <c r="N223" i="19"/>
  <c r="V223" i="19" s="1"/>
  <c r="V23" i="19"/>
  <c r="BI134" i="12"/>
  <c r="BQ134" i="12" s="1"/>
  <c r="BX387" i="16"/>
  <c r="BW303" i="16"/>
  <c r="BI302" i="16" s="1"/>
  <c r="DJ345" i="10" s="1"/>
  <c r="AR309" i="16"/>
  <c r="AT304" i="16"/>
  <c r="BO309" i="16"/>
  <c r="BI309" i="16" s="1"/>
  <c r="BO307" i="16"/>
  <c r="BI307" i="16" s="1"/>
  <c r="AT298" i="16"/>
  <c r="AT306" i="16"/>
  <c r="AK381" i="16"/>
  <c r="BM310" i="16"/>
  <c r="BI310" i="16" s="1"/>
  <c r="BW301" i="16"/>
  <c r="BX384" i="16"/>
  <c r="BX388" i="16"/>
  <c r="BY388" i="16" s="1"/>
  <c r="BY387" i="16" s="1"/>
  <c r="AM387" i="16"/>
  <c r="BX385" i="16"/>
  <c r="BY385" i="16" s="1"/>
  <c r="BY384" i="16" s="1"/>
  <c r="AK382" i="16"/>
  <c r="AG382" i="16"/>
  <c r="AV384" i="16"/>
  <c r="AW384" i="16" s="1"/>
  <c r="GK332" i="10" s="1"/>
  <c r="GK331" i="10" s="1"/>
  <c r="AM382" i="16"/>
  <c r="AG381" i="16"/>
  <c r="AM381" i="16"/>
  <c r="BQ301" i="16"/>
  <c r="BI240" i="16"/>
  <c r="BQ241" i="16"/>
  <c r="BI242" i="16"/>
  <c r="BQ243" i="16"/>
  <c r="AD347" i="10" s="1"/>
  <c r="AK379" i="16"/>
  <c r="GP343" i="10"/>
  <c r="BI292" i="16"/>
  <c r="BI300" i="16"/>
  <c r="BQ302" i="16"/>
  <c r="DJ347" i="10" s="1"/>
  <c r="BQ303" i="16"/>
  <c r="BN231" i="16"/>
  <c r="AG379" i="16"/>
  <c r="AM379" i="16"/>
  <c r="BN226" i="16"/>
  <c r="BN224" i="16"/>
  <c r="BN225" i="16" s="1"/>
  <c r="BN221" i="16"/>
  <c r="BN220" i="16" s="1"/>
  <c r="CB143" i="12" l="1"/>
  <c r="AG232" i="19"/>
  <c r="G31" i="12"/>
  <c r="N220" i="19"/>
  <c r="V220" i="19" s="1"/>
  <c r="V20" i="19"/>
  <c r="BI131" i="12"/>
  <c r="BQ131" i="12" s="1"/>
  <c r="AC220" i="19"/>
  <c r="U72" i="12"/>
  <c r="BN223" i="16"/>
  <c r="BN222" i="16"/>
  <c r="BN215" i="16"/>
  <c r="BN214" i="16" s="1"/>
  <c r="BN218" i="16"/>
  <c r="BN219" i="16" s="1"/>
  <c r="BN209" i="16"/>
  <c r="BN210" i="16" s="1"/>
  <c r="BN208" i="16" l="1"/>
  <c r="BN217" i="16"/>
  <c r="BN216" i="16"/>
  <c r="BY209" i="16"/>
  <c r="BY208" i="16" s="1"/>
  <c r="BY215" i="16"/>
  <c r="BY216" i="16" s="1"/>
  <c r="BY212" i="16"/>
  <c r="AG209" i="16"/>
  <c r="AG210" i="16" s="1"/>
  <c r="AX212" i="16"/>
  <c r="AX214" i="16" s="1"/>
  <c r="AG207" i="16" l="1"/>
  <c r="AG211" i="16"/>
  <c r="BY214" i="16"/>
  <c r="BY213" i="16" s="1"/>
  <c r="AX211" i="16"/>
  <c r="AX213" i="16"/>
  <c r="AG208" i="16"/>
  <c r="BY211" i="16"/>
  <c r="BY210" i="16" s="1"/>
  <c r="AX210" i="16"/>
  <c r="CU343" i="10" l="1"/>
  <c r="DS343" i="10"/>
  <c r="BY241" i="16"/>
  <c r="BY240" i="16" s="1"/>
  <c r="BY271" i="16" l="1"/>
  <c r="BY270" i="16"/>
  <c r="BY256" i="16"/>
  <c r="BY255" i="16" s="1"/>
  <c r="BN343" i="10" s="1"/>
  <c r="BY324" i="16" l="1"/>
  <c r="BY325" i="16" s="1"/>
  <c r="BY267" i="16"/>
  <c r="BY268" i="16" s="1"/>
  <c r="BY265" i="16" l="1"/>
  <c r="BY264" i="16"/>
  <c r="BY351" i="16"/>
  <c r="BY352" i="16" s="1"/>
  <c r="BY360" i="16"/>
  <c r="BY361" i="16" s="1"/>
  <c r="BY339" i="16"/>
  <c r="BY340" i="16" s="1"/>
  <c r="BY379" i="16"/>
  <c r="BY378" i="16" s="1"/>
  <c r="BY291" i="16"/>
  <c r="BY292" i="16" s="1"/>
  <c r="BY372" i="16"/>
  <c r="BY373" i="16" s="1"/>
  <c r="BY285" i="16" l="1"/>
  <c r="BY286" i="16"/>
  <c r="BY318" i="16" l="1"/>
  <c r="BY319" i="16" s="1"/>
  <c r="BY321" i="16"/>
  <c r="BY322" i="16" s="1"/>
  <c r="BY345" i="16" l="1"/>
  <c r="BY346" i="16" s="1"/>
  <c r="BY307" i="16"/>
  <c r="BY306" i="16"/>
  <c r="BY355" i="16"/>
  <c r="BY354" i="16" s="1"/>
  <c r="BY304" i="16" l="1"/>
  <c r="BY303" i="16" s="1"/>
  <c r="BY295" i="16"/>
  <c r="BY294" i="16" s="1"/>
  <c r="BY358" i="16" l="1"/>
  <c r="BY357" i="16" s="1"/>
  <c r="BY333" i="16"/>
  <c r="BY334" i="16" s="1"/>
  <c r="BY327" i="16"/>
  <c r="BY328" i="16"/>
  <c r="BY367" i="16"/>
  <c r="BY366" i="16" s="1"/>
  <c r="BY342" i="16"/>
  <c r="BY343" i="16"/>
  <c r="BY315" i="16"/>
  <c r="BY316" i="16"/>
  <c r="BY376" i="16"/>
  <c r="BY375" i="16" s="1"/>
  <c r="BY309" i="16"/>
  <c r="BY310" i="16" s="1"/>
  <c r="BY337" i="16"/>
  <c r="BY336" i="16"/>
  <c r="BY349" i="16"/>
  <c r="BY348" i="16"/>
  <c r="BY277" i="16"/>
  <c r="BY276" i="16"/>
  <c r="BY279" i="16"/>
  <c r="BY280" i="16" s="1"/>
  <c r="BY283" i="16"/>
  <c r="BY282" i="16" s="1"/>
  <c r="BY313" i="16"/>
  <c r="BY312" i="16" s="1"/>
  <c r="BY370" i="16"/>
  <c r="BY369" i="16"/>
  <c r="BY274" i="16"/>
  <c r="BY273" i="16"/>
  <c r="BY289" i="16"/>
  <c r="BY288" i="16"/>
  <c r="BY301" i="16"/>
  <c r="BY300" i="16"/>
  <c r="BY330" i="16"/>
  <c r="BY331" i="16"/>
  <c r="BY363" i="16"/>
  <c r="BY364" i="16"/>
  <c r="BY298" i="16"/>
  <c r="BY297" i="16"/>
</calcChain>
</file>

<file path=xl/comments1.xml><?xml version="1.0" encoding="utf-8"?>
<comments xmlns="http://schemas.openxmlformats.org/spreadsheetml/2006/main">
  <authors>
    <author>kevin.mccormick1</author>
    <author>DoD Admin</author>
  </authors>
  <commentList>
    <comment ref="AN67" authorId="0" shapeId="0">
      <text>
        <r>
          <rPr>
            <b/>
            <sz val="9"/>
            <color indexed="81"/>
            <rFont val="Tahoma"/>
            <family val="2"/>
          </rPr>
          <t>Enter Fahrenheit temp w/o the "F":
"85", "-2"</t>
        </r>
      </text>
    </comment>
    <comment ref="AZ67" authorId="0" shapeId="0">
      <text>
        <r>
          <rPr>
            <b/>
            <sz val="9"/>
            <color indexed="81"/>
            <rFont val="Tahoma"/>
            <family val="2"/>
          </rPr>
          <t>Enter Fahrenheit temp w/o the "F":
"85", "-2"</t>
        </r>
      </text>
    </comment>
    <comment ref="BN67" authorId="0" shapeId="0">
      <text>
        <r>
          <rPr>
            <b/>
            <sz val="9"/>
            <color indexed="81"/>
            <rFont val="Tahoma"/>
            <family val="2"/>
          </rPr>
          <t>Enter ALSTG w/o the "ins":
"29.97"</t>
        </r>
      </text>
    </comment>
    <comment ref="AS289" authorId="0" shapeId="0">
      <text>
        <r>
          <rPr>
            <b/>
            <sz val="9"/>
            <color indexed="81"/>
            <rFont val="Tahoma"/>
            <family val="2"/>
          </rPr>
          <t>Enter times in 4 digits:
"1600"</t>
        </r>
      </text>
    </comment>
    <comment ref="A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M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Y300" authorId="1" shapeId="0">
      <text>
        <r>
          <rPr>
            <b/>
            <sz val="9"/>
            <color indexed="81"/>
            <rFont val="Tahoma"/>
            <family val="2"/>
          </rPr>
          <t>Place an "X" if clouds are layered.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<sst xmlns="http://schemas.openxmlformats.org/spreadsheetml/2006/main" count="7036" uniqueCount="3122">
  <si>
    <t>Forecast Discussion</t>
  </si>
  <si>
    <t>HIGH/LOW:</t>
  </si>
  <si>
    <t>AM</t>
  </si>
  <si>
    <t>PM</t>
  </si>
  <si>
    <t>CLIMO</t>
  </si>
  <si>
    <t>HIGH</t>
  </si>
  <si>
    <t>LOW</t>
  </si>
  <si>
    <t>NORMAL:</t>
  </si>
  <si>
    <t>EXTREME:</t>
  </si>
  <si>
    <t>BMNT:</t>
  </si>
  <si>
    <t>SUNRISE:</t>
  </si>
  <si>
    <t>MOONRISE:</t>
  </si>
  <si>
    <t>SUNSET:</t>
  </si>
  <si>
    <t>MOONSET:</t>
  </si>
  <si>
    <t>EENT:</t>
  </si>
  <si>
    <t>ILLUM:</t>
  </si>
  <si>
    <t>AIRFIELD GO / NO GO</t>
  </si>
  <si>
    <t>RANGE MISSION WX</t>
  </si>
  <si>
    <t>BLOCKS</t>
  </si>
  <si>
    <t>Valid:</t>
  </si>
  <si>
    <t>MEF:</t>
  </si>
  <si>
    <t>Solar / Lunar</t>
  </si>
  <si>
    <t>Space WX</t>
  </si>
  <si>
    <t>Tropical</t>
  </si>
  <si>
    <t xml:space="preserve"> FREQ:</t>
  </si>
  <si>
    <t>Storm(s)/ impact date:</t>
  </si>
  <si>
    <t>Mission</t>
  </si>
  <si>
    <t xml:space="preserve"> GPS:</t>
  </si>
  <si>
    <t>Airframe:</t>
  </si>
  <si>
    <t>Turb CAT:</t>
  </si>
  <si>
    <t>MOON %:</t>
  </si>
  <si>
    <t xml:space="preserve"> RAD:</t>
  </si>
  <si>
    <t>Mission:</t>
  </si>
  <si>
    <t>Hourly Weather Data</t>
  </si>
  <si>
    <t>Airfield Go / No Go</t>
  </si>
  <si>
    <t>Max / Min Data</t>
  </si>
  <si>
    <t>Flight Level Data</t>
  </si>
  <si>
    <t>Time</t>
  </si>
  <si>
    <t>Temperature</t>
  </si>
  <si>
    <t>Dew Point</t>
  </si>
  <si>
    <t>RH</t>
  </si>
  <si>
    <t>ALSTG</t>
  </si>
  <si>
    <t>PA</t>
  </si>
  <si>
    <t>DA</t>
  </si>
  <si>
    <t xml:space="preserve"> Max Temp</t>
  </si>
  <si>
    <t>(MSL)</t>
  </si>
  <si>
    <t>Winds (KTS)  /  Temps (°C)</t>
  </si>
  <si>
    <t xml:space="preserve"> Min Temp</t>
  </si>
  <si>
    <t xml:space="preserve"> Max PA</t>
  </si>
  <si>
    <t>Max DA</t>
  </si>
  <si>
    <t xml:space="preserve"> Min ALSTG</t>
  </si>
  <si>
    <t>Relative Humidity</t>
  </si>
  <si>
    <t>Max</t>
  </si>
  <si>
    <t>Min</t>
  </si>
  <si>
    <t xml:space="preserve"> Min Freezing Level</t>
  </si>
  <si>
    <r>
      <rPr>
        <b/>
        <sz val="14"/>
        <rFont val="Arial"/>
        <family val="2"/>
      </rPr>
      <t>Range Mission Weather</t>
    </r>
    <r>
      <rPr>
        <b/>
        <sz val="11"/>
        <rFont val="Arial"/>
        <family val="2"/>
      </rPr>
      <t xml:space="preserve">   covers at a minimum, 35 NM radius Local Flying Area   (Fort Knox Reg. 95-1)</t>
    </r>
  </si>
  <si>
    <t>Range  Outlook  Planning  Forecast</t>
  </si>
  <si>
    <t>0000-1200L</t>
  </si>
  <si>
    <t>1200-2400L</t>
  </si>
  <si>
    <t xml:space="preserve"> MIN VIS:</t>
  </si>
  <si>
    <t xml:space="preserve">   MIN VIS:</t>
  </si>
  <si>
    <t xml:space="preserve"> MIN CIG:</t>
  </si>
  <si>
    <t xml:space="preserve">   MIN CIG:</t>
  </si>
  <si>
    <t xml:space="preserve"> WIND:</t>
  </si>
  <si>
    <t xml:space="preserve">   WIND:</t>
  </si>
  <si>
    <t>HI / LO:</t>
  </si>
  <si>
    <t xml:space="preserve">  HI / LO:</t>
  </si>
  <si>
    <t>Contact Information:</t>
  </si>
  <si>
    <t>phone:</t>
  </si>
  <si>
    <t xml:space="preserve"> 502-624-5653,  DSN: 464-5653</t>
  </si>
  <si>
    <t>PMSV radio:</t>
  </si>
  <si>
    <t>139.65 mhz</t>
  </si>
  <si>
    <t>ATIS:</t>
  </si>
  <si>
    <t>109.6 mhz</t>
  </si>
  <si>
    <t>Produced:</t>
  </si>
  <si>
    <t>For updated weather, visit:</t>
  </si>
  <si>
    <t>http://www.knox.army.mil/partners/OLC18/</t>
  </si>
  <si>
    <t>HIGH:</t>
  </si>
  <si>
    <t>LOW:</t>
  </si>
  <si>
    <t>Advisory / Warning / Watch</t>
  </si>
  <si>
    <t>Space Weather</t>
  </si>
  <si>
    <t>Briefing Record</t>
  </si>
  <si>
    <t>Warning / Watch</t>
  </si>
  <si>
    <t>select airframe:</t>
  </si>
  <si>
    <t>Brief time/initials:</t>
  </si>
  <si>
    <t>See 15th OWS:</t>
  </si>
  <si>
    <t>H-60</t>
  </si>
  <si>
    <t>Void time/initials:</t>
  </si>
  <si>
    <t>select mission:</t>
  </si>
  <si>
    <t>MOON PCT:</t>
  </si>
  <si>
    <t>Web link:</t>
  </si>
  <si>
    <t>Rebrief/initials:</t>
  </si>
  <si>
    <t>MEDEVAC training</t>
  </si>
  <si>
    <r>
      <t xml:space="preserve">PA </t>
    </r>
    <r>
      <rPr>
        <b/>
        <sz val="6"/>
        <color rgb="FF0000FF"/>
        <rFont val="Arial"/>
        <family val="2"/>
      </rPr>
      <t>(KFTK)</t>
    </r>
  </si>
  <si>
    <r>
      <t xml:space="preserve">DA </t>
    </r>
    <r>
      <rPr>
        <b/>
        <sz val="6"/>
        <color rgb="FF0000FF"/>
        <rFont val="Arial"/>
        <family val="2"/>
      </rPr>
      <t>(KFTK)</t>
    </r>
  </si>
  <si>
    <t>C-12</t>
  </si>
  <si>
    <t>H-6</t>
  </si>
  <si>
    <t>GR'ND OPS</t>
  </si>
  <si>
    <t>°F</t>
  </si>
  <si>
    <r>
      <rPr>
        <b/>
        <sz val="12"/>
        <rFont val="Arial"/>
        <family val="2"/>
      </rPr>
      <t>Range Mission Weather</t>
    </r>
    <r>
      <rPr>
        <b/>
        <sz val="11"/>
        <rFont val="Arial"/>
        <family val="2"/>
      </rPr>
      <t xml:space="preserve">  </t>
    </r>
    <r>
      <rPr>
        <b/>
        <sz val="10"/>
        <rFont val="Arial"/>
        <family val="2"/>
      </rPr>
      <t xml:space="preserve">covers at a minimum, 35 NM radius Local Flying Area </t>
    </r>
    <r>
      <rPr>
        <b/>
        <sz val="11"/>
        <rFont val="Arial"/>
        <family val="2"/>
      </rPr>
      <t xml:space="preserve">  </t>
    </r>
    <r>
      <rPr>
        <b/>
        <sz val="9"/>
        <rFont val="Arial"/>
        <family val="2"/>
      </rPr>
      <t>(Fort Knox Reg. 95-1)</t>
    </r>
  </si>
  <si>
    <t>HI/LO:</t>
  </si>
  <si>
    <t xml:space="preserve">  HI/LO:</t>
  </si>
  <si>
    <t xml:space="preserve">   Solar / Lunar Data</t>
  </si>
  <si>
    <t>Contact Info:</t>
  </si>
  <si>
    <t>Phone:</t>
  </si>
  <si>
    <t>Web:</t>
  </si>
  <si>
    <t>Provide Feedback:</t>
  </si>
  <si>
    <t>C12</t>
  </si>
  <si>
    <t>H60</t>
  </si>
  <si>
    <t>H6</t>
  </si>
  <si>
    <t>GR</t>
  </si>
  <si>
    <t>MQ-9</t>
  </si>
  <si>
    <t>Hoist</t>
  </si>
  <si>
    <t>AH-64</t>
  </si>
  <si>
    <t>Admin/ support</t>
  </si>
  <si>
    <t>Multi-ship, 1 type</t>
  </si>
  <si>
    <t>H-47</t>
  </si>
  <si>
    <t>Multi-ship, mixed</t>
  </si>
  <si>
    <t>Gunnery</t>
  </si>
  <si>
    <t>H-58</t>
  </si>
  <si>
    <t>FS/PC</t>
  </si>
  <si>
    <t>RQ-7</t>
  </si>
  <si>
    <t>Urban</t>
  </si>
  <si>
    <t>ATM training</t>
  </si>
  <si>
    <t>Maint. Recovery</t>
  </si>
  <si>
    <t>MTF Gen/ limited</t>
  </si>
  <si>
    <t>Non-METL</t>
  </si>
  <si>
    <t>Terrain &lt;200ft</t>
  </si>
  <si>
    <t>NVG present</t>
  </si>
  <si>
    <t>MEDEVAC</t>
  </si>
  <si>
    <t>RL training</t>
  </si>
  <si>
    <t>Representative TAF (times UTC):</t>
  </si>
  <si>
    <t>Advisory /</t>
  </si>
  <si>
    <t>airframe:</t>
  </si>
  <si>
    <t>(Visit 15th OWS website, use JET, or contact WX)</t>
  </si>
  <si>
    <t>mission:</t>
  </si>
  <si>
    <t xml:space="preserve"> HI/LO:</t>
  </si>
  <si>
    <t xml:space="preserve">   HI/LO:</t>
  </si>
  <si>
    <t>PMSV:</t>
  </si>
  <si>
    <t>web, visit:</t>
  </si>
  <si>
    <t>http://www.knox.army.mil/partners/weather/Default.aspx</t>
  </si>
  <si>
    <t>VERSION:</t>
  </si>
  <si>
    <t>STATION DATA:</t>
  </si>
  <si>
    <t>KFTK</t>
  </si>
  <si>
    <t>(- for S)</t>
  </si>
  <si>
    <t>(- for W)</t>
  </si>
  <si>
    <t>Preliminary data:</t>
  </si>
  <si>
    <t>TAF location:</t>
  </si>
  <si>
    <t>Lat:</t>
  </si>
  <si>
    <t>Long:</t>
  </si>
  <si>
    <t>Elev:</t>
  </si>
  <si>
    <t>Time (UTC to local):</t>
  </si>
  <si>
    <t>Forecast begin time:</t>
  </si>
  <si>
    <t>Forecast end time:</t>
  </si>
  <si>
    <t>Time Zone, UTC:</t>
  </si>
  <si>
    <t>-5</t>
  </si>
  <si>
    <t>MEF begin times:</t>
  </si>
  <si>
    <t>A:</t>
  </si>
  <si>
    <t>B:</t>
  </si>
  <si>
    <t>C:</t>
  </si>
  <si>
    <t>D:</t>
  </si>
  <si>
    <t>This MEF's data:</t>
  </si>
  <si>
    <t>Initials:</t>
  </si>
  <si>
    <t>GS</t>
  </si>
  <si>
    <t>Date:</t>
  </si>
  <si>
    <t>B</t>
  </si>
  <si>
    <t>AMD #:</t>
  </si>
  <si>
    <t>TIME:</t>
  </si>
  <si>
    <t>Season:</t>
  </si>
  <si>
    <t>winter</t>
  </si>
  <si>
    <t>asphalt</t>
  </si>
  <si>
    <t>Step 1</t>
  </si>
  <si>
    <t>Determine "Mission of the Day"</t>
  </si>
  <si>
    <t>Current TAF:</t>
  </si>
  <si>
    <t>Step 2</t>
  </si>
  <si>
    <t>Define Weather Thresholds</t>
  </si>
  <si>
    <t>See "Go-NoGo" worksheet.</t>
  </si>
  <si>
    <t>Step 3</t>
  </si>
  <si>
    <t>Define products, services and data types</t>
  </si>
  <si>
    <t>Step 4</t>
  </si>
  <si>
    <t>Coordinate weather support</t>
  </si>
  <si>
    <t>Step 5</t>
  </si>
  <si>
    <t>Obtain weather situational awareness</t>
  </si>
  <si>
    <t>FREQ:</t>
  </si>
  <si>
    <t>Storm(s) which potentially may impact the military facility:</t>
  </si>
  <si>
    <t>Step 6</t>
  </si>
  <si>
    <t>Conduct mission-scale analysis</t>
  </si>
  <si>
    <t>links:</t>
  </si>
  <si>
    <t>forecast:</t>
  </si>
  <si>
    <t>No impact.</t>
  </si>
  <si>
    <t>link to Nat'l Hurricane Center:</t>
  </si>
  <si>
    <t>GPS:</t>
  </si>
  <si>
    <t>NONE</t>
  </si>
  <si>
    <t>link:</t>
  </si>
  <si>
    <t>Step 7</t>
  </si>
  <si>
    <t>Predict mission execution weather parameters</t>
  </si>
  <si>
    <t>RAD:</t>
  </si>
  <si>
    <t>Step 8</t>
  </si>
  <si>
    <t>Tailor forecast parameters to the mission</t>
  </si>
  <si>
    <t>Meteorological Techniques</t>
  </si>
  <si>
    <t>Forecast Reasoning</t>
  </si>
  <si>
    <t>Checklists</t>
  </si>
  <si>
    <t>Regimes</t>
  </si>
  <si>
    <t>Rules of Thumb</t>
  </si>
  <si>
    <t>Amendment</t>
  </si>
  <si>
    <t>Time of AMD:</t>
  </si>
  <si>
    <t>AMD Number:</t>
  </si>
  <si>
    <t>Reason for AMD:</t>
  </si>
  <si>
    <t>Hourly Temp / Dew Point / ALSTG Data</t>
  </si>
  <si>
    <t>Blue print = data utilized</t>
  </si>
  <si>
    <t>LAMP</t>
  </si>
  <si>
    <t>NAM</t>
  </si>
  <si>
    <t>G'WEM</t>
  </si>
  <si>
    <t>MAN</t>
  </si>
  <si>
    <t>USING</t>
  </si>
  <si>
    <t>GALWEM</t>
  </si>
  <si>
    <t>MANUAL</t>
  </si>
  <si>
    <t>Model: NAM</t>
  </si>
  <si>
    <t>https://weather.af.mil/services/MISC?SERVICE=MISC&amp;REQUEST=script%2Ffous&amp;SOURCE=GALWEM&amp;LOC=KFTK&amp;DURATION=144</t>
  </si>
  <si>
    <t>A</t>
  </si>
  <si>
    <t>Spacing: 40KM</t>
  </si>
  <si>
    <t xml:space="preserve">                                   UNCLASSIFIED</t>
  </si>
  <si>
    <t>StationID: KFTK</t>
  </si>
  <si>
    <t>Station Name: Fort_Knox_KY</t>
  </si>
  <si>
    <t>Use:</t>
  </si>
  <si>
    <t>MODEL</t>
  </si>
  <si>
    <t>Longitude: -85.97</t>
  </si>
  <si>
    <t>Elevation: 230</t>
  </si>
  <si>
    <t>Temp/DP model:</t>
  </si>
  <si>
    <t>Runway: 180/360</t>
  </si>
  <si>
    <t>Classification: U</t>
  </si>
  <si>
    <t>ALSTG model:</t>
  </si>
  <si>
    <t>Forecast Hours:</t>
  </si>
  <si>
    <t xml:space="preserve">      0hr      3hr      6hr      9hr     12hr     15hr     18hr     21hr     24hr     27hr     30hr     33hr     36hr     39hr     42hr     45hr     48hr     51hr     54hr     57hr     60hr     63hr     66hr     69hr     72hr     75hr     78hr     81hr     84hr</t>
  </si>
  <si>
    <t xml:space="preserve">Sfc Prs(mb):       </t>
  </si>
  <si>
    <t>Adjust?:</t>
  </si>
  <si>
    <t>No</t>
  </si>
  <si>
    <t>Yes</t>
  </si>
  <si>
    <t xml:space="preserve">Mean SLP (mb):     </t>
  </si>
  <si>
    <t>Altimeter (in. Hg):</t>
  </si>
  <si>
    <t>Adjust by:</t>
  </si>
  <si>
    <t>-</t>
  </si>
  <si>
    <t>+</t>
  </si>
  <si>
    <t xml:space="preserve">Press Alt (ft):    </t>
  </si>
  <si>
    <t xml:space="preserve">Density Alt (ft):  </t>
  </si>
  <si>
    <t xml:space="preserve">2 m agl Tmp (K):   </t>
  </si>
  <si>
    <t>2 m agl Temp-D (K):</t>
  </si>
  <si>
    <t xml:space="preserve">2 m agl Dpt (K):   </t>
  </si>
  <si>
    <t xml:space="preserve">                                                                                 </t>
  </si>
  <si>
    <t xml:space="preserve">   52.91,   49.57,   48.95,   43.75,</t>
  </si>
  <si>
    <t>(Note: Slashes indicate field unavailable)</t>
  </si>
  <si>
    <t>Model output parameters are based on GALWEM 0.25 Degree model.</t>
  </si>
  <si>
    <t xml:space="preserve"> </t>
  </si>
  <si>
    <t>Bulletin data interpolated from nearest model grid points.</t>
  </si>
  <si>
    <t>TTT   # hours past models 00hr; e.g., 003 would be the 3-hour forecast</t>
  </si>
  <si>
    <t xml:space="preserve">      from GALWEM analysis</t>
  </si>
  <si>
    <t>PTT   Quantitative precipitation forecast in format x.xx inches.  024</t>
  </si>
  <si>
    <t xml:space="preserve">      is 0.24 inches; 123 is 1.23 inches.  Values are 1 hour accumulation</t>
  </si>
  <si>
    <t xml:space="preserve">      for FH 01-42. 3 hour accumulation for FH 45+</t>
  </si>
  <si>
    <t>DP    Surface Dewpoint in degrees C.  Negative values are subtracted</t>
  </si>
  <si>
    <t xml:space="preserve">      from 100; e.g. 92 would be -8C</t>
  </si>
  <si>
    <t>R1    Relative humidity at 500 ft AGL (100 shown as 99)</t>
  </si>
  <si>
    <t>R2    Relative humidity at 2000 ft AGL (100 shown as 99)</t>
  </si>
  <si>
    <t>R3    Relative humidity at 3000 ft AGL (100 shown as 99)</t>
  </si>
  <si>
    <t>VVV   Vertical velocity at 700 MB in tenths of microbars per second.</t>
  </si>
  <si>
    <t xml:space="preserve">      029 is 2.9 microbars per sec.  Positive values denote rising</t>
  </si>
  <si>
    <t xml:space="preserve">      air; Negative values denote sinking air</t>
  </si>
  <si>
    <t xml:space="preserve">LI    Best Lifted index.  Negative values are denoted by "9s"; e.g., </t>
  </si>
  <si>
    <t xml:space="preserve">      97 is a LI of -3</t>
  </si>
  <si>
    <t xml:space="preserve">PS    Sea Level pressure in millibars.  28 would be 1028mb; 94 would </t>
  </si>
  <si>
    <t xml:space="preserve">      be 994mb</t>
  </si>
  <si>
    <t>QNH   Surface Altimeter Setting in inches where the first digit is</t>
  </si>
  <si>
    <t xml:space="preserve">      truncated; e.g. 012 = 30.12 inches, 992 = 29.92 inches.</t>
  </si>
  <si>
    <t>DDFF  Wind speed (knots) and direction.  3325 would be winds from 330</t>
  </si>
  <si>
    <t xml:space="preserve">      degrees at 25kts</t>
  </si>
  <si>
    <t>HH    1000-500mb thickness in meters.  52 would be 5520m; 40 would be</t>
  </si>
  <si>
    <t xml:space="preserve">      5400m</t>
  </si>
  <si>
    <t>ST    Surface Temperature in degrees C.  Negative values are subtracted</t>
  </si>
  <si>
    <t>T1    Temperature in degrees C at 500 ft AGL.  Negative values are</t>
  </si>
  <si>
    <t xml:space="preserve">      subtracted from 100; e.g. 92 would be -8C</t>
  </si>
  <si>
    <t>T2    Temperature at 2000 ft AGL</t>
  </si>
  <si>
    <t>T3    Temperature at 3000 ft AGL</t>
  </si>
  <si>
    <t xml:space="preserve">W     Present weather (prototype capability includes rain (R), snow </t>
  </si>
  <si>
    <t xml:space="preserve">      (S), ice pellets (P), freezing rain (Z),  thunderstorms (T) and </t>
  </si>
  <si>
    <t xml:space="preserve">      severe thunderstorms (X)) Note: This element is not displayed </t>
  </si>
  <si>
    <t xml:space="preserve">      for the initial forecast hour.</t>
  </si>
  <si>
    <t xml:space="preserve">CIG   Ceiling in hundreds of feet; e.g., 003 is 300 feet; 030 is 3000 </t>
  </si>
  <si>
    <t xml:space="preserve">      feet, and 100 is 10000 feet.</t>
  </si>
  <si>
    <t>VIS   Visibility in tenths of statute miles (SM); e.g., 005 is 1/2 SM;</t>
  </si>
  <si>
    <t xml:space="preserve">      030 is 3 SM and 100 is 10 SM.</t>
  </si>
  <si>
    <t xml:space="preserve">      </t>
  </si>
  <si>
    <t>Flight Level Winds &amp; Temps</t>
  </si>
  <si>
    <t>KM</t>
  </si>
  <si>
    <t>UNCLASSIFIED</t>
  </si>
  <si>
    <t>Wind</t>
  </si>
  <si>
    <t>T (°C)</t>
  </si>
  <si>
    <r>
      <t>T (</t>
    </r>
    <r>
      <rPr>
        <b/>
        <sz val="10"/>
        <color theme="1"/>
        <rFont val="Calibri"/>
        <family val="2"/>
      </rPr>
      <t>°</t>
    </r>
    <r>
      <rPr>
        <b/>
        <sz val="10"/>
        <color theme="1"/>
        <rFont val="Arial"/>
        <family val="2"/>
      </rPr>
      <t>C)</t>
    </r>
  </si>
  <si>
    <t>A. Forecast Time, Drop Zone Location, Elevation</t>
  </si>
  <si>
    <t>B. Winds, Temperature, Pressure Altitude, D-Values, Ballistic Winds -</t>
  </si>
  <si>
    <t xml:space="preserve"> HEIGHT(PRESS)   DIR     SPEED      TEMP    PRESS ALT   D-VALUE   BALLISTIC WINDS</t>
  </si>
  <si>
    <t xml:space="preserve">  981.01,  980.84,  981.92,  983.29,  981.46,  980.29,  981.43,  982.48,  981.12,  980.47,  982.35,  982.68,  982.21,  980.06,  980.18,  980.88,  979.01,  981.02,  985.20,  988.33,  988.79,  988.94,  990.82,  992.86,  993.63,  994.65,  996.47,  997.85,  995.68,</t>
  </si>
  <si>
    <t>(KFT AGL)(MB)   (DEG)   (KNOTS)    (DEG C)  (KFT MSL)     (FT)    (DEG)   (KNOTS)</t>
  </si>
  <si>
    <t xml:space="preserve"> 1007.74, 1007.68, 1008.80, 1010.20, 1008.04, 1006.86, 1008.07, 1009.15, 1007.72, 1007.11, 1009.12, 1009.46, 1008.89, 1006.61, 1006.84, 1007.50, 1005.61, 1007.81, 1012.60, 1015.82, 1016.00, 1016.05, 1018.08, 1020.41, 1021.33, 1022.54, 1024.56, 1025.75, 1023.19,</t>
  </si>
  <si>
    <t xml:space="preserve">   29.76,   29.76,   29.79,   29.83,   29.78,   29.74,   29.78,   29.81,   29.77,   29.75,   29.80,   29.81,   29.80,   29.74,   29.74,   29.76,   29.70,   29.76,   29.89,   29.99,   30.00,   30.00,   30.06,   30.12,   30.15,   30.18,   30.23,   30.27,   30.21,</t>
  </si>
  <si>
    <t xml:space="preserve">  891.68,  896.34,  866.16,  827.76,  879.00,  911.77,  879.90,  850.60,  888.56,  906.92,  854.11,  844.79,  858.19,  918.34,  914.89,  895.32,  947.82,  891.52,  774.50,  687.25,  674.40,  670.19,  617.90,  561.12,  539.96,  511.57,  461.28,  422.98,  483.02,</t>
  </si>
  <si>
    <t xml:space="preserve"> 1701.25, 1495.10, 1431.84, 1461.30, 2238.27, 2155.95, 2021.09, 1948.45, 2094.69, 1980.37, 1727.93, 1739.97, 1975.71, 2233.81, 1926.39, 2012.58, 2031.29, 1608.35,  661.60,  668.10, 1059.94, 1190.57,  819.49,  487.06,  291.66,   74.12, -121.12,  157.89,  711.32,</t>
  </si>
  <si>
    <t xml:space="preserve">  291.40,  289.60,  289.35,  289.86,  295.66,  294.34,  293.41,  293.23,  294.03,  292.93,  291.47,  291.69,  293.64,  295.19,  292.49,  293.43,  292.99,  290.67,  284.55,  285.52,  288.93,  290.11,  287.53,  285.32,  283.99,  282.55,  281.45,  284.04,  288.10,</t>
  </si>
  <si>
    <t xml:space="preserve">    5.01,    3.22,    2.91,    3.34,    9.25,    7.99,    7.00,    6.76,    7.63,    6.57,    5.01,    5.21,    7.18,    8.85,    6.14,    7.04,    6.71,    4.28,   -2.08,   -1.27,    2.11,    3.28,    0.60,   -1.73,   -3.10,   -4.60,   -5.79,   -3.28,    0.90,</t>
  </si>
  <si>
    <t xml:space="preserve">  286.41,  286.26,  286.52,  287.82,  290.58,  292.21,  292.83,  292.00,  292.39,  291.84,  290.77,  290.65,  290.27,  290.67,  291.09,  291.20,  291.44,  285.84,  278.09,  277.84,  278.40,  278.04,  277.70,  277.78,  276.46,  275.29,  275.23,  277.21,  276.50,</t>
  </si>
  <si>
    <t>Mission Weather (LFA outside vicinity of Godman Army Airfield)</t>
  </si>
  <si>
    <t>X</t>
  </si>
  <si>
    <t>Number of blocks:</t>
  </si>
  <si>
    <t xml:space="preserve">BLOCK </t>
  </si>
  <si>
    <t>from:</t>
  </si>
  <si>
    <t>to:</t>
  </si>
  <si>
    <t>Area(s):</t>
  </si>
  <si>
    <t>FT KNOX LFA, ALL AREAS</t>
  </si>
  <si>
    <t>Valid times:</t>
  </si>
  <si>
    <t>L</t>
  </si>
  <si>
    <t>MIDPOINT:</t>
  </si>
  <si>
    <t>PREDOMINANT CONDITIONS</t>
  </si>
  <si>
    <t xml:space="preserve">   TEMPO </t>
  </si>
  <si>
    <t xml:space="preserve">Times:  </t>
  </si>
  <si>
    <t>to</t>
  </si>
  <si>
    <t>WINDS:</t>
  </si>
  <si>
    <r>
      <t xml:space="preserve">SFC </t>
    </r>
    <r>
      <rPr>
        <b/>
        <sz val="9"/>
        <color theme="1"/>
        <rFont val="Arial"/>
        <family val="2"/>
      </rPr>
      <t>or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7030A0"/>
        <rFont val="Arial"/>
        <family val="2"/>
      </rPr>
      <t xml:space="preserve">FL </t>
    </r>
    <r>
      <rPr>
        <b/>
        <sz val="9"/>
        <color theme="1"/>
        <rFont val="Arial"/>
        <family val="2"/>
      </rPr>
      <t>winds (KTS):</t>
    </r>
  </si>
  <si>
    <t>DIR</t>
  </si>
  <si>
    <t>SPEED</t>
  </si>
  <si>
    <t>GUST</t>
  </si>
  <si>
    <t>180</t>
  </si>
  <si>
    <t>SFC WNDS:</t>
  </si>
  <si>
    <t>FL</t>
  </si>
  <si>
    <t>VIS / WX:</t>
  </si>
  <si>
    <t>VIS</t>
  </si>
  <si>
    <t>WX</t>
  </si>
  <si>
    <t>7</t>
  </si>
  <si>
    <t>CLOUDS:</t>
  </si>
  <si>
    <t>COVERAGE</t>
  </si>
  <si>
    <t>BASE</t>
  </si>
  <si>
    <t>TOP</t>
  </si>
  <si>
    <t>(LYRD)</t>
  </si>
  <si>
    <r>
      <t xml:space="preserve">Lowest layer: </t>
    </r>
    <r>
      <rPr>
        <b/>
        <sz val="8"/>
        <color rgb="FF0000FF"/>
        <rFont val="Arial"/>
        <family val="2"/>
      </rPr>
      <t>(or "NONE")</t>
    </r>
  </si>
  <si>
    <t>BKN</t>
  </si>
  <si>
    <t>FEW</t>
  </si>
  <si>
    <t xml:space="preserve">2nd Layer: </t>
  </si>
  <si>
    <t>BKN-OVC</t>
  </si>
  <si>
    <t xml:space="preserve">3rd Layer: </t>
  </si>
  <si>
    <t xml:space="preserve">4th Layer: </t>
  </si>
  <si>
    <t>HAZARDS:</t>
  </si>
  <si>
    <t>SEVERITY /     TS COVERGE</t>
  </si>
  <si>
    <t>LYR HGTS /      TS MAX TOPS</t>
  </si>
  <si>
    <t>SEVERITY /     TS COVERAGE</t>
  </si>
  <si>
    <r>
      <t xml:space="preserve">#1             </t>
    </r>
    <r>
      <rPr>
        <b/>
        <sz val="8"/>
        <color rgb="FF0000FF"/>
        <rFont val="Arial"/>
        <family val="2"/>
      </rPr>
      <t>(or NONE):</t>
    </r>
  </si>
  <si>
    <t>TYPE</t>
  </si>
  <si>
    <t>TURB</t>
  </si>
  <si>
    <t>LGT-MDT</t>
  </si>
  <si>
    <t>#2:</t>
  </si>
  <si>
    <t>#3:</t>
  </si>
  <si>
    <t>GO / NG</t>
  </si>
  <si>
    <t>WND:</t>
  </si>
  <si>
    <t>VIS:</t>
  </si>
  <si>
    <t>CIG:</t>
  </si>
  <si>
    <t>TS:</t>
  </si>
  <si>
    <t>ICG:</t>
  </si>
  <si>
    <t>TURB:</t>
  </si>
  <si>
    <t>LLWS:</t>
  </si>
  <si>
    <t>CIG / VIS / WX</t>
  </si>
  <si>
    <t xml:space="preserve">MAV TEXT BULLETIN </t>
  </si>
  <si>
    <t>Model Data</t>
  </si>
  <si>
    <t>UTC:</t>
  </si>
  <si>
    <t>SKY CON</t>
  </si>
  <si>
    <t>LOCAL:</t>
  </si>
  <si>
    <t>GFS LAMP</t>
  </si>
  <si>
    <t>CEILING:</t>
  </si>
  <si>
    <t>SKY CON:</t>
  </si>
  <si>
    <t>CEILING</t>
  </si>
  <si>
    <t>NAM MOS</t>
  </si>
  <si>
    <t>GFS MOS</t>
  </si>
  <si>
    <t>VIS / WX</t>
  </si>
  <si>
    <t xml:space="preserve">MET TEXT BULLETIN </t>
  </si>
  <si>
    <t xml:space="preserve">MEX TEXT BULLETIN </t>
  </si>
  <si>
    <t>5 Day Forecast</t>
  </si>
  <si>
    <t>EXPORT TO MEFVER</t>
  </si>
  <si>
    <t>Temperature Forecast Worksheet</t>
  </si>
  <si>
    <t>From</t>
  </si>
  <si>
    <t>90/FZP</t>
  </si>
  <si>
    <t xml:space="preserve"> MIN</t>
  </si>
  <si>
    <t>MAX</t>
  </si>
  <si>
    <t>I/VFR</t>
  </si>
  <si>
    <t>BLOCK</t>
  </si>
  <si>
    <t>IFR/VFR</t>
  </si>
  <si>
    <t>NWS</t>
  </si>
  <si>
    <t>CIG</t>
  </si>
  <si>
    <t>FZ</t>
  </si>
  <si>
    <t>GFS</t>
  </si>
  <si>
    <t>TS</t>
  </si>
  <si>
    <t>Other</t>
  </si>
  <si>
    <t>Average</t>
  </si>
  <si>
    <t>P</t>
  </si>
  <si>
    <t>T</t>
  </si>
  <si>
    <t>DAY 1</t>
  </si>
  <si>
    <t>DAY 2</t>
  </si>
  <si>
    <t>DAY 3</t>
  </si>
  <si>
    <t>DAY 4</t>
  </si>
  <si>
    <t>DAY 5</t>
  </si>
  <si>
    <t>TEMPERATURES:</t>
  </si>
  <si>
    <t>MIN VIS:</t>
  </si>
  <si>
    <t>3</t>
  </si>
  <si>
    <t>WX:</t>
  </si>
  <si>
    <t>1</t>
  </si>
  <si>
    <t>6</t>
  </si>
  <si>
    <t>from MEF (for reference):</t>
  </si>
  <si>
    <t>MIN CIG:</t>
  </si>
  <si>
    <t>max 12-hr gust</t>
  </si>
  <si>
    <t>F</t>
  </si>
  <si>
    <t>0800L SFC WINDS:</t>
  </si>
  <si>
    <t>dir.</t>
  </si>
  <si>
    <t>speed</t>
  </si>
  <si>
    <t>1600L SFC WINDS:</t>
  </si>
  <si>
    <t>TIME OF DAY:    (optional)</t>
  </si>
  <si>
    <t>KT</t>
  </si>
  <si>
    <t>190</t>
  </si>
  <si>
    <t>330</t>
  </si>
  <si>
    <t>280</t>
  </si>
  <si>
    <t>270</t>
  </si>
  <si>
    <t>310</t>
  </si>
  <si>
    <t>TIME OF DAY (optional):</t>
  </si>
  <si>
    <t>AM:</t>
  </si>
  <si>
    <t>PM:</t>
  </si>
  <si>
    <t>Plain language forecasts:</t>
  </si>
  <si>
    <t>Plain language discussion:</t>
  </si>
  <si>
    <t xml:space="preserve">GALWEM OUTPUT </t>
  </si>
  <si>
    <t>HR</t>
  </si>
  <si>
    <t>DTG</t>
  </si>
  <si>
    <t>TEMPERATURE</t>
  </si>
  <si>
    <t>VV</t>
  </si>
  <si>
    <t>LI</t>
  </si>
  <si>
    <t>QPF</t>
  </si>
  <si>
    <t>12HR</t>
  </si>
  <si>
    <t>RASN</t>
  </si>
  <si>
    <t>RA</t>
  </si>
  <si>
    <t>SN</t>
  </si>
  <si>
    <t>IP</t>
  </si>
  <si>
    <t>SFC</t>
  </si>
  <si>
    <t>500'</t>
  </si>
  <si>
    <t>2K FT</t>
  </si>
  <si>
    <t>3K FT</t>
  </si>
  <si>
    <t>summer</t>
  </si>
  <si>
    <t>LGT</t>
  </si>
  <si>
    <t>BR</t>
  </si>
  <si>
    <t>FC</t>
  </si>
  <si>
    <t>()</t>
  </si>
  <si>
    <t>SH</t>
  </si>
  <si>
    <t>FG</t>
  </si>
  <si>
    <t>SQ</t>
  </si>
  <si>
    <t>C</t>
  </si>
  <si>
    <t>MDT</t>
  </si>
  <si>
    <t>FEW-SCT</t>
  </si>
  <si>
    <t>DZ</t>
  </si>
  <si>
    <t>HZ</t>
  </si>
  <si>
    <t>PO</t>
  </si>
  <si>
    <t>D</t>
  </si>
  <si>
    <t>ICING</t>
  </si>
  <si>
    <t>MDT-SVR</t>
  </si>
  <si>
    <t>SCT</t>
  </si>
  <si>
    <t>VC</t>
  </si>
  <si>
    <t>BL</t>
  </si>
  <si>
    <t>PL</t>
  </si>
  <si>
    <t>FU</t>
  </si>
  <si>
    <t>SS</t>
  </si>
  <si>
    <t>LLWS</t>
  </si>
  <si>
    <t>SVR</t>
  </si>
  <si>
    <t>SCT-BKN</t>
  </si>
  <si>
    <t>MI</t>
  </si>
  <si>
    <t>VA</t>
  </si>
  <si>
    <t>DS</t>
  </si>
  <si>
    <t>PR</t>
  </si>
  <si>
    <t>DU</t>
  </si>
  <si>
    <t>BC</t>
  </si>
  <si>
    <t>SG</t>
  </si>
  <si>
    <t>SA</t>
  </si>
  <si>
    <t>grass</t>
  </si>
  <si>
    <t>OVC</t>
  </si>
  <si>
    <t>DR</t>
  </si>
  <si>
    <t>IC</t>
  </si>
  <si>
    <t>PY</t>
  </si>
  <si>
    <t>concrete</t>
  </si>
  <si>
    <t>1T</t>
  </si>
  <si>
    <t>2T</t>
  </si>
  <si>
    <t>3T</t>
  </si>
  <si>
    <t>4T</t>
  </si>
  <si>
    <t>BMNT</t>
  </si>
  <si>
    <t>SR</t>
  </si>
  <si>
    <t>EENT</t>
  </si>
  <si>
    <t>MR</t>
  </si>
  <si>
    <t>MS</t>
  </si>
  <si>
    <t>%</t>
  </si>
  <si>
    <t>SUN EL</t>
  </si>
  <si>
    <t>SUN DEC</t>
  </si>
  <si>
    <t>MOON ANGLE</t>
  </si>
  <si>
    <t>https://www.timeanddate.com/moon/@7259771?month=1&amp;year=2021</t>
  </si>
  <si>
    <t>DATE</t>
  </si>
  <si>
    <t>TIME MAX</t>
  </si>
  <si>
    <t>YEAR CHECK:</t>
  </si>
  <si>
    <t>? (275°)</t>
  </si>
  <si>
    <t>(57.0°)</t>
  </si>
  <si>
    <t>SR/SS</t>
  </si>
  <si>
    <t>BT/ET</t>
  </si>
  <si>
    <t>MR/MS</t>
  </si>
  <si>
    <t>ILLUM</t>
  </si>
  <si>
    <t>? (89°)</t>
  </si>
  <si>
    <t>? (267°)</t>
  </si>
  <si>
    <t>(50.9°)</t>
  </si>
  <si>
    <t>? (112°)</t>
  </si>
  <si>
    <t>? (251°)</t>
  </si>
  <si>
    <t>(35.5°)</t>
  </si>
  <si>
    <t xml:space="preserve">             o  ,    o  ,                                 FORT KNOX, KENTUCKY                          Astronomical Applications Dept.</t>
  </si>
  <si>
    <t>MOON PCT</t>
  </si>
  <si>
    <t>http://www.paulcarlisle.net/mooncalendar/</t>
  </si>
  <si>
    <t>? (97°)</t>
  </si>
  <si>
    <t>? (259°)</t>
  </si>
  <si>
    <t>(44.6°)</t>
  </si>
  <si>
    <t>Jan</t>
  </si>
  <si>
    <t>Third Quarter at 3:24 am2</t>
  </si>
  <si>
    <t>? (106°)</t>
  </si>
  <si>
    <t>? (257°)</t>
  </si>
  <si>
    <t>(40.5°)</t>
  </si>
  <si>
    <t xml:space="preserve">Location: W085 58, N37 53                          Rise and Set for the Sun for 2019                   U. S. Naval Observatory        </t>
  </si>
  <si>
    <t xml:space="preserve">Location: W085 58, N37 53                             Nautical Twilight for 2019                       U. S. Naval Observatory        </t>
  </si>
  <si>
    <t xml:space="preserve">Location: W085 58, N37 53                         Rise and Set for the Moon for 2019                   U. S. Naval Observatory        </t>
  </si>
  <si>
    <t>? (105°)</t>
  </si>
  <si>
    <t>? (252°)</t>
  </si>
  <si>
    <t>(38.4°)</t>
  </si>
  <si>
    <t>Feb</t>
  </si>
  <si>
    <t>? (99°)</t>
  </si>
  <si>
    <t>? (264°)</t>
  </si>
  <si>
    <t>(45.8°)</t>
  </si>
  <si>
    <t>DAYLIGHT SAVINGS</t>
  </si>
  <si>
    <t xml:space="preserve">                                                                                                       Washington, DC  20392-5420     </t>
  </si>
  <si>
    <t xml:space="preserve">                                    Fraction of the Moon Illuminated, 2019           Astron. Applications Dept.</t>
  </si>
  <si>
    <t>SUNRISE/SET:</t>
  </si>
  <si>
    <t>? (245°)</t>
  </si>
  <si>
    <t>(32.9°)</t>
  </si>
  <si>
    <t>Mar</t>
  </si>
  <si>
    <t>? (92°)</t>
  </si>
  <si>
    <t>? (271°)</t>
  </si>
  <si>
    <t>(51.2°)</t>
  </si>
  <si>
    <t>LOCAL TIME</t>
  </si>
  <si>
    <t>UTC TIME</t>
  </si>
  <si>
    <t xml:space="preserve">                                                         Eastern Standard Time                                                        </t>
  </si>
  <si>
    <t xml:space="preserve">                                                  at Midnight                        U. S. Naval Observatory   </t>
  </si>
  <si>
    <t>https://www.sunrisesunset.com/calendar.asp?comb_city_info=Fort+Leonard+Wood%2C+Missouri%2C+USA;92.158;37.7052;-6;1&amp;month=1&amp;year=2022&amp;back=USA&amp;want_twi_naut=1&amp;want_mrms=1&amp;time_type=1&amp;wsom=0&amp;txsz=S&amp;supr=150186</t>
  </si>
  <si>
    <t>? (119°)</t>
  </si>
  <si>
    <t>? (240°)</t>
  </si>
  <si>
    <t>(28.5°)</t>
  </si>
  <si>
    <t>Apr</t>
  </si>
  <si>
    <t>? (85°)</t>
  </si>
  <si>
    <t>? (278°)</t>
  </si>
  <si>
    <t>(56.6°)</t>
  </si>
  <si>
    <t>S</t>
  </si>
  <si>
    <t xml:space="preserve">                                                                                                                                      </t>
  </si>
  <si>
    <t xml:space="preserve">                                             Eastern Standard Time                   Washington, DC 20392-5420 </t>
  </si>
  <si>
    <t>? (123°)</t>
  </si>
  <si>
    <t>? (236°)</t>
  </si>
  <si>
    <t>(25.7°)</t>
  </si>
  <si>
    <t>May</t>
  </si>
  <si>
    <t>? (79°)</t>
  </si>
  <si>
    <t>? (284°)</t>
  </si>
  <si>
    <t>(61.8°)</t>
  </si>
  <si>
    <t xml:space="preserve">                                                                                                               </t>
  </si>
  <si>
    <t>New Moon at 1:33 pm2</t>
  </si>
  <si>
    <t>? (124°)</t>
  </si>
  <si>
    <t>(24.9°)</t>
  </si>
  <si>
    <t>Jun</t>
  </si>
  <si>
    <t>? (73°)</t>
  </si>
  <si>
    <t>? (290°)</t>
  </si>
  <si>
    <t>(66.5°)</t>
  </si>
  <si>
    <t xml:space="preserve">       Jan.       Feb.       Mar.       Apr.       May        June       July       Aug.       Sept.      Oct.       Nov.       Dec.  </t>
  </si>
  <si>
    <t>? (238°)</t>
  </si>
  <si>
    <t>(26.4°)</t>
  </si>
  <si>
    <t>Jul</t>
  </si>
  <si>
    <t>? (67°)</t>
  </si>
  <si>
    <t>? (295°)</t>
  </si>
  <si>
    <t>(70.6°)</t>
  </si>
  <si>
    <t>Day Rise  Set  Rise  Set  Rise  Set  Rise  Set  Rise  Set  Rise  Set  Rise  Set  Rise  Set  Rise  Set  Rise  Set  Rise  Set  Rise  Set</t>
  </si>
  <si>
    <t>Day Begin End  Begin End  Begin End  Begin End  Begin End  Begin End  Begin End  Begin End  Begin End  Begin End  Begin End  Begin End</t>
  </si>
  <si>
    <t xml:space="preserve"> Day    Jan.     Feb.     Mar.     Apr.     May      June     July     Aug.     Sep.     Oct.     Nov.     Dec.</t>
  </si>
  <si>
    <t>? (243°)</t>
  </si>
  <si>
    <t>(29.7°)</t>
  </si>
  <si>
    <t>Aug</t>
  </si>
  <si>
    <t>? (63°)</t>
  </si>
  <si>
    <t>? (299°)</t>
  </si>
  <si>
    <t>(74.0°)</t>
  </si>
  <si>
    <t xml:space="preserve">     h m  h m   h m  h m   h m  h m   h m  h m   h m  h m   h m  h m   h m  h m   h m  h m   h m  h m   h m  h m   h m  h m   h m  h m</t>
  </si>
  <si>
    <t>? (113°)</t>
  </si>
  <si>
    <t>? (250°)</t>
  </si>
  <si>
    <t>(34.3°)</t>
  </si>
  <si>
    <t>Sep</t>
  </si>
  <si>
    <t>New Moon at 6:52 am10</t>
  </si>
  <si>
    <t>? (59°)</t>
  </si>
  <si>
    <t>? (302°)</t>
  </si>
  <si>
    <t>(76.3°)</t>
  </si>
  <si>
    <t>01  0800 1735  0748 1807  0716 1837  0629 1907  0548 1934  0523 2000  0525 2010  0547 1953  0614 1913  0639 1827  0709 1745  0741 1725</t>
  </si>
  <si>
    <t>01  0657 1838  0649 1906  0619 1934  0532 2005  0446 2037  0414 2109  0415 2120  0442 2058  0515 2012  0543 1924  0611 1843  0639 1826</t>
  </si>
  <si>
    <t>01  0345 1441  0531 1527  0418 1413  0458 1545  0428 1627  0425 1816  0420 1913  0611 2040  0841 2103  0952 2044  1153 2138  1206 2216</t>
  </si>
  <si>
    <t xml:space="preserve"> 01     0.22     0.12     0.24     0.15     0.14     0.06     0.03     0.00     0.05     0.09     0.20     0.22</t>
  </si>
  <si>
    <t>(39.8°)</t>
  </si>
  <si>
    <t>Oct</t>
  </si>
  <si>
    <t>? (57°)</t>
  </si>
  <si>
    <t>? (303°)</t>
  </si>
  <si>
    <t>(77.5°)</t>
  </si>
  <si>
    <t>02  0800 1736  0747 1808  0714 1838  0628 1908  0547 1935  0523 2001  0526 2010  0548 1952  0614 1912  0640 1826  0710 1744  0742 1725</t>
  </si>
  <si>
    <t>02  0658 1838  0648 1907  0618 1935  0530 2006  0444 2038  0414 2110  0415 2120  0443 2056  0516 2011  0544 1922  0612 1843  0640 1826</t>
  </si>
  <si>
    <t>02  0446 1518  0621 1618  0504 1506  0529 1642  0456 1725  0501 1921  0513 2016  0725 2122  0953 2137  1101 2124  1245 2233  1243 2314</t>
  </si>
  <si>
    <t xml:space="preserve"> 02     0.14     0.06     0.17     0.09     0.08     0.02     0.00     0.02     0.11     0.16     0.29     0.31</t>
  </si>
  <si>
    <t>(45.7°)</t>
  </si>
  <si>
    <t>Nov</t>
  </si>
  <si>
    <t>(77.3°)</t>
  </si>
  <si>
    <t>03  0800 1737  0747 1809  0713 1839  0626 1909  0546 1936  0523 2002  0526 2010  0549 1951  0615 1911  0641 1824  0711 1743  0742 1725</t>
  </si>
  <si>
    <t>03  0658 1839  0648 1908  0616 1936  0529 2007  0443 2039  0413 2111  0416 2120  0444 2055  0517 2009  0544 1921  0613 1842  0641 1826</t>
  </si>
  <si>
    <t xml:space="preserve">03  0545 1558  0705 1711  0546 1600  0558 1739  0524 1825  0542 2026  0614 2113  0839 2159  1103 2212  1207 2208  1330 2331  1314     </t>
  </si>
  <si>
    <t xml:space="preserve"> 03     0.08     0.02     0.10     0.05     0.03     0.00     0.00     0.07     0.20     0.25     0.38     0.40</t>
  </si>
  <si>
    <t>(51.6°)</t>
  </si>
  <si>
    <t>Dec</t>
  </si>
  <si>
    <t>? (58°)</t>
  </si>
  <si>
    <t>(75.8°)</t>
  </si>
  <si>
    <t>04  0800 1738  0746 1810  0712 1840  0625 1909  0545 1937  0522 2002  0527 2010  0550 1950  0616 1909  0642 1823  0712 1742  0743 1725</t>
  </si>
  <si>
    <t>04  0658 1840  0647 1909  0615 1937  0527 2008  0442 2040  0413 2112  0417 2120  0445 2054  0518 2007  0545 1919  0614 1841  0642 1826</t>
  </si>
  <si>
    <t>04  0642 1642  0746 1806  0623 1656  0626 1837  0554 1927  0631 2130  0722 2204  0951 2233  1211 2250  1307 2257  1409       1343 0012</t>
  </si>
  <si>
    <t xml:space="preserve"> 04     0.03     0.00     0.05     0.01     0.01     0.01     0.03     0.14     0.30     0.35     0.48     0.49</t>
  </si>
  <si>
    <t>First Quarter at 1:11 pm9</t>
  </si>
  <si>
    <t>? (272°)</t>
  </si>
  <si>
    <t>(57.4°)</t>
  </si>
  <si>
    <t>? (300°)</t>
  </si>
  <si>
    <t>? (62°)</t>
  </si>
  <si>
    <t>(72.9°)</t>
  </si>
  <si>
    <t>05  0800 1739  0745 1812  0710 1841  0623 1910  0544 1938  0522 2003  0527 2009  0550 1949  0617 1907  0643 1821  0713 1741  0744 1724</t>
  </si>
  <si>
    <t>05  0658 1841  0646 1910  0613 1938  0525 2009  0440 2042  0413 2113  0417 2119  0446 2053  0519 2006  0546 1918  0615 1840  0642 1826</t>
  </si>
  <si>
    <t>05  0735 1731  0821 1902  0656 1753  0654 1935  0627 2030  0727 2229  0833 2248  1101 2306  1316 2330  1402 2349  1443 0029  1410 0109</t>
  </si>
  <si>
    <t xml:space="preserve"> 05     0.01     0.00     0.02     0.00     0.00     0.04     0.08     0.23     0.40     0.45     0.58     0.59</t>
  </si>
  <si>
    <t>? (279°)</t>
  </si>
  <si>
    <t>? (78°)</t>
  </si>
  <si>
    <t>(62.8°)</t>
  </si>
  <si>
    <t>? (296°)</t>
  </si>
  <si>
    <t>? (66°)</t>
  </si>
  <si>
    <t>(69.0°)</t>
  </si>
  <si>
    <t>06  0800 1740  0744 1813  0709 1842  0622 1911  0543 1939  0522 2003  0528 2009  0551 1948  0618 1906  0644 1820  0714 1740  0745 1724</t>
  </si>
  <si>
    <t>06  0658 1842  0645 1911  0612 1939  0524 2010  0439 2043  0412 2113  0418 2119  0448 2051  0520 2004  0547 1916  0616 1839  0643 1826</t>
  </si>
  <si>
    <t>06  0824 1823  0854 1959  0726 1850  0723 2035  0705 2135  0829 2322  0945 2326  1209 2339  1417       1450       1513 0126  1435 0205</t>
  </si>
  <si>
    <t xml:space="preserve"> 06     0.00     0.02     0.00     0.01     0.02     0.10     0.16     0.33     0.51     0.55     0.67     0.68</t>
  </si>
  <si>
    <t>? (286°)</t>
  </si>
  <si>
    <t>? (71°)</t>
  </si>
  <si>
    <t>(67.6°)</t>
  </si>
  <si>
    <t>(64.0°)</t>
  </si>
  <si>
    <t>07  0800 1741  0743 1814  0707 1843  0621 1912  0542 1940  0522 2004  0528 2009  0552 1947  0619 1904  0645 1818  0716 1739  0746 1724</t>
  </si>
  <si>
    <t>07  0658 1842  0644 1912  0611 1940  0522 2011  0438 2044  0412 2114  0419 2119  0449 2050  0521 2002  0548 1915  0617 1838  0644 1826</t>
  </si>
  <si>
    <t>07  0907 1917  0924 2055  0755 1946  0754 2137  0748 2238  0937       1056       1316       1514 0015  1532 0044  1541 0223  1502 0302</t>
  </si>
  <si>
    <t xml:space="preserve"> 07     0.01     0.05     0.00     0.04     0.06     0.18     0.25     0.44     0.61     0.65     0.75     0.76</t>
  </si>
  <si>
    <t>? (292°)</t>
  </si>
  <si>
    <t>(71.8°)</t>
  </si>
  <si>
    <t>First Quarter at 11:54 pm17</t>
  </si>
  <si>
    <t>? (80°)</t>
  </si>
  <si>
    <t>(58.4°)</t>
  </si>
  <si>
    <t>08  0800 1742  0742 1815  0706 1844  0619 1913  0541 1941  0522 2005  0529 2009  0553 1946  0620 1903  0646 1817  0717 1738  0747 1724</t>
  </si>
  <si>
    <t>08  0658 1843  0643 1913  0609 1941  0521 2012  0437 2045  0412 2115  0419 2118  0450 2049  0521 2001  0549 1913  0618 1837  0645 1826</t>
  </si>
  <si>
    <t>08  0946 2013  0952 2152  0823 2044  0828 2239  0838 2339  1046 0008  1204 0000  1421 0014  1606 0104  1609 0141  1607 0320  1529 0400</t>
  </si>
  <si>
    <t xml:space="preserve"> 08     0.04     0.10     0.02     0.08     0.12     0.27     0.36     0.55     0.71     0.74     0.83     0.84</t>
  </si>
  <si>
    <t>? (297°)</t>
  </si>
  <si>
    <t>? (61°)</t>
  </si>
  <si>
    <t>(75.0°)</t>
  </si>
  <si>
    <t>? (276°)</t>
  </si>
  <si>
    <t>? (87°)</t>
  </si>
  <si>
    <t>(52.2°)</t>
  </si>
  <si>
    <t>09  0800 1742  0741 1816  0704 1845  0618 1914  0540 1942  0521 2005  0530 2008  0554 1944  0620 1901  0647 1815  0718 1737  0748 1725</t>
  </si>
  <si>
    <t>09  0658 1844  0642 1914  0608 1942  0519 2013  0435 2046  0411 2115  0420 2118  0451 2047  0522 1959  0550 1912  0619 1836  0646 1827</t>
  </si>
  <si>
    <t>09  1020 2109  1020 2249  0851 2142  0907 2342  0936       1156 0049  1312 0033  1523 0051  1651 0156  1641 0238  1633 0416  1600 0500</t>
  </si>
  <si>
    <t xml:space="preserve"> 09     0.09     0.16     0.06     0.15     0.20     0.38     0.47     0.66     0.79     0.81     0.89     0.91</t>
  </si>
  <si>
    <t>? (301°)</t>
  </si>
  <si>
    <t>(77.2°)</t>
  </si>
  <si>
    <t>? (269°)</t>
  </si>
  <si>
    <t>? (95°)</t>
  </si>
  <si>
    <t>10  0800 1743  0740 1817  0703 1846  0616 1915  0539 1943  0521 2006  0530 2008  0555 1943  0621 1900  0647 1814  0719 1736  0749 1725</t>
  </si>
  <si>
    <t>10  0658 1845  0641 1915  0606 1943  0517 2014  0434 2047  0411 2116  0421 2117  0452 2046  0523 1958  0551 1910  0620 1836  0646 1827</t>
  </si>
  <si>
    <t>10  1052 2205  1048 2348  0920 2241  0951       1039 0034  1305 0124  1418 0105  1623 0132  1731 0251  1710 0335  1700 0514  1634 0601</t>
  </si>
  <si>
    <t xml:space="preserve"> 10     0.15     0.24     0.12     0.23     0.30     0.50     0.59     0.75     0.86     0.88     0.94     0.96</t>
  </si>
  <si>
    <t>? (56°)</t>
  </si>
  <si>
    <t>(78.2°)</t>
  </si>
  <si>
    <t>? (261°)</t>
  </si>
  <si>
    <t>? (103°)</t>
  </si>
  <si>
    <t>(39.6°)</t>
  </si>
  <si>
    <t>11  0759 1744  0738 1818  0701 1847  0615 1916  0538 1944  0521 2006  0531 2008  0556 1942  0622 1858  0648 1812  0720 1736  0749 1725</t>
  </si>
  <si>
    <t>11  0658 1846  0640 1916  0605 1944  0516 2015  0433 2048  0411 2116  0422 2117  0453 2045  0524 1956  0552 1909  0620 1835  0647 1827</t>
  </si>
  <si>
    <t>11  1121 2302  1118       0952 2343  1043 0044  1146 0124  1412 0158  1523 0138  1718 0218  1807 0348  1738 0432  1729 0613  1715 0705</t>
  </si>
  <si>
    <t xml:space="preserve"> 11     0.22     0.33     0.19     0.33     0.41     0.61     0.69     0.83     0.92     0.93     0.98     0.99</t>
  </si>
  <si>
    <t>? (304°)</t>
  </si>
  <si>
    <t>Moon does not pass the meridian on this day.</t>
  </si>
  <si>
    <t>? (253°)</t>
  </si>
  <si>
    <t>? (111°)</t>
  </si>
  <si>
    <t>(34.0°)</t>
  </si>
  <si>
    <t>12  0759 1745  0737 1819  0700 1848  0613 1917  0537 1944  0521 2007  0532 2007  0556 1941  0623 1857  0649 1811  0721 1735  0750 1725</t>
  </si>
  <si>
    <t>12  0658 1847  0639 1917  0603 1945  0514 2016  0432 2050  0411 2117  0423 2116  0454 2043  0525 1954  0552 1908  0621 1834  0648 1827</t>
  </si>
  <si>
    <t>12  1149 2359  1151 0048  1027       1142 0142  1255 0207  1519 0230  1627 0213  1808 0307  1838 0445  1804 0528  1801 0713  1803 0808</t>
  </si>
  <si>
    <t xml:space="preserve"> 12     0.30     0.43     0.27     0.44     0.52     0.72     0.79     0.90     0.96     0.97     1.00     1.00</t>
  </si>
  <si>
    <t>Full Moon at 6:48 pm17</t>
  </si>
  <si>
    <t>(77.8°)</t>
  </si>
  <si>
    <t>? (246°)</t>
  </si>
  <si>
    <t>? (117°)</t>
  </si>
  <si>
    <t>13  0759 1746  0736 1820  0658 1849  0612 1918  0536 1945  0521 2007  0532 2007  0557 1940  0624 1855  0650 1809  0722 1734  0751 1725</t>
  </si>
  <si>
    <t>13  0658 1848  0638 1918  0602 1946  0513 2017  0431 2051  0411 2118  0423 2115  0455 2042  0526 1953  0553 1906  0622 1833  0648 1827</t>
  </si>
  <si>
    <t>13  1217       1229 0150  1108 0045  1247 0236  1404 0246  1626 0302  1729 0251  1852 0401  1907 0542  1830 0625  1838 0815  1858 0909</t>
  </si>
  <si>
    <t xml:space="preserve"> 13     0.40     0.53     0.37     0.55     0.63     0.81     0.87     0.95     0.99     0.99     0.99     0.99</t>
  </si>
  <si>
    <t>(76.1°)</t>
  </si>
  <si>
    <t>? (241°)</t>
  </si>
  <si>
    <t>? (122°)</t>
  </si>
  <si>
    <t>(29.5°)</t>
  </si>
  <si>
    <t>14  0759 1747  0735 1822  0657 1850  0610 1919  0535 1946  0521 2007  0533 2006  0558 1938  0625 1854  0651 1808  0723 1733  0752 1725</t>
  </si>
  <si>
    <t>14  0658 1849  0637 1919  0600 1947  0511 2018  0430 2052  0410 2118  0424 2115  0456 2040  0527 1951  0554 1905  0623 1833  0649 1828</t>
  </si>
  <si>
    <t>14  1247 0057  1313 0254  1155 0148  1355 0324  1513 0321  1731 0335  1828 0333  1930 0457  1934 0638  1858 0723  1920 0917  2000 1006</t>
  </si>
  <si>
    <t xml:space="preserve"> 14     0.49     0.64     0.48     0.66     0.74     0.89     0.93     0.98     1.00     1.00     0.97     0.95</t>
  </si>
  <si>
    <t>(73.2°)</t>
  </si>
  <si>
    <t>Full Moon at 2:39 pm24</t>
  </si>
  <si>
    <t>? (237°)</t>
  </si>
  <si>
    <t>(26.6°)</t>
  </si>
  <si>
    <t>15  0758 1748  0734 1823  0655 1851  0609 1920  0534 1947  0521 2008  0534 2006  0559 1937  0625 1852  0652 1807  0724 1732  0752 1726</t>
  </si>
  <si>
    <t>15  0657 1850  0636 1920  0559 1948  0509 2019  0428 2053  0410 2118  0425 2114  0457 2039  0528 1949  0555 1904  0624 1832  0650 1828</t>
  </si>
  <si>
    <t>15  1318 0157  1405 0359  1250 0249  1506 0407  1622 0355  1836 0412  1922 0421  2005 0554  2000 0735  1927 0821  2010 1019  2107 1057</t>
  </si>
  <si>
    <t xml:space="preserve"> 15     0.60     0.74     0.59     0.76     0.83     0.95     0.97     1.00     0.99     0.98     0.93     0.90</t>
  </si>
  <si>
    <t>? (72°)</t>
  </si>
  <si>
    <t>(69.1°)</t>
  </si>
  <si>
    <t>(25.6°)</t>
  </si>
  <si>
    <t>16  0758 1750  0733 1824  0654 1852  0608 1920  0533 1948  0521 2008  0534 2005  0600 1936  0626 1851  0653 1805  0725 1732  0753 1726</t>
  </si>
  <si>
    <t>16  0657 1850  0635 1921  0557 1949  0508 2020  0427 2054  0410 2119  0426 2113  0458 2037  0529 1948  0556 1902  0625 1832  0650 1828</t>
  </si>
  <si>
    <t>16  1355 0300  1505 0502  1353 0348  1618 0446  1730 0427  1938 0452  2010 0512  2035 0651  2027 0831  2001 0921  2106 1117  2216 1141</t>
  </si>
  <si>
    <t xml:space="preserve"> 16     0.70     0.83     0.69     0.86     0.91     0.98     1.00     0.99     0.96     0.95     0.86     0.82</t>
  </si>
  <si>
    <t>(64.2°)</t>
  </si>
  <si>
    <t>? (239°)</t>
  </si>
  <si>
    <t>17  0758 1751  0732 1825  0652 1853  0606 1921  0532 1949  0521 2008  0535 2005  0601 1935  0627 1849  0654 1804  0726 1731  0754 1726</t>
  </si>
  <si>
    <t>17  0657 1851  0634 1922  0556 1950  0506 2021  0426 2055  0410 2119  0427 2113  0459 2036  0530 1946  0557 1901  0626 1831  0651 1829</t>
  </si>
  <si>
    <t>17  1436 0406  1614 0601  1501 0441  1729 0521  1838 0501  2036 0537  2053 0607  2103 0748  2055 0928  2039 1022  2209 1210  2326 1219</t>
  </si>
  <si>
    <t xml:space="preserve"> 17     0.79     0.91     0.80     0.93     0.96     1.00     1.00     0.97     0.92     0.90     0.78     0.72</t>
  </si>
  <si>
    <t>? (277°)</t>
  </si>
  <si>
    <t>(58.6°)</t>
  </si>
  <si>
    <t>(29.4°)</t>
  </si>
  <si>
    <t>18  0757 1752  0730 1826  0651 1854  0605 1922  0532 1950  0521 2009  0536 2004  0602 1933  0628 1847  0655 1802  0727 1730  0754 1727</t>
  </si>
  <si>
    <t>18  0657 1852  0633 1923  0554 1951  0505 2022  0425 2056  0411 2120  0428 2112  0500 2034  0531 1944  0558 1900  0627 1830  0652 1829</t>
  </si>
  <si>
    <t>18  1526 0513  1727 0653  1614 0529  1839 0555  1945 0536  2128 0627  2130 0704  2130 0844  2125 1027  2123 1124  2315 1258       1254</t>
  </si>
  <si>
    <t xml:space="preserve"> 18     0.87     0.97     0.88     0.98     0.99     0.99     0.98     0.93     0.86     0.83     0.68     0.61</t>
  </si>
  <si>
    <t>Moonrise: 6:56</t>
  </si>
  <si>
    <t>(52.6°)</t>
  </si>
  <si>
    <t>? (114°)</t>
  </si>
  <si>
    <t>? (248°)</t>
  </si>
  <si>
    <t>(33.4°)</t>
  </si>
  <si>
    <t>19  0757 1753  0729 1827  0649 1855  0603 1923  0531 1950  0522 2009  0537 2003  0603 1932  0629 1846  0656 1801  0728 1730  0755 1727</t>
  </si>
  <si>
    <t>19  0656 1853  0632 1924  0553 1952  0503 2024  0424 2057  0411 2120  0429 2111  0501 2033  0532 1943  0559 1858  0628 1830  0652 1830</t>
  </si>
  <si>
    <t>19  1624 0620  1841 0740  1727 0612  1949 0629  2050 0615  2215 0720  2203 0801  2157 0940  2200 1127  2214 1223       1340  0035 1326</t>
  </si>
  <si>
    <t xml:space="preserve"> 19     0.94     1.00     0.95     1.00     1.00     0.97     0.95     0.88     0.78     0.74     0.58     0.50</t>
  </si>
  <si>
    <t>Twi N: 6:57</t>
  </si>
  <si>
    <t>? (262°)</t>
  </si>
  <si>
    <t>(46.5°)</t>
  </si>
  <si>
    <t>? (108°)</t>
  </si>
  <si>
    <t>? (255°)</t>
  </si>
  <si>
    <t>(38.3°)</t>
  </si>
  <si>
    <t>20  0756 1754  0728 1828  0648 1856  0602 1924  0530 1951  0522 2009  0537 2003  0603 1931  0630 1844  0657 1800  0729 1729  0755 1728</t>
  </si>
  <si>
    <t>20  0656 1854  0631 1925  0551 1953  0502 2025  0423 2058  0411 2120  0430 2110  0502 2031  0533 1941  0600 1857  0629 1830  0653 1830</t>
  </si>
  <si>
    <t>20  1730 0722  1956 0821  1841 0650  2057 0705  2151 0658  2255 0816  2233 0858  2224 1037  2240 1228  2312 1320  0024 1417  0143 1358</t>
  </si>
  <si>
    <t xml:space="preserve"> 20     0.98     0.99     0.99     0.99     0.98     0.92     0.90     0.81     0.69     0.64     0.46     0.39</t>
  </si>
  <si>
    <t>Sunrise: 8:00</t>
  </si>
  <si>
    <t>Third Quarter at 8:40 am25</t>
  </si>
  <si>
    <t>? (102°)</t>
  </si>
  <si>
    <t>? (254°)</t>
  </si>
  <si>
    <t>(40.4°)</t>
  </si>
  <si>
    <t>? (101°)</t>
  </si>
  <si>
    <t>(43.7°)</t>
  </si>
  <si>
    <t>21  0756 1755  0727 1829  0646 1857  0601 1925  0529 1952  0522 2009  0538 2002  0604 1929  0631 1843  0658 1758  0730 1729  0756 1728</t>
  </si>
  <si>
    <t>21  0655 1855  0629 1926  0549 1954  0500 2026  0422 2059  0411 2120  0431 2109  0503 2030  0534 1940  0601 1856  0630 1829  0653 1831</t>
  </si>
  <si>
    <t>21  1842 0819  2108 0858  1953 0726  2203 0742  2246 0746  2331 0913  2301 0954  2253 1134  2327 1329       1412  0134 1451  0252 1430</t>
  </si>
  <si>
    <t xml:space="preserve"> 21     1.00     0.96     1.00     0.96     0.94     0.86     0.84     0.73     0.60     0.54     0.35     0.28</t>
  </si>
  <si>
    <t>Moonset: 16:24</t>
  </si>
  <si>
    <t>? (110°)</t>
  </si>
  <si>
    <t>? (247°)</t>
  </si>
  <si>
    <t>(34.8°)</t>
  </si>
  <si>
    <t>22  0755 1756  0725 1830  0645 1857  0559 1926  0529 1953  0522 2010  0539 2001  0605 1928  0631 1841  0659 1757  0732 1728  0756 1729</t>
  </si>
  <si>
    <t>22  0655 1856  0628 1927  0548 1955  0459 2027  0422 2100  0411 2120  0432 2108  0505 2028  0534 1938  0602 1855  0631 1829  0654 1831</t>
  </si>
  <si>
    <t>22  1956 0908  2217 0933  2103 0801  2306 0823  2336 0837       1010  2327 1051  2325 1233       1429  0017 1458  0244 1524  0400 1504</t>
  </si>
  <si>
    <t xml:space="preserve"> 22     0.98     0.90     0.98     0.91     0.88     0.79     0.76     0.64     0.49     0.43     0.25     0.18</t>
  </si>
  <si>
    <t>Sunset: 17:35</t>
  </si>
  <si>
    <t>? (116°)</t>
  </si>
  <si>
    <t>? (242°)</t>
  </si>
  <si>
    <t>(30.1°)</t>
  </si>
  <si>
    <t>23  0755 1757  0724 1831  0643 1858  0558 1927  0528 1954  0522 2010  0540 2001  0606 1926  0632 1840  0700 1756  0733 1728  0757 1729</t>
  </si>
  <si>
    <t>23  0655 1857  0627 1928  0546 1956  0457 2028  0421 2101  0411 2121  0433 2107  0506 2027  0535 1936  0602 1853  0632 1828  0654 1832</t>
  </si>
  <si>
    <t>23  2109 0952  2324 1007  2211 0836       0908       0931  0002 1107  2354 1147       1335  0022 1525  0126 1539  0354 1556  0509 1541</t>
  </si>
  <si>
    <t xml:space="preserve"> 23     0.94     0.83     0.93     0.84     0.81     0.70     0.68     0.54     0.38     0.32     0.15     0.11</t>
  </si>
  <si>
    <t>Twi N: 18:37</t>
  </si>
  <si>
    <t>? (121°)</t>
  </si>
  <si>
    <t>24  0754 1758  0723 1832  0642 1859  0557 1928  0527 1954  0523 2010  0540 2000  0607 1925  0633 1838  0701 1755  0734 1727  0757 1730</t>
  </si>
  <si>
    <t>24  0654 1858  0626 1929  0545 1956  0456 2029  0420 2102  0412 2121  0434 2106  0507 2025  0536 1935  0603 1852  0633 1828  0655 1832</t>
  </si>
  <si>
    <t>24  2220 1029       1042  2317 0912  0004 0957  0020 1027  0031 1204       1245  0002 1437  0124 1617  0237 1617  0505 1630  0616 1624</t>
  </si>
  <si>
    <t xml:space="preserve"> 24     0.87     0.73     0.87     0.75     0.73     0.61     0.58     0.44     0.28     0.21     0.08     0.05</t>
  </si>
  <si>
    <t>(25.0°)</t>
  </si>
  <si>
    <t>25  0754 1759  0721 1833  0640 1900  0556 1929  0527 1955  0523 2010  0541 1959  0608 1924  0634 1836  0702 1753  0735 1727  0758 1730</t>
  </si>
  <si>
    <t>25  0654 1859  0624 1930  0543 1957  0454 2030  0419 2103  0412 2121  0435 2105  0508 2023  0537 1933  0604 1851  0634 1828  0655 1833</t>
  </si>
  <si>
    <t>25  2328 1104  0029 1118       0950  0056 1049  0058 1124  0059 1300  0022 1344  0045 1540  0233 1703  0350 1651  0616 1706  0721 1712</t>
  </si>
  <si>
    <t xml:space="preserve"> 25     0.78     0.63     0.79     0.66     0.64     0.52     0.49     0.34     0.18     0.12     0.03     0.01</t>
  </si>
  <si>
    <t>(25.4°)</t>
  </si>
  <si>
    <t>26  0753 1800  0720 1834  0639 1901  0554 1930  0526 1956  0523 2010  0542 1958  0609 1922  0635 1835  0703 1752  0736 1726  0758 1731</t>
  </si>
  <si>
    <t>26  0653 1900  0623 1931  0541 1958  0453 2031  0418 2104  0412 2121  0436 2104  0509 2022  0538 1932  0605 1850  0635 1827  0656 1833</t>
  </si>
  <si>
    <t>26       1137  0132 1156  0020 1032  0142 1143  0131 1221  0126 1358  0053 1445  0137 1641  0346 1744  0502 1725  0726 1747  0821 1805</t>
  </si>
  <si>
    <t xml:space="preserve"> 26     0.68     0.53     0.69     0.57     0.55     0.42     0.39     0.24     0.10     0.06     0.00     0.00</t>
  </si>
  <si>
    <t>(27.7°)</t>
  </si>
  <si>
    <t>27  0752 1801  0719 1835  0637 1902  0553 1931  0526 1957  0524 2010  0543 1958  0609 1921  0636 1833  0704 1751  0737 1726  0758 1732</t>
  </si>
  <si>
    <t>27  0652 1901  0622 1932  0540 1959  0451 2033  0418 2105  0413 2121  0437 2103  0510 2020  0539 1930  0606 1849  0636 1827  0656 1834</t>
  </si>
  <si>
    <t>27  0034 1210  0231 1238  0119 1118  0223 1239  0202 1318  0153 1457  0128 1549  0237 1737  0500 1822  0615 1759  0834 1833  0914 1902</t>
  </si>
  <si>
    <t xml:space="preserve"> 27     0.57     0.43     0.60     0.47     0.45     0.33     0.29     0.15     0.04     0.01     0.00     0.01</t>
  </si>
  <si>
    <t>Twi N: 6:58</t>
  </si>
  <si>
    <t>(31.8°)</t>
  </si>
  <si>
    <t>28  0751 1803  0717 1836  0636 1903  0552 1932  0525 1958  0524 2010  0544 1957  0610 1919  0637 1832  0705 1750  0738 1726  0759 1732</t>
  </si>
  <si>
    <t>28  0652 1902  0620 1933  0538 2000  0450 2034  0417 2106  0413 2121  0438 2102  0511 2019  0540 1928  0607 1848  0636 1827  0656 1835</t>
  </si>
  <si>
    <t>28  0138 1243  0327 1324  0213 1207  0258 1336  0230 1415  0223 1558  0209 1653  0345 1828  0615 1857  0727 1835  0937 1924  1000 2001</t>
  </si>
  <si>
    <t xml:space="preserve"> 28     0.47     0.33     0.50     0.38     0.36     0.24     0.20     0.07     0.01     0.00     0.03     0.04</t>
  </si>
  <si>
    <t>(37.0°)</t>
  </si>
  <si>
    <t>29  0751 1804             0634 1904  0551 1933  0525 1958  0524 2010  0545 1956  0611 1918  0638 1830  0706 1749  0739 1725  0759 1733</t>
  </si>
  <si>
    <t>29  0651 1903             0537 2001  0449 2035  0416 2107  0414 2121  0439 2101  0512 2017  0541 1927  0608 1847  0637 1827  0657 1835</t>
  </si>
  <si>
    <t>29  0240 1319             0302 1259  0331 1432  0257 1512  0256 1702  0257 1757  0458 1913  0728 1931  0839 1914  1034 2019  1040 2101</t>
  </si>
  <si>
    <t xml:space="preserve"> 29     0.36              0.40     0.29     0.27     0.16     0.12     0.02     0.00     0.02     0.08     0.09</t>
  </si>
  <si>
    <t>Moonrise: 8:07</t>
  </si>
  <si>
    <t>(42.9°)</t>
  </si>
  <si>
    <t>30  0750 1805             0633 1905  0549 1933  0524 1959  0525 2010  0545 1955  0612 1916  0638 1829  0707 1747  0740 1725  0759 1734</t>
  </si>
  <si>
    <t>30  0651 1904             0535 2002  0447 2036  0416 2108  0414 2121  0440 2100  0513 2016  0542 1925  0609 1846  0638 1827  0657 1836</t>
  </si>
  <si>
    <t>30  0340 1358             0345 1353  0400 1529  0325 1611  0334 1808  0354 1858  0613 1953  0841 2006  0948 1958  1124 2117  1114 2200</t>
  </si>
  <si>
    <t xml:space="preserve"> 30     0.27              0.31     0.21     0.19     0.09     0.05     0.00     0.03     0.06     0.14     0.16</t>
  </si>
  <si>
    <t>Moonset: 17:29</t>
  </si>
  <si>
    <t>(49.1°)</t>
  </si>
  <si>
    <t>31  0749 1806             0631 1906             0524 2000             0546 1954  0613 1915             0708 1746             0759 1734</t>
  </si>
  <si>
    <t>31  0650 1905             0533 2003             0415 2109             0441 2059  0514 2014             0610 1844             0657 1837</t>
  </si>
  <si>
    <t>31  0437 1441             0423 1449             0354 1712             0500 1952  0728 2029             1053 2046             1144 2257</t>
  </si>
  <si>
    <t xml:space="preserve"> 31     0.19              0.23              0.12              0.01     0.01              0.12              0.23</t>
  </si>
  <si>
    <t>Sunset: 17:36</t>
  </si>
  <si>
    <t>(55.1°)</t>
  </si>
  <si>
    <t>Twi N: 18:38</t>
  </si>
  <si>
    <t>(60.8°)</t>
  </si>
  <si>
    <t xml:space="preserve">                                             Add one hour for daylight time, if and when in use.</t>
  </si>
  <si>
    <t>? (283°)</t>
  </si>
  <si>
    <t>? (74°)</t>
  </si>
  <si>
    <t>(66.0°)</t>
  </si>
  <si>
    <t>First Quarter at 8:50 am8</t>
  </si>
  <si>
    <t>? (68°)</t>
  </si>
  <si>
    <t>(70.5°)</t>
  </si>
  <si>
    <t>Back to form</t>
  </si>
  <si>
    <t>(74.1°)</t>
  </si>
  <si>
    <t>(76.7°)</t>
  </si>
  <si>
    <t>Moonrise: 9:08</t>
  </si>
  <si>
    <t>(78.3°)</t>
  </si>
  <si>
    <t>(77.0°)</t>
  </si>
  <si>
    <t>? (60°)</t>
  </si>
  <si>
    <t>(74.4°)</t>
  </si>
  <si>
    <t>Moonset: 18:42</t>
  </si>
  <si>
    <t>? (298°)</t>
  </si>
  <si>
    <t>? (64°)</t>
  </si>
  <si>
    <t>Full Moon at 11:56 am16</t>
  </si>
  <si>
    <t>? (70°)</t>
  </si>
  <si>
    <t>(70.7°)</t>
  </si>
  <si>
    <t>? (77°)</t>
  </si>
  <si>
    <t>(65.9°)</t>
  </si>
  <si>
    <t>(60.4°)</t>
  </si>
  <si>
    <t>(54.4°)</t>
  </si>
  <si>
    <t>? (100°)</t>
  </si>
  <si>
    <t>(48.1°)</t>
  </si>
  <si>
    <t>Moonrise: 9:59</t>
  </si>
  <si>
    <t>? (256°)</t>
  </si>
  <si>
    <t>(42.0°)</t>
  </si>
  <si>
    <t>Sunset: 17:37</t>
  </si>
  <si>
    <t>? (249°)</t>
  </si>
  <si>
    <t>(36.2°)</t>
  </si>
  <si>
    <t>Twi N: 18:39</t>
  </si>
  <si>
    <t>Third Quarter at 5:32 pm23</t>
  </si>
  <si>
    <t>? (115°)</t>
  </si>
  <si>
    <t>(31.2°)</t>
  </si>
  <si>
    <t>Moonset: 19:57</t>
  </si>
  <si>
    <t>? (120°)</t>
  </si>
  <si>
    <t>(27.4°)</t>
  </si>
  <si>
    <t>(25.2°)</t>
  </si>
  <si>
    <t>? (125°)</t>
  </si>
  <si>
    <t>(24.8°)</t>
  </si>
  <si>
    <t>(26.3°)</t>
  </si>
  <si>
    <t>(34.4°)</t>
  </si>
  <si>
    <t>Moonrise: 10:39</t>
  </si>
  <si>
    <t>New Moon at 12:34 pm2</t>
  </si>
  <si>
    <t>(40.0°)</t>
  </si>
  <si>
    <t>Sunset: 17:38</t>
  </si>
  <si>
    <t>? (265°)</t>
  </si>
  <si>
    <t>(46.2°)</t>
  </si>
  <si>
    <t>Twi N: 18:40</t>
  </si>
  <si>
    <t>? (91°)</t>
  </si>
  <si>
    <t>? (273°)</t>
  </si>
  <si>
    <t>(52.4°)</t>
  </si>
  <si>
    <t>Moonset: 21:10</t>
  </si>
  <si>
    <t>? (83°)</t>
  </si>
  <si>
    <t>? (281°)</t>
  </si>
  <si>
    <t>? (76°)</t>
  </si>
  <si>
    <t>? (287°)</t>
  </si>
  <si>
    <t>(68.9°)</t>
  </si>
  <si>
    <t>? (294°)</t>
  </si>
  <si>
    <t>(73.0°)</t>
  </si>
  <si>
    <t>First Quarter at 5:45 am10</t>
  </si>
  <si>
    <t>(78.0°)</t>
  </si>
  <si>
    <t>Moonrise: 11:12</t>
  </si>
  <si>
    <t>? (55°)</t>
  </si>
  <si>
    <t>(78.6°)</t>
  </si>
  <si>
    <t>Sunset: 17:39</t>
  </si>
  <si>
    <t>(77.9°)</t>
  </si>
  <si>
    <t>Twi N: 18:41</t>
  </si>
  <si>
    <t>Moonset: 22:19</t>
  </si>
  <si>
    <t>(72.5°)</t>
  </si>
  <si>
    <t>? (289°)</t>
  </si>
  <si>
    <t>(68.1°)</t>
  </si>
  <si>
    <t>? (282°)</t>
  </si>
  <si>
    <t>? (82°)</t>
  </si>
  <si>
    <t>(62.7°)</t>
  </si>
  <si>
    <t>Full Moon at 3:17 am18</t>
  </si>
  <si>
    <t>? (274°)</t>
  </si>
  <si>
    <t>? (90°)</t>
  </si>
  <si>
    <t>(56.7°)</t>
  </si>
  <si>
    <t>? (266°)</t>
  </si>
  <si>
    <t>? (98°)</t>
  </si>
  <si>
    <t>(50.4°)</t>
  </si>
  <si>
    <t>Moonrise: 11:41</t>
  </si>
  <si>
    <t>(43.9°)</t>
  </si>
  <si>
    <t>Sunset: 17:40</t>
  </si>
  <si>
    <t>(37.8°)</t>
  </si>
  <si>
    <t>Twi N: 18:42</t>
  </si>
  <si>
    <t>? (244°)</t>
  </si>
  <si>
    <t>(32.4°)</t>
  </si>
  <si>
    <t>Moonset: 23:25</t>
  </si>
  <si>
    <t>(28.1°)</t>
  </si>
  <si>
    <t>Third Quarter at 1:37 am25</t>
  </si>
  <si>
    <t>? (235°)</t>
  </si>
  <si>
    <t>(24.5°)</t>
  </si>
  <si>
    <t>(28.2°)</t>
  </si>
  <si>
    <t>Moonrise: 12:06</t>
  </si>
  <si>
    <t>? (109°)</t>
  </si>
  <si>
    <t>(37.6°)</t>
  </si>
  <si>
    <t>Sunset: 17:41</t>
  </si>
  <si>
    <t>(43.5°)</t>
  </si>
  <si>
    <t>Twi N: 18:43</t>
  </si>
  <si>
    <t>? (94°)</t>
  </si>
  <si>
    <t>? (270°)</t>
  </si>
  <si>
    <t>(49.7°)</t>
  </si>
  <si>
    <t>Moonset: none</t>
  </si>
  <si>
    <t>(55.9°)</t>
  </si>
  <si>
    <t>? (285°)</t>
  </si>
  <si>
    <t>(61.7°)</t>
  </si>
  <si>
    <t>? (291°)</t>
  </si>
  <si>
    <t>(67.0°)</t>
  </si>
  <si>
    <t>(71.6°)</t>
  </si>
  <si>
    <t>Moonset: 0:27</t>
  </si>
  <si>
    <t>(75.1°)</t>
  </si>
  <si>
    <t>(77.6°)</t>
  </si>
  <si>
    <t>(78.7°)</t>
  </si>
  <si>
    <t>Moonrise: 12:31</t>
  </si>
  <si>
    <t>? (305°)</t>
  </si>
  <si>
    <t>Sunset: 17:42</t>
  </si>
  <si>
    <t>First Quarter at 2:47 am9</t>
  </si>
  <si>
    <t>(74.3°)</t>
  </si>
  <si>
    <t>? (65°)</t>
  </si>
  <si>
    <t>(70.3°)</t>
  </si>
  <si>
    <t>(65.4°)</t>
  </si>
  <si>
    <t>(59.7°)</t>
  </si>
  <si>
    <t>Moonset: 1:28</t>
  </si>
  <si>
    <t>? (86°)</t>
  </si>
  <si>
    <t>(53.4°)</t>
  </si>
  <si>
    <t>Full Moon at 2:55 pm16</t>
  </si>
  <si>
    <t>(46.8°)</t>
  </si>
  <si>
    <t>Moonrise: 12:55</t>
  </si>
  <si>
    <t>(40.3°)</t>
  </si>
  <si>
    <t>Sunset: 17:43</t>
  </si>
  <si>
    <t>Twi N: 18:44</t>
  </si>
  <si>
    <t>(26.0°)</t>
  </si>
  <si>
    <t>(24.4°)</t>
  </si>
  <si>
    <t>Moonset: 2:27</t>
  </si>
  <si>
    <t>Third Quarter at 7:56 am23</t>
  </si>
  <si>
    <t>(27.0°)</t>
  </si>
  <si>
    <t>? (118°)</t>
  </si>
  <si>
    <t>(30.8°)</t>
  </si>
  <si>
    <t>Sunrise: 7:59</t>
  </si>
  <si>
    <t>(35.8°)</t>
  </si>
  <si>
    <t>Moonrise: 13:21</t>
  </si>
  <si>
    <t>? (104°)</t>
  </si>
  <si>
    <t>(41.4°)</t>
  </si>
  <si>
    <t>Sunset: 17:44</t>
  </si>
  <si>
    <t>(47.5°)</t>
  </si>
  <si>
    <t>Twi N: 18:45</t>
  </si>
  <si>
    <t>(53.6°)</t>
  </si>
  <si>
    <t>(59.5°)</t>
  </si>
  <si>
    <t>New Moon at 4:28 pm30</t>
  </si>
  <si>
    <t>? (75°)</t>
  </si>
  <si>
    <t>(65.1°)</t>
  </si>
  <si>
    <t>? (69°)</t>
  </si>
  <si>
    <t>(69.9°)</t>
  </si>
  <si>
    <t>Moonset: 3:27</t>
  </si>
  <si>
    <t>(73.9°)</t>
  </si>
  <si>
    <t>(76.8°)</t>
  </si>
  <si>
    <t>(78.5°)</t>
  </si>
  <si>
    <t>Moonrise: 13:49</t>
  </si>
  <si>
    <t>(78.9°)</t>
  </si>
  <si>
    <t>Sunset: 17:45</t>
  </si>
  <si>
    <t>Twi N: 18:46</t>
  </si>
  <si>
    <t>(75.6°)</t>
  </si>
  <si>
    <t>First Quarter at 8:21 pm8</t>
  </si>
  <si>
    <t>(72.2°)</t>
  </si>
  <si>
    <t>(67.8°)</t>
  </si>
  <si>
    <t>(62.5°)</t>
  </si>
  <si>
    <t>Moonset: 4:26</t>
  </si>
  <si>
    <t>(56.5°)</t>
  </si>
  <si>
    <t>(50.1°)</t>
  </si>
  <si>
    <t>Moonrise: 14:22</t>
  </si>
  <si>
    <t>? (258°)</t>
  </si>
  <si>
    <t>Sunset: 17:46</t>
  </si>
  <si>
    <t>(37.2°)</t>
  </si>
  <si>
    <t>Twi N: 18:47</t>
  </si>
  <si>
    <t>Full Moon at 12:14 am16</t>
  </si>
  <si>
    <t>(31.6°)</t>
  </si>
  <si>
    <t>(27.3°)</t>
  </si>
  <si>
    <t>Moonset: 5:25</t>
  </si>
  <si>
    <t>Third Quarter at 2:43 pm22</t>
  </si>
  <si>
    <t>(34.1°)</t>
  </si>
  <si>
    <t>Moonrise: 15:00</t>
  </si>
  <si>
    <t>? (107°)</t>
  </si>
  <si>
    <t>(39.7°)</t>
  </si>
  <si>
    <t>Sunset: 17:47</t>
  </si>
  <si>
    <t>(45.6°)</t>
  </si>
  <si>
    <t>Twi N: 18:48</t>
  </si>
  <si>
    <t>(51.7°)</t>
  </si>
  <si>
    <t>? (84°)</t>
  </si>
  <si>
    <t>? (280°)</t>
  </si>
  <si>
    <t>(57.7°)</t>
  </si>
  <si>
    <t>(63.3°)</t>
  </si>
  <si>
    <t>? (293°)</t>
  </si>
  <si>
    <t>(68.3°)</t>
  </si>
  <si>
    <t>Moonset: 6:22</t>
  </si>
  <si>
    <t>(72.6°)</t>
  </si>
  <si>
    <t>New Moon at 7:30 am30</t>
  </si>
  <si>
    <t>(75.9°)</t>
  </si>
  <si>
    <t>Sunrise: 7:58</t>
  </si>
  <si>
    <t>Moonrise: 15:44</t>
  </si>
  <si>
    <t>Sunset: 17:48</t>
  </si>
  <si>
    <t>(78.4°)</t>
  </si>
  <si>
    <t>Twi N: 18:49</t>
  </si>
  <si>
    <t>(76.5°)</t>
  </si>
  <si>
    <t>(73.5°)</t>
  </si>
  <si>
    <t>(69.5°)</t>
  </si>
  <si>
    <t>(64.6°)</t>
  </si>
  <si>
    <t>First Quarter at 10:48 am7</t>
  </si>
  <si>
    <t>(59.1°)</t>
  </si>
  <si>
    <t>Moonset: 7:15</t>
  </si>
  <si>
    <t>(53.0°)</t>
  </si>
  <si>
    <t>(46.6°)</t>
  </si>
  <si>
    <t>Moonrise: 16:35</t>
  </si>
  <si>
    <t>Sunset: 17:49</t>
  </si>
  <si>
    <t>Twi N: 18:50</t>
  </si>
  <si>
    <t>Full Moon at 7:51 am14</t>
  </si>
  <si>
    <t>(25.8°)</t>
  </si>
  <si>
    <t>(24.3°)</t>
  </si>
  <si>
    <t>(27.8°)</t>
  </si>
  <si>
    <t>Moonset: 8:03</t>
  </si>
  <si>
    <t>(32.2°)</t>
  </si>
  <si>
    <t>Moonrise: 17:31</t>
  </si>
  <si>
    <t>(37.7°)</t>
  </si>
  <si>
    <t>Sunset: 17:50</t>
  </si>
  <si>
    <t>Third Quarter at 11:10 pm20</t>
  </si>
  <si>
    <t>Twi N: 18:51</t>
  </si>
  <si>
    <t>(49.9°)</t>
  </si>
  <si>
    <t>(66.9°)</t>
  </si>
  <si>
    <t>(71.4°)</t>
  </si>
  <si>
    <t>Sunrise: 7:57</t>
  </si>
  <si>
    <t>Moonset: 8:45</t>
  </si>
  <si>
    <t>Sunset: 17:51</t>
  </si>
  <si>
    <t>New Moon at 10:52 pm28</t>
  </si>
  <si>
    <t>Moonrise: 18:32</t>
  </si>
  <si>
    <t>Twi N: 18:52</t>
  </si>
  <si>
    <t>(74.5°)</t>
  </si>
  <si>
    <t>(70.8°)</t>
  </si>
  <si>
    <t>(66.2°)</t>
  </si>
  <si>
    <t>Twi N: 6:56</t>
  </si>
  <si>
    <t>(60.9°)</t>
  </si>
  <si>
    <t>Moonset: 9:22</t>
  </si>
  <si>
    <t>First Quarter at 10:14 pm6</t>
  </si>
  <si>
    <t>(49.0°)</t>
  </si>
  <si>
    <t>Sunset: 17:52</t>
  </si>
  <si>
    <t>(42.8°)</t>
  </si>
  <si>
    <t>Twi N: 18:53</t>
  </si>
  <si>
    <t>(36.9°)</t>
  </si>
  <si>
    <t>Moonrise: 19:35</t>
  </si>
  <si>
    <t>Full Moon at 2:37 pm13</t>
  </si>
  <si>
    <t>Sunrise: 7:56</t>
  </si>
  <si>
    <t>(26.2°)</t>
  </si>
  <si>
    <t>Moonset: 9:53</t>
  </si>
  <si>
    <t>(30.0°)</t>
  </si>
  <si>
    <t>Sunset: 17:53</t>
  </si>
  <si>
    <t>(35.2°)</t>
  </si>
  <si>
    <t>Twi N: 18:54</t>
  </si>
  <si>
    <t>(41.2°)</t>
  </si>
  <si>
    <t>Moonrise: 20:38</t>
  </si>
  <si>
    <t>(47.6°)</t>
  </si>
  <si>
    <t>(53.9°)</t>
  </si>
  <si>
    <t>Third Quarter at 10:18 am20</t>
  </si>
  <si>
    <t>(59.9°)</t>
  </si>
  <si>
    <t>(70.2°)</t>
  </si>
  <si>
    <t>Moonset: 10:21</t>
  </si>
  <si>
    <t>(76.9°)</t>
  </si>
  <si>
    <t>Sunset: 17:54</t>
  </si>
  <si>
    <t>(78.8°)</t>
  </si>
  <si>
    <t>Moonrise: 21:41</t>
  </si>
  <si>
    <t>New Moon at 1:54 pm28</t>
  </si>
  <si>
    <t>(75.5°)</t>
  </si>
  <si>
    <t>(72.0°)</t>
  </si>
  <si>
    <t>? (288°)</t>
  </si>
  <si>
    <t>Twi N: 6:55</t>
  </si>
  <si>
    <t>(62.4°)</t>
  </si>
  <si>
    <t>Sunrise: 7:55</t>
  </si>
  <si>
    <t>(56.8°)</t>
  </si>
  <si>
    <t>Moonset: 10:47</t>
  </si>
  <si>
    <t>(50.8°)</t>
  </si>
  <si>
    <t>Sunset: 17:55</t>
  </si>
  <si>
    <t>(44.7°)</t>
  </si>
  <si>
    <t>Twi N: 18:55</t>
  </si>
  <si>
    <t>? (260°)</t>
  </si>
  <si>
    <t>(38.8°)</t>
  </si>
  <si>
    <t>Moonrise: 22:45</t>
  </si>
  <si>
    <t>First Quarter at 7:06 am5</t>
  </si>
  <si>
    <t>(33.3°)</t>
  </si>
  <si>
    <t>(28.8°)</t>
  </si>
  <si>
    <t>(24.2°)</t>
  </si>
  <si>
    <t>Moonset: 11:13</t>
  </si>
  <si>
    <t>Full Moon at 9:35 pm11</t>
  </si>
  <si>
    <t>(27.9°)</t>
  </si>
  <si>
    <t>Sunset: 17:56</t>
  </si>
  <si>
    <t>(32.5°)</t>
  </si>
  <si>
    <t>Twi N: 18:56</t>
  </si>
  <si>
    <t>(38.2°)</t>
  </si>
  <si>
    <t>Moonrise: 23:49</t>
  </si>
  <si>
    <t>? (263°)</t>
  </si>
  <si>
    <t>(51.3°)</t>
  </si>
  <si>
    <t>(57.6°)</t>
  </si>
  <si>
    <t>(63.5°)</t>
  </si>
  <si>
    <t>Twi N: 6:54</t>
  </si>
  <si>
    <t>(68.7°)</t>
  </si>
  <si>
    <t>Sunrise: 7:54</t>
  </si>
  <si>
    <t>Third Quarter at 12:36 am19</t>
  </si>
  <si>
    <t>Moonset: 11:39</t>
  </si>
  <si>
    <t>Sunset: 17:57</t>
  </si>
  <si>
    <t>Twi N: 18:57</t>
  </si>
  <si>
    <t>(79.0°)</t>
  </si>
  <si>
    <t>Moonrise: none</t>
  </si>
  <si>
    <t>(73.3°)</t>
  </si>
  <si>
    <t>Moonrise: 0:57</t>
  </si>
  <si>
    <t>New Moon at 4:17 am27</t>
  </si>
  <si>
    <t>(64.1°)</t>
  </si>
  <si>
    <t>(58.5°)</t>
  </si>
  <si>
    <t>(52.5°)</t>
  </si>
  <si>
    <t>Moonset: 12:07</t>
  </si>
  <si>
    <t>(46.3°)</t>
  </si>
  <si>
    <t>Sunset: 17:58</t>
  </si>
  <si>
    <t>Twi N: 18:58</t>
  </si>
  <si>
    <t>(34.7°)</t>
  </si>
  <si>
    <t>(29.9°)</t>
  </si>
  <si>
    <t>First Quarter at 2:07 pm3</t>
  </si>
  <si>
    <t>Moonrise: 2:07</t>
  </si>
  <si>
    <t>Twi N: 6:53</t>
  </si>
  <si>
    <t>Sunrise: 7:53</t>
  </si>
  <si>
    <t>Moonset: 12:40</t>
  </si>
  <si>
    <t>Sunset: 18:00</t>
  </si>
  <si>
    <t>(35.3°)</t>
  </si>
  <si>
    <t>Twi N: 18:59</t>
  </si>
  <si>
    <t>Full Moon at 5:59 am10</t>
  </si>
  <si>
    <t>? (96°)</t>
  </si>
  <si>
    <t>(41.5°)</t>
  </si>
  <si>
    <t>? (268°)</t>
  </si>
  <si>
    <t>? (88°)</t>
  </si>
  <si>
    <t>(54.7°)</t>
  </si>
  <si>
    <t>(61.0°)</t>
  </si>
  <si>
    <t>Moonrise: 3:19</t>
  </si>
  <si>
    <t>(66.7°)</t>
  </si>
  <si>
    <t>Sunrise: 7:52</t>
  </si>
  <si>
    <t>(75.3°)</t>
  </si>
  <si>
    <t>Moonset: 13:20</t>
  </si>
  <si>
    <t>Third Quarter at 5:52 pm17</t>
  </si>
  <si>
    <t>Sunset: 18:01</t>
  </si>
  <si>
    <t>(79.1°)</t>
  </si>
  <si>
    <t>Twi N: 19:00</t>
  </si>
  <si>
    <t>(74.8°)</t>
  </si>
  <si>
    <t>(71.0°)</t>
  </si>
  <si>
    <t>Moonrise: 4:34</t>
  </si>
  <si>
    <t>Twi N: 6:52</t>
  </si>
  <si>
    <t>(60.7°)</t>
  </si>
  <si>
    <t>New Moon at 5:54 pm25</t>
  </si>
  <si>
    <t>Moonset: 14:08</t>
  </si>
  <si>
    <t>(48.4°)</t>
  </si>
  <si>
    <t>Sunset: 18:02</t>
  </si>
  <si>
    <t>(42.1°)</t>
  </si>
  <si>
    <t>Twi N: 19:01</t>
  </si>
  <si>
    <t>(31.1°)</t>
  </si>
  <si>
    <t>Moonrise: 5:45</t>
  </si>
  <si>
    <t>First Quarter at 8:14 pm2</t>
  </si>
  <si>
    <t>? (126°)</t>
  </si>
  <si>
    <t>(23.9°)</t>
  </si>
  <si>
    <t>Twi N: 6:51</t>
  </si>
  <si>
    <t>? (234°)</t>
  </si>
  <si>
    <t>Sunrise: 7:51</t>
  </si>
  <si>
    <t>(28.3°)</t>
  </si>
  <si>
    <t>Moonset: 15:07</t>
  </si>
  <si>
    <t>(33.0°)</t>
  </si>
  <si>
    <t>Sunset: 18:03</t>
  </si>
  <si>
    <t>(38.7°)</t>
  </si>
  <si>
    <t>Twi N: 19:02</t>
  </si>
  <si>
    <t>(45.1°)</t>
  </si>
  <si>
    <t>Full Moon at 4:54 pm9</t>
  </si>
  <si>
    <t>(58.2°)</t>
  </si>
  <si>
    <t>Moonrise: 6:50</t>
  </si>
  <si>
    <t>(64.3°)</t>
  </si>
  <si>
    <t>(69.6°)</t>
  </si>
  <si>
    <t>Sunrise: 7:50</t>
  </si>
  <si>
    <t>Moonset: 16:15</t>
  </si>
  <si>
    <t>(77.1°)</t>
  </si>
  <si>
    <t>Sunset: 18:04</t>
  </si>
  <si>
    <t>? (54°)</t>
  </si>
  <si>
    <t>Twi N: 19:03</t>
  </si>
  <si>
    <t>(79.4°)</t>
  </si>
  <si>
    <t>Third Quarter at 1:15 pm17</t>
  </si>
  <si>
    <t>(76.2°)</t>
  </si>
  <si>
    <t>(72.8°)</t>
  </si>
  <si>
    <t>Twi N: 6:50</t>
  </si>
  <si>
    <t>(68.4°)</t>
  </si>
  <si>
    <t>Moonrise: 7:45</t>
  </si>
  <si>
    <t>(63.2°)</t>
  </si>
  <si>
    <t>Sunrise: 7:49</t>
  </si>
  <si>
    <t>? (81°)</t>
  </si>
  <si>
    <t>(51.1°)</t>
  </si>
  <si>
    <t>Sunset: 18:05</t>
  </si>
  <si>
    <t>Twi N: 19:04</t>
  </si>
  <si>
    <t>New Moon at 6:48 am25</t>
  </si>
  <si>
    <t>(38.5°)</t>
  </si>
  <si>
    <t>(32.8°)</t>
  </si>
  <si>
    <t>Twi N: 6:49</t>
  </si>
  <si>
    <t>(23.8°)</t>
  </si>
  <si>
    <t>Sunrise: 7:48</t>
  </si>
  <si>
    <t>Moonrise: 8:30</t>
  </si>
  <si>
    <t>(27.1°)</t>
  </si>
  <si>
    <t>Sunset: 18:06</t>
  </si>
  <si>
    <t>(31.3°)</t>
  </si>
  <si>
    <t>Moonset: 18:44</t>
  </si>
  <si>
    <t>(36.6°)</t>
  </si>
  <si>
    <t>Twi N: 19:05</t>
  </si>
  <si>
    <t>(42.7°)</t>
  </si>
  <si>
    <t>(49.2°)</t>
  </si>
  <si>
    <t>(55.6°)</t>
  </si>
  <si>
    <t>Twi N: 6:48</t>
  </si>
  <si>
    <t>Full Moon at 6:02 am8</t>
  </si>
  <si>
    <t>(67.4°)</t>
  </si>
  <si>
    <t>Moonrise: 9:07</t>
  </si>
  <si>
    <t>Sunset: 18:07</t>
  </si>
  <si>
    <t>Twi N: 19:06</t>
  </si>
  <si>
    <t>? (306°)</t>
  </si>
  <si>
    <t>Third Quarter at 8:27 am16</t>
  </si>
  <si>
    <t>(70.4°)</t>
  </si>
  <si>
    <t>Sunrise: 7:47</t>
  </si>
  <si>
    <t>(65.6°)</t>
  </si>
  <si>
    <t>Moonrise: 9:38</t>
  </si>
  <si>
    <t>(60.1°)</t>
  </si>
  <si>
    <t>Sunset: 18:08</t>
  </si>
  <si>
    <t>(54.1°)</t>
  </si>
  <si>
    <t>Twi N: 19:07</t>
  </si>
  <si>
    <t>? (93°)</t>
  </si>
  <si>
    <t>(47.8°)</t>
  </si>
  <si>
    <t>Moonset: 21:06</t>
  </si>
  <si>
    <t>New Moon at 5:57 pm23</t>
  </si>
  <si>
    <t>(30.2°)</t>
  </si>
  <si>
    <t>Twi N: 6:47</t>
  </si>
  <si>
    <t>(24.1°)</t>
  </si>
  <si>
    <t>Sunrise: 7:46</t>
  </si>
  <si>
    <t>(24.0°)</t>
  </si>
  <si>
    <t>Moonrise: 10:05</t>
  </si>
  <si>
    <t>Sunset: 18:10</t>
  </si>
  <si>
    <t>Twi N: 19:08</t>
  </si>
  <si>
    <t>(35.0°)</t>
  </si>
  <si>
    <t>Moonset: 22:11</t>
  </si>
  <si>
    <t>First Quarter at 9:36 am30</t>
  </si>
  <si>
    <t>(40.9°)</t>
  </si>
  <si>
    <t>(47.2°)</t>
  </si>
  <si>
    <t>(59.8°)</t>
  </si>
  <si>
    <t>Twi N: 6:46</t>
  </si>
  <si>
    <t>Sunrise: 7:45</t>
  </si>
  <si>
    <t>Moonrise: 10:31</t>
  </si>
  <si>
    <t>(74.7°)</t>
  </si>
  <si>
    <t>Sunset: 18:11</t>
  </si>
  <si>
    <t>Full Moon at 11:08 pm7</t>
  </si>
  <si>
    <t>Twi N: 19:09</t>
  </si>
  <si>
    <t>Moonset: 23:14</t>
  </si>
  <si>
    <t>(79.3°)</t>
  </si>
  <si>
    <t>Twi N: 6:45</t>
  </si>
  <si>
    <t>Sunrise: 7:44</t>
  </si>
  <si>
    <t>(67.5°)</t>
  </si>
  <si>
    <t>Moonrise: 10:56</t>
  </si>
  <si>
    <t>Sunset: 18:12</t>
  </si>
  <si>
    <t>Third Quarter at 3:56 am16</t>
  </si>
  <si>
    <t>Twi N: 19:10</t>
  </si>
  <si>
    <t>(50.7°)</t>
  </si>
  <si>
    <t>(44.5°)</t>
  </si>
  <si>
    <t>Moonset: 0:16</t>
  </si>
  <si>
    <t>Twi N: 6:44</t>
  </si>
  <si>
    <t>New Moon at 5:16 am23</t>
  </si>
  <si>
    <t>Sunrise: 7:43</t>
  </si>
  <si>
    <t>Moonrise: 11:21</t>
  </si>
  <si>
    <t>Sunset: 18:13</t>
  </si>
  <si>
    <t>Twi N: 19:11</t>
  </si>
  <si>
    <t>(38.9°)</t>
  </si>
  <si>
    <t>(45.3°)</t>
  </si>
  <si>
    <t>First Quarter at 8:20 pm29</t>
  </si>
  <si>
    <t>(51.8°)</t>
  </si>
  <si>
    <t>(58.1°)</t>
  </si>
  <si>
    <t>Moonset: 1:16</t>
  </si>
  <si>
    <t>Twi N: 6:43</t>
  </si>
  <si>
    <t>(69.2°)</t>
  </si>
  <si>
    <t>Sunrise: 7:42</t>
  </si>
  <si>
    <t>(73.6°)</t>
  </si>
  <si>
    <t>Moonrise: 11:49</t>
  </si>
  <si>
    <t>Sunset: 18:14</t>
  </si>
  <si>
    <t>Twi N: 19:12</t>
  </si>
  <si>
    <t>Full Moon at 6:07 pm6</t>
  </si>
  <si>
    <t>(76.4°)</t>
  </si>
  <si>
    <t>Moonset: 2:16</t>
  </si>
  <si>
    <t>Sunrise: 7:41</t>
  </si>
  <si>
    <t>Moonrise: 12:20</t>
  </si>
  <si>
    <t>Sunset: 18:15</t>
  </si>
  <si>
    <t>Twi N: 19:13</t>
  </si>
  <si>
    <t>Moonset: 3:16</t>
  </si>
  <si>
    <t>Twi N: 6:42</t>
  </si>
  <si>
    <t>Sunrise: 7:40</t>
  </si>
  <si>
    <t>Moonrise: 12:56</t>
  </si>
  <si>
    <t>Sunset: 18:16</t>
  </si>
  <si>
    <t>Twi N: 19:15</t>
  </si>
  <si>
    <t>Moonset: 4:13</t>
  </si>
  <si>
    <t>Twi N: 6:41</t>
  </si>
  <si>
    <t>Sunrise: 7:39</t>
  </si>
  <si>
    <t>Moonrise: 13:38</t>
  </si>
  <si>
    <t>Sunset: 18:17</t>
  </si>
  <si>
    <t>Twi N: 19:16</t>
  </si>
  <si>
    <t>Moonset: 5:08</t>
  </si>
  <si>
    <t>Twi N: 6:40</t>
  </si>
  <si>
    <t>Sunrise: 7:38</t>
  </si>
  <si>
    <t>Moonrise: 14:27</t>
  </si>
  <si>
    <t>Sunset: 18:18</t>
  </si>
  <si>
    <t>Twi N: 19:17</t>
  </si>
  <si>
    <t>Moonset: 5:58</t>
  </si>
  <si>
    <t>Twi N: 6:39</t>
  </si>
  <si>
    <t>Sunrise: 7:36</t>
  </si>
  <si>
    <t>Moonrise: 15:22</t>
  </si>
  <si>
    <t>Sunset: 18:20</t>
  </si>
  <si>
    <t>Twi N: 19:18</t>
  </si>
  <si>
    <t>Twi N: 6:37</t>
  </si>
  <si>
    <t>Moonset: 6:43</t>
  </si>
  <si>
    <t>Sunrise: 7:35</t>
  </si>
  <si>
    <t>Moonrise: 16:22</t>
  </si>
  <si>
    <t>Sunset: 18:21</t>
  </si>
  <si>
    <t>Twi N: 19:19</t>
  </si>
  <si>
    <t>Twi N: 6:36</t>
  </si>
  <si>
    <t>Moonset: 7:21</t>
  </si>
  <si>
    <t>Sunrise: 7:34</t>
  </si>
  <si>
    <t>Moonrise: 17:25</t>
  </si>
  <si>
    <t>Sunset: 18:22</t>
  </si>
  <si>
    <t>Twi N: 19:20</t>
  </si>
  <si>
    <t>Twi N: 6:35</t>
  </si>
  <si>
    <t>Sunrise: 7:33</t>
  </si>
  <si>
    <t>Moonset: 7:55</t>
  </si>
  <si>
    <t>Sunset: 18:23</t>
  </si>
  <si>
    <t>Moonrise: 18:29</t>
  </si>
  <si>
    <t>Twi N: 19:21</t>
  </si>
  <si>
    <t>Twi N: 6:34</t>
  </si>
  <si>
    <t>Sunrise: 7:32</t>
  </si>
  <si>
    <t>Moonset: 8:24</t>
  </si>
  <si>
    <t>Sunset: 18:24</t>
  </si>
  <si>
    <t>Twi N: 19:22</t>
  </si>
  <si>
    <t>Moonrise: 19:33</t>
  </si>
  <si>
    <t>Twi N: 6:33</t>
  </si>
  <si>
    <t>Sunrise: 7:31</t>
  </si>
  <si>
    <t>Moonset: 8:51</t>
  </si>
  <si>
    <t>Sunset: 18:25</t>
  </si>
  <si>
    <t>Twi N: 6:32</t>
  </si>
  <si>
    <t>Sunrise: 7:29</t>
  </si>
  <si>
    <t>Moonset: 9:17</t>
  </si>
  <si>
    <t>Sunset: 18:26</t>
  </si>
  <si>
    <t>Twi N: 19:23</t>
  </si>
  <si>
    <t>Moonrise: 21:43</t>
  </si>
  <si>
    <t>Twi N: 6:31</t>
  </si>
  <si>
    <t>Sunrise: 7:28</t>
  </si>
  <si>
    <t>Moonset: 9:43</t>
  </si>
  <si>
    <t>Sunset: 18:27</t>
  </si>
  <si>
    <t>Twi N: 19:24</t>
  </si>
  <si>
    <t>Moonrise: 22:50</t>
  </si>
  <si>
    <t>Twi N: 6:30</t>
  </si>
  <si>
    <t>Sunrise: 7:27</t>
  </si>
  <si>
    <t>Moonset: 10:11</t>
  </si>
  <si>
    <t>Sunset: 18:28</t>
  </si>
  <si>
    <t>Twi N: 19:25</t>
  </si>
  <si>
    <t>Moonrise: 23:58</t>
  </si>
  <si>
    <t>Twi N: 6:28</t>
  </si>
  <si>
    <t>Sunrise: 7:25</t>
  </si>
  <si>
    <t>Moonset: 10:42</t>
  </si>
  <si>
    <t>Sunset: 18:29</t>
  </si>
  <si>
    <t>Twi N: 19:26</t>
  </si>
  <si>
    <t>Moonrise: 1:09</t>
  </si>
  <si>
    <t>Twi N: 6:27</t>
  </si>
  <si>
    <t>Sunrise: 7:24</t>
  </si>
  <si>
    <t>Moonset: 11:18</t>
  </si>
  <si>
    <t>Sunset: 18:30</t>
  </si>
  <si>
    <t>Twi N: 19:27</t>
  </si>
  <si>
    <t>Moonrise: 2:21</t>
  </si>
  <si>
    <t>Twi N: 6:26</t>
  </si>
  <si>
    <t>Sunrise: 7:23</t>
  </si>
  <si>
    <t>Moonset: 12:02</t>
  </si>
  <si>
    <t>Sunset: 18:31</t>
  </si>
  <si>
    <t>Twi N: 19:28</t>
  </si>
  <si>
    <t>Moonrise: 3:32</t>
  </si>
  <si>
    <t>Twi N: 6:24</t>
  </si>
  <si>
    <t>Sunrise: 7:22</t>
  </si>
  <si>
    <t>Moonset: 12:55</t>
  </si>
  <si>
    <t>Sunset: 18:32</t>
  </si>
  <si>
    <t>Twi N: 19:29</t>
  </si>
  <si>
    <t>Moonrise: 4:38</t>
  </si>
  <si>
    <t>Twi N: 6:23</t>
  </si>
  <si>
    <t>Sunrise: 7:20</t>
  </si>
  <si>
    <t>Moonset: 13:58</t>
  </si>
  <si>
    <t>Sunset: 18:33</t>
  </si>
  <si>
    <t>Twi N: 19:30</t>
  </si>
  <si>
    <t>Moonrise: 5:35</t>
  </si>
  <si>
    <t>Twi N: 6:22</t>
  </si>
  <si>
    <t>Sunrise: 7:19</t>
  </si>
  <si>
    <t>Sunset: 18:34</t>
  </si>
  <si>
    <t>Twi N: 19:31</t>
  </si>
  <si>
    <t>Twi N: 6:21</t>
  </si>
  <si>
    <t>Moonrise: 6:22</t>
  </si>
  <si>
    <t>Sunrise: 7:17</t>
  </si>
  <si>
    <t>Moonset: 16:21</t>
  </si>
  <si>
    <t>Sunset: 18:35</t>
  </si>
  <si>
    <t>Twi N: 19:32</t>
  </si>
  <si>
    <t>Twi N: 6:19</t>
  </si>
  <si>
    <t>Moonrise: 7:02</t>
  </si>
  <si>
    <t>Sunrise: 7:16</t>
  </si>
  <si>
    <t>Moonset: 17:34</t>
  </si>
  <si>
    <t>Sunset: 18:36</t>
  </si>
  <si>
    <t>Twi N: 19:33</t>
  </si>
  <si>
    <t>Twi N: 6:18</t>
  </si>
  <si>
    <t>Sunrise: 7:15</t>
  </si>
  <si>
    <t>Moonrise: 7:35</t>
  </si>
  <si>
    <t>Sunset: 18:37</t>
  </si>
  <si>
    <t>Twi N: 19:34</t>
  </si>
  <si>
    <t>Twi N: 6:16</t>
  </si>
  <si>
    <t>Sunrise: 7:13</t>
  </si>
  <si>
    <t>Moonrise: 8:03</t>
  </si>
  <si>
    <t>Sunset: 18:38</t>
  </si>
  <si>
    <t>Twi N: 19:35</t>
  </si>
  <si>
    <t>Moonset: 19:52</t>
  </si>
  <si>
    <t>Twi N: 6:15</t>
  </si>
  <si>
    <t>Sunrise: 7:12</t>
  </si>
  <si>
    <t>Moonrise: 8:29</t>
  </si>
  <si>
    <t>Sunset: 18:39</t>
  </si>
  <si>
    <t>Twi N: 19:36</t>
  </si>
  <si>
    <t>Moonset: 20:57</t>
  </si>
  <si>
    <t>Twi N: 6:14</t>
  </si>
  <si>
    <t>Sunrise: 7:10</t>
  </si>
  <si>
    <t>Moonrise: 8:55</t>
  </si>
  <si>
    <t>Sunset: 18:40</t>
  </si>
  <si>
    <t>Twi N: 19:37</t>
  </si>
  <si>
    <t>Moonset: 22:00</t>
  </si>
  <si>
    <t>Twi N: 6:12</t>
  </si>
  <si>
    <t>Sunrise: 7:09</t>
  </si>
  <si>
    <t>Moonrise: 9:20</t>
  </si>
  <si>
    <t>Sunset: 18:41</t>
  </si>
  <si>
    <t>Twi N: 19:38</t>
  </si>
  <si>
    <t>Moonset: 23:02</t>
  </si>
  <si>
    <t>Twi N: 6:11</t>
  </si>
  <si>
    <t>Sunrise: 7:07</t>
  </si>
  <si>
    <t>Moonrise: 9:47</t>
  </si>
  <si>
    <t>Sunset: 18:42</t>
  </si>
  <si>
    <t>Twi N: 19:39</t>
  </si>
  <si>
    <t>Moonset: 0:04</t>
  </si>
  <si>
    <t>Twi N: 6:09</t>
  </si>
  <si>
    <t>Sunrise: 7:06</t>
  </si>
  <si>
    <t>Moonrise: 10:17</t>
  </si>
  <si>
    <t>Sunset: 18:43</t>
  </si>
  <si>
    <t>Twi N: 19:40</t>
  </si>
  <si>
    <t>Moonset: 1:04</t>
  </si>
  <si>
    <t>Twi N: 6:08</t>
  </si>
  <si>
    <t>Sunrise: 7:05</t>
  </si>
  <si>
    <t>Moonrise: 10:52</t>
  </si>
  <si>
    <t>Sunset: 18:44</t>
  </si>
  <si>
    <t>Twi N: 19:41</t>
  </si>
  <si>
    <t>Moonset: 2:03</t>
  </si>
  <si>
    <t>Twi N: 6:06</t>
  </si>
  <si>
    <t>Sunrise: 7:03</t>
  </si>
  <si>
    <t>Moonrise: 11:31</t>
  </si>
  <si>
    <t>Sunset: 18:45</t>
  </si>
  <si>
    <t>Twi N: 19:42</t>
  </si>
  <si>
    <t>Moonset: 2:59</t>
  </si>
  <si>
    <t>Twi N: 6:05</t>
  </si>
  <si>
    <t>Sunrise: 7:02</t>
  </si>
  <si>
    <t>Moonrise: 12:17</t>
  </si>
  <si>
    <t>Sunset: 18:46</t>
  </si>
  <si>
    <t>Twi N: 19:43</t>
  </si>
  <si>
    <t>Moonset: 3:51</t>
  </si>
  <si>
    <t>Twi N: 6:03</t>
  </si>
  <si>
    <t>Sunrise: 7:00</t>
  </si>
  <si>
    <t>Moonrise: 13:10</t>
  </si>
  <si>
    <t>Sunset: 18:47</t>
  </si>
  <si>
    <t>Twi N: 19:44</t>
  </si>
  <si>
    <t>DST Begins</t>
  </si>
  <si>
    <t>Moonset: 5:37</t>
  </si>
  <si>
    <t>Twi N: 7:02</t>
  </si>
  <si>
    <t>Moonrise: 15:08</t>
  </si>
  <si>
    <t>Sunset: 19:48</t>
  </si>
  <si>
    <t>Twi N: 20:45</t>
  </si>
  <si>
    <t>Moonset: 6:18</t>
  </si>
  <si>
    <t>Twi N: 7:00</t>
  </si>
  <si>
    <t>Moonrise: 16:10</t>
  </si>
  <si>
    <t>Sunset: 19:49</t>
  </si>
  <si>
    <t>Twi N: 20:46</t>
  </si>
  <si>
    <t>Moonset: 6:53</t>
  </si>
  <si>
    <t>Twi N: 6:59</t>
  </si>
  <si>
    <t>Moonrise: 17:14</t>
  </si>
  <si>
    <t>Sunset: 19:50</t>
  </si>
  <si>
    <t>Twi N: 20:47</t>
  </si>
  <si>
    <t>Moonset: 7:25</t>
  </si>
  <si>
    <t>Moonrise: 18:19</t>
  </si>
  <si>
    <t>Sunset: 19:51</t>
  </si>
  <si>
    <t>Twi N: 20:48</t>
  </si>
  <si>
    <t>Moonset: 7:53</t>
  </si>
  <si>
    <t>Moonrise: 19:25</t>
  </si>
  <si>
    <t>Sunset: 19:52</t>
  </si>
  <si>
    <t>Twi N: 20:49</t>
  </si>
  <si>
    <t>Moonset: 8:19</t>
  </si>
  <si>
    <t>Sunset: 19:53</t>
  </si>
  <si>
    <t>Moonrise: 20:31</t>
  </si>
  <si>
    <t>Twi N: 20:50</t>
  </si>
  <si>
    <t>Sunset: 19:54</t>
  </si>
  <si>
    <t>Twi N: 20:51</t>
  </si>
  <si>
    <t>Moonrise: 21:39</t>
  </si>
  <si>
    <t>Moonset: 9:13</t>
  </si>
  <si>
    <t>Sunset: 19:55</t>
  </si>
  <si>
    <t>Twi N: 20:52</t>
  </si>
  <si>
    <t>Moonrise: 22:49</t>
  </si>
  <si>
    <t>Sunset: 19:56</t>
  </si>
  <si>
    <t>Twi N: 20:53</t>
  </si>
  <si>
    <t>Moonrise: 24:00</t>
  </si>
  <si>
    <t>Moonset: 10:18</t>
  </si>
  <si>
    <t>Sunset: 19:57</t>
  </si>
  <si>
    <t>Twi N: 20:54</t>
  </si>
  <si>
    <t>Moonrise: 1:13</t>
  </si>
  <si>
    <t>Moonset: 10:59</t>
  </si>
  <si>
    <t>Sunset: 19:58</t>
  </si>
  <si>
    <t>Twi N: 20:55</t>
  </si>
  <si>
    <t>Moonrise: 2:25</t>
  </si>
  <si>
    <t>Moonset: 11:49</t>
  </si>
  <si>
    <t>Sunset: 19:59</t>
  </si>
  <si>
    <t>Twi N: 20:56</t>
  </si>
  <si>
    <t>Moonset: 12:48</t>
  </si>
  <si>
    <t>Sunset: 20:00</t>
  </si>
  <si>
    <t>Twi N: 20:57</t>
  </si>
  <si>
    <t>Moonrise: 4:30</t>
  </si>
  <si>
    <t>Moonset: 13:55</t>
  </si>
  <si>
    <t>Twi N: 20:58</t>
  </si>
  <si>
    <t>Moonrise: 5:20</t>
  </si>
  <si>
    <t>Sunrise: 7:37</t>
  </si>
  <si>
    <t>Moonset: 15:06</t>
  </si>
  <si>
    <t>Sunset: 20:01</t>
  </si>
  <si>
    <t>Twi N: 20:59</t>
  </si>
  <si>
    <t>Moonrise: 6:00</t>
  </si>
  <si>
    <t>Twi N: 6:38</t>
  </si>
  <si>
    <t>Moonset: 16:17</t>
  </si>
  <si>
    <t>Sunset: 20:02</t>
  </si>
  <si>
    <t>Twi N: 21:00</t>
  </si>
  <si>
    <t>Moonrise: 6:34</t>
  </si>
  <si>
    <t>Moonset: 17:27</t>
  </si>
  <si>
    <t>Sunset: 20:03</t>
  </si>
  <si>
    <t>Twi N: 21:01</t>
  </si>
  <si>
    <t>Moonrise: 7:04</t>
  </si>
  <si>
    <t>Moonset: 18:35</t>
  </si>
  <si>
    <t>Sunset: 20:04</t>
  </si>
  <si>
    <t>Twi N: 21:02</t>
  </si>
  <si>
    <t>Moonrise: 7:30</t>
  </si>
  <si>
    <t>Moonset: 19:40</t>
  </si>
  <si>
    <t>Sunset: 20:05</t>
  </si>
  <si>
    <t>Twi N: 21:03</t>
  </si>
  <si>
    <t>Sunrise: 7:30</t>
  </si>
  <si>
    <t>Moonrise: 7:55</t>
  </si>
  <si>
    <t>Sunset: 20:06</t>
  </si>
  <si>
    <t>Moonset: 20:44</t>
  </si>
  <si>
    <t>Twi N: 21:04</t>
  </si>
  <si>
    <t>Moonrise: 8:20</t>
  </si>
  <si>
    <t>Sunset: 20:07</t>
  </si>
  <si>
    <t>Twi N: 21:05</t>
  </si>
  <si>
    <t>Moonset: 21:47</t>
  </si>
  <si>
    <t>Twi N: 6:29</t>
  </si>
  <si>
    <t>Moonrise: 8:47</t>
  </si>
  <si>
    <t>Sunset: 20:08</t>
  </si>
  <si>
    <t>Twi N: 21:06</t>
  </si>
  <si>
    <t>Moonset: 22:50</t>
  </si>
  <si>
    <t>Moonrise: 9:15</t>
  </si>
  <si>
    <t>Sunset: 20:09</t>
  </si>
  <si>
    <t>Twi N: 21:07</t>
  </si>
  <si>
    <t>Moonset: 23:52</t>
  </si>
  <si>
    <t>Moonrise: 9:48</t>
  </si>
  <si>
    <t>Sunset: 20:10</t>
  </si>
  <si>
    <t>Twi N: 21:08</t>
  </si>
  <si>
    <t>Moonset: 0:52</t>
  </si>
  <si>
    <t>Moonrise: 10:25</t>
  </si>
  <si>
    <t>Sunset: 20:11</t>
  </si>
  <si>
    <t>Twi N: 21:09</t>
  </si>
  <si>
    <t>Moonset: 1:50</t>
  </si>
  <si>
    <t>Sunrise: 7:21</t>
  </si>
  <si>
    <t>Moonrise: 11:09</t>
  </si>
  <si>
    <t>Twi N: 21:10</t>
  </si>
  <si>
    <t>Moonset: 2:44</t>
  </si>
  <si>
    <t>Moonrise: 11:59</t>
  </si>
  <si>
    <t>Sunset: 20:12</t>
  </si>
  <si>
    <t>Twi N: 21:11</t>
  </si>
  <si>
    <t>Moonset: 3:32</t>
  </si>
  <si>
    <t>Sunrise: 7:18</t>
  </si>
  <si>
    <t>Moonrise: 12:54</t>
  </si>
  <si>
    <t>Sunset: 20:13</t>
  </si>
  <si>
    <t>Twi N: 21:12</t>
  </si>
  <si>
    <t>Moonset: 4:14</t>
  </si>
  <si>
    <t>Moonrise: 13:54</t>
  </si>
  <si>
    <t>Sunset: 20:14</t>
  </si>
  <si>
    <t>Twi N: 21:13</t>
  </si>
  <si>
    <t>Moonset: 4:51</t>
  </si>
  <si>
    <t>Moonrise: 14:56</t>
  </si>
  <si>
    <t>Sunset: 20:15</t>
  </si>
  <si>
    <t>Twi N: 21:14</t>
  </si>
  <si>
    <t>Moonset: 5:23</t>
  </si>
  <si>
    <t>Moonrise: 16:00</t>
  </si>
  <si>
    <t>Sunset: 20:16</t>
  </si>
  <si>
    <t>Twi N: 21:15</t>
  </si>
  <si>
    <t>Moonset: 5:52</t>
  </si>
  <si>
    <t>Twi N: 6:13</t>
  </si>
  <si>
    <t>Moonrise: 17:06</t>
  </si>
  <si>
    <t>Sunset: 20:17</t>
  </si>
  <si>
    <t>Twi N: 21:16</t>
  </si>
  <si>
    <t>Moonset: 6:19</t>
  </si>
  <si>
    <t>Sunrise: 7:11</t>
  </si>
  <si>
    <t>Moonrise: 18:12</t>
  </si>
  <si>
    <t>Sunset: 20:18</t>
  </si>
  <si>
    <t>Twi N: 21:17</t>
  </si>
  <si>
    <t>Twi N: 6:10</t>
  </si>
  <si>
    <t>Moonset: 6:45</t>
  </si>
  <si>
    <t>Moonrise: 19:20</t>
  </si>
  <si>
    <t>Sunset: 20:19</t>
  </si>
  <si>
    <t>Twi N: 21:18</t>
  </si>
  <si>
    <t>Sunrise: 7:08</t>
  </si>
  <si>
    <t>Moonset: 7:12</t>
  </si>
  <si>
    <t>Sunset: 20:20</t>
  </si>
  <si>
    <t>Moonrise: 20:30</t>
  </si>
  <si>
    <t>Twi N: 21:19</t>
  </si>
  <si>
    <t>Twi N: 6:07</t>
  </si>
  <si>
    <t>Moonset: 7:41</t>
  </si>
  <si>
    <t>Sunset: 20:21</t>
  </si>
  <si>
    <t>Twi N: 21:20</t>
  </si>
  <si>
    <t>Moonset: 8:15</t>
  </si>
  <si>
    <t>Sunset: 20:22</t>
  </si>
  <si>
    <t>Twi N: 21:22</t>
  </si>
  <si>
    <t>Moonrise: 22:59</t>
  </si>
  <si>
    <t>Sunrise: 7:04</t>
  </si>
  <si>
    <t>Moonset: 8:55</t>
  </si>
  <si>
    <t>Sunset: 20:23</t>
  </si>
  <si>
    <t>Twi N: 21:23</t>
  </si>
  <si>
    <t>Moonrise: 0:13</t>
  </si>
  <si>
    <t>Twi N: 6:02</t>
  </si>
  <si>
    <t>Twi N: 21:24</t>
  </si>
  <si>
    <t>Moonrise: 1:24</t>
  </si>
  <si>
    <t>Twi N: 6:00</t>
  </si>
  <si>
    <t>Sunrise: 7:01</t>
  </si>
  <si>
    <t>Moonset: 10:40</t>
  </si>
  <si>
    <t>Sunset: 20:24</t>
  </si>
  <si>
    <t>Twi N: 21:25</t>
  </si>
  <si>
    <t>Moonrise: 2:27</t>
  </si>
  <si>
    <t>Twi N: 5:59</t>
  </si>
  <si>
    <t>Moonset: 11:46</t>
  </si>
  <si>
    <t>Sunset: 20:25</t>
  </si>
  <si>
    <t>Twi N: 21:26</t>
  </si>
  <si>
    <t>Twi N: 5:57</t>
  </si>
  <si>
    <t>Sunrise: 6:58</t>
  </si>
  <si>
    <t>Moonset: 12:56</t>
  </si>
  <si>
    <t>Sunset: 20:26</t>
  </si>
  <si>
    <t>Twi N: 21:27</t>
  </si>
  <si>
    <t>Moonrise: 4:02</t>
  </si>
  <si>
    <t>Twi N: 5:56</t>
  </si>
  <si>
    <t>Sunrise: 6:57</t>
  </si>
  <si>
    <t>Moonset: 14:07</t>
  </si>
  <si>
    <t>Sunset: 20:27</t>
  </si>
  <si>
    <t>Twi N: 21:28</t>
  </si>
  <si>
    <t>Moonrise: 4:37</t>
  </si>
  <si>
    <t>Twi N: 5:54</t>
  </si>
  <si>
    <t>Sunrise: 6:56</t>
  </si>
  <si>
    <t>Moonset: 15:17</t>
  </si>
  <si>
    <t>Sunset: 20:28</t>
  </si>
  <si>
    <t>Twi N: 21:29</t>
  </si>
  <si>
    <t>Moonrise: 5:07</t>
  </si>
  <si>
    <t>Twi N: 5:53</t>
  </si>
  <si>
    <t>Sunrise: 6:54</t>
  </si>
  <si>
    <t>Sunset: 20:29</t>
  </si>
  <si>
    <t>Twi N: 21:30</t>
  </si>
  <si>
    <t>Moonrise: 5:34</t>
  </si>
  <si>
    <t>Twi N: 5:52</t>
  </si>
  <si>
    <t>Sunrise: 6:53</t>
  </si>
  <si>
    <t>Sunset: 20:30</t>
  </si>
  <si>
    <t>Twi N: 21:32</t>
  </si>
  <si>
    <t>Twi N: 5:50</t>
  </si>
  <si>
    <t>Moonrise: 5:59</t>
  </si>
  <si>
    <t>Sunrise: 6:52</t>
  </si>
  <si>
    <t>Moonset: 18:32</t>
  </si>
  <si>
    <t>Sunset: 20:31</t>
  </si>
  <si>
    <t>Twi N: 21:33</t>
  </si>
  <si>
    <t>Twi N: 5:49</t>
  </si>
  <si>
    <t>Moonrise: 6:23</t>
  </si>
  <si>
    <t>Sunrise: 6:51</t>
  </si>
  <si>
    <t>Moonset: 19:35</t>
  </si>
  <si>
    <t>Sunset: 20:32</t>
  </si>
  <si>
    <t>Twi N: 21:34</t>
  </si>
  <si>
    <t>Twi N: 5:47</t>
  </si>
  <si>
    <t>Moonrise: 6:48</t>
  </si>
  <si>
    <t>Sunrise: 6:50</t>
  </si>
  <si>
    <t>Sunset: 20:33</t>
  </si>
  <si>
    <t>Moonset: 20:38</t>
  </si>
  <si>
    <t>Twi N: 21:35</t>
  </si>
  <si>
    <t>Twi N: 5:46</t>
  </si>
  <si>
    <t>Sunrise: 6:48</t>
  </si>
  <si>
    <t>Moonrise: 7:16</t>
  </si>
  <si>
    <t>Sunset: 20:34</t>
  </si>
  <si>
    <t>Twi N: 21:36</t>
  </si>
  <si>
    <t>Moonset: 21:40</t>
  </si>
  <si>
    <t>Twi N: 5:45</t>
  </si>
  <si>
    <t>Sunrise: 6:47</t>
  </si>
  <si>
    <t>Moonrise: 7:47</t>
  </si>
  <si>
    <t>Sunset: 20:35</t>
  </si>
  <si>
    <t>Twi N: 21:37</t>
  </si>
  <si>
    <t>Moonset: 22:41</t>
  </si>
  <si>
    <t>Twi N: 5:43</t>
  </si>
  <si>
    <t>Sunrise: 6:46</t>
  </si>
  <si>
    <t>Moonrise: 8:22</t>
  </si>
  <si>
    <t>Twi N: 21:38</t>
  </si>
  <si>
    <t>Moonset: 23:41</t>
  </si>
  <si>
    <t>Twi N: 5:42</t>
  </si>
  <si>
    <t>Sunrise: 6:45</t>
  </si>
  <si>
    <t>Moonrise: 9:03</t>
  </si>
  <si>
    <t>Sunset: 20:36</t>
  </si>
  <si>
    <t>Twi N: 21:40</t>
  </si>
  <si>
    <t>Moonset: 0:37</t>
  </si>
  <si>
    <t>Twi N: 5:41</t>
  </si>
  <si>
    <t>Sunrise: 6:44</t>
  </si>
  <si>
    <t>Moonrise: 9:51</t>
  </si>
  <si>
    <t>Sunset: 20:37</t>
  </si>
  <si>
    <t>Twi N: 21:41</t>
  </si>
  <si>
    <t>Moonset: 1:27</t>
  </si>
  <si>
    <t>Twi N: 5:39</t>
  </si>
  <si>
    <t>Sunrise: 6:43</t>
  </si>
  <si>
    <t>Moonrise: 10:43</t>
  </si>
  <si>
    <t>Sunset: 20:38</t>
  </si>
  <si>
    <t>Twi N: 21:42</t>
  </si>
  <si>
    <t>Moonset: 2:11</t>
  </si>
  <si>
    <t>Twi N: 5:38</t>
  </si>
  <si>
    <t>Sunrise: 6:42</t>
  </si>
  <si>
    <t>Sunset: 20:39</t>
  </si>
  <si>
    <t>Twi N: 21:43</t>
  </si>
  <si>
    <t>Moonset: 2:49</t>
  </si>
  <si>
    <t>Twi N: 5:37</t>
  </si>
  <si>
    <t>Sunrise: 6:41</t>
  </si>
  <si>
    <t>Moonrise: 12:41</t>
  </si>
  <si>
    <t>Sunset: 20:40</t>
  </si>
  <si>
    <t>Twi N: 21:44</t>
  </si>
  <si>
    <t>Moonset: 3:22</t>
  </si>
  <si>
    <t>Twi N: 5:35</t>
  </si>
  <si>
    <t>Sunrise: 6:40</t>
  </si>
  <si>
    <t>Moonrise: 13:44</t>
  </si>
  <si>
    <t>Sunset: 20:41</t>
  </si>
  <si>
    <t>Twi N: 21:45</t>
  </si>
  <si>
    <t>Twi N: 5:34</t>
  </si>
  <si>
    <t>Sunrise: 6:39</t>
  </si>
  <si>
    <t>Moonrise: 14:47</t>
  </si>
  <si>
    <t>Sunset: 20:42</t>
  </si>
  <si>
    <t>Twi N: 21:46</t>
  </si>
  <si>
    <t>Moonset: 4:18</t>
  </si>
  <si>
    <t>Twi N: 5:33</t>
  </si>
  <si>
    <t>Sunrise: 6:38</t>
  </si>
  <si>
    <t>Moonrise: 15:51</t>
  </si>
  <si>
    <t>Sunset: 20:43</t>
  </si>
  <si>
    <t>Twi N: 21:47</t>
  </si>
  <si>
    <t>Moonset: 4:44</t>
  </si>
  <si>
    <t>Twi N: 5:32</t>
  </si>
  <si>
    <t>Sunrise: 6:37</t>
  </si>
  <si>
    <t>Moonrise: 16:58</t>
  </si>
  <si>
    <t>Sunset: 20:44</t>
  </si>
  <si>
    <t>Twi N: 21:49</t>
  </si>
  <si>
    <t>Moonset: 5:10</t>
  </si>
  <si>
    <t>Twi N: 5:31</t>
  </si>
  <si>
    <t>Sunrise: 6:36</t>
  </si>
  <si>
    <t>Moonrise: 18:06</t>
  </si>
  <si>
    <t>Sunset: 20:45</t>
  </si>
  <si>
    <t>Twi N: 21:50</t>
  </si>
  <si>
    <t>Twi N: 5:30</t>
  </si>
  <si>
    <t>Moonset: 5:38</t>
  </si>
  <si>
    <t>Sunrise: 6:35</t>
  </si>
  <si>
    <t>Moonrise: 19:18</t>
  </si>
  <si>
    <t>Twi N: 21:51</t>
  </si>
  <si>
    <t>Twi N: 5:29</t>
  </si>
  <si>
    <t>Moonset: 6:09</t>
  </si>
  <si>
    <t>Sunrise: 6:34</t>
  </si>
  <si>
    <t>Moonrise: 20:34</t>
  </si>
  <si>
    <t>Sunset: 20:46</t>
  </si>
  <si>
    <t>Twi N: 21:52</t>
  </si>
  <si>
    <t>Twi N: 5:27</t>
  </si>
  <si>
    <t>Sunrise: 6:33</t>
  </si>
  <si>
    <t>Moonset: 6:47</t>
  </si>
  <si>
    <t>Sunset: 20:47</t>
  </si>
  <si>
    <t>Moonrise: 21:52</t>
  </si>
  <si>
    <t>Twi N: 21:53</t>
  </si>
  <si>
    <t>Twi N: 5:26</t>
  </si>
  <si>
    <t>Sunrise: 6:32</t>
  </si>
  <si>
    <t>Moonset: 7:32</t>
  </si>
  <si>
    <t>Sunset: 20:48</t>
  </si>
  <si>
    <t>Twi N: 21:54</t>
  </si>
  <si>
    <t>Moonrise: 23:07</t>
  </si>
  <si>
    <t>Twi N: 5:25</t>
  </si>
  <si>
    <t>Moonset: 8:28</t>
  </si>
  <si>
    <t>Sunset: 20:49</t>
  </si>
  <si>
    <t>Twi N: 21:55</t>
  </si>
  <si>
    <t>Moonrise: 0:16</t>
  </si>
  <si>
    <t>Twi N: 5:24</t>
  </si>
  <si>
    <t>Sunrise: 6:31</t>
  </si>
  <si>
    <t>Moonset: 9:33</t>
  </si>
  <si>
    <t>Sunset: 20:50</t>
  </si>
  <si>
    <t>Twi N: 21:56</t>
  </si>
  <si>
    <t>Moonrise: 1:14</t>
  </si>
  <si>
    <t>Twi N: 5:23</t>
  </si>
  <si>
    <t>Sunrise: 6:30</t>
  </si>
  <si>
    <t>Moonset: 10:44</t>
  </si>
  <si>
    <t>Sunset: 20:51</t>
  </si>
  <si>
    <t>Twi N: 21:57</t>
  </si>
  <si>
    <t>Moonrise: 2:02</t>
  </si>
  <si>
    <t>Sunrise: 6:29</t>
  </si>
  <si>
    <t>Moonset: 11:57</t>
  </si>
  <si>
    <t>Twi N: 21:58</t>
  </si>
  <si>
    <t>Moonrise: 2:40</t>
  </si>
  <si>
    <t>Twi N: 5:22</t>
  </si>
  <si>
    <t>Moonset: 13:09</t>
  </si>
  <si>
    <t>Sunset: 20:52</t>
  </si>
  <si>
    <t>Twi N: 21:59</t>
  </si>
  <si>
    <t>Moonrise: 3:12</t>
  </si>
  <si>
    <t>Twi N: 5:21</t>
  </si>
  <si>
    <t>Sunrise: 6:28</t>
  </si>
  <si>
    <t>Moonset: 14:17</t>
  </si>
  <si>
    <t>Sunset: 20:53</t>
  </si>
  <si>
    <t>Twi N: 22:00</t>
  </si>
  <si>
    <t>Moonrise: 3:39</t>
  </si>
  <si>
    <t>Twi N: 5:20</t>
  </si>
  <si>
    <t>Sunrise: 6:27</t>
  </si>
  <si>
    <t>Moonset: 15:22</t>
  </si>
  <si>
    <t>Sunset: 20:54</t>
  </si>
  <si>
    <t>Twi N: 22:01</t>
  </si>
  <si>
    <t>Moonrise: 4:04</t>
  </si>
  <si>
    <t>Twi N: 5:19</t>
  </si>
  <si>
    <t>Moonset: 16:25</t>
  </si>
  <si>
    <t>Sunset: 20:55</t>
  </si>
  <si>
    <t>Twi N: 22:02</t>
  </si>
  <si>
    <t>Moonrise: 4:28</t>
  </si>
  <si>
    <t>Twi N: 5:18</t>
  </si>
  <si>
    <t>Sunrise: 6:26</t>
  </si>
  <si>
    <t>Twi N: 22:03</t>
  </si>
  <si>
    <t>Moonrise: 4:52</t>
  </si>
  <si>
    <t>Moonset: 18:29</t>
  </si>
  <si>
    <t>Sunset: 20:56</t>
  </si>
  <si>
    <t>Twi N: 22:04</t>
  </si>
  <si>
    <t>Twi N: 5:17</t>
  </si>
  <si>
    <t>Moonrise: 5:19</t>
  </si>
  <si>
    <t>Sunrise: 6:25</t>
  </si>
  <si>
    <t>Moonset: 19:31</t>
  </si>
  <si>
    <t>Sunset: 20:57</t>
  </si>
  <si>
    <t>Twi N: 22:05</t>
  </si>
  <si>
    <t>Twi N: 5:16</t>
  </si>
  <si>
    <t>Moonrise: 5:48</t>
  </si>
  <si>
    <t>Moonset: 20:32</t>
  </si>
  <si>
    <t>Sunset: 20:58</t>
  </si>
  <si>
    <t>Twi N: 22:06</t>
  </si>
  <si>
    <t>Moonrise: 6:21</t>
  </si>
  <si>
    <t>Sunrise: 6:24</t>
  </si>
  <si>
    <t>Moonset: 21:32</t>
  </si>
  <si>
    <t>Twi N: 22:07</t>
  </si>
  <si>
    <t>Twi N: 5:15</t>
  </si>
  <si>
    <t>Moonrise: 7:00</t>
  </si>
  <si>
    <t>Sunset: 20:59</t>
  </si>
  <si>
    <t>Twi N: 22:08</t>
  </si>
  <si>
    <t>Moonset: 22:30</t>
  </si>
  <si>
    <t>Twi N: 5:14</t>
  </si>
  <si>
    <t>Sunrise: 6:23</t>
  </si>
  <si>
    <t>Moonrise: 7:46</t>
  </si>
  <si>
    <t>Sunset: 21:00</t>
  </si>
  <si>
    <t>Twi N: 22:09</t>
  </si>
  <si>
    <t>Moonset: 23:22</t>
  </si>
  <si>
    <t>Moonrise: 8:37</t>
  </si>
  <si>
    <t>Twi N: 22:10</t>
  </si>
  <si>
    <t>Moonset: 0:09</t>
  </si>
  <si>
    <t>Twi N: 5:13</t>
  </si>
  <si>
    <t>Moonrise: 9:33</t>
  </si>
  <si>
    <t>Sunset: 21:01</t>
  </si>
  <si>
    <t>Moonset: 0:49</t>
  </si>
  <si>
    <t>Sunrise: 6:22</t>
  </si>
  <si>
    <t>Moonrise: 10:32</t>
  </si>
  <si>
    <t>Sunset: 21:02</t>
  </si>
  <si>
    <t>Twi N: 22:11</t>
  </si>
  <si>
    <t>Moonset: 1:23</t>
  </si>
  <si>
    <t>Moonrise: 11:33</t>
  </si>
  <si>
    <t>Twi N: 22:12</t>
  </si>
  <si>
    <t>Moonset: 1:53</t>
  </si>
  <si>
    <t>Twi N: 5:12</t>
  </si>
  <si>
    <t>Moonrise: 12:34</t>
  </si>
  <si>
    <t>Sunset: 21:03</t>
  </si>
  <si>
    <t>Twi N: 22:13</t>
  </si>
  <si>
    <t>Moonset: 2:20</t>
  </si>
  <si>
    <t>Moonrise: 13:36</t>
  </si>
  <si>
    <t>Sunset: 21:04</t>
  </si>
  <si>
    <t>Moonset: 2:45</t>
  </si>
  <si>
    <t>Twi N: 5:11</t>
  </si>
  <si>
    <t>Sunrise: 6:21</t>
  </si>
  <si>
    <t>Moonrise: 14:39</t>
  </si>
  <si>
    <t>Twi N: 22:14</t>
  </si>
  <si>
    <t>Moonset: 3:09</t>
  </si>
  <si>
    <t>Moonrise: 15:45</t>
  </si>
  <si>
    <t>Sunset: 21:05</t>
  </si>
  <si>
    <t>Twi N: 22:15</t>
  </si>
  <si>
    <t>Moonset: 3:35</t>
  </si>
  <si>
    <t>Moonrise: 16:54</t>
  </si>
  <si>
    <t>Moonset: 4:04</t>
  </si>
  <si>
    <t>Sunset: 21:06</t>
  </si>
  <si>
    <t>Twi N: 22:16</t>
  </si>
  <si>
    <t>Moonset: 4:38</t>
  </si>
  <si>
    <t>Moonrise: 19:23</t>
  </si>
  <si>
    <t>Twi N: 22:17</t>
  </si>
  <si>
    <t>Moonset: 5:19</t>
  </si>
  <si>
    <t>Moonrise: 20:41</t>
  </si>
  <si>
    <t>Sunset: 21:07</t>
  </si>
  <si>
    <t>Twi N: 5:10</t>
  </si>
  <si>
    <t>Moonset: 6:10</t>
  </si>
  <si>
    <t>Moonrise: 21:55</t>
  </si>
  <si>
    <t>Twi N: 22:18</t>
  </si>
  <si>
    <t>Moonset: 7:13</t>
  </si>
  <si>
    <t>Moonrise: 23:00</t>
  </si>
  <si>
    <t>Sunset: 21:08</t>
  </si>
  <si>
    <t>Twi N: 22:19</t>
  </si>
  <si>
    <t>Moonrise: 23:54</t>
  </si>
  <si>
    <t>Moonset: 9:39</t>
  </si>
  <si>
    <t>Moonrise: 0:38</t>
  </si>
  <si>
    <t>Moonset: 10:54</t>
  </si>
  <si>
    <t>Sunset: 21:09</t>
  </si>
  <si>
    <t>Moonset: 12:06</t>
  </si>
  <si>
    <t>Twi N: 22:20</t>
  </si>
  <si>
    <t>Moonrise: 1:43</t>
  </si>
  <si>
    <t>Moonset: 13:14</t>
  </si>
  <si>
    <t>Moonrise: 2:09</t>
  </si>
  <si>
    <t>Moonset: 14:19</t>
  </si>
  <si>
    <t>Moonrise: 2:33</t>
  </si>
  <si>
    <t>Moonset: 15:21</t>
  </si>
  <si>
    <t>Sunset: 21:10</t>
  </si>
  <si>
    <t>Moonrise: 2:57</t>
  </si>
  <si>
    <t>Moonset: 16:23</t>
  </si>
  <si>
    <t>Twi N: 22:21</t>
  </si>
  <si>
    <t>Moonrise: 3:23</t>
  </si>
  <si>
    <t>Moonset: 17:24</t>
  </si>
  <si>
    <t>Moonrise: 3:51</t>
  </si>
  <si>
    <t>Moonset: 18:25</t>
  </si>
  <si>
    <t>Moonrise: 4:22</t>
  </si>
  <si>
    <t>Moonset: 19:25</t>
  </si>
  <si>
    <t>Moonrise: 4:59</t>
  </si>
  <si>
    <t>Moonset: 20:24</t>
  </si>
  <si>
    <t>Moonrise: 5:43</t>
  </si>
  <si>
    <t>Moonset: 21:18</t>
  </si>
  <si>
    <t>Moonrise: 6:32</t>
  </si>
  <si>
    <t>Moonset: 22:07</t>
  </si>
  <si>
    <t>Moonrise: 7:27</t>
  </si>
  <si>
    <t>Moonset: 22:49</t>
  </si>
  <si>
    <t>Moonrise: 8:25</t>
  </si>
  <si>
    <t>Moonrise: 9:26</t>
  </si>
  <si>
    <t>Moonset: 23:56</t>
  </si>
  <si>
    <t>Moonrise: 10:27</t>
  </si>
  <si>
    <t>Moonset: 0:23</t>
  </si>
  <si>
    <t>Moonrise: 11:28</t>
  </si>
  <si>
    <t>Moonset: 0:48</t>
  </si>
  <si>
    <t>Moonrise: 12:29</t>
  </si>
  <si>
    <t>Moonset: 1:12</t>
  </si>
  <si>
    <t>Moonrise: 13:32</t>
  </si>
  <si>
    <t>Moonset: 1:36</t>
  </si>
  <si>
    <t>Moonrise: 14:37</t>
  </si>
  <si>
    <t>Moonset: 2:33</t>
  </si>
  <si>
    <t>Moonrise: 18:13</t>
  </si>
  <si>
    <t>Moonset: 3:54</t>
  </si>
  <si>
    <t>Moonrise: 19:29</t>
  </si>
  <si>
    <t>Moonrise: 20:39</t>
  </si>
  <si>
    <t>Moonrise: 21:40</t>
  </si>
  <si>
    <t>Moonrise: 22:29</t>
  </si>
  <si>
    <t>Moonset: 8:31</t>
  </si>
  <si>
    <t>Moonrise: 23:09</t>
  </si>
  <si>
    <t>Moonset: 9:47</t>
  </si>
  <si>
    <t>Moonrise: 23:42</t>
  </si>
  <si>
    <t>Moonrise: 0:10</t>
  </si>
  <si>
    <t>Twi N: 5:28</t>
  </si>
  <si>
    <t>Moonrise: 0:36</t>
  </si>
  <si>
    <t>Moonset: 13:12</t>
  </si>
  <si>
    <t>Moonrise: 1:01</t>
  </si>
  <si>
    <t>Moonset: 14:15</t>
  </si>
  <si>
    <t>Moonrise: 1:26</t>
  </si>
  <si>
    <t>Moonrise: 1:53</t>
  </si>
  <si>
    <t>Moonset: 16:19</t>
  </si>
  <si>
    <t>Moonrise: 2:24</t>
  </si>
  <si>
    <t>Moonset: 17:19</t>
  </si>
  <si>
    <t>Moonrise: 2:59</t>
  </si>
  <si>
    <t>Moonset: 18:18</t>
  </si>
  <si>
    <t>Moonrise: 3:40</t>
  </si>
  <si>
    <t>Moonset: 19:13</t>
  </si>
  <si>
    <t>Moonrise: 4:27</t>
  </si>
  <si>
    <t>Twi N: 5:36</t>
  </si>
  <si>
    <t>Moonset: 20:04</t>
  </si>
  <si>
    <t>Moonrise: 5:21</t>
  </si>
  <si>
    <t>Moonset: 20:48</t>
  </si>
  <si>
    <t>Moonrise: 6:19</t>
  </si>
  <si>
    <t>Moonset: 21:26</t>
  </si>
  <si>
    <t>Moonrise: 7:20</t>
  </si>
  <si>
    <t>Moonset: 21:59</t>
  </si>
  <si>
    <t>Twi N: 5:40</t>
  </si>
  <si>
    <t>Moonrise: 8:21</t>
  </si>
  <si>
    <t>Moonset: 22:27</t>
  </si>
  <si>
    <t>Moonrise: 9:22</t>
  </si>
  <si>
    <t>Moonset: 22:53</t>
  </si>
  <si>
    <t>Moonrise: 10:24</t>
  </si>
  <si>
    <t>Moonset: 23:17</t>
  </si>
  <si>
    <t>Moonrise: 11:25</t>
  </si>
  <si>
    <t>Twi N: 5:44</t>
  </si>
  <si>
    <t>Moonrise: 12:28</t>
  </si>
  <si>
    <t>Moonset: 0:05</t>
  </si>
  <si>
    <t>Sunrise: 6:49</t>
  </si>
  <si>
    <t>Moonrise: 13:34</t>
  </si>
  <si>
    <t>Moonset: 0:33</t>
  </si>
  <si>
    <t>Moonrise: 14:43</t>
  </si>
  <si>
    <t>Moonset: 1:05</t>
  </si>
  <si>
    <t>Moonrise: 15:55</t>
  </si>
  <si>
    <t>Moonset: 1:45</t>
  </si>
  <si>
    <t>Twi N: 5:48</t>
  </si>
  <si>
    <t>Moonrise: 17:08</t>
  </si>
  <si>
    <t>Moonset: 2:34</t>
  </si>
  <si>
    <t>Twi N: 5:51</t>
  </si>
  <si>
    <t>Twi N: 21:48</t>
  </si>
  <si>
    <t>Moonset: 4:45</t>
  </si>
  <si>
    <t>Sunrise: 6:55</t>
  </si>
  <si>
    <t>Moonrise: 20:17</t>
  </si>
  <si>
    <t>Moonset: 6:02</t>
  </si>
  <si>
    <t>Moonrise: 21:01</t>
  </si>
  <si>
    <t>Moonset: 7:20</t>
  </si>
  <si>
    <t>Moonrise: 21:37</t>
  </si>
  <si>
    <t>Twi N: 5:55</t>
  </si>
  <si>
    <t>Moonset: 8:35</t>
  </si>
  <si>
    <t>Moonrise: 22:08</t>
  </si>
  <si>
    <t>Moonrise: 22:35</t>
  </si>
  <si>
    <t>Sunrise: 6:59</t>
  </si>
  <si>
    <t>Moonset: 10:55</t>
  </si>
  <si>
    <t>Moonrise: 23:01</t>
  </si>
  <si>
    <t>Twi N: 5:58</t>
  </si>
  <si>
    <t>Moonset: 12:01</t>
  </si>
  <si>
    <t>Moonrise: 23:27</t>
  </si>
  <si>
    <t>Moonset: 13:06</t>
  </si>
  <si>
    <t>Moonset: 14:09</t>
  </si>
  <si>
    <t>Moonrise: 0:24</t>
  </si>
  <si>
    <t>Twi N: 6:01</t>
  </si>
  <si>
    <t>Moonset: 15:11</t>
  </si>
  <si>
    <t>Moonset: 16:11</t>
  </si>
  <si>
    <t>Moonrise: 1:37</t>
  </si>
  <si>
    <t>Moonset: 17:08</t>
  </si>
  <si>
    <t>Twi N: 21:31</t>
  </si>
  <si>
    <t>Moonrise: 2:22</t>
  </si>
  <si>
    <t>Twi N: 6:04</t>
  </si>
  <si>
    <t>Moonset: 18:00</t>
  </si>
  <si>
    <t>Moonrise: 3:14</t>
  </si>
  <si>
    <t>Moonset: 18:46</t>
  </si>
  <si>
    <t>Moonrise: 4:10</t>
  </si>
  <si>
    <t>Moonset: 19:26</t>
  </si>
  <si>
    <t>Moonrise: 5:11</t>
  </si>
  <si>
    <t>Moonset: 20:01</t>
  </si>
  <si>
    <t>Moonrise: 6:12</t>
  </si>
  <si>
    <t>Moonset: 20:31</t>
  </si>
  <si>
    <t>Moonrise: 7:15</t>
  </si>
  <si>
    <t>Moonrise: 8:17</t>
  </si>
  <si>
    <t>Moonset: 21:22</t>
  </si>
  <si>
    <t>Moonrise: 9:19</t>
  </si>
  <si>
    <t>Moonset: 21:46</t>
  </si>
  <si>
    <t>Moonrise: 10:22</t>
  </si>
  <si>
    <t>Moonset: 22:10</t>
  </si>
  <si>
    <t>Moonrise: 11:27</t>
  </si>
  <si>
    <t>Moonset: 22:37</t>
  </si>
  <si>
    <t>Moonrise: 12:35</t>
  </si>
  <si>
    <t>Moonset: 23:07</t>
  </si>
  <si>
    <t>Sunrise: 7:14</t>
  </si>
  <si>
    <t>Moonrise: 13:45</t>
  </si>
  <si>
    <t>Moonset: 23:43</t>
  </si>
  <si>
    <t>Twi N: 6:17</t>
  </si>
  <si>
    <t>Moonrise: 16:07</t>
  </si>
  <si>
    <t>Moonset: 1:21</t>
  </si>
  <si>
    <t>Moonrise: 17:11</t>
  </si>
  <si>
    <t>Moonset: 2:26</t>
  </si>
  <si>
    <t>Moonrise: 18:07</t>
  </si>
  <si>
    <t>Moonset: 3:38</t>
  </si>
  <si>
    <t>Twi N: 6:20</t>
  </si>
  <si>
    <t>Moonrise: 18:54</t>
  </si>
  <si>
    <t>Moonset: 4:54</t>
  </si>
  <si>
    <t>Moonrise: 19:32</t>
  </si>
  <si>
    <t>Moonrise: 20:05</t>
  </si>
  <si>
    <t>Moonset: 7:23</t>
  </si>
  <si>
    <t>Moonrise: 20:33</t>
  </si>
  <si>
    <t>Moonset: 8:33</t>
  </si>
  <si>
    <t>Moonrise: 21:00</t>
  </si>
  <si>
    <t>Twi N: 6:25</t>
  </si>
  <si>
    <t>Moonset: 9:41</t>
  </si>
  <si>
    <t>Moonrise: 21:26</t>
  </si>
  <si>
    <t>Moonset: 10:48</t>
  </si>
  <si>
    <t>Moonrise: 21:53</t>
  </si>
  <si>
    <t>Moonset: 11:54</t>
  </si>
  <si>
    <t>Moonrise: 22:22</t>
  </si>
  <si>
    <t>Moonset: 12:58</t>
  </si>
  <si>
    <t>Moonrise: 22:54</t>
  </si>
  <si>
    <t>Sunrise: 7:26</t>
  </si>
  <si>
    <t>Moonset: 14:00</t>
  </si>
  <si>
    <t>Moonrise: 23:32</t>
  </si>
  <si>
    <t>Moonset: 15:00</t>
  </si>
  <si>
    <t>Moonrise: 0:15</t>
  </si>
  <si>
    <t>Moonset: 15:54</t>
  </si>
  <si>
    <t>Moonrise: 1:05</t>
  </si>
  <si>
    <t>Moonset: 16:43</t>
  </si>
  <si>
    <t>Sunset: 19:47</t>
  </si>
  <si>
    <t>Twi N: 20:44</t>
  </si>
  <si>
    <t>Moonrise: 2:00</t>
  </si>
  <si>
    <t>Moonset: 17:25</t>
  </si>
  <si>
    <t>Sunset: 19:45</t>
  </si>
  <si>
    <t>Twi N: 20:42</t>
  </si>
  <si>
    <t>Moonset: 18:01</t>
  </si>
  <si>
    <t>Sunset: 19:44</t>
  </si>
  <si>
    <t>Twi N: 20:41</t>
  </si>
  <si>
    <t>Moonrise: 4:00</t>
  </si>
  <si>
    <t>Sunset: 19:42</t>
  </si>
  <si>
    <t>Twi N: 20:39</t>
  </si>
  <si>
    <t>Moonrise: 5:03</t>
  </si>
  <si>
    <t>Moonset: 19:00</t>
  </si>
  <si>
    <t>Sunset: 19:41</t>
  </si>
  <si>
    <t>Twi N: 20:38</t>
  </si>
  <si>
    <t>Moonrise: 6:05</t>
  </si>
  <si>
    <t>Sunset: 19:39</t>
  </si>
  <si>
    <t>Twi N: 20:36</t>
  </si>
  <si>
    <t>Moonrise: 7:08</t>
  </si>
  <si>
    <t>Sunset: 19:38</t>
  </si>
  <si>
    <t>Moonset: 19:49</t>
  </si>
  <si>
    <t>Twi N: 20:34</t>
  </si>
  <si>
    <t>Moonrise: 8:12</t>
  </si>
  <si>
    <t>Sunset: 19:36</t>
  </si>
  <si>
    <t>Moonset: 20:14</t>
  </si>
  <si>
    <t>Twi N: 20:33</t>
  </si>
  <si>
    <t>Moonrise: 9:18</t>
  </si>
  <si>
    <t>Sunset: 19:34</t>
  </si>
  <si>
    <t>Twi N: 20:31</t>
  </si>
  <si>
    <t>Moonset: 20:40</t>
  </si>
  <si>
    <t>Sunset: 19:33</t>
  </si>
  <si>
    <t>Twi N: 20:30</t>
  </si>
  <si>
    <t>Moonset: 21:09</t>
  </si>
  <si>
    <t>Moonrise: 11:36</t>
  </si>
  <si>
    <t>Sunset: 19:31</t>
  </si>
  <si>
    <t>Twi N: 20:28</t>
  </si>
  <si>
    <t>Moonset: 21:43</t>
  </si>
  <si>
    <t>Moonrise: 12:48</t>
  </si>
  <si>
    <t>Sunset: 19:30</t>
  </si>
  <si>
    <t>Twi N: 20:26</t>
  </si>
  <si>
    <t>Moonset: 22:25</t>
  </si>
  <si>
    <t>Moonrise: 13:59</t>
  </si>
  <si>
    <t>Sunset: 19:28</t>
  </si>
  <si>
    <t>Twi N: 20:25</t>
  </si>
  <si>
    <t>Moonset: 23:15</t>
  </si>
  <si>
    <t>Moonrise: 15:05</t>
  </si>
  <si>
    <t>Sunset: 19:27</t>
  </si>
  <si>
    <t>Twi N: 20:23</t>
  </si>
  <si>
    <t>Moonrise: 16:03</t>
  </si>
  <si>
    <t>Sunset: 19:25</t>
  </si>
  <si>
    <t>Twi N: 20:22</t>
  </si>
  <si>
    <t>Moonset: 1:24</t>
  </si>
  <si>
    <t>Moonrise: 16:51</t>
  </si>
  <si>
    <t>Sunset: 19:24</t>
  </si>
  <si>
    <t>Twi N: 20:20</t>
  </si>
  <si>
    <t>Moonset: 2:37</t>
  </si>
  <si>
    <t>Sunset: 19:22</t>
  </si>
  <si>
    <t>Twi N: 20:19</t>
  </si>
  <si>
    <t>Moonrise: 18:04</t>
  </si>
  <si>
    <t>Sunset: 19:21</t>
  </si>
  <si>
    <t>Twi N: 20:17</t>
  </si>
  <si>
    <t>Moonset: 5:03</t>
  </si>
  <si>
    <t>Moonrise: 18:33</t>
  </si>
  <si>
    <t>Sunset: 19:19</t>
  </si>
  <si>
    <t>Twi N: 20:16</t>
  </si>
  <si>
    <t>Moonset: 6:13</t>
  </si>
  <si>
    <t>Moonrise: 18:59</t>
  </si>
  <si>
    <t>Sunset: 19:18</t>
  </si>
  <si>
    <t>Twi N: 20:14</t>
  </si>
  <si>
    <t>Moonset: 7:22</t>
  </si>
  <si>
    <t>Sunset: 19:16</t>
  </si>
  <si>
    <t>Twi N: 20:13</t>
  </si>
  <si>
    <t>Moonset: 8:29</t>
  </si>
  <si>
    <t>Sunset: 19:15</t>
  </si>
  <si>
    <t>Moonrise: 19:51</t>
  </si>
  <si>
    <t>Twi N: 20:11</t>
  </si>
  <si>
    <t>Moonset: 9:35</t>
  </si>
  <si>
    <t>Sunset: 19:13</t>
  </si>
  <si>
    <t>Twi N: 20:10</t>
  </si>
  <si>
    <t>Moonrise: 20:19</t>
  </si>
  <si>
    <t>Moonset: 10:41</t>
  </si>
  <si>
    <t>Sunset: 19:12</t>
  </si>
  <si>
    <t>Twi N: 20:09</t>
  </si>
  <si>
    <t>Moonrise: 20:50</t>
  </si>
  <si>
    <t>Sunset: 19:10</t>
  </si>
  <si>
    <t>Twi N: 20:07</t>
  </si>
  <si>
    <t>Sunset: 19:09</t>
  </si>
  <si>
    <t>Twi N: 20:06</t>
  </si>
  <si>
    <t>Moonset: 13:45</t>
  </si>
  <si>
    <t>Sunset: 19:08</t>
  </si>
  <si>
    <t>Twi N: 20:04</t>
  </si>
  <si>
    <t>Moonrise: 22:55</t>
  </si>
  <si>
    <t>Moonset: 14:37</t>
  </si>
  <si>
    <t>Sunset: 19:06</t>
  </si>
  <si>
    <t>Twi N: 20:03</t>
  </si>
  <si>
    <t>Sunset: 19:05</t>
  </si>
  <si>
    <t>Twi N: 20:02</t>
  </si>
  <si>
    <t>Moonrise: 0:46</t>
  </si>
  <si>
    <t>Moonset: 15:59</t>
  </si>
  <si>
    <t>Sunset: 19:03</t>
  </si>
  <si>
    <t>Twi N: 20:00</t>
  </si>
  <si>
    <t>Moonrise: 1:46</t>
  </si>
  <si>
    <t>Moonset: 16:32</t>
  </si>
  <si>
    <t>Sunset: 19:02</t>
  </si>
  <si>
    <t>Twi N: 19:59</t>
  </si>
  <si>
    <t>Moonrise: 2:48</t>
  </si>
  <si>
    <t>Moonset: 17:01</t>
  </si>
  <si>
    <t>Sunset: 19:01</t>
  </si>
  <si>
    <t>Twi N: 19:58</t>
  </si>
  <si>
    <t>Moonrise: 3:50</t>
  </si>
  <si>
    <t>Sunset: 18:59</t>
  </si>
  <si>
    <t>Twi N: 19:57</t>
  </si>
  <si>
    <t>Twi N: 7:01</t>
  </si>
  <si>
    <t>Moonset: 17:51</t>
  </si>
  <si>
    <t>Sunset: 18:58</t>
  </si>
  <si>
    <t>Twi N: 19:55</t>
  </si>
  <si>
    <t>Moonrise: 5:56</t>
  </si>
  <si>
    <t>Moonset: 18:15</t>
  </si>
  <si>
    <t>Sunset: 18:57</t>
  </si>
  <si>
    <t>Twi N: 19:54</t>
  </si>
  <si>
    <t>Moonrise: 7:01</t>
  </si>
  <si>
    <t>Twi N: 7:03</t>
  </si>
  <si>
    <t>Sunrise: 8:01</t>
  </si>
  <si>
    <t>Moonset: 18:41</t>
  </si>
  <si>
    <t>Sunset: 18:55</t>
  </si>
  <si>
    <t>Twi N: 19:53</t>
  </si>
  <si>
    <t>Twi N: 7:04</t>
  </si>
  <si>
    <t>Sunrise: 8:02</t>
  </si>
  <si>
    <t>Moonrise: 8:09</t>
  </si>
  <si>
    <t>Sunset: 18:54</t>
  </si>
  <si>
    <t>Moonset: 19:09</t>
  </si>
  <si>
    <t>Twi N: 19:52</t>
  </si>
  <si>
    <t>Twi N: 7:05</t>
  </si>
  <si>
    <t>Sunrise: 8:03</t>
  </si>
  <si>
    <t>Sunset: 18:53</t>
  </si>
  <si>
    <t>Moonset: 19:42</t>
  </si>
  <si>
    <t>Twi N: 19:51</t>
  </si>
  <si>
    <t>Twi N: 7:06</t>
  </si>
  <si>
    <t>Sunrise: 8:04</t>
  </si>
  <si>
    <t>Moonrise: 10:34</t>
  </si>
  <si>
    <t>Sunset: 18:52</t>
  </si>
  <si>
    <t>Twi N: 19:49</t>
  </si>
  <si>
    <t>Moonset: 20:21</t>
  </si>
  <si>
    <t>Twi N: 7:07</t>
  </si>
  <si>
    <t>Sunrise: 8:05</t>
  </si>
  <si>
    <t>Moonrise: 11:48</t>
  </si>
  <si>
    <t>Sunset: 18:51</t>
  </si>
  <si>
    <t>Twi N: 19:48</t>
  </si>
  <si>
    <t>Twi N: 7:08</t>
  </si>
  <si>
    <t>Sunrise: 8:06</t>
  </si>
  <si>
    <t>Moonrise: 12:57</t>
  </si>
  <si>
    <t>Sunset: 18:49</t>
  </si>
  <si>
    <t>Twi N: 19:47</t>
  </si>
  <si>
    <t>Moonset: 22:08</t>
  </si>
  <si>
    <t>Twi N: 7:09</t>
  </si>
  <si>
    <t>Sunrise: 8:07</t>
  </si>
  <si>
    <t>Sunset: 18:48</t>
  </si>
  <si>
    <t>Twi N: 19:46</t>
  </si>
  <si>
    <t>Moonset: 23:16</t>
  </si>
  <si>
    <t>Twi N: 7:10</t>
  </si>
  <si>
    <t>Sunrise: 8:08</t>
  </si>
  <si>
    <t>Moonrise: 14:50</t>
  </si>
  <si>
    <t>Twi N: 19:45</t>
  </si>
  <si>
    <t>Moonset: 0:28</t>
  </si>
  <si>
    <t>Twi N: 7:11</t>
  </si>
  <si>
    <t>Sunrise: 8:09</t>
  </si>
  <si>
    <t>Moonrise: 15:32</t>
  </si>
  <si>
    <t>Moonset: 1:41</t>
  </si>
  <si>
    <t>Twi N: 7:12</t>
  </si>
  <si>
    <t>Sunrise: 8:10</t>
  </si>
  <si>
    <t>Moonset: 2:52</t>
  </si>
  <si>
    <t>Twi N: 7:13</t>
  </si>
  <si>
    <t>Sunrise: 8:11</t>
  </si>
  <si>
    <t>Moonrise: 16:36</t>
  </si>
  <si>
    <t>Moonset: 4:01</t>
  </si>
  <si>
    <t>Twi N: 7:14</t>
  </si>
  <si>
    <t>Sunrise: 8:12</t>
  </si>
  <si>
    <t>Moonrise: 17:02</t>
  </si>
  <si>
    <t>Twi N: 7:15</t>
  </si>
  <si>
    <t>Sunrise: 8:13</t>
  </si>
  <si>
    <t>Moonrise: 17:27</t>
  </si>
  <si>
    <t>DST Ends</t>
  </si>
  <si>
    <t>Moonset: 5:14</t>
  </si>
  <si>
    <t>Moonrise: 16:52</t>
  </si>
  <si>
    <t>Moonset: 6:20</t>
  </si>
  <si>
    <t>Moonrise: 17:19</t>
  </si>
  <si>
    <t>Moonrise: 17:48</t>
  </si>
  <si>
    <t>Moonset: 8:30</t>
  </si>
  <si>
    <t>Moonrise: 18:22</t>
  </si>
  <si>
    <t>Moonset: 9:34</t>
  </si>
  <si>
    <t>Twi N: 18:36</t>
  </si>
  <si>
    <t>Moonrise: 19:01</t>
  </si>
  <si>
    <t>Moonset: 10:34</t>
  </si>
  <si>
    <t>Twi N: 18:35</t>
  </si>
  <si>
    <t>Moonrise: 19:47</t>
  </si>
  <si>
    <t>Moonset: 11:29</t>
  </si>
  <si>
    <t>Moonset: 12:16</t>
  </si>
  <si>
    <t>Sunset: 17:34</t>
  </si>
  <si>
    <t>Twi N: 18:34</t>
  </si>
  <si>
    <t>Moonrise: 21:34</t>
  </si>
  <si>
    <t>Moonset: 12:57</t>
  </si>
  <si>
    <t>Twi N: 18:33</t>
  </si>
  <si>
    <t>Moonrise: 22:33</t>
  </si>
  <si>
    <t>Moonset: 13:31</t>
  </si>
  <si>
    <t>Sunset: 17:33</t>
  </si>
  <si>
    <t>Moonrise: 23:34</t>
  </si>
  <si>
    <t>Moonset: 14:01</t>
  </si>
  <si>
    <t>Sunset: 17:32</t>
  </si>
  <si>
    <t>Twi N: 18:32</t>
  </si>
  <si>
    <t>Moonrise: 0:35</t>
  </si>
  <si>
    <t>Moonset: 14:27</t>
  </si>
  <si>
    <t>Sunset: 17:31</t>
  </si>
  <si>
    <t>Twi N: 18:31</t>
  </si>
  <si>
    <t>Moonrise: 1:36</t>
  </si>
  <si>
    <t>Moonset: 14:51</t>
  </si>
  <si>
    <t>Moonrise: 2:38</t>
  </si>
  <si>
    <t>Moonset: 15:15</t>
  </si>
  <si>
    <t>Sunset: 17:30</t>
  </si>
  <si>
    <t>Twi N: 18:30</t>
  </si>
  <si>
    <t>Moonrise: 3:41</t>
  </si>
  <si>
    <t>Moonset: 15:39</t>
  </si>
  <si>
    <t>Moonrise: 4:47</t>
  </si>
  <si>
    <t>Moonset: 16:06</t>
  </si>
  <si>
    <t>Sunset: 17:29</t>
  </si>
  <si>
    <t>Twi N: 18:29</t>
  </si>
  <si>
    <t>Moonrise: 5:57</t>
  </si>
  <si>
    <t>Moonset: 16:37</t>
  </si>
  <si>
    <t>Sunset: 17:28</t>
  </si>
  <si>
    <t>Moonrise: 7:11</t>
  </si>
  <si>
    <t>Moonset: 17:14</t>
  </si>
  <si>
    <t>Moonrise: 8:27</t>
  </si>
  <si>
    <t>Sunset: 17:27</t>
  </si>
  <si>
    <t>Moonset: 17:59</t>
  </si>
  <si>
    <t>Twi N: 18:28</t>
  </si>
  <si>
    <t>Moonrise: 9:41</t>
  </si>
  <si>
    <t>Moonset: 18:56</t>
  </si>
  <si>
    <t>Moonrise: 10:49</t>
  </si>
  <si>
    <t>Moonset: 20:02</t>
  </si>
  <si>
    <t>Moonrise: 11:46</t>
  </si>
  <si>
    <t>Sunset: 17:26</t>
  </si>
  <si>
    <t>Twi N: 18:27</t>
  </si>
  <si>
    <t>Moonset: 21:16</t>
  </si>
  <si>
    <t>Moonrise: 12:32</t>
  </si>
  <si>
    <t>Moonset: 22:31</t>
  </si>
  <si>
    <t>Moonrise: 13:09</t>
  </si>
  <si>
    <t>Moonset: 23:44</t>
  </si>
  <si>
    <t>Moonrise: 13:40</t>
  </si>
  <si>
    <t>Sunset: 17:25</t>
  </si>
  <si>
    <t>Moonset: 0:54</t>
  </si>
  <si>
    <t>Moonrise: 14:07</t>
  </si>
  <si>
    <t>Twi N: 18:26</t>
  </si>
  <si>
    <t>Moonset: 2:01</t>
  </si>
  <si>
    <t>Moonrise: 14:32</t>
  </si>
  <si>
    <t>Moonset: 3:06</t>
  </si>
  <si>
    <t>Moonrise: 14:57</t>
  </si>
  <si>
    <t>Moonset: 4:10</t>
  </si>
  <si>
    <t>Moonset: 5:15</t>
  </si>
  <si>
    <t>Moonrise: 15:50</t>
  </si>
  <si>
    <t>Sunset: 17:24</t>
  </si>
  <si>
    <t>Moonrise: 16:21</t>
  </si>
  <si>
    <t>Moonrise: 17:41</t>
  </si>
  <si>
    <t>Moonset: 9:21</t>
  </si>
  <si>
    <t>Moonrise: 18:30</t>
  </si>
  <si>
    <t>Moonrise: 20:23</t>
  </si>
  <si>
    <t>Moonset: 11:30</t>
  </si>
  <si>
    <t>Moonrise: 21:23</t>
  </si>
  <si>
    <t>Moonrise: 22:23</t>
  </si>
  <si>
    <t>Moonset: 12:28</t>
  </si>
  <si>
    <t>Moonrise: 23:23</t>
  </si>
  <si>
    <t>Moonset: 12:53</t>
  </si>
  <si>
    <t>Moonrise: 0:23</t>
  </si>
  <si>
    <t>Moonset: 13:16</t>
  </si>
  <si>
    <t>Moonset: 13:39</t>
  </si>
  <si>
    <t>Moonset: 14:03</t>
  </si>
  <si>
    <t>Moonrise: 3:34</t>
  </si>
  <si>
    <t>Moonset: 14:31</t>
  </si>
  <si>
    <t>Moonrise: 4:45</t>
  </si>
  <si>
    <t>Moonset: 15:04</t>
  </si>
  <si>
    <t>Moonset: 15:46</t>
  </si>
  <si>
    <t>Moonrise: 8:28</t>
  </si>
  <si>
    <t>Moonset: 17:41</t>
  </si>
  <si>
    <t>Moonrise: 9:32</t>
  </si>
  <si>
    <t>Moonset: 18:54</t>
  </si>
  <si>
    <t>Moonset: 20:11</t>
  </si>
  <si>
    <t>Moonrise: 11:07</t>
  </si>
  <si>
    <t>Moonset: 21:29</t>
  </si>
  <si>
    <t>Moonset: 22:42</t>
  </si>
  <si>
    <t>Moonrise: 12:10</t>
  </si>
  <si>
    <t>Moonrise: 12:37</t>
  </si>
  <si>
    <t>Moonset: 0:59</t>
  </si>
  <si>
    <t>Moonrise: 13:01</t>
  </si>
  <si>
    <t>Moonset: 2:04</t>
  </si>
  <si>
    <t>Moonrise: 13:26</t>
  </si>
  <si>
    <t>Moonset: 3:08</t>
  </si>
  <si>
    <t>Moonrise: 13:53</t>
  </si>
  <si>
    <t>Moonset: 4:12</t>
  </si>
  <si>
    <t>Moonrise: 14:23</t>
  </si>
  <si>
    <t>Moonrise: 14:58</t>
  </si>
  <si>
    <t>Moonset: 6:17</t>
  </si>
  <si>
    <t>Moonrise: 15:38</t>
  </si>
  <si>
    <t>Moonset: 7:14</t>
  </si>
  <si>
    <t>Moonrise: 16:25</t>
  </si>
  <si>
    <t>Moonset: 8:07</t>
  </si>
  <si>
    <t>Moonrise: 17:18</t>
  </si>
  <si>
    <t>Moonset: 8:52</t>
  </si>
  <si>
    <t>Moonrise: 18:16</t>
  </si>
  <si>
    <t>Moonset: 9:30</t>
  </si>
  <si>
    <t>Moonrise: 19:15</t>
  </si>
  <si>
    <t>Moonset: 10:03</t>
  </si>
  <si>
    <t>Moonrise: 20:15</t>
  </si>
  <si>
    <t>Moonset: 10:31</t>
  </si>
  <si>
    <t>Moonrise: 21:15</t>
  </si>
  <si>
    <t>Moonset: 10:56</t>
  </si>
  <si>
    <t>Moonrise: 22:14</t>
  </si>
  <si>
    <t>Moonset: 11:19</t>
  </si>
  <si>
    <t>Moonrise: 23:14</t>
  </si>
  <si>
    <t>Moonset: 11:41</t>
  </si>
  <si>
    <t>Moonrise: 0:14</t>
  </si>
  <si>
    <t>Moonset: 12:04</t>
  </si>
  <si>
    <t>Moonrise: 1:17</t>
  </si>
  <si>
    <t>Moonset: 12:29</t>
  </si>
  <si>
    <t>Moonset: 12:59</t>
  </si>
  <si>
    <t>Moonrise: 3:35</t>
  </si>
  <si>
    <t>Moonset: 13:34</t>
  </si>
  <si>
    <t>Moonrise: 4:49</t>
  </si>
  <si>
    <t>Moonset: 14:20</t>
  </si>
  <si>
    <t>Moonrise: 6:02</t>
  </si>
  <si>
    <t>Moonset: 15:16</t>
  </si>
  <si>
    <t>Moonset: 17:42</t>
  </si>
  <si>
    <t>Moonrise: 8:57</t>
  </si>
  <si>
    <t>Moonset: 19:02</t>
  </si>
  <si>
    <t>Moonrise: 9:36</t>
  </si>
  <si>
    <t>Moonset: 20:20</t>
  </si>
  <si>
    <t>Moonrise: 10:09</t>
  </si>
  <si>
    <t>Moonset: 21:35</t>
  </si>
  <si>
    <t>Moonrise: 10:37</t>
  </si>
  <si>
    <t>Moonset: 22:45</t>
  </si>
  <si>
    <t>Moonrise: 11:03</t>
  </si>
  <si>
    <t>Sunset: 17:59</t>
  </si>
  <si>
    <t>Moonset: 23:53</t>
  </si>
  <si>
    <t>Moonrise: 11:29</t>
  </si>
  <si>
    <t>Moonrise: 11:55</t>
  </si>
  <si>
    <t>Moonrise: 12:24</t>
  </si>
  <si>
    <t>Moonrise: 12:58</t>
  </si>
  <si>
    <t>Moonset: 4:11</t>
  </si>
  <si>
    <t>Go / No Go Criteria</t>
  </si>
  <si>
    <t>RED</t>
  </si>
  <si>
    <t>AMBER</t>
  </si>
  <si>
    <t>BLOCK 1</t>
  </si>
  <si>
    <t>BLOCK 2</t>
  </si>
  <si>
    <t>BLOCK 3</t>
  </si>
  <si>
    <t>BLOCK 4</t>
  </si>
  <si>
    <t>II</t>
  </si>
  <si>
    <t>Winds:</t>
  </si>
  <si>
    <t>25 knot crosswind</t>
  </si>
  <si>
    <t>Icing:</t>
  </si>
  <si>
    <t>Moderate or greater</t>
  </si>
  <si>
    <t>Turbulence:</t>
  </si>
  <si>
    <t>Severe</t>
  </si>
  <si>
    <t>Visibility:</t>
  </si>
  <si>
    <t>3/4 miles</t>
  </si>
  <si>
    <t>Ceiling:</t>
  </si>
  <si>
    <t>500 ft</t>
  </si>
  <si>
    <t>Thunderstorms:</t>
  </si>
  <si>
    <t>Avoid all</t>
  </si>
  <si>
    <t>VCTS</t>
  </si>
  <si>
    <t>OTHER</t>
  </si>
  <si>
    <t>RL, EVAL</t>
  </si>
  <si>
    <t>RANGE:</t>
  </si>
  <si>
    <t>45 knots</t>
  </si>
  <si>
    <t>KFTK temp, etc:</t>
  </si>
  <si>
    <t>G</t>
  </si>
  <si>
    <t>OVERALL:</t>
  </si>
  <si>
    <t>2 miles</t>
  </si>
  <si>
    <t>3 miles for RL training, Eval flight</t>
  </si>
  <si>
    <t>800 ft</t>
  </si>
  <si>
    <t>1,000 ft for RL training, Eval flight</t>
  </si>
  <si>
    <t>Avoid</t>
  </si>
  <si>
    <t>MED</t>
  </si>
  <si>
    <t>45 knots (20 for hoist ops), 15 knots (amber) (35KTS MEDEVAC)</t>
  </si>
  <si>
    <t>3 miles (night) (&lt;2SM MEDEVAC)</t>
  </si>
  <si>
    <t>2 miles (day) (&lt;1SM MEDEVAC)</t>
  </si>
  <si>
    <t>1000 ft (night) (&lt;700FT MEDEVAC)</t>
  </si>
  <si>
    <t>800 ft (day) (&lt;500FT MEDEVAC)</t>
  </si>
  <si>
    <t>Temperature:</t>
  </si>
  <si>
    <t>Less than -29F, greater than 90F (amber) (95F MEDEVAC)</t>
  </si>
  <si>
    <t>Moon:</t>
  </si>
  <si>
    <t>Illum. &lt; 25% (MEDEVAC only), angle &lt; 30 degrees (MEDEVAC only) (amber)</t>
  </si>
  <si>
    <t>I</t>
  </si>
  <si>
    <t>15 knots sustained, 25 knots gusts at ground level.</t>
  </si>
  <si>
    <t>Light or greater</t>
  </si>
  <si>
    <t>Light, occasional moderate (moderate for Class I aircraft).</t>
  </si>
  <si>
    <t>3 miles</t>
  </si>
  <si>
    <t>Clouds (under 10K ft MSL):</t>
  </si>
  <si>
    <t>1,000 ft above clouds, 500 ft below clouds, 2,000 lateral clearance of clouds</t>
  </si>
  <si>
    <t>CIGS: 6000+=green, &lt;4000=red, 4-6K=amber</t>
  </si>
  <si>
    <t>Relative humidity:</t>
  </si>
  <si>
    <t>95% at all flight levels</t>
  </si>
  <si>
    <t>above 50C (122F), below -20C (-4F)</t>
  </si>
  <si>
    <t>Density altitude:</t>
  </si>
  <si>
    <t>9,000 ft or greater</t>
  </si>
  <si>
    <t>Precipitation</t>
  </si>
  <si>
    <t>occuring</t>
  </si>
  <si>
    <t>RA, etc</t>
  </si>
  <si>
    <t>VCSH</t>
  </si>
  <si>
    <t>(NA)</t>
  </si>
  <si>
    <t>50 knots</t>
  </si>
  <si>
    <t>less than 15F</t>
  </si>
  <si>
    <t>Wind Chill</t>
  </si>
  <si>
    <t>less than 0F</t>
  </si>
  <si>
    <t>Wet Bulb Globe Temp:</t>
  </si>
  <si>
    <t>90F or greater</t>
  </si>
  <si>
    <t>Lightning:</t>
  </si>
  <si>
    <t>on reservation</t>
  </si>
  <si>
    <t>1/4 miles or less</t>
  </si>
  <si>
    <t>20 knots</t>
  </si>
  <si>
    <t>Light</t>
  </si>
  <si>
    <t>Light (light, occasional moderate for Class I aircraft).</t>
  </si>
  <si>
    <t>2 1/2 miles</t>
  </si>
  <si>
    <t>&gt;45 knots, &gt;10 knots (amber)</t>
  </si>
  <si>
    <t>Severe or greater</t>
  </si>
  <si>
    <t>? 3 miles (amber)</t>
  </si>
  <si>
    <t>? 1000 ft (amber)</t>
  </si>
  <si>
    <t>Less than -29F, greater than 90F (amber)</t>
  </si>
  <si>
    <t>&gt;35 knots</t>
  </si>
  <si>
    <t>Moderate or greater (Moderate ocnl severe for Class I aircraft)</t>
  </si>
  <si>
    <t>III</t>
  </si>
  <si>
    <t>30KT (red)</t>
  </si>
  <si>
    <t>X Winds (RWY 18/36):</t>
  </si>
  <si>
    <t>15KT or greater (red)  13KT or greater (amber)</t>
  </si>
  <si>
    <t>Gust Spread:</t>
  </si>
  <si>
    <t>20KT</t>
  </si>
  <si>
    <t>Severe (moderate ocnl severe for Class III aircraft)</t>
  </si>
  <si>
    <t>3 miles (Red)</t>
  </si>
  <si>
    <t>2500ft (Red) 3000ft (Amber)</t>
  </si>
  <si>
    <t>Above 95F (red)</t>
  </si>
  <si>
    <t>"Normal"</t>
  </si>
  <si>
    <t>Extreme</t>
  </si>
  <si>
    <t>High</t>
  </si>
  <si>
    <t>Low</t>
  </si>
  <si>
    <t>U1</t>
  </si>
  <si>
    <t>U2</t>
  </si>
  <si>
    <t>M1</t>
  </si>
  <si>
    <t>M2</t>
  </si>
  <si>
    <t>Airfield</t>
  </si>
  <si>
    <t>WBGT CALCULATIONS:</t>
  </si>
  <si>
    <t>direct sunlight (lx)</t>
  </si>
  <si>
    <t>direct sunlight to ground (lx)</t>
  </si>
  <si>
    <t>Wind (knots)</t>
  </si>
  <si>
    <t>Visibility (SM)</t>
  </si>
  <si>
    <t>Present Weather</t>
  </si>
  <si>
    <t>Ceiling (AGL)</t>
  </si>
  <si>
    <t>Dew Pt.</t>
  </si>
  <si>
    <t>Icing</t>
  </si>
  <si>
    <t>Turbulence</t>
  </si>
  <si>
    <t>Go / No Go</t>
  </si>
  <si>
    <t>VIS coeff (c)</t>
  </si>
  <si>
    <t>MIDDAY:</t>
  </si>
  <si>
    <t>PREDOM</t>
  </si>
  <si>
    <t>TEMPO</t>
  </si>
  <si>
    <t>GROUP 1</t>
  </si>
  <si>
    <t>GROUP 2</t>
  </si>
  <si>
    <t>GROUP 3</t>
  </si>
  <si>
    <t>H-60 MED</t>
  </si>
  <si>
    <t>GROUND</t>
  </si>
  <si>
    <t>SURFACES</t>
  </si>
  <si>
    <t>DAY 1:</t>
  </si>
  <si>
    <t>M MAX</t>
  </si>
  <si>
    <t>M RISE</t>
  </si>
  <si>
    <t>M SET</t>
  </si>
  <si>
    <t>DAY 2:</t>
  </si>
  <si>
    <t>HOUR()</t>
  </si>
  <si>
    <t>#</t>
  </si>
  <si>
    <t>tempo</t>
  </si>
  <si>
    <t>Tempo</t>
  </si>
  <si>
    <t>(VC)TS</t>
  </si>
  <si>
    <t>PRECIP?</t>
  </si>
  <si>
    <t>(ins)</t>
  </si>
  <si>
    <t>Ints</t>
  </si>
  <si>
    <t>Base</t>
  </si>
  <si>
    <t>Top</t>
  </si>
  <si>
    <t>RL</t>
  </si>
  <si>
    <t>OTR</t>
  </si>
  <si>
    <t>Tw</t>
  </si>
  <si>
    <t>Tww</t>
  </si>
  <si>
    <t>Ta</t>
  </si>
  <si>
    <t>Taw</t>
  </si>
  <si>
    <t>Td</t>
  </si>
  <si>
    <t>e</t>
  </si>
  <si>
    <t>Tg</t>
  </si>
  <si>
    <t>Tgw</t>
  </si>
  <si>
    <t>Tgws</t>
  </si>
  <si>
    <t>MAX T</t>
  </si>
  <si>
    <t>COSH</t>
  </si>
  <si>
    <t>000</t>
  </si>
  <si>
    <t>CALM</t>
  </si>
  <si>
    <t>010</t>
  </si>
  <si>
    <t>NORTH</t>
  </si>
  <si>
    <t>0</t>
  </si>
  <si>
    <t>near</t>
  </si>
  <si>
    <t>020</t>
  </si>
  <si>
    <t>lower</t>
  </si>
  <si>
    <t>030</t>
  </si>
  <si>
    <t>NORTHEAST</t>
  </si>
  <si>
    <t>2</t>
  </si>
  <si>
    <t>040</t>
  </si>
  <si>
    <t>mid</t>
  </si>
  <si>
    <t>050</t>
  </si>
  <si>
    <t>4</t>
  </si>
  <si>
    <t>060</t>
  </si>
  <si>
    <t>5</t>
  </si>
  <si>
    <t>070</t>
  </si>
  <si>
    <t>EAST</t>
  </si>
  <si>
    <t>080</t>
  </si>
  <si>
    <t>090</t>
  </si>
  <si>
    <t>8</t>
  </si>
  <si>
    <t>upper</t>
  </si>
  <si>
    <t>100</t>
  </si>
  <si>
    <t>9</t>
  </si>
  <si>
    <t>110</t>
  </si>
  <si>
    <t>120</t>
  </si>
  <si>
    <t>SOUTHEAST</t>
  </si>
  <si>
    <t>130</t>
  </si>
  <si>
    <t>140</t>
  </si>
  <si>
    <t>150</t>
  </si>
  <si>
    <t>160</t>
  </si>
  <si>
    <t>SOUTH</t>
  </si>
  <si>
    <t>170</t>
  </si>
  <si>
    <t>200</t>
  </si>
  <si>
    <t>210</t>
  </si>
  <si>
    <t>SOUTHWEST</t>
  </si>
  <si>
    <t>220</t>
  </si>
  <si>
    <t>230</t>
  </si>
  <si>
    <t>240</t>
  </si>
  <si>
    <t>250</t>
  </si>
  <si>
    <t>WEST</t>
  </si>
  <si>
    <t>260</t>
  </si>
  <si>
    <t>290</t>
  </si>
  <si>
    <t>300</t>
  </si>
  <si>
    <t>NORTHWEST</t>
  </si>
  <si>
    <t>320</t>
  </si>
  <si>
    <t>340</t>
  </si>
  <si>
    <t>350</t>
  </si>
  <si>
    <t>360</t>
  </si>
  <si>
    <t>VRB</t>
  </si>
  <si>
    <t>VARIABLE</t>
  </si>
  <si>
    <t>360?</t>
  </si>
  <si>
    <t xml:space="preserve">KFTK   FORT KNOX             GFS LAMP 1130 UTC  11/04/2019                      </t>
  </si>
  <si>
    <t xml:space="preserve"> DPT -12-11-12-11-10 -9 -8 -8 -8 -9 -8 -8 -6 -6 -6 -5 -5 -5 -5 -4 -3 -1  0  1  2 </t>
  </si>
  <si>
    <t>LAMP data</t>
  </si>
  <si>
    <t>basetime:</t>
  </si>
  <si>
    <t>start time:</t>
  </si>
  <si>
    <t>001</t>
  </si>
  <si>
    <t>3/8</t>
  </si>
  <si>
    <t>002</t>
  </si>
  <si>
    <t>004</t>
  </si>
  <si>
    <t>1/2</t>
  </si>
  <si>
    <t>7/8</t>
  </si>
  <si>
    <t>005</t>
  </si>
  <si>
    <t>009</t>
  </si>
  <si>
    <t>1 7/8</t>
  </si>
  <si>
    <t>019</t>
  </si>
  <si>
    <t>2 3/4</t>
  </si>
  <si>
    <t>031</t>
  </si>
  <si>
    <t>065</t>
  </si>
  <si>
    <t>066</t>
  </si>
  <si>
    <t>CLOUDS</t>
  </si>
  <si>
    <t>TEMP</t>
  </si>
  <si>
    <t>DEW POINT</t>
  </si>
  <si>
    <t>FINAL CIG</t>
  </si>
  <si>
    <t>CCG</t>
  </si>
  <si>
    <t>CLD</t>
  </si>
  <si>
    <t>PCT</t>
  </si>
  <si>
    <t>FINAL VIS</t>
  </si>
  <si>
    <t>CVS</t>
  </si>
  <si>
    <t>PCO</t>
  </si>
  <si>
    <t>OBV</t>
  </si>
  <si>
    <t>FINAL WX</t>
  </si>
  <si>
    <t>6-HR PREC</t>
  </si>
  <si>
    <t>HR PREC</t>
  </si>
  <si>
    <t>6-HR TS</t>
  </si>
  <si>
    <t>HR TS</t>
  </si>
  <si>
    <t>TYP</t>
  </si>
  <si>
    <t>NAM extracted data</t>
  </si>
  <si>
    <t>TEMP:</t>
  </si>
  <si>
    <t>DP:</t>
  </si>
  <si>
    <t>GALWEM data</t>
  </si>
  <si>
    <t>WIND</t>
  </si>
  <si>
    <t>DP</t>
  </si>
  <si>
    <t>SKY</t>
  </si>
  <si>
    <t>R2</t>
  </si>
  <si>
    <t>R3</t>
  </si>
  <si>
    <t>ST</t>
  </si>
  <si>
    <t>T-TD</t>
  </si>
  <si>
    <t>MIN</t>
  </si>
  <si>
    <t>SPD</t>
  </si>
  <si>
    <t>SKC</t>
  </si>
  <si>
    <t>CL</t>
  </si>
  <si>
    <t>FW</t>
  </si>
  <si>
    <t>SC</t>
  </si>
  <si>
    <t>BK</t>
  </si>
  <si>
    <t>OV</t>
  </si>
  <si>
    <t>START TIME:</t>
  </si>
  <si>
    <t>END TIME:</t>
  </si>
  <si>
    <t>6Z</t>
  </si>
  <si>
    <t>12Z</t>
  </si>
  <si>
    <t>18Z</t>
  </si>
  <si>
    <t>NSW</t>
  </si>
  <si>
    <t>RAIN</t>
  </si>
  <si>
    <t>start reference:</t>
  </si>
  <si>
    <t>start date:</t>
  </si>
  <si>
    <t>MAX=</t>
  </si>
  <si>
    <t>TAF GROUPS</t>
  </si>
  <si>
    <t>TURBULENCE</t>
  </si>
  <si>
    <t>TAF FORMAT</t>
  </si>
  <si>
    <t># SPACES</t>
  </si>
  <si>
    <t>CHANGE GROUP</t>
  </si>
  <si>
    <t>PREDOM / TEMPO</t>
  </si>
  <si>
    <t>START</t>
  </si>
  <si>
    <t>END</t>
  </si>
  <si>
    <t>POTENTIAL HAZARD GROUPS</t>
  </si>
  <si>
    <t>POT'L # TURB</t>
  </si>
  <si>
    <t>TURB 1</t>
  </si>
  <si>
    <t>TURB 2</t>
  </si>
  <si>
    <t>TURB 3</t>
  </si>
  <si>
    <t>ICG 1</t>
  </si>
  <si>
    <t>ICG 2</t>
  </si>
  <si>
    <t>ICG 3</t>
  </si>
  <si>
    <t>ID</t>
  </si>
  <si>
    <t>From worksheet with TAF format analyzed</t>
  </si>
  <si>
    <t>LEN</t>
  </si>
  <si>
    <t>SPACES AT END</t>
  </si>
  <si>
    <t>LINE CHECK</t>
  </si>
  <si>
    <t>LINES WITH EXTRA ROWS</t>
  </si>
  <si>
    <t>LINES CONSOLIDATED</t>
  </si>
  <si>
    <t>CONSOLIDATED TAF</t>
  </si>
  <si>
    <t>END OF LINE</t>
  </si>
  <si>
    <t>"TAF"</t>
  </si>
  <si>
    <t>"AMD"</t>
  </si>
  <si>
    <t>"Z"</t>
  </si>
  <si>
    <t>"/"</t>
  </si>
  <si>
    <t>"AFWA"</t>
  </si>
  <si>
    <t>"SM"</t>
  </si>
  <si>
    <t>TAF FOR INTERROGATION PURPOSES</t>
  </si>
  <si>
    <t>TIME</t>
  </si>
  <si>
    <t>DATE/TIME</t>
  </si>
  <si>
    <t>RAW</t>
  </si>
  <si>
    <t>RAW WX</t>
  </si>
  <si>
    <t>QNH/END LOC</t>
  </si>
  <si>
    <t>INT</t>
  </si>
  <si>
    <t>MAX TURB</t>
  </si>
  <si>
    <t>1ST ICG</t>
  </si>
  <si>
    <t># ICG</t>
  </si>
  <si>
    <t>MAX ICG</t>
  </si>
  <si>
    <t>LOC WS</t>
  </si>
  <si>
    <t>WS</t>
  </si>
  <si>
    <t># lines:</t>
  </si>
  <si>
    <t>A-10</t>
  </si>
  <si>
    <t>25 KT crosswind</t>
  </si>
  <si>
    <t>3 SM</t>
  </si>
  <si>
    <t>1,500 FT</t>
  </si>
  <si>
    <t>A-64</t>
  </si>
  <si>
    <t>Moderate</t>
  </si>
  <si>
    <t>FORECAST OUTPUT US</t>
  </si>
  <si>
    <t>37.91N 85.97W</t>
  </si>
  <si>
    <t>TTTPTT DPR1R2R3 VVVLI PSQNHDDFF HHSTT1T2T3 W CIGVIS</t>
  </si>
  <si>
    <t>017000 11617281 00901 139922004 5718181311   230166</t>
  </si>
  <si>
    <t>018000 11627379 00900 149941903 5717181311   247148</t>
  </si>
  <si>
    <t>019000 10637379 01001 149951603 5715171311   256136</t>
  </si>
  <si>
    <t>020000 11647481 01302 159961604 5614171310   262127</t>
  </si>
  <si>
    <t>021000 11637481 -0402 159971604 5614171310   ---125</t>
  </si>
  <si>
    <t>022000 11627279 01203 159971604 5614171311   ---121</t>
  </si>
  <si>
    <t>023000 11606976 00903 159971604 5613171311   058121</t>
  </si>
  <si>
    <t>024000 11616573 00103 149961604 5613171311   058125</t>
  </si>
  <si>
    <t>025000 11666471 -1204 149951605 5614161311   058131</t>
  </si>
  <si>
    <t>026000 11706774 -0604 139921605 5713161310   161129</t>
  </si>
  <si>
    <t>027000 11747077 02404 129901505 5713151310   178120</t>
  </si>
  <si>
    <t>028000 11787277 01704 129891505 5613151210   206110</t>
  </si>
  <si>
    <t>029000 11787379 02704 129891605 5612141210   064107</t>
  </si>
  <si>
    <t>030000 11817381 05205 139901606 5513141210   118117</t>
  </si>
  <si>
    <t>031000 11857682 04204 139921606 5413131210   144129</t>
  </si>
  <si>
    <t>032000 11867784 00204 129891407 5413131210   165136</t>
  </si>
  <si>
    <t>033000 11868087 -5305 119861309 5414131210   110146</t>
  </si>
  <si>
    <t>034001 11867580 05205 109831309 5514131210 R 093140</t>
  </si>
  <si>
    <t>035001 12868991 17103 099801410 5415141109 R 084144</t>
  </si>
  <si>
    <t>036004 12889695 12502 089761410 5415141008 T 053132</t>
  </si>
  <si>
    <t>037005 13909899 05701 069711510 5415141009 T 029123</t>
  </si>
  <si>
    <t>038004 13929999 03299 059681710 5315141109 T 023121</t>
  </si>
  <si>
    <t>039002 14929999 00797 049661710 5415141110 R 028121</t>
  </si>
  <si>
    <t>040001 14929999 03897 049641710 5415151210 X 168124</t>
  </si>
  <si>
    <t>041000 14909694 02896 049631810 5416151211   ---128</t>
  </si>
  <si>
    <t>042000 14899395 01197 039631810 5416151311   215125</t>
  </si>
  <si>
    <t>045008 13929696 -0298 049662011 5215141209 T ---117</t>
  </si>
  <si>
    <t>048001 11879289 02902 059672311 5213130907 R ---132</t>
  </si>
  <si>
    <t>051000 08858988 02607 069692211 5011100605   ---142</t>
  </si>
  <si>
    <t>054000 07899998 -0210 089762211 5010080505   033143</t>
  </si>
  <si>
    <t>057001 09949999 00208 109822210 4910090604 R 018129</t>
  </si>
  <si>
    <t>060003 09979999 01107 119852709 4610090504 R 021117</t>
  </si>
  <si>
    <t>063003 07959999 00507 139902711 4309070302 R 021126</t>
  </si>
  <si>
    <t>066001 06989999 01009 169982809 4107050100 R 026118</t>
  </si>
  <si>
    <t>069002 04979998 01011 180042809 3905040099 R 024116</t>
  </si>
  <si>
    <t>072002 04999999 00112 190082808 3805040098 R 023104</t>
  </si>
  <si>
    <t>075001 04959898 -1111 200102908 3705040098 R 031120</t>
  </si>
  <si>
    <t>078000 01758195 -1111 230182906 3705040097   ---151</t>
  </si>
  <si>
    <t>081000 01688078 -0911 240233006 3808050198   ---169</t>
  </si>
  <si>
    <t>084000 01536573 -1212 250242907 4111080401   ---177</t>
  </si>
  <si>
    <t>087000 00435361 -3610 240212906 4413110704   ---179</t>
  </si>
  <si>
    <t>090000 01485663 -2510 240232803 4610110704   ---156</t>
  </si>
  <si>
    <t>093000 02485241 -2611 250242104 4708110706   ---144</t>
  </si>
  <si>
    <t>096000 02464239 -2313 240231904 4806110806   ---135</t>
  </si>
  <si>
    <t>099000 01463937 -1615 250251904 4805110806   ---133</t>
  </si>
  <si>
    <t>102000 01473936 00216 260281704 4904100806   193128</t>
  </si>
  <si>
    <t>105000 04624137 00012 270311604 4911090806   266170</t>
  </si>
  <si>
    <t>108000 03435256 -1412 250261406 5116130906   263179</t>
  </si>
  <si>
    <t>111000 03415058 -1911 220181308 5317141007   271179</t>
  </si>
  <si>
    <t>114000 05495057 -1310 210171206 5413141007   233169</t>
  </si>
  <si>
    <t>117000 05594448 01212 210151107 5612121108   197164</t>
  </si>
  <si>
    <t>120000 06644352 00314 210151207 5410111108   139158</t>
  </si>
  <si>
    <t>123001 06714838 04415 200111405 5510101009 R 090152</t>
  </si>
  <si>
    <t>126002 06706361 00415 210141506 5309100807 R 076143</t>
  </si>
  <si>
    <t>129032 07765147 06614 190101209 5409090908 T 092127</t>
  </si>
  <si>
    <t>132022 08796567 10104 160011209 5611110907 T 064138</t>
  </si>
  <si>
    <t>135008 08675259 06701 109851111 5914131109 T 159161</t>
  </si>
  <si>
    <t>138000 06545769 05400 079751313 6014151311   124170</t>
  </si>
  <si>
    <t>141003 10717782 -1503 059681618 6115151312 R 152158</t>
  </si>
  <si>
    <t>144001 12808488 01503 049651716 6015151312 R ---149</t>
  </si>
  <si>
    <t xml:space="preserve"> CVS   7  7  7  7  7  7  7  7  7  7  7  7  7  7  7  7  7  7  7  7  7  7  7  7  7 </t>
  </si>
  <si>
    <t xml:space="preserve">Convect. Temp (K): </t>
  </si>
  <si>
    <t>https://weather.af.mil/services/WPS?SERVICE=WPS&amp;REQUEST=Execute&amp;SOURCE=GALWEM&amp;VERSION=1.0.0&amp;IDENTIFIER=get_paw&amp;RAWDATAOUTPUT=paw&amp;DATAINPUTS=model_id%3DGALWEM%3BHOUR%3D12%3BLOC%3DKFTK%3BQR%3D0</t>
  </si>
  <si>
    <t>https://weather.af.mil/services/WPS?SERVICE=WPS&amp;REQUEST=Execute&amp;SOURCE=GALWEM&amp;VERSION=1.0.0&amp;IDENTIFIER=get_paw&amp;RAWDATAOUTPUT=paw&amp;DATAINPUTS=model_id%3DGALWEM%3BHOUR%3D15%3BLOC%3DKFTK%3BQR%3D0</t>
  </si>
  <si>
    <t xml:space="preserve">   Point of Impact:  Latitude: 37.91N    Longitude: 85.97W</t>
  </si>
  <si>
    <t xml:space="preserve">   Elevation:  756.0 feet above MSL</t>
  </si>
  <si>
    <t>Region: NECONUS</t>
  </si>
  <si>
    <t>Latitude: 37.91</t>
  </si>
  <si>
    <t>SFC GPH: 196.0720</t>
  </si>
  <si>
    <t>Marginal.</t>
  </si>
  <si>
    <t>Severe.</t>
  </si>
  <si>
    <t xml:space="preserve"> TYP   R|  R   R|  R   R|  R   R|  R   R|  R   R|  R   R|  R   R      </t>
  </si>
  <si>
    <t xml:space="preserve"> VIS   7  7  7  7  7  7  7  7  7  7  7  7  7  7  7  7  7  7  7  7  7  7  7  7  7 </t>
  </si>
  <si>
    <t xml:space="preserve"> SNW    |      0|      0|      0|      0|      0|       |             </t>
  </si>
  <si>
    <t xml:space="preserve"> WND  12|  5   9|  8  10|  5   8|  4   8|  5  10|  7  13| 10  15      </t>
  </si>
  <si>
    <t xml:space="preserve"> P12   3|  2  29| 56  41| 12   9|  8   7| 15  25| 22  26| 19  30999999</t>
  </si>
  <si>
    <t xml:space="preserve"> P24    |     34|     75|     13|      9|     25|     26|     42    31</t>
  </si>
  <si>
    <t xml:space="preserve"> Q12   0|  0   0|  2   1|  0   0|  0   0|  0   0|  0    |             </t>
  </si>
  <si>
    <t xml:space="preserve"> Q24    |      0|      3|      0|      0|      0|       |             </t>
  </si>
  <si>
    <t xml:space="preserve"> T12   5|  1  45| 43  12|  3   0|  0   4| 12  32| 23  29| 25  32      </t>
  </si>
  <si>
    <t xml:space="preserve"> T24    |  6    | 67    | 17    |  1    | 21    | 41    | 37          </t>
  </si>
  <si>
    <t xml:space="preserve"> PZP   0|  0   0|  0   0|  0   0|  0   0|  0   0|  0   0|  0   0      </t>
  </si>
  <si>
    <t xml:space="preserve"> PSN   0|  0   0|  0   0|  0   0|  0   0|  0   1|  0   0|  0   0      </t>
  </si>
  <si>
    <t xml:space="preserve"> PRS   0|  0   1|  1   1|  1   1|  1   1|  1   0|  1   0|  0   0      </t>
  </si>
  <si>
    <t xml:space="preserve"> OBV   N  N  N  N  N  N  N  N  N  N  N  N  N  N  N  N  N  N  N  N  N  N  N  N  N</t>
  </si>
  <si>
    <t xml:space="preserve"> WGS  NG NG NG NG NG NG NG NG NG NG NG NG NG NG NG NG NG NG NG NG NG NG NG NG NG </t>
  </si>
  <si>
    <t xml:space="preserve"> PCO   N  N  N  N  N  N  N  N  N  N  N  N  N  N  N  N  N  N  N  N  N  N  N  N  N </t>
  </si>
  <si>
    <t xml:space="preserve"> PC1   N  N  N  N  N  N  N  N  N  N  N  N  N  N  N  N  N  N  N  N  N  N  N  N  N </t>
  </si>
  <si>
    <t xml:space="preserve"> LC1   N  N  N  N  N  N  N  N  N  N  N  N  N  N  N  N  N  N  N  N  N  N  N  N  N </t>
  </si>
  <si>
    <t>PARTLY CLOUDY</t>
  </si>
  <si>
    <t>06.27.2022</t>
  </si>
  <si>
    <t>TSRA</t>
  </si>
  <si>
    <t xml:space="preserve"> FHR  24  36| 48  60| 72  84| 96 108|120 132|144 156|168 180|192      </t>
  </si>
  <si>
    <t xml:space="preserve">  304.04,  304.74,  304.76,  304.68,  305.00,  304.30,  303.43,  303.05,  303.36,  304.03,  304.20,  304.09,  303.32,  303.06,  301.22,  302.84,  301.60,  302.18,  302.05,  302.86,  310.80,  310.40,  309.14,  308.43,  308.55,  309.18,  309.94,  310.13,  310.21,</t>
  </si>
  <si>
    <t xml:space="preserve">Heat Index (F):    </t>
  </si>
  <si>
    <t xml:space="preserve">   99.10,   94.42,   92.00,   85.19,   78.07,   75.79,   77.04,   92.76,   92.95,   95.80,   92.28,   84.38,   80.47,   75.51,   73.49,   79.21,   86.99,   91.29,   86.40,   80.59,   78.04,   76.79,   75.93,   79.97,   84.75,   85.86,   82.58,   77.76,   76.09,</t>
  </si>
  <si>
    <t xml:space="preserve">Wind Chill (F):  </t>
  </si>
  <si>
    <t xml:space="preserve">    39 ( 207)    289      36        -54       39.69      +1986     266       20</t>
  </si>
  <si>
    <t xml:space="preserve">    40 ( 197)    292      38        -56       40.69      +2016     267       20</t>
  </si>
  <si>
    <t>27015</t>
  </si>
  <si>
    <t>30015</t>
  </si>
  <si>
    <t>28020</t>
  </si>
  <si>
    <t xml:space="preserve">A weak frontal boundary will move into the Ohio Valley, bringing increased chances of showers and thunderstorms through the week.  </t>
  </si>
  <si>
    <t>MOSTLY CLOUDY WITH A SLIGHT CHANCE OF SHOWERS &amp; T'STORMS</t>
  </si>
  <si>
    <t>MOSTLY CLOUDY WITH A CHANCE OF SHOWERS &amp; T'STORMS</t>
  </si>
  <si>
    <t xml:space="preserve"> KFTK   FORT KNOX             GFS LAMP 0030 UTC   7/06/2022                      </t>
  </si>
  <si>
    <t xml:space="preserve"> UTC  01 02 03 04 05 06 07 08 09 10 11 12 13 14 15 16 17 18 19 20 21 22 23 00 01 </t>
  </si>
  <si>
    <t xml:space="preserve"> TMP  86 83 81 79 77 76 75 74 73 73 73 75 79 83 86 88 89 90 91 91 91 90 89 87 83 </t>
  </si>
  <si>
    <t xml:space="preserve"> DPT  71 71 72 72 72 72 73 73 72 72 72 74 75 75 76 76 76 76 75 75 74 74 74 75 74 </t>
  </si>
  <si>
    <t xml:space="preserve"> WDR  22 21 22 23 23 22 21 22 21 20 22 21 21 22 22 23 23 23 24 24 25 25 25 26 24 </t>
  </si>
  <si>
    <t xml:space="preserve"> WSP  04 04 03 04 04 04 04 03 03 03 03 03 04 05 06 07 08 09 08 08 07 07 06 05 04 </t>
  </si>
  <si>
    <t xml:space="preserve"> PPO   3  4  6  6  6  5  9 12 16 15 14 13 10  6  4  2  0  0  0  0  1  2  3  3  6 </t>
  </si>
  <si>
    <t xml:space="preserve"> P01   0  0  1  1  1  1  1  2  4  3  3  3  2  2  2  2  2  2  3  4  7  8  9  9  8 </t>
  </si>
  <si>
    <t xml:space="preserve"> P06                  2                 7                 4                22    </t>
  </si>
  <si>
    <t xml:space="preserve"> LP1   0  1  2  2  2  3  3  5  6  5  6  4  3  3  3  3  3  4  5  8  9  9 10  9 11 </t>
  </si>
  <si>
    <t xml:space="preserve"> CP1   2  2  3  3  1  1  1  4  6  3  4  3  1  2  2  3  5  7  7 10 10 13 11 12 20 </t>
  </si>
  <si>
    <t xml:space="preserve"> CC1   N  N  N  N  N  N  N  N  N  N  N  N  N  N  N  N  N  N  N  N  N  N  N  N  L </t>
  </si>
  <si>
    <t xml:space="preserve"> CLD  SC SC FW FW CL CL CL CL CL SC SC SC SC BK BK SC BK BK BK BK BK SC SC SC BK </t>
  </si>
  <si>
    <t xml:space="preserve"> CIG   8  8  8  8  8  8  8  8  8  8  8  8  8  8  8  8  8  8  8  8  8  8  8  8  8 </t>
  </si>
  <si>
    <t xml:space="preserve"> CCG   8  8  8  8  8  8  8  8  8  8  8  8  8  8  8  8  8  8  7  7  8  8  8  8  8 </t>
  </si>
  <si>
    <t>Basetime: 2022070518Z</t>
  </si>
  <si>
    <t xml:space="preserve">  988.67,  986.29,  985.63,  986.19,  986.36,  986.07,  987.23,  986.76,  985.71,  984.64,  984.03,  984.27,  984.56,  985.84,  985.93,  985.46,  984.75,  983.36,  984.77,  984.79,  984.59,  984.18,  984.45,  986.60,  985.80,  986.23,  987.41,  988.89,  988.92,</t>
  </si>
  <si>
    <t xml:space="preserve"> 1014.86, 1012.40, 1011.74, 1012.43, 1012.69, 1012.46, 1013.66, 1012.99, 1011.78, 1010.68, 1010.15, 1010.47, 1010.87, 1012.27, 1012.37, 1011.68, 1010.80, 1009.36, 1011.11, 1011.21, 1011.03, 1010.62, 1010.90, 1013.07, 1012.23, 1012.58, 1013.89, 1015.52, 1015.58,</t>
  </si>
  <si>
    <t xml:space="preserve">   30.00,   29.92,   29.90,   29.92,   29.93,   29.92,   29.95,   29.94,   29.91,   29.87,   29.86,   29.86,   29.87,   29.91,   29.91,   29.90,   29.88,   29.84,   29.88,   29.88,   29.87,   29.86,   29.87,   29.93,   29.91,   29.92,   29.96,   30.00,   30.00,</t>
  </si>
  <si>
    <t xml:space="preserve">  677.81,  743.92,  762.56,  746.75,  742.12,  750.09,  717.89,  730.97,  760.24,  790.22,  807.19,  800.55,  792.34,  756.49,  754.05,  767.19,  787.08,  825.81,  786.37,  786.01,  791.54,  802.91,  795.31,  735.49,  757.78,  745.72,  712.86,  671.68,  670.61,</t>
  </si>
  <si>
    <t xml:space="preserve"> 3571.02, 3584.71, 3418.48, 3027.88, 2840.12, 2712.40, 2679.69, 3305.30, 3699.86, 3622.35, 3349.04, 3105.66, 2900.27, 2639.50, 2642.60, 3289.21, 3690.98, 3745.73, 2792.26, 2616.86, 2577.65, 2545.82, 2579.54, 2559.69, 2690.88, 2913.65, 2527.36, 2181.14, 2133.51,</t>
  </si>
  <si>
    <t xml:space="preserve">  308.61,  308.21,  306.41,  303.10,  301.43,  300.27,  300.25,  305.45,  308.97,  307.95,  304.86,  302.89,  301.11,  299.12,  299.22,  304.82,  308.64,  308.84,  300.06,  298.63,  298.28,  297.97,  298.45,  298.84,  299.77,  301.88,  299.08,  296.75,  296.47,</t>
  </si>
  <si>
    <t xml:space="preserve">   21.79,   21.52,   19.76,   16.42,   14.74,   13.60,   13.51,   18.74,   22.31,   21.36,   18.30,   16.32,   14.52,   12.46,   12.55,   18.18,   22.04,   22.32,   13.46,   12.02,   11.68,   11.41,   11.86,   12.14,   13.11,   15.20,   12.34,    9.93,    9.64,</t>
  </si>
  <si>
    <t xml:space="preserve">  297.26,  296.25,  296.61,  296.40,  296.57,  296.26,  296.67,  297.91,  296.77,  296.64,  298.51,  297.86,  298.01,  298.30,  298.12,  298.27,  296.52,  295.86,  298.68,  298.18,  297.93,  297.45,  297.01,  297.40,  297.37,  297.36,  296.03,  294.58,  293.89,</t>
  </si>
  <si>
    <t xml:space="preserve">2 m agl WBT </t>
  </si>
  <si>
    <t>OUTPUT FROM GALWEM 0.25 Degree 18Z JUL 05 2022</t>
  </si>
  <si>
    <t>////// 21516170 -5896 149972506 8134312724   ---177</t>
  </si>
  <si>
    <t>001000 21506170 -2095 139952405 8134322724   ---177</t>
  </si>
  <si>
    <t>002000 21506069 -0395 139932404 8234322825   ---177</t>
  </si>
  <si>
    <t>003000 21496068 -1795 129922403 8234322825   ---177</t>
  </si>
  <si>
    <t>004000 21495968 00194 129922304 8234332825   368176</t>
  </si>
  <si>
    <t>005000 22516068 00193 129922303 8233322825   376172</t>
  </si>
  <si>
    <t>006000 23546169 -0991 129922303 8232322825   ---162</t>
  </si>
  <si>
    <t>007000 23576370 01491 129932204 8230322825   ---151</t>
  </si>
  <si>
    <t>008000 24616471 00091 129932104 8129312825   ---146</t>
  </si>
  <si>
    <t>009000 24626570 -2592 129932104 8128312725   ---141</t>
  </si>
  <si>
    <t>010000 24636570 -0893 139932104 8127302725   ---133</t>
  </si>
  <si>
    <t>011000 24656673 01493 139932104 8127302724   ---124</t>
  </si>
  <si>
    <t>012000 24686977 -0893 139942104 8126292724   ---122</t>
  </si>
  <si>
    <t>013000 24737280 00594 139942205 8026292624   ---128</t>
  </si>
  <si>
    <t>014000 24787079 03594 139932305 8026272624   ---133</t>
  </si>
  <si>
    <t>015000 24816876 01894 139942305 8026272724   ---131</t>
  </si>
  <si>
    <t>016000 24836875 -0994 139952205 8026272724   ---125</t>
  </si>
  <si>
    <t>017000 24856974 -0395 149972205 8026262624   ---121</t>
  </si>
  <si>
    <t>018000 24887175 02094 149982305 8026262624   ---132</t>
  </si>
  <si>
    <t>019000 25887177 00293 159982306 7928262624   ---145</t>
  </si>
  <si>
    <t>020000 25837077 -1293 149972406 8029272624   ---154</t>
  </si>
  <si>
    <t>021000 26776876 01092 149972406 8031282624   ---162</t>
  </si>
  <si>
    <t>022000 25707874 -1492 149972506 8032302624   ---168</t>
  </si>
  <si>
    <t>023004 24617380 07093 139952607 8133312624 T ---172</t>
  </si>
  <si>
    <t>024002 24607179 -2093 139932606 8233312724   360169</t>
  </si>
  <si>
    <t>025002 23576978 07593 139932706 8234322724 R 373173</t>
  </si>
  <si>
    <t>026007 23576878 07193 129922705 8233312724 X 363172</t>
  </si>
  <si>
    <t>027003 23586978 00993 129922704 8232312724 X 357167</t>
  </si>
  <si>
    <t>028001 23596978 01393 129902603 8233312724 X 371170</t>
  </si>
  <si>
    <t>029001 24606976 -0592 129902203 8132312724   383167</t>
  </si>
  <si>
    <t>030000 24616874 00791 129902003 8131312724   373159</t>
  </si>
  <si>
    <t>031000 24606672 01692 129901804 8130312725   342147</t>
  </si>
  <si>
    <t>032000 24596671 00592 129921804 8128312725   322141</t>
  </si>
  <si>
    <t>033000 24596571 01492 139941804 8128312725   314138</t>
  </si>
  <si>
    <t>034000 24616571 -0693 139941904 8127312725   292136</t>
  </si>
  <si>
    <t>035000 24636670 -1393 139941904 8127302725   276134</t>
  </si>
  <si>
    <t>036000 24676770 -0793 139942004 8027302725   273130</t>
  </si>
  <si>
    <t>037000 24716771 00293 139942105 8027292724   261127</t>
  </si>
  <si>
    <t>038000 24766972 00693 139932205 8026282724   252126</t>
  </si>
  <si>
    <t>039000 24807174 -0394 139932305 8026272624   245126</t>
  </si>
  <si>
    <t>040000 24837276 -1394 139932305 8026272624   213123</t>
  </si>
  <si>
    <t>041000 24857176 01194 139942305 8026262624   ---119</t>
  </si>
  <si>
    <t>042000 25867076 00294 149962304 7926262624   ---129</t>
  </si>
  <si>
    <t>045000 25787174 -0392 159982506 7930282624   ---160</t>
  </si>
  <si>
    <t>048000 23576876 -0493 129922506 8234312724   ---175</t>
  </si>
  <si>
    <t>051003 22495967 -0694 119892604 8234332825 R ---176</t>
  </si>
  <si>
    <t>054001 24556067 -0991 129912103 8232322825 R ---163</t>
  </si>
  <si>
    <t>057000 24646369 -3292 139931906 8128302825   ---149</t>
  </si>
  <si>
    <t>060000 24767073 02594 129922206 8127282624   ---143</t>
  </si>
  <si>
    <t>063000 24847170 02695 129912206 8026272624   ---131</t>
  </si>
  <si>
    <t>066000 24887075 00595 139952207 8027262624   ---136</t>
  </si>
  <si>
    <t>069000 25747866 00193 139952409 8031282525   ---164</t>
  </si>
  <si>
    <t>072000 23566776 -0694 129912610 8234322724   ---175</t>
  </si>
  <si>
    <t>075004 21455562 06795 119892708 8335332926 X ---178</t>
  </si>
  <si>
    <t>078002 23535461 03291 129902604 8232332926   ---165</t>
  </si>
  <si>
    <t>081000 24717070 04192 139943305 8128292725   ---149</t>
  </si>
  <si>
    <t>084000 24918184 02495 139960305 8026252423 R 269135</t>
  </si>
  <si>
    <t>087007 24968491 04995 149960305 7825242322 X 267111</t>
  </si>
  <si>
    <t>090030 22989999 07898 160020607 7723222020 T 017101</t>
  </si>
  <si>
    <t>093012 20949699 03596 160030508 7622202020 X 030122</t>
  </si>
  <si>
    <t>096042 20959896 12600 160040508 7522201819 T 051115</t>
  </si>
  <si>
    <t>099007 20849197 00201 160020608 7523221917   041144</t>
  </si>
  <si>
    <t>102002 18727283 -0701 160040406 7523232017 R 048153</t>
  </si>
  <si>
    <t>105000 17675971 -3200 170050408 7422222017 R ---160</t>
  </si>
  <si>
    <t>108000 15725971 01202 170050407 7320201917   ---158</t>
  </si>
  <si>
    <t>111000 14795883 -1300 160030308 7318171917   ---153</t>
  </si>
  <si>
    <t>114000 13786075 00404 180080407 7117161917   ---157</t>
  </si>
  <si>
    <t>117000 15716665 -0607 170070307 7322191917   ---167</t>
  </si>
  <si>
    <t>120000 17607380 -1703 160040408 7426231916   ---173</t>
  </si>
  <si>
    <t>123000 16536473 -2602 150000407 7527252118   ---175</t>
  </si>
  <si>
    <t>126000 17566677 -0201 149980304 7626252118   ---167</t>
  </si>
  <si>
    <t>129000 18708389 -3001 159990304 7622242118   045144</t>
  </si>
  <si>
    <t>132000 20859197 -0899 149970503 7622232118   ---119</t>
  </si>
  <si>
    <t>135000 20939193 00998 149970503 7521222018   ---079</t>
  </si>
  <si>
    <t>138000 21949094 -2699 149981102 7521212018   007086</t>
  </si>
  <si>
    <t>141000 23888992 00697 149972001 7626232018   ---149</t>
  </si>
  <si>
    <t>144001 22738776 -0596 139932301 7728262220 R ---165</t>
  </si>
  <si>
    <t xml:space="preserve">   Valid Time:  1000Z 06 JUL 2022   Model:  GALWEM 0.25 Degree</t>
  </si>
  <si>
    <t xml:space="preserve">   SFC ( 987)    222       5         26        0.71      +0037     222        5</t>
  </si>
  <si>
    <t xml:space="preserve">     1 ( 954)    251      17         27        1.71      +0094     244       11</t>
  </si>
  <si>
    <t xml:space="preserve">     2 ( 922)    256      15         27        2.71      +0157     249       12</t>
  </si>
  <si>
    <t xml:space="preserve">     3 ( 890)    253      15         24        3.71      +0220     250       13</t>
  </si>
  <si>
    <t xml:space="preserve">     4 ( 860)    265      16         22        4.71      +0281     254       13</t>
  </si>
  <si>
    <t xml:space="preserve">     5 ( 830)    276      15         19        5.71      +0341     258       13</t>
  </si>
  <si>
    <t xml:space="preserve">     6 ( 801)    278      12         18        6.71      +0399     260       13</t>
  </si>
  <si>
    <t xml:space="preserve">     7 ( 773)    279       9         16        7.71      +0457     262       12</t>
  </si>
  <si>
    <t xml:space="preserve">     8 ( 745)    281       9         14        8.71      +0515     263       12</t>
  </si>
  <si>
    <t xml:space="preserve">     9 ( 719)    276       9         12        9.71      +0574     264       12</t>
  </si>
  <si>
    <t xml:space="preserve">    10 ( 693)    268      10         10       10.71      +0632     265       11</t>
  </si>
  <si>
    <t xml:space="preserve">    11 ( 668)    260      11          8       11.71      +0688     264       11</t>
  </si>
  <si>
    <t xml:space="preserve">    12 ( 643)    255      13          6       12.71      +0745     263       12</t>
  </si>
  <si>
    <t xml:space="preserve">    13 ( 620)    253      14          5       13.71      +0803     263       12</t>
  </si>
  <si>
    <t xml:space="preserve">    14 ( 597)    252      16          3       14.71      +0862     262       12</t>
  </si>
  <si>
    <t xml:space="preserve">    15 ( 575)    255      17          1       15.71      +0919     261       12</t>
  </si>
  <si>
    <t xml:space="preserve">    16 ( 553)    258      18         -1       16.71      +0977     261       13</t>
  </si>
  <si>
    <t xml:space="preserve">    17 ( 532)    262      19         -2       17.71      +1036     261       13</t>
  </si>
  <si>
    <t xml:space="preserve">    18 ( 512)    267      19         -4       18.71      +1095     261       13</t>
  </si>
  <si>
    <t xml:space="preserve">    19 ( 492)    271      20         -6       19.71      +1155     262       14</t>
  </si>
  <si>
    <t xml:space="preserve">    20 ( 474)    276      21         -8       20.71      +1215     263       14</t>
  </si>
  <si>
    <t xml:space="preserve">    21 ( 455)    281      22        -10       21.71      +1275     264       14</t>
  </si>
  <si>
    <t xml:space="preserve">    22 ( 437)    282      21        -12       22.71      +1335     265       14</t>
  </si>
  <si>
    <t xml:space="preserve">    23 ( 420)    280      18        -14       23.71      +1395     266       15</t>
  </si>
  <si>
    <t xml:space="preserve">    24 ( 403)    277      16        -16       24.71      +1456     267       15</t>
  </si>
  <si>
    <t xml:space="preserve">    25 ( 387)    276      14        -17       25.71      +1517     267       15</t>
  </si>
  <si>
    <t xml:space="preserve">    26 ( 372)    276      13        -19       26.71      +1578     267       15</t>
  </si>
  <si>
    <t xml:space="preserve">    27 ( 357)    276      12        -21       27.71      +1639     268       14</t>
  </si>
  <si>
    <t xml:space="preserve">    28 ( 342)    280      11        -23       28.71      +1699     268       14</t>
  </si>
  <si>
    <t xml:space="preserve">    29 ( 328)    293      10        -26       29.71      +1757     268       14</t>
  </si>
  <si>
    <t xml:space="preserve">    30 ( 314)    306      10        -28       30.71      +1815     269       14</t>
  </si>
  <si>
    <t xml:space="preserve">    31 ( 301)    319      10        -31       31.71      +1873     270       14</t>
  </si>
  <si>
    <t xml:space="preserve">    32 ( 288)    325      12        -34       32.71      +1924     272       14</t>
  </si>
  <si>
    <t xml:space="preserve">    33 ( 276)    328      14        -36       33.71      +1971     273       13</t>
  </si>
  <si>
    <t xml:space="preserve">    34 ( 264)    330      15        -39       34.71      +2019     275       13</t>
  </si>
  <si>
    <t xml:space="preserve">    35 ( 252)    332      17        -41       35.71      +2066     276       13</t>
  </si>
  <si>
    <t xml:space="preserve">    36 ( 241)    331      17        -44       36.71      +2109     278       13</t>
  </si>
  <si>
    <t xml:space="preserve">    37 ( 230)    327      16        -46       37.71      +2147     279       13</t>
  </si>
  <si>
    <t xml:space="preserve">    38 ( 220)    323      15        -48       38.71      +2185     280       13</t>
  </si>
  <si>
    <t xml:space="preserve">    39 ( 210)    318      14        -51       39.71      +2223     281       13</t>
  </si>
  <si>
    <t xml:space="preserve">    40 ( 199)    312      14        -53       40.71      +2261     282       13</t>
  </si>
  <si>
    <t xml:space="preserve"> KFTK   GFS MOS GUIDANCE    7/05/2022  1800 UTC                      </t>
  </si>
  <si>
    <t xml:space="preserve"> DT /JULY  6                  /JULY  7                /JULY  8       </t>
  </si>
  <si>
    <t xml:space="preserve"> HR   00 03 06 09 12 15 18 21 00 03 06 09 12 15 18 21 00 03 06 12 18 </t>
  </si>
  <si>
    <t xml:space="preserve"> N/X              71          93          73          89       72    </t>
  </si>
  <si>
    <t xml:space="preserve"> TMP  89 78 74 73 74 85 90 90 86 79 77 75 75 80 85 86 83 77 75 74 83 </t>
  </si>
  <si>
    <t xml:space="preserve"> DPT  70 72 74 72 73 76 75 74 75 75 74 73 73 74 76 76 75 75 74 73 75 </t>
  </si>
  <si>
    <t xml:space="preserve"> CLD  BK SC SC SC BK SC SC BK SC BK OV OV OV OV BK BK BK OV BK BK BK </t>
  </si>
  <si>
    <t xml:space="preserve"> WDR  20 21 22 21 20 22 23 24 25 21 25 18 18 20 24 25 23 25 21 29 25 </t>
  </si>
  <si>
    <t xml:space="preserve"> WSP  04 03 04 03 02 05 09 07 04 05 04 03 03 06 08 06 03 05 03 03 07 </t>
  </si>
  <si>
    <t xml:space="preserve"> P06        26    41     9     7    30    35    28    43    26 27 27 </t>
  </si>
  <si>
    <t xml:space="preserve"> P12              52          19          47          54       50    </t>
  </si>
  <si>
    <t xml:space="preserve"> Q06         0     1     0     0     0     1     0     1     0  0  0 </t>
  </si>
  <si>
    <t xml:space="preserve"> Q12               2           0           2           1        2    </t>
  </si>
  <si>
    <t xml:space="preserve"> T06     38/12 43/ 3 15/ 4 24/18 34/12 29/ 1 17/ 3 43/19 29/ 9 18/ 3 </t>
  </si>
  <si>
    <t xml:space="preserve"> T12                 51/ 5       56/19       41/ 5       59/22 33/ 4 </t>
  </si>
  <si>
    <t xml:space="preserve"> CIG   8  8  8  8  8  8  8  8  8  8  8  7  7  7  7  8  8  8  8  8  6 </t>
  </si>
  <si>
    <t xml:space="preserve"> VIS   7  7  7  7  7  7  7  7  7  7  6  6  5  7  7  7  7  6  7  5  7 </t>
  </si>
  <si>
    <t xml:space="preserve"> OBV   N  N  N  N  N  N  N  N  N  N  N  N BR  N  N  N  N HZ  N BR  N </t>
  </si>
  <si>
    <t xml:space="preserve"> KFTK   NAM MOS GUIDANCE    7/05/2022  1200 UTC                      </t>
  </si>
  <si>
    <t xml:space="preserve"> DT /JULY  5/JULY  6                /JULY  7                /JULY  8 </t>
  </si>
  <si>
    <t xml:space="preserve"> HR   18 21 00 03 06 09 12 15 18 21 00 03 06 09 12 15 18 21 00 06 12 </t>
  </si>
  <si>
    <t xml:space="preserve"> N/X                    75          92          76          89    73 </t>
  </si>
  <si>
    <t xml:space="preserve"> TMP  92 92 87 80 78 77 78 85 89 89 86 80 78 77 78 83 86 85 80 75 74 </t>
  </si>
  <si>
    <t xml:space="preserve"> DPT  76 76 77 76 76 75 76 77 78 78 79 76 76 75 76 77 78 78 78 74 73 </t>
  </si>
  <si>
    <t xml:space="preserve"> CLD  BK BK BK SC SC BK BK BK SC BK BK OV OV BK BK BK BK BK OV OV OV </t>
  </si>
  <si>
    <t xml:space="preserve"> WDR  23 22 22 21 19 18 19 21 23 23 21 34 07 22 22 20 23 27 36 21 04 </t>
  </si>
  <si>
    <t xml:space="preserve"> WSP  07 07 05 03 03 03 03 06 06 06 05 03 04 03 03 05 07 07 08 02 05 </t>
  </si>
  <si>
    <t xml:space="preserve"> P06        10     3     9    21    32    57    26    23    40 48 45 </t>
  </si>
  <si>
    <t xml:space="preserve"> P12                     9          39          64          56    65 </t>
  </si>
  <si>
    <t xml:space="preserve"> Q06         0     0     0     0     0     4     0     0     4  3  2 </t>
  </si>
  <si>
    <t xml:space="preserve"> Q12                     0           0           3           5     4 </t>
  </si>
  <si>
    <t xml:space="preserve"> T06     24/19 16/19 16/ 5 24/ 6 39/23 40/15 30/ 3 19/ 4 47/22 33/ 3 </t>
  </si>
  <si>
    <t xml:space="preserve"> T12           29/22       34/ 6       70/27       31/ 6    61/28    </t>
  </si>
  <si>
    <t xml:space="preserve"> CIG   8  8  8  8  8  8  8  8  8  8  8  8  7  8  8  8  7  8  7  7  4 </t>
  </si>
  <si>
    <t xml:space="preserve"> VIS   7  7  7  7  7  7  7  7  7  7  7  6  4  5  5  7  7  7  7  4  5 </t>
  </si>
  <si>
    <t xml:space="preserve"> OBV   N  N  N  N  N  N  N  N  N  N  N  N BR BR BR  N  N  N  N BR BR </t>
  </si>
  <si>
    <t xml:space="preserve"> KFTK   GFSX MOS GUIDANCE   7/05/2022  1200 UTC                       </t>
  </si>
  <si>
    <t xml:space="preserve">      WED 06| THU 07| FRI 08| SAT 09| SUN 10| MON 11| TUE 12|WED CLIMO</t>
  </si>
  <si>
    <t xml:space="preserve"> N/X  72  93| 72  91| 73  91| 71  81| 65  85| 65  89| 70  84| 67 65 88</t>
  </si>
  <si>
    <t xml:space="preserve"> TMP  75  85| 74  83| 75  83| 73  76| 67  80| 69  83| 73  79| 70      </t>
  </si>
  <si>
    <t xml:space="preserve"> DPT  73  76| 73  75| 73  74| 72  70| 65  66| 65  70| 70  69| 67      </t>
  </si>
  <si>
    <t xml:space="preserve"> CLD  PC  PC| OV  OV| PC  OV| OV  OV| PC  PC| CL  PC| OV  PC| PC      </t>
  </si>
  <si>
    <t xml:space="preserve"> WND   4   8|  4   8|  6  10|  6   7|  9   8|  3  11|  9  10|  5      </t>
  </si>
  <si>
    <t xml:space="preserve"> P12  51  38| 45  36| 48  45| 56  47| 18   5|  3  13| 24  30| 26999999</t>
  </si>
  <si>
    <t xml:space="preserve"> P24      68|     62|     68|     66|     18|     13|     36|       29</t>
  </si>
  <si>
    <t xml:space="preserve"> Q12   2   0|  1   0|  2   1|  3   1|  0   0|  0   0|       |         </t>
  </si>
  <si>
    <t xml:space="preserve"> Q24       3|      2|      3|      4|      0|      0|       |         </t>
  </si>
  <si>
    <t xml:space="preserve"> T12  62  37| 46  42| 44  44| 40  34| 10   8|  7  16| 21  30| 17      </t>
  </si>
  <si>
    <t xml:space="preserve"> T24        | 67    | 68    | 62    | 34    |  9    | 41    | 33      </t>
  </si>
  <si>
    <t>MOSTLY SUNNY</t>
  </si>
  <si>
    <t>PARTLY TO MOSTLY CLOUDY, SHOWERS &amp; T'STORMS LIKELY</t>
  </si>
  <si>
    <t>PARTLY TO MOSTLY CLOUDY WITH A CHANCE OF SHOWERS AND T'STORMS</t>
  </si>
  <si>
    <t>TD</t>
  </si>
  <si>
    <t>TAF KFTK 061100Z 0611/0717 22008KT 9999 BKN250 QNH2990INS</t>
  </si>
  <si>
    <t>BECMG 0614/0615 24010KT 9999 SCT040 BKN250 QNH2988INS</t>
  </si>
  <si>
    <t xml:space="preserve">TEMPO 0620/0702 29012G20KT 4800 -TSRA BKN040CB </t>
  </si>
  <si>
    <t>BECMG 0707/0708 VRB03KT 4800 BR SCT250 QNH2985INS</t>
  </si>
  <si>
    <t>BECMG 0713/0714 19006KT 9999 NSW SCT250 QNH2988INS</t>
  </si>
  <si>
    <t xml:space="preserve"> TX37/0621Z TN24/0711Z</t>
  </si>
  <si>
    <t>28015</t>
  </si>
  <si>
    <t>29020</t>
  </si>
  <si>
    <t>31015</t>
  </si>
  <si>
    <t>32020</t>
  </si>
  <si>
    <t>ISOLD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</si>
</sst>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164" formatCode="0000\L"/>
    <numFmt numFmtId="165" formatCode="000"/>
    <numFmt numFmtId="166" formatCode="0\ \°\F"/>
    <numFmt numFmtId="167" formatCode="dddd\ d\ mmm"/>
    <numFmt numFmtId="168" formatCode="0\°\F"/>
    <numFmt numFmtId="169" formatCode="mmm\ d"/>
    <numFmt numFmtId="170" formatCode="0000"/>
    <numFmt numFmtId="171" formatCode="0&quot;%&quot;"/>
    <numFmt numFmtId="172" formatCode="#&quot;ft&quot;"/>
    <numFmt numFmtId="173" formatCode="d\ mmm"/>
    <numFmt numFmtId="174" formatCode="0.0"/>
    <numFmt numFmtId="175" formatCode="0&quot; /&quot;"/>
    <numFmt numFmtId="176" formatCode="00\ \°\F"/>
    <numFmt numFmtId="177" formatCode="dddd"/>
    <numFmt numFmtId="178" formatCode="[$-409]mmmm\ d\,\ yyyy;@"/>
    <numFmt numFmtId="179" formatCode="d"/>
    <numFmt numFmtId="180" formatCode="dddd\,\ dd\ mmm"/>
    <numFmt numFmtId="181" formatCode="0.00&quot; ins&quot;"/>
    <numFmt numFmtId="182" formatCode="0000\L&quot; -&quot;"/>
    <numFmt numFmtId="183" formatCode="hhmm&quot;L&quot;"/>
    <numFmt numFmtId="184" formatCode="hhmm&quot;Z&quot;"/>
    <numFmt numFmtId="185" formatCode="dd/hhmm&quot;Z&quot;"/>
    <numFmt numFmtId="186" formatCode="00\ \°\C"/>
    <numFmt numFmtId="187" formatCode="#&quot; ft&quot;"/>
    <numFmt numFmtId="188" formatCode="0.0000000"/>
    <numFmt numFmtId="189" formatCode="0.000"/>
    <numFmt numFmtId="190" formatCode="00"/>
    <numFmt numFmtId="191" formatCode="&quot;G&quot;#"/>
    <numFmt numFmtId="192" formatCode="#\ &quot;ft&quot;"/>
    <numFmt numFmtId="193" formatCode="m/d/yy\ h:mm;@"/>
    <numFmt numFmtId="194" formatCode="#,###\ &quot;ft&quot;"/>
    <numFmt numFmtId="195" formatCode="&quot;FL&quot;000&quot; &quot;"/>
    <numFmt numFmtId="196" formatCode="d\ mmm\ yyyy"/>
    <numFmt numFmtId="197" formatCode="dddd\,\ mmmm\ d\,\ yyyy;"/>
    <numFmt numFmtId="198" formatCode="dddd\,\ d\ mmm"/>
    <numFmt numFmtId="199" formatCode="dddd\,\ dd\ mmm\."/>
    <numFmt numFmtId="200" formatCode="0&quot;SM&quot;"/>
    <numFmt numFmtId="201" formatCode="#00"/>
    <numFmt numFmtId="202" formatCode="&quot;FL&quot;000"/>
    <numFmt numFmtId="203" formatCode="&quot;FL&quot;000&quot;:&quot;"/>
    <numFmt numFmtId="204" formatCode="h:mm;@"/>
    <numFmt numFmtId="205" formatCode="m/dd/yy\ hhmm&quot;Z&quot;"/>
    <numFmt numFmtId="206" formatCode="m/dd\ hhmm&quot;Z&quot;"/>
    <numFmt numFmtId="207" formatCode="mm/dd/yy;@"/>
    <numFmt numFmtId="208" formatCode="0.00000"/>
    <numFmt numFmtId="209" formatCode="0.000000"/>
    <numFmt numFmtId="210" formatCode="&quot;- &quot;000"/>
    <numFmt numFmtId="211" formatCode="hhmm"/>
    <numFmt numFmtId="212" formatCode="dd\-mm\-yyyy;@"/>
    <numFmt numFmtId="213" formatCode="dd/hhmm&quot;L&quot;"/>
    <numFmt numFmtId="214" formatCode="mmm\ d\ yyyy"/>
    <numFmt numFmtId="215" formatCode="m/d/yy\ hhmm&quot;L&quot;"/>
    <numFmt numFmtId="216" formatCode="0.0000"/>
  </numFmts>
  <fonts count="2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9"/>
      <name val="Arial"/>
      <family val="2"/>
    </font>
    <font>
      <b/>
      <sz val="14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1"/>
      <name val="Comic Sans MS"/>
      <family val="4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omic Sans MS"/>
      <family val="4"/>
    </font>
    <font>
      <b/>
      <sz val="10.5"/>
      <name val="Tahoma"/>
      <family val="2"/>
    </font>
    <font>
      <b/>
      <sz val="9"/>
      <color rgb="FF006600"/>
      <name val="Tahoma"/>
      <family val="2"/>
    </font>
    <font>
      <sz val="8"/>
      <color rgb="FF000000"/>
      <name val="Verdana"/>
      <family val="2"/>
    </font>
    <font>
      <sz val="9"/>
      <color rgb="FF333333"/>
      <name val="Calibri"/>
      <family val="2"/>
    </font>
    <font>
      <b/>
      <sz val="11"/>
      <color rgb="FFFF0000"/>
      <name val="Tahoma"/>
      <family val="2"/>
    </font>
    <font>
      <b/>
      <sz val="11"/>
      <color rgb="FF0000FF"/>
      <name val="Tahoma"/>
      <family val="2"/>
    </font>
    <font>
      <sz val="12"/>
      <color rgb="FF0055CC"/>
      <name val="Arial"/>
      <family val="2"/>
    </font>
    <font>
      <b/>
      <sz val="10.5"/>
      <color rgb="FF0000A2"/>
      <name val="Tahoma"/>
      <family val="2"/>
    </font>
    <font>
      <sz val="10"/>
      <color rgb="FF000000"/>
      <name val="Helvetica"/>
      <family val="2"/>
    </font>
    <font>
      <b/>
      <sz val="9"/>
      <color rgb="FF0000CC"/>
      <name val="Tahoma"/>
      <family val="2"/>
    </font>
    <font>
      <sz val="9"/>
      <color rgb="FF0000CC"/>
      <name val="Tahoma"/>
      <family val="2"/>
    </font>
    <font>
      <sz val="7"/>
      <name val="Arial"/>
      <family val="2"/>
    </font>
    <font>
      <b/>
      <sz val="13"/>
      <name val="Arial Narrow"/>
      <family val="2"/>
    </font>
    <font>
      <b/>
      <sz val="8"/>
      <name val="Arial"/>
      <family val="2"/>
    </font>
    <font>
      <b/>
      <sz val="11"/>
      <color rgb="FF008000"/>
      <name val="Arial"/>
      <family val="2"/>
    </font>
    <font>
      <b/>
      <sz val="9"/>
      <color rgb="FF008000"/>
      <name val="Arial"/>
      <family val="2"/>
    </font>
    <font>
      <b/>
      <sz val="10"/>
      <color rgb="FF0000FF"/>
      <name val="Arial"/>
      <family val="2"/>
    </font>
    <font>
      <b/>
      <sz val="6"/>
      <name val="Arial"/>
      <family val="2"/>
    </font>
    <font>
      <b/>
      <u/>
      <sz val="9"/>
      <color rgb="FF0000FF"/>
      <name val="Arial"/>
      <family val="2"/>
    </font>
    <font>
      <b/>
      <sz val="9"/>
      <color theme="1" tint="0.499984740745262"/>
      <name val="Tahoma"/>
      <family val="2"/>
    </font>
    <font>
      <b/>
      <sz val="9"/>
      <color theme="1" tint="0.249977111117893"/>
      <name val="Arial"/>
      <family val="2"/>
    </font>
    <font>
      <b/>
      <sz val="7"/>
      <name val="Arial"/>
      <family val="2"/>
    </font>
    <font>
      <b/>
      <sz val="9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7"/>
      <color theme="1"/>
      <name val="Tahoma"/>
      <family val="2"/>
    </font>
    <font>
      <b/>
      <sz val="8"/>
      <color theme="1" tint="0.499984740745262"/>
      <name val="Tahoma"/>
      <family val="2"/>
    </font>
    <font>
      <b/>
      <sz val="8"/>
      <color theme="1" tint="0.34998626667073579"/>
      <name val="Arial"/>
      <family val="2"/>
    </font>
    <font>
      <b/>
      <sz val="9"/>
      <color rgb="FF0000A2"/>
      <name val="Arial"/>
      <family val="2"/>
    </font>
    <font>
      <b/>
      <sz val="9"/>
      <color rgb="FF0000FF"/>
      <name val="Arial"/>
      <family val="2"/>
    </font>
    <font>
      <b/>
      <sz val="10"/>
      <color rgb="FF008000"/>
      <name val="Arial"/>
      <family val="2"/>
    </font>
    <font>
      <b/>
      <sz val="6"/>
      <color rgb="FF0000FF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b/>
      <sz val="8"/>
      <color rgb="FF006600"/>
      <name val="Tahoma"/>
      <family val="2"/>
    </font>
    <font>
      <b/>
      <sz val="9"/>
      <color theme="1"/>
      <name val="Arial"/>
      <family val="2"/>
    </font>
    <font>
      <b/>
      <sz val="10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b/>
      <sz val="8"/>
      <color theme="1" tint="0.499984740745262"/>
      <name val="Arial"/>
      <family val="2"/>
    </font>
    <font>
      <b/>
      <sz val="8"/>
      <color theme="1"/>
      <name val="Arial"/>
      <family val="2"/>
    </font>
    <font>
      <b/>
      <sz val="8"/>
      <color rgb="FF008000"/>
      <name val="Arial"/>
      <family val="2"/>
    </font>
    <font>
      <b/>
      <u/>
      <sz val="10"/>
      <color rgb="FF0000FF"/>
      <name val="Arial"/>
      <family val="2"/>
    </font>
    <font>
      <b/>
      <u/>
      <sz val="12"/>
      <color rgb="FFFF0000"/>
      <name val="Arial"/>
      <family val="2"/>
    </font>
    <font>
      <b/>
      <u/>
      <sz val="12"/>
      <color rgb="FFFFC000"/>
      <name val="Arial"/>
      <family val="2"/>
    </font>
    <font>
      <b/>
      <sz val="7"/>
      <color theme="1"/>
      <name val="Arial"/>
      <family val="2"/>
    </font>
    <font>
      <b/>
      <sz val="7"/>
      <color rgb="FFFF0000"/>
      <name val="Arial"/>
      <family val="2"/>
    </font>
    <font>
      <b/>
      <sz val="7"/>
      <color rgb="FF0000FF"/>
      <name val="Arial"/>
      <family val="2"/>
    </font>
    <font>
      <b/>
      <sz val="10"/>
      <color theme="1" tint="0.34998626667073579"/>
      <name val="Tahoma"/>
      <family val="2"/>
    </font>
    <font>
      <sz val="8"/>
      <color rgb="FFF2F7E9"/>
      <name val="Tahoma"/>
      <family val="2"/>
    </font>
    <font>
      <sz val="8"/>
      <color theme="1" tint="0.499984740745262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b/>
      <sz val="22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sz val="8"/>
      <color theme="1" tint="0.34998626667073579"/>
      <name val="Arial"/>
      <family val="2"/>
    </font>
    <font>
      <b/>
      <sz val="7"/>
      <name val="Tahoma"/>
      <family val="2"/>
    </font>
    <font>
      <b/>
      <sz val="9"/>
      <color rgb="FF7030A0"/>
      <name val="Arial"/>
      <family val="2"/>
    </font>
    <font>
      <b/>
      <sz val="10"/>
      <color rgb="FF7030A0"/>
      <name val="Arial"/>
      <family val="2"/>
    </font>
    <font>
      <b/>
      <sz val="11"/>
      <color rgb="FF0000FF"/>
      <name val="Arial"/>
      <family val="2"/>
    </font>
    <font>
      <b/>
      <sz val="11"/>
      <color rgb="FF008000"/>
      <name val="Tahoma"/>
      <family val="2"/>
    </font>
    <font>
      <b/>
      <sz val="11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15"/>
      <color theme="1"/>
      <name val="Tahoma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b/>
      <sz val="8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b/>
      <sz val="14"/>
      <color rgb="FF0000FF"/>
      <name val="Arial"/>
      <family val="2"/>
    </font>
    <font>
      <b/>
      <sz val="14"/>
      <color theme="1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b/>
      <sz val="6"/>
      <color theme="1"/>
      <name val="Arial"/>
      <family val="2"/>
    </font>
    <font>
      <b/>
      <sz val="6"/>
      <color rgb="FF0000CC"/>
      <name val="Arial"/>
      <family val="2"/>
    </font>
    <font>
      <sz val="14"/>
      <name val="Arial"/>
      <family val="2"/>
    </font>
    <font>
      <b/>
      <sz val="10.5"/>
      <name val="Arial"/>
      <family val="2"/>
    </font>
    <font>
      <b/>
      <sz val="13"/>
      <color theme="1"/>
      <name val="Arial"/>
      <family val="2"/>
    </font>
    <font>
      <b/>
      <sz val="11"/>
      <color rgb="FF005000"/>
      <name val="Arial"/>
      <family val="2"/>
    </font>
    <font>
      <b/>
      <sz val="12"/>
      <color rgb="FFFF0000"/>
      <name val="Arial"/>
      <family val="2"/>
    </font>
    <font>
      <b/>
      <sz val="8"/>
      <color rgb="FF006600"/>
      <name val="Arial"/>
      <family val="2"/>
    </font>
    <font>
      <b/>
      <u/>
      <sz val="9"/>
      <color rgb="FF6600CC"/>
      <name val="Arial"/>
      <family val="2"/>
    </font>
    <font>
      <b/>
      <u/>
      <sz val="10"/>
      <color rgb="FF6600CC"/>
      <name val="Arial"/>
      <family val="2"/>
    </font>
    <font>
      <b/>
      <sz val="14"/>
      <color rgb="FFFF0000"/>
      <name val="Arial"/>
      <family val="2"/>
    </font>
    <font>
      <b/>
      <sz val="12"/>
      <color theme="0"/>
      <name val="Arial"/>
      <family val="2"/>
    </font>
    <font>
      <b/>
      <sz val="13"/>
      <name val="Arial"/>
      <family val="2"/>
    </font>
    <font>
      <b/>
      <sz val="16"/>
      <color rgb="FFFF0000"/>
      <name val="Arial"/>
      <family val="2"/>
    </font>
    <font>
      <b/>
      <sz val="10"/>
      <color rgb="FF6600CC"/>
      <name val="Arial"/>
      <family val="2"/>
    </font>
    <font>
      <u/>
      <sz val="10"/>
      <color rgb="FF6600CC"/>
      <name val="Arial"/>
      <family val="2"/>
    </font>
    <font>
      <sz val="10"/>
      <color rgb="FF6600CC"/>
      <name val="Arial"/>
      <family val="2"/>
    </font>
    <font>
      <b/>
      <sz val="8"/>
      <color rgb="FF6600CC"/>
      <name val="Arial"/>
      <family val="2"/>
    </font>
    <font>
      <sz val="8"/>
      <color rgb="FF6600CC"/>
      <name val="Arial"/>
      <family val="2"/>
    </font>
    <font>
      <sz val="8"/>
      <color theme="0"/>
      <name val="Arial"/>
      <family val="2"/>
    </font>
    <font>
      <b/>
      <sz val="11"/>
      <color theme="0"/>
      <name val="Arial"/>
      <family val="2"/>
    </font>
    <font>
      <sz val="8"/>
      <color theme="0" tint="-0.34998626667073579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sz val="6"/>
      <color rgb="FF0000FF"/>
      <name val="Arial"/>
      <family val="2"/>
    </font>
    <font>
      <b/>
      <sz val="8"/>
      <color theme="8" tint="0.79998168889431442"/>
      <name val="Arial"/>
      <family val="2"/>
    </font>
    <font>
      <b/>
      <sz val="9"/>
      <color theme="8" tint="0.79998168889431442"/>
      <name val="Arial"/>
      <family val="2"/>
    </font>
    <font>
      <b/>
      <sz val="9"/>
      <color rgb="FFFFC000"/>
      <name val="Arial"/>
      <family val="2"/>
    </font>
    <font>
      <b/>
      <sz val="6"/>
      <color theme="1"/>
      <name val="Tahoma"/>
      <family val="2"/>
    </font>
    <font>
      <b/>
      <sz val="6"/>
      <color rgb="FFFF0000"/>
      <name val="Arial"/>
      <family val="2"/>
    </font>
    <font>
      <sz val="7"/>
      <color rgb="FFFFFF00"/>
      <name val="Arial"/>
      <family val="2"/>
    </font>
    <font>
      <sz val="8"/>
      <color theme="7" tint="0.79998168889431442"/>
      <name val="Arial"/>
      <family val="2"/>
    </font>
    <font>
      <sz val="10"/>
      <color theme="7" tint="0.79998168889431442"/>
      <name val="Arial"/>
      <family val="2"/>
    </font>
    <font>
      <sz val="10"/>
      <color rgb="FF1515FF"/>
      <name val="Arial"/>
      <family val="2"/>
    </font>
    <font>
      <b/>
      <sz val="8"/>
      <color rgb="FFFFFF00"/>
      <name val="Arial"/>
      <family val="2"/>
    </font>
    <font>
      <sz val="10"/>
      <color theme="0" tint="-0.249977111117893"/>
      <name val="Arial"/>
      <family val="2"/>
    </font>
    <font>
      <b/>
      <sz val="11"/>
      <color rgb="FF1515FF"/>
      <name val="Arial"/>
      <family val="2"/>
    </font>
    <font>
      <b/>
      <sz val="9"/>
      <color rgb="FF1515FF"/>
      <name val="Arial"/>
      <family val="2"/>
    </font>
    <font>
      <b/>
      <sz val="16"/>
      <color theme="1"/>
      <name val="Arial"/>
      <family val="2"/>
    </font>
    <font>
      <b/>
      <sz val="10"/>
      <color theme="1" tint="0.34998626667073579"/>
      <name val="Arial"/>
      <family val="2"/>
    </font>
    <font>
      <sz val="8"/>
      <color rgb="FFFFFF00"/>
      <name val="Arial"/>
      <family val="2"/>
    </font>
    <font>
      <b/>
      <sz val="10"/>
      <color theme="1"/>
      <name val="Calibri"/>
      <family val="2"/>
    </font>
    <font>
      <sz val="10"/>
      <color theme="4" tint="0.79998168889431442"/>
      <name val="Arial"/>
      <family val="2"/>
    </font>
    <font>
      <sz val="8"/>
      <color rgb="FFE2E2E2"/>
      <name val="Arial"/>
      <family val="2"/>
    </font>
    <font>
      <b/>
      <u/>
      <sz val="8"/>
      <name val="Arial"/>
      <family val="2"/>
    </font>
    <font>
      <b/>
      <sz val="16"/>
      <color rgb="FF0000FF"/>
      <name val="Arial"/>
      <family val="2"/>
    </font>
    <font>
      <b/>
      <sz val="10"/>
      <color rgb="FFFF0000"/>
      <name val="Tahoma"/>
      <family val="2"/>
    </font>
    <font>
      <b/>
      <sz val="10"/>
      <color rgb="FF0000FF"/>
      <name val="Tahoma"/>
      <family val="2"/>
    </font>
    <font>
      <b/>
      <sz val="11"/>
      <color theme="1"/>
      <name val="Tahoma"/>
      <family val="2"/>
    </font>
    <font>
      <sz val="8"/>
      <color theme="4" tint="0.79998168889431442"/>
      <name val="Arial"/>
      <family val="2"/>
    </font>
    <font>
      <b/>
      <sz val="10"/>
      <color theme="4" tint="0.79998168889431442"/>
      <name val="Arial"/>
      <family val="2"/>
    </font>
    <font>
      <b/>
      <sz val="16"/>
      <color theme="4" tint="0.79998168889431442"/>
      <name val="Arial"/>
      <family val="2"/>
    </font>
    <font>
      <sz val="8"/>
      <color theme="0" tint="-0.249977111117893"/>
      <name val="Arial"/>
      <family val="2"/>
    </font>
    <font>
      <sz val="6"/>
      <color theme="8" tint="0.7999816888943144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0" tint="-0.249977111117893"/>
      <name val="Arial"/>
      <family val="2"/>
    </font>
    <font>
      <sz val="9"/>
      <color theme="0"/>
      <name val="Arial"/>
      <family val="2"/>
    </font>
    <font>
      <sz val="11"/>
      <color theme="0" tint="-0.249977111117893"/>
      <name val="Arial"/>
      <family val="2"/>
    </font>
    <font>
      <b/>
      <sz val="13"/>
      <color rgb="FF0000FF"/>
      <name val="Arial"/>
      <family val="2"/>
    </font>
    <font>
      <sz val="8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sz val="8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5"/>
      <name val="Tahoma"/>
      <family val="2"/>
    </font>
    <font>
      <b/>
      <sz val="10"/>
      <color rgb="FF1515FF"/>
      <name val="Arial"/>
      <family val="2"/>
    </font>
    <font>
      <b/>
      <sz val="8"/>
      <color theme="1"/>
      <name val="Tahoma"/>
      <family val="2"/>
    </font>
    <font>
      <sz val="9"/>
      <color theme="0" tint="-0.34998626667073579"/>
      <name val="Arial"/>
      <family val="2"/>
    </font>
    <font>
      <b/>
      <sz val="10"/>
      <color theme="0"/>
      <name val="Arial"/>
      <family val="2"/>
    </font>
    <font>
      <b/>
      <sz val="8"/>
      <color rgb="FFFF0000"/>
      <name val="Arial"/>
      <family val="2"/>
    </font>
    <font>
      <sz val="7"/>
      <name val="Tahoma"/>
      <family val="2"/>
    </font>
    <font>
      <b/>
      <sz val="7"/>
      <color rgb="FF008000"/>
      <name val="Arial"/>
      <family val="2"/>
    </font>
    <font>
      <b/>
      <sz val="7"/>
      <color theme="1" tint="0.34998626667073579"/>
      <name val="Arial"/>
      <family val="2"/>
    </font>
    <font>
      <u/>
      <sz val="11"/>
      <color indexed="12"/>
      <name val="Arial"/>
      <family val="2"/>
    </font>
    <font>
      <b/>
      <sz val="12"/>
      <color rgb="FF008000"/>
      <name val="Arial"/>
      <family val="2"/>
    </font>
    <font>
      <b/>
      <sz val="10"/>
      <color theme="1"/>
      <name val="Tahoma"/>
      <family val="2"/>
    </font>
    <font>
      <b/>
      <sz val="10"/>
      <color theme="8" tint="0.79998168889431442"/>
      <name val="Arial"/>
      <family val="2"/>
    </font>
    <font>
      <sz val="11"/>
      <color theme="8" tint="0.79998168889431442"/>
      <name val="Arial"/>
      <family val="2"/>
    </font>
    <font>
      <b/>
      <sz val="12"/>
      <color rgb="FFFF0000"/>
      <name val="Tahoma"/>
      <family val="2"/>
    </font>
    <font>
      <b/>
      <sz val="12"/>
      <color rgb="FF0000FF"/>
      <name val="Tahoma"/>
      <family val="2"/>
    </font>
    <font>
      <b/>
      <sz val="20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4"/>
      <color rgb="FF008000"/>
      <name val="Arial"/>
      <family val="2"/>
    </font>
    <font>
      <b/>
      <sz val="12"/>
      <color theme="1" tint="0.34998626667073579"/>
      <name val="Arial"/>
      <family val="2"/>
    </font>
    <font>
      <b/>
      <sz val="12"/>
      <color theme="8" tint="0.79998168889431442"/>
      <name val="Arial"/>
      <family val="2"/>
    </font>
    <font>
      <b/>
      <sz val="15"/>
      <name val="Arial"/>
      <family val="2"/>
    </font>
    <font>
      <u/>
      <sz val="12"/>
      <color indexed="12"/>
      <name val="Arial"/>
      <family val="2"/>
    </font>
    <font>
      <b/>
      <u/>
      <sz val="12"/>
      <color rgb="FF0000FF"/>
      <name val="Arial"/>
      <family val="2"/>
    </font>
    <font>
      <b/>
      <sz val="18"/>
      <name val="Arial"/>
      <family val="2"/>
    </font>
    <font>
      <b/>
      <sz val="18"/>
      <color rgb="FF008000"/>
      <name val="Arial"/>
      <family val="2"/>
    </font>
    <font>
      <b/>
      <sz val="12"/>
      <color theme="1" tint="0.499984740745262"/>
      <name val="Arial"/>
      <family val="2"/>
    </font>
    <font>
      <b/>
      <sz val="14"/>
      <color theme="0"/>
      <name val="Arial"/>
      <family val="2"/>
    </font>
    <font>
      <b/>
      <sz val="13"/>
      <color theme="8" tint="0.79998168889431442"/>
      <name val="Arial"/>
      <family val="2"/>
    </font>
    <font>
      <b/>
      <sz val="12"/>
      <color rgb="FF005000"/>
      <name val="Tahoma"/>
      <family val="2"/>
    </font>
    <font>
      <b/>
      <u/>
      <sz val="10"/>
      <color indexed="12"/>
      <name val="Arial"/>
      <family val="2"/>
    </font>
    <font>
      <sz val="5"/>
      <color rgb="FF0000FF"/>
      <name val="Arial"/>
      <family val="2"/>
    </font>
    <font>
      <sz val="10"/>
      <color rgb="FFDAEEF3"/>
      <name val="Arial"/>
      <family val="2"/>
    </font>
    <font>
      <sz val="10"/>
      <color rgb="FFFFC000"/>
      <name val="Arial"/>
      <family val="2"/>
    </font>
    <font>
      <b/>
      <sz val="8"/>
      <color theme="0" tint="-0.14999847407452621"/>
      <name val="Arial"/>
      <family val="2"/>
    </font>
    <font>
      <sz val="10"/>
      <name val="Arial Unicode MS"/>
      <family val="2"/>
    </font>
    <font>
      <sz val="10"/>
      <color theme="4" tint="0.79998168889431442"/>
      <name val="Arial Unicode MS"/>
      <family val="2"/>
    </font>
    <font>
      <sz val="9"/>
      <color indexed="81"/>
      <name val="Tahoma"/>
      <family val="2"/>
    </font>
    <font>
      <b/>
      <sz val="8"/>
      <color rgb="FFFFC000"/>
      <name val="Arial"/>
      <family val="2"/>
    </font>
    <font>
      <sz val="8"/>
      <color theme="0" tint="-0.499984740745262"/>
      <name val="Arial"/>
      <family val="2"/>
    </font>
    <font>
      <sz val="10"/>
      <name val="Calibri"/>
      <family val="2"/>
    </font>
    <font>
      <b/>
      <sz val="8"/>
      <color rgb="FF7030A0"/>
      <name val="Arial"/>
      <family val="2"/>
    </font>
    <font>
      <b/>
      <sz val="9"/>
      <color theme="0"/>
      <name val="Arial"/>
      <family val="2"/>
    </font>
    <font>
      <b/>
      <sz val="8"/>
      <color theme="5" tint="0.59999389629810485"/>
      <name val="Arial"/>
      <family val="2"/>
    </font>
    <font>
      <sz val="8"/>
      <color theme="6" tint="0.79998168889431442"/>
      <name val="Arial"/>
      <family val="2"/>
    </font>
    <font>
      <b/>
      <sz val="8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sz val="7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b/>
      <sz val="13"/>
      <color theme="0"/>
      <name val="Arial"/>
      <family val="2"/>
    </font>
    <font>
      <sz val="7"/>
      <color theme="0" tint="-0.499984740745262"/>
      <name val="Arial"/>
      <family val="2"/>
    </font>
    <font>
      <sz val="6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5"/>
      <color theme="0" tint="-0.499984740745262"/>
      <name val="Arial"/>
      <family val="2"/>
    </font>
    <font>
      <b/>
      <sz val="5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sz val="10"/>
      <color theme="7" tint="0.79998168889431442"/>
      <name val="Arial"/>
      <family val="2"/>
    </font>
    <font>
      <b/>
      <sz val="16"/>
      <color theme="0"/>
      <name val="Arial"/>
      <family val="2"/>
    </font>
    <font>
      <b/>
      <sz val="8"/>
      <color rgb="FFE2E2E2"/>
      <name val="Arial"/>
      <family val="2"/>
    </font>
    <font>
      <b/>
      <sz val="11"/>
      <color rgb="FFE2E2E2"/>
      <name val="Arial"/>
      <family val="2"/>
    </font>
    <font>
      <b/>
      <sz val="13"/>
      <color rgb="FFFFFF00"/>
      <name val="Arial"/>
      <family val="2"/>
    </font>
    <font>
      <b/>
      <sz val="11"/>
      <color rgb="FF0000A2"/>
      <name val="Tahoma"/>
      <family val="2"/>
    </font>
    <font>
      <b/>
      <sz val="11"/>
      <color rgb="FFFFFF00"/>
      <name val="Arial"/>
      <family val="2"/>
    </font>
    <font>
      <sz val="10"/>
      <color rgb="FF00FF00"/>
      <name val="Arial"/>
      <family val="2"/>
    </font>
    <font>
      <b/>
      <sz val="9"/>
      <color rgb="FF006600"/>
      <name val="Arial"/>
      <family val="2"/>
    </font>
    <font>
      <b/>
      <sz val="11"/>
      <color rgb="FF006600"/>
      <name val="Arial"/>
      <family val="2"/>
    </font>
    <font>
      <sz val="12"/>
      <color theme="0"/>
      <name val="Impact"/>
      <family val="2"/>
    </font>
  </fonts>
  <fills count="9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gradientFill degree="270">
        <stop position="0">
          <color theme="6" tint="0.80001220740379042"/>
        </stop>
        <stop position="1">
          <color theme="6" tint="0.59999389629810485"/>
        </stop>
      </gradientFill>
    </fill>
    <fill>
      <gradientFill degree="270">
        <stop position="0">
          <color theme="0"/>
        </stop>
        <stop position="1">
          <color theme="8" tint="0.80001220740379042"/>
        </stop>
      </gradientFill>
    </fill>
    <fill>
      <gradientFill degree="270">
        <stop position="0">
          <color theme="0"/>
        </stop>
        <stop position="1">
          <color theme="6" tint="0.80001220740379042"/>
        </stop>
      </gradientFill>
    </fill>
    <fill>
      <patternFill patternType="solid">
        <fgColor rgb="FFFFFFE5"/>
        <bgColor indexed="64"/>
      </patternFill>
    </fill>
    <fill>
      <gradientFill type="path">
        <stop position="0">
          <color theme="7" tint="0.59999389629810485"/>
        </stop>
        <stop position="1">
          <color theme="8" tint="0.80001220740379042"/>
        </stop>
      </gradientFill>
    </fill>
    <fill>
      <gradientFill type="path" left="1" right="1">
        <stop position="0">
          <color theme="7" tint="0.59999389629810485"/>
        </stop>
        <stop position="1">
          <color theme="8" tint="0.80001220740379042"/>
        </stop>
      </gradientFill>
    </fill>
    <fill>
      <gradientFill degree="90">
        <stop position="0">
          <color theme="4" tint="0.80001220740379042"/>
        </stop>
        <stop position="0.5">
          <color theme="0"/>
        </stop>
        <stop position="1">
          <color theme="4" tint="0.80001220740379042"/>
        </stop>
      </gradient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gradientFill degree="90">
        <stop position="0">
          <color theme="0"/>
        </stop>
        <stop position="1">
          <color theme="6" tint="0.80001220740379042"/>
        </stop>
      </gradientFill>
    </fill>
    <fill>
      <gradientFill degree="90">
        <stop position="0">
          <color rgb="FFFFD0C5"/>
        </stop>
        <stop position="0.5">
          <color theme="0"/>
        </stop>
        <stop position="1">
          <color rgb="FFFFD0C5"/>
        </stop>
      </gradientFill>
    </fill>
    <fill>
      <gradientFill degree="90">
        <stop position="0">
          <color theme="6" tint="0.59999389629810485"/>
        </stop>
        <stop position="1">
          <color theme="6" tint="0.80001220740379042"/>
        </stop>
      </gradientFill>
    </fill>
    <fill>
      <gradientFill degree="90">
        <stop position="0">
          <color theme="0"/>
        </stop>
        <stop position="1">
          <color theme="4" tint="0.80001220740379042"/>
        </stop>
      </gradientFill>
    </fill>
    <fill>
      <gradientFill degree="90">
        <stop position="0">
          <color theme="7" tint="0.80001220740379042"/>
        </stop>
        <stop position="0.5">
          <color theme="0"/>
        </stop>
        <stop position="1">
          <color theme="7" tint="0.80001220740379042"/>
        </stop>
      </gradientFill>
    </fill>
    <fill>
      <gradientFill degree="270">
        <stop position="0">
          <color theme="0"/>
        </stop>
        <stop position="1">
          <color theme="4" tint="0.80001220740379042"/>
        </stop>
      </gradientFill>
    </fill>
    <fill>
      <gradientFill degree="90">
        <stop position="0">
          <color rgb="FFEDF2F9"/>
        </stop>
        <stop position="1">
          <color theme="4" tint="0.80001220740379042"/>
        </stop>
      </gradientFill>
    </fill>
    <fill>
      <gradientFill degree="90">
        <stop position="0">
          <color theme="0"/>
        </stop>
        <stop position="1">
          <color rgb="FFEDF2F9"/>
        </stop>
      </gradientFill>
    </fill>
    <fill>
      <gradientFill degree="90">
        <stop position="0">
          <color theme="6" tint="0.80001220740379042"/>
        </stop>
        <stop position="1">
          <color theme="0"/>
        </stop>
      </gradientFill>
    </fill>
    <fill>
      <gradientFill degree="270">
        <stop position="0">
          <color theme="6" tint="0.80001220740379042"/>
        </stop>
        <stop position="1">
          <color theme="0"/>
        </stop>
      </gradientFill>
    </fill>
    <fill>
      <gradientFill degree="90">
        <stop position="0">
          <color rgb="FFF2F7E9"/>
        </stop>
        <stop position="1">
          <color theme="6" tint="0.80001220740379042"/>
        </stop>
      </gradientFill>
    </fill>
    <fill>
      <gradientFill degree="270">
        <stop position="0">
          <color rgb="FFF2F7E9"/>
        </stop>
        <stop position="1">
          <color theme="6" tint="0.80001220740379042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7E9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25098422193060094"/>
        </stop>
      </gradientFill>
    </fill>
    <fill>
      <gradientFill type="path" left="0.5" right="0.5" top="0.5" bottom="0.5">
        <stop position="0">
          <color rgb="FF008000"/>
        </stop>
        <stop position="1">
          <color rgb="FFA7D971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gradientFill degree="90">
        <stop position="0">
          <color theme="0"/>
        </stop>
        <stop position="1">
          <color theme="9" tint="0.40000610370189521"/>
        </stop>
      </gradient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gradientFill degree="90">
        <stop position="0">
          <color theme="0"/>
        </stop>
        <stop position="1">
          <color theme="7" tint="0.40000610370189521"/>
        </stop>
      </gradientFill>
    </fill>
    <fill>
      <gradientFill degree="270">
        <stop position="0">
          <color theme="0"/>
        </stop>
        <stop position="1">
          <color theme="6" tint="0.40000610370189521"/>
        </stop>
      </gradientFill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DDE7F2"/>
        <bgColor indexed="64"/>
      </patternFill>
    </fill>
    <fill>
      <patternFill patternType="solid">
        <fgColor rgb="FFFCDDC4"/>
        <bgColor indexed="64"/>
      </patternFill>
    </fill>
    <fill>
      <patternFill patternType="solid">
        <fgColor rgb="FFFCDDC4"/>
        <bgColor auto="1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auto="1"/>
      </patternFill>
    </fill>
    <fill>
      <gradientFill degree="270">
        <stop position="0">
          <color theme="8" tint="0.59999389629810485"/>
        </stop>
        <stop position="1">
          <color theme="8" tint="0.40000610370189521"/>
        </stop>
      </gradientFill>
    </fill>
    <fill>
      <gradientFill degree="90">
        <stop position="0">
          <color theme="8" tint="0.59999389629810485"/>
        </stop>
        <stop position="1">
          <color theme="8" tint="0.80001220740379042"/>
        </stop>
      </gradientFill>
    </fill>
    <fill>
      <gradientFill degree="270">
        <stop position="0">
          <color rgb="FFE9F5F7"/>
        </stop>
        <stop position="1">
          <color theme="8" tint="0.80001220740379042"/>
        </stop>
      </gradientFill>
    </fill>
    <fill>
      <gradientFill degree="270">
        <stop position="0">
          <color theme="0"/>
        </stop>
        <stop position="1">
          <color rgb="FFE9F5F7"/>
        </stop>
      </gradientFill>
    </fill>
    <fill>
      <gradientFill degree="90">
        <stop position="0">
          <color rgb="FFB7DEE8"/>
        </stop>
        <stop position="1">
          <color theme="8" tint="0.80001220740379042"/>
        </stop>
      </gradientFill>
    </fill>
    <fill>
      <gradientFill degree="90">
        <stop position="0">
          <color rgb="FF0000FF"/>
        </stop>
        <stop position="1">
          <color rgb="FF9F9FFF"/>
        </stop>
      </gradientFill>
    </fill>
    <fill>
      <gradientFill degree="90">
        <stop position="0">
          <color rgb="FF9F9FFF"/>
        </stop>
        <stop position="1">
          <color rgb="FFE1E1FF"/>
        </stop>
      </gradientFill>
    </fill>
    <fill>
      <gradientFill degree="90">
        <stop position="0">
          <color rgb="FFE1E1FF"/>
        </stop>
        <stop position="1">
          <color rgb="FFF3F3FF"/>
        </stop>
      </gradientFill>
    </fill>
    <fill>
      <gradientFill degree="90">
        <stop position="0">
          <color theme="8" tint="-0.25098422193060094"/>
        </stop>
        <stop position="1">
          <color theme="8" tint="0.59999389629810485"/>
        </stop>
      </gradientFill>
    </fill>
    <fill>
      <gradientFill degree="270">
        <stop position="0">
          <color rgb="FF3F1C5A"/>
        </stop>
        <stop position="1">
          <color theme="1"/>
        </stop>
      </gradientFill>
    </fill>
    <fill>
      <gradientFill degree="270">
        <stop position="0">
          <color rgb="FF6C0092"/>
        </stop>
        <stop position="1">
          <color rgb="FF3F1C5A"/>
        </stop>
      </gradientFill>
    </fill>
    <fill>
      <patternFill patternType="solid">
        <fgColor rgb="FF6C0092"/>
        <bgColor indexed="64"/>
      </patternFill>
    </fill>
    <fill>
      <patternFill patternType="solid">
        <fgColor rgb="FF0000FF"/>
        <bgColor indexed="64"/>
      </patternFill>
    </fill>
    <fill>
      <gradientFill degree="90">
        <stop position="0">
          <color rgb="FFF3F3FF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gradientFill degree="90">
        <stop position="0">
          <color theme="1"/>
        </stop>
        <stop position="0.5">
          <color theme="0" tint="-0.34900967436750391"/>
        </stop>
        <stop position="1">
          <color theme="1"/>
        </stop>
      </gradientFill>
    </fill>
    <fill>
      <patternFill patternType="solid">
        <fgColor theme="0" tint="-0.14996795556505021"/>
        <bgColor indexed="64"/>
      </patternFill>
    </fill>
    <fill>
      <gradientFill degree="270">
        <stop position="0">
          <color rgb="FF5800B0"/>
        </stop>
        <stop position="1">
          <color rgb="FF860DFF"/>
        </stop>
      </gradientFill>
    </fill>
    <fill>
      <patternFill patternType="solid">
        <fgColor rgb="FF00FF00"/>
        <bgColor indexed="64"/>
      </patternFill>
    </fill>
    <fill>
      <patternFill patternType="solid">
        <fgColor rgb="FFCCFF99"/>
        <bgColor indexed="64"/>
      </patternFill>
    </fill>
  </fills>
  <borders count="1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auto="1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auto="1"/>
      </top>
      <bottom style="hair">
        <color indexed="64"/>
      </bottom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 style="medium">
        <color indexed="64"/>
      </left>
      <right/>
      <top/>
      <bottom style="thick">
        <color rgb="FF008000"/>
      </bottom>
      <diagonal/>
    </border>
    <border>
      <left/>
      <right style="medium">
        <color indexed="64"/>
      </right>
      <top/>
      <bottom style="thick">
        <color rgb="FF008000"/>
      </bottom>
      <diagonal/>
    </border>
    <border>
      <left style="medium">
        <color indexed="64"/>
      </left>
      <right/>
      <top style="thick">
        <color rgb="FF008000"/>
      </top>
      <bottom/>
      <diagonal/>
    </border>
    <border>
      <left/>
      <right style="medium">
        <color indexed="64"/>
      </right>
      <top style="thick">
        <color rgb="FF008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1515FF"/>
      </left>
      <right/>
      <top style="medium">
        <color rgb="FF1515FF"/>
      </top>
      <bottom style="medium">
        <color rgb="FF1515FF"/>
      </bottom>
      <diagonal/>
    </border>
    <border>
      <left/>
      <right/>
      <top style="medium">
        <color rgb="FF1515FF"/>
      </top>
      <bottom style="medium">
        <color rgb="FF1515FF"/>
      </bottom>
      <diagonal/>
    </border>
    <border>
      <left/>
      <right style="medium">
        <color rgb="FF1515FF"/>
      </right>
      <top style="medium">
        <color rgb="FF1515FF"/>
      </top>
      <bottom style="medium">
        <color rgb="FF1515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/>
      <top/>
      <bottom style="medium">
        <color rgb="FF1515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8000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rgb="FF7030A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rgb="FF0000FF"/>
      </bottom>
      <diagonal/>
    </border>
    <border>
      <left/>
      <right/>
      <top/>
      <bottom style="thin">
        <color theme="1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5">
    <xf numFmtId="178" fontId="0" fillId="0" borderId="0"/>
    <xf numFmtId="178" fontId="4" fillId="0" borderId="0" applyNumberFormat="0" applyFill="0" applyBorder="0" applyAlignment="0" applyProtection="0">
      <alignment vertical="top"/>
      <protection locked="0"/>
    </xf>
    <xf numFmtId="178" fontId="20" fillId="0" borderId="0"/>
    <xf numFmtId="178" fontId="3" fillId="0" borderId="0"/>
    <xf numFmtId="178" fontId="2" fillId="0" borderId="0"/>
  </cellStyleXfs>
  <cellXfs count="3698">
    <xf numFmtId="178" fontId="0" fillId="0" borderId="0" xfId="0"/>
    <xf numFmtId="169" fontId="24" fillId="0" borderId="0" xfId="0" applyNumberFormat="1" applyFont="1" applyFill="1" applyAlignment="1">
      <alignment horizontal="center"/>
    </xf>
    <xf numFmtId="1" fontId="23" fillId="0" borderId="0" xfId="0" applyNumberFormat="1" applyFont="1" applyFill="1" applyAlignment="1">
      <alignment horizontal="center"/>
    </xf>
    <xf numFmtId="178" fontId="25" fillId="0" borderId="0" xfId="0" applyFont="1"/>
    <xf numFmtId="178" fontId="18" fillId="5" borderId="16" xfId="0" applyFont="1" applyFill="1" applyBorder="1"/>
    <xf numFmtId="178" fontId="19" fillId="5" borderId="6" xfId="0" applyFont="1" applyFill="1" applyBorder="1"/>
    <xf numFmtId="178" fontId="19" fillId="5" borderId="5" xfId="0" applyFont="1" applyFill="1" applyBorder="1"/>
    <xf numFmtId="178" fontId="19" fillId="5" borderId="11" xfId="0" applyFont="1" applyFill="1" applyBorder="1"/>
    <xf numFmtId="178" fontId="19" fillId="5" borderId="13" xfId="0" applyFont="1" applyFill="1" applyBorder="1"/>
    <xf numFmtId="178" fontId="18" fillId="6" borderId="16" xfId="0" applyFont="1" applyFill="1" applyBorder="1"/>
    <xf numFmtId="178" fontId="19" fillId="6" borderId="6" xfId="0" applyFont="1" applyFill="1" applyBorder="1"/>
    <xf numFmtId="178" fontId="19" fillId="6" borderId="5" xfId="0" applyFont="1" applyFill="1" applyBorder="1"/>
    <xf numFmtId="178" fontId="19" fillId="6" borderId="11" xfId="0" applyFont="1" applyFill="1" applyBorder="1"/>
    <xf numFmtId="178" fontId="19" fillId="6" borderId="13" xfId="0" applyFont="1" applyFill="1" applyBorder="1"/>
    <xf numFmtId="178" fontId="18" fillId="7" borderId="16" xfId="0" applyFont="1" applyFill="1" applyBorder="1"/>
    <xf numFmtId="178" fontId="19" fillId="7" borderId="6" xfId="0" applyFont="1" applyFill="1" applyBorder="1"/>
    <xf numFmtId="178" fontId="19" fillId="7" borderId="5" xfId="0" applyFont="1" applyFill="1" applyBorder="1"/>
    <xf numFmtId="178" fontId="19" fillId="7" borderId="11" xfId="0" applyFont="1" applyFill="1" applyBorder="1"/>
    <xf numFmtId="178" fontId="19" fillId="7" borderId="13" xfId="0" applyFont="1" applyFill="1" applyBorder="1"/>
    <xf numFmtId="178" fontId="18" fillId="4" borderId="16" xfId="0" applyFont="1" applyFill="1" applyBorder="1"/>
    <xf numFmtId="178" fontId="19" fillId="4" borderId="6" xfId="0" applyFont="1" applyFill="1" applyBorder="1"/>
    <xf numFmtId="178" fontId="19" fillId="4" borderId="5" xfId="0" applyFont="1" applyFill="1" applyBorder="1"/>
    <xf numFmtId="178" fontId="19" fillId="4" borderId="11" xfId="0" applyFont="1" applyFill="1" applyBorder="1"/>
    <xf numFmtId="178" fontId="19" fillId="4" borderId="13" xfId="0" applyFont="1" applyFill="1" applyBorder="1"/>
    <xf numFmtId="173" fontId="28" fillId="0" borderId="0" xfId="0" applyNumberFormat="1" applyFont="1" applyProtection="1"/>
    <xf numFmtId="178" fontId="30" fillId="0" borderId="0" xfId="0" applyFont="1" applyProtection="1"/>
    <xf numFmtId="174" fontId="28" fillId="0" borderId="30" xfId="0" applyNumberFormat="1" applyFont="1" applyBorder="1" applyAlignment="1" applyProtection="1">
      <alignment horizontal="center"/>
    </xf>
    <xf numFmtId="178" fontId="28" fillId="0" borderId="30" xfId="0" applyFont="1" applyBorder="1" applyAlignment="1" applyProtection="1">
      <alignment horizontal="center"/>
    </xf>
    <xf numFmtId="178" fontId="31" fillId="0" borderId="0" xfId="0" applyFont="1" applyAlignment="1" applyProtection="1">
      <alignment horizontal="center"/>
    </xf>
    <xf numFmtId="178" fontId="0" fillId="0" borderId="0" xfId="0" applyProtection="1"/>
    <xf numFmtId="174" fontId="28" fillId="0" borderId="0" xfId="0" applyNumberFormat="1" applyFont="1" applyProtection="1"/>
    <xf numFmtId="178" fontId="0" fillId="0" borderId="0" xfId="0" applyAlignment="1" applyProtection="1">
      <alignment horizontal="center"/>
    </xf>
    <xf numFmtId="178" fontId="19" fillId="0" borderId="0" xfId="0" applyFont="1" applyFill="1" applyBorder="1"/>
    <xf numFmtId="178" fontId="18" fillId="8" borderId="16" xfId="0" applyFont="1" applyFill="1" applyBorder="1"/>
    <xf numFmtId="178" fontId="19" fillId="8" borderId="6" xfId="0" applyFont="1" applyFill="1" applyBorder="1"/>
    <xf numFmtId="178" fontId="19" fillId="8" borderId="11" xfId="0" applyFont="1" applyFill="1" applyBorder="1"/>
    <xf numFmtId="1" fontId="11" fillId="0" borderId="0" xfId="0" applyNumberFormat="1" applyFont="1"/>
    <xf numFmtId="178" fontId="11" fillId="0" borderId="0" xfId="0" applyFont="1"/>
    <xf numFmtId="1" fontId="11" fillId="0" borderId="0" xfId="0" applyNumberFormat="1" applyFont="1" applyFill="1" applyBorder="1"/>
    <xf numFmtId="2" fontId="11" fillId="0" borderId="0" xfId="0" applyNumberFormat="1" applyFont="1"/>
    <xf numFmtId="178" fontId="6" fillId="0" borderId="0" xfId="0" applyNumberFormat="1" applyFont="1" applyAlignment="1" applyProtection="1">
      <alignment horizontal="center" vertical="center"/>
      <protection hidden="1"/>
    </xf>
    <xf numFmtId="2" fontId="14" fillId="0" borderId="0" xfId="0" applyNumberFormat="1" applyFont="1" applyAlignment="1" applyProtection="1">
      <alignment vertical="center" wrapText="1"/>
      <protection hidden="1"/>
    </xf>
    <xf numFmtId="2" fontId="14" fillId="0" borderId="0" xfId="0" applyNumberFormat="1" applyFont="1" applyAlignment="1" applyProtection="1">
      <alignment vertical="center"/>
      <protection hidden="1"/>
    </xf>
    <xf numFmtId="188" fontId="14" fillId="0" borderId="0" xfId="0" applyNumberFormat="1" applyFont="1" applyAlignment="1" applyProtection="1">
      <alignment vertical="center"/>
      <protection hidden="1"/>
    </xf>
    <xf numFmtId="189" fontId="14" fillId="0" borderId="0" xfId="0" applyNumberFormat="1" applyFont="1" applyAlignment="1" applyProtection="1">
      <alignment vertical="center"/>
      <protection hidden="1"/>
    </xf>
    <xf numFmtId="178" fontId="87" fillId="0" borderId="0" xfId="0" applyFont="1"/>
    <xf numFmtId="1" fontId="87" fillId="0" borderId="0" xfId="0" applyNumberFormat="1" applyFont="1" applyBorder="1" applyAlignment="1"/>
    <xf numFmtId="1" fontId="87" fillId="0" borderId="0" xfId="0" applyNumberFormat="1" applyFont="1" applyAlignment="1"/>
    <xf numFmtId="178" fontId="11" fillId="0" borderId="0" xfId="0" applyFont="1" applyFill="1" applyBorder="1" applyAlignment="1">
      <alignment horizontal="center"/>
    </xf>
    <xf numFmtId="178" fontId="11" fillId="0" borderId="6" xfId="0" applyFont="1" applyFill="1" applyBorder="1" applyAlignment="1">
      <alignment horizontal="center"/>
    </xf>
    <xf numFmtId="1" fontId="11" fillId="0" borderId="0" xfId="0" applyNumberFormat="1" applyFont="1" applyAlignment="1">
      <alignment horizontal="left"/>
    </xf>
    <xf numFmtId="1" fontId="11" fillId="0" borderId="0" xfId="0" applyNumberFormat="1" applyFont="1" applyAlignment="1"/>
    <xf numFmtId="178" fontId="0" fillId="0" borderId="0" xfId="0"/>
    <xf numFmtId="178" fontId="0" fillId="0" borderId="0" xfId="0" applyProtection="1">
      <protection hidden="1"/>
    </xf>
    <xf numFmtId="178" fontId="0" fillId="0" borderId="0" xfId="0" applyBorder="1" applyProtection="1">
      <protection hidden="1"/>
    </xf>
    <xf numFmtId="178" fontId="5" fillId="0" borderId="0" xfId="0" applyFont="1" applyProtection="1">
      <protection hidden="1"/>
    </xf>
    <xf numFmtId="178" fontId="20" fillId="0" borderId="0" xfId="0" applyFont="1" applyProtection="1">
      <protection hidden="1"/>
    </xf>
    <xf numFmtId="1" fontId="0" fillId="0" borderId="0" xfId="0" applyNumberFormat="1" applyProtection="1">
      <protection hidden="1"/>
    </xf>
    <xf numFmtId="178" fontId="0" fillId="0" borderId="6" xfId="0" applyBorder="1" applyProtection="1">
      <protection hidden="1"/>
    </xf>
    <xf numFmtId="178" fontId="0" fillId="0" borderId="0" xfId="0" applyFill="1" applyProtection="1">
      <protection hidden="1"/>
    </xf>
    <xf numFmtId="178" fontId="20" fillId="0" borderId="0" xfId="0" applyFont="1" applyBorder="1" applyProtection="1">
      <protection hidden="1"/>
    </xf>
    <xf numFmtId="178" fontId="0" fillId="0" borderId="0" xfId="0" applyBorder="1" applyAlignment="1" applyProtection="1">
      <protection hidden="1"/>
    </xf>
    <xf numFmtId="1" fontId="14" fillId="0" borderId="0" xfId="0" applyNumberFormat="1" applyFont="1" applyBorder="1" applyProtection="1">
      <protection hidden="1"/>
    </xf>
    <xf numFmtId="178" fontId="77" fillId="34" borderId="0" xfId="0" applyFont="1" applyFill="1" applyBorder="1" applyAlignment="1" applyProtection="1">
      <alignment horizontal="left" vertical="center"/>
      <protection hidden="1"/>
    </xf>
    <xf numFmtId="178" fontId="77" fillId="34" borderId="0" xfId="0" applyFont="1" applyFill="1" applyBorder="1" applyAlignment="1" applyProtection="1">
      <alignment horizontal="right" vertical="center"/>
      <protection hidden="1"/>
    </xf>
    <xf numFmtId="178" fontId="78" fillId="34" borderId="0" xfId="0" applyFont="1" applyFill="1" applyBorder="1" applyAlignment="1" applyProtection="1">
      <alignment vertical="center"/>
      <protection hidden="1"/>
    </xf>
    <xf numFmtId="178" fontId="14" fillId="0" borderId="0" xfId="0" applyFont="1" applyProtection="1">
      <protection hidden="1"/>
    </xf>
    <xf numFmtId="178" fontId="86" fillId="0" borderId="0" xfId="0" applyFont="1" applyProtection="1">
      <protection hidden="1"/>
    </xf>
    <xf numFmtId="178" fontId="6" fillId="3" borderId="4" xfId="0" applyFont="1" applyFill="1" applyBorder="1" applyAlignment="1" applyProtection="1">
      <alignment horizontal="center" vertical="center" wrapText="1"/>
      <protection hidden="1"/>
    </xf>
    <xf numFmtId="178" fontId="6" fillId="3" borderId="89" xfId="0" applyFont="1" applyFill="1" applyBorder="1" applyAlignment="1" applyProtection="1">
      <alignment horizontal="center" vertical="center" wrapText="1"/>
      <protection hidden="1"/>
    </xf>
    <xf numFmtId="178" fontId="6" fillId="3" borderId="67" xfId="0" applyFont="1" applyFill="1" applyBorder="1" applyAlignment="1" applyProtection="1">
      <alignment vertical="center"/>
      <protection hidden="1"/>
    </xf>
    <xf numFmtId="178" fontId="6" fillId="3" borderId="90" xfId="0" applyFont="1" applyFill="1" applyBorder="1" applyAlignment="1" applyProtection="1">
      <alignment vertical="center"/>
      <protection hidden="1"/>
    </xf>
    <xf numFmtId="178" fontId="6" fillId="3" borderId="4" xfId="0" applyFont="1" applyFill="1" applyBorder="1" applyAlignment="1" applyProtection="1">
      <alignment vertical="center"/>
      <protection hidden="1"/>
    </xf>
    <xf numFmtId="178" fontId="6" fillId="3" borderId="0" xfId="0" applyFont="1" applyFill="1" applyBorder="1" applyAlignment="1" applyProtection="1">
      <alignment vertical="center"/>
      <protection hidden="1"/>
    </xf>
    <xf numFmtId="178" fontId="6" fillId="3" borderId="67" xfId="0" applyFont="1" applyFill="1" applyBorder="1" applyAlignment="1" applyProtection="1">
      <alignment vertical="center" wrapText="1"/>
      <protection hidden="1"/>
    </xf>
    <xf numFmtId="178" fontId="46" fillId="3" borderId="90" xfId="0" applyFont="1" applyFill="1" applyBorder="1" applyAlignment="1" applyProtection="1">
      <alignment horizontal="center"/>
      <protection hidden="1"/>
    </xf>
    <xf numFmtId="178" fontId="6" fillId="3" borderId="30" xfId="0" applyFont="1" applyFill="1" applyBorder="1" applyAlignment="1" applyProtection="1">
      <alignment vertical="center"/>
      <protection hidden="1"/>
    </xf>
    <xf numFmtId="165" fontId="7" fillId="0" borderId="7" xfId="0" applyNumberFormat="1" applyFont="1" applyFill="1" applyBorder="1" applyAlignment="1" applyProtection="1">
      <alignment horizontal="right" vertical="center"/>
      <protection hidden="1"/>
    </xf>
    <xf numFmtId="190" fontId="7" fillId="0" borderId="9" xfId="0" applyNumberFormat="1" applyFont="1" applyFill="1" applyBorder="1" applyAlignment="1" applyProtection="1">
      <alignment horizontal="center" vertical="center"/>
      <protection hidden="1"/>
    </xf>
    <xf numFmtId="191" fontId="6" fillId="0" borderId="9" xfId="0" applyNumberFormat="1" applyFont="1" applyFill="1" applyBorder="1" applyAlignment="1" applyProtection="1">
      <alignment horizontal="left" vertical="center"/>
      <protection hidden="1"/>
    </xf>
    <xf numFmtId="191" fontId="6" fillId="0" borderId="86" xfId="0" applyNumberFormat="1" applyFont="1" applyFill="1" applyBorder="1" applyAlignment="1" applyProtection="1">
      <alignment horizontal="center" vertical="center"/>
      <protection hidden="1"/>
    </xf>
    <xf numFmtId="12" fontId="66" fillId="0" borderId="7" xfId="0" applyNumberFormat="1" applyFont="1" applyFill="1" applyBorder="1" applyAlignment="1" applyProtection="1">
      <alignment horizontal="right" vertical="center"/>
      <protection hidden="1"/>
    </xf>
    <xf numFmtId="12" fontId="66" fillId="0" borderId="86" xfId="0" applyNumberFormat="1" applyFont="1" applyFill="1" applyBorder="1" applyAlignment="1" applyProtection="1">
      <alignment horizontal="right" vertical="center"/>
      <protection hidden="1"/>
    </xf>
    <xf numFmtId="1" fontId="7" fillId="0" borderId="7" xfId="0" applyNumberFormat="1" applyFont="1" applyFill="1" applyBorder="1" applyAlignment="1" applyProtection="1">
      <alignment horizontal="center" vertical="center"/>
      <protection hidden="1"/>
    </xf>
    <xf numFmtId="178" fontId="7" fillId="0" borderId="9" xfId="0" applyNumberFormat="1" applyFont="1" applyFill="1" applyBorder="1" applyAlignment="1" applyProtection="1">
      <alignment horizontal="center" vertical="center"/>
      <protection hidden="1"/>
    </xf>
    <xf numFmtId="178" fontId="7" fillId="0" borderId="85" xfId="0" applyNumberFormat="1" applyFont="1" applyFill="1" applyBorder="1" applyAlignment="1" applyProtection="1">
      <alignment horizontal="center" vertical="center"/>
      <protection hidden="1"/>
    </xf>
    <xf numFmtId="165" fontId="66" fillId="0" borderId="7" xfId="0" applyNumberFormat="1" applyFont="1" applyFill="1" applyBorder="1" applyAlignment="1" applyProtection="1">
      <alignment horizontal="center" vertical="center"/>
      <protection hidden="1"/>
    </xf>
    <xf numFmtId="165" fontId="66" fillId="0" borderId="86" xfId="0" applyNumberFormat="1" applyFont="1" applyFill="1" applyBorder="1" applyAlignment="1" applyProtection="1">
      <alignment horizontal="center" vertical="center"/>
      <protection hidden="1"/>
    </xf>
    <xf numFmtId="186" fontId="7" fillId="0" borderId="7" xfId="0" applyNumberFormat="1" applyFont="1" applyFill="1" applyBorder="1" applyAlignment="1" applyProtection="1">
      <alignment horizontal="center" vertical="center"/>
      <protection hidden="1"/>
    </xf>
    <xf numFmtId="166" fontId="6" fillId="0" borderId="86" xfId="0" applyNumberFormat="1" applyFont="1" applyFill="1" applyBorder="1" applyAlignment="1" applyProtection="1">
      <alignment horizontal="center" vertical="center"/>
      <protection hidden="1"/>
    </xf>
    <xf numFmtId="166" fontId="7" fillId="0" borderId="7" xfId="0" applyNumberFormat="1" applyFont="1" applyFill="1" applyBorder="1" applyAlignment="1" applyProtection="1">
      <alignment horizontal="center" vertical="center"/>
      <protection hidden="1"/>
    </xf>
    <xf numFmtId="9" fontId="6" fillId="0" borderId="7" xfId="0" quotePrefix="1" applyNumberFormat="1" applyFont="1" applyFill="1" applyBorder="1" applyAlignment="1" applyProtection="1">
      <alignment horizontal="center" vertical="center"/>
      <protection hidden="1"/>
    </xf>
    <xf numFmtId="176" fontId="58" fillId="2" borderId="7" xfId="0" quotePrefix="1" applyNumberFormat="1" applyFont="1" applyFill="1" applyBorder="1" applyAlignment="1" applyProtection="1">
      <alignment horizontal="center" vertical="center"/>
      <protection hidden="1"/>
    </xf>
    <xf numFmtId="2" fontId="6" fillId="0" borderId="7" xfId="0" applyNumberFormat="1" applyFont="1" applyFill="1" applyBorder="1" applyAlignment="1" applyProtection="1">
      <alignment horizontal="center" vertical="center"/>
      <protection hidden="1"/>
    </xf>
    <xf numFmtId="1" fontId="6" fillId="0" borderId="48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49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9" xfId="0" applyFont="1" applyFill="1" applyBorder="1" applyAlignment="1" applyProtection="1">
      <alignment horizontal="center"/>
      <protection hidden="1"/>
    </xf>
    <xf numFmtId="178" fontId="14" fillId="0" borderId="88" xfId="0" applyFont="1" applyFill="1" applyBorder="1" applyAlignment="1" applyProtection="1">
      <alignment horizontal="center"/>
      <protection hidden="1"/>
    </xf>
    <xf numFmtId="1" fontId="96" fillId="0" borderId="87" xfId="0" applyNumberFormat="1" applyFont="1" applyFill="1" applyBorder="1" applyAlignment="1" applyProtection="1">
      <alignment horizontal="center" vertical="center"/>
      <protection hidden="1"/>
    </xf>
    <xf numFmtId="1" fontId="96" fillId="0" borderId="29" xfId="0" applyNumberFormat="1" applyFont="1" applyFill="1" applyBorder="1" applyAlignment="1" applyProtection="1">
      <alignment horizontal="center" vertical="center"/>
      <protection hidden="1"/>
    </xf>
    <xf numFmtId="176" fontId="58" fillId="0" borderId="7" xfId="0" quotePrefix="1" applyNumberFormat="1" applyFont="1" applyFill="1" applyBorder="1" applyAlignment="1" applyProtection="1">
      <alignment horizontal="center" vertical="center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8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104" xfId="0" applyFont="1" applyFill="1" applyBorder="1" applyAlignment="1" applyProtection="1">
      <alignment horizontal="center"/>
      <protection hidden="1"/>
    </xf>
    <xf numFmtId="49" fontId="14" fillId="0" borderId="0" xfId="0" applyNumberFormat="1" applyFont="1" applyAlignment="1" applyProtection="1">
      <alignment vertical="center"/>
      <protection hidden="1"/>
    </xf>
    <xf numFmtId="1" fontId="14" fillId="0" borderId="0" xfId="0" applyNumberFormat="1" applyFont="1" applyAlignment="1" applyProtection="1">
      <alignment vertical="center"/>
      <protection hidden="1"/>
    </xf>
    <xf numFmtId="1" fontId="14" fillId="0" borderId="0" xfId="0" applyNumberFormat="1" applyFont="1" applyProtection="1">
      <protection hidden="1"/>
    </xf>
    <xf numFmtId="49" fontId="14" fillId="0" borderId="0" xfId="0" applyNumberFormat="1" applyFont="1" applyAlignment="1" applyProtection="1">
      <protection hidden="1"/>
    </xf>
    <xf numFmtId="49" fontId="14" fillId="0" borderId="0" xfId="0" applyNumberFormat="1" applyFont="1" applyProtection="1">
      <protection hidden="1"/>
    </xf>
    <xf numFmtId="193" fontId="14" fillId="0" borderId="0" xfId="0" applyNumberFormat="1" applyFont="1" applyAlignment="1" applyProtection="1">
      <protection hidden="1"/>
    </xf>
    <xf numFmtId="1" fontId="14" fillId="0" borderId="0" xfId="0" applyNumberFormat="1" applyFont="1" applyAlignment="1" applyProtection="1">
      <protection hidden="1"/>
    </xf>
    <xf numFmtId="178" fontId="44" fillId="0" borderId="0" xfId="0" applyFont="1" applyProtection="1"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185" fontId="14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14" fillId="0" borderId="4" xfId="0" applyNumberFormat="1" applyFont="1" applyBorder="1" applyAlignment="1" applyProtection="1">
      <alignment horizontal="center"/>
      <protection hidden="1"/>
    </xf>
    <xf numFmtId="178" fontId="46" fillId="0" borderId="0" xfId="0" applyFont="1" applyBorder="1" applyAlignment="1" applyProtection="1">
      <alignment wrapText="1"/>
      <protection hidden="1"/>
    </xf>
    <xf numFmtId="178" fontId="46" fillId="0" borderId="67" xfId="0" applyFont="1" applyBorder="1" applyAlignment="1" applyProtection="1">
      <alignment horizontal="center"/>
      <protection hidden="1"/>
    </xf>
    <xf numFmtId="178" fontId="46" fillId="0" borderId="90" xfId="0" applyFont="1" applyBorder="1" applyProtection="1">
      <protection hidden="1"/>
    </xf>
    <xf numFmtId="178" fontId="46" fillId="0" borderId="90" xfId="0" applyFont="1" applyBorder="1" applyAlignment="1" applyProtection="1">
      <alignment wrapText="1"/>
      <protection hidden="1"/>
    </xf>
    <xf numFmtId="178" fontId="46" fillId="0" borderId="90" xfId="0" applyFont="1" applyBorder="1" applyAlignment="1" applyProtection="1">
      <alignment horizontal="center" wrapText="1"/>
      <protection hidden="1"/>
    </xf>
    <xf numFmtId="178" fontId="46" fillId="0" borderId="82" xfId="0" applyFont="1" applyBorder="1" applyAlignment="1" applyProtection="1">
      <alignment wrapText="1"/>
      <protection hidden="1"/>
    </xf>
    <xf numFmtId="185" fontId="46" fillId="0" borderId="89" xfId="0" applyNumberFormat="1" applyFont="1" applyBorder="1" applyAlignment="1" applyProtection="1">
      <alignment horizontal="center"/>
      <protection hidden="1"/>
    </xf>
    <xf numFmtId="1" fontId="46" fillId="0" borderId="46" xfId="0" applyNumberFormat="1" applyFont="1" applyBorder="1" applyAlignment="1" applyProtection="1">
      <alignment horizontal="center"/>
      <protection hidden="1"/>
    </xf>
    <xf numFmtId="1" fontId="44" fillId="0" borderId="46" xfId="0" applyNumberFormat="1" applyFont="1" applyBorder="1" applyAlignment="1" applyProtection="1">
      <alignment horizontal="left"/>
      <protection hidden="1"/>
    </xf>
    <xf numFmtId="1" fontId="44" fillId="0" borderId="49" xfId="0" applyNumberFormat="1" applyFont="1" applyBorder="1" applyAlignment="1" applyProtection="1">
      <alignment horizontal="left"/>
      <protection hidden="1"/>
    </xf>
    <xf numFmtId="1" fontId="44" fillId="0" borderId="89" xfId="0" applyNumberFormat="1" applyFont="1" applyBorder="1" applyAlignment="1" applyProtection="1">
      <alignment horizontal="left"/>
      <protection hidden="1"/>
    </xf>
    <xf numFmtId="1" fontId="44" fillId="0" borderId="0" xfId="0" applyNumberFormat="1" applyFont="1" applyAlignment="1" applyProtection="1">
      <alignment horizontal="left"/>
      <protection hidden="1"/>
    </xf>
    <xf numFmtId="1" fontId="44" fillId="0" borderId="81" xfId="0" applyNumberFormat="1" applyFont="1" applyBorder="1" applyAlignment="1" applyProtection="1">
      <alignment horizontal="left"/>
      <protection hidden="1"/>
    </xf>
    <xf numFmtId="1" fontId="14" fillId="0" borderId="49" xfId="0" applyNumberFormat="1" applyFont="1" applyBorder="1" applyAlignment="1" applyProtection="1">
      <alignment horizontal="center"/>
      <protection hidden="1"/>
    </xf>
    <xf numFmtId="179" fontId="81" fillId="0" borderId="48" xfId="0" applyNumberFormat="1" applyFont="1" applyBorder="1" applyAlignment="1" applyProtection="1">
      <alignment horizontal="center"/>
      <protection hidden="1"/>
    </xf>
    <xf numFmtId="184" fontId="81" fillId="0" borderId="46" xfId="0" applyNumberFormat="1" applyFont="1" applyBorder="1" applyAlignment="1" applyProtection="1">
      <alignment horizontal="center"/>
      <protection hidden="1"/>
    </xf>
    <xf numFmtId="185" fontId="46" fillId="0" borderId="49" xfId="0" applyNumberFormat="1" applyFont="1" applyBorder="1" applyAlignment="1" applyProtection="1">
      <alignment horizontal="center"/>
      <protection hidden="1"/>
    </xf>
    <xf numFmtId="1" fontId="81" fillId="0" borderId="46" xfId="0" applyNumberFormat="1" applyFont="1" applyBorder="1" applyAlignment="1" applyProtection="1">
      <alignment horizontal="center"/>
      <protection hidden="1"/>
    </xf>
    <xf numFmtId="1" fontId="81" fillId="0" borderId="48" xfId="0" applyNumberFormat="1" applyFont="1" applyBorder="1" applyAlignment="1" applyProtection="1">
      <alignment horizontal="center"/>
      <protection hidden="1"/>
    </xf>
    <xf numFmtId="13" fontId="46" fillId="0" borderId="49" xfId="0" applyNumberFormat="1" applyFont="1" applyBorder="1" applyAlignment="1" applyProtection="1">
      <alignment horizontal="center"/>
      <protection hidden="1"/>
    </xf>
    <xf numFmtId="165" fontId="46" fillId="0" borderId="49" xfId="0" applyNumberFormat="1" applyFont="1" applyBorder="1" applyAlignment="1" applyProtection="1">
      <alignment horizontal="center"/>
      <protection hidden="1"/>
    </xf>
    <xf numFmtId="1" fontId="14" fillId="0" borderId="48" xfId="0" applyNumberFormat="1" applyFont="1" applyBorder="1" applyAlignment="1" applyProtection="1">
      <alignment horizontal="center"/>
      <protection hidden="1"/>
    </xf>
    <xf numFmtId="1" fontId="46" fillId="0" borderId="49" xfId="0" applyNumberFormat="1" applyFont="1" applyBorder="1" applyAlignment="1" applyProtection="1">
      <alignment horizontal="center"/>
      <protection hidden="1"/>
    </xf>
    <xf numFmtId="1" fontId="44" fillId="0" borderId="0" xfId="0" applyNumberFormat="1" applyFont="1" applyBorder="1" applyAlignment="1" applyProtection="1">
      <alignment horizontal="left"/>
      <protection hidden="1"/>
    </xf>
    <xf numFmtId="1" fontId="44" fillId="0" borderId="83" xfId="0" applyNumberFormat="1" applyFont="1" applyBorder="1" applyAlignment="1" applyProtection="1">
      <alignment horizontal="left"/>
      <protection hidden="1"/>
    </xf>
    <xf numFmtId="1" fontId="14" fillId="0" borderId="89" xfId="0" applyNumberFormat="1" applyFont="1" applyBorder="1" applyAlignment="1" applyProtection="1">
      <alignment horizontal="center"/>
      <protection hidden="1"/>
    </xf>
    <xf numFmtId="179" fontId="81" fillId="0" borderId="4" xfId="0" applyNumberFormat="1" applyFont="1" applyBorder="1" applyAlignment="1" applyProtection="1">
      <alignment horizontal="center"/>
      <protection hidden="1"/>
    </xf>
    <xf numFmtId="184" fontId="81" fillId="0" borderId="0" xfId="0" applyNumberFormat="1" applyFont="1" applyBorder="1" applyAlignment="1" applyProtection="1">
      <alignment horizontal="center"/>
      <protection hidden="1"/>
    </xf>
    <xf numFmtId="1" fontId="81" fillId="0" borderId="0" xfId="0" applyNumberFormat="1" applyFont="1" applyAlignment="1" applyProtection="1">
      <alignment horizontal="center"/>
      <protection hidden="1"/>
    </xf>
    <xf numFmtId="1" fontId="81" fillId="0" borderId="4" xfId="0" applyNumberFormat="1" applyFont="1" applyBorder="1" applyAlignment="1" applyProtection="1">
      <alignment horizontal="center"/>
      <protection hidden="1"/>
    </xf>
    <xf numFmtId="13" fontId="46" fillId="0" borderId="89" xfId="0" applyNumberFormat="1" applyFont="1" applyBorder="1" applyAlignment="1" applyProtection="1">
      <alignment horizontal="center"/>
      <protection hidden="1"/>
    </xf>
    <xf numFmtId="1" fontId="81" fillId="0" borderId="0" xfId="0" applyNumberFormat="1" applyFont="1" applyBorder="1" applyAlignment="1" applyProtection="1">
      <alignment horizontal="center"/>
      <protection hidden="1"/>
    </xf>
    <xf numFmtId="165" fontId="46" fillId="0" borderId="89" xfId="0" applyNumberFormat="1" applyFont="1" applyBorder="1" applyAlignment="1" applyProtection="1">
      <alignment horizontal="center"/>
      <protection hidden="1"/>
    </xf>
    <xf numFmtId="1" fontId="14" fillId="0" borderId="30" xfId="0" applyNumberFormat="1" applyFont="1" applyBorder="1" applyAlignment="1" applyProtection="1">
      <alignment horizontal="center"/>
      <protection hidden="1"/>
    </xf>
    <xf numFmtId="1" fontId="14" fillId="0" borderId="67" xfId="0" applyNumberFormat="1" applyFont="1" applyBorder="1" applyAlignment="1" applyProtection="1">
      <alignment horizontal="center"/>
      <protection hidden="1"/>
    </xf>
    <xf numFmtId="1" fontId="14" fillId="0" borderId="90" xfId="0" applyNumberFormat="1" applyFont="1" applyBorder="1" applyAlignment="1" applyProtection="1">
      <alignment horizontal="center"/>
      <protection hidden="1"/>
    </xf>
    <xf numFmtId="178" fontId="46" fillId="0" borderId="0" xfId="0" applyFont="1" applyProtection="1">
      <protection hidden="1"/>
    </xf>
    <xf numFmtId="178" fontId="44" fillId="0" borderId="0" xfId="0" applyFont="1" applyBorder="1" applyProtection="1">
      <protection hidden="1"/>
    </xf>
    <xf numFmtId="1" fontId="46" fillId="0" borderId="0" xfId="0" applyNumberFormat="1" applyFont="1" applyAlignment="1" applyProtection="1">
      <alignment horizontal="left"/>
      <protection hidden="1"/>
    </xf>
    <xf numFmtId="178" fontId="0" fillId="16" borderId="46" xfId="0" applyFill="1" applyBorder="1" applyAlignment="1" applyProtection="1">
      <alignment horizontal="center"/>
      <protection hidden="1"/>
    </xf>
    <xf numFmtId="178" fontId="70" fillId="16" borderId="46" xfId="0" applyFont="1" applyFill="1" applyBorder="1" applyAlignment="1" applyProtection="1">
      <alignment horizontal="center" vertical="center"/>
      <protection hidden="1"/>
    </xf>
    <xf numFmtId="1" fontId="69" fillId="16" borderId="9" xfId="0" applyNumberFormat="1" applyFont="1" applyFill="1" applyBorder="1" applyAlignment="1" applyProtection="1">
      <alignment vertical="center"/>
      <protection hidden="1"/>
    </xf>
    <xf numFmtId="1" fontId="22" fillId="16" borderId="9" xfId="0" applyNumberFormat="1" applyFont="1" applyFill="1" applyBorder="1" applyAlignment="1" applyProtection="1">
      <alignment vertical="center"/>
      <protection hidden="1"/>
    </xf>
    <xf numFmtId="164" fontId="15" fillId="0" borderId="46" xfId="0" applyNumberFormat="1" applyFont="1" applyBorder="1" applyAlignment="1" applyProtection="1">
      <alignment vertical="center"/>
      <protection hidden="1"/>
    </xf>
    <xf numFmtId="178" fontId="0" fillId="0" borderId="47" xfId="0" applyBorder="1" applyProtection="1">
      <protection hidden="1"/>
    </xf>
    <xf numFmtId="178" fontId="50" fillId="34" borderId="6" xfId="0" applyFont="1" applyFill="1" applyBorder="1" applyAlignment="1" applyProtection="1">
      <alignment vertical="center" wrapText="1"/>
      <protection hidden="1"/>
    </xf>
    <xf numFmtId="178" fontId="50" fillId="34" borderId="0" xfId="0" applyFont="1" applyFill="1" applyBorder="1" applyAlignment="1" applyProtection="1">
      <alignment vertical="center" wrapText="1"/>
      <protection hidden="1"/>
    </xf>
    <xf numFmtId="178" fontId="50" fillId="34" borderId="5" xfId="0" applyFont="1" applyFill="1" applyBorder="1" applyAlignment="1" applyProtection="1">
      <alignment vertical="center" wrapText="1"/>
      <protection hidden="1"/>
    </xf>
    <xf numFmtId="178" fontId="0" fillId="34" borderId="11" xfId="0" applyFill="1" applyBorder="1" applyAlignment="1" applyProtection="1">
      <protection hidden="1"/>
    </xf>
    <xf numFmtId="178" fontId="0" fillId="34" borderId="13" xfId="0" applyFill="1" applyBorder="1" applyAlignment="1" applyProtection="1">
      <protection hidden="1"/>
    </xf>
    <xf numFmtId="178" fontId="71" fillId="34" borderId="77" xfId="0" applyFont="1" applyFill="1" applyBorder="1" applyAlignment="1" applyProtection="1">
      <protection hidden="1"/>
    </xf>
    <xf numFmtId="178" fontId="71" fillId="34" borderId="76" xfId="0" applyFont="1" applyFill="1" applyBorder="1" applyAlignment="1" applyProtection="1">
      <protection hidden="1"/>
    </xf>
    <xf numFmtId="178" fontId="0" fillId="34" borderId="15" xfId="0" applyFill="1" applyBorder="1" applyAlignment="1" applyProtection="1">
      <protection hidden="1"/>
    </xf>
    <xf numFmtId="178" fontId="0" fillId="34" borderId="3" xfId="0" applyFill="1" applyBorder="1" applyAlignment="1" applyProtection="1">
      <protection hidden="1"/>
    </xf>
    <xf numFmtId="1" fontId="0" fillId="34" borderId="15" xfId="0" applyNumberFormat="1" applyFill="1" applyBorder="1" applyAlignment="1" applyProtection="1">
      <protection hidden="1"/>
    </xf>
    <xf numFmtId="1" fontId="71" fillId="34" borderId="76" xfId="0" applyNumberFormat="1" applyFont="1" applyFill="1" applyBorder="1" applyAlignment="1" applyProtection="1">
      <alignment vertical="center"/>
      <protection hidden="1"/>
    </xf>
    <xf numFmtId="1" fontId="71" fillId="34" borderId="77" xfId="0" applyNumberFormat="1" applyFont="1" applyFill="1" applyBorder="1" applyAlignment="1" applyProtection="1">
      <protection hidden="1"/>
    </xf>
    <xf numFmtId="1" fontId="71" fillId="34" borderId="76" xfId="0" applyNumberFormat="1" applyFont="1" applyFill="1" applyBorder="1" applyAlignment="1" applyProtection="1">
      <protection hidden="1"/>
    </xf>
    <xf numFmtId="1" fontId="71" fillId="34" borderId="16" xfId="0" applyNumberFormat="1" applyFont="1" applyFill="1" applyBorder="1" applyAlignment="1" applyProtection="1">
      <protection hidden="1"/>
    </xf>
    <xf numFmtId="1" fontId="71" fillId="34" borderId="18" xfId="0" applyNumberFormat="1" applyFont="1" applyFill="1" applyBorder="1" applyAlignment="1" applyProtection="1">
      <protection hidden="1"/>
    </xf>
    <xf numFmtId="178" fontId="15" fillId="0" borderId="0" xfId="0" applyFont="1" applyBorder="1" applyAlignment="1" applyProtection="1">
      <alignment vertical="center"/>
      <protection hidden="1"/>
    </xf>
    <xf numFmtId="178" fontId="46" fillId="34" borderId="6" xfId="0" applyFont="1" applyFill="1" applyBorder="1" applyAlignment="1" applyProtection="1">
      <alignment horizontal="right"/>
      <protection hidden="1"/>
    </xf>
    <xf numFmtId="178" fontId="46" fillId="34" borderId="0" xfId="0" applyFont="1" applyFill="1" applyBorder="1" applyAlignment="1" applyProtection="1">
      <alignment horizontal="right"/>
      <protection hidden="1"/>
    </xf>
    <xf numFmtId="178" fontId="46" fillId="34" borderId="40" xfId="0" applyFont="1" applyFill="1" applyBorder="1" applyAlignment="1" applyProtection="1">
      <alignment horizontal="right"/>
      <protection hidden="1"/>
    </xf>
    <xf numFmtId="178" fontId="22" fillId="34" borderId="5" xfId="0" applyFont="1" applyFill="1" applyBorder="1" applyAlignment="1" applyProtection="1">
      <alignment horizontal="left"/>
      <protection hidden="1"/>
    </xf>
    <xf numFmtId="1" fontId="78" fillId="34" borderId="0" xfId="0" applyNumberFormat="1" applyFont="1" applyFill="1" applyBorder="1" applyAlignment="1" applyProtection="1">
      <alignment horizontal="left" vertical="center"/>
      <protection hidden="1"/>
    </xf>
    <xf numFmtId="168" fontId="76" fillId="34" borderId="0" xfId="0" applyNumberFormat="1" applyFont="1" applyFill="1" applyBorder="1" applyAlignment="1" applyProtection="1">
      <alignment vertical="center"/>
      <protection hidden="1"/>
    </xf>
    <xf numFmtId="178" fontId="0" fillId="34" borderId="0" xfId="0" applyFill="1" applyAlignment="1" applyProtection="1">
      <protection hidden="1"/>
    </xf>
    <xf numFmtId="178" fontId="54" fillId="34" borderId="5" xfId="0" applyFont="1" applyFill="1" applyBorder="1" applyAlignment="1" applyProtection="1">
      <alignment horizontal="right"/>
      <protection hidden="1"/>
    </xf>
    <xf numFmtId="178" fontId="22" fillId="34" borderId="41" xfId="0" applyFont="1" applyFill="1" applyBorder="1" applyAlignment="1" applyProtection="1">
      <alignment horizontal="left" vertical="center"/>
      <protection hidden="1"/>
    </xf>
    <xf numFmtId="178" fontId="54" fillId="34" borderId="40" xfId="0" applyFont="1" applyFill="1" applyBorder="1" applyAlignment="1" applyProtection="1">
      <alignment horizontal="left" vertical="center"/>
      <protection hidden="1"/>
    </xf>
    <xf numFmtId="1" fontId="77" fillId="34" borderId="0" xfId="0" applyNumberFormat="1" applyFont="1" applyFill="1" applyBorder="1" applyAlignment="1" applyProtection="1">
      <alignment horizontal="right" vertical="center"/>
      <protection hidden="1"/>
    </xf>
    <xf numFmtId="178" fontId="0" fillId="34" borderId="0" xfId="0" applyFill="1" applyBorder="1" applyAlignment="1" applyProtection="1">
      <protection hidden="1"/>
    </xf>
    <xf numFmtId="178" fontId="22" fillId="34" borderId="52" xfId="0" applyFont="1" applyFill="1" applyBorder="1" applyAlignment="1" applyProtection="1">
      <alignment horizontal="left" vertical="center"/>
      <protection hidden="1"/>
    </xf>
    <xf numFmtId="178" fontId="22" fillId="34" borderId="0" xfId="0" applyFont="1" applyFill="1" applyBorder="1" applyAlignment="1" applyProtection="1">
      <alignment horizontal="center"/>
      <protection hidden="1"/>
    </xf>
    <xf numFmtId="178" fontId="44" fillId="34" borderId="0" xfId="0" applyFont="1" applyFill="1" applyBorder="1" applyAlignment="1" applyProtection="1">
      <alignment vertical="center"/>
      <protection hidden="1"/>
    </xf>
    <xf numFmtId="178" fontId="44" fillId="34" borderId="41" xfId="0" applyFont="1" applyFill="1" applyBorder="1" applyAlignment="1" applyProtection="1">
      <alignment vertical="center"/>
      <protection hidden="1"/>
    </xf>
    <xf numFmtId="178" fontId="44" fillId="34" borderId="5" xfId="0" applyFont="1" applyFill="1" applyBorder="1" applyAlignment="1" applyProtection="1">
      <alignment vertical="center"/>
      <protection hidden="1"/>
    </xf>
    <xf numFmtId="178" fontId="48" fillId="16" borderId="77" xfId="0" applyFont="1" applyFill="1" applyBorder="1" applyAlignment="1" applyProtection="1">
      <alignment vertical="center"/>
      <protection hidden="1"/>
    </xf>
    <xf numFmtId="178" fontId="48" fillId="16" borderId="75" xfId="0" applyFont="1" applyFill="1" applyBorder="1" applyAlignment="1" applyProtection="1">
      <alignment vertical="center"/>
      <protection hidden="1"/>
    </xf>
    <xf numFmtId="178" fontId="48" fillId="16" borderId="75" xfId="0" applyFont="1" applyFill="1" applyBorder="1" applyAlignment="1" applyProtection="1">
      <alignment horizontal="right" vertical="center"/>
      <protection hidden="1"/>
    </xf>
    <xf numFmtId="178" fontId="48" fillId="16" borderId="75" xfId="0" applyFont="1" applyFill="1" applyBorder="1" applyAlignment="1" applyProtection="1">
      <alignment horizontal="left" vertical="center"/>
      <protection hidden="1"/>
    </xf>
    <xf numFmtId="178" fontId="51" fillId="16" borderId="76" xfId="1" applyFont="1" applyFill="1" applyBorder="1" applyAlignment="1" applyProtection="1">
      <alignment horizontal="left" vertical="center"/>
      <protection hidden="1"/>
    </xf>
    <xf numFmtId="178" fontId="5" fillId="0" borderId="0" xfId="0" applyFont="1" applyBorder="1" applyProtection="1">
      <protection hidden="1"/>
    </xf>
    <xf numFmtId="178" fontId="14" fillId="0" borderId="0" xfId="0" applyFont="1" applyBorder="1" applyProtection="1">
      <protection hidden="1"/>
    </xf>
    <xf numFmtId="178" fontId="89" fillId="0" borderId="0" xfId="0" applyFont="1" applyBorder="1" applyProtection="1">
      <protection hidden="1"/>
    </xf>
    <xf numFmtId="178" fontId="44" fillId="0" borderId="0" xfId="0" applyFont="1" applyBorder="1" applyAlignment="1" applyProtection="1">
      <protection hidden="1"/>
    </xf>
    <xf numFmtId="49" fontId="14" fillId="0" borderId="0" xfId="0" applyNumberFormat="1" applyFont="1" applyBorder="1" applyProtection="1">
      <protection hidden="1"/>
    </xf>
    <xf numFmtId="1" fontId="14" fillId="0" borderId="0" xfId="0" applyNumberFormat="1" applyFont="1" applyBorder="1" applyAlignment="1" applyProtection="1">
      <alignment horizontal="right"/>
      <protection hidden="1"/>
    </xf>
    <xf numFmtId="178" fontId="14" fillId="0" borderId="0" xfId="0" applyFont="1" applyFill="1" applyBorder="1" applyProtection="1">
      <protection hidden="1"/>
    </xf>
    <xf numFmtId="178" fontId="54" fillId="34" borderId="6" xfId="0" applyFont="1" applyFill="1" applyBorder="1" applyAlignment="1" applyProtection="1">
      <alignment horizontal="right" vertical="center" wrapText="1"/>
      <protection hidden="1"/>
    </xf>
    <xf numFmtId="178" fontId="54" fillId="34" borderId="0" xfId="0" applyFont="1" applyFill="1" applyBorder="1" applyAlignment="1" applyProtection="1">
      <alignment horizontal="right" vertical="center" wrapText="1"/>
      <protection hidden="1"/>
    </xf>
    <xf numFmtId="178" fontId="54" fillId="34" borderId="0" xfId="0" applyFont="1" applyFill="1" applyBorder="1" applyAlignment="1" applyProtection="1">
      <alignment vertical="center" wrapText="1"/>
      <protection hidden="1"/>
    </xf>
    <xf numFmtId="178" fontId="50" fillId="34" borderId="6" xfId="0" applyFont="1" applyFill="1" applyBorder="1" applyAlignment="1" applyProtection="1">
      <alignment horizontal="left" vertical="center"/>
      <protection hidden="1"/>
    </xf>
    <xf numFmtId="178" fontId="50" fillId="34" borderId="5" xfId="0" applyFont="1" applyFill="1" applyBorder="1" applyAlignment="1" applyProtection="1">
      <alignment horizontal="right"/>
      <protection hidden="1"/>
    </xf>
    <xf numFmtId="178" fontId="50" fillId="34" borderId="40" xfId="0" applyFont="1" applyFill="1" applyBorder="1" applyAlignment="1" applyProtection="1">
      <alignment horizontal="left" vertical="center"/>
      <protection hidden="1"/>
    </xf>
    <xf numFmtId="178" fontId="13" fillId="0" borderId="37" xfId="0" applyFont="1" applyBorder="1" applyProtection="1">
      <protection hidden="1"/>
    </xf>
    <xf numFmtId="178" fontId="13" fillId="0" borderId="38" xfId="0" applyFont="1" applyBorder="1" applyProtection="1">
      <protection hidden="1"/>
    </xf>
    <xf numFmtId="178" fontId="13" fillId="0" borderId="39" xfId="0" applyFont="1" applyBorder="1" applyProtection="1">
      <protection hidden="1"/>
    </xf>
    <xf numFmtId="178" fontId="13" fillId="0" borderId="0" xfId="0" applyFont="1" applyProtection="1">
      <protection hidden="1"/>
    </xf>
    <xf numFmtId="178" fontId="13" fillId="0" borderId="40" xfId="0" applyFont="1" applyBorder="1" applyProtection="1">
      <protection hidden="1"/>
    </xf>
    <xf numFmtId="178" fontId="13" fillId="0" borderId="16" xfId="0" applyFont="1" applyFill="1" applyBorder="1" applyProtection="1">
      <protection hidden="1"/>
    </xf>
    <xf numFmtId="178" fontId="13" fillId="0" borderId="17" xfId="0" applyFont="1" applyFill="1" applyBorder="1" applyProtection="1">
      <protection hidden="1"/>
    </xf>
    <xf numFmtId="178" fontId="10" fillId="0" borderId="17" xfId="0" applyFont="1" applyFill="1" applyBorder="1" applyAlignment="1" applyProtection="1">
      <protection hidden="1"/>
    </xf>
    <xf numFmtId="178" fontId="10" fillId="3" borderId="17" xfId="0" applyFont="1" applyFill="1" applyBorder="1" applyAlignment="1" applyProtection="1">
      <protection hidden="1"/>
    </xf>
    <xf numFmtId="178" fontId="13" fillId="3" borderId="17" xfId="0" applyFont="1" applyFill="1" applyBorder="1" applyProtection="1">
      <protection hidden="1"/>
    </xf>
    <xf numFmtId="178" fontId="13" fillId="3" borderId="18" xfId="0" applyFont="1" applyFill="1" applyBorder="1" applyProtection="1">
      <protection hidden="1"/>
    </xf>
    <xf numFmtId="178" fontId="13" fillId="0" borderId="41" xfId="0" applyFont="1" applyBorder="1" applyProtection="1">
      <protection hidden="1"/>
    </xf>
    <xf numFmtId="178" fontId="13" fillId="0" borderId="28" xfId="0" applyFont="1" applyFill="1" applyBorder="1" applyProtection="1">
      <protection hidden="1"/>
    </xf>
    <xf numFmtId="178" fontId="13" fillId="0" borderId="9" xfId="0" applyFont="1" applyFill="1" applyBorder="1" applyProtection="1">
      <protection hidden="1"/>
    </xf>
    <xf numFmtId="178" fontId="13" fillId="15" borderId="53" xfId="0" applyFont="1" applyFill="1" applyBorder="1" applyProtection="1">
      <protection hidden="1"/>
    </xf>
    <xf numFmtId="178" fontId="13" fillId="15" borderId="9" xfId="0" applyFont="1" applyFill="1" applyBorder="1" applyProtection="1">
      <protection hidden="1"/>
    </xf>
    <xf numFmtId="178" fontId="13" fillId="15" borderId="10" xfId="0" applyFont="1" applyFill="1" applyBorder="1" applyProtection="1">
      <protection hidden="1"/>
    </xf>
    <xf numFmtId="178" fontId="12" fillId="0" borderId="6" xfId="0" applyFont="1" applyBorder="1" applyProtection="1">
      <protection hidden="1"/>
    </xf>
    <xf numFmtId="178" fontId="13" fillId="0" borderId="0" xfId="0" applyFont="1" applyBorder="1" applyProtection="1">
      <protection hidden="1"/>
    </xf>
    <xf numFmtId="178" fontId="13" fillId="0" borderId="5" xfId="0" applyFont="1" applyBorder="1" applyProtection="1">
      <protection hidden="1"/>
    </xf>
    <xf numFmtId="178" fontId="0" fillId="0" borderId="6" xfId="0" applyFill="1" applyBorder="1" applyProtection="1">
      <protection hidden="1"/>
    </xf>
    <xf numFmtId="178" fontId="12" fillId="0" borderId="0" xfId="0" applyNumberFormat="1" applyFont="1" applyFill="1" applyBorder="1" applyAlignment="1" applyProtection="1">
      <alignment vertical="center"/>
      <protection hidden="1"/>
    </xf>
    <xf numFmtId="178" fontId="41" fillId="0" borderId="0" xfId="0" applyFont="1" applyFill="1" applyBorder="1" applyProtection="1">
      <protection hidden="1"/>
    </xf>
    <xf numFmtId="167" fontId="26" fillId="0" borderId="0" xfId="0" applyNumberFormat="1" applyFont="1" applyFill="1" applyBorder="1" applyAlignment="1" applyProtection="1">
      <alignment vertical="center" wrapText="1"/>
      <protection hidden="1"/>
    </xf>
    <xf numFmtId="167" fontId="26" fillId="0" borderId="5" xfId="0" applyNumberFormat="1" applyFont="1" applyFill="1" applyBorder="1" applyAlignment="1" applyProtection="1">
      <alignment vertical="center" wrapText="1"/>
      <protection hidden="1"/>
    </xf>
    <xf numFmtId="178" fontId="0" fillId="0" borderId="11" xfId="0" applyFill="1" applyBorder="1" applyProtection="1"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41" fillId="0" borderId="12" xfId="0" applyFont="1" applyFill="1" applyBorder="1" applyProtection="1">
      <protection hidden="1"/>
    </xf>
    <xf numFmtId="167" fontId="45" fillId="27" borderId="12" xfId="0" applyNumberFormat="1" applyFont="1" applyFill="1" applyBorder="1" applyAlignment="1" applyProtection="1">
      <alignment horizontal="left" vertical="center" wrapText="1"/>
      <protection hidden="1"/>
    </xf>
    <xf numFmtId="167" fontId="26" fillId="0" borderId="12" xfId="0" applyNumberFormat="1" applyFont="1" applyFill="1" applyBorder="1" applyAlignment="1" applyProtection="1">
      <alignment vertical="center" wrapText="1"/>
      <protection hidden="1"/>
    </xf>
    <xf numFmtId="167" fontId="26" fillId="0" borderId="13" xfId="0" applyNumberFormat="1" applyFont="1" applyFill="1" applyBorder="1" applyAlignment="1" applyProtection="1">
      <alignment vertical="center" wrapText="1"/>
      <protection hidden="1"/>
    </xf>
    <xf numFmtId="167" fontId="12" fillId="0" borderId="0" xfId="0" applyNumberFormat="1" applyFont="1" applyFill="1" applyBorder="1" applyAlignment="1" applyProtection="1">
      <alignment vertical="center"/>
      <protection hidden="1"/>
    </xf>
    <xf numFmtId="178" fontId="21" fillId="0" borderId="0" xfId="0" applyNumberFormat="1" applyFont="1" applyFill="1" applyBorder="1" applyAlignment="1" applyProtection="1">
      <alignment horizontal="center" vertical="center"/>
      <protection hidden="1"/>
    </xf>
    <xf numFmtId="167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32" fillId="0" borderId="0" xfId="0" applyNumberFormat="1" applyFont="1" applyFill="1" applyBorder="1" applyAlignment="1" applyProtection="1">
      <alignment vertical="center" wrapText="1"/>
      <protection hidden="1"/>
    </xf>
    <xf numFmtId="167" fontId="101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101" fillId="0" borderId="0" xfId="0" applyNumberFormat="1" applyFont="1" applyFill="1" applyBorder="1" applyAlignment="1" applyProtection="1">
      <alignment horizontal="center" vertical="center"/>
      <protection hidden="1"/>
    </xf>
    <xf numFmtId="167" fontId="101" fillId="0" borderId="52" xfId="0" applyNumberFormat="1" applyFont="1" applyFill="1" applyBorder="1" applyAlignment="1" applyProtection="1">
      <alignment horizontal="center" vertical="center"/>
      <protection hidden="1"/>
    </xf>
    <xf numFmtId="178" fontId="13" fillId="0" borderId="40" xfId="0" applyFont="1" applyBorder="1" applyAlignment="1" applyProtection="1">
      <alignment vertical="center"/>
      <protection hidden="1"/>
    </xf>
    <xf numFmtId="178" fontId="13" fillId="0" borderId="41" xfId="0" applyFont="1" applyBorder="1" applyAlignment="1" applyProtection="1">
      <alignment vertical="center"/>
      <protection hidden="1"/>
    </xf>
    <xf numFmtId="178" fontId="13" fillId="0" borderId="0" xfId="0" applyFont="1" applyAlignment="1" applyProtection="1">
      <alignment vertical="center"/>
      <protection hidden="1"/>
    </xf>
    <xf numFmtId="168" fontId="38" fillId="0" borderId="0" xfId="0" applyNumberFormat="1" applyFont="1" applyFill="1" applyBorder="1" applyAlignment="1" applyProtection="1">
      <alignment horizontal="left" vertical="center" wrapText="1"/>
      <protection hidden="1"/>
    </xf>
    <xf numFmtId="168" fontId="38" fillId="0" borderId="52" xfId="0" applyNumberFormat="1" applyFont="1" applyFill="1" applyBorder="1" applyAlignment="1" applyProtection="1">
      <alignment horizontal="left" vertical="center" wrapText="1"/>
      <protection hidden="1"/>
    </xf>
    <xf numFmtId="178" fontId="34" fillId="0" borderId="0" xfId="0" applyFont="1" applyFill="1" applyBorder="1" applyAlignment="1" applyProtection="1">
      <alignment horizontal="left"/>
      <protection hidden="1"/>
    </xf>
    <xf numFmtId="1" fontId="42" fillId="0" borderId="0" xfId="0" applyNumberFormat="1" applyFont="1" applyFill="1" applyBorder="1" applyAlignment="1" applyProtection="1">
      <alignment horizontal="left"/>
      <protection hidden="1"/>
    </xf>
    <xf numFmtId="1" fontId="99" fillId="0" borderId="52" xfId="0" applyNumberFormat="1" applyFont="1" applyFill="1" applyBorder="1" applyAlignment="1" applyProtection="1">
      <alignment horizontal="left"/>
      <protection hidden="1"/>
    </xf>
    <xf numFmtId="178" fontId="33" fillId="0" borderId="0" xfId="0" applyFont="1" applyFill="1" applyBorder="1" applyAlignment="1" applyProtection="1">
      <alignment horizontal="center" wrapText="1"/>
      <protection hidden="1"/>
    </xf>
    <xf numFmtId="178" fontId="33" fillId="0" borderId="52" xfId="0" applyFont="1" applyFill="1" applyBorder="1" applyAlignment="1" applyProtection="1">
      <alignment horizontal="center" wrapText="1"/>
      <protection hidden="1"/>
    </xf>
    <xf numFmtId="178" fontId="9" fillId="0" borderId="18" xfId="0" applyFont="1" applyFill="1" applyBorder="1" applyAlignment="1" applyProtection="1">
      <alignment vertical="center" wrapText="1"/>
      <protection hidden="1"/>
    </xf>
    <xf numFmtId="178" fontId="9" fillId="0" borderId="0" xfId="0" applyFont="1" applyFill="1" applyBorder="1" applyAlignment="1" applyProtection="1">
      <alignment vertical="center" wrapText="1"/>
      <protection hidden="1"/>
    </xf>
    <xf numFmtId="178" fontId="13" fillId="0" borderId="18" xfId="0" applyFont="1" applyFill="1" applyBorder="1" applyProtection="1">
      <protection hidden="1"/>
    </xf>
    <xf numFmtId="178" fontId="13" fillId="0" borderId="0" xfId="0" applyFont="1" applyFill="1" applyBorder="1" applyProtection="1">
      <protection hidden="1"/>
    </xf>
    <xf numFmtId="178" fontId="13" fillId="0" borderId="52" xfId="0" applyFont="1" applyFill="1" applyBorder="1" applyProtection="1">
      <protection hidden="1"/>
    </xf>
    <xf numFmtId="168" fontId="79" fillId="32" borderId="1" xfId="0" applyNumberFormat="1" applyFont="1" applyFill="1" applyBorder="1" applyAlignment="1" applyProtection="1">
      <alignment horizontal="center" vertical="center" wrapText="1"/>
      <protection hidden="1"/>
    </xf>
    <xf numFmtId="178" fontId="13" fillId="21" borderId="5" xfId="0" applyFont="1" applyFill="1" applyBorder="1" applyAlignment="1" applyProtection="1">
      <alignment vertical="center"/>
      <protection hidden="1"/>
    </xf>
    <xf numFmtId="168" fontId="8" fillId="0" borderId="0" xfId="0" applyNumberFormat="1" applyFont="1" applyFill="1" applyBorder="1" applyAlignment="1" applyProtection="1">
      <alignment vertical="center" wrapText="1"/>
      <protection hidden="1"/>
    </xf>
    <xf numFmtId="178" fontId="13" fillId="0" borderId="5" xfId="0" applyFont="1" applyFill="1" applyBorder="1" applyAlignment="1" applyProtection="1">
      <alignment vertical="center"/>
      <protection hidden="1"/>
    </xf>
    <xf numFmtId="178" fontId="13" fillId="0" borderId="0" xfId="0" applyFont="1" applyFill="1" applyBorder="1" applyAlignment="1" applyProtection="1">
      <alignment vertical="center"/>
      <protection hidden="1"/>
    </xf>
    <xf numFmtId="178" fontId="13" fillId="0" borderId="52" xfId="0" applyFont="1" applyFill="1" applyBorder="1" applyAlignment="1" applyProtection="1">
      <alignment vertical="center"/>
      <protection hidden="1"/>
    </xf>
    <xf numFmtId="178" fontId="13" fillId="0" borderId="5" xfId="0" applyFont="1" applyFill="1" applyBorder="1" applyAlignment="1" applyProtection="1">
      <alignment horizontal="center"/>
      <protection hidden="1"/>
    </xf>
    <xf numFmtId="178" fontId="13" fillId="0" borderId="5" xfId="0" applyFont="1" applyFill="1" applyBorder="1" applyProtection="1">
      <protection hidden="1"/>
    </xf>
    <xf numFmtId="178" fontId="40" fillId="0" borderId="0" xfId="0" applyFont="1" applyFill="1" applyBorder="1" applyAlignment="1" applyProtection="1">
      <alignment horizontal="center" vertical="center"/>
      <protection hidden="1"/>
    </xf>
    <xf numFmtId="178" fontId="40" fillId="0" borderId="52" xfId="0" applyFont="1" applyFill="1" applyBorder="1" applyAlignment="1" applyProtection="1">
      <alignment horizontal="center" vertical="center"/>
      <protection hidden="1"/>
    </xf>
    <xf numFmtId="178" fontId="7" fillId="0" borderId="0" xfId="0" applyFont="1" applyFill="1" applyBorder="1" applyProtection="1">
      <protection hidden="1"/>
    </xf>
    <xf numFmtId="178" fontId="7" fillId="0" borderId="52" xfId="0" applyFont="1" applyFill="1" applyBorder="1" applyProtection="1">
      <protection hidden="1"/>
    </xf>
    <xf numFmtId="178" fontId="13" fillId="0" borderId="42" xfId="0" applyFont="1" applyBorder="1" applyProtection="1">
      <protection hidden="1"/>
    </xf>
    <xf numFmtId="178" fontId="13" fillId="0" borderId="43" xfId="0" applyFont="1" applyFill="1" applyBorder="1" applyProtection="1">
      <protection hidden="1"/>
    </xf>
    <xf numFmtId="178" fontId="13" fillId="0" borderId="0" xfId="0" applyFont="1" applyFill="1" applyProtection="1">
      <protection hidden="1"/>
    </xf>
    <xf numFmtId="178" fontId="7" fillId="0" borderId="0" xfId="0" applyFont="1" applyFill="1" applyAlignment="1" applyProtection="1">
      <alignment horizontal="center" vertical="center"/>
      <protection hidden="1"/>
    </xf>
    <xf numFmtId="178" fontId="7" fillId="0" borderId="0" xfId="0" applyFont="1" applyFill="1" applyAlignment="1" applyProtection="1">
      <alignment vertical="center"/>
      <protection hidden="1"/>
    </xf>
    <xf numFmtId="178" fontId="36" fillId="0" borderId="0" xfId="0" applyFont="1" applyFill="1" applyProtection="1">
      <protection hidden="1"/>
    </xf>
    <xf numFmtId="178" fontId="35" fillId="0" borderId="0" xfId="0" applyFont="1" applyFill="1" applyProtection="1">
      <protection hidden="1"/>
    </xf>
    <xf numFmtId="178" fontId="36" fillId="0" borderId="0" xfId="0" applyFont="1" applyProtection="1">
      <protection hidden="1"/>
    </xf>
    <xf numFmtId="178" fontId="39" fillId="0" borderId="0" xfId="0" applyFont="1" applyFill="1" applyProtection="1">
      <protection hidden="1"/>
    </xf>
    <xf numFmtId="178" fontId="41" fillId="0" borderId="0" xfId="0" applyFont="1" applyProtection="1">
      <protection hidden="1"/>
    </xf>
    <xf numFmtId="169" fontId="24" fillId="30" borderId="0" xfId="0" applyNumberFormat="1" applyFont="1" applyFill="1" applyAlignment="1">
      <alignment horizontal="center"/>
    </xf>
    <xf numFmtId="1" fontId="23" fillId="30" borderId="0" xfId="0" applyNumberFormat="1" applyFont="1" applyFill="1" applyAlignment="1">
      <alignment horizontal="center"/>
    </xf>
    <xf numFmtId="168" fontId="85" fillId="0" borderId="0" xfId="0" applyNumberFormat="1" applyFont="1" applyFill="1" applyBorder="1" applyAlignment="1" applyProtection="1">
      <alignment horizontal="left" vertical="center" wrapText="1"/>
      <protection hidden="1"/>
    </xf>
    <xf numFmtId="168" fontId="85" fillId="0" borderId="52" xfId="0" applyNumberFormat="1" applyFont="1" applyFill="1" applyBorder="1" applyAlignment="1" applyProtection="1">
      <alignment horizontal="left" vertical="center" wrapText="1"/>
      <protection hidden="1"/>
    </xf>
    <xf numFmtId="1" fontId="111" fillId="0" borderId="0" xfId="0" applyNumberFormat="1" applyFont="1" applyFill="1" applyBorder="1" applyAlignment="1" applyProtection="1">
      <alignment horizontal="left"/>
      <protection hidden="1"/>
    </xf>
    <xf numFmtId="1" fontId="110" fillId="0" borderId="52" xfId="0" applyNumberFormat="1" applyFont="1" applyFill="1" applyBorder="1" applyAlignment="1" applyProtection="1">
      <alignment horizontal="left"/>
      <protection hidden="1"/>
    </xf>
    <xf numFmtId="178" fontId="13" fillId="0" borderId="44" xfId="0" applyFont="1" applyBorder="1" applyProtection="1">
      <protection hidden="1"/>
    </xf>
    <xf numFmtId="178" fontId="13" fillId="0" borderId="43" xfId="0" applyFont="1" applyBorder="1" applyProtection="1">
      <protection hidden="1"/>
    </xf>
    <xf numFmtId="178" fontId="13" fillId="15" borderId="28" xfId="0" applyFont="1" applyFill="1" applyBorder="1" applyProtection="1">
      <protection hidden="1"/>
    </xf>
    <xf numFmtId="178" fontId="13" fillId="0" borderId="116" xfId="0" applyFont="1" applyBorder="1" applyProtection="1">
      <protection hidden="1"/>
    </xf>
    <xf numFmtId="178" fontId="113" fillId="0" borderId="0" xfId="0" applyFont="1" applyFill="1" applyBorder="1" applyAlignment="1" applyProtection="1">
      <alignment horizontal="center" wrapText="1"/>
      <protection hidden="1"/>
    </xf>
    <xf numFmtId="178" fontId="113" fillId="0" borderId="52" xfId="0" applyFont="1" applyFill="1" applyBorder="1" applyAlignment="1" applyProtection="1">
      <alignment horizontal="center" wrapText="1"/>
      <protection hidden="1"/>
    </xf>
    <xf numFmtId="167" fontId="114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115" fillId="0" borderId="0" xfId="0" applyFont="1" applyFill="1" applyBorder="1" applyAlignment="1" applyProtection="1">
      <alignment horizontal="center" vertical="center" wrapText="1"/>
      <protection hidden="1"/>
    </xf>
    <xf numFmtId="178" fontId="115" fillId="0" borderId="52" xfId="0" applyFont="1" applyFill="1" applyBorder="1" applyAlignment="1" applyProtection="1">
      <alignment horizontal="center" vertical="center" wrapText="1"/>
      <protection hidden="1"/>
    </xf>
    <xf numFmtId="178" fontId="23" fillId="0" borderId="0" xfId="0" applyFont="1" applyBorder="1" applyProtection="1">
      <protection hidden="1"/>
    </xf>
    <xf numFmtId="178" fontId="117" fillId="0" borderId="0" xfId="0" applyFont="1" applyFill="1" applyBorder="1" applyAlignment="1" applyProtection="1">
      <alignment horizontal="left" vertical="center"/>
      <protection hidden="1"/>
    </xf>
    <xf numFmtId="167" fontId="67" fillId="24" borderId="6" xfId="0" applyNumberFormat="1" applyFont="1" applyFill="1" applyBorder="1" applyAlignment="1" applyProtection="1">
      <alignment horizontal="right" vertical="center"/>
      <protection hidden="1"/>
    </xf>
    <xf numFmtId="178" fontId="20" fillId="0" borderId="0" xfId="0" applyFont="1" applyFill="1" applyBorder="1" applyProtection="1">
      <protection hidden="1"/>
    </xf>
    <xf numFmtId="178" fontId="20" fillId="0" borderId="52" xfId="0" applyFont="1" applyFill="1" applyBorder="1" applyProtection="1">
      <protection hidden="1"/>
    </xf>
    <xf numFmtId="199" fontId="107" fillId="0" borderId="0" xfId="0" applyNumberFormat="1" applyFont="1" applyFill="1" applyBorder="1" applyAlignment="1" applyProtection="1">
      <alignment horizontal="center" vertical="center"/>
      <protection hidden="1"/>
    </xf>
    <xf numFmtId="199" fontId="107" fillId="0" borderId="52" xfId="0" applyNumberFormat="1" applyFont="1" applyFill="1" applyBorder="1" applyAlignment="1" applyProtection="1">
      <alignment horizontal="center" vertical="center"/>
      <protection hidden="1"/>
    </xf>
    <xf numFmtId="199" fontId="112" fillId="0" borderId="0" xfId="0" applyNumberFormat="1" applyFont="1" applyBorder="1" applyProtection="1">
      <protection hidden="1"/>
    </xf>
    <xf numFmtId="199" fontId="112" fillId="0" borderId="0" xfId="0" applyNumberFormat="1" applyFont="1" applyBorder="1" applyAlignment="1" applyProtection="1">
      <alignment vertical="center"/>
      <protection hidden="1"/>
    </xf>
    <xf numFmtId="178" fontId="6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Alignment="1" applyProtection="1">
      <protection hidden="1"/>
    </xf>
    <xf numFmtId="1" fontId="22" fillId="0" borderId="4" xfId="0" applyNumberFormat="1" applyFont="1" applyBorder="1" applyAlignment="1" applyProtection="1">
      <protection hidden="1"/>
    </xf>
    <xf numFmtId="1" fontId="22" fillId="0" borderId="0" xfId="0" applyNumberFormat="1" applyFont="1" applyBorder="1" applyAlignment="1" applyProtection="1">
      <protection hidden="1"/>
    </xf>
    <xf numFmtId="1" fontId="22" fillId="0" borderId="89" xfId="0" applyNumberFormat="1" applyFont="1" applyBorder="1" applyAlignment="1" applyProtection="1">
      <protection hidden="1"/>
    </xf>
    <xf numFmtId="178" fontId="5" fillId="0" borderId="0" xfId="0" applyFont="1" applyFill="1" applyBorder="1" applyAlignment="1" applyProtection="1">
      <alignment horizontal="center" wrapText="1"/>
      <protection hidden="1"/>
    </xf>
    <xf numFmtId="178" fontId="5" fillId="0" borderId="52" xfId="0" applyFont="1" applyFill="1" applyBorder="1" applyAlignment="1" applyProtection="1">
      <alignment horizontal="center" wrapText="1"/>
      <protection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52" xfId="0" applyNumberFormat="1" applyFont="1" applyFill="1" applyBorder="1" applyAlignment="1" applyProtection="1">
      <alignment horizontal="center" vertical="center" wrapText="1"/>
      <protection hidden="1"/>
    </xf>
    <xf numFmtId="178" fontId="12" fillId="16" borderId="15" xfId="0" applyFont="1" applyFill="1" applyBorder="1" applyProtection="1">
      <protection hidden="1"/>
    </xf>
    <xf numFmtId="178" fontId="13" fillId="16" borderId="2" xfId="0" applyFont="1" applyFill="1" applyBorder="1" applyProtection="1">
      <protection hidden="1"/>
    </xf>
    <xf numFmtId="177" fontId="12" fillId="16" borderId="2" xfId="0" applyNumberFormat="1" applyFont="1" applyFill="1" applyBorder="1" applyAlignment="1" applyProtection="1">
      <alignment vertical="center"/>
      <protection hidden="1"/>
    </xf>
    <xf numFmtId="178" fontId="80" fillId="16" borderId="2" xfId="0" applyFont="1" applyFill="1" applyBorder="1" applyAlignment="1" applyProtection="1">
      <protection hidden="1"/>
    </xf>
    <xf numFmtId="178" fontId="13" fillId="16" borderId="3" xfId="0" applyFont="1" applyFill="1" applyBorder="1" applyProtection="1">
      <protection hidden="1"/>
    </xf>
    <xf numFmtId="177" fontId="5" fillId="16" borderId="2" xfId="0" applyNumberFormat="1" applyFont="1" applyFill="1" applyBorder="1" applyAlignment="1">
      <alignment vertical="center" wrapText="1"/>
    </xf>
    <xf numFmtId="177" fontId="5" fillId="16" borderId="2" xfId="0" applyNumberFormat="1" applyFont="1" applyFill="1" applyBorder="1" applyAlignment="1" applyProtection="1">
      <alignment vertical="center" wrapText="1"/>
      <protection hidden="1"/>
    </xf>
    <xf numFmtId="177" fontId="24" fillId="16" borderId="2" xfId="0" applyNumberFormat="1" applyFont="1" applyFill="1" applyBorder="1" applyAlignment="1" applyProtection="1">
      <alignment vertical="center" wrapText="1"/>
      <protection hidden="1"/>
    </xf>
    <xf numFmtId="177" fontId="24" fillId="16" borderId="2" xfId="0" applyNumberFormat="1" applyFont="1" applyFill="1" applyBorder="1" applyAlignment="1" applyProtection="1">
      <alignment horizontal="right" vertical="center"/>
      <protection hidden="1"/>
    </xf>
    <xf numFmtId="165" fontId="14" fillId="0" borderId="0" xfId="0" applyNumberFormat="1" applyFont="1" applyProtection="1">
      <protection hidden="1"/>
    </xf>
    <xf numFmtId="190" fontId="14" fillId="0" borderId="0" xfId="0" applyNumberFormat="1" applyFont="1" applyAlignment="1" applyProtection="1">
      <alignment horizontal="center"/>
      <protection hidden="1"/>
    </xf>
    <xf numFmtId="201" fontId="14" fillId="0" borderId="0" xfId="0" applyNumberFormat="1" applyFont="1" applyAlignment="1" applyProtection="1">
      <alignment horizont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" fontId="44" fillId="0" borderId="0" xfId="0" applyNumberFormat="1" applyFont="1" applyProtection="1">
      <protection hidden="1"/>
    </xf>
    <xf numFmtId="49" fontId="14" fillId="0" borderId="0" xfId="0" applyNumberFormat="1" applyFont="1" applyAlignment="1" applyProtection="1">
      <alignment horizontal="center" vertical="center"/>
      <protection hidden="1"/>
    </xf>
    <xf numFmtId="178" fontId="1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left" vertical="center"/>
      <protection hidden="1"/>
    </xf>
    <xf numFmtId="199" fontId="107" fillId="41" borderId="6" xfId="0" applyNumberFormat="1" applyFont="1" applyFill="1" applyBorder="1" applyAlignment="1" applyProtection="1">
      <alignment horizontal="center" vertical="center"/>
      <protection hidden="1"/>
    </xf>
    <xf numFmtId="199" fontId="107" fillId="41" borderId="5" xfId="0" applyNumberFormat="1" applyFont="1" applyFill="1" applyBorder="1" applyAlignment="1" applyProtection="1">
      <alignment horizontal="center" vertical="center"/>
      <protection hidden="1"/>
    </xf>
    <xf numFmtId="167" fontId="114" fillId="34" borderId="0" xfId="0" applyNumberFormat="1" applyFont="1" applyFill="1" applyBorder="1" applyAlignment="1" applyProtection="1">
      <alignment horizontal="center" vertical="center" wrapText="1"/>
      <protection hidden="1"/>
    </xf>
    <xf numFmtId="199" fontId="107" fillId="34" borderId="0" xfId="0" applyNumberFormat="1" applyFont="1" applyFill="1" applyBorder="1" applyAlignment="1" applyProtection="1">
      <alignment horizontal="center" vertical="center"/>
      <protection hidden="1"/>
    </xf>
    <xf numFmtId="199" fontId="107" fillId="34" borderId="52" xfId="0" applyNumberFormat="1" applyFont="1" applyFill="1" applyBorder="1" applyAlignment="1" applyProtection="1">
      <alignment horizontal="center" vertical="center"/>
      <protection hidden="1"/>
    </xf>
    <xf numFmtId="199" fontId="112" fillId="34" borderId="0" xfId="0" applyNumberFormat="1" applyFont="1" applyFill="1" applyBorder="1" applyAlignment="1" applyProtection="1">
      <alignment vertical="center"/>
      <protection hidden="1"/>
    </xf>
    <xf numFmtId="49" fontId="14" fillId="0" borderId="0" xfId="0" quotePrefix="1" applyNumberFormat="1" applyFont="1" applyAlignment="1" applyProtection="1">
      <alignment horizontal="center" vertical="center"/>
      <protection hidden="1"/>
    </xf>
    <xf numFmtId="1" fontId="24" fillId="30" borderId="1" xfId="0" applyNumberFormat="1" applyFont="1" applyFill="1" applyBorder="1" applyAlignment="1" applyProtection="1">
      <alignment horizontal="center" vertical="center"/>
      <protection locked="0"/>
    </xf>
    <xf numFmtId="178" fontId="50" fillId="34" borderId="31" xfId="0" applyFont="1" applyFill="1" applyBorder="1" applyAlignment="1" applyProtection="1">
      <alignment vertical="center" wrapText="1"/>
      <protection hidden="1"/>
    </xf>
    <xf numFmtId="178" fontId="50" fillId="34" borderId="67" xfId="0" applyFont="1" applyFill="1" applyBorder="1" applyAlignment="1" applyProtection="1">
      <alignment vertical="center" wrapText="1"/>
      <protection hidden="1"/>
    </xf>
    <xf numFmtId="178" fontId="89" fillId="0" borderId="0" xfId="0" applyFont="1" applyProtection="1">
      <protection hidden="1"/>
    </xf>
    <xf numFmtId="1" fontId="89" fillId="0" borderId="1" xfId="0" applyNumberFormat="1" applyFont="1" applyFill="1" applyBorder="1" applyAlignment="1" applyProtection="1">
      <alignment horizontal="center" vertical="center"/>
      <protection hidden="1"/>
    </xf>
    <xf numFmtId="202" fontId="14" fillId="0" borderId="0" xfId="0" applyNumberFormat="1" applyFont="1" applyProtection="1">
      <protection hidden="1"/>
    </xf>
    <xf numFmtId="202" fontId="135" fillId="0" borderId="1" xfId="0" applyNumberFormat="1" applyFont="1" applyFill="1" applyBorder="1" applyAlignment="1" applyProtection="1">
      <alignment horizontal="right" vertical="center"/>
      <protection hidden="1"/>
    </xf>
    <xf numFmtId="202" fontId="14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202" fontId="46" fillId="0" borderId="0" xfId="0" applyNumberFormat="1" applyFont="1" applyProtection="1">
      <protection hidden="1"/>
    </xf>
    <xf numFmtId="201" fontId="14" fillId="0" borderId="0" xfId="0" applyNumberFormat="1" applyFont="1" applyProtection="1">
      <protection hidden="1"/>
    </xf>
    <xf numFmtId="190" fontId="14" fillId="0" borderId="0" xfId="0" applyNumberFormat="1" applyFont="1" applyProtection="1">
      <protection hidden="1"/>
    </xf>
    <xf numFmtId="174" fontId="27" fillId="0" borderId="4" xfId="0" applyNumberFormat="1" applyFont="1" applyBorder="1" applyAlignment="1">
      <alignment horizontal="center"/>
    </xf>
    <xf numFmtId="174" fontId="27" fillId="0" borderId="32" xfId="0" applyNumberFormat="1" applyFont="1" applyBorder="1" applyAlignment="1">
      <alignment horizontal="center"/>
    </xf>
    <xf numFmtId="174" fontId="27" fillId="0" borderId="33" xfId="0" applyNumberFormat="1" applyFont="1" applyBorder="1" applyAlignment="1">
      <alignment horizontal="center"/>
    </xf>
    <xf numFmtId="174" fontId="27" fillId="0" borderId="89" xfId="0" applyNumberFormat="1" applyFont="1" applyBorder="1" applyAlignment="1">
      <alignment horizontal="center"/>
    </xf>
    <xf numFmtId="174" fontId="27" fillId="0" borderId="30" xfId="0" applyNumberFormat="1" applyFont="1" applyBorder="1" applyAlignment="1">
      <alignment horizontal="center"/>
    </xf>
    <xf numFmtId="174" fontId="27" fillId="0" borderId="19" xfId="0" applyNumberFormat="1" applyFont="1" applyBorder="1" applyAlignment="1">
      <alignment horizontal="center"/>
    </xf>
    <xf numFmtId="174" fontId="27" fillId="0" borderId="35" xfId="0" applyNumberFormat="1" applyFont="1" applyBorder="1" applyAlignment="1">
      <alignment horizontal="center"/>
    </xf>
    <xf numFmtId="174" fontId="27" fillId="0" borderId="90" xfId="0" applyNumberFormat="1" applyFont="1" applyBorder="1" applyAlignment="1">
      <alignment horizontal="center"/>
    </xf>
    <xf numFmtId="173" fontId="28" fillId="0" borderId="0" xfId="0" applyNumberFormat="1" applyFont="1" applyAlignment="1">
      <alignment horizontal="right"/>
    </xf>
    <xf numFmtId="173" fontId="28" fillId="0" borderId="0" xfId="0" applyNumberFormat="1" applyFont="1"/>
    <xf numFmtId="164" fontId="46" fillId="34" borderId="0" xfId="0" applyNumberFormat="1" applyFont="1" applyFill="1" applyBorder="1" applyAlignment="1" applyProtection="1">
      <alignment vertical="top"/>
      <protection hidden="1"/>
    </xf>
    <xf numFmtId="164" fontId="46" fillId="34" borderId="5" xfId="0" applyNumberFormat="1" applyFont="1" applyFill="1" applyBorder="1" applyAlignment="1" applyProtection="1">
      <alignment vertical="top"/>
      <protection hidden="1"/>
    </xf>
    <xf numFmtId="164" fontId="46" fillId="34" borderId="67" xfId="0" applyNumberFormat="1" applyFont="1" applyFill="1" applyBorder="1" applyAlignment="1" applyProtection="1">
      <alignment vertical="top"/>
      <protection hidden="1"/>
    </xf>
    <xf numFmtId="164" fontId="46" fillId="34" borderId="36" xfId="0" applyNumberFormat="1" applyFont="1" applyFill="1" applyBorder="1" applyAlignment="1" applyProtection="1">
      <alignment vertical="top"/>
      <protection hidden="1"/>
    </xf>
    <xf numFmtId="178" fontId="48" fillId="0" borderId="75" xfId="0" applyFont="1" applyBorder="1" applyAlignment="1">
      <alignment vertical="center"/>
    </xf>
    <xf numFmtId="178" fontId="48" fillId="0" borderId="76" xfId="0" applyFont="1" applyBorder="1" applyAlignment="1">
      <alignment vertical="center"/>
    </xf>
    <xf numFmtId="178" fontId="48" fillId="0" borderId="75" xfId="0" applyFont="1" applyBorder="1" applyAlignment="1">
      <alignment horizontal="right" vertical="center"/>
    </xf>
    <xf numFmtId="178" fontId="14" fillId="0" borderId="0" xfId="0" applyFont="1" applyBorder="1" applyAlignment="1" applyProtection="1">
      <alignment vertical="top"/>
      <protection hidden="1"/>
    </xf>
    <xf numFmtId="168" fontId="85" fillId="0" borderId="52" xfId="0" applyNumberFormat="1" applyFont="1" applyFill="1" applyBorder="1" applyAlignment="1" applyProtection="1">
      <alignment horizontal="left" vertical="top" wrapText="1"/>
      <protection hidden="1"/>
    </xf>
    <xf numFmtId="1" fontId="27" fillId="0" borderId="33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/>
    <xf numFmtId="1" fontId="0" fillId="0" borderId="0" xfId="0" applyNumberFormat="1" applyProtection="1"/>
    <xf numFmtId="1" fontId="27" fillId="0" borderId="35" xfId="0" applyNumberFormat="1" applyFont="1" applyBorder="1" applyAlignment="1">
      <alignment horizontal="center"/>
    </xf>
    <xf numFmtId="1" fontId="0" fillId="0" borderId="0" xfId="0" applyNumberFormat="1" applyBorder="1"/>
    <xf numFmtId="1" fontId="0" fillId="0" borderId="0" xfId="0" applyNumberFormat="1" applyAlignment="1">
      <alignment horizontal="center"/>
    </xf>
    <xf numFmtId="1" fontId="98" fillId="0" borderId="0" xfId="0" applyNumberFormat="1" applyFont="1"/>
    <xf numFmtId="1" fontId="22" fillId="0" borderId="0" xfId="0" applyNumberFormat="1" applyFont="1"/>
    <xf numFmtId="1" fontId="138" fillId="0" borderId="0" xfId="0" applyNumberFormat="1" applyFont="1"/>
    <xf numFmtId="178" fontId="0" fillId="0" borderId="0" xfId="0" applyAlignment="1" applyProtection="1">
      <protection hidden="1"/>
    </xf>
    <xf numFmtId="1" fontId="46" fillId="0" borderId="30" xfId="0" applyNumberFormat="1" applyFont="1" applyBorder="1" applyAlignment="1" applyProtection="1">
      <alignment horizontal="center"/>
      <protection hidden="1"/>
    </xf>
    <xf numFmtId="1" fontId="46" fillId="0" borderId="67" xfId="0" applyNumberFormat="1" applyFont="1" applyBorder="1" applyAlignment="1" applyProtection="1">
      <alignment horizontal="center"/>
      <protection hidden="1"/>
    </xf>
    <xf numFmtId="178" fontId="14" fillId="0" borderId="0" xfId="0" applyFont="1" applyAlignment="1" applyProtection="1">
      <alignment horizontal="right"/>
      <protection hidden="1"/>
    </xf>
    <xf numFmtId="2" fontId="14" fillId="0" borderId="0" xfId="0" applyNumberFormat="1" applyFont="1" applyProtection="1">
      <protection hidden="1"/>
    </xf>
    <xf numFmtId="178" fontId="14" fillId="0" borderId="0" xfId="0" applyFont="1" applyAlignment="1" applyProtection="1">
      <alignment wrapText="1"/>
      <protection hidden="1"/>
    </xf>
    <xf numFmtId="178" fontId="46" fillId="0" borderId="67" xfId="0" applyFont="1" applyBorder="1" applyAlignment="1" applyProtection="1">
      <alignment horizontal="center" wrapText="1"/>
      <protection hidden="1"/>
    </xf>
    <xf numFmtId="1" fontId="44" fillId="0" borderId="49" xfId="0" applyNumberFormat="1" applyFont="1" applyBorder="1" applyAlignment="1" applyProtection="1">
      <alignment horizontal="center"/>
      <protection hidden="1"/>
    </xf>
    <xf numFmtId="1" fontId="44" fillId="0" borderId="81" xfId="0" applyNumberFormat="1" applyFont="1" applyBorder="1" applyAlignment="1" applyProtection="1">
      <alignment horizontal="center"/>
      <protection hidden="1"/>
    </xf>
    <xf numFmtId="1" fontId="44" fillId="0" borderId="89" xfId="0" applyNumberFormat="1" applyFont="1" applyBorder="1" applyAlignment="1" applyProtection="1">
      <alignment horizontal="center"/>
      <protection hidden="1"/>
    </xf>
    <xf numFmtId="1" fontId="44" fillId="0" borderId="83" xfId="0" applyNumberFormat="1" applyFont="1" applyBorder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protection hidden="1"/>
    </xf>
    <xf numFmtId="1" fontId="46" fillId="0" borderId="83" xfId="0" applyNumberFormat="1" applyFont="1" applyBorder="1" applyAlignment="1" applyProtection="1">
      <protection hidden="1"/>
    </xf>
    <xf numFmtId="1" fontId="46" fillId="0" borderId="83" xfId="0" applyNumberFormat="1" applyFont="1" applyBorder="1" applyAlignment="1" applyProtection="1">
      <alignment horizontal="center" wrapText="1"/>
      <protection hidden="1"/>
    </xf>
    <xf numFmtId="1" fontId="46" fillId="0" borderId="83" xfId="0" applyNumberFormat="1" applyFont="1" applyBorder="1" applyAlignment="1" applyProtection="1">
      <alignment horizontal="center" vertical="center" wrapText="1"/>
      <protection hidden="1"/>
    </xf>
    <xf numFmtId="178" fontId="140" fillId="34" borderId="0" xfId="0" applyFont="1" applyFill="1" applyBorder="1" applyAlignment="1" applyProtection="1">
      <alignment horizontal="right" vertical="center"/>
      <protection hidden="1"/>
    </xf>
    <xf numFmtId="1" fontId="63" fillId="34" borderId="0" xfId="0" applyNumberFormat="1" applyFont="1" applyFill="1" applyBorder="1" applyAlignment="1" applyProtection="1">
      <alignment horizontal="left" vertical="center"/>
      <protection hidden="1"/>
    </xf>
    <xf numFmtId="1" fontId="140" fillId="34" borderId="0" xfId="0" applyNumberFormat="1" applyFont="1" applyFill="1" applyBorder="1" applyAlignment="1" applyProtection="1">
      <alignment horizontal="right" vertical="center"/>
      <protection hidden="1"/>
    </xf>
    <xf numFmtId="178" fontId="0" fillId="0" borderId="0" xfId="0"/>
    <xf numFmtId="178" fontId="141" fillId="44" borderId="0" xfId="0" applyFont="1" applyFill="1" applyAlignment="1" applyProtection="1">
      <alignment vertical="center" wrapText="1"/>
      <protection locked="0"/>
    </xf>
    <xf numFmtId="178" fontId="145" fillId="44" borderId="0" xfId="0" applyFont="1" applyFill="1" applyAlignment="1" applyProtection="1">
      <alignment vertical="center" wrapText="1"/>
      <protection locked="0"/>
    </xf>
    <xf numFmtId="178" fontId="0" fillId="0" borderId="0" xfId="0" applyFill="1" applyProtection="1"/>
    <xf numFmtId="178" fontId="143" fillId="0" borderId="0" xfId="0" applyFont="1" applyFill="1" applyAlignment="1" applyProtection="1">
      <alignment wrapText="1"/>
    </xf>
    <xf numFmtId="178" fontId="143" fillId="0" borderId="0" xfId="0" applyFont="1" applyFill="1" applyAlignment="1" applyProtection="1">
      <alignment wrapText="1"/>
      <protection locked="0"/>
    </xf>
    <xf numFmtId="1" fontId="24" fillId="0" borderId="0" xfId="0" applyNumberFormat="1" applyFont="1"/>
    <xf numFmtId="178" fontId="14" fillId="0" borderId="0" xfId="0" applyFont="1"/>
    <xf numFmtId="206" fontId="14" fillId="0" borderId="0" xfId="0" applyNumberFormat="1" applyFont="1"/>
    <xf numFmtId="178" fontId="20" fillId="0" borderId="0" xfId="0" applyFont="1"/>
    <xf numFmtId="178" fontId="24" fillId="42" borderId="16" xfId="0" applyFont="1" applyFill="1" applyBorder="1" applyProtection="1"/>
    <xf numFmtId="178" fontId="0" fillId="42" borderId="17" xfId="0" applyFill="1" applyBorder="1" applyProtection="1"/>
    <xf numFmtId="178" fontId="0" fillId="42" borderId="18" xfId="0" applyFill="1" applyBorder="1" applyProtection="1"/>
    <xf numFmtId="178" fontId="0" fillId="42" borderId="6" xfId="0" applyFill="1" applyBorder="1" applyProtection="1"/>
    <xf numFmtId="178" fontId="0" fillId="42" borderId="11" xfId="0" applyFill="1" applyBorder="1" applyProtection="1"/>
    <xf numFmtId="178" fontId="0" fillId="42" borderId="12" xfId="0" applyFill="1" applyBorder="1" applyProtection="1"/>
    <xf numFmtId="178" fontId="0" fillId="42" borderId="13" xfId="0" applyFill="1" applyBorder="1" applyProtection="1"/>
    <xf numFmtId="178" fontId="0" fillId="42" borderId="0" xfId="0" applyFill="1" applyBorder="1" applyProtection="1"/>
    <xf numFmtId="178" fontId="0" fillId="42" borderId="5" xfId="0" applyFill="1" applyBorder="1" applyProtection="1"/>
    <xf numFmtId="178" fontId="11" fillId="42" borderId="0" xfId="0" applyFont="1" applyFill="1" applyBorder="1" applyProtection="1"/>
    <xf numFmtId="178" fontId="0" fillId="29" borderId="0" xfId="0" applyFill="1" applyProtection="1"/>
    <xf numFmtId="178" fontId="5" fillId="29" borderId="0" xfId="0" applyFont="1" applyFill="1" applyAlignment="1" applyProtection="1"/>
    <xf numFmtId="178" fontId="5" fillId="29" borderId="0" xfId="0" applyFont="1" applyFill="1" applyAlignment="1" applyProtection="1">
      <alignment horizontal="right" vertical="center"/>
    </xf>
    <xf numFmtId="178" fontId="24" fillId="29" borderId="0" xfId="0" applyFont="1" applyFill="1" applyAlignment="1" applyProtection="1">
      <alignment vertical="center"/>
    </xf>
    <xf numFmtId="178" fontId="24" fillId="29" borderId="0" xfId="0" applyFont="1" applyFill="1" applyAlignment="1" applyProtection="1">
      <alignment horizontal="left" vertical="center"/>
    </xf>
    <xf numFmtId="178" fontId="20" fillId="29" borderId="0" xfId="0" applyFont="1" applyFill="1" applyAlignment="1" applyProtection="1">
      <alignment horizontal="left" vertical="center"/>
    </xf>
    <xf numFmtId="178" fontId="20" fillId="29" borderId="0" xfId="0" applyFont="1" applyFill="1" applyBorder="1" applyAlignment="1" applyProtection="1">
      <alignment horizontal="right" vertical="center"/>
    </xf>
    <xf numFmtId="178" fontId="24" fillId="29" borderId="0" xfId="0" applyFont="1" applyFill="1" applyBorder="1" applyAlignment="1" applyProtection="1">
      <alignment vertical="center"/>
    </xf>
    <xf numFmtId="178" fontId="24" fillId="29" borderId="0" xfId="0" applyFont="1" applyFill="1" applyBorder="1" applyAlignment="1" applyProtection="1">
      <alignment horizontal="center" vertical="center"/>
    </xf>
    <xf numFmtId="178" fontId="0" fillId="29" borderId="0" xfId="0" applyFill="1" applyBorder="1" applyProtection="1"/>
    <xf numFmtId="178" fontId="49" fillId="29" borderId="0" xfId="0" applyFont="1" applyFill="1" applyAlignment="1" applyProtection="1">
      <alignment horizontal="right" vertical="center"/>
    </xf>
    <xf numFmtId="178" fontId="62" fillId="29" borderId="0" xfId="0" applyFont="1" applyFill="1" applyBorder="1" applyAlignment="1" applyProtection="1">
      <alignment horizontal="right" vertical="center"/>
    </xf>
    <xf numFmtId="178" fontId="20" fillId="29" borderId="0" xfId="0" applyFont="1" applyFill="1" applyAlignment="1" applyProtection="1">
      <alignment horizontal="right"/>
    </xf>
    <xf numFmtId="178" fontId="5" fillId="29" borderId="0" xfId="0" applyFont="1" applyFill="1" applyProtection="1"/>
    <xf numFmtId="178" fontId="132" fillId="29" borderId="0" xfId="0" applyFont="1" applyFill="1" applyProtection="1"/>
    <xf numFmtId="178" fontId="20" fillId="29" borderId="0" xfId="0" applyFont="1" applyFill="1" applyBorder="1" applyAlignment="1" applyProtection="1">
      <alignment vertical="center" wrapText="1" shrinkToFit="1"/>
    </xf>
    <xf numFmtId="1" fontId="5" fillId="29" borderId="0" xfId="0" applyNumberFormat="1" applyFont="1" applyFill="1" applyBorder="1" applyAlignment="1" applyProtection="1">
      <alignment horizontal="center" vertical="center"/>
    </xf>
    <xf numFmtId="178" fontId="5" fillId="29" borderId="0" xfId="0" applyFont="1" applyFill="1" applyBorder="1" applyAlignment="1" applyProtection="1">
      <alignment horizontal="center" vertical="center"/>
    </xf>
    <xf numFmtId="183" fontId="5" fillId="29" borderId="0" xfId="0" applyNumberFormat="1" applyFont="1" applyFill="1" applyBorder="1" applyAlignment="1" applyProtection="1">
      <alignment horizontal="left" vertical="center"/>
    </xf>
    <xf numFmtId="183" fontId="22" fillId="29" borderId="0" xfId="0" applyNumberFormat="1" applyFont="1" applyFill="1" applyBorder="1" applyAlignment="1" applyProtection="1">
      <alignment horizontal="left" vertical="center"/>
    </xf>
    <xf numFmtId="178" fontId="68" fillId="29" borderId="0" xfId="0" applyFont="1" applyFill="1" applyAlignment="1" applyProtection="1">
      <alignment horizontal="right" vertical="center"/>
    </xf>
    <xf numFmtId="178" fontId="56" fillId="29" borderId="0" xfId="0" applyFont="1" applyFill="1" applyAlignment="1" applyProtection="1"/>
    <xf numFmtId="178" fontId="11" fillId="29" borderId="0" xfId="0" applyFont="1" applyFill="1" applyAlignment="1" applyProtection="1">
      <alignment wrapText="1"/>
    </xf>
    <xf numFmtId="178" fontId="11" fillId="29" borderId="0" xfId="0" applyFont="1" applyFill="1" applyAlignment="1" applyProtection="1">
      <alignment vertical="center"/>
    </xf>
    <xf numFmtId="178" fontId="17" fillId="29" borderId="0" xfId="0" applyFont="1" applyFill="1" applyBorder="1" applyAlignment="1" applyProtection="1">
      <alignment vertical="center"/>
    </xf>
    <xf numFmtId="178" fontId="0" fillId="29" borderId="0" xfId="0" applyFill="1" applyAlignment="1" applyProtection="1">
      <alignment vertical="center" wrapText="1"/>
    </xf>
    <xf numFmtId="178" fontId="24" fillId="29" borderId="0" xfId="0" applyFont="1" applyFill="1" applyBorder="1" applyAlignment="1" applyProtection="1"/>
    <xf numFmtId="183" fontId="22" fillId="29" borderId="46" xfId="0" applyNumberFormat="1" applyFont="1" applyFill="1" applyBorder="1" applyAlignment="1" applyProtection="1">
      <alignment horizontal="left" vertical="center"/>
    </xf>
    <xf numFmtId="184" fontId="14" fillId="0" borderId="0" xfId="0" applyNumberFormat="1" applyFont="1"/>
    <xf numFmtId="205" fontId="14" fillId="0" borderId="0" xfId="0" applyNumberFormat="1" applyFont="1"/>
    <xf numFmtId="178" fontId="14" fillId="0" borderId="4" xfId="0" applyFont="1" applyBorder="1"/>
    <xf numFmtId="1" fontId="14" fillId="0" borderId="89" xfId="0" applyNumberFormat="1" applyFont="1" applyBorder="1"/>
    <xf numFmtId="178" fontId="46" fillId="0" borderId="89" xfId="0" applyFont="1" applyBorder="1" applyAlignment="1">
      <alignment horizontal="center" vertical="center"/>
    </xf>
    <xf numFmtId="178" fontId="14" fillId="0" borderId="89" xfId="0" applyFont="1" applyBorder="1"/>
    <xf numFmtId="1" fontId="46" fillId="0" borderId="0" xfId="0" applyNumberFormat="1" applyFont="1" applyBorder="1" applyAlignment="1">
      <alignment horizontal="center"/>
    </xf>
    <xf numFmtId="1" fontId="46" fillId="0" borderId="4" xfId="0" applyNumberFormat="1" applyFont="1" applyBorder="1" applyAlignment="1">
      <alignment horizontal="center"/>
    </xf>
    <xf numFmtId="1" fontId="14" fillId="0" borderId="0" xfId="0" applyNumberFormat="1" applyFont="1"/>
    <xf numFmtId="165" fontId="14" fillId="0" borderId="0" xfId="0" applyNumberFormat="1" applyFont="1" applyAlignment="1">
      <alignment horizontal="center"/>
    </xf>
    <xf numFmtId="1" fontId="14" fillId="0" borderId="4" xfId="0" applyNumberFormat="1" applyFont="1" applyBorder="1"/>
    <xf numFmtId="1" fontId="14" fillId="0" borderId="0" xfId="0" applyNumberFormat="1" applyFont="1" applyBorder="1"/>
    <xf numFmtId="165" fontId="46" fillId="0" borderId="0" xfId="0" applyNumberFormat="1" applyFont="1"/>
    <xf numFmtId="190" fontId="46" fillId="0" borderId="0" xfId="0" applyNumberFormat="1" applyFont="1" applyAlignment="1">
      <alignment horizontal="left"/>
    </xf>
    <xf numFmtId="1" fontId="46" fillId="0" borderId="0" xfId="0" applyNumberFormat="1" applyFont="1" applyBorder="1"/>
    <xf numFmtId="2" fontId="46" fillId="0" borderId="4" xfId="0" applyNumberFormat="1" applyFont="1" applyBorder="1"/>
    <xf numFmtId="178" fontId="46" fillId="0" borderId="4" xfId="0" applyFont="1" applyBorder="1" applyAlignment="1">
      <alignment horizontal="left"/>
    </xf>
    <xf numFmtId="178" fontId="14" fillId="0" borderId="0" xfId="0" applyFont="1" applyAlignment="1">
      <alignment horizontal="right"/>
    </xf>
    <xf numFmtId="205" fontId="14" fillId="0" borderId="0" xfId="0" applyNumberFormat="1" applyFont="1" applyAlignment="1">
      <alignment horizontal="right"/>
    </xf>
    <xf numFmtId="1" fontId="20" fillId="0" borderId="0" xfId="0" applyNumberFormat="1" applyFont="1"/>
    <xf numFmtId="1" fontId="14" fillId="0" borderId="0" xfId="0" applyNumberFormat="1" applyFont="1" applyAlignment="1">
      <alignment horizontal="right"/>
    </xf>
    <xf numFmtId="1" fontId="11" fillId="0" borderId="0" xfId="0" applyNumberFormat="1" applyFont="1" applyAlignment="1">
      <alignment horizontal="right"/>
    </xf>
    <xf numFmtId="2" fontId="4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right"/>
    </xf>
    <xf numFmtId="1" fontId="0" fillId="0" borderId="0" xfId="0" applyNumberFormat="1" applyAlignment="1">
      <alignment horizontal="right"/>
    </xf>
    <xf numFmtId="1" fontId="14" fillId="0" borderId="0" xfId="0" applyNumberFormat="1" applyFont="1" applyAlignment="1">
      <alignment horizontal="center"/>
    </xf>
    <xf numFmtId="1" fontId="44" fillId="0" borderId="0" xfId="0" applyNumberFormat="1" applyFont="1"/>
    <xf numFmtId="178" fontId="44" fillId="0" borderId="0" xfId="0" applyFont="1"/>
    <xf numFmtId="206" fontId="54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/>
    </xf>
    <xf numFmtId="178" fontId="44" fillId="0" borderId="0" xfId="0" applyFont="1" applyAlignment="1">
      <alignment horizontal="right"/>
    </xf>
    <xf numFmtId="1" fontId="22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left"/>
    </xf>
    <xf numFmtId="178" fontId="0" fillId="34" borderId="0" xfId="0" applyFill="1" applyProtection="1"/>
    <xf numFmtId="178" fontId="0" fillId="34" borderId="0" xfId="0" applyFill="1" applyAlignment="1" applyProtection="1">
      <alignment wrapText="1"/>
    </xf>
    <xf numFmtId="178" fontId="143" fillId="34" borderId="0" xfId="0" applyFont="1" applyFill="1" applyAlignment="1" applyProtection="1">
      <alignment wrapText="1"/>
    </xf>
    <xf numFmtId="178" fontId="144" fillId="34" borderId="0" xfId="0" applyFont="1" applyFill="1" applyAlignment="1" applyProtection="1"/>
    <xf numFmtId="178" fontId="142" fillId="34" borderId="0" xfId="0" applyFont="1" applyFill="1" applyAlignment="1" applyProtection="1">
      <alignment wrapText="1"/>
    </xf>
    <xf numFmtId="178" fontId="143" fillId="34" borderId="0" xfId="0" applyFont="1" applyFill="1" applyAlignment="1" applyProtection="1">
      <alignment wrapText="1"/>
      <protection locked="0"/>
    </xf>
    <xf numFmtId="178" fontId="94" fillId="34" borderId="0" xfId="0" quotePrefix="1" applyFont="1" applyFill="1" applyAlignment="1" applyProtection="1">
      <alignment horizontal="left" vertical="center"/>
      <protection locked="0"/>
    </xf>
    <xf numFmtId="1" fontId="94" fillId="34" borderId="0" xfId="0" applyNumberFormat="1" applyFont="1" applyFill="1" applyAlignment="1" applyProtection="1">
      <alignment horizontal="left"/>
    </xf>
    <xf numFmtId="1" fontId="142" fillId="34" borderId="0" xfId="0" applyNumberFormat="1" applyFont="1" applyFill="1" applyAlignment="1" applyProtection="1">
      <alignment wrapText="1"/>
    </xf>
    <xf numFmtId="178" fontId="147" fillId="34" borderId="0" xfId="0" applyFont="1" applyFill="1" applyAlignment="1" applyProtection="1">
      <alignment wrapText="1"/>
    </xf>
    <xf numFmtId="178" fontId="146" fillId="34" borderId="0" xfId="0" applyFont="1" applyFill="1" applyBorder="1" applyAlignment="1" applyProtection="1">
      <alignment wrapText="1"/>
    </xf>
    <xf numFmtId="178" fontId="146" fillId="34" borderId="0" xfId="0" applyFont="1" applyFill="1" applyAlignment="1" applyProtection="1">
      <alignment wrapText="1"/>
    </xf>
    <xf numFmtId="178" fontId="151" fillId="44" borderId="0" xfId="0" applyFont="1" applyFill="1" applyAlignment="1" applyProtection="1">
      <alignment wrapText="1"/>
      <protection locked="0"/>
    </xf>
    <xf numFmtId="178" fontId="94" fillId="34" borderId="0" xfId="0" applyFont="1" applyFill="1" applyAlignment="1" applyProtection="1">
      <alignment vertical="center"/>
    </xf>
    <xf numFmtId="207" fontId="14" fillId="0" borderId="0" xfId="0" applyNumberFormat="1" applyFont="1" applyProtection="1">
      <protection hidden="1"/>
    </xf>
    <xf numFmtId="178" fontId="129" fillId="34" borderId="0" xfId="0" applyFont="1" applyFill="1" applyAlignment="1" applyProtection="1">
      <alignment wrapText="1"/>
      <protection locked="0"/>
    </xf>
    <xf numFmtId="178" fontId="132" fillId="34" borderId="0" xfId="0" applyFont="1" applyFill="1" applyProtection="1"/>
    <xf numFmtId="178" fontId="132" fillId="34" borderId="0" xfId="0" applyFont="1" applyFill="1" applyAlignment="1" applyProtection="1">
      <alignment wrapText="1"/>
    </xf>
    <xf numFmtId="178" fontId="132" fillId="34" borderId="0" xfId="0" applyFont="1" applyFill="1" applyAlignment="1" applyProtection="1">
      <alignment wrapText="1"/>
      <protection locked="0"/>
    </xf>
    <xf numFmtId="178" fontId="0" fillId="29" borderId="0" xfId="0" applyFill="1" applyAlignment="1" applyProtection="1">
      <alignment wrapText="1"/>
    </xf>
    <xf numFmtId="178" fontId="146" fillId="29" borderId="0" xfId="0" applyFont="1" applyFill="1" applyAlignment="1" applyProtection="1">
      <alignment wrapText="1"/>
    </xf>
    <xf numFmtId="178" fontId="124" fillId="29" borderId="0" xfId="0" applyFont="1" applyFill="1" applyBorder="1" applyAlignment="1" applyProtection="1">
      <alignment vertical="center"/>
    </xf>
    <xf numFmtId="178" fontId="147" fillId="29" borderId="0" xfId="0" applyFont="1" applyFill="1" applyAlignment="1" applyProtection="1">
      <alignment wrapText="1"/>
    </xf>
    <xf numFmtId="178" fontId="11" fillId="29" borderId="0" xfId="0" applyFont="1" applyFill="1" applyBorder="1" applyProtection="1"/>
    <xf numFmtId="178" fontId="22" fillId="29" borderId="0" xfId="0" applyFont="1" applyFill="1" applyBorder="1" applyAlignment="1" applyProtection="1"/>
    <xf numFmtId="178" fontId="22" fillId="29" borderId="0" xfId="0" applyFont="1" applyFill="1" applyBorder="1" applyProtection="1"/>
    <xf numFmtId="178" fontId="22" fillId="29" borderId="0" xfId="0" applyFont="1" applyFill="1" applyBorder="1" applyAlignment="1" applyProtection="1">
      <alignment horizontal="right"/>
    </xf>
    <xf numFmtId="178" fontId="49" fillId="29" borderId="0" xfId="0" applyFont="1" applyFill="1" applyBorder="1" applyAlignment="1" applyProtection="1"/>
    <xf numFmtId="202" fontId="61" fillId="29" borderId="0" xfId="0" applyNumberFormat="1" applyFont="1" applyFill="1" applyBorder="1" applyAlignment="1" applyProtection="1">
      <alignment vertical="center"/>
    </xf>
    <xf numFmtId="178" fontId="155" fillId="0" borderId="0" xfId="0" applyFont="1" applyProtection="1">
      <protection hidden="1"/>
    </xf>
    <xf numFmtId="208" fontId="14" fillId="0" borderId="0" xfId="0" applyNumberFormat="1" applyFont="1" applyProtection="1">
      <protection hidden="1"/>
    </xf>
    <xf numFmtId="3" fontId="14" fillId="0" borderId="0" xfId="0" applyNumberFormat="1" applyFont="1" applyProtection="1">
      <protection hidden="1"/>
    </xf>
    <xf numFmtId="183" fontId="69" fillId="29" borderId="0" xfId="0" applyNumberFormat="1" applyFont="1" applyFill="1" applyBorder="1" applyAlignment="1" applyProtection="1">
      <alignment horizontal="left" vertical="center"/>
    </xf>
    <xf numFmtId="178" fontId="0" fillId="29" borderId="0" xfId="0" applyFill="1" applyAlignment="1" applyProtection="1">
      <alignment horizontal="center" vertical="center"/>
    </xf>
    <xf numFmtId="178" fontId="87" fillId="29" borderId="0" xfId="0" applyFont="1" applyFill="1" applyAlignment="1" applyProtection="1"/>
    <xf numFmtId="178" fontId="83" fillId="29" borderId="0" xfId="0" applyFont="1" applyFill="1" applyAlignment="1" applyProtection="1">
      <alignment horizontal="right" vertical="center"/>
    </xf>
    <xf numFmtId="184" fontId="53" fillId="0" borderId="8" xfId="0" applyNumberFormat="1" applyFont="1" applyFill="1" applyBorder="1" applyAlignment="1" applyProtection="1">
      <alignment horizontal="center"/>
      <protection hidden="1"/>
    </xf>
    <xf numFmtId="178" fontId="91" fillId="3" borderId="67" xfId="0" applyFont="1" applyFill="1" applyBorder="1" applyAlignment="1" applyProtection="1">
      <alignment horizontal="center"/>
      <protection hidden="1"/>
    </xf>
    <xf numFmtId="178" fontId="14" fillId="3" borderId="30" xfId="0" applyFont="1" applyFill="1" applyBorder="1" applyAlignment="1" applyProtection="1">
      <alignment horizontal="center"/>
      <protection hidden="1"/>
    </xf>
    <xf numFmtId="184" fontId="53" fillId="2" borderId="8" xfId="0" applyNumberFormat="1" applyFont="1" applyFill="1" applyBorder="1" applyAlignment="1" applyProtection="1">
      <alignment horizontal="center"/>
      <protection hidden="1"/>
    </xf>
    <xf numFmtId="164" fontId="70" fillId="2" borderId="7" xfId="0" applyNumberFormat="1" applyFont="1" applyFill="1" applyBorder="1" applyAlignment="1" applyProtection="1">
      <alignment horizontal="center"/>
      <protection hidden="1"/>
    </xf>
    <xf numFmtId="164" fontId="70" fillId="0" borderId="7" xfId="0" applyNumberFormat="1" applyFont="1" applyBorder="1" applyAlignment="1" applyProtection="1">
      <alignment horizontal="center"/>
      <protection hidden="1"/>
    </xf>
    <xf numFmtId="1" fontId="46" fillId="2" borderId="1" xfId="0" applyNumberFormat="1" applyFont="1" applyFill="1" applyBorder="1" applyAlignment="1" applyProtection="1">
      <alignment horizontal="center"/>
      <protection hidden="1"/>
    </xf>
    <xf numFmtId="1" fontId="46" fillId="0" borderId="1" xfId="0" applyNumberFormat="1" applyFont="1" applyBorder="1" applyAlignment="1" applyProtection="1">
      <alignment horizontal="center"/>
      <protection hidden="1"/>
    </xf>
    <xf numFmtId="178" fontId="5" fillId="29" borderId="0" xfId="0" applyFont="1" applyFill="1" applyBorder="1" applyAlignment="1" applyProtection="1">
      <alignment vertical="center"/>
    </xf>
    <xf numFmtId="178" fontId="49" fillId="29" borderId="89" xfId="0" applyFont="1" applyFill="1" applyBorder="1" applyAlignment="1" applyProtection="1">
      <alignment horizontal="right" vertical="center"/>
    </xf>
    <xf numFmtId="178" fontId="20" fillId="34" borderId="0" xfId="0" applyFont="1" applyFill="1" applyAlignment="1" applyProtection="1">
      <alignment horizontal="right"/>
    </xf>
    <xf numFmtId="178" fontId="20" fillId="34" borderId="0" xfId="0" applyFont="1" applyFill="1" applyProtection="1"/>
    <xf numFmtId="178" fontId="5" fillId="34" borderId="0" xfId="0" applyFont="1" applyFill="1" applyAlignment="1" applyProtection="1">
      <alignment horizontal="left" vertical="center"/>
    </xf>
    <xf numFmtId="178" fontId="5" fillId="34" borderId="0" xfId="0" applyFont="1" applyFill="1" applyProtection="1"/>
    <xf numFmtId="178" fontId="0" fillId="34" borderId="0" xfId="0" applyFill="1" applyBorder="1" applyProtection="1"/>
    <xf numFmtId="193" fontId="0" fillId="34" borderId="0" xfId="0" applyNumberFormat="1" applyFill="1" applyProtection="1"/>
    <xf numFmtId="178" fontId="20" fillId="34" borderId="0" xfId="0" applyFont="1" applyFill="1" applyBorder="1" applyAlignment="1" applyProtection="1">
      <alignment vertical="center" wrapText="1" shrinkToFit="1"/>
    </xf>
    <xf numFmtId="178" fontId="49" fillId="34" borderId="0" xfId="0" applyFont="1" applyFill="1" applyProtection="1"/>
    <xf numFmtId="178" fontId="11" fillId="34" borderId="0" xfId="0" applyFont="1" applyFill="1" applyProtection="1"/>
    <xf numFmtId="1" fontId="0" fillId="34" borderId="0" xfId="0" applyNumberFormat="1" applyFill="1" applyAlignment="1" applyProtection="1">
      <alignment horizontal="left"/>
    </xf>
    <xf numFmtId="178" fontId="5" fillId="42" borderId="0" xfId="0" applyFont="1" applyFill="1" applyBorder="1" applyAlignment="1" applyProtection="1">
      <alignment horizontal="left"/>
    </xf>
    <xf numFmtId="178" fontId="5" fillId="42" borderId="5" xfId="0" applyFont="1" applyFill="1" applyBorder="1" applyAlignment="1" applyProtection="1">
      <alignment horizontal="left"/>
    </xf>
    <xf numFmtId="178" fontId="20" fillId="42" borderId="6" xfId="0" applyFont="1" applyFill="1" applyBorder="1" applyProtection="1"/>
    <xf numFmtId="178" fontId="20" fillId="42" borderId="6" xfId="0" applyFont="1" applyFill="1" applyBorder="1" applyAlignment="1" applyProtection="1">
      <alignment horizontal="left"/>
    </xf>
    <xf numFmtId="178" fontId="20" fillId="42" borderId="0" xfId="0" applyFont="1" applyFill="1" applyBorder="1" applyAlignment="1" applyProtection="1">
      <alignment horizontal="left"/>
    </xf>
    <xf numFmtId="178" fontId="4" fillId="42" borderId="0" xfId="1" applyFill="1" applyBorder="1" applyAlignment="1" applyProtection="1"/>
    <xf numFmtId="178" fontId="124" fillId="42" borderId="0" xfId="0" applyFont="1" applyFill="1" applyBorder="1" applyProtection="1"/>
    <xf numFmtId="178" fontId="5" fillId="42" borderId="0" xfId="0" applyFont="1" applyFill="1" applyBorder="1" applyProtection="1"/>
    <xf numFmtId="178" fontId="5" fillId="42" borderId="5" xfId="0" applyFont="1" applyFill="1" applyBorder="1" applyAlignment="1" applyProtection="1"/>
    <xf numFmtId="178" fontId="49" fillId="42" borderId="0" xfId="0" applyFont="1" applyFill="1" applyBorder="1" applyProtection="1"/>
    <xf numFmtId="178" fontId="11" fillId="42" borderId="0" xfId="0" applyFont="1" applyFill="1" applyBorder="1" applyAlignment="1" applyProtection="1">
      <alignment wrapText="1"/>
    </xf>
    <xf numFmtId="178" fontId="0" fillId="42" borderId="67" xfId="0" applyFill="1" applyBorder="1" applyProtection="1"/>
    <xf numFmtId="178" fontId="11" fillId="42" borderId="89" xfId="0" applyFont="1" applyFill="1" applyBorder="1" applyAlignment="1" applyProtection="1">
      <alignment wrapText="1"/>
    </xf>
    <xf numFmtId="178" fontId="5" fillId="34" borderId="0" xfId="0" applyFont="1" applyFill="1" applyBorder="1" applyAlignment="1" applyProtection="1">
      <alignment horizontal="left"/>
    </xf>
    <xf numFmtId="178" fontId="46" fillId="42" borderId="0" xfId="0" applyFont="1" applyFill="1" applyBorder="1" applyAlignment="1" applyProtection="1">
      <alignment vertical="center" wrapText="1"/>
    </xf>
    <xf numFmtId="178" fontId="20" fillId="42" borderId="11" xfId="0" applyFont="1" applyFill="1" applyBorder="1" applyAlignment="1" applyProtection="1">
      <alignment horizontal="center"/>
    </xf>
    <xf numFmtId="178" fontId="0" fillId="42" borderId="12" xfId="0" applyFill="1" applyBorder="1" applyAlignment="1" applyProtection="1">
      <alignment horizontal="center"/>
    </xf>
    <xf numFmtId="178" fontId="4" fillId="42" borderId="12" xfId="1" applyFill="1" applyBorder="1" applyAlignment="1" applyProtection="1"/>
    <xf numFmtId="178" fontId="20" fillId="42" borderId="12" xfId="0" applyFont="1" applyFill="1" applyBorder="1" applyAlignment="1" applyProtection="1">
      <alignment horizontal="center"/>
    </xf>
    <xf numFmtId="178" fontId="5" fillId="42" borderId="12" xfId="0" applyFont="1" applyFill="1" applyBorder="1" applyAlignment="1" applyProtection="1">
      <alignment horizontal="left"/>
    </xf>
    <xf numFmtId="178" fontId="5" fillId="42" borderId="13" xfId="0" applyFont="1" applyFill="1" applyBorder="1" applyAlignment="1" applyProtection="1">
      <alignment horizontal="left"/>
    </xf>
    <xf numFmtId="178" fontId="125" fillId="3" borderId="26" xfId="1" applyFont="1" applyFill="1" applyBorder="1" applyAlignment="1" applyProtection="1">
      <alignment vertical="center"/>
    </xf>
    <xf numFmtId="178" fontId="125" fillId="3" borderId="25" xfId="1" applyFont="1" applyFill="1" applyBorder="1" applyAlignment="1" applyProtection="1">
      <alignment vertical="center"/>
    </xf>
    <xf numFmtId="178" fontId="0" fillId="0" borderId="0" xfId="0" applyFill="1" applyBorder="1" applyProtection="1"/>
    <xf numFmtId="178" fontId="17" fillId="29" borderId="0" xfId="0" applyFont="1" applyFill="1" applyBorder="1" applyAlignment="1" applyProtection="1"/>
    <xf numFmtId="178" fontId="17" fillId="0" borderId="0" xfId="0" applyFont="1" applyFill="1" applyBorder="1" applyAlignment="1" applyProtection="1"/>
    <xf numFmtId="178" fontId="16" fillId="34" borderId="0" xfId="0" applyFont="1" applyFill="1" applyProtection="1"/>
    <xf numFmtId="178" fontId="17" fillId="34" borderId="0" xfId="0" applyFont="1" applyFill="1" applyBorder="1" applyAlignment="1" applyProtection="1"/>
    <xf numFmtId="178" fontId="49" fillId="34" borderId="0" xfId="0" applyFont="1" applyFill="1" applyBorder="1" applyAlignment="1" applyProtection="1">
      <alignment vertical="center" wrapText="1"/>
    </xf>
    <xf numFmtId="178" fontId="49" fillId="0" borderId="0" xfId="0" applyFont="1" applyFill="1" applyBorder="1" applyAlignment="1" applyProtection="1">
      <alignment vertical="center" wrapText="1"/>
    </xf>
    <xf numFmtId="178" fontId="6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vertical="center" wrapText="1"/>
    </xf>
    <xf numFmtId="1" fontId="20" fillId="34" borderId="0" xfId="0" applyNumberFormat="1" applyFont="1" applyFill="1" applyAlignment="1" applyProtection="1">
      <alignment wrapText="1"/>
    </xf>
    <xf numFmtId="183" fontId="22" fillId="34" borderId="0" xfId="0" applyNumberFormat="1" applyFont="1" applyFill="1" applyBorder="1" applyAlignment="1" applyProtection="1">
      <alignment horizontal="center"/>
    </xf>
    <xf numFmtId="184" fontId="53" fillId="34" borderId="0" xfId="0" applyNumberFormat="1" applyFont="1" applyFill="1" applyBorder="1" applyAlignment="1" applyProtection="1">
      <alignment horizontal="center"/>
    </xf>
    <xf numFmtId="186" fontId="22" fillId="34" borderId="0" xfId="0" applyNumberFormat="1" applyFont="1" applyFill="1" applyBorder="1" applyAlignment="1" applyProtection="1">
      <alignment horizontal="center"/>
    </xf>
    <xf numFmtId="176" fontId="53" fillId="34" borderId="0" xfId="0" applyNumberFormat="1" applyFont="1" applyFill="1" applyBorder="1" applyAlignment="1" applyProtection="1">
      <alignment horizontal="center"/>
    </xf>
    <xf numFmtId="166" fontId="22" fillId="34" borderId="0" xfId="0" applyNumberFormat="1" applyFont="1" applyFill="1" applyBorder="1" applyAlignment="1" applyProtection="1">
      <alignment horizontal="center"/>
    </xf>
    <xf numFmtId="9" fontId="5" fillId="34" borderId="0" xfId="0" applyNumberFormat="1" applyFont="1" applyFill="1" applyBorder="1" applyAlignment="1" applyProtection="1">
      <alignment horizontal="center"/>
    </xf>
    <xf numFmtId="176" fontId="52" fillId="34" borderId="0" xfId="0" quotePrefix="1" applyNumberFormat="1" applyFont="1" applyFill="1" applyBorder="1" applyAlignment="1" applyProtection="1">
      <alignment horizontal="center" vertical="center"/>
    </xf>
    <xf numFmtId="181" fontId="22" fillId="34" borderId="0" xfId="0" applyNumberFormat="1" applyFont="1" applyFill="1" applyBorder="1" applyAlignment="1" applyProtection="1">
      <alignment horizontal="center"/>
    </xf>
    <xf numFmtId="172" fontId="22" fillId="34" borderId="0" xfId="0" applyNumberFormat="1" applyFont="1" applyFill="1" applyBorder="1" applyAlignment="1" applyProtection="1">
      <alignment horizontal="center"/>
    </xf>
    <xf numFmtId="2" fontId="7" fillId="34" borderId="0" xfId="0" applyNumberFormat="1" applyFont="1" applyFill="1" applyBorder="1" applyAlignment="1" applyProtection="1">
      <alignment vertical="center" wrapText="1"/>
    </xf>
    <xf numFmtId="2" fontId="7" fillId="34" borderId="0" xfId="0" applyNumberFormat="1" applyFont="1" applyFill="1" applyAlignment="1" applyProtection="1">
      <alignment vertical="center" wrapText="1"/>
    </xf>
    <xf numFmtId="2" fontId="7" fillId="34" borderId="0" xfId="0" applyNumberFormat="1" applyFont="1" applyFill="1" applyAlignment="1" applyProtection="1">
      <alignment vertical="center"/>
    </xf>
    <xf numFmtId="188" fontId="7" fillId="34" borderId="0" xfId="0" applyNumberFormat="1" applyFont="1" applyFill="1" applyAlignment="1" applyProtection="1">
      <alignment vertical="center"/>
    </xf>
    <xf numFmtId="189" fontId="7" fillId="34" borderId="0" xfId="0" applyNumberFormat="1" applyFont="1" applyFill="1" applyAlignment="1" applyProtection="1">
      <alignment vertical="center"/>
    </xf>
    <xf numFmtId="178" fontId="0" fillId="0" borderId="0" xfId="0" applyBorder="1" applyProtection="1"/>
    <xf numFmtId="183" fontId="22" fillId="0" borderId="0" xfId="0" applyNumberFormat="1" applyFont="1" applyFill="1" applyBorder="1" applyAlignment="1" applyProtection="1">
      <alignment horizontal="center"/>
    </xf>
    <xf numFmtId="184" fontId="53" fillId="0" borderId="0" xfId="0" applyNumberFormat="1" applyFont="1" applyFill="1" applyBorder="1" applyAlignment="1" applyProtection="1">
      <alignment horizontal="center"/>
    </xf>
    <xf numFmtId="186" fontId="22" fillId="0" borderId="0" xfId="0" applyNumberFormat="1" applyFont="1" applyFill="1" applyBorder="1" applyAlignment="1" applyProtection="1">
      <alignment horizontal="center"/>
    </xf>
    <xf numFmtId="176" fontId="53" fillId="0" borderId="0" xfId="0" applyNumberFormat="1" applyFont="1" applyFill="1" applyBorder="1" applyAlignment="1" applyProtection="1">
      <alignment horizontal="center"/>
    </xf>
    <xf numFmtId="166" fontId="22" fillId="0" borderId="0" xfId="0" applyNumberFormat="1" applyFont="1" applyFill="1" applyBorder="1" applyAlignment="1" applyProtection="1">
      <alignment horizontal="center"/>
    </xf>
    <xf numFmtId="9" fontId="5" fillId="0" borderId="0" xfId="0" applyNumberFormat="1" applyFont="1" applyFill="1" applyBorder="1" applyAlignment="1" applyProtection="1">
      <alignment horizontal="center"/>
    </xf>
    <xf numFmtId="176" fontId="52" fillId="0" borderId="0" xfId="0" quotePrefix="1" applyNumberFormat="1" applyFont="1" applyFill="1" applyBorder="1" applyAlignment="1" applyProtection="1">
      <alignment horizontal="center" vertical="center"/>
    </xf>
    <xf numFmtId="181" fontId="22" fillId="0" borderId="0" xfId="0" applyNumberFormat="1" applyFont="1" applyFill="1" applyBorder="1" applyAlignment="1" applyProtection="1">
      <alignment horizontal="center"/>
    </xf>
    <xf numFmtId="172" fontId="22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Border="1" applyAlignment="1" applyProtection="1">
      <alignment vertical="center" wrapText="1"/>
    </xf>
    <xf numFmtId="2" fontId="7" fillId="0" borderId="0" xfId="0" applyNumberFormat="1" applyFont="1" applyAlignment="1" applyProtection="1">
      <alignment vertical="center" wrapText="1"/>
    </xf>
    <xf numFmtId="2" fontId="7" fillId="0" borderId="0" xfId="0" applyNumberFormat="1" applyFont="1" applyAlignment="1" applyProtection="1">
      <alignment vertical="center"/>
    </xf>
    <xf numFmtId="188" fontId="7" fillId="0" borderId="0" xfId="0" applyNumberFormat="1" applyFont="1" applyAlignment="1" applyProtection="1">
      <alignment vertical="center"/>
    </xf>
    <xf numFmtId="189" fontId="7" fillId="0" borderId="0" xfId="0" applyNumberFormat="1" applyFont="1" applyAlignment="1" applyProtection="1">
      <alignment vertical="center"/>
    </xf>
    <xf numFmtId="183" fontId="22" fillId="29" borderId="0" xfId="0" applyNumberFormat="1" applyFont="1" applyFill="1" applyBorder="1" applyAlignment="1" applyProtection="1">
      <alignment horizontal="center"/>
    </xf>
    <xf numFmtId="184" fontId="53" fillId="29" borderId="0" xfId="0" applyNumberFormat="1" applyFont="1" applyFill="1" applyBorder="1" applyAlignment="1" applyProtection="1">
      <alignment horizontal="center"/>
    </xf>
    <xf numFmtId="186" fontId="22" fillId="29" borderId="0" xfId="0" applyNumberFormat="1" applyFont="1" applyFill="1" applyBorder="1" applyAlignment="1" applyProtection="1">
      <alignment horizontal="center"/>
    </xf>
    <xf numFmtId="176" fontId="53" fillId="29" borderId="0" xfId="0" applyNumberFormat="1" applyFont="1" applyFill="1" applyBorder="1" applyAlignment="1" applyProtection="1">
      <alignment horizontal="center"/>
    </xf>
    <xf numFmtId="166" fontId="22" fillId="29" borderId="0" xfId="0" applyNumberFormat="1" applyFont="1" applyFill="1" applyBorder="1" applyAlignment="1" applyProtection="1">
      <alignment horizontal="center"/>
    </xf>
    <xf numFmtId="9" fontId="5" fillId="29" borderId="0" xfId="0" applyNumberFormat="1" applyFont="1" applyFill="1" applyBorder="1" applyAlignment="1" applyProtection="1">
      <alignment horizontal="center"/>
    </xf>
    <xf numFmtId="176" fontId="52" fillId="29" borderId="0" xfId="0" quotePrefix="1" applyNumberFormat="1" applyFont="1" applyFill="1" applyBorder="1" applyAlignment="1" applyProtection="1">
      <alignment horizontal="center" vertical="center"/>
    </xf>
    <xf numFmtId="181" fontId="22" fillId="29" borderId="0" xfId="0" applyNumberFormat="1" applyFont="1" applyFill="1" applyBorder="1" applyAlignment="1" applyProtection="1">
      <alignment horizontal="center"/>
    </xf>
    <xf numFmtId="172" fontId="22" fillId="29" borderId="0" xfId="0" applyNumberFormat="1" applyFont="1" applyFill="1" applyBorder="1" applyAlignment="1" applyProtection="1">
      <alignment horizontal="center"/>
    </xf>
    <xf numFmtId="2" fontId="7" fillId="29" borderId="0" xfId="0" applyNumberFormat="1" applyFont="1" applyFill="1" applyBorder="1" applyAlignment="1" applyProtection="1">
      <alignment vertical="center" wrapText="1"/>
    </xf>
    <xf numFmtId="2" fontId="7" fillId="29" borderId="0" xfId="0" applyNumberFormat="1" applyFont="1" applyFill="1" applyAlignment="1" applyProtection="1">
      <alignment vertical="center" wrapText="1"/>
    </xf>
    <xf numFmtId="2" fontId="7" fillId="29" borderId="0" xfId="0" applyNumberFormat="1" applyFont="1" applyFill="1" applyAlignment="1" applyProtection="1">
      <alignment vertical="center"/>
    </xf>
    <xf numFmtId="188" fontId="7" fillId="29" borderId="0" xfId="0" applyNumberFormat="1" applyFont="1" applyFill="1" applyAlignment="1" applyProtection="1">
      <alignment vertical="center"/>
    </xf>
    <xf numFmtId="189" fontId="7" fillId="29" borderId="0" xfId="0" applyNumberFormat="1" applyFont="1" applyFill="1" applyAlignment="1" applyProtection="1">
      <alignment vertical="center"/>
    </xf>
    <xf numFmtId="178" fontId="16" fillId="29" borderId="0" xfId="0" applyFont="1" applyFill="1" applyProtection="1"/>
    <xf numFmtId="178" fontId="87" fillId="29" borderId="0" xfId="0" applyFont="1" applyFill="1" applyProtection="1"/>
    <xf numFmtId="178" fontId="146" fillId="29" borderId="0" xfId="0" applyFont="1" applyFill="1" applyProtection="1"/>
    <xf numFmtId="1" fontId="22" fillId="29" borderId="0" xfId="0" applyNumberFormat="1" applyFont="1" applyFill="1" applyBorder="1" applyAlignment="1" applyProtection="1">
      <alignment horizontal="center"/>
    </xf>
    <xf numFmtId="181" fontId="0" fillId="29" borderId="0" xfId="0" applyNumberFormat="1" applyFill="1" applyBorder="1" applyAlignment="1" applyProtection="1">
      <alignment horizontal="center"/>
    </xf>
    <xf numFmtId="172" fontId="0" fillId="29" borderId="0" xfId="0" applyNumberFormat="1" applyFill="1" applyBorder="1" applyAlignment="1" applyProtection="1">
      <alignment horizontal="center"/>
    </xf>
    <xf numFmtId="1" fontId="0" fillId="29" borderId="0" xfId="0" applyNumberFormat="1" applyFill="1" applyBorder="1" applyAlignment="1" applyProtection="1">
      <alignment horizontal="center"/>
    </xf>
    <xf numFmtId="178" fontId="49" fillId="29" borderId="0" xfId="0" applyFont="1" applyFill="1" applyBorder="1" applyAlignment="1" applyProtection="1">
      <alignment vertical="center"/>
    </xf>
    <xf numFmtId="178" fontId="20" fillId="29" borderId="0" xfId="0" applyFont="1" applyFill="1" applyBorder="1" applyProtection="1"/>
    <xf numFmtId="178" fontId="22" fillId="29" borderId="0" xfId="0" applyFont="1" applyFill="1" applyBorder="1" applyAlignment="1" applyProtection="1">
      <alignment wrapText="1"/>
    </xf>
    <xf numFmtId="178" fontId="5" fillId="29" borderId="0" xfId="0" applyFont="1" applyFill="1" applyBorder="1" applyProtection="1"/>
    <xf numFmtId="178" fontId="133" fillId="29" borderId="0" xfId="0" applyFont="1" applyFill="1" applyBorder="1" applyAlignment="1" applyProtection="1"/>
    <xf numFmtId="178" fontId="22" fillId="29" borderId="0" xfId="0" applyFont="1" applyFill="1" applyBorder="1" applyAlignment="1" applyProtection="1">
      <alignment horizontal="center" wrapText="1"/>
    </xf>
    <xf numFmtId="178" fontId="46" fillId="29" borderId="0" xfId="0" applyFont="1" applyFill="1" applyBorder="1" applyAlignment="1" applyProtection="1">
      <alignment wrapText="1"/>
    </xf>
    <xf numFmtId="178" fontId="15" fillId="29" borderId="0" xfId="0" applyFont="1" applyFill="1" applyBorder="1" applyAlignment="1" applyProtection="1">
      <alignment horizontal="center" wrapText="1"/>
    </xf>
    <xf numFmtId="49" fontId="14" fillId="29" borderId="0" xfId="0" applyNumberFormat="1" applyFont="1" applyFill="1" applyBorder="1" applyProtection="1"/>
    <xf numFmtId="1" fontId="14" fillId="29" borderId="0" xfId="0" applyNumberFormat="1" applyFont="1" applyFill="1" applyBorder="1" applyProtection="1"/>
    <xf numFmtId="1" fontId="0" fillId="29" borderId="0" xfId="0" applyNumberFormat="1" applyFill="1" applyBorder="1" applyAlignment="1" applyProtection="1"/>
    <xf numFmtId="178" fontId="49" fillId="29" borderId="0" xfId="0" applyFont="1" applyFill="1" applyBorder="1" applyAlignment="1" applyProtection="1">
      <alignment vertical="top"/>
    </xf>
    <xf numFmtId="178" fontId="131" fillId="0" borderId="0" xfId="0" applyFont="1" applyFill="1" applyProtection="1"/>
    <xf numFmtId="178" fontId="131" fillId="34" borderId="0" xfId="0" applyFont="1" applyFill="1" applyProtection="1"/>
    <xf numFmtId="1" fontId="16" fillId="34" borderId="0" xfId="0" applyNumberFormat="1" applyFont="1" applyFill="1" applyBorder="1" applyAlignment="1" applyProtection="1">
      <alignment vertical="top"/>
    </xf>
    <xf numFmtId="1" fontId="16" fillId="34" borderId="0" xfId="0" applyNumberFormat="1" applyFont="1" applyFill="1" applyBorder="1" applyAlignment="1" applyProtection="1">
      <alignment vertical="center"/>
    </xf>
    <xf numFmtId="178" fontId="0" fillId="34" borderId="0" xfId="0" applyFill="1" applyBorder="1" applyAlignment="1" applyProtection="1"/>
    <xf numFmtId="178" fontId="132" fillId="34" borderId="0" xfId="0" applyFont="1" applyFill="1" applyBorder="1" applyAlignment="1" applyProtection="1">
      <alignment horizontal="center" vertical="center"/>
    </xf>
    <xf numFmtId="178" fontId="61" fillId="34" borderId="0" xfId="0" applyFont="1" applyFill="1" applyBorder="1" applyAlignment="1" applyProtection="1">
      <alignment vertical="top"/>
    </xf>
    <xf numFmtId="1" fontId="24" fillId="47" borderId="17" xfId="0" applyNumberFormat="1" applyFont="1" applyFill="1" applyBorder="1" applyAlignment="1" applyProtection="1">
      <alignment vertical="center"/>
    </xf>
    <xf numFmtId="1" fontId="24" fillId="47" borderId="18" xfId="0" applyNumberFormat="1" applyFont="1" applyFill="1" applyBorder="1" applyAlignment="1" applyProtection="1">
      <alignment vertical="center"/>
    </xf>
    <xf numFmtId="1" fontId="24" fillId="34" borderId="0" xfId="0" applyNumberFormat="1" applyFont="1" applyFill="1" applyBorder="1" applyAlignment="1" applyProtection="1">
      <alignment vertical="center"/>
    </xf>
    <xf numFmtId="1" fontId="24" fillId="47" borderId="16" xfId="0" applyNumberFormat="1" applyFont="1" applyFill="1" applyBorder="1" applyAlignment="1" applyProtection="1">
      <alignment vertical="center"/>
    </xf>
    <xf numFmtId="178" fontId="0" fillId="47" borderId="17" xfId="0" applyFill="1" applyBorder="1" applyAlignment="1" applyProtection="1"/>
    <xf numFmtId="178" fontId="0" fillId="47" borderId="16" xfId="0" applyFill="1" applyBorder="1" applyProtection="1"/>
    <xf numFmtId="178" fontId="0" fillId="34" borderId="0" xfId="0" applyFill="1" applyAlignment="1" applyProtection="1">
      <alignment vertical="center"/>
    </xf>
    <xf numFmtId="49" fontId="49" fillId="47" borderId="0" xfId="0" applyNumberFormat="1" applyFont="1" applyFill="1" applyBorder="1" applyAlignment="1" applyProtection="1">
      <alignment vertical="center"/>
    </xf>
    <xf numFmtId="49" fontId="82" fillId="47" borderId="0" xfId="0" applyNumberFormat="1" applyFont="1" applyFill="1" applyBorder="1" applyAlignment="1" applyProtection="1">
      <alignment vertical="center"/>
    </xf>
    <xf numFmtId="49" fontId="49" fillId="34" borderId="0" xfId="0" applyNumberFormat="1" applyFont="1" applyFill="1" applyBorder="1" applyAlignment="1" applyProtection="1">
      <alignment vertical="center"/>
    </xf>
    <xf numFmtId="49" fontId="49" fillId="47" borderId="6" xfId="0" applyNumberFormat="1" applyFont="1" applyFill="1" applyBorder="1" applyAlignment="1" applyProtection="1">
      <alignment vertical="center"/>
    </xf>
    <xf numFmtId="49" fontId="0" fillId="47" borderId="6" xfId="0" applyNumberFormat="1" applyFill="1" applyBorder="1" applyAlignment="1" applyProtection="1">
      <alignment vertical="center"/>
    </xf>
    <xf numFmtId="178" fontId="0" fillId="0" borderId="0" xfId="0" applyAlignment="1" applyProtection="1">
      <alignment vertical="center"/>
    </xf>
    <xf numFmtId="178" fontId="61" fillId="34" borderId="0" xfId="0" applyFont="1" applyFill="1" applyBorder="1" applyAlignment="1" applyProtection="1">
      <alignment horizontal="left" vertical="top" wrapText="1"/>
    </xf>
    <xf numFmtId="49" fontId="5" fillId="34" borderId="0" xfId="0" applyNumberFormat="1" applyFont="1" applyFill="1" applyBorder="1" applyAlignment="1" applyProtection="1">
      <alignment vertical="center"/>
    </xf>
    <xf numFmtId="49" fontId="5" fillId="47" borderId="6" xfId="0" applyNumberFormat="1" applyFont="1" applyFill="1" applyBorder="1" applyAlignment="1" applyProtection="1">
      <alignment vertical="center"/>
    </xf>
    <xf numFmtId="49" fontId="0" fillId="47" borderId="6" xfId="0" applyNumberFormat="1" applyFill="1" applyBorder="1" applyProtection="1"/>
    <xf numFmtId="178" fontId="24" fillId="34" borderId="5" xfId="0" applyFont="1" applyFill="1" applyBorder="1" applyAlignment="1" applyProtection="1">
      <alignment wrapText="1"/>
    </xf>
    <xf numFmtId="49" fontId="49" fillId="34" borderId="0" xfId="0" applyNumberFormat="1" applyFont="1" applyFill="1" applyBorder="1" applyAlignment="1" applyProtection="1">
      <alignment wrapText="1"/>
    </xf>
    <xf numFmtId="178" fontId="61" fillId="34" borderId="0" xfId="0" applyFont="1" applyFill="1" applyBorder="1" applyAlignment="1" applyProtection="1">
      <alignment vertical="center"/>
    </xf>
    <xf numFmtId="178" fontId="61" fillId="34" borderId="0" xfId="0" applyFont="1" applyFill="1" applyBorder="1" applyAlignment="1" applyProtection="1">
      <alignment horizontal="left" vertical="center" wrapText="1"/>
    </xf>
    <xf numFmtId="178" fontId="11" fillId="0" borderId="0" xfId="0" applyFont="1" applyProtection="1"/>
    <xf numFmtId="49" fontId="46" fillId="34" borderId="0" xfId="0" applyNumberFormat="1" applyFont="1" applyFill="1" applyBorder="1" applyAlignment="1" applyProtection="1"/>
    <xf numFmtId="1" fontId="22" fillId="34" borderId="0" xfId="0" applyNumberFormat="1" applyFont="1" applyFill="1" applyAlignment="1" applyProtection="1">
      <alignment horizontal="center"/>
    </xf>
    <xf numFmtId="49" fontId="46" fillId="34" borderId="0" xfId="0" applyNumberFormat="1" applyFont="1" applyFill="1" applyBorder="1" applyAlignment="1" applyProtection="1">
      <alignment horizontal="left"/>
    </xf>
    <xf numFmtId="178" fontId="61" fillId="34" borderId="0" xfId="0" applyFont="1" applyFill="1" applyBorder="1" applyAlignment="1" applyProtection="1">
      <alignment vertical="center" wrapText="1"/>
    </xf>
    <xf numFmtId="49" fontId="46" fillId="34" borderId="46" xfId="0" applyNumberFormat="1" applyFont="1" applyFill="1" applyBorder="1" applyAlignment="1" applyProtection="1">
      <alignment horizontal="left"/>
    </xf>
    <xf numFmtId="178" fontId="83" fillId="34" borderId="0" xfId="0" applyFont="1" applyFill="1" applyProtection="1"/>
    <xf numFmtId="49" fontId="85" fillId="34" borderId="0" xfId="0" applyNumberFormat="1" applyFont="1" applyFill="1" applyBorder="1" applyAlignment="1" applyProtection="1">
      <alignment horizontal="left"/>
    </xf>
    <xf numFmtId="49" fontId="85" fillId="34" borderId="0" xfId="0" applyNumberFormat="1" applyFont="1" applyFill="1" applyBorder="1" applyAlignment="1" applyProtection="1"/>
    <xf numFmtId="178" fontId="83" fillId="0" borderId="0" xfId="0" applyFont="1" applyProtection="1"/>
    <xf numFmtId="1" fontId="46" fillId="34" borderId="0" xfId="0" applyNumberFormat="1" applyFont="1" applyFill="1" applyBorder="1" applyAlignment="1" applyProtection="1"/>
    <xf numFmtId="49" fontId="14" fillId="34" borderId="0" xfId="0" applyNumberFormat="1" applyFont="1" applyFill="1" applyBorder="1" applyAlignment="1" applyProtection="1"/>
    <xf numFmtId="178" fontId="11" fillId="34" borderId="0" xfId="0" applyFont="1" applyFill="1" applyBorder="1" applyAlignment="1" applyProtection="1">
      <alignment horizontal="left"/>
    </xf>
    <xf numFmtId="178" fontId="11" fillId="34" borderId="0" xfId="0" applyFont="1" applyFill="1" applyAlignment="1" applyProtection="1">
      <alignment horizontal="left"/>
    </xf>
    <xf numFmtId="49" fontId="14" fillId="34" borderId="0" xfId="0" applyNumberFormat="1" applyFont="1" applyFill="1" applyBorder="1" applyAlignment="1" applyProtection="1">
      <alignment horizontal="center"/>
    </xf>
    <xf numFmtId="178" fontId="61" fillId="34" borderId="0" xfId="0" applyFont="1" applyFill="1" applyBorder="1" applyAlignment="1" applyProtection="1"/>
    <xf numFmtId="178" fontId="61" fillId="34" borderId="0" xfId="0" applyFont="1" applyFill="1" applyBorder="1" applyAlignment="1" applyProtection="1">
      <alignment horizontal="left" wrapText="1"/>
    </xf>
    <xf numFmtId="178" fontId="61" fillId="34" borderId="5" xfId="0" applyFont="1" applyFill="1" applyBorder="1" applyAlignment="1" applyProtection="1">
      <alignment vertical="center" wrapText="1"/>
    </xf>
    <xf numFmtId="49" fontId="61" fillId="47" borderId="0" xfId="0" applyNumberFormat="1" applyFont="1" applyFill="1" applyBorder="1" applyAlignment="1" applyProtection="1"/>
    <xf numFmtId="1" fontId="76" fillId="34" borderId="0" xfId="0" applyNumberFormat="1" applyFont="1" applyFill="1" applyBorder="1" applyAlignment="1" applyProtection="1">
      <alignment horizontal="center"/>
    </xf>
    <xf numFmtId="49" fontId="46" fillId="47" borderId="0" xfId="0" applyNumberFormat="1" applyFont="1" applyFill="1" applyBorder="1" applyAlignment="1" applyProtection="1"/>
    <xf numFmtId="49" fontId="22" fillId="47" borderId="0" xfId="0" applyNumberFormat="1" applyFont="1" applyFill="1" applyBorder="1" applyAlignment="1" applyProtection="1">
      <alignment vertical="center"/>
    </xf>
    <xf numFmtId="178" fontId="61" fillId="34" borderId="0" xfId="0" applyFont="1" applyFill="1" applyBorder="1" applyAlignment="1" applyProtection="1">
      <alignment wrapText="1"/>
    </xf>
    <xf numFmtId="1" fontId="76" fillId="34" borderId="0" xfId="0" applyNumberFormat="1" applyFont="1" applyFill="1" applyBorder="1" applyAlignment="1" applyProtection="1"/>
    <xf numFmtId="1" fontId="71" fillId="34" borderId="0" xfId="0" applyNumberFormat="1" applyFont="1" applyFill="1" applyBorder="1" applyAlignment="1" applyProtection="1"/>
    <xf numFmtId="49" fontId="46" fillId="34" borderId="0" xfId="0" applyNumberFormat="1" applyFont="1" applyFill="1" applyBorder="1" applyAlignment="1" applyProtection="1">
      <alignment horizontal="right"/>
    </xf>
    <xf numFmtId="1" fontId="71" fillId="34" borderId="0" xfId="0" applyNumberFormat="1" applyFont="1" applyFill="1" applyBorder="1" applyAlignment="1" applyProtection="1">
      <alignment horizontal="right"/>
    </xf>
    <xf numFmtId="1" fontId="14" fillId="34" borderId="0" xfId="0" applyNumberFormat="1" applyFont="1" applyFill="1" applyBorder="1" applyProtection="1"/>
    <xf numFmtId="1" fontId="46" fillId="34" borderId="0" xfId="0" applyNumberFormat="1" applyFont="1" applyFill="1" applyBorder="1" applyAlignment="1" applyProtection="1">
      <alignment horizontal="right"/>
    </xf>
    <xf numFmtId="1" fontId="16" fillId="29" borderId="0" xfId="0" applyNumberFormat="1" applyFont="1" applyFill="1" applyBorder="1" applyProtection="1"/>
    <xf numFmtId="178" fontId="61" fillId="29" borderId="0" xfId="0" applyFont="1" applyFill="1" applyBorder="1" applyAlignment="1" applyProtection="1">
      <alignment vertical="center"/>
    </xf>
    <xf numFmtId="178" fontId="0" fillId="29" borderId="0" xfId="0" applyFill="1" applyBorder="1" applyAlignment="1" applyProtection="1"/>
    <xf numFmtId="178" fontId="0" fillId="29" borderId="0" xfId="0" applyFill="1" applyBorder="1" applyAlignment="1" applyProtection="1">
      <alignment horizontal="left"/>
    </xf>
    <xf numFmtId="1" fontId="24" fillId="29" borderId="0" xfId="0" applyNumberFormat="1" applyFont="1" applyFill="1" applyBorder="1" applyAlignment="1" applyProtection="1">
      <alignment horizontal="center" vertical="center"/>
    </xf>
    <xf numFmtId="178" fontId="120" fillId="29" borderId="0" xfId="0" applyFont="1" applyFill="1" applyProtection="1"/>
    <xf numFmtId="178" fontId="109" fillId="29" borderId="0" xfId="0" applyFont="1" applyFill="1" applyProtection="1"/>
    <xf numFmtId="178" fontId="0" fillId="29" borderId="0" xfId="0" applyFill="1" applyAlignment="1" applyProtection="1">
      <alignment vertical="center"/>
    </xf>
    <xf numFmtId="180" fontId="102" fillId="29" borderId="0" xfId="0" applyNumberFormat="1" applyFont="1" applyFill="1" applyBorder="1" applyAlignment="1" applyProtection="1">
      <alignment vertical="center"/>
    </xf>
    <xf numFmtId="180" fontId="107" fillId="29" borderId="0" xfId="0" applyNumberFormat="1" applyFont="1" applyFill="1" applyBorder="1" applyAlignment="1" applyProtection="1">
      <alignment vertical="center"/>
    </xf>
    <xf numFmtId="178" fontId="61" fillId="29" borderId="0" xfId="0" applyFont="1" applyFill="1" applyBorder="1" applyAlignment="1" applyProtection="1">
      <alignment vertical="center" wrapText="1"/>
    </xf>
    <xf numFmtId="178" fontId="48" fillId="35" borderId="6" xfId="0" applyFont="1" applyFill="1" applyBorder="1" applyAlignment="1" applyProtection="1">
      <alignment vertical="center"/>
    </xf>
    <xf numFmtId="178" fontId="48" fillId="35" borderId="0" xfId="0" applyFont="1" applyFill="1" applyBorder="1" applyAlignment="1" applyProtection="1">
      <alignment vertical="center"/>
    </xf>
    <xf numFmtId="178" fontId="61" fillId="35" borderId="0" xfId="0" applyFont="1" applyFill="1" applyBorder="1" applyAlignment="1" applyProtection="1">
      <alignment horizontal="right" vertical="center"/>
    </xf>
    <xf numFmtId="178" fontId="97" fillId="35" borderId="0" xfId="0" applyFont="1" applyFill="1" applyBorder="1" applyAlignment="1" applyProtection="1">
      <alignment vertical="center"/>
    </xf>
    <xf numFmtId="178" fontId="97" fillId="35" borderId="5" xfId="0" applyFont="1" applyFill="1" applyBorder="1" applyAlignment="1" applyProtection="1">
      <alignment vertical="center"/>
    </xf>
    <xf numFmtId="178" fontId="97" fillId="29" borderId="0" xfId="0" applyFont="1" applyFill="1" applyBorder="1" applyAlignment="1" applyProtection="1">
      <alignment vertical="center"/>
    </xf>
    <xf numFmtId="178" fontId="48" fillId="37" borderId="6" xfId="0" applyFont="1" applyFill="1" applyBorder="1" applyAlignment="1" applyProtection="1">
      <alignment vertical="center"/>
    </xf>
    <xf numFmtId="178" fontId="102" fillId="37" borderId="89" xfId="0" applyFont="1" applyFill="1" applyBorder="1" applyAlignment="1" applyProtection="1">
      <alignment vertical="center"/>
    </xf>
    <xf numFmtId="178" fontId="102" fillId="29" borderId="0" xfId="0" applyFont="1" applyFill="1" applyBorder="1" applyAlignment="1" applyProtection="1">
      <alignment vertical="center"/>
    </xf>
    <xf numFmtId="178" fontId="19" fillId="29" borderId="0" xfId="0" applyFont="1" applyFill="1" applyAlignment="1" applyProtection="1">
      <alignment vertical="center"/>
    </xf>
    <xf numFmtId="178" fontId="61" fillId="29" borderId="0" xfId="0" applyFont="1" applyFill="1" applyBorder="1" applyAlignment="1" applyProtection="1">
      <alignment horizontal="left" vertical="center" wrapText="1"/>
    </xf>
    <xf numFmtId="178" fontId="85" fillId="34" borderId="6" xfId="0" applyFont="1" applyFill="1" applyBorder="1" applyAlignment="1" applyProtection="1">
      <alignment vertical="center"/>
    </xf>
    <xf numFmtId="178" fontId="104" fillId="34" borderId="0" xfId="0" applyFont="1" applyFill="1" applyBorder="1" applyAlignment="1" applyProtection="1">
      <alignment vertical="center"/>
    </xf>
    <xf numFmtId="176" fontId="53" fillId="34" borderId="0" xfId="0" applyNumberFormat="1" applyFont="1" applyFill="1" applyBorder="1" applyAlignment="1" applyProtection="1">
      <alignment vertical="center"/>
    </xf>
    <xf numFmtId="1" fontId="22" fillId="34" borderId="0" xfId="0" applyNumberFormat="1" applyFont="1" applyFill="1" applyBorder="1" applyAlignment="1" applyProtection="1">
      <alignment horizontal="center" vertical="center"/>
    </xf>
    <xf numFmtId="1" fontId="22" fillId="34" borderId="0" xfId="0" applyNumberFormat="1" applyFont="1" applyFill="1" applyBorder="1" applyAlignment="1" applyProtection="1">
      <alignment vertical="center"/>
    </xf>
    <xf numFmtId="178" fontId="48" fillId="34" borderId="5" xfId="0" applyFont="1" applyFill="1" applyBorder="1" applyAlignment="1" applyProtection="1">
      <alignment vertical="center"/>
    </xf>
    <xf numFmtId="1" fontId="22" fillId="34" borderId="6" xfId="0" applyNumberFormat="1" applyFont="1" applyFill="1" applyBorder="1" applyAlignment="1" applyProtection="1">
      <alignment vertical="center"/>
    </xf>
    <xf numFmtId="178" fontId="48" fillId="34" borderId="0" xfId="0" applyFont="1" applyFill="1" applyBorder="1" applyAlignment="1" applyProtection="1">
      <alignment vertical="center"/>
    </xf>
    <xf numFmtId="178" fontId="0" fillId="34" borderId="4" xfId="0" applyFill="1" applyBorder="1" applyAlignment="1" applyProtection="1"/>
    <xf numFmtId="178" fontId="85" fillId="34" borderId="0" xfId="0" applyFont="1" applyFill="1" applyBorder="1" applyAlignment="1" applyProtection="1">
      <alignment vertical="center"/>
    </xf>
    <xf numFmtId="1" fontId="22" fillId="34" borderId="5" xfId="0" applyNumberFormat="1" applyFont="1" applyFill="1" applyBorder="1" applyAlignment="1" applyProtection="1">
      <alignment horizontal="center" vertical="center"/>
    </xf>
    <xf numFmtId="178" fontId="5" fillId="34" borderId="6" xfId="0" applyFont="1" applyFill="1" applyBorder="1" applyAlignment="1" applyProtection="1">
      <alignment vertical="center"/>
    </xf>
    <xf numFmtId="178" fontId="5" fillId="34" borderId="0" xfId="0" applyFont="1" applyFill="1" applyBorder="1" applyAlignment="1" applyProtection="1">
      <alignment vertical="center"/>
    </xf>
    <xf numFmtId="178" fontId="105" fillId="34" borderId="4" xfId="0" applyFont="1" applyFill="1" applyBorder="1" applyAlignment="1" applyProtection="1">
      <alignment vertical="center"/>
    </xf>
    <xf numFmtId="178" fontId="105" fillId="34" borderId="0" xfId="0" applyFont="1" applyFill="1" applyBorder="1" applyAlignment="1" applyProtection="1">
      <alignment vertical="center"/>
    </xf>
    <xf numFmtId="178" fontId="105" fillId="34" borderId="89" xfId="0" applyFont="1" applyFill="1" applyBorder="1" applyAlignment="1" applyProtection="1">
      <alignment vertical="center"/>
    </xf>
    <xf numFmtId="165" fontId="22" fillId="34" borderId="0" xfId="0" applyNumberFormat="1" applyFont="1" applyFill="1" applyBorder="1" applyAlignment="1" applyProtection="1">
      <alignment vertical="center"/>
    </xf>
    <xf numFmtId="165" fontId="85" fillId="34" borderId="0" xfId="0" applyNumberFormat="1" applyFont="1" applyFill="1" applyBorder="1" applyAlignment="1" applyProtection="1">
      <alignment vertical="center"/>
    </xf>
    <xf numFmtId="165" fontId="61" fillId="29" borderId="0" xfId="0" applyNumberFormat="1" applyFont="1" applyFill="1" applyBorder="1" applyAlignment="1" applyProtection="1">
      <alignment vertical="center"/>
    </xf>
    <xf numFmtId="165" fontId="61" fillId="34" borderId="89" xfId="0" applyNumberFormat="1" applyFont="1" applyFill="1" applyBorder="1" applyAlignment="1" applyProtection="1">
      <alignment vertical="center"/>
    </xf>
    <xf numFmtId="165" fontId="22" fillId="34" borderId="5" xfId="0" applyNumberFormat="1" applyFont="1" applyFill="1" applyBorder="1" applyAlignment="1" applyProtection="1">
      <alignment vertical="center"/>
    </xf>
    <xf numFmtId="178" fontId="85" fillId="34" borderId="0" xfId="0" applyFont="1" applyFill="1" applyBorder="1" applyAlignment="1" applyProtection="1">
      <alignment wrapText="1"/>
    </xf>
    <xf numFmtId="178" fontId="71" fillId="34" borderId="0" xfId="0" applyFont="1" applyFill="1" applyBorder="1" applyAlignment="1" applyProtection="1">
      <alignment vertical="center"/>
    </xf>
    <xf numFmtId="178" fontId="64" fillId="34" borderId="0" xfId="0" applyFont="1" applyFill="1" applyBorder="1" applyAlignment="1" applyProtection="1">
      <alignment horizontal="left" vertical="center"/>
    </xf>
    <xf numFmtId="178" fontId="49" fillId="34" borderId="0" xfId="0" applyFont="1" applyFill="1" applyBorder="1" applyAlignment="1" applyProtection="1">
      <alignment vertical="center"/>
    </xf>
    <xf numFmtId="178" fontId="5" fillId="34" borderId="0" xfId="0" applyFont="1" applyFill="1" applyBorder="1" applyAlignment="1" applyProtection="1">
      <alignment horizontal="left" vertical="center"/>
    </xf>
    <xf numFmtId="49" fontId="61" fillId="34" borderId="0" xfId="0" applyNumberFormat="1" applyFont="1" applyFill="1" applyBorder="1" applyAlignment="1" applyProtection="1"/>
    <xf numFmtId="1" fontId="61" fillId="34" borderId="0" xfId="0" applyNumberFormat="1" applyFont="1" applyFill="1" applyBorder="1" applyAlignment="1" applyProtection="1"/>
    <xf numFmtId="1" fontId="48" fillId="34" borderId="5" xfId="0" applyNumberFormat="1" applyFont="1" applyFill="1" applyBorder="1" applyAlignment="1" applyProtection="1">
      <alignment wrapText="1"/>
    </xf>
    <xf numFmtId="1" fontId="61" fillId="29" borderId="0" xfId="0" applyNumberFormat="1" applyFont="1" applyFill="1" applyBorder="1" applyAlignment="1" applyProtection="1">
      <alignment wrapText="1"/>
    </xf>
    <xf numFmtId="1" fontId="48" fillId="34" borderId="0" xfId="0" applyNumberFormat="1" applyFont="1" applyFill="1" applyBorder="1" applyAlignment="1" applyProtection="1">
      <alignment wrapText="1"/>
    </xf>
    <xf numFmtId="1" fontId="61" fillId="34" borderId="89" xfId="0" applyNumberFormat="1" applyFont="1" applyFill="1" applyBorder="1" applyAlignment="1" applyProtection="1">
      <alignment wrapText="1"/>
    </xf>
    <xf numFmtId="1" fontId="61" fillId="34" borderId="4" xfId="0" applyNumberFormat="1" applyFont="1" applyFill="1" applyBorder="1" applyAlignment="1" applyProtection="1">
      <alignment wrapText="1"/>
    </xf>
    <xf numFmtId="178" fontId="48" fillId="34" borderId="0" xfId="0" applyFont="1" applyFill="1" applyBorder="1" applyAlignment="1" applyProtection="1"/>
    <xf numFmtId="178" fontId="22" fillId="34" borderId="5" xfId="0" applyFont="1" applyFill="1" applyBorder="1" applyAlignment="1" applyProtection="1">
      <alignment vertical="center"/>
    </xf>
    <xf numFmtId="49" fontId="71" fillId="34" borderId="0" xfId="0" applyNumberFormat="1" applyFont="1" applyFill="1" applyBorder="1" applyAlignment="1" applyProtection="1">
      <alignment vertical="center"/>
    </xf>
    <xf numFmtId="1" fontId="64" fillId="34" borderId="0" xfId="0" applyNumberFormat="1" applyFont="1" applyFill="1" applyBorder="1" applyAlignment="1" applyProtection="1">
      <alignment vertical="center" wrapText="1"/>
    </xf>
    <xf numFmtId="1" fontId="62" fillId="34" borderId="5" xfId="0" applyNumberFormat="1" applyFont="1" applyFill="1" applyBorder="1" applyAlignment="1" applyProtection="1">
      <alignment vertical="center" wrapText="1"/>
    </xf>
    <xf numFmtId="1" fontId="5" fillId="34" borderId="4" xfId="0" applyNumberFormat="1" applyFont="1" applyFill="1" applyBorder="1" applyAlignment="1" applyProtection="1">
      <alignment vertical="center"/>
    </xf>
    <xf numFmtId="178" fontId="85" fillId="34" borderId="0" xfId="0" applyFont="1" applyFill="1" applyBorder="1" applyAlignment="1" applyProtection="1">
      <alignment vertical="top" wrapText="1"/>
    </xf>
    <xf numFmtId="178" fontId="22" fillId="34" borderId="0" xfId="0" applyFont="1" applyFill="1" applyBorder="1" applyAlignment="1" applyProtection="1">
      <alignment vertical="center"/>
    </xf>
    <xf numFmtId="49" fontId="71" fillId="34" borderId="0" xfId="0" applyNumberFormat="1" applyFont="1" applyFill="1" applyBorder="1" applyAlignment="1" applyProtection="1">
      <alignment horizontal="center" vertical="center"/>
    </xf>
    <xf numFmtId="49" fontId="93" fillId="34" borderId="0" xfId="0" applyNumberFormat="1" applyFont="1" applyFill="1" applyBorder="1" applyAlignment="1" applyProtection="1">
      <alignment vertical="center"/>
    </xf>
    <xf numFmtId="49" fontId="22" fillId="34" borderId="5" xfId="0" applyNumberFormat="1" applyFont="1" applyFill="1" applyBorder="1" applyAlignment="1" applyProtection="1"/>
    <xf numFmtId="49" fontId="61" fillId="29" borderId="0" xfId="0" applyNumberFormat="1" applyFont="1" applyFill="1" applyBorder="1" applyAlignment="1" applyProtection="1">
      <alignment vertical="center" wrapText="1"/>
    </xf>
    <xf numFmtId="178" fontId="22" fillId="38" borderId="31" xfId="0" applyFont="1" applyFill="1" applyBorder="1" applyAlignment="1" applyProtection="1">
      <alignment horizontal="left" vertical="center"/>
    </xf>
    <xf numFmtId="49" fontId="61" fillId="38" borderId="67" xfId="0" applyNumberFormat="1" applyFont="1" applyFill="1" applyBorder="1" applyAlignment="1" applyProtection="1">
      <alignment vertical="center" wrapText="1"/>
    </xf>
    <xf numFmtId="49" fontId="93" fillId="38" borderId="67" xfId="0" applyNumberFormat="1" applyFont="1" applyFill="1" applyBorder="1" applyAlignment="1" applyProtection="1">
      <alignment vertical="center" wrapText="1"/>
    </xf>
    <xf numFmtId="49" fontId="93" fillId="38" borderId="67" xfId="0" applyNumberFormat="1" applyFont="1" applyFill="1" applyBorder="1" applyAlignment="1" applyProtection="1">
      <alignment vertical="center"/>
    </xf>
    <xf numFmtId="49" fontId="22" fillId="38" borderId="67" xfId="0" applyNumberFormat="1" applyFont="1" applyFill="1" applyBorder="1" applyAlignment="1" applyProtection="1"/>
    <xf numFmtId="49" fontId="61" fillId="38" borderId="90" xfId="0" applyNumberFormat="1" applyFont="1" applyFill="1" applyBorder="1" applyAlignment="1" applyProtection="1">
      <alignment vertical="center" wrapText="1"/>
    </xf>
    <xf numFmtId="49" fontId="61" fillId="40" borderId="30" xfId="0" applyNumberFormat="1" applyFont="1" applyFill="1" applyBorder="1" applyAlignment="1" applyProtection="1">
      <alignment vertical="center" wrapText="1"/>
    </xf>
    <xf numFmtId="49" fontId="61" fillId="40" borderId="67" xfId="0" applyNumberFormat="1" applyFont="1" applyFill="1" applyBorder="1" applyAlignment="1" applyProtection="1">
      <alignment vertical="center" wrapText="1"/>
    </xf>
    <xf numFmtId="49" fontId="93" fillId="40" borderId="67" xfId="0" applyNumberFormat="1" applyFont="1" applyFill="1" applyBorder="1" applyAlignment="1" applyProtection="1">
      <alignment vertical="center" wrapText="1"/>
    </xf>
    <xf numFmtId="49" fontId="93" fillId="40" borderId="67" xfId="0" applyNumberFormat="1" applyFont="1" applyFill="1" applyBorder="1" applyAlignment="1" applyProtection="1">
      <alignment vertical="center"/>
    </xf>
    <xf numFmtId="178" fontId="22" fillId="40" borderId="67" xfId="0" applyFont="1" applyFill="1" applyBorder="1" applyAlignment="1" applyProtection="1">
      <alignment horizontal="left" vertical="center"/>
    </xf>
    <xf numFmtId="178" fontId="22" fillId="40" borderId="36" xfId="0" applyFont="1" applyFill="1" applyBorder="1" applyAlignment="1" applyProtection="1">
      <alignment horizontal="left" vertical="center"/>
    </xf>
    <xf numFmtId="178" fontId="64" fillId="34" borderId="0" xfId="0" applyFont="1" applyFill="1" applyBorder="1" applyAlignment="1" applyProtection="1">
      <alignment vertical="center"/>
    </xf>
    <xf numFmtId="178" fontId="64" fillId="29" borderId="0" xfId="0" applyFont="1" applyFill="1" applyBorder="1" applyAlignment="1" applyProtection="1">
      <alignment vertical="center"/>
    </xf>
    <xf numFmtId="178" fontId="78" fillId="35" borderId="0" xfId="0" applyFont="1" applyFill="1" applyBorder="1" applyAlignment="1" applyProtection="1">
      <alignment vertical="center"/>
    </xf>
    <xf numFmtId="178" fontId="64" fillId="35" borderId="0" xfId="0" applyFont="1" applyFill="1" applyBorder="1" applyAlignment="1" applyProtection="1">
      <alignment vertical="center"/>
    </xf>
    <xf numFmtId="168" fontId="57" fillId="35" borderId="0" xfId="0" applyNumberFormat="1" applyFont="1" applyFill="1" applyBorder="1" applyAlignment="1" applyProtection="1">
      <alignment vertical="center"/>
    </xf>
    <xf numFmtId="178" fontId="0" fillId="35" borderId="0" xfId="0" applyFill="1" applyBorder="1" applyAlignment="1" applyProtection="1"/>
    <xf numFmtId="178" fontId="22" fillId="35" borderId="0" xfId="0" applyFont="1" applyFill="1" applyBorder="1" applyAlignment="1" applyProtection="1">
      <alignment horizontal="left" vertical="center"/>
    </xf>
    <xf numFmtId="178" fontId="54" fillId="35" borderId="0" xfId="0" applyFont="1" applyFill="1" applyBorder="1" applyAlignment="1" applyProtection="1">
      <alignment horizontal="left" vertical="center"/>
    </xf>
    <xf numFmtId="178" fontId="77" fillId="35" borderId="0" xfId="0" applyFont="1" applyFill="1" applyBorder="1" applyAlignment="1" applyProtection="1">
      <alignment horizontal="left" vertical="center"/>
    </xf>
    <xf numFmtId="178" fontId="77" fillId="35" borderId="0" xfId="0" applyFont="1" applyFill="1" applyBorder="1" applyAlignment="1" applyProtection="1">
      <alignment horizontal="right" vertical="center"/>
    </xf>
    <xf numFmtId="178" fontId="77" fillId="35" borderId="46" xfId="0" applyFont="1" applyFill="1" applyBorder="1" applyAlignment="1" applyProtection="1">
      <alignment horizontal="right" vertical="center"/>
    </xf>
    <xf numFmtId="178" fontId="22" fillId="35" borderId="46" xfId="0" applyFont="1" applyFill="1" applyBorder="1" applyAlignment="1" applyProtection="1">
      <alignment horizontal="left" vertical="center"/>
    </xf>
    <xf numFmtId="178" fontId="54" fillId="35" borderId="46" xfId="0" applyFont="1" applyFill="1" applyBorder="1" applyAlignment="1" applyProtection="1">
      <alignment horizontal="left" vertical="center"/>
    </xf>
    <xf numFmtId="178" fontId="77" fillId="35" borderId="5" xfId="0" applyFont="1" applyFill="1" applyBorder="1" applyAlignment="1" applyProtection="1">
      <alignment horizontal="right" vertical="center"/>
    </xf>
    <xf numFmtId="178" fontId="17" fillId="34" borderId="0" xfId="0" applyNumberFormat="1" applyFont="1" applyFill="1" applyBorder="1" applyAlignment="1" applyProtection="1">
      <alignment horizontal="center" vertical="center"/>
    </xf>
    <xf numFmtId="178" fontId="0" fillId="34" borderId="0" xfId="0" applyFill="1" applyBorder="1" applyAlignment="1" applyProtection="1">
      <alignment vertical="center"/>
    </xf>
    <xf numFmtId="178" fontId="0" fillId="34" borderId="6" xfId="0" applyFill="1" applyBorder="1" applyAlignment="1" applyProtection="1">
      <alignment vertical="center"/>
    </xf>
    <xf numFmtId="178" fontId="0" fillId="34" borderId="5" xfId="0" applyFill="1" applyBorder="1" applyAlignment="1" applyProtection="1">
      <alignment vertical="center"/>
    </xf>
    <xf numFmtId="49" fontId="71" fillId="34" borderId="5" xfId="0" applyNumberFormat="1" applyFont="1" applyFill="1" applyBorder="1" applyAlignment="1" applyProtection="1">
      <alignment vertical="center"/>
    </xf>
    <xf numFmtId="165" fontId="85" fillId="29" borderId="0" xfId="0" applyNumberFormat="1" applyFont="1" applyFill="1" applyBorder="1" applyAlignment="1" applyProtection="1">
      <alignment vertical="center"/>
    </xf>
    <xf numFmtId="178" fontId="24" fillId="36" borderId="6" xfId="0" applyFont="1" applyFill="1" applyBorder="1" applyAlignment="1" applyProtection="1">
      <alignment vertical="center"/>
    </xf>
    <xf numFmtId="178" fontId="106" fillId="36" borderId="0" xfId="0" applyFont="1" applyFill="1" applyBorder="1" applyAlignment="1" applyProtection="1">
      <alignment horizontal="center" vertical="center"/>
    </xf>
    <xf numFmtId="178" fontId="17" fillId="36" borderId="0" xfId="0" applyFont="1" applyFill="1" applyBorder="1" applyAlignment="1" applyProtection="1">
      <alignment horizontal="center" vertical="center"/>
    </xf>
    <xf numFmtId="178" fontId="17" fillId="36" borderId="0" xfId="0" applyNumberFormat="1" applyFont="1" applyFill="1" applyBorder="1" applyAlignment="1" applyProtection="1">
      <alignment horizontal="center" vertical="center"/>
    </xf>
    <xf numFmtId="178" fontId="24" fillId="36" borderId="0" xfId="0" applyNumberFormat="1" applyFont="1" applyFill="1" applyBorder="1" applyAlignment="1" applyProtection="1">
      <alignment horizontal="left" vertical="center"/>
    </xf>
    <xf numFmtId="178" fontId="82" fillId="36" borderId="0" xfId="0" applyFont="1" applyFill="1" applyBorder="1" applyAlignment="1" applyProtection="1">
      <alignment vertical="center"/>
    </xf>
    <xf numFmtId="178" fontId="85" fillId="36" borderId="0" xfId="0" applyFont="1" applyFill="1" applyBorder="1" applyAlignment="1" applyProtection="1">
      <alignment vertical="top" wrapText="1"/>
    </xf>
    <xf numFmtId="178" fontId="22" fillId="36" borderId="0" xfId="0" applyFont="1" applyFill="1" applyBorder="1" applyAlignment="1" applyProtection="1">
      <alignment vertical="center"/>
    </xf>
    <xf numFmtId="178" fontId="85" fillId="36" borderId="0" xfId="0" applyFont="1" applyFill="1" applyBorder="1" applyAlignment="1" applyProtection="1">
      <alignment vertical="center"/>
    </xf>
    <xf numFmtId="178" fontId="85" fillId="36" borderId="5" xfId="0" applyFont="1" applyFill="1" applyBorder="1" applyAlignment="1" applyProtection="1">
      <alignment vertical="center"/>
    </xf>
    <xf numFmtId="178" fontId="85" fillId="29" borderId="0" xfId="0" applyFont="1" applyFill="1" applyBorder="1" applyAlignment="1" applyProtection="1">
      <alignment vertical="center"/>
    </xf>
    <xf numFmtId="178" fontId="0" fillId="36" borderId="6" xfId="0" applyFill="1" applyBorder="1" applyAlignment="1" applyProtection="1">
      <alignment vertical="center"/>
    </xf>
    <xf numFmtId="178" fontId="85" fillId="36" borderId="67" xfId="0" applyFont="1" applyFill="1" applyBorder="1" applyAlignment="1" applyProtection="1">
      <alignment vertical="top" wrapText="1"/>
    </xf>
    <xf numFmtId="178" fontId="0" fillId="36" borderId="0" xfId="0" applyFill="1" applyBorder="1" applyAlignment="1" applyProtection="1">
      <alignment vertical="center"/>
    </xf>
    <xf numFmtId="178" fontId="0" fillId="36" borderId="67" xfId="0" applyFill="1" applyBorder="1" applyAlignment="1" applyProtection="1">
      <alignment vertical="center"/>
    </xf>
    <xf numFmtId="178" fontId="0" fillId="36" borderId="5" xfId="0" applyFill="1" applyBorder="1" applyAlignment="1" applyProtection="1">
      <alignment vertical="center"/>
    </xf>
    <xf numFmtId="178" fontId="33" fillId="29" borderId="0" xfId="0" applyFont="1" applyFill="1" applyBorder="1" applyAlignment="1" applyProtection="1">
      <alignment vertical="center" wrapText="1"/>
    </xf>
    <xf numFmtId="178" fontId="0" fillId="29" borderId="0" xfId="0" applyFill="1" applyBorder="1" applyAlignment="1" applyProtection="1">
      <alignment vertical="center"/>
    </xf>
    <xf numFmtId="178" fontId="17" fillId="29" borderId="0" xfId="0" applyFont="1" applyFill="1" applyBorder="1" applyAlignment="1" applyProtection="1">
      <alignment horizontal="center" vertical="center"/>
    </xf>
    <xf numFmtId="178" fontId="17" fillId="29" borderId="0" xfId="0" applyNumberFormat="1" applyFont="1" applyFill="1" applyBorder="1" applyAlignment="1" applyProtection="1">
      <alignment horizontal="center" vertical="center"/>
    </xf>
    <xf numFmtId="180" fontId="45" fillId="29" borderId="0" xfId="0" applyNumberFormat="1" applyFont="1" applyFill="1" applyBorder="1" applyAlignment="1" applyProtection="1">
      <alignment vertical="center" wrapText="1"/>
    </xf>
    <xf numFmtId="178" fontId="46" fillId="29" borderId="0" xfId="0" applyNumberFormat="1" applyFont="1" applyFill="1" applyBorder="1" applyAlignment="1" applyProtection="1">
      <alignment horizontal="center" vertical="center"/>
    </xf>
    <xf numFmtId="178" fontId="0" fillId="0" borderId="0" xfId="0" applyFill="1" applyBorder="1" applyAlignment="1" applyProtection="1"/>
    <xf numFmtId="178" fontId="4" fillId="0" borderId="0" xfId="1" applyFill="1" applyBorder="1" applyAlignment="1" applyProtection="1">
      <alignment horizontal="center"/>
    </xf>
    <xf numFmtId="178" fontId="17" fillId="0" borderId="0" xfId="0" applyFont="1" applyFill="1" applyBorder="1" applyAlignment="1" applyProtection="1">
      <alignment vertical="center"/>
    </xf>
    <xf numFmtId="178" fontId="23" fillId="0" borderId="0" xfId="0" applyFont="1" applyFill="1" applyBorder="1" applyAlignment="1" applyProtection="1"/>
    <xf numFmtId="178" fontId="20" fillId="0" borderId="0" xfId="0" applyFont="1" applyFill="1" applyBorder="1" applyAlignment="1" applyProtection="1">
      <alignment vertical="center" wrapText="1" shrinkToFit="1"/>
    </xf>
    <xf numFmtId="178" fontId="16" fillId="0" borderId="0" xfId="0" applyFont="1" applyFill="1" applyBorder="1" applyAlignment="1" applyProtection="1">
      <alignment vertical="center" wrapText="1"/>
    </xf>
    <xf numFmtId="178" fontId="5" fillId="0" borderId="0" xfId="0" applyFont="1" applyFill="1" applyBorder="1" applyAlignment="1" applyProtection="1">
      <alignment vertical="center" wrapText="1"/>
    </xf>
    <xf numFmtId="178" fontId="19" fillId="0" borderId="0" xfId="0" applyFont="1" applyFill="1" applyBorder="1" applyAlignment="1" applyProtection="1">
      <alignment vertical="center" wrapText="1"/>
    </xf>
    <xf numFmtId="178" fontId="20" fillId="0" borderId="0" xfId="0" applyFont="1" applyProtection="1"/>
    <xf numFmtId="178" fontId="64" fillId="29" borderId="0" xfId="0" applyFont="1" applyFill="1" applyAlignment="1" applyProtection="1">
      <alignment horizontal="right" vertical="center"/>
    </xf>
    <xf numFmtId="178" fontId="0" fillId="0" borderId="0" xfId="0" applyFont="1" applyProtection="1"/>
    <xf numFmtId="2" fontId="49" fillId="34" borderId="0" xfId="0" applyNumberFormat="1" applyFont="1" applyFill="1" applyBorder="1" applyAlignment="1" applyProtection="1">
      <alignment horizontal="right" vertical="center"/>
    </xf>
    <xf numFmtId="184" fontId="53" fillId="34" borderId="0" xfId="0" applyNumberFormat="1" applyFont="1" applyFill="1" applyBorder="1" applyAlignment="1" applyProtection="1"/>
    <xf numFmtId="2" fontId="14" fillId="34" borderId="0" xfId="0" applyNumberFormat="1" applyFont="1" applyFill="1" applyBorder="1" applyAlignment="1" applyProtection="1">
      <alignment vertical="center"/>
    </xf>
    <xf numFmtId="2" fontId="5" fillId="34" borderId="0" xfId="0" applyNumberFormat="1" applyFont="1" applyFill="1" applyBorder="1" applyAlignment="1" applyProtection="1">
      <alignment vertical="center"/>
    </xf>
    <xf numFmtId="2" fontId="95" fillId="30" borderId="134" xfId="0" applyNumberFormat="1" applyFont="1" applyFill="1" applyBorder="1" applyAlignment="1" applyProtection="1">
      <alignment horizontal="center" vertical="center"/>
      <protection locked="0"/>
    </xf>
    <xf numFmtId="1" fontId="95" fillId="30" borderId="135" xfId="0" applyNumberFormat="1" applyFont="1" applyFill="1" applyBorder="1" applyAlignment="1" applyProtection="1">
      <alignment horizontal="center" vertical="center"/>
      <protection locked="0"/>
    </xf>
    <xf numFmtId="2" fontId="95" fillId="30" borderId="136" xfId="0" applyNumberFormat="1" applyFont="1" applyFill="1" applyBorder="1" applyAlignment="1" applyProtection="1">
      <alignment horizontal="center" vertical="center"/>
      <protection locked="0"/>
    </xf>
    <xf numFmtId="178" fontId="20" fillId="34" borderId="0" xfId="0" applyFont="1" applyFill="1" applyBorder="1" applyProtection="1">
      <protection locked="0"/>
    </xf>
    <xf numFmtId="178" fontId="108" fillId="34" borderId="0" xfId="0" applyFont="1" applyFill="1" applyAlignment="1" applyProtection="1">
      <alignment vertical="center"/>
    </xf>
    <xf numFmtId="174" fontId="14" fillId="0" borderId="0" xfId="0" applyNumberFormat="1" applyFont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168" fontId="120" fillId="24" borderId="0" xfId="0" applyNumberFormat="1" applyFont="1" applyFill="1" applyBorder="1" applyAlignment="1" applyProtection="1">
      <alignment vertical="center"/>
      <protection hidden="1"/>
    </xf>
    <xf numFmtId="199" fontId="64" fillId="41" borderId="6" xfId="0" applyNumberFormat="1" applyFont="1" applyFill="1" applyBorder="1" applyAlignment="1" applyProtection="1">
      <alignment horizontal="center" vertical="center"/>
      <protection hidden="1"/>
    </xf>
    <xf numFmtId="1" fontId="5" fillId="24" borderId="0" xfId="0" applyNumberFormat="1" applyFont="1" applyFill="1" applyBorder="1" applyAlignment="1" applyProtection="1">
      <alignment horizontal="right" vertical="center"/>
      <protection hidden="1"/>
    </xf>
    <xf numFmtId="178" fontId="24" fillId="0" borderId="0" xfId="0" applyFont="1" applyAlignment="1" applyProtection="1">
      <alignment horizontal="right" vertical="center"/>
      <protection hidden="1"/>
    </xf>
    <xf numFmtId="168" fontId="24" fillId="24" borderId="0" xfId="0" applyNumberFormat="1" applyFont="1" applyFill="1" applyBorder="1" applyAlignment="1" applyProtection="1">
      <alignment horizontal="right" vertical="center"/>
      <protection hidden="1"/>
    </xf>
    <xf numFmtId="199" fontId="97" fillId="41" borderId="0" xfId="0" applyNumberFormat="1" applyFont="1" applyFill="1" applyBorder="1" applyAlignment="1" applyProtection="1">
      <alignment horizontal="right" vertical="center"/>
      <protection hidden="1"/>
    </xf>
    <xf numFmtId="168" fontId="97" fillId="24" borderId="0" xfId="0" applyNumberFormat="1" applyFont="1" applyFill="1" applyBorder="1" applyAlignment="1" applyProtection="1">
      <alignment horizontal="right" vertical="center"/>
      <protection hidden="1"/>
    </xf>
    <xf numFmtId="186" fontId="22" fillId="34" borderId="16" xfId="0" applyNumberFormat="1" applyFont="1" applyFill="1" applyBorder="1" applyAlignment="1" applyProtection="1">
      <alignment horizontal="center"/>
    </xf>
    <xf numFmtId="186" fontId="22" fillId="34" borderId="17" xfId="0" applyNumberFormat="1" applyFont="1" applyFill="1" applyBorder="1" applyAlignment="1" applyProtection="1">
      <alignment horizontal="center"/>
    </xf>
    <xf numFmtId="176" fontId="53" fillId="34" borderId="17" xfId="0" applyNumberFormat="1" applyFont="1" applyFill="1" applyBorder="1" applyAlignment="1" applyProtection="1">
      <alignment horizontal="center"/>
    </xf>
    <xf numFmtId="166" fontId="22" fillId="34" borderId="17" xfId="0" applyNumberFormat="1" applyFont="1" applyFill="1" applyBorder="1" applyAlignment="1" applyProtection="1">
      <alignment horizontal="center"/>
    </xf>
    <xf numFmtId="9" fontId="5" fillId="34" borderId="17" xfId="0" applyNumberFormat="1" applyFont="1" applyFill="1" applyBorder="1" applyAlignment="1" applyProtection="1">
      <alignment horizontal="center"/>
    </xf>
    <xf numFmtId="176" fontId="52" fillId="34" borderId="17" xfId="0" quotePrefix="1" applyNumberFormat="1" applyFont="1" applyFill="1" applyBorder="1" applyAlignment="1" applyProtection="1">
      <alignment horizontal="center" vertical="center"/>
    </xf>
    <xf numFmtId="181" fontId="22" fillId="34" borderId="17" xfId="0" applyNumberFormat="1" applyFont="1" applyFill="1" applyBorder="1" applyAlignment="1" applyProtection="1">
      <alignment horizontal="center"/>
    </xf>
    <xf numFmtId="181" fontId="22" fillId="34" borderId="18" xfId="0" applyNumberFormat="1" applyFont="1" applyFill="1" applyBorder="1" applyAlignment="1" applyProtection="1">
      <alignment horizontal="center"/>
    </xf>
    <xf numFmtId="184" fontId="53" fillId="34" borderId="6" xfId="0" applyNumberFormat="1" applyFont="1" applyFill="1" applyBorder="1" applyAlignment="1" applyProtection="1"/>
    <xf numFmtId="178" fontId="0" fillId="34" borderId="5" xfId="0" applyFill="1" applyBorder="1" applyProtection="1"/>
    <xf numFmtId="178" fontId="0" fillId="34" borderId="11" xfId="0" applyFill="1" applyBorder="1" applyProtection="1"/>
    <xf numFmtId="178" fontId="0" fillId="34" borderId="12" xfId="0" applyFill="1" applyBorder="1" applyProtection="1"/>
    <xf numFmtId="176" fontId="53" fillId="34" borderId="12" xfId="0" applyNumberFormat="1" applyFont="1" applyFill="1" applyBorder="1" applyAlignment="1" applyProtection="1">
      <alignment horizontal="center"/>
    </xf>
    <xf numFmtId="2" fontId="7" fillId="34" borderId="12" xfId="0" applyNumberFormat="1" applyFont="1" applyFill="1" applyBorder="1" applyAlignment="1" applyProtection="1">
      <alignment vertical="center"/>
    </xf>
    <xf numFmtId="1" fontId="129" fillId="34" borderId="12" xfId="0" applyNumberFormat="1" applyFont="1" applyFill="1" applyBorder="1" applyAlignment="1" applyProtection="1">
      <alignment vertical="center"/>
    </xf>
    <xf numFmtId="178" fontId="0" fillId="34" borderId="13" xfId="0" applyFill="1" applyBorder="1" applyProtection="1"/>
    <xf numFmtId="181" fontId="22" fillId="34" borderId="16" xfId="0" applyNumberFormat="1" applyFont="1" applyFill="1" applyBorder="1" applyAlignment="1" applyProtection="1">
      <alignment horizontal="center"/>
    </xf>
    <xf numFmtId="172" fontId="22" fillId="34" borderId="17" xfId="0" applyNumberFormat="1" applyFont="1" applyFill="1" applyBorder="1" applyAlignment="1" applyProtection="1">
      <alignment horizontal="center"/>
    </xf>
    <xf numFmtId="178" fontId="0" fillId="34" borderId="17" xfId="0" applyFill="1" applyBorder="1" applyProtection="1"/>
    <xf numFmtId="2" fontId="7" fillId="34" borderId="17" xfId="0" applyNumberFormat="1" applyFont="1" applyFill="1" applyBorder="1" applyAlignment="1" applyProtection="1">
      <alignment vertical="center" wrapText="1"/>
    </xf>
    <xf numFmtId="2" fontId="7" fillId="34" borderId="18" xfId="0" applyNumberFormat="1" applyFont="1" applyFill="1" applyBorder="1" applyAlignment="1" applyProtection="1">
      <alignment vertical="center" wrapText="1"/>
    </xf>
    <xf numFmtId="178" fontId="0" fillId="34" borderId="6" xfId="0" applyFill="1" applyBorder="1" applyProtection="1"/>
    <xf numFmtId="172" fontId="22" fillId="34" borderId="12" xfId="0" applyNumberFormat="1" applyFont="1" applyFill="1" applyBorder="1" applyAlignment="1" applyProtection="1">
      <alignment horizontal="center"/>
    </xf>
    <xf numFmtId="178" fontId="0" fillId="34" borderId="18" xfId="0" applyFill="1" applyBorder="1" applyProtection="1"/>
    <xf numFmtId="2" fontId="7" fillId="34" borderId="6" xfId="0" applyNumberFormat="1" applyFont="1" applyFill="1" applyBorder="1" applyAlignment="1" applyProtection="1">
      <alignment vertical="center"/>
    </xf>
    <xf numFmtId="2" fontId="7" fillId="34" borderId="0" xfId="0" applyNumberFormat="1" applyFont="1" applyFill="1" applyBorder="1" applyAlignment="1" applyProtection="1">
      <alignment vertical="center"/>
    </xf>
    <xf numFmtId="178" fontId="0" fillId="0" borderId="5" xfId="0" applyBorder="1" applyProtection="1"/>
    <xf numFmtId="2" fontId="7" fillId="34" borderId="11" xfId="0" applyNumberFormat="1" applyFont="1" applyFill="1" applyBorder="1" applyAlignment="1" applyProtection="1">
      <alignment vertical="center"/>
    </xf>
    <xf numFmtId="1" fontId="95" fillId="29" borderId="0" xfId="0" applyNumberFormat="1" applyFont="1" applyFill="1" applyBorder="1" applyAlignment="1" applyProtection="1">
      <alignment vertical="center" wrapText="1"/>
    </xf>
    <xf numFmtId="1" fontId="15" fillId="34" borderId="5" xfId="0" applyNumberFormat="1" applyFont="1" applyFill="1" applyBorder="1" applyAlignment="1" applyProtection="1">
      <alignment vertical="center"/>
    </xf>
    <xf numFmtId="193" fontId="153" fillId="29" borderId="0" xfId="0" applyNumberFormat="1" applyFont="1" applyFill="1" applyAlignment="1" applyProtection="1"/>
    <xf numFmtId="209" fontId="24" fillId="0" borderId="0" xfId="0" applyNumberFormat="1" applyFont="1" applyFill="1" applyAlignment="1">
      <alignment horizontal="center"/>
    </xf>
    <xf numFmtId="209" fontId="23" fillId="0" borderId="0" xfId="0" applyNumberFormat="1" applyFont="1" applyFill="1" applyAlignment="1">
      <alignment horizontal="center"/>
    </xf>
    <xf numFmtId="22" fontId="20" fillId="0" borderId="0" xfId="0" applyNumberFormat="1" applyFont="1" applyFill="1" applyAlignment="1">
      <alignment horizontal="center"/>
    </xf>
    <xf numFmtId="22" fontId="23" fillId="0" borderId="0" xfId="0" applyNumberFormat="1" applyFont="1" applyFill="1" applyAlignment="1">
      <alignment horizontal="center"/>
    </xf>
    <xf numFmtId="170" fontId="23" fillId="0" borderId="0" xfId="0" applyNumberFormat="1" applyFont="1" applyFill="1" applyAlignment="1">
      <alignment horizontal="center"/>
    </xf>
    <xf numFmtId="178" fontId="20" fillId="29" borderId="0" xfId="0" applyFont="1" applyFill="1" applyAlignment="1" applyProtection="1">
      <alignment vertical="top"/>
    </xf>
    <xf numFmtId="178" fontId="20" fillId="29" borderId="46" xfId="0" applyFont="1" applyFill="1" applyBorder="1" applyAlignment="1" applyProtection="1">
      <alignment vertical="top"/>
    </xf>
    <xf numFmtId="1" fontId="5" fillId="2" borderId="1" xfId="0" quotePrefix="1" applyNumberFormat="1" applyFont="1" applyFill="1" applyBorder="1" applyAlignment="1" applyProtection="1">
      <alignment horizontal="center" vertical="center"/>
      <protection locked="0"/>
    </xf>
    <xf numFmtId="1" fontId="0" fillId="29" borderId="0" xfId="0" applyNumberFormat="1" applyFill="1" applyProtection="1"/>
    <xf numFmtId="178" fontId="20" fillId="29" borderId="0" xfId="0" applyFont="1" applyFill="1" applyAlignment="1" applyProtection="1">
      <alignment vertical="center"/>
    </xf>
    <xf numFmtId="178" fontId="20" fillId="29" borderId="89" xfId="0" applyFont="1" applyFill="1" applyBorder="1" applyAlignment="1" applyProtection="1">
      <alignment horizontal="right" vertical="center"/>
    </xf>
    <xf numFmtId="193" fontId="20" fillId="0" borderId="0" xfId="0" applyNumberFormat="1" applyFont="1" applyFill="1" applyAlignment="1">
      <alignment horizontal="center"/>
    </xf>
    <xf numFmtId="22" fontId="11" fillId="0" borderId="0" xfId="0" applyNumberFormat="1" applyFont="1" applyFill="1" applyAlignment="1">
      <alignment horizontal="center"/>
    </xf>
    <xf numFmtId="170" fontId="11" fillId="0" borderId="0" xfId="0" applyNumberFormat="1" applyFont="1" applyFill="1" applyAlignment="1">
      <alignment horizontal="center"/>
    </xf>
    <xf numFmtId="178" fontId="6" fillId="3" borderId="89" xfId="0" applyFont="1" applyFill="1" applyBorder="1" applyAlignment="1" applyProtection="1">
      <alignment horizontal="center" vertical="center"/>
      <protection hidden="1"/>
    </xf>
    <xf numFmtId="178" fontId="7" fillId="0" borderId="86" xfId="0" applyNumberFormat="1" applyFont="1" applyFill="1" applyBorder="1" applyAlignment="1" applyProtection="1">
      <alignment horizontal="center" vertical="center"/>
      <protection hidden="1"/>
    </xf>
    <xf numFmtId="178" fontId="6" fillId="3" borderId="0" xfId="0" applyFont="1" applyFill="1" applyBorder="1" applyAlignment="1" applyProtection="1">
      <alignment horizontal="right" vertical="center"/>
      <protection hidden="1"/>
    </xf>
    <xf numFmtId="165" fontId="14" fillId="0" borderId="46" xfId="0" applyNumberFormat="1" applyFont="1" applyBorder="1" applyAlignment="1" applyProtection="1">
      <alignment horizontal="center"/>
      <protection hidden="1"/>
    </xf>
    <xf numFmtId="1" fontId="6" fillId="0" borderId="4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9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4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9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48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34" borderId="7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4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34" borderId="84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34" borderId="85" xfId="0" applyNumberFormat="1" applyFont="1" applyFill="1" applyBorder="1" applyAlignment="1" applyProtection="1">
      <alignment horizontal="right" vertical="center" wrapText="1" shrinkToFit="1"/>
      <protection hidden="1"/>
    </xf>
    <xf numFmtId="165" fontId="6" fillId="0" borderId="85" xfId="0" applyNumberFormat="1" applyFont="1" applyFill="1" applyBorder="1" applyAlignment="1" applyProtection="1">
      <alignment horizontal="right" vertical="center" wrapText="1" shrinkToFit="1"/>
      <protection hidden="1"/>
    </xf>
    <xf numFmtId="210" fontId="6" fillId="34" borderId="49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49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34" borderId="8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8" xfId="0" applyNumberFormat="1" applyFont="1" applyFill="1" applyBorder="1" applyAlignment="1" applyProtection="1">
      <alignment horizontal="left" vertical="center" wrapText="1" shrinkToFit="1"/>
      <protection hidden="1"/>
    </xf>
    <xf numFmtId="210" fontId="6" fillId="0" borderId="49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34" borderId="49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34" borderId="8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0" borderId="8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4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4" borderId="84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4" borderId="85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85" xfId="0" applyNumberFormat="1" applyFont="1" applyFill="1" applyBorder="1" applyAlignment="1" applyProtection="1">
      <alignment horizontal="center" vertical="center" wrapText="1" shrinkToFit="1"/>
      <protection hidden="1"/>
    </xf>
    <xf numFmtId="1" fontId="46" fillId="0" borderId="0" xfId="0" applyNumberFormat="1" applyFont="1" applyAlignment="1" applyProtection="1">
      <alignment horizontal="center" vertical="center" wrapText="1"/>
      <protection hidden="1"/>
    </xf>
    <xf numFmtId="1" fontId="46" fillId="0" borderId="89" xfId="0" applyNumberFormat="1" applyFont="1" applyBorder="1" applyAlignment="1" applyProtection="1">
      <alignment horizontal="center" vertical="center" wrapText="1"/>
      <protection hidden="1"/>
    </xf>
    <xf numFmtId="1" fontId="46" fillId="0" borderId="34" xfId="0" applyNumberFormat="1" applyFont="1" applyBorder="1" applyAlignment="1" applyProtection="1">
      <alignment horizontal="center"/>
      <protection hidden="1"/>
    </xf>
    <xf numFmtId="1" fontId="46" fillId="0" borderId="139" xfId="0" applyNumberFormat="1" applyFont="1" applyBorder="1" applyAlignment="1" applyProtection="1">
      <alignment horizontal="center"/>
      <protection hidden="1"/>
    </xf>
    <xf numFmtId="1" fontId="14" fillId="0" borderId="84" xfId="0" applyNumberFormat="1" applyFont="1" applyBorder="1" applyAlignment="1" applyProtection="1">
      <alignment horizontal="center"/>
      <protection hidden="1"/>
    </xf>
    <xf numFmtId="1" fontId="14" fillId="0" borderId="34" xfId="0" applyNumberFormat="1" applyFont="1" applyBorder="1" applyAlignment="1" applyProtection="1">
      <alignment horizontal="center"/>
      <protection hidden="1"/>
    </xf>
    <xf numFmtId="165" fontId="14" fillId="0" borderId="0" xfId="0" applyNumberFormat="1" applyFont="1" applyBorder="1" applyAlignment="1" applyProtection="1">
      <alignment horizontal="center"/>
      <protection hidden="1"/>
    </xf>
    <xf numFmtId="165" fontId="14" fillId="0" borderId="140" xfId="0" applyNumberFormat="1" applyFont="1" applyBorder="1" applyAlignment="1" applyProtection="1">
      <alignment horizontal="center"/>
      <protection hidden="1"/>
    </xf>
    <xf numFmtId="165" fontId="14" fillId="0" borderId="139" xfId="0" applyNumberFormat="1" applyFont="1" applyBorder="1" applyAlignment="1" applyProtection="1">
      <alignment horizontal="center"/>
      <protection hidden="1"/>
    </xf>
    <xf numFmtId="185" fontId="46" fillId="0" borderId="0" xfId="0" applyNumberFormat="1" applyFont="1" applyBorder="1" applyAlignment="1" applyProtection="1">
      <alignment horizontal="center"/>
      <protection hidden="1"/>
    </xf>
    <xf numFmtId="170" fontId="24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center"/>
    </xf>
    <xf numFmtId="170" fontId="46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right"/>
    </xf>
    <xf numFmtId="170" fontId="154" fillId="44" borderId="0" xfId="0" applyNumberFormat="1" applyFont="1" applyFill="1" applyAlignment="1">
      <alignment horizontal="left"/>
    </xf>
    <xf numFmtId="170" fontId="154" fillId="0" borderId="0" xfId="0" applyNumberFormat="1" applyFont="1" applyFill="1" applyAlignment="1">
      <alignment horizontal="center"/>
    </xf>
    <xf numFmtId="170" fontId="154" fillId="0" borderId="0" xfId="0" applyNumberFormat="1" applyFont="1" applyFill="1" applyAlignment="1">
      <alignment horizontal="left"/>
    </xf>
    <xf numFmtId="170" fontId="23" fillId="0" borderId="0" xfId="0" applyNumberFormat="1" applyFont="1" applyFill="1" applyAlignment="1">
      <alignment horizontal="left"/>
    </xf>
    <xf numFmtId="211" fontId="23" fillId="0" borderId="0" xfId="0" applyNumberFormat="1" applyFont="1" applyFill="1" applyAlignment="1">
      <alignment horizontal="center"/>
    </xf>
    <xf numFmtId="212" fontId="14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212" fontId="14" fillId="0" borderId="0" xfId="0" applyNumberFormat="1" applyFont="1" applyFill="1" applyAlignment="1">
      <alignment horizontal="left"/>
    </xf>
    <xf numFmtId="2" fontId="20" fillId="0" borderId="0" xfId="0" applyNumberFormat="1" applyFont="1" applyFill="1" applyAlignment="1">
      <alignment horizontal="center"/>
    </xf>
    <xf numFmtId="170" fontId="23" fillId="0" borderId="0" xfId="0" applyNumberFormat="1" applyFont="1" applyFill="1" applyAlignment="1">
      <alignment horizontal="center" wrapText="1"/>
    </xf>
    <xf numFmtId="211" fontId="23" fillId="30" borderId="0" xfId="0" applyNumberFormat="1" applyFont="1" applyFill="1" applyAlignment="1">
      <alignment horizontal="center"/>
    </xf>
    <xf numFmtId="170" fontId="85" fillId="0" borderId="0" xfId="0" applyNumberFormat="1" applyFont="1" applyFill="1" applyAlignment="1">
      <alignment horizontal="center"/>
    </xf>
    <xf numFmtId="170" fontId="84" fillId="0" borderId="0" xfId="0" applyNumberFormat="1" applyFont="1" applyFill="1" applyAlignment="1">
      <alignment horizontal="center"/>
    </xf>
    <xf numFmtId="178" fontId="28" fillId="0" borderId="0" xfId="0" applyNumberFormat="1" applyFont="1" applyBorder="1" applyAlignment="1">
      <alignment horizontal="center"/>
    </xf>
    <xf numFmtId="178" fontId="31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78" fontId="0" fillId="0" borderId="0" xfId="0" applyNumberFormat="1" applyBorder="1" applyAlignment="1">
      <alignment horizontal="center"/>
    </xf>
    <xf numFmtId="178" fontId="0" fillId="0" borderId="0" xfId="0" applyNumberFormat="1" applyFont="1" applyBorder="1" applyAlignment="1">
      <alignment horizontal="center"/>
    </xf>
    <xf numFmtId="178" fontId="0" fillId="0" borderId="0" xfId="0" applyNumberFormat="1" applyBorder="1"/>
    <xf numFmtId="1" fontId="29" fillId="0" borderId="0" xfId="0" applyNumberFormat="1" applyFont="1" applyBorder="1" applyAlignment="1"/>
    <xf numFmtId="178" fontId="28" fillId="0" borderId="90" xfId="0" applyFont="1" applyBorder="1" applyAlignment="1" applyProtection="1">
      <alignment horizontal="center"/>
    </xf>
    <xf numFmtId="1" fontId="27" fillId="0" borderId="32" xfId="0" applyNumberFormat="1" applyFont="1" applyBorder="1" applyAlignment="1">
      <alignment horizontal="center"/>
    </xf>
    <xf numFmtId="1" fontId="27" fillId="0" borderId="19" xfId="0" applyNumberFormat="1" applyFont="1" applyBorder="1" applyAlignment="1">
      <alignment horizontal="center"/>
    </xf>
    <xf numFmtId="12" fontId="66" fillId="0" borderId="0" xfId="0" applyNumberFormat="1" applyFont="1" applyFill="1" applyBorder="1" applyAlignment="1" applyProtection="1">
      <alignment horizontal="right" vertical="center"/>
      <protection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178" fontId="7" fillId="0" borderId="0" xfId="0" applyNumberFormat="1" applyFont="1" applyFill="1" applyBorder="1" applyAlignment="1" applyProtection="1">
      <alignment horizontal="center" vertical="center"/>
      <protection hidden="1"/>
    </xf>
    <xf numFmtId="165" fontId="66" fillId="0" borderId="0" xfId="0" applyNumberFormat="1" applyFont="1" applyFill="1" applyBorder="1" applyAlignment="1" applyProtection="1">
      <alignment horizontal="center" vertical="center"/>
      <protection hidden="1"/>
    </xf>
    <xf numFmtId="186" fontId="7" fillId="0" borderId="0" xfId="0" applyNumberFormat="1" applyFont="1" applyFill="1" applyBorder="1" applyAlignment="1" applyProtection="1">
      <alignment horizontal="center" vertical="center"/>
      <protection hidden="1"/>
    </xf>
    <xf numFmtId="166" fontId="6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9" fontId="6" fillId="0" borderId="0" xfId="0" quotePrefix="1" applyNumberFormat="1" applyFont="1" applyFill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172" fontId="7" fillId="0" borderId="0" xfId="0" applyNumberFormat="1" applyFont="1" applyFill="1" applyBorder="1" applyAlignment="1" applyProtection="1">
      <alignment horizontal="center" vertical="center"/>
      <protection hidden="1"/>
    </xf>
    <xf numFmtId="192" fontId="7" fillId="0" borderId="0" xfId="0" applyNumberFormat="1" applyFont="1" applyFill="1" applyBorder="1" applyAlignment="1" applyProtection="1">
      <alignment horizontal="center" vertical="center"/>
      <protection hidden="1"/>
    </xf>
    <xf numFmtId="1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0" xfId="0" applyNumberFormat="1" applyFont="1" applyFill="1" applyBorder="1" applyAlignment="1" applyProtection="1">
      <alignment horizontal="right" vertical="center" wrapText="1" shrinkToFit="1"/>
      <protection hidden="1"/>
    </xf>
    <xf numFmtId="210" fontId="6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165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210" fontId="6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178" fontId="14" fillId="0" borderId="0" xfId="0" applyFont="1" applyFill="1" applyBorder="1" applyAlignment="1" applyProtection="1">
      <alignment horizontal="center"/>
      <protection hidden="1"/>
    </xf>
    <xf numFmtId="1" fontId="96" fillId="0" borderId="0" xfId="0" applyNumberFormat="1" applyFont="1" applyFill="1" applyBorder="1" applyAlignment="1" applyProtection="1">
      <alignment horizontal="center" vertical="center"/>
      <protection hidden="1"/>
    </xf>
    <xf numFmtId="176" fontId="58" fillId="0" borderId="0" xfId="0" quotePrefix="1" applyNumberFormat="1" applyFont="1" applyFill="1" applyBorder="1" applyAlignment="1" applyProtection="1">
      <alignment horizontal="center" vertical="center"/>
      <protection hidden="1"/>
    </xf>
    <xf numFmtId="1" fontId="46" fillId="0" borderId="1" xfId="0" applyNumberFormat="1" applyFont="1" applyFill="1" applyBorder="1" applyAlignment="1" applyProtection="1">
      <alignment horizontal="center"/>
      <protection hidden="1"/>
    </xf>
    <xf numFmtId="164" fontId="70" fillId="0" borderId="7" xfId="0" applyNumberFormat="1" applyFont="1" applyFill="1" applyBorder="1" applyAlignment="1" applyProtection="1">
      <alignment horizontal="center"/>
      <protection hidden="1"/>
    </xf>
    <xf numFmtId="178" fontId="44" fillId="34" borderId="12" xfId="0" applyFont="1" applyFill="1" applyBorder="1" applyAlignment="1" applyProtection="1">
      <alignment vertical="center"/>
      <protection hidden="1"/>
    </xf>
    <xf numFmtId="178" fontId="44" fillId="34" borderId="13" xfId="0" applyFont="1" applyFill="1" applyBorder="1" applyAlignment="1" applyProtection="1">
      <alignment vertical="center"/>
      <protection hidden="1"/>
    </xf>
    <xf numFmtId="1" fontId="54" fillId="0" borderId="0" xfId="0" applyNumberFormat="1" applyFont="1" applyAlignment="1">
      <alignment horizontal="center"/>
    </xf>
    <xf numFmtId="205" fontId="14" fillId="0" borderId="0" xfId="0" quotePrefix="1" applyNumberFormat="1" applyFont="1" applyProtection="1">
      <protection hidden="1"/>
    </xf>
    <xf numFmtId="3" fontId="14" fillId="0" borderId="0" xfId="0" applyNumberFormat="1" applyFont="1" applyAlignment="1" applyProtection="1">
      <alignment horizontal="center"/>
      <protection hidden="1"/>
    </xf>
    <xf numFmtId="205" fontId="14" fillId="0" borderId="0" xfId="0" applyNumberFormat="1" applyFont="1" applyProtection="1">
      <protection hidden="1"/>
    </xf>
    <xf numFmtId="1" fontId="81" fillId="0" borderId="0" xfId="0" applyNumberFormat="1" applyFont="1"/>
    <xf numFmtId="178" fontId="87" fillId="0" borderId="0" xfId="0" applyFont="1" applyProtection="1">
      <protection locked="0"/>
    </xf>
    <xf numFmtId="178" fontId="147" fillId="29" borderId="0" xfId="0" applyFont="1" applyFill="1" applyBorder="1" applyAlignment="1" applyProtection="1">
      <alignment vertical="top"/>
    </xf>
    <xf numFmtId="178" fontId="160" fillId="0" borderId="0" xfId="0" applyFont="1" applyFill="1" applyProtection="1">
      <protection locked="0"/>
    </xf>
    <xf numFmtId="178" fontId="153" fillId="0" borderId="0" xfId="0" applyFont="1" applyProtection="1">
      <protection locked="0"/>
    </xf>
    <xf numFmtId="178" fontId="153" fillId="29" borderId="0" xfId="0" applyFont="1" applyFill="1" applyProtection="1"/>
    <xf numFmtId="178" fontId="153" fillId="0" borderId="0" xfId="0" applyFont="1" applyProtection="1"/>
    <xf numFmtId="178" fontId="162" fillId="29" borderId="0" xfId="0" applyFont="1" applyFill="1" applyBorder="1" applyAlignment="1" applyProtection="1">
      <alignment vertical="center" wrapText="1"/>
    </xf>
    <xf numFmtId="49" fontId="44" fillId="0" borderId="0" xfId="0" applyNumberFormat="1" applyFont="1" applyAlignment="1" applyProtection="1">
      <alignment horizontal="left"/>
      <protection hidden="1"/>
    </xf>
    <xf numFmtId="1" fontId="89" fillId="0" borderId="0" xfId="0" applyNumberFormat="1" applyFont="1" applyProtection="1">
      <protection hidden="1"/>
    </xf>
    <xf numFmtId="178" fontId="0" fillId="29" borderId="0" xfId="0" applyFill="1" applyProtection="1">
      <protection locked="0"/>
    </xf>
    <xf numFmtId="178" fontId="147" fillId="29" borderId="0" xfId="0" applyFont="1" applyFill="1" applyBorder="1" applyAlignment="1" applyProtection="1">
      <alignment vertical="top"/>
      <protection locked="0"/>
    </xf>
    <xf numFmtId="178" fontId="153" fillId="29" borderId="0" xfId="0" applyFont="1" applyFill="1" applyProtection="1">
      <protection locked="0"/>
    </xf>
    <xf numFmtId="178" fontId="160" fillId="29" borderId="0" xfId="0" applyFont="1" applyFill="1" applyAlignment="1" applyProtection="1">
      <alignment wrapText="1"/>
      <protection locked="0"/>
    </xf>
    <xf numFmtId="178" fontId="161" fillId="29" borderId="0" xfId="0" applyFont="1" applyFill="1" applyBorder="1" applyAlignment="1" applyProtection="1">
      <alignment vertical="center"/>
      <protection locked="0"/>
    </xf>
    <xf numFmtId="178" fontId="153" fillId="29" borderId="0" xfId="0" applyFont="1" applyFill="1" applyBorder="1" applyProtection="1">
      <protection locked="0"/>
    </xf>
    <xf numFmtId="178" fontId="162" fillId="29" borderId="0" xfId="0" applyFont="1" applyFill="1" applyBorder="1" applyAlignment="1" applyProtection="1">
      <alignment vertical="center" wrapText="1"/>
      <protection locked="0"/>
    </xf>
    <xf numFmtId="178" fontId="0" fillId="29" borderId="0" xfId="0" applyFill="1" applyBorder="1" applyProtection="1">
      <protection locked="0"/>
    </xf>
    <xf numFmtId="49" fontId="153" fillId="29" borderId="0" xfId="0" applyNumberFormat="1" applyFont="1" applyFill="1" applyProtection="1">
      <protection locked="0"/>
    </xf>
    <xf numFmtId="49" fontId="161" fillId="29" borderId="0" xfId="0" applyNumberFormat="1" applyFont="1" applyFill="1" applyBorder="1" applyAlignment="1" applyProtection="1">
      <alignment vertical="top"/>
      <protection locked="0"/>
    </xf>
    <xf numFmtId="49" fontId="153" fillId="0" borderId="0" xfId="0" applyNumberFormat="1" applyFont="1" applyProtection="1">
      <protection locked="0"/>
    </xf>
    <xf numFmtId="211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" fontId="89" fillId="42" borderId="0" xfId="0" applyNumberFormat="1" applyFont="1" applyFill="1" applyProtection="1">
      <protection hidden="1"/>
    </xf>
    <xf numFmtId="178" fontId="14" fillId="42" borderId="0" xfId="0" applyFont="1" applyFill="1" applyProtection="1">
      <protection hidden="1"/>
    </xf>
    <xf numFmtId="1" fontId="14" fillId="42" borderId="0" xfId="0" applyNumberFormat="1" applyFont="1" applyFill="1" applyProtection="1">
      <protection hidden="1"/>
    </xf>
    <xf numFmtId="165" fontId="14" fillId="42" borderId="0" xfId="0" applyNumberFormat="1" applyFont="1" applyFill="1" applyAlignment="1" applyProtection="1">
      <alignment horizontal="right"/>
      <protection hidden="1"/>
    </xf>
    <xf numFmtId="165" fontId="14" fillId="42" borderId="0" xfId="0" applyNumberFormat="1" applyFont="1" applyFill="1" applyProtection="1">
      <protection hidden="1"/>
    </xf>
    <xf numFmtId="165" fontId="14" fillId="42" borderId="0" xfId="0" applyNumberFormat="1" applyFont="1" applyFill="1" applyAlignment="1" applyProtection="1">
      <alignment horizontal="center"/>
      <protection hidden="1"/>
    </xf>
    <xf numFmtId="1" fontId="14" fillId="42" borderId="0" xfId="0" applyNumberFormat="1" applyFont="1" applyFill="1" applyAlignment="1" applyProtection="1">
      <alignment horizontal="center"/>
      <protection hidden="1"/>
    </xf>
    <xf numFmtId="1" fontId="44" fillId="42" borderId="0" xfId="0" applyNumberFormat="1" applyFont="1" applyFill="1" applyProtection="1">
      <protection hidden="1"/>
    </xf>
    <xf numFmtId="49" fontId="14" fillId="42" borderId="0" xfId="0" applyNumberFormat="1" applyFont="1" applyFill="1" applyProtection="1">
      <protection hidden="1"/>
    </xf>
    <xf numFmtId="1" fontId="44" fillId="42" borderId="0" xfId="0" applyNumberFormat="1" applyFont="1" applyFill="1" applyAlignment="1" applyProtection="1">
      <alignment horizontal="left"/>
      <protection hidden="1"/>
    </xf>
    <xf numFmtId="201" fontId="14" fillId="42" borderId="0" xfId="0" applyNumberFormat="1" applyFont="1" applyFill="1" applyAlignment="1" applyProtection="1">
      <alignment horizontal="center"/>
      <protection hidden="1"/>
    </xf>
    <xf numFmtId="49" fontId="44" fillId="0" borderId="0" xfId="0" applyNumberFormat="1" applyFont="1" applyProtection="1">
      <protection hidden="1"/>
    </xf>
    <xf numFmtId="49" fontId="44" fillId="42" borderId="0" xfId="0" applyNumberFormat="1" applyFont="1" applyFill="1" applyProtection="1">
      <protection hidden="1"/>
    </xf>
    <xf numFmtId="1" fontId="5" fillId="34" borderId="0" xfId="0" applyNumberFormat="1" applyFont="1" applyFill="1" applyBorder="1" applyAlignment="1" applyProtection="1">
      <alignment vertical="center"/>
    </xf>
    <xf numFmtId="178" fontId="0" fillId="29" borderId="17" xfId="0" applyFill="1" applyBorder="1" applyProtection="1"/>
    <xf numFmtId="1" fontId="46" fillId="0" borderId="0" xfId="0" applyNumberFormat="1" applyFont="1" applyFill="1" applyAlignment="1">
      <alignment horizontal="right"/>
    </xf>
    <xf numFmtId="169" fontId="24" fillId="0" borderId="142" xfId="0" applyNumberFormat="1" applyFont="1" applyFill="1" applyBorder="1" applyAlignment="1">
      <alignment horizontal="center"/>
    </xf>
    <xf numFmtId="178" fontId="24" fillId="41" borderId="6" xfId="0" applyFont="1" applyFill="1" applyBorder="1" applyAlignment="1" applyProtection="1">
      <alignment vertical="center"/>
    </xf>
    <xf numFmtId="178" fontId="106" fillId="41" borderId="0" xfId="0" applyFont="1" applyFill="1" applyBorder="1" applyAlignment="1" applyProtection="1">
      <alignment horizontal="center" vertical="center"/>
    </xf>
    <xf numFmtId="178" fontId="17" fillId="41" borderId="0" xfId="0" applyFont="1" applyFill="1" applyBorder="1" applyAlignment="1" applyProtection="1">
      <alignment horizontal="center" vertical="center"/>
    </xf>
    <xf numFmtId="178" fontId="17" fillId="41" borderId="0" xfId="0" applyNumberFormat="1" applyFont="1" applyFill="1" applyBorder="1" applyAlignment="1" applyProtection="1">
      <alignment horizontal="center" vertical="center"/>
    </xf>
    <xf numFmtId="178" fontId="24" fillId="41" borderId="0" xfId="0" applyNumberFormat="1" applyFont="1" applyFill="1" applyBorder="1" applyAlignment="1" applyProtection="1">
      <alignment horizontal="left" vertical="center"/>
    </xf>
    <xf numFmtId="178" fontId="82" fillId="41" borderId="0" xfId="0" applyFont="1" applyFill="1" applyBorder="1" applyAlignment="1" applyProtection="1">
      <alignment vertical="center"/>
    </xf>
    <xf numFmtId="178" fontId="85" fillId="41" borderId="0" xfId="0" applyFont="1" applyFill="1" applyBorder="1" applyAlignment="1" applyProtection="1">
      <alignment vertical="top" wrapText="1"/>
    </xf>
    <xf numFmtId="178" fontId="22" fillId="41" borderId="0" xfId="0" applyFont="1" applyFill="1" applyBorder="1" applyAlignment="1" applyProtection="1">
      <alignment vertical="center"/>
    </xf>
    <xf numFmtId="178" fontId="85" fillId="41" borderId="0" xfId="0" applyFont="1" applyFill="1" applyBorder="1" applyAlignment="1" applyProtection="1">
      <alignment vertical="center"/>
    </xf>
    <xf numFmtId="178" fontId="85" fillId="41" borderId="5" xfId="0" applyFont="1" applyFill="1" applyBorder="1" applyAlignment="1" applyProtection="1">
      <alignment vertical="center"/>
    </xf>
    <xf numFmtId="178" fontId="97" fillId="41" borderId="6" xfId="0" applyFont="1" applyFill="1" applyBorder="1" applyAlignment="1" applyProtection="1">
      <alignment vertical="center"/>
    </xf>
    <xf numFmtId="49" fontId="61" fillId="41" borderId="0" xfId="0" applyNumberFormat="1" applyFont="1" applyFill="1" applyBorder="1" applyAlignment="1" applyProtection="1">
      <alignment wrapText="1"/>
    </xf>
    <xf numFmtId="178" fontId="49" fillId="41" borderId="5" xfId="0" applyFont="1" applyFill="1" applyBorder="1" applyAlignment="1" applyProtection="1">
      <alignment vertical="center"/>
    </xf>
    <xf numFmtId="178" fontId="153" fillId="29" borderId="0" xfId="0" applyFont="1" applyFill="1" applyAlignment="1" applyProtection="1">
      <alignment vertical="center"/>
    </xf>
    <xf numFmtId="196" fontId="28" fillId="0" borderId="0" xfId="0" applyNumberFormat="1" applyFont="1" applyProtection="1"/>
    <xf numFmtId="0" fontId="14" fillId="0" borderId="0" xfId="0" applyNumberFormat="1" applyFont="1"/>
    <xf numFmtId="178" fontId="54" fillId="34" borderId="6" xfId="0" applyFont="1" applyFill="1" applyBorder="1" applyAlignment="1" applyProtection="1">
      <alignment horizontal="left" vertical="center"/>
      <protection hidden="1"/>
    </xf>
    <xf numFmtId="178" fontId="11" fillId="29" borderId="0" xfId="0" applyFont="1" applyFill="1" applyAlignment="1" applyProtection="1">
      <alignment horizontal="right" vertical="center"/>
    </xf>
    <xf numFmtId="205" fontId="11" fillId="0" borderId="0" xfId="0" applyNumberFormat="1" applyFont="1" applyAlignment="1"/>
    <xf numFmtId="178" fontId="20" fillId="34" borderId="0" xfId="0" applyFont="1" applyFill="1" applyAlignment="1" applyProtection="1">
      <alignment horizontal="left"/>
      <protection locked="0"/>
    </xf>
    <xf numFmtId="178" fontId="165" fillId="34" borderId="0" xfId="0" applyFont="1" applyFill="1" applyProtection="1"/>
    <xf numFmtId="1" fontId="149" fillId="34" borderId="0" xfId="0" applyNumberFormat="1" applyFont="1" applyFill="1" applyBorder="1" applyProtection="1"/>
    <xf numFmtId="1" fontId="166" fillId="34" borderId="0" xfId="0" applyNumberFormat="1" applyFont="1" applyFill="1" applyBorder="1" applyProtection="1"/>
    <xf numFmtId="49" fontId="71" fillId="34" borderId="0" xfId="0" applyNumberFormat="1" applyFont="1" applyFill="1" applyBorder="1" applyAlignment="1" applyProtection="1">
      <alignment horizontal="right"/>
    </xf>
    <xf numFmtId="49" fontId="71" fillId="34" borderId="0" xfId="0" applyNumberFormat="1" applyFont="1" applyFill="1" applyBorder="1" applyAlignment="1" applyProtection="1">
      <alignment horizontal="left"/>
    </xf>
    <xf numFmtId="178" fontId="165" fillId="0" borderId="0" xfId="0" applyFont="1" applyProtection="1"/>
    <xf numFmtId="178" fontId="11" fillId="34" borderId="0" xfId="0" applyFont="1" applyFill="1" applyBorder="1" applyProtection="1"/>
    <xf numFmtId="1" fontId="72" fillId="34" borderId="0" xfId="0" applyNumberFormat="1" applyFont="1" applyFill="1" applyBorder="1" applyAlignment="1" applyProtection="1">
      <alignment horizontal="center" vertical="center"/>
    </xf>
    <xf numFmtId="1" fontId="48" fillId="34" borderId="0" xfId="0" applyNumberFormat="1" applyFont="1" applyFill="1" applyBorder="1" applyAlignment="1" applyProtection="1">
      <alignment horizontal="center" vertical="center"/>
    </xf>
    <xf numFmtId="178" fontId="167" fillId="34" borderId="0" xfId="0" applyFont="1" applyFill="1" applyProtection="1"/>
    <xf numFmtId="178" fontId="167" fillId="34" borderId="0" xfId="0" applyFont="1" applyFill="1" applyBorder="1" applyProtection="1"/>
    <xf numFmtId="1" fontId="163" fillId="34" borderId="0" xfId="0" applyNumberFormat="1" applyFont="1" applyFill="1" applyBorder="1" applyProtection="1"/>
    <xf numFmtId="178" fontId="46" fillId="0" borderId="0" xfId="0" applyFont="1" applyAlignment="1" applyProtection="1">
      <alignment horizontal="right"/>
      <protection hidden="1"/>
    </xf>
    <xf numFmtId="1" fontId="14" fillId="0" borderId="144" xfId="0" applyNumberFormat="1" applyFont="1" applyBorder="1" applyAlignment="1" applyProtection="1">
      <alignment horizontal="center"/>
      <protection hidden="1"/>
    </xf>
    <xf numFmtId="1" fontId="14" fillId="0" borderId="145" xfId="0" applyNumberFormat="1" applyFont="1" applyBorder="1" applyAlignment="1" applyProtection="1">
      <alignment horizontal="center"/>
      <protection hidden="1"/>
    </xf>
    <xf numFmtId="1" fontId="14" fillId="0" borderId="146" xfId="0" applyNumberFormat="1" applyFont="1" applyBorder="1" applyAlignment="1" applyProtection="1">
      <alignment horizontal="center"/>
      <protection hidden="1"/>
    </xf>
    <xf numFmtId="1" fontId="14" fillId="0" borderId="78" xfId="0" applyNumberFormat="1" applyFont="1" applyBorder="1" applyAlignment="1" applyProtection="1">
      <alignment horizontal="center"/>
      <protection hidden="1"/>
    </xf>
    <xf numFmtId="1" fontId="14" fillId="0" borderId="146" xfId="0" applyNumberFormat="1" applyFont="1" applyBorder="1" applyAlignment="1">
      <alignment horizontal="center"/>
    </xf>
    <xf numFmtId="1" fontId="14" fillId="0" borderId="78" xfId="0" applyNumberFormat="1" applyFont="1" applyBorder="1" applyAlignment="1">
      <alignment horizontal="center"/>
    </xf>
    <xf numFmtId="1" fontId="14" fillId="0" borderId="147" xfId="0" applyNumberFormat="1" applyFont="1" applyBorder="1" applyAlignment="1" applyProtection="1">
      <alignment horizontal="center"/>
      <protection hidden="1"/>
    </xf>
    <xf numFmtId="1" fontId="14" fillId="0" borderId="148" xfId="0" applyNumberFormat="1" applyFont="1" applyBorder="1" applyAlignment="1" applyProtection="1">
      <alignment horizontal="center"/>
      <protection hidden="1"/>
    </xf>
    <xf numFmtId="1" fontId="14" fillId="0" borderId="149" xfId="0" applyNumberFormat="1" applyFont="1" applyBorder="1" applyAlignment="1" applyProtection="1">
      <alignment horizontal="center"/>
      <protection hidden="1"/>
    </xf>
    <xf numFmtId="1" fontId="14" fillId="0" borderId="150" xfId="0" applyNumberFormat="1" applyFont="1" applyBorder="1" applyAlignment="1" applyProtection="1">
      <alignment horizontal="center"/>
      <protection hidden="1"/>
    </xf>
    <xf numFmtId="3" fontId="14" fillId="0" borderId="0" xfId="0" applyNumberFormat="1" applyFont="1" applyFill="1" applyAlignment="1" applyProtection="1">
      <alignment horizontal="center"/>
      <protection hidden="1"/>
    </xf>
    <xf numFmtId="178" fontId="146" fillId="34" borderId="0" xfId="0" applyFont="1" applyFill="1" applyProtection="1"/>
    <xf numFmtId="1" fontId="14" fillId="0" borderId="144" xfId="0" applyNumberFormat="1" applyFont="1" applyBorder="1" applyProtection="1">
      <protection hidden="1"/>
    </xf>
    <xf numFmtId="1" fontId="14" fillId="0" borderId="145" xfId="0" applyNumberFormat="1" applyFont="1" applyBorder="1" applyProtection="1">
      <protection hidden="1"/>
    </xf>
    <xf numFmtId="1" fontId="14" fillId="0" borderId="146" xfId="0" applyNumberFormat="1" applyFont="1" applyBorder="1" applyProtection="1">
      <protection hidden="1"/>
    </xf>
    <xf numFmtId="1" fontId="14" fillId="0" borderId="78" xfId="0" applyNumberFormat="1" applyFont="1" applyBorder="1" applyProtection="1">
      <protection hidden="1"/>
    </xf>
    <xf numFmtId="1" fontId="14" fillId="0" borderId="146" xfId="0" applyNumberFormat="1" applyFont="1" applyBorder="1"/>
    <xf numFmtId="1" fontId="14" fillId="0" borderId="78" xfId="0" applyNumberFormat="1" applyFont="1" applyBorder="1"/>
    <xf numFmtId="1" fontId="14" fillId="0" borderId="147" xfId="0" applyNumberFormat="1" applyFont="1" applyBorder="1" applyProtection="1">
      <protection hidden="1"/>
    </xf>
    <xf numFmtId="1" fontId="14" fillId="0" borderId="148" xfId="0" applyNumberFormat="1" applyFont="1" applyBorder="1" applyProtection="1">
      <protection hidden="1"/>
    </xf>
    <xf numFmtId="178" fontId="22" fillId="34" borderId="0" xfId="0" applyFont="1" applyFill="1" applyAlignment="1" applyProtection="1">
      <alignment horizontal="right" vertical="center"/>
    </xf>
    <xf numFmtId="178" fontId="167" fillId="34" borderId="0" xfId="0" applyFont="1" applyFill="1" applyAlignment="1" applyProtection="1">
      <alignment vertical="center"/>
    </xf>
    <xf numFmtId="49" fontId="14" fillId="0" borderId="0" xfId="0" applyNumberFormat="1" applyFont="1"/>
    <xf numFmtId="178" fontId="169" fillId="34" borderId="0" xfId="0" applyFont="1" applyFill="1" applyProtection="1"/>
    <xf numFmtId="178" fontId="23" fillId="34" borderId="0" xfId="0" applyFont="1" applyFill="1" applyProtection="1"/>
    <xf numFmtId="178" fontId="11" fillId="34" borderId="46" xfId="0" applyFont="1" applyFill="1" applyBorder="1" applyProtection="1"/>
    <xf numFmtId="178" fontId="11" fillId="34" borderId="67" xfId="0" applyFont="1" applyFill="1" applyBorder="1" applyProtection="1"/>
    <xf numFmtId="183" fontId="22" fillId="34" borderId="67" xfId="0" applyNumberFormat="1" applyFont="1" applyFill="1" applyBorder="1" applyAlignment="1" applyProtection="1">
      <alignment vertical="center"/>
    </xf>
    <xf numFmtId="184" fontId="53" fillId="34" borderId="67" xfId="0" applyNumberFormat="1" applyFont="1" applyFill="1" applyBorder="1" applyAlignment="1" applyProtection="1">
      <alignment vertical="center"/>
    </xf>
    <xf numFmtId="166" fontId="150" fillId="34" borderId="67" xfId="0" applyNumberFormat="1" applyFont="1" applyFill="1" applyBorder="1" applyAlignment="1" applyProtection="1">
      <alignment vertical="center"/>
    </xf>
    <xf numFmtId="166" fontId="49" fillId="34" borderId="67" xfId="0" applyNumberFormat="1" applyFont="1" applyFill="1" applyBorder="1" applyAlignment="1" applyProtection="1">
      <alignment vertical="center"/>
    </xf>
    <xf numFmtId="186" fontId="22" fillId="34" borderId="67" xfId="0" applyNumberFormat="1" applyFont="1" applyFill="1" applyBorder="1" applyAlignment="1" applyProtection="1">
      <alignment vertical="center"/>
    </xf>
    <xf numFmtId="1" fontId="14" fillId="34" borderId="67" xfId="0" applyNumberFormat="1" applyFont="1" applyFill="1" applyBorder="1" applyProtection="1"/>
    <xf numFmtId="1" fontId="46" fillId="34" borderId="67" xfId="0" applyNumberFormat="1" applyFont="1" applyFill="1" applyBorder="1" applyAlignment="1" applyProtection="1">
      <alignment horizontal="right"/>
    </xf>
    <xf numFmtId="1" fontId="46" fillId="34" borderId="67" xfId="0" applyNumberFormat="1" applyFont="1" applyFill="1" applyBorder="1" applyAlignment="1" applyProtection="1"/>
    <xf numFmtId="49" fontId="46" fillId="34" borderId="67" xfId="0" applyNumberFormat="1" applyFont="1" applyFill="1" applyBorder="1" applyAlignment="1" applyProtection="1">
      <alignment horizontal="right"/>
    </xf>
    <xf numFmtId="49" fontId="46" fillId="34" borderId="67" xfId="0" applyNumberFormat="1" applyFont="1" applyFill="1" applyBorder="1" applyAlignment="1" applyProtection="1">
      <alignment horizontal="left"/>
    </xf>
    <xf numFmtId="1" fontId="72" fillId="34" borderId="67" xfId="0" applyNumberFormat="1" applyFont="1" applyFill="1" applyBorder="1" applyAlignment="1" applyProtection="1">
      <alignment horizontal="center" vertical="center"/>
    </xf>
    <xf numFmtId="1" fontId="48" fillId="34" borderId="67" xfId="0" applyNumberFormat="1" applyFont="1" applyFill="1" applyBorder="1" applyAlignment="1" applyProtection="1">
      <alignment horizontal="center" vertical="center"/>
    </xf>
    <xf numFmtId="1" fontId="71" fillId="34" borderId="67" xfId="0" applyNumberFormat="1" applyFont="1" applyFill="1" applyBorder="1" applyAlignment="1" applyProtection="1">
      <alignment horizontal="right"/>
    </xf>
    <xf numFmtId="178" fontId="11" fillId="34" borderId="9" xfId="0" applyFont="1" applyFill="1" applyBorder="1" applyProtection="1"/>
    <xf numFmtId="1" fontId="14" fillId="34" borderId="9" xfId="0" applyNumberFormat="1" applyFont="1" applyFill="1" applyBorder="1" applyProtection="1"/>
    <xf numFmtId="1" fontId="46" fillId="34" borderId="9" xfId="0" applyNumberFormat="1" applyFont="1" applyFill="1" applyBorder="1" applyAlignment="1" applyProtection="1">
      <alignment horizontal="right"/>
    </xf>
    <xf numFmtId="1" fontId="46" fillId="34" borderId="9" xfId="0" applyNumberFormat="1" applyFont="1" applyFill="1" applyBorder="1" applyAlignment="1" applyProtection="1"/>
    <xf numFmtId="49" fontId="46" fillId="34" borderId="9" xfId="0" applyNumberFormat="1" applyFont="1" applyFill="1" applyBorder="1" applyAlignment="1" applyProtection="1">
      <alignment horizontal="right"/>
    </xf>
    <xf numFmtId="49" fontId="46" fillId="34" borderId="9" xfId="0" applyNumberFormat="1" applyFont="1" applyFill="1" applyBorder="1" applyAlignment="1" applyProtection="1">
      <alignment horizontal="left"/>
    </xf>
    <xf numFmtId="1" fontId="72" fillId="34" borderId="9" xfId="0" applyNumberFormat="1" applyFont="1" applyFill="1" applyBorder="1" applyAlignment="1" applyProtection="1">
      <alignment horizontal="center" vertical="center"/>
    </xf>
    <xf numFmtId="1" fontId="48" fillId="34" borderId="9" xfId="0" applyNumberFormat="1" applyFont="1" applyFill="1" applyBorder="1" applyAlignment="1" applyProtection="1">
      <alignment horizontal="center" vertical="center"/>
    </xf>
    <xf numFmtId="1" fontId="71" fillId="34" borderId="9" xfId="0" applyNumberFormat="1" applyFont="1" applyFill="1" applyBorder="1" applyAlignment="1" applyProtection="1">
      <alignment horizontal="right"/>
    </xf>
    <xf numFmtId="183" fontId="22" fillId="34" borderId="9" xfId="0" applyNumberFormat="1" applyFont="1" applyFill="1" applyBorder="1" applyAlignment="1" applyProtection="1">
      <alignment vertical="center"/>
    </xf>
    <xf numFmtId="184" fontId="53" fillId="34" borderId="9" xfId="0" applyNumberFormat="1" applyFont="1" applyFill="1" applyBorder="1" applyAlignment="1" applyProtection="1">
      <alignment vertical="center"/>
    </xf>
    <xf numFmtId="166" fontId="150" fillId="34" borderId="9" xfId="0" applyNumberFormat="1" applyFont="1" applyFill="1" applyBorder="1" applyAlignment="1" applyProtection="1">
      <alignment vertical="center"/>
    </xf>
    <xf numFmtId="166" fontId="49" fillId="34" borderId="9" xfId="0" applyNumberFormat="1" applyFont="1" applyFill="1" applyBorder="1" applyAlignment="1" applyProtection="1">
      <alignment vertical="center"/>
    </xf>
    <xf numFmtId="186" fontId="22" fillId="34" borderId="9" xfId="0" applyNumberFormat="1" applyFont="1" applyFill="1" applyBorder="1" applyAlignment="1" applyProtection="1">
      <alignment vertical="center"/>
    </xf>
    <xf numFmtId="184" fontId="53" fillId="34" borderId="46" xfId="0" applyNumberFormat="1" applyFont="1" applyFill="1" applyBorder="1" applyAlignment="1" applyProtection="1"/>
    <xf numFmtId="2" fontId="49" fillId="34" borderId="46" xfId="0" applyNumberFormat="1" applyFont="1" applyFill="1" applyBorder="1" applyAlignment="1" applyProtection="1">
      <alignment horizontal="right" vertical="center"/>
    </xf>
    <xf numFmtId="178" fontId="0" fillId="34" borderId="46" xfId="0" applyFill="1" applyBorder="1" applyAlignment="1" applyProtection="1"/>
    <xf numFmtId="1" fontId="14" fillId="34" borderId="46" xfId="0" applyNumberFormat="1" applyFont="1" applyFill="1" applyBorder="1" applyProtection="1"/>
    <xf numFmtId="1" fontId="46" fillId="34" borderId="46" xfId="0" applyNumberFormat="1" applyFont="1" applyFill="1" applyBorder="1" applyAlignment="1" applyProtection="1">
      <alignment horizontal="right"/>
    </xf>
    <xf numFmtId="1" fontId="46" fillId="34" borderId="46" xfId="0" applyNumberFormat="1" applyFont="1" applyFill="1" applyBorder="1" applyAlignment="1" applyProtection="1"/>
    <xf numFmtId="49" fontId="46" fillId="34" borderId="46" xfId="0" applyNumberFormat="1" applyFont="1" applyFill="1" applyBorder="1" applyAlignment="1" applyProtection="1">
      <alignment horizontal="right"/>
    </xf>
    <xf numFmtId="1" fontId="72" fillId="34" borderId="46" xfId="0" applyNumberFormat="1" applyFont="1" applyFill="1" applyBorder="1" applyAlignment="1" applyProtection="1">
      <alignment horizontal="center" vertical="center"/>
    </xf>
    <xf numFmtId="1" fontId="48" fillId="34" borderId="46" xfId="0" applyNumberFormat="1" applyFont="1" applyFill="1" applyBorder="1" applyAlignment="1" applyProtection="1">
      <alignment horizontal="center" vertical="center"/>
    </xf>
    <xf numFmtId="1" fontId="71" fillId="34" borderId="46" xfId="0" applyNumberFormat="1" applyFont="1" applyFill="1" applyBorder="1" applyAlignment="1" applyProtection="1">
      <alignment horizontal="right"/>
    </xf>
    <xf numFmtId="178" fontId="22" fillId="34" borderId="0" xfId="0" applyFont="1" applyFill="1" applyBorder="1" applyAlignment="1" applyProtection="1">
      <alignment horizontal="right" vertical="center"/>
    </xf>
    <xf numFmtId="1" fontId="49" fillId="34" borderId="46" xfId="0" applyNumberFormat="1" applyFont="1" applyFill="1" applyBorder="1" applyAlignment="1" applyProtection="1">
      <alignment horizontal="right" vertical="center"/>
    </xf>
    <xf numFmtId="1" fontId="49" fillId="34" borderId="9" xfId="0" applyNumberFormat="1" applyFont="1" applyFill="1" applyBorder="1" applyAlignment="1" applyProtection="1">
      <alignment horizontal="right" vertical="center"/>
    </xf>
    <xf numFmtId="178" fontId="46" fillId="0" borderId="89" xfId="0" applyFont="1" applyBorder="1" applyAlignment="1">
      <alignment horizontal="left"/>
    </xf>
    <xf numFmtId="1" fontId="22" fillId="34" borderId="46" xfId="0" applyNumberFormat="1" applyFont="1" applyFill="1" applyBorder="1" applyAlignment="1" applyProtection="1">
      <alignment horizontal="left" vertical="center"/>
    </xf>
    <xf numFmtId="1" fontId="22" fillId="34" borderId="8" xfId="0" applyNumberFormat="1" applyFont="1" applyFill="1" applyBorder="1" applyAlignment="1" applyProtection="1">
      <alignment horizontal="left" vertical="center"/>
    </xf>
    <xf numFmtId="49" fontId="22" fillId="34" borderId="46" xfId="0" applyNumberFormat="1" applyFont="1" applyFill="1" applyBorder="1" applyAlignment="1" applyProtection="1">
      <alignment horizontal="right" vertical="center"/>
    </xf>
    <xf numFmtId="1" fontId="22" fillId="34" borderId="46" xfId="0" applyNumberFormat="1" applyFont="1" applyFill="1" applyBorder="1" applyAlignment="1" applyProtection="1">
      <alignment vertical="center"/>
    </xf>
    <xf numFmtId="1" fontId="53" fillId="34" borderId="46" xfId="0" applyNumberFormat="1" applyFont="1" applyFill="1" applyBorder="1" applyAlignment="1" applyProtection="1">
      <alignment vertical="center"/>
    </xf>
    <xf numFmtId="1" fontId="0" fillId="34" borderId="46" xfId="0" applyNumberFormat="1" applyFill="1" applyBorder="1" applyAlignment="1" applyProtection="1">
      <alignment vertical="center"/>
    </xf>
    <xf numFmtId="1" fontId="11" fillId="34" borderId="46" xfId="0" applyNumberFormat="1" applyFont="1" applyFill="1" applyBorder="1" applyAlignment="1" applyProtection="1">
      <alignment vertical="center"/>
    </xf>
    <xf numFmtId="1" fontId="14" fillId="34" borderId="46" xfId="0" applyNumberFormat="1" applyFont="1" applyFill="1" applyBorder="1" applyAlignment="1" applyProtection="1">
      <alignment vertical="center"/>
    </xf>
    <xf numFmtId="1" fontId="46" fillId="34" borderId="46" xfId="0" applyNumberFormat="1" applyFont="1" applyFill="1" applyBorder="1" applyAlignment="1" applyProtection="1">
      <alignment horizontal="right" vertical="center"/>
    </xf>
    <xf numFmtId="1" fontId="46" fillId="34" borderId="46" xfId="0" applyNumberFormat="1" applyFont="1" applyFill="1" applyBorder="1" applyAlignment="1" applyProtection="1">
      <alignment vertical="center"/>
    </xf>
    <xf numFmtId="1" fontId="46" fillId="34" borderId="46" xfId="0" applyNumberFormat="1" applyFont="1" applyFill="1" applyBorder="1" applyAlignment="1" applyProtection="1">
      <alignment horizontal="left" vertical="center"/>
    </xf>
    <xf numFmtId="1" fontId="71" fillId="34" borderId="46" xfId="0" applyNumberFormat="1" applyFont="1" applyFill="1" applyBorder="1" applyAlignment="1" applyProtection="1">
      <alignment horizontal="right" vertical="center"/>
    </xf>
    <xf numFmtId="1" fontId="22" fillId="34" borderId="140" xfId="0" applyNumberFormat="1" applyFont="1" applyFill="1" applyBorder="1" applyAlignment="1" applyProtection="1">
      <alignment vertical="center"/>
    </xf>
    <xf numFmtId="49" fontId="22" fillId="34" borderId="9" xfId="0" applyNumberFormat="1" applyFont="1" applyFill="1" applyBorder="1" applyAlignment="1" applyProtection="1">
      <alignment horizontal="right" vertical="center"/>
    </xf>
    <xf numFmtId="1" fontId="22" fillId="34" borderId="9" xfId="0" applyNumberFormat="1" applyFont="1" applyFill="1" applyBorder="1" applyAlignment="1" applyProtection="1">
      <alignment vertical="center"/>
    </xf>
    <xf numFmtId="1" fontId="53" fillId="34" borderId="9" xfId="0" applyNumberFormat="1" applyFont="1" applyFill="1" applyBorder="1" applyAlignment="1" applyProtection="1">
      <alignment vertical="center"/>
    </xf>
    <xf numFmtId="1" fontId="0" fillId="34" borderId="9" xfId="0" applyNumberFormat="1" applyFill="1" applyBorder="1" applyAlignment="1" applyProtection="1">
      <alignment vertical="center"/>
    </xf>
    <xf numFmtId="1" fontId="11" fillId="34" borderId="9" xfId="0" applyNumberFormat="1" applyFont="1" applyFill="1" applyBorder="1" applyAlignment="1" applyProtection="1">
      <alignment vertical="center"/>
    </xf>
    <xf numFmtId="1" fontId="14" fillId="34" borderId="9" xfId="0" applyNumberFormat="1" applyFont="1" applyFill="1" applyBorder="1" applyAlignment="1" applyProtection="1">
      <alignment vertical="center"/>
    </xf>
    <xf numFmtId="1" fontId="46" fillId="34" borderId="9" xfId="0" applyNumberFormat="1" applyFont="1" applyFill="1" applyBorder="1" applyAlignment="1" applyProtection="1">
      <alignment horizontal="right" vertical="center"/>
    </xf>
    <xf numFmtId="1" fontId="46" fillId="34" borderId="9" xfId="0" applyNumberFormat="1" applyFont="1" applyFill="1" applyBorder="1" applyAlignment="1" applyProtection="1">
      <alignment vertical="center"/>
    </xf>
    <xf numFmtId="1" fontId="46" fillId="34" borderId="9" xfId="0" applyNumberFormat="1" applyFont="1" applyFill="1" applyBorder="1" applyAlignment="1" applyProtection="1">
      <alignment horizontal="left" vertical="center"/>
    </xf>
    <xf numFmtId="1" fontId="71" fillId="34" borderId="9" xfId="0" applyNumberFormat="1" applyFont="1" applyFill="1" applyBorder="1" applyAlignment="1" applyProtection="1">
      <alignment horizontal="right" vertical="center"/>
    </xf>
    <xf numFmtId="178" fontId="14" fillId="0" borderId="4" xfId="0" applyFont="1" applyBorder="1" applyAlignment="1" applyProtection="1">
      <alignment horizontal="center"/>
      <protection hidden="1"/>
    </xf>
    <xf numFmtId="178" fontId="14" fillId="0" borderId="0" xfId="0" applyFont="1" applyBorder="1" applyAlignment="1" applyProtection="1">
      <alignment horizontal="center"/>
      <protection hidden="1"/>
    </xf>
    <xf numFmtId="178" fontId="14" fillId="0" borderId="89" xfId="0" applyFont="1" applyBorder="1" applyAlignment="1" applyProtection="1">
      <alignment horizontal="center"/>
      <protection hidden="1"/>
    </xf>
    <xf numFmtId="174" fontId="14" fillId="0" borderId="0" xfId="0" applyNumberFormat="1" applyFont="1" applyBorder="1" applyAlignment="1" applyProtection="1">
      <alignment horizontal="center"/>
      <protection hidden="1"/>
    </xf>
    <xf numFmtId="178" fontId="14" fillId="0" borderId="89" xfId="0" applyFont="1" applyBorder="1" applyProtection="1">
      <protection hidden="1"/>
    </xf>
    <xf numFmtId="178" fontId="14" fillId="0" borderId="5" xfId="0" applyFont="1" applyBorder="1" applyProtection="1">
      <protection hidden="1"/>
    </xf>
    <xf numFmtId="165" fontId="14" fillId="0" borderId="4" xfId="0" applyNumberFormat="1" applyFont="1" applyBorder="1" applyAlignment="1" applyProtection="1">
      <alignment horizontal="center"/>
      <protection hidden="1"/>
    </xf>
    <xf numFmtId="3" fontId="14" fillId="0" borderId="4" xfId="0" applyNumberFormat="1" applyFont="1" applyBorder="1" applyAlignment="1" applyProtection="1">
      <alignment horizontal="center"/>
      <protection hidden="1"/>
    </xf>
    <xf numFmtId="3" fontId="14" fillId="0" borderId="89" xfId="0" applyNumberFormat="1" applyFont="1" applyBorder="1" applyAlignment="1" applyProtection="1">
      <alignment horizontal="center"/>
      <protection hidden="1"/>
    </xf>
    <xf numFmtId="178" fontId="14" fillId="0" borderId="4" xfId="0" applyFont="1" applyBorder="1" applyProtection="1">
      <protection hidden="1"/>
    </xf>
    <xf numFmtId="2" fontId="14" fillId="0" borderId="4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Border="1" applyAlignment="1" applyProtection="1">
      <alignment horizontal="center"/>
      <protection hidden="1"/>
    </xf>
    <xf numFmtId="178" fontId="0" fillId="0" borderId="5" xfId="0" applyBorder="1"/>
    <xf numFmtId="184" fontId="14" fillId="0" borderId="5" xfId="0" applyNumberFormat="1" applyFont="1" applyBorder="1"/>
    <xf numFmtId="1" fontId="14" fillId="0" borderId="5" xfId="0" applyNumberFormat="1" applyFont="1" applyBorder="1"/>
    <xf numFmtId="1" fontId="44" fillId="0" borderId="5" xfId="0" applyNumberFormat="1" applyFont="1" applyBorder="1"/>
    <xf numFmtId="206" fontId="54" fillId="0" borderId="5" xfId="0" applyNumberFormat="1" applyFont="1" applyBorder="1" applyAlignment="1">
      <alignment horizontal="center"/>
    </xf>
    <xf numFmtId="178" fontId="14" fillId="0" borderId="5" xfId="0" applyFont="1" applyBorder="1" applyAlignment="1">
      <alignment horizontal="center"/>
    </xf>
    <xf numFmtId="2" fontId="46" fillId="0" borderId="5" xfId="0" applyNumberFormat="1" applyFont="1" applyBorder="1" applyAlignment="1">
      <alignment horizontal="center"/>
    </xf>
    <xf numFmtId="1" fontId="46" fillId="0" borderId="5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3" fontId="163" fillId="0" borderId="4" xfId="0" applyNumberFormat="1" applyFont="1" applyBorder="1" applyAlignment="1" applyProtection="1">
      <alignment horizontal="center"/>
      <protection hidden="1"/>
    </xf>
    <xf numFmtId="3" fontId="14" fillId="0" borderId="0" xfId="0" applyNumberFormat="1" applyFont="1" applyBorder="1" applyAlignment="1" applyProtection="1">
      <alignment horizontal="center"/>
      <protection hidden="1"/>
    </xf>
    <xf numFmtId="178" fontId="168" fillId="44" borderId="0" xfId="0" applyFont="1" applyFill="1" applyProtection="1">
      <protection locked="0"/>
    </xf>
    <xf numFmtId="178" fontId="168" fillId="34" borderId="0" xfId="0" applyFont="1" applyFill="1" applyProtection="1">
      <protection locked="0"/>
    </xf>
    <xf numFmtId="178" fontId="132" fillId="34" borderId="0" xfId="0" applyFont="1" applyFill="1" applyProtection="1">
      <protection locked="0"/>
    </xf>
    <xf numFmtId="178" fontId="167" fillId="34" borderId="0" xfId="0" applyFont="1" applyFill="1" applyProtection="1">
      <protection locked="0"/>
    </xf>
    <xf numFmtId="178" fontId="11" fillId="34" borderId="0" xfId="0" applyFont="1" applyFill="1" applyProtection="1">
      <protection locked="0"/>
    </xf>
    <xf numFmtId="166" fontId="105" fillId="34" borderId="9" xfId="0" applyNumberFormat="1" applyFont="1" applyFill="1" applyBorder="1" applyAlignment="1" applyProtection="1">
      <alignment vertical="center"/>
    </xf>
    <xf numFmtId="166" fontId="105" fillId="34" borderId="67" xfId="0" applyNumberFormat="1" applyFont="1" applyFill="1" applyBorder="1" applyAlignment="1" applyProtection="1">
      <alignment vertical="center"/>
    </xf>
    <xf numFmtId="1" fontId="49" fillId="34" borderId="46" xfId="0" applyNumberFormat="1" applyFont="1" applyFill="1" applyBorder="1" applyAlignment="1" applyProtection="1">
      <alignment vertical="center"/>
    </xf>
    <xf numFmtId="1" fontId="49" fillId="34" borderId="9" xfId="0" applyNumberFormat="1" applyFont="1" applyFill="1" applyBorder="1" applyAlignment="1" applyProtection="1">
      <alignment vertical="center"/>
    </xf>
    <xf numFmtId="178" fontId="49" fillId="34" borderId="46" xfId="0" applyFont="1" applyFill="1" applyBorder="1" applyAlignment="1" applyProtection="1">
      <alignment vertical="center"/>
    </xf>
    <xf numFmtId="1" fontId="16" fillId="34" borderId="0" xfId="0" applyNumberFormat="1" applyFont="1" applyFill="1" applyBorder="1" applyProtection="1"/>
    <xf numFmtId="178" fontId="16" fillId="34" borderId="0" xfId="0" applyFont="1" applyFill="1" applyAlignment="1" applyProtection="1">
      <alignment vertical="center"/>
    </xf>
    <xf numFmtId="178" fontId="171" fillId="34" borderId="0" xfId="0" applyFont="1" applyFill="1" applyAlignment="1" applyProtection="1">
      <alignment wrapText="1"/>
      <protection locked="0"/>
    </xf>
    <xf numFmtId="178" fontId="172" fillId="34" borderId="0" xfId="0" applyFont="1" applyFill="1" applyProtection="1"/>
    <xf numFmtId="178" fontId="172" fillId="0" borderId="0" xfId="0" applyFont="1" applyProtection="1"/>
    <xf numFmtId="178" fontId="173" fillId="34" borderId="0" xfId="0" applyFont="1" applyFill="1" applyAlignment="1" applyProtection="1">
      <alignment wrapText="1"/>
      <protection locked="0"/>
    </xf>
    <xf numFmtId="178" fontId="174" fillId="34" borderId="0" xfId="0" applyFont="1" applyFill="1" applyAlignment="1" applyProtection="1">
      <alignment wrapText="1"/>
      <protection locked="0"/>
    </xf>
    <xf numFmtId="178" fontId="174" fillId="0" borderId="0" xfId="0" applyFont="1" applyFill="1" applyAlignment="1" applyProtection="1">
      <alignment wrapText="1"/>
      <protection locked="0"/>
    </xf>
    <xf numFmtId="178" fontId="175" fillId="34" borderId="0" xfId="0" applyFont="1" applyFill="1" applyAlignment="1" applyProtection="1">
      <alignment horizontal="left"/>
      <protection locked="0"/>
    </xf>
    <xf numFmtId="1" fontId="173" fillId="34" borderId="0" xfId="0" applyNumberFormat="1" applyFont="1" applyFill="1" applyAlignment="1" applyProtection="1">
      <alignment wrapText="1"/>
      <protection locked="0"/>
    </xf>
    <xf numFmtId="178" fontId="44" fillId="0" borderId="0" xfId="0" applyFont="1" applyBorder="1" applyAlignment="1" applyProtection="1">
      <alignment horizontal="center"/>
      <protection hidden="1"/>
    </xf>
    <xf numFmtId="178" fontId="46" fillId="0" borderId="0" xfId="0" applyFont="1" applyAlignment="1">
      <alignment horizontal="right"/>
    </xf>
    <xf numFmtId="178" fontId="18" fillId="30" borderId="16" xfId="0" applyFont="1" applyFill="1" applyBorder="1"/>
    <xf numFmtId="178" fontId="19" fillId="30" borderId="6" xfId="0" applyFont="1" applyFill="1" applyBorder="1"/>
    <xf numFmtId="178" fontId="19" fillId="30" borderId="5" xfId="0" applyFont="1" applyFill="1" applyBorder="1"/>
    <xf numFmtId="178" fontId="19" fillId="30" borderId="11" xfId="0" applyFont="1" applyFill="1" applyBorder="1"/>
    <xf numFmtId="178" fontId="19" fillId="30" borderId="13" xfId="0" applyFont="1" applyFill="1" applyBorder="1"/>
    <xf numFmtId="178" fontId="46" fillId="0" borderId="0" xfId="0" applyFont="1" applyBorder="1" applyAlignment="1" applyProtection="1">
      <protection hidden="1"/>
    </xf>
    <xf numFmtId="1" fontId="54" fillId="0" borderId="67" xfId="0" applyNumberFormat="1" applyFont="1" applyBorder="1" applyAlignment="1" applyProtection="1">
      <protection hidden="1"/>
    </xf>
    <xf numFmtId="178" fontId="44" fillId="0" borderId="4" xfId="0" applyFont="1" applyBorder="1" applyProtection="1">
      <protection hidden="1"/>
    </xf>
    <xf numFmtId="178" fontId="14" fillId="0" borderId="30" xfId="0" applyFont="1" applyBorder="1" applyProtection="1">
      <protection hidden="1"/>
    </xf>
    <xf numFmtId="178" fontId="14" fillId="0" borderId="67" xfId="0" applyFont="1" applyBorder="1" applyProtection="1">
      <protection hidden="1"/>
    </xf>
    <xf numFmtId="178" fontId="14" fillId="0" borderId="90" xfId="0" applyFont="1" applyBorder="1" applyProtection="1">
      <protection hidden="1"/>
    </xf>
    <xf numFmtId="1" fontId="14" fillId="0" borderId="4" xfId="0" applyNumberFormat="1" applyFont="1" applyBorder="1" applyProtection="1">
      <protection hidden="1"/>
    </xf>
    <xf numFmtId="178" fontId="46" fillId="0" borderId="4" xfId="0" applyFont="1" applyBorder="1" applyAlignment="1">
      <alignment horizontal="right"/>
    </xf>
    <xf numFmtId="178" fontId="0" fillId="0" borderId="0" xfId="0" applyBorder="1"/>
    <xf numFmtId="178" fontId="0" fillId="0" borderId="89" xfId="0" applyBorder="1"/>
    <xf numFmtId="178" fontId="0" fillId="0" borderId="4" xfId="0" applyBorder="1"/>
    <xf numFmtId="178" fontId="46" fillId="0" borderId="89" xfId="0" applyFont="1" applyBorder="1" applyAlignment="1">
      <alignment horizontal="center"/>
    </xf>
    <xf numFmtId="178" fontId="11" fillId="52" borderId="4" xfId="0" applyFont="1" applyFill="1" applyBorder="1" applyAlignment="1">
      <alignment horizontal="center" vertical="center"/>
    </xf>
    <xf numFmtId="178" fontId="11" fillId="52" borderId="0" xfId="0" applyFont="1" applyFill="1" applyBorder="1" applyAlignment="1">
      <alignment horizontal="center" vertical="center"/>
    </xf>
    <xf numFmtId="1" fontId="47" fillId="52" borderId="4" xfId="0" applyNumberFormat="1" applyFont="1" applyFill="1" applyBorder="1" applyAlignment="1" applyProtection="1">
      <alignment horizontal="center" vertical="center"/>
    </xf>
    <xf numFmtId="1" fontId="47" fillId="52" borderId="0" xfId="0" applyNumberFormat="1" applyFont="1" applyFill="1" applyBorder="1" applyAlignment="1" applyProtection="1">
      <alignment horizontal="center" vertical="center"/>
    </xf>
    <xf numFmtId="178" fontId="11" fillId="53" borderId="4" xfId="0" applyFont="1" applyFill="1" applyBorder="1" applyAlignment="1">
      <alignment horizontal="center" vertical="center"/>
    </xf>
    <xf numFmtId="178" fontId="11" fillId="53" borderId="89" xfId="0" applyFont="1" applyFill="1" applyBorder="1" applyAlignment="1">
      <alignment horizontal="center" vertical="center"/>
    </xf>
    <xf numFmtId="1" fontId="47" fillId="53" borderId="4" xfId="0" applyNumberFormat="1" applyFont="1" applyFill="1" applyBorder="1" applyAlignment="1" applyProtection="1">
      <alignment horizontal="center" vertical="center"/>
    </xf>
    <xf numFmtId="1" fontId="47" fillId="53" borderId="89" xfId="0" applyNumberFormat="1" applyFont="1" applyFill="1" applyBorder="1" applyAlignment="1" applyProtection="1">
      <alignment horizontal="center" vertical="center"/>
    </xf>
    <xf numFmtId="178" fontId="11" fillId="51" borderId="4" xfId="0" applyFont="1" applyFill="1" applyBorder="1" applyAlignment="1">
      <alignment horizontal="center" vertical="center"/>
    </xf>
    <xf numFmtId="178" fontId="11" fillId="51" borderId="89" xfId="0" applyFont="1" applyFill="1" applyBorder="1" applyAlignment="1">
      <alignment horizontal="center" vertical="center"/>
    </xf>
    <xf numFmtId="1" fontId="47" fillId="51" borderId="4" xfId="0" applyNumberFormat="1" applyFont="1" applyFill="1" applyBorder="1" applyAlignment="1" applyProtection="1">
      <alignment horizontal="center" vertical="center"/>
    </xf>
    <xf numFmtId="1" fontId="47" fillId="51" borderId="89" xfId="0" applyNumberFormat="1" applyFont="1" applyFill="1" applyBorder="1" applyAlignment="1" applyProtection="1">
      <alignment horizontal="center" vertical="center"/>
    </xf>
    <xf numFmtId="178" fontId="11" fillId="54" borderId="4" xfId="0" applyFont="1" applyFill="1" applyBorder="1" applyAlignment="1">
      <alignment horizontal="center" vertical="center"/>
    </xf>
    <xf numFmtId="1" fontId="47" fillId="54" borderId="4" xfId="0" applyNumberFormat="1" applyFont="1" applyFill="1" applyBorder="1" applyAlignment="1" applyProtection="1">
      <alignment horizontal="center" vertical="center"/>
    </xf>
    <xf numFmtId="178" fontId="11" fillId="4" borderId="4" xfId="0" applyFont="1" applyFill="1" applyBorder="1" applyAlignment="1">
      <alignment horizontal="center" vertical="center"/>
    </xf>
    <xf numFmtId="178" fontId="11" fillId="4" borderId="89" xfId="0" applyFont="1" applyFill="1" applyBorder="1" applyAlignment="1">
      <alignment horizontal="center" vertical="center"/>
    </xf>
    <xf numFmtId="1" fontId="47" fillId="4" borderId="4" xfId="0" applyNumberFormat="1" applyFont="1" applyFill="1" applyBorder="1" applyAlignment="1" applyProtection="1">
      <alignment horizontal="center" vertical="center"/>
    </xf>
    <xf numFmtId="1" fontId="47" fillId="4" borderId="89" xfId="0" applyNumberFormat="1" applyFont="1" applyFill="1" applyBorder="1" applyAlignment="1" applyProtection="1">
      <alignment horizontal="center" vertical="center"/>
    </xf>
    <xf numFmtId="178" fontId="11" fillId="50" borderId="4" xfId="0" applyFont="1" applyFill="1" applyBorder="1" applyAlignment="1">
      <alignment horizontal="center" vertical="center"/>
    </xf>
    <xf numFmtId="178" fontId="11" fillId="50" borderId="89" xfId="0" applyFont="1" applyFill="1" applyBorder="1" applyAlignment="1">
      <alignment horizontal="center" vertical="center"/>
    </xf>
    <xf numFmtId="1" fontId="47" fillId="50" borderId="4" xfId="0" applyNumberFormat="1" applyFont="1" applyFill="1" applyBorder="1" applyAlignment="1" applyProtection="1">
      <alignment horizontal="center" vertical="center"/>
    </xf>
    <xf numFmtId="1" fontId="47" fillId="50" borderId="89" xfId="0" applyNumberFormat="1" applyFont="1" applyFill="1" applyBorder="1" applyAlignment="1" applyProtection="1">
      <alignment horizontal="center" vertical="center"/>
    </xf>
    <xf numFmtId="178" fontId="11" fillId="54" borderId="0" xfId="0" applyFont="1" applyFill="1" applyBorder="1" applyAlignment="1">
      <alignment horizontal="center" vertical="center"/>
    </xf>
    <xf numFmtId="1" fontId="47" fillId="54" borderId="0" xfId="0" applyNumberFormat="1" applyFont="1" applyFill="1" applyBorder="1" applyAlignment="1" applyProtection="1">
      <alignment horizontal="center" vertical="center"/>
    </xf>
    <xf numFmtId="178" fontId="11" fillId="55" borderId="4" xfId="0" applyFont="1" applyFill="1" applyBorder="1" applyAlignment="1">
      <alignment horizontal="center" vertical="center"/>
    </xf>
    <xf numFmtId="178" fontId="11" fillId="55" borderId="89" xfId="0" applyFont="1" applyFill="1" applyBorder="1" applyAlignment="1">
      <alignment horizontal="center" vertical="center"/>
    </xf>
    <xf numFmtId="1" fontId="47" fillId="55" borderId="4" xfId="0" applyNumberFormat="1" applyFont="1" applyFill="1" applyBorder="1" applyAlignment="1" applyProtection="1">
      <alignment horizontal="center" vertical="center"/>
    </xf>
    <xf numFmtId="1" fontId="47" fillId="55" borderId="89" xfId="0" applyNumberFormat="1" applyFont="1" applyFill="1" applyBorder="1" applyAlignment="1" applyProtection="1">
      <alignment horizontal="center" vertical="center"/>
    </xf>
    <xf numFmtId="178" fontId="11" fillId="56" borderId="4" xfId="0" applyFont="1" applyFill="1" applyBorder="1" applyAlignment="1">
      <alignment horizontal="center" vertical="center"/>
    </xf>
    <xf numFmtId="178" fontId="11" fillId="56" borderId="0" xfId="0" applyFont="1" applyFill="1" applyBorder="1" applyAlignment="1">
      <alignment horizontal="center" vertical="center"/>
    </xf>
    <xf numFmtId="1" fontId="47" fillId="56" borderId="4" xfId="0" applyNumberFormat="1" applyFont="1" applyFill="1" applyBorder="1" applyAlignment="1" applyProtection="1">
      <alignment horizontal="center" vertical="center"/>
    </xf>
    <xf numFmtId="1" fontId="47" fillId="56" borderId="0" xfId="0" applyNumberFormat="1" applyFont="1" applyFill="1" applyBorder="1" applyAlignment="1" applyProtection="1">
      <alignment horizontal="center" vertical="center"/>
    </xf>
    <xf numFmtId="1" fontId="47" fillId="50" borderId="0" xfId="0" applyNumberFormat="1" applyFont="1" applyFill="1" applyBorder="1" applyAlignment="1" applyProtection="1">
      <alignment horizontal="center" vertical="center"/>
    </xf>
    <xf numFmtId="178" fontId="11" fillId="3" borderId="4" xfId="0" applyFont="1" applyFill="1" applyBorder="1" applyAlignment="1">
      <alignment horizontal="center" vertical="center"/>
    </xf>
    <xf numFmtId="178" fontId="11" fillId="3" borderId="0" xfId="0" applyFont="1" applyFill="1" applyBorder="1" applyAlignment="1">
      <alignment horizontal="center" vertical="center"/>
    </xf>
    <xf numFmtId="1" fontId="47" fillId="3" borderId="4" xfId="0" applyNumberFormat="1" applyFont="1" applyFill="1" applyBorder="1" applyAlignment="1" applyProtection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 vertical="center"/>
    </xf>
    <xf numFmtId="178" fontId="11" fillId="29" borderId="4" xfId="0" applyFont="1" applyFill="1" applyBorder="1" applyAlignment="1">
      <alignment horizontal="center" vertical="center"/>
    </xf>
    <xf numFmtId="178" fontId="11" fillId="29" borderId="0" xfId="0" applyFont="1" applyFill="1" applyBorder="1" applyAlignment="1">
      <alignment horizontal="center" vertical="center"/>
    </xf>
    <xf numFmtId="1" fontId="47" fillId="29" borderId="4" xfId="0" applyNumberFormat="1" applyFont="1" applyFill="1" applyBorder="1" applyAlignment="1" applyProtection="1">
      <alignment horizontal="center" vertical="center"/>
    </xf>
    <xf numFmtId="1" fontId="47" fillId="29" borderId="0" xfId="0" applyNumberFormat="1" applyFont="1" applyFill="1" applyBorder="1" applyAlignment="1" applyProtection="1">
      <alignment horizontal="center" vertical="center"/>
    </xf>
    <xf numFmtId="178" fontId="11" fillId="2" borderId="4" xfId="0" applyFont="1" applyFill="1" applyBorder="1" applyAlignment="1">
      <alignment horizontal="center" vertical="center"/>
    </xf>
    <xf numFmtId="178" fontId="11" fillId="2" borderId="0" xfId="0" applyFont="1" applyFill="1" applyBorder="1" applyAlignment="1">
      <alignment horizontal="center" vertical="center"/>
    </xf>
    <xf numFmtId="1" fontId="47" fillId="2" borderId="4" xfId="0" applyNumberFormat="1" applyFont="1" applyFill="1" applyBorder="1" applyAlignment="1" applyProtection="1">
      <alignment horizontal="center" vertical="center"/>
    </xf>
    <xf numFmtId="1" fontId="47" fillId="2" borderId="0" xfId="0" applyNumberFormat="1" applyFont="1" applyFill="1" applyBorder="1" applyAlignment="1" applyProtection="1">
      <alignment horizontal="center" vertical="center"/>
    </xf>
    <xf numFmtId="178" fontId="11" fillId="30" borderId="4" xfId="0" applyFont="1" applyFill="1" applyBorder="1" applyAlignment="1">
      <alignment horizontal="center" vertical="center"/>
    </xf>
    <xf numFmtId="178" fontId="11" fillId="30" borderId="89" xfId="0" applyFont="1" applyFill="1" applyBorder="1" applyAlignment="1">
      <alignment horizontal="center" vertical="center"/>
    </xf>
    <xf numFmtId="1" fontId="47" fillId="30" borderId="4" xfId="0" applyNumberFormat="1" applyFont="1" applyFill="1" applyBorder="1" applyAlignment="1" applyProtection="1">
      <alignment horizontal="center" vertical="center"/>
    </xf>
    <xf numFmtId="1" fontId="47" fillId="30" borderId="89" xfId="0" applyNumberFormat="1" applyFont="1" applyFill="1" applyBorder="1" applyAlignment="1" applyProtection="1">
      <alignment horizontal="center" vertical="center"/>
    </xf>
    <xf numFmtId="178" fontId="18" fillId="50" borderId="16" xfId="0" applyFont="1" applyFill="1" applyBorder="1"/>
    <xf numFmtId="178" fontId="19" fillId="50" borderId="6" xfId="0" applyFont="1" applyFill="1" applyBorder="1"/>
    <xf numFmtId="178" fontId="19" fillId="50" borderId="5" xfId="0" applyFont="1" applyFill="1" applyBorder="1"/>
    <xf numFmtId="178" fontId="19" fillId="50" borderId="11" xfId="0" applyFont="1" applyFill="1" applyBorder="1"/>
    <xf numFmtId="178" fontId="19" fillId="50" borderId="13" xfId="0" applyFont="1" applyFill="1" applyBorder="1"/>
    <xf numFmtId="178" fontId="22" fillId="0" borderId="4" xfId="0" applyFont="1" applyBorder="1" applyAlignment="1" applyProtection="1">
      <protection hidden="1"/>
    </xf>
    <xf numFmtId="178" fontId="46" fillId="0" borderId="4" xfId="0" applyFont="1" applyBorder="1" applyAlignment="1" applyProtection="1">
      <protection hidden="1"/>
    </xf>
    <xf numFmtId="1" fontId="54" fillId="0" borderId="4" xfId="0" applyNumberFormat="1" applyFont="1" applyBorder="1" applyAlignment="1" applyProtection="1">
      <protection hidden="1"/>
    </xf>
    <xf numFmtId="1" fontId="14" fillId="0" borderId="4" xfId="0" applyNumberFormat="1" applyFont="1" applyBorder="1" applyAlignment="1" applyProtection="1">
      <alignment horizontal="right"/>
      <protection hidden="1"/>
    </xf>
    <xf numFmtId="178" fontId="71" fillId="34" borderId="18" xfId="0" applyFont="1" applyFill="1" applyBorder="1" applyAlignment="1" applyProtection="1">
      <protection hidden="1"/>
    </xf>
    <xf numFmtId="178" fontId="18" fillId="55" borderId="16" xfId="0" applyFont="1" applyFill="1" applyBorder="1"/>
    <xf numFmtId="178" fontId="0" fillId="55" borderId="18" xfId="0" applyFill="1" applyBorder="1"/>
    <xf numFmtId="178" fontId="19" fillId="55" borderId="6" xfId="0" applyFont="1" applyFill="1" applyBorder="1"/>
    <xf numFmtId="178" fontId="19" fillId="55" borderId="5" xfId="0" applyFont="1" applyFill="1" applyBorder="1"/>
    <xf numFmtId="178" fontId="19" fillId="55" borderId="11" xfId="0" applyFont="1" applyFill="1" applyBorder="1"/>
    <xf numFmtId="178" fontId="19" fillId="55" borderId="13" xfId="0" applyFont="1" applyFill="1" applyBorder="1"/>
    <xf numFmtId="178" fontId="14" fillId="0" borderId="67" xfId="0" applyFont="1" applyBorder="1" applyAlignment="1" applyProtection="1">
      <alignment horizontal="center"/>
      <protection hidden="1"/>
    </xf>
    <xf numFmtId="178" fontId="92" fillId="3" borderId="81" xfId="0" applyFont="1" applyFill="1" applyBorder="1" applyAlignment="1" applyProtection="1">
      <alignment horizontal="center"/>
      <protection hidden="1"/>
    </xf>
    <xf numFmtId="178" fontId="92" fillId="3" borderId="157" xfId="0" applyFont="1" applyFill="1" applyBorder="1" applyAlignment="1" applyProtection="1">
      <alignment horizontal="center"/>
      <protection hidden="1"/>
    </xf>
    <xf numFmtId="178" fontId="92" fillId="3" borderId="158" xfId="0" applyFont="1" applyFill="1" applyBorder="1" applyAlignment="1" applyProtection="1">
      <alignment vertical="center"/>
      <protection hidden="1"/>
    </xf>
    <xf numFmtId="178" fontId="92" fillId="3" borderId="158" xfId="0" applyFont="1" applyFill="1" applyBorder="1" applyAlignment="1" applyProtection="1">
      <alignment horizontal="center" vertical="center"/>
      <protection hidden="1"/>
    </xf>
    <xf numFmtId="178" fontId="92" fillId="3" borderId="159" xfId="0" applyFont="1" applyFill="1" applyBorder="1" applyAlignment="1" applyProtection="1">
      <alignment vertical="center"/>
      <protection hidden="1"/>
    </xf>
    <xf numFmtId="178" fontId="176" fillId="3" borderId="81" xfId="0" applyFont="1" applyFill="1" applyBorder="1" applyAlignment="1" applyProtection="1">
      <alignment horizontal="center"/>
      <protection hidden="1"/>
    </xf>
    <xf numFmtId="1" fontId="24" fillId="15" borderId="11" xfId="0" applyNumberFormat="1" applyFont="1" applyFill="1" applyBorder="1" applyAlignment="1" applyProtection="1">
      <alignment vertical="center"/>
      <protection hidden="1"/>
    </xf>
    <xf numFmtId="178" fontId="0" fillId="0" borderId="12" xfId="0" applyBorder="1" applyAlignment="1"/>
    <xf numFmtId="1" fontId="24" fillId="15" borderId="12" xfId="0" applyNumberFormat="1" applyFont="1" applyFill="1" applyBorder="1" applyAlignment="1" applyProtection="1">
      <alignment vertical="center"/>
      <protection hidden="1"/>
    </xf>
    <xf numFmtId="1" fontId="49" fillId="15" borderId="2" xfId="0" applyNumberFormat="1" applyFont="1" applyFill="1" applyBorder="1" applyAlignment="1" applyProtection="1">
      <alignment vertical="center"/>
      <protection hidden="1"/>
    </xf>
    <xf numFmtId="189" fontId="0" fillId="0" borderId="0" xfId="0" applyNumberFormat="1" applyBorder="1"/>
    <xf numFmtId="1" fontId="24" fillId="15" borderId="2" xfId="0" applyNumberFormat="1" applyFont="1" applyFill="1" applyBorder="1" applyAlignment="1" applyProtection="1">
      <alignment vertical="center"/>
      <protection hidden="1"/>
    </xf>
    <xf numFmtId="1" fontId="24" fillId="0" borderId="0" xfId="0" applyNumberFormat="1" applyFont="1" applyFill="1" applyBorder="1" applyAlignment="1" applyProtection="1">
      <alignment vertical="center"/>
      <protection hidden="1"/>
    </xf>
    <xf numFmtId="178" fontId="5" fillId="58" borderId="0" xfId="0" applyFont="1" applyFill="1" applyBorder="1" applyAlignment="1" applyProtection="1">
      <alignment horizontal="center" vertical="center"/>
      <protection locked="0"/>
    </xf>
    <xf numFmtId="178" fontId="5" fillId="58" borderId="0" xfId="0" applyFont="1" applyFill="1" applyBorder="1" applyAlignment="1" applyProtection="1">
      <alignment horizontal="center" vertical="center"/>
    </xf>
    <xf numFmtId="178" fontId="49" fillId="58" borderId="0" xfId="0" applyFont="1" applyFill="1" applyAlignment="1" applyProtection="1">
      <alignment horizontal="right" vertical="center"/>
    </xf>
    <xf numFmtId="196" fontId="113" fillId="58" borderId="0" xfId="0" applyNumberFormat="1" applyFont="1" applyFill="1" applyBorder="1" applyAlignment="1" applyProtection="1">
      <alignment horizontal="center" vertical="center"/>
      <protection locked="0"/>
    </xf>
    <xf numFmtId="178" fontId="0" fillId="58" borderId="0" xfId="0" applyFill="1" applyProtection="1"/>
    <xf numFmtId="178" fontId="24" fillId="58" borderId="0" xfId="0" applyFont="1" applyFill="1" applyBorder="1" applyAlignment="1" applyProtection="1">
      <alignment horizontal="center" vertical="center"/>
      <protection locked="0"/>
    </xf>
    <xf numFmtId="1" fontId="24" fillId="58" borderId="0" xfId="0" applyNumberFormat="1" applyFont="1" applyFill="1" applyBorder="1" applyAlignment="1" applyProtection="1">
      <alignment horizontal="center" vertical="center"/>
      <protection locked="0"/>
    </xf>
    <xf numFmtId="1" fontId="49" fillId="58" borderId="0" xfId="0" applyNumberFormat="1" applyFont="1" applyFill="1" applyBorder="1" applyAlignment="1" applyProtection="1">
      <alignment horizontal="right" vertical="center"/>
    </xf>
    <xf numFmtId="49" fontId="24" fillId="58" borderId="0" xfId="0" applyNumberFormat="1" applyFont="1" applyFill="1" applyBorder="1" applyAlignment="1" applyProtection="1">
      <alignment horizontal="center" vertical="center"/>
      <protection locked="0"/>
    </xf>
    <xf numFmtId="178" fontId="0" fillId="58" borderId="0" xfId="0" applyFill="1" applyBorder="1" applyProtection="1">
      <protection locked="0"/>
    </xf>
    <xf numFmtId="1" fontId="95" fillId="58" borderId="0" xfId="0" applyNumberFormat="1" applyFont="1" applyFill="1" applyBorder="1" applyAlignment="1" applyProtection="1">
      <alignment vertical="center" wrapText="1"/>
    </xf>
    <xf numFmtId="178" fontId="0" fillId="58" borderId="0" xfId="0" applyFill="1" applyBorder="1" applyProtection="1"/>
    <xf numFmtId="178" fontId="49" fillId="58" borderId="0" xfId="0" applyFont="1" applyFill="1" applyBorder="1" applyAlignment="1" applyProtection="1">
      <alignment horizontal="right" vertical="center"/>
    </xf>
    <xf numFmtId="178" fontId="56" fillId="58" borderId="0" xfId="0" applyFont="1" applyFill="1" applyAlignment="1" applyProtection="1"/>
    <xf numFmtId="178" fontId="87" fillId="58" borderId="0" xfId="0" applyFont="1" applyFill="1" applyBorder="1" applyAlignment="1" applyProtection="1">
      <alignment horizontal="center" vertical="center"/>
    </xf>
    <xf numFmtId="178" fontId="11" fillId="58" borderId="0" xfId="0" applyFont="1" applyFill="1" applyAlignment="1" applyProtection="1">
      <alignment vertical="center"/>
    </xf>
    <xf numFmtId="1" fontId="0" fillId="58" borderId="0" xfId="0" applyNumberFormat="1" applyFill="1" applyProtection="1"/>
    <xf numFmtId="178" fontId="11" fillId="58" borderId="0" xfId="0" applyFont="1" applyFill="1" applyAlignment="1" applyProtection="1">
      <alignment wrapText="1"/>
    </xf>
    <xf numFmtId="178" fontId="83" fillId="58" borderId="0" xfId="0" applyFont="1" applyFill="1" applyAlignment="1" applyProtection="1">
      <alignment horizontal="right" vertical="center"/>
    </xf>
    <xf numFmtId="178" fontId="64" fillId="58" borderId="0" xfId="0" applyFont="1" applyFill="1" applyBorder="1" applyAlignment="1" applyProtection="1">
      <alignment horizontal="center" vertical="center"/>
      <protection locked="0"/>
    </xf>
    <xf numFmtId="178" fontId="55" fillId="34" borderId="67" xfId="0" applyFont="1" applyFill="1" applyBorder="1" applyAlignment="1" applyProtection="1">
      <alignment vertical="top" wrapText="1"/>
      <protection hidden="1"/>
    </xf>
    <xf numFmtId="178" fontId="55" fillId="34" borderId="36" xfId="0" applyFont="1" applyFill="1" applyBorder="1" applyAlignment="1" applyProtection="1">
      <alignment vertical="top" wrapText="1"/>
      <protection hidden="1"/>
    </xf>
    <xf numFmtId="178" fontId="120" fillId="58" borderId="0" xfId="0" applyFont="1" applyFill="1" applyBorder="1" applyAlignment="1" applyProtection="1"/>
    <xf numFmtId="178" fontId="13" fillId="0" borderId="0" xfId="0" applyFont="1" applyAlignment="1" applyProtection="1">
      <protection hidden="1"/>
    </xf>
    <xf numFmtId="2" fontId="0" fillId="0" borderId="0" xfId="0" applyNumberFormat="1" applyProtection="1"/>
    <xf numFmtId="178" fontId="11" fillId="0" borderId="48" xfId="0" applyFont="1" applyBorder="1" applyAlignment="1" applyProtection="1">
      <alignment horizontal="center"/>
    </xf>
    <xf numFmtId="178" fontId="11" fillId="0" borderId="30" xfId="0" applyFont="1" applyBorder="1" applyProtection="1"/>
    <xf numFmtId="1" fontId="5" fillId="0" borderId="30" xfId="0" applyNumberFormat="1" applyFont="1" applyBorder="1" applyProtection="1"/>
    <xf numFmtId="178" fontId="5" fillId="0" borderId="67" xfId="0" applyFont="1" applyBorder="1" applyAlignment="1" applyProtection="1">
      <alignment horizontal="center"/>
    </xf>
    <xf numFmtId="1" fontId="5" fillId="0" borderId="67" xfId="0" applyNumberFormat="1" applyFont="1" applyBorder="1" applyProtection="1"/>
    <xf numFmtId="178" fontId="17" fillId="0" borderId="90" xfId="0" applyFont="1" applyFill="1" applyBorder="1" applyAlignment="1" applyProtection="1">
      <alignment vertical="center"/>
    </xf>
    <xf numFmtId="196" fontId="28" fillId="0" borderId="46" xfId="0" applyNumberFormat="1" applyFont="1" applyBorder="1" applyProtection="1"/>
    <xf numFmtId="173" fontId="28" fillId="0" borderId="0" xfId="0" applyNumberFormat="1" applyFont="1" applyBorder="1" applyProtection="1"/>
    <xf numFmtId="173" fontId="28" fillId="0" borderId="67" xfId="0" applyNumberFormat="1" applyFont="1" applyBorder="1" applyProtection="1"/>
    <xf numFmtId="209" fontId="1" fillId="0" borderId="0" xfId="3" applyNumberFormat="1" applyFont="1"/>
    <xf numFmtId="49" fontId="22" fillId="30" borderId="48" xfId="0" applyNumberFormat="1" applyFont="1" applyFill="1" applyBorder="1" applyAlignment="1" applyProtection="1">
      <alignment horizontal="center" vertical="center"/>
      <protection locked="0"/>
    </xf>
    <xf numFmtId="49" fontId="22" fillId="30" borderId="81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81" xfId="0" applyNumberFormat="1" applyFont="1" applyFill="1" applyBorder="1" applyAlignment="1" applyProtection="1">
      <alignment horizontal="center" vertical="center"/>
      <protection locked="0"/>
    </xf>
    <xf numFmtId="49" fontId="22" fillId="34" borderId="0" xfId="0" applyNumberFormat="1" applyFont="1" applyFill="1" applyBorder="1" applyAlignment="1" applyProtection="1">
      <alignment vertical="center"/>
    </xf>
    <xf numFmtId="49" fontId="48" fillId="34" borderId="0" xfId="0" applyNumberFormat="1" applyFont="1" applyFill="1" applyBorder="1" applyAlignment="1" applyProtection="1">
      <alignment vertical="center"/>
    </xf>
    <xf numFmtId="49" fontId="61" fillId="34" borderId="89" xfId="0" applyNumberFormat="1" applyFont="1" applyFill="1" applyBorder="1" applyAlignment="1" applyProtection="1">
      <alignment vertical="center"/>
    </xf>
    <xf numFmtId="49" fontId="0" fillId="34" borderId="4" xfId="0" applyNumberFormat="1" applyFill="1" applyBorder="1" applyAlignment="1" applyProtection="1"/>
    <xf numFmtId="49" fontId="85" fillId="34" borderId="0" xfId="0" applyNumberFormat="1" applyFont="1" applyFill="1" applyBorder="1" applyAlignment="1" applyProtection="1">
      <alignment vertical="center"/>
    </xf>
    <xf numFmtId="49" fontId="22" fillId="34" borderId="5" xfId="0" applyNumberFormat="1" applyFont="1" applyFill="1" applyBorder="1" applyAlignment="1" applyProtection="1">
      <alignment horizontal="center" vertical="center"/>
    </xf>
    <xf numFmtId="49" fontId="61" fillId="29" borderId="0" xfId="0" applyNumberFormat="1" applyFont="1" applyFill="1" applyBorder="1" applyAlignment="1" applyProtection="1">
      <alignment vertical="center"/>
    </xf>
    <xf numFmtId="49" fontId="22" fillId="34" borderId="6" xfId="0" applyNumberFormat="1" applyFont="1" applyFill="1" applyBorder="1" applyAlignment="1" applyProtection="1">
      <alignment vertical="center"/>
    </xf>
    <xf numFmtId="49" fontId="0" fillId="29" borderId="0" xfId="0" applyNumberFormat="1" applyFill="1" applyAlignment="1" applyProtection="1">
      <alignment vertical="center"/>
    </xf>
    <xf numFmtId="165" fontId="5" fillId="0" borderId="67" xfId="0" applyNumberFormat="1" applyFont="1" applyBorder="1" applyAlignment="1" applyProtection="1">
      <alignment horizontal="center"/>
    </xf>
    <xf numFmtId="178" fontId="20" fillId="0" borderId="90" xfId="0" applyFont="1" applyBorder="1" applyProtection="1"/>
    <xf numFmtId="2" fontId="20" fillId="0" borderId="30" xfId="0" applyNumberFormat="1" applyFont="1" applyBorder="1" applyProtection="1"/>
    <xf numFmtId="178" fontId="20" fillId="0" borderId="67" xfId="0" applyFont="1" applyBorder="1" applyProtection="1"/>
    <xf numFmtId="178" fontId="20" fillId="0" borderId="30" xfId="0" applyFont="1" applyBorder="1" applyProtection="1"/>
    <xf numFmtId="1" fontId="20" fillId="0" borderId="67" xfId="0" applyNumberFormat="1" applyFont="1" applyBorder="1" applyProtection="1"/>
    <xf numFmtId="178" fontId="112" fillId="34" borderId="13" xfId="0" applyFont="1" applyFill="1" applyBorder="1" applyAlignment="1" applyProtection="1">
      <alignment horizontal="right" vertical="center"/>
      <protection hidden="1"/>
    </xf>
    <xf numFmtId="178" fontId="107" fillId="34" borderId="77" xfId="0" applyFont="1" applyFill="1" applyBorder="1" applyAlignment="1" applyProtection="1">
      <alignment horizontal="right" vertical="center"/>
      <protection hidden="1"/>
    </xf>
    <xf numFmtId="178" fontId="107" fillId="34" borderId="76" xfId="0" applyFont="1" applyFill="1" applyBorder="1" applyAlignment="1" applyProtection="1">
      <alignment horizontal="right" vertical="center"/>
      <protection hidden="1"/>
    </xf>
    <xf numFmtId="178" fontId="112" fillId="34" borderId="3" xfId="0" applyFont="1" applyFill="1" applyBorder="1" applyAlignment="1" applyProtection="1">
      <alignment horizontal="right" vertical="center"/>
      <protection hidden="1"/>
    </xf>
    <xf numFmtId="1" fontId="107" fillId="34" borderId="76" xfId="0" applyNumberFormat="1" applyFont="1" applyFill="1" applyBorder="1" applyAlignment="1" applyProtection="1">
      <alignment horizontal="right" vertical="center"/>
      <protection hidden="1"/>
    </xf>
    <xf numFmtId="1" fontId="107" fillId="34" borderId="77" xfId="0" applyNumberFormat="1" applyFont="1" applyFill="1" applyBorder="1" applyAlignment="1" applyProtection="1">
      <alignment horizontal="right" vertical="center"/>
      <protection hidden="1"/>
    </xf>
    <xf numFmtId="1" fontId="107" fillId="34" borderId="16" xfId="0" applyNumberFormat="1" applyFont="1" applyFill="1" applyBorder="1" applyAlignment="1" applyProtection="1">
      <alignment horizontal="right" vertical="center"/>
      <protection hidden="1"/>
    </xf>
    <xf numFmtId="1" fontId="107" fillId="34" borderId="18" xfId="0" applyNumberFormat="1" applyFont="1" applyFill="1" applyBorder="1" applyAlignment="1" applyProtection="1">
      <alignment horizontal="right" vertical="center"/>
      <protection hidden="1"/>
    </xf>
    <xf numFmtId="178" fontId="0" fillId="0" borderId="0" xfId="0" applyFill="1" applyBorder="1" applyAlignment="1" applyProtection="1">
      <protection hidden="1"/>
    </xf>
    <xf numFmtId="178" fontId="50" fillId="0" borderId="0" xfId="0" applyFont="1" applyFill="1" applyBorder="1" applyAlignment="1" applyProtection="1">
      <alignment vertical="center" wrapText="1"/>
      <protection hidden="1"/>
    </xf>
    <xf numFmtId="178" fontId="54" fillId="0" borderId="0" xfId="0" applyFont="1" applyFill="1" applyBorder="1" applyAlignment="1" applyProtection="1">
      <alignment horizontal="right" vertical="center" wrapText="1"/>
      <protection hidden="1"/>
    </xf>
    <xf numFmtId="178" fontId="54" fillId="0" borderId="0" xfId="0" applyFont="1" applyFill="1" applyBorder="1" applyAlignment="1" applyProtection="1">
      <alignment vertical="center" wrapText="1"/>
      <protection hidden="1"/>
    </xf>
    <xf numFmtId="164" fontId="46" fillId="0" borderId="0" xfId="0" applyNumberFormat="1" applyFont="1" applyFill="1" applyBorder="1" applyAlignment="1" applyProtection="1">
      <alignment vertical="top"/>
      <protection hidden="1"/>
    </xf>
    <xf numFmtId="178" fontId="46" fillId="0" borderId="0" xfId="0" applyFont="1" applyFill="1" applyBorder="1" applyAlignment="1" applyProtection="1">
      <alignment horizontal="right"/>
      <protection hidden="1"/>
    </xf>
    <xf numFmtId="178" fontId="22" fillId="0" borderId="0" xfId="0" applyFont="1" applyFill="1" applyBorder="1" applyAlignment="1" applyProtection="1">
      <alignment horizontal="left"/>
      <protection hidden="1"/>
    </xf>
    <xf numFmtId="178" fontId="46" fillId="0" borderId="0" xfId="0" applyFont="1" applyFill="1" applyBorder="1" applyAlignment="1" applyProtection="1">
      <alignment horizontal="left"/>
      <protection hidden="1"/>
    </xf>
    <xf numFmtId="178" fontId="0" fillId="0" borderId="0" xfId="0" applyFill="1" applyBorder="1" applyAlignment="1" applyProtection="1">
      <alignment horizontal="center"/>
      <protection hidden="1"/>
    </xf>
    <xf numFmtId="178" fontId="70" fillId="0" borderId="0" xfId="0" applyFont="1" applyFill="1" applyBorder="1" applyAlignment="1" applyProtection="1">
      <alignment horizontal="center" vertical="center"/>
      <protection hidden="1"/>
    </xf>
    <xf numFmtId="178" fontId="0" fillId="0" borderId="0" xfId="0" applyFill="1" applyBorder="1" applyProtection="1">
      <protection hidden="1"/>
    </xf>
    <xf numFmtId="178" fontId="22" fillId="0" borderId="0" xfId="0" applyFont="1" applyFill="1" applyBorder="1" applyAlignment="1" applyProtection="1">
      <alignment horizontal="center"/>
      <protection hidden="1"/>
    </xf>
    <xf numFmtId="178" fontId="71" fillId="0" borderId="0" xfId="0" applyFont="1" applyFill="1" applyBorder="1" applyAlignment="1" applyProtection="1">
      <protection hidden="1"/>
    </xf>
    <xf numFmtId="1" fontId="0" fillId="0" borderId="0" xfId="0" applyNumberFormat="1" applyFill="1" applyBorder="1" applyAlignment="1" applyProtection="1">
      <protection hidden="1"/>
    </xf>
    <xf numFmtId="1" fontId="71" fillId="0" borderId="0" xfId="0" applyNumberFormat="1" applyFont="1" applyFill="1" applyBorder="1" applyAlignment="1" applyProtection="1">
      <alignment vertical="center"/>
      <protection hidden="1"/>
    </xf>
    <xf numFmtId="1" fontId="71" fillId="0" borderId="0" xfId="0" applyNumberFormat="1" applyFont="1" applyFill="1" applyBorder="1" applyAlignment="1" applyProtection="1">
      <protection hidden="1"/>
    </xf>
    <xf numFmtId="178" fontId="0" fillId="0" borderId="0" xfId="0" applyFill="1" applyBorder="1" applyAlignment="1"/>
    <xf numFmtId="197" fontId="24" fillId="0" borderId="0" xfId="0" applyNumberFormat="1" applyFont="1" applyFill="1" applyBorder="1" applyAlignment="1" applyProtection="1">
      <alignment vertical="center"/>
      <protection hidden="1"/>
    </xf>
    <xf numFmtId="178" fontId="5" fillId="0" borderId="0" xfId="0" applyFont="1" applyFill="1" applyBorder="1" applyAlignment="1" applyProtection="1">
      <alignment vertical="center"/>
      <protection hidden="1"/>
    </xf>
    <xf numFmtId="178" fontId="22" fillId="0" borderId="0" xfId="0" applyFont="1" applyFill="1" applyBorder="1" applyAlignment="1" applyProtection="1">
      <alignment vertical="center"/>
      <protection hidden="1"/>
    </xf>
    <xf numFmtId="179" fontId="5" fillId="0" borderId="0" xfId="0" applyNumberFormat="1" applyFont="1" applyFill="1" applyBorder="1" applyAlignment="1" applyProtection="1">
      <alignment vertical="center"/>
      <protection hidden="1"/>
    </xf>
    <xf numFmtId="179" fontId="15" fillId="0" borderId="0" xfId="0" applyNumberFormat="1" applyFont="1" applyFill="1" applyBorder="1" applyAlignment="1" applyProtection="1">
      <alignment vertical="center"/>
      <protection hidden="1"/>
    </xf>
    <xf numFmtId="189" fontId="5" fillId="0" borderId="0" xfId="0" applyNumberFormat="1" applyFont="1" applyFill="1" applyBorder="1" applyAlignment="1" applyProtection="1">
      <alignment vertical="center"/>
      <protection hidden="1"/>
    </xf>
    <xf numFmtId="178" fontId="49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wrapText="1"/>
      <protection hidden="1"/>
    </xf>
    <xf numFmtId="178" fontId="49" fillId="0" borderId="0" xfId="0" applyFont="1" applyFill="1" applyBorder="1" applyAlignment="1" applyProtection="1">
      <protection hidden="1"/>
    </xf>
    <xf numFmtId="178" fontId="54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vertical="center" wrapText="1"/>
      <protection hidden="1"/>
    </xf>
    <xf numFmtId="178" fontId="67" fillId="0" borderId="0" xfId="0" applyFont="1" applyFill="1" applyBorder="1" applyAlignment="1" applyProtection="1">
      <alignment vertical="top"/>
      <protection hidden="1"/>
    </xf>
    <xf numFmtId="178" fontId="71" fillId="0" borderId="0" xfId="0" applyFont="1" applyFill="1" applyBorder="1" applyAlignment="1" applyProtection="1">
      <alignment vertical="top" wrapText="1"/>
      <protection hidden="1"/>
    </xf>
    <xf numFmtId="178" fontId="134" fillId="0" borderId="0" xfId="0" applyFont="1" applyFill="1" applyBorder="1" applyAlignment="1" applyProtection="1">
      <alignment vertical="center" wrapText="1"/>
      <protection hidden="1"/>
    </xf>
    <xf numFmtId="1" fontId="54" fillId="0" borderId="0" xfId="0" applyNumberFormat="1" applyFont="1" applyFill="1" applyBorder="1" applyAlignment="1" applyProtection="1">
      <alignment vertical="center"/>
      <protection hidden="1"/>
    </xf>
    <xf numFmtId="178" fontId="71" fillId="0" borderId="0" xfId="0" applyFont="1" applyFill="1" applyBorder="1" applyAlignment="1" applyProtection="1">
      <alignment vertical="center"/>
      <protection hidden="1"/>
    </xf>
    <xf numFmtId="183" fontId="67" fillId="0" borderId="0" xfId="0" applyNumberFormat="1" applyFont="1" applyFill="1" applyBorder="1" applyAlignment="1" applyProtection="1">
      <alignment vertical="center"/>
      <protection hidden="1"/>
    </xf>
    <xf numFmtId="178" fontId="134" fillId="0" borderId="0" xfId="0" applyFont="1" applyFill="1" applyBorder="1" applyAlignment="1" applyProtection="1">
      <alignment vertical="center"/>
      <protection hidden="1"/>
    </xf>
    <xf numFmtId="164" fontId="72" fillId="0" borderId="0" xfId="0" applyNumberFormat="1" applyFont="1" applyFill="1" applyBorder="1" applyAlignment="1" applyProtection="1">
      <alignment vertical="top"/>
      <protection hidden="1"/>
    </xf>
    <xf numFmtId="178" fontId="71" fillId="0" borderId="0" xfId="0" applyFont="1" applyFill="1" applyBorder="1" applyAlignment="1" applyProtection="1">
      <alignment wrapText="1"/>
      <protection hidden="1"/>
    </xf>
    <xf numFmtId="178" fontId="136" fillId="0" borderId="0" xfId="0" applyFont="1" applyFill="1" applyBorder="1" applyAlignment="1" applyProtection="1">
      <alignment vertical="center"/>
      <protection hidden="1"/>
    </xf>
    <xf numFmtId="183" fontId="137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quotePrefix="1" applyNumberFormat="1" applyFont="1" applyFill="1" applyBorder="1" applyAlignment="1" applyProtection="1">
      <alignment vertical="center" wrapText="1"/>
      <protection hidden="1"/>
    </xf>
    <xf numFmtId="164" fontId="62" fillId="0" borderId="0" xfId="0" applyNumberFormat="1" applyFont="1" applyFill="1" applyBorder="1" applyAlignment="1" applyProtection="1">
      <alignment vertical="center"/>
      <protection locked="0" hidden="1"/>
    </xf>
    <xf numFmtId="178" fontId="118" fillId="0" borderId="0" xfId="1" applyFont="1" applyFill="1" applyBorder="1" applyAlignment="1" applyProtection="1">
      <alignment vertical="top" wrapText="1"/>
      <protection locked="0" hidden="1"/>
    </xf>
    <xf numFmtId="171" fontId="137" fillId="0" borderId="0" xfId="0" applyNumberFormat="1" applyFont="1" applyFill="1" applyBorder="1" applyAlignment="1" applyProtection="1">
      <alignment vertical="center"/>
      <protection hidden="1"/>
    </xf>
    <xf numFmtId="171" fontId="67" fillId="0" borderId="0" xfId="0" applyNumberFormat="1" applyFont="1" applyFill="1" applyBorder="1" applyAlignment="1" applyProtection="1">
      <alignment vertical="top"/>
      <protection hidden="1"/>
    </xf>
    <xf numFmtId="178" fontId="22" fillId="0" borderId="0" xfId="0" applyFont="1" applyFill="1" applyBorder="1" applyAlignment="1" applyProtection="1">
      <alignment wrapText="1"/>
      <protection hidden="1"/>
    </xf>
    <xf numFmtId="178" fontId="164" fillId="0" borderId="0" xfId="0" applyFont="1" applyFill="1" applyBorder="1" applyAlignment="1"/>
    <xf numFmtId="171" fontId="72" fillId="0" borderId="0" xfId="0" applyNumberFormat="1" applyFont="1" applyFill="1" applyBorder="1" applyAlignment="1" applyProtection="1">
      <alignment vertical="center" wrapText="1"/>
      <protection locked="0" hidden="1"/>
    </xf>
    <xf numFmtId="178" fontId="72" fillId="0" borderId="0" xfId="0" applyFont="1" applyFill="1" applyBorder="1" applyAlignment="1" applyProtection="1">
      <alignment vertical="top" wrapText="1"/>
      <protection hidden="1"/>
    </xf>
    <xf numFmtId="178" fontId="119" fillId="0" borderId="0" xfId="1" applyFont="1" applyFill="1" applyBorder="1" applyAlignment="1" applyProtection="1">
      <alignment vertical="center" wrapText="1"/>
      <protection locked="0" hidden="1"/>
    </xf>
    <xf numFmtId="178" fontId="24" fillId="0" borderId="0" xfId="0" applyFont="1" applyFill="1" applyBorder="1" applyAlignment="1" applyProtection="1">
      <alignment vertical="center" wrapText="1"/>
      <protection hidden="1"/>
    </xf>
    <xf numFmtId="178" fontId="24" fillId="0" borderId="0" xfId="0" applyFont="1" applyFill="1" applyBorder="1" applyAlignment="1" applyProtection="1">
      <alignment vertical="center"/>
      <protection hidden="1"/>
    </xf>
    <xf numFmtId="178" fontId="61" fillId="0" borderId="0" xfId="0" applyFont="1" applyFill="1" applyBorder="1" applyAlignment="1" applyProtection="1">
      <alignment vertical="center"/>
      <protection hidden="1"/>
    </xf>
    <xf numFmtId="178" fontId="85" fillId="0" borderId="0" xfId="0" applyFont="1" applyFill="1" applyBorder="1" applyAlignment="1" applyProtection="1">
      <alignment vertical="center" wrapText="1"/>
      <protection hidden="1"/>
    </xf>
    <xf numFmtId="178" fontId="62" fillId="0" borderId="0" xfId="0" applyFont="1" applyFill="1" applyBorder="1" applyAlignment="1" applyProtection="1">
      <alignment vertical="center" wrapText="1"/>
      <protection hidden="1"/>
    </xf>
    <xf numFmtId="1" fontId="67" fillId="0" borderId="0" xfId="0" applyNumberFormat="1" applyFont="1" applyFill="1" applyBorder="1" applyAlignment="1" applyProtection="1">
      <alignment vertical="center"/>
      <protection hidden="1"/>
    </xf>
    <xf numFmtId="178" fontId="78" fillId="0" borderId="0" xfId="0" applyFont="1" applyFill="1" applyBorder="1" applyAlignment="1" applyProtection="1">
      <alignment vertical="center" wrapText="1"/>
      <protection hidden="1"/>
    </xf>
    <xf numFmtId="186" fontId="22" fillId="0" borderId="0" xfId="0" applyNumberFormat="1" applyFont="1" applyFill="1" applyBorder="1" applyAlignment="1" applyProtection="1">
      <alignment vertical="center"/>
      <protection hidden="1"/>
    </xf>
    <xf numFmtId="166" fontId="55" fillId="0" borderId="0" xfId="0" applyNumberFormat="1" applyFont="1" applyFill="1" applyBorder="1" applyAlignment="1" applyProtection="1">
      <alignment vertical="center"/>
      <protection hidden="1"/>
    </xf>
    <xf numFmtId="203" fontId="64" fillId="0" borderId="0" xfId="0" applyNumberFormat="1" applyFont="1" applyFill="1" applyBorder="1" applyAlignment="1" applyProtection="1">
      <alignment vertical="center"/>
      <protection hidden="1"/>
    </xf>
    <xf numFmtId="1" fontId="130" fillId="0" borderId="0" xfId="0" applyNumberFormat="1" applyFont="1" applyFill="1" applyBorder="1" applyAlignment="1" applyProtection="1">
      <alignment vertical="center"/>
      <protection hidden="1"/>
    </xf>
    <xf numFmtId="183" fontId="22" fillId="0" borderId="0" xfId="0" applyNumberFormat="1" applyFont="1" applyFill="1" applyBorder="1" applyAlignment="1" applyProtection="1">
      <protection hidden="1"/>
    </xf>
    <xf numFmtId="184" fontId="55" fillId="0" borderId="0" xfId="0" applyNumberFormat="1" applyFont="1" applyFill="1" applyBorder="1" applyAlignment="1" applyProtection="1">
      <protection hidden="1"/>
    </xf>
    <xf numFmtId="186" fontId="46" fillId="0" borderId="0" xfId="0" applyNumberFormat="1" applyFont="1" applyFill="1" applyBorder="1" applyAlignment="1" applyProtection="1">
      <protection hidden="1"/>
    </xf>
    <xf numFmtId="166" fontId="59" fillId="0" borderId="0" xfId="0" applyNumberFormat="1" applyFont="1" applyFill="1" applyBorder="1" applyAlignment="1" applyProtection="1">
      <protection hidden="1"/>
    </xf>
    <xf numFmtId="166" fontId="46" fillId="0" borderId="0" xfId="0" applyNumberFormat="1" applyFont="1" applyFill="1" applyBorder="1" applyAlignment="1" applyProtection="1">
      <protection hidden="1"/>
    </xf>
    <xf numFmtId="9" fontId="46" fillId="0" borderId="0" xfId="0" applyNumberFormat="1" applyFont="1" applyFill="1" applyBorder="1" applyAlignment="1" applyProtection="1">
      <protection hidden="1"/>
    </xf>
    <xf numFmtId="176" fontId="46" fillId="0" borderId="0" xfId="0" quotePrefix="1" applyNumberFormat="1" applyFont="1" applyFill="1" applyBorder="1" applyAlignment="1" applyProtection="1">
      <alignment vertical="center"/>
      <protection hidden="1"/>
    </xf>
    <xf numFmtId="181" fontId="46" fillId="0" borderId="0" xfId="0" applyNumberFormat="1" applyFont="1" applyFill="1" applyBorder="1" applyAlignment="1" applyProtection="1">
      <protection hidden="1"/>
    </xf>
    <xf numFmtId="187" fontId="46" fillId="0" borderId="0" xfId="0" applyNumberFormat="1" applyFont="1" applyFill="1" applyBorder="1" applyAlignment="1" applyProtection="1">
      <protection hidden="1"/>
    </xf>
    <xf numFmtId="178" fontId="61" fillId="0" borderId="0" xfId="0" applyFont="1" applyFill="1" applyBorder="1" applyAlignment="1" applyProtection="1">
      <protection hidden="1"/>
    </xf>
    <xf numFmtId="186" fontId="67" fillId="0" borderId="0" xfId="0" applyNumberFormat="1" applyFont="1" applyFill="1" applyBorder="1" applyAlignment="1" applyProtection="1">
      <protection hidden="1"/>
    </xf>
    <xf numFmtId="166" fontId="55" fillId="0" borderId="0" xfId="0" applyNumberFormat="1" applyFont="1" applyFill="1" applyBorder="1" applyAlignment="1" applyProtection="1">
      <protection hidden="1"/>
    </xf>
    <xf numFmtId="194" fontId="22" fillId="0" borderId="0" xfId="0" applyNumberFormat="1" applyFont="1" applyFill="1" applyBorder="1" applyAlignment="1" applyProtection="1">
      <protection hidden="1"/>
    </xf>
    <xf numFmtId="181" fontId="22" fillId="0" borderId="0" xfId="0" applyNumberFormat="1" applyFont="1" applyFill="1" applyBorder="1" applyAlignment="1" applyProtection="1">
      <protection hidden="1"/>
    </xf>
    <xf numFmtId="9" fontId="61" fillId="0" borderId="0" xfId="0" applyNumberFormat="1" applyFont="1" applyFill="1" applyBorder="1" applyAlignment="1" applyProtection="1">
      <alignment vertical="top"/>
      <protection hidden="1"/>
    </xf>
    <xf numFmtId="9" fontId="22" fillId="0" borderId="0" xfId="0" applyNumberFormat="1" applyFont="1" applyFill="1" applyBorder="1" applyAlignment="1" applyProtection="1">
      <protection hidden="1"/>
    </xf>
    <xf numFmtId="176" fontId="59" fillId="0" borderId="0" xfId="0" applyNumberFormat="1" applyFont="1" applyFill="1" applyBorder="1" applyAlignment="1" applyProtection="1">
      <protection hidden="1"/>
    </xf>
    <xf numFmtId="178" fontId="22" fillId="0" borderId="0" xfId="0" applyFont="1" applyFill="1" applyBorder="1" applyAlignment="1" applyProtection="1">
      <protection hidden="1"/>
    </xf>
    <xf numFmtId="1" fontId="61" fillId="0" borderId="0" xfId="0" applyNumberFormat="1" applyFont="1" applyFill="1" applyBorder="1" applyAlignment="1" applyProtection="1">
      <protection hidden="1"/>
    </xf>
    <xf numFmtId="166" fontId="22" fillId="0" borderId="0" xfId="0" applyNumberFormat="1" applyFont="1" applyFill="1" applyBorder="1" applyAlignment="1" applyProtection="1">
      <alignment vertical="center"/>
      <protection hidden="1"/>
    </xf>
    <xf numFmtId="1" fontId="49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applyNumberFormat="1" applyFont="1" applyFill="1" applyBorder="1" applyAlignment="1" applyProtection="1">
      <alignment vertical="center"/>
      <protection hidden="1"/>
    </xf>
    <xf numFmtId="182" fontId="71" fillId="0" borderId="0" xfId="0" applyNumberFormat="1" applyFont="1" applyFill="1" applyBorder="1" applyAlignment="1" applyProtection="1">
      <alignment vertical="center"/>
      <protection hidden="1"/>
    </xf>
    <xf numFmtId="1" fontId="48" fillId="0" borderId="0" xfId="0" applyNumberFormat="1" applyFont="1" applyFill="1" applyBorder="1" applyAlignment="1" applyProtection="1">
      <protection hidden="1"/>
    </xf>
    <xf numFmtId="198" fontId="47" fillId="0" borderId="0" xfId="0" applyNumberFormat="1" applyFont="1" applyFill="1" applyBorder="1" applyAlignment="1" applyProtection="1">
      <protection hidden="1"/>
    </xf>
    <xf numFmtId="178" fontId="48" fillId="0" borderId="0" xfId="0" applyFont="1" applyFill="1" applyBorder="1" applyAlignment="1" applyProtection="1">
      <protection hidden="1"/>
    </xf>
    <xf numFmtId="178" fontId="46" fillId="0" borderId="0" xfId="0" applyFont="1" applyFill="1" applyBorder="1" applyAlignment="1" applyProtection="1">
      <protection hidden="1"/>
    </xf>
    <xf numFmtId="1" fontId="22" fillId="0" borderId="0" xfId="0" applyNumberFormat="1" applyFont="1" applyFill="1" applyBorder="1" applyAlignment="1" applyProtection="1">
      <protection hidden="1"/>
    </xf>
    <xf numFmtId="165" fontId="22" fillId="0" borderId="0" xfId="0" applyNumberFormat="1" applyFont="1" applyFill="1" applyBorder="1" applyAlignment="1" applyProtection="1">
      <protection hidden="1"/>
    </xf>
    <xf numFmtId="165" fontId="46" fillId="0" borderId="0" xfId="0" applyNumberFormat="1" applyFont="1" applyFill="1" applyBorder="1" applyAlignment="1" applyProtection="1">
      <protection hidden="1"/>
    </xf>
    <xf numFmtId="178" fontId="46" fillId="0" borderId="0" xfId="0" applyFont="1" applyFill="1" applyBorder="1" applyAlignment="1" applyProtection="1">
      <alignment horizontal="left" vertical="center"/>
      <protection hidden="1"/>
    </xf>
    <xf numFmtId="178" fontId="181" fillId="0" borderId="0" xfId="0" applyFont="1" applyFill="1" applyBorder="1" applyAlignment="1" applyProtection="1">
      <alignment horizontal="left" vertical="center"/>
      <protection hidden="1"/>
    </xf>
    <xf numFmtId="178" fontId="181" fillId="0" borderId="0" xfId="0" applyFont="1" applyFill="1" applyBorder="1" applyAlignment="1" applyProtection="1">
      <alignment horizontal="right" vertical="center"/>
      <protection hidden="1"/>
    </xf>
    <xf numFmtId="1" fontId="85" fillId="0" borderId="0" xfId="0" applyNumberFormat="1" applyFont="1" applyFill="1" applyBorder="1" applyAlignment="1" applyProtection="1">
      <alignment horizontal="left" vertical="center"/>
      <protection hidden="1"/>
    </xf>
    <xf numFmtId="178" fontId="85" fillId="0" borderId="0" xfId="0" applyFont="1" applyFill="1" applyBorder="1" applyAlignment="1" applyProtection="1">
      <alignment vertical="center"/>
      <protection hidden="1"/>
    </xf>
    <xf numFmtId="168" fontId="71" fillId="0" borderId="0" xfId="0" applyNumberFormat="1" applyFont="1" applyFill="1" applyBorder="1" applyAlignment="1" applyProtection="1">
      <alignment vertical="center"/>
      <protection hidden="1"/>
    </xf>
    <xf numFmtId="178" fontId="14" fillId="0" borderId="0" xfId="0" applyFont="1" applyFill="1" applyBorder="1" applyAlignment="1" applyProtection="1">
      <protection hidden="1"/>
    </xf>
    <xf numFmtId="168" fontId="178" fillId="0" borderId="0" xfId="0" applyNumberFormat="1" applyFont="1" applyFill="1" applyBorder="1" applyAlignment="1" applyProtection="1">
      <alignment vertical="center"/>
      <protection hidden="1"/>
    </xf>
    <xf numFmtId="1" fontId="181" fillId="0" borderId="0" xfId="0" applyNumberFormat="1" applyFont="1" applyFill="1" applyBorder="1" applyAlignment="1" applyProtection="1">
      <alignment horizontal="right" vertical="center"/>
      <protection hidden="1"/>
    </xf>
    <xf numFmtId="178" fontId="46" fillId="0" borderId="89" xfId="0" applyFont="1" applyBorder="1" applyAlignment="1" applyProtection="1">
      <protection hidden="1"/>
    </xf>
    <xf numFmtId="1" fontId="54" fillId="0" borderId="90" xfId="0" applyNumberFormat="1" applyFont="1" applyBorder="1" applyAlignment="1" applyProtection="1">
      <protection hidden="1"/>
    </xf>
    <xf numFmtId="1" fontId="14" fillId="0" borderId="89" xfId="0" applyNumberFormat="1" applyFont="1" applyBorder="1" applyAlignment="1" applyProtection="1">
      <alignment horizontal="right"/>
      <protection hidden="1"/>
    </xf>
    <xf numFmtId="178" fontId="22" fillId="0" borderId="0" xfId="0" applyFont="1" applyBorder="1" applyAlignment="1" applyProtection="1">
      <protection hidden="1"/>
    </xf>
    <xf numFmtId="178" fontId="22" fillId="34" borderId="0" xfId="0" applyFont="1" applyFill="1" applyBorder="1" applyAlignment="1" applyProtection="1">
      <alignment horizontal="left" vertical="center"/>
      <protection hidden="1"/>
    </xf>
    <xf numFmtId="2" fontId="7" fillId="0" borderId="0" xfId="0" applyNumberFormat="1" applyFont="1" applyProtection="1">
      <protection hidden="1"/>
    </xf>
    <xf numFmtId="2" fontId="182" fillId="0" borderId="0" xfId="0" applyNumberFormat="1" applyFont="1" applyProtection="1">
      <protection hidden="1"/>
    </xf>
    <xf numFmtId="2" fontId="22" fillId="0" borderId="0" xfId="0" applyNumberFormat="1" applyFont="1" applyFill="1" applyBorder="1" applyAlignment="1" applyProtection="1">
      <alignment horizontal="left" vertical="center"/>
      <protection hidden="1"/>
    </xf>
    <xf numFmtId="2" fontId="182" fillId="0" borderId="0" xfId="0" applyNumberFormat="1" applyFont="1" applyAlignment="1" applyProtection="1">
      <alignment vertical="center"/>
      <protection hidden="1"/>
    </xf>
    <xf numFmtId="2" fontId="182" fillId="0" borderId="0" xfId="0" applyNumberFormat="1" applyFont="1" applyAlignment="1" applyProtection="1">
      <protection hidden="1"/>
    </xf>
    <xf numFmtId="2" fontId="182" fillId="0" borderId="0" xfId="0" applyNumberFormat="1" applyFont="1" applyFill="1" applyAlignment="1" applyProtection="1">
      <alignment vertical="center"/>
      <protection hidden="1"/>
    </xf>
    <xf numFmtId="2" fontId="54" fillId="0" borderId="0" xfId="0" applyNumberFormat="1" applyFont="1" applyFill="1" applyBorder="1" applyAlignment="1" applyProtection="1">
      <alignment vertical="center"/>
      <protection hidden="1"/>
    </xf>
    <xf numFmtId="2" fontId="78" fillId="0" borderId="0" xfId="0" applyNumberFormat="1" applyFont="1" applyFill="1" applyBorder="1" applyAlignment="1" applyProtection="1">
      <alignment vertical="center"/>
      <protection hidden="1"/>
    </xf>
    <xf numFmtId="2" fontId="184" fillId="0" borderId="0" xfId="0" applyNumberFormat="1" applyFont="1" applyFill="1" applyBorder="1" applyAlignment="1" applyProtection="1">
      <alignment vertical="center"/>
      <protection hidden="1"/>
    </xf>
    <xf numFmtId="2" fontId="76" fillId="0" borderId="0" xfId="0" applyNumberFormat="1" applyFont="1" applyFill="1" applyBorder="1" applyAlignment="1" applyProtection="1">
      <alignment vertical="center"/>
      <protection hidden="1"/>
    </xf>
    <xf numFmtId="2" fontId="54" fillId="0" borderId="0" xfId="0" applyNumberFormat="1" applyFont="1" applyFill="1" applyBorder="1" applyAlignment="1" applyProtection="1">
      <alignment horizontal="left" vertical="center"/>
      <protection hidden="1"/>
    </xf>
    <xf numFmtId="2" fontId="44" fillId="0" borderId="0" xfId="0" applyNumberFormat="1" applyFont="1" applyFill="1" applyBorder="1" applyAlignment="1">
      <alignment vertical="center"/>
    </xf>
    <xf numFmtId="2" fontId="183" fillId="0" borderId="0" xfId="0" applyNumberFormat="1" applyFont="1" applyFill="1" applyBorder="1" applyAlignment="1" applyProtection="1">
      <alignment vertical="center"/>
      <protection hidden="1"/>
    </xf>
    <xf numFmtId="2" fontId="183" fillId="0" borderId="0" xfId="0" applyNumberFormat="1" applyFont="1" applyFill="1" applyBorder="1" applyAlignment="1" applyProtection="1">
      <alignment vertical="center" wrapText="1"/>
      <protection hidden="1"/>
    </xf>
    <xf numFmtId="2" fontId="44" fillId="0" borderId="0" xfId="0" applyNumberFormat="1" applyFont="1" applyFill="1" applyBorder="1" applyProtection="1">
      <protection hidden="1"/>
    </xf>
    <xf numFmtId="2" fontId="44" fillId="0" borderId="0" xfId="0" applyNumberFormat="1" applyFont="1" applyFill="1" applyBorder="1" applyAlignment="1" applyProtection="1">
      <alignment vertical="center"/>
      <protection hidden="1"/>
    </xf>
    <xf numFmtId="2" fontId="11" fillId="0" borderId="0" xfId="0" applyNumberFormat="1" applyFont="1" applyFill="1" applyBorder="1" applyAlignment="1" applyProtection="1">
      <alignment vertical="center"/>
      <protection hidden="1"/>
    </xf>
    <xf numFmtId="178" fontId="11" fillId="0" borderId="0" xfId="0" applyFont="1" applyFill="1" applyBorder="1" applyAlignment="1" applyProtection="1">
      <alignment vertical="center"/>
      <protection hidden="1"/>
    </xf>
    <xf numFmtId="178" fontId="22" fillId="0" borderId="0" xfId="0" applyFont="1" applyFill="1" applyBorder="1" applyAlignment="1" applyProtection="1">
      <alignment horizontal="right" vertical="center"/>
      <protection hidden="1"/>
    </xf>
    <xf numFmtId="178" fontId="22" fillId="0" borderId="0" xfId="0" applyFont="1" applyFill="1" applyBorder="1" applyAlignment="1" applyProtection="1">
      <alignment horizontal="left" vertical="center"/>
      <protection hidden="1"/>
    </xf>
    <xf numFmtId="178" fontId="22" fillId="0" borderId="0" xfId="0" applyFont="1" applyFill="1" applyBorder="1" applyAlignment="1" applyProtection="1">
      <alignment horizontal="center" vertical="center"/>
      <protection hidden="1"/>
    </xf>
    <xf numFmtId="178" fontId="22" fillId="34" borderId="6" xfId="0" applyFont="1" applyFill="1" applyBorder="1" applyAlignment="1" applyProtection="1">
      <alignment horizontal="right" vertical="center"/>
      <protection hidden="1"/>
    </xf>
    <xf numFmtId="178" fontId="22" fillId="34" borderId="0" xfId="0" applyFont="1" applyFill="1" applyBorder="1" applyAlignment="1" applyProtection="1">
      <alignment horizontal="right" vertical="center"/>
      <protection hidden="1"/>
    </xf>
    <xf numFmtId="178" fontId="47" fillId="0" borderId="0" xfId="0" applyFont="1" applyFill="1" applyBorder="1" applyAlignment="1" applyProtection="1">
      <alignment vertical="center"/>
      <protection hidden="1"/>
    </xf>
    <xf numFmtId="178" fontId="47" fillId="0" borderId="0" xfId="0" applyFont="1" applyFill="1" applyBorder="1" applyAlignment="1" applyProtection="1">
      <alignment horizontal="right" vertical="center"/>
      <protection hidden="1"/>
    </xf>
    <xf numFmtId="178" fontId="47" fillId="0" borderId="0" xfId="0" applyFont="1" applyFill="1" applyBorder="1" applyAlignment="1" applyProtection="1">
      <alignment horizontal="left" vertical="center"/>
      <protection hidden="1"/>
    </xf>
    <xf numFmtId="2" fontId="47" fillId="0" borderId="0" xfId="1" applyNumberFormat="1" applyFont="1" applyFill="1" applyBorder="1" applyAlignment="1" applyProtection="1">
      <alignment vertical="center"/>
      <protection hidden="1"/>
    </xf>
    <xf numFmtId="178" fontId="47" fillId="0" borderId="0" xfId="1" applyFont="1" applyFill="1" applyBorder="1" applyAlignment="1" applyProtection="1">
      <alignment vertical="center"/>
      <protection hidden="1"/>
    </xf>
    <xf numFmtId="178" fontId="185" fillId="0" borderId="0" xfId="1" applyFont="1" applyFill="1" applyBorder="1" applyAlignment="1" applyProtection="1">
      <alignment vertical="center"/>
      <protection locked="0" hidden="1"/>
    </xf>
    <xf numFmtId="178" fontId="24" fillId="0" borderId="0" xfId="0" applyFont="1" applyFill="1" applyBorder="1" applyProtection="1">
      <protection hidden="1"/>
    </xf>
    <xf numFmtId="2" fontId="24" fillId="0" borderId="0" xfId="0" applyNumberFormat="1" applyFont="1" applyFill="1" applyBorder="1" applyProtection="1">
      <protection hidden="1"/>
    </xf>
    <xf numFmtId="178" fontId="13" fillId="0" borderId="16" xfId="0" applyFont="1" applyBorder="1" applyProtection="1">
      <protection hidden="1"/>
    </xf>
    <xf numFmtId="178" fontId="13" fillId="0" borderId="17" xfId="0" applyFont="1" applyBorder="1" applyProtection="1">
      <protection hidden="1"/>
    </xf>
    <xf numFmtId="178" fontId="13" fillId="0" borderId="18" xfId="0" applyFont="1" applyBorder="1" applyProtection="1">
      <protection hidden="1"/>
    </xf>
    <xf numFmtId="178" fontId="13" fillId="0" borderId="6" xfId="0" applyFont="1" applyBorder="1" applyProtection="1">
      <protection hidden="1"/>
    </xf>
    <xf numFmtId="178" fontId="13" fillId="0" borderId="6" xfId="0" applyFont="1" applyBorder="1" applyAlignment="1" applyProtection="1">
      <alignment vertical="center"/>
      <protection hidden="1"/>
    </xf>
    <xf numFmtId="178" fontId="13" fillId="0" borderId="5" xfId="0" applyFont="1" applyBorder="1" applyAlignment="1" applyProtection="1">
      <alignment vertical="center"/>
      <protection hidden="1"/>
    </xf>
    <xf numFmtId="178" fontId="13" fillId="0" borderId="6" xfId="0" applyFont="1" applyBorder="1" applyAlignment="1" applyProtection="1">
      <protection hidden="1"/>
    </xf>
    <xf numFmtId="178" fontId="13" fillId="0" borderId="5" xfId="0" applyFont="1" applyBorder="1" applyAlignment="1" applyProtection="1">
      <protection hidden="1"/>
    </xf>
    <xf numFmtId="178" fontId="13" fillId="0" borderId="11" xfId="0" applyFont="1" applyBorder="1" applyProtection="1">
      <protection hidden="1"/>
    </xf>
    <xf numFmtId="178" fontId="13" fillId="0" borderId="12" xfId="0" applyFont="1" applyFill="1" applyBorder="1" applyProtection="1">
      <protection hidden="1"/>
    </xf>
    <xf numFmtId="178" fontId="13" fillId="0" borderId="13" xfId="0" applyFont="1" applyFill="1" applyBorder="1" applyProtection="1">
      <protection hidden="1"/>
    </xf>
    <xf numFmtId="178" fontId="23" fillId="0" borderId="0" xfId="0" applyFont="1" applyFill="1" applyBorder="1" applyProtection="1">
      <protection hidden="1"/>
    </xf>
    <xf numFmtId="178" fontId="23" fillId="0" borderId="52" xfId="0" applyFont="1" applyFill="1" applyBorder="1" applyProtection="1">
      <protection hidden="1"/>
    </xf>
    <xf numFmtId="178" fontId="194" fillId="0" borderId="0" xfId="0" applyFont="1" applyFill="1" applyBorder="1" applyAlignment="1" applyProtection="1">
      <alignment vertical="center"/>
      <protection hidden="1"/>
    </xf>
    <xf numFmtId="178" fontId="194" fillId="0" borderId="52" xfId="0" applyFont="1" applyFill="1" applyBorder="1" applyAlignment="1" applyProtection="1">
      <alignment vertical="center"/>
      <protection hidden="1"/>
    </xf>
    <xf numFmtId="166" fontId="38" fillId="0" borderId="0" xfId="0" applyNumberFormat="1" applyFont="1" applyFill="1" applyBorder="1" applyAlignment="1" applyProtection="1">
      <alignment horizontal="left" vertical="center" wrapText="1"/>
      <protection hidden="1"/>
    </xf>
    <xf numFmtId="166" fontId="38" fillId="0" borderId="52" xfId="0" applyNumberFormat="1" applyFont="1" applyFill="1" applyBorder="1" applyAlignment="1" applyProtection="1">
      <alignment horizontal="left" vertical="center" wrapText="1"/>
      <protection hidden="1"/>
    </xf>
    <xf numFmtId="183" fontId="9" fillId="67" borderId="0" xfId="0" applyNumberFormat="1" applyFont="1" applyFill="1" applyBorder="1" applyAlignment="1" applyProtection="1">
      <alignment horizontal="left" vertical="center"/>
      <protection hidden="1"/>
    </xf>
    <xf numFmtId="183" fontId="99" fillId="69" borderId="5" xfId="0" applyNumberFormat="1" applyFont="1" applyFill="1" applyBorder="1" applyAlignment="1" applyProtection="1">
      <alignment horizontal="left" vertical="center"/>
      <protection hidden="1"/>
    </xf>
    <xf numFmtId="164" fontId="9" fillId="0" borderId="0" xfId="0" applyNumberFormat="1" applyFont="1" applyFill="1" applyBorder="1" applyAlignment="1" applyProtection="1">
      <alignment horizontal="left" vertical="center"/>
      <protection hidden="1"/>
    </xf>
    <xf numFmtId="164" fontId="9" fillId="0" borderId="52" xfId="0" applyNumberFormat="1" applyFont="1" applyFill="1" applyBorder="1" applyAlignment="1" applyProtection="1">
      <alignment horizontal="left" vertical="center"/>
      <protection hidden="1"/>
    </xf>
    <xf numFmtId="183" fontId="99" fillId="70" borderId="5" xfId="0" applyNumberFormat="1" applyFont="1" applyFill="1" applyBorder="1" applyAlignment="1" applyProtection="1">
      <alignment horizontal="left" vertical="center"/>
      <protection hidden="1"/>
    </xf>
    <xf numFmtId="178" fontId="10" fillId="0" borderId="0" xfId="0" applyFont="1" applyFill="1" applyBorder="1" applyProtection="1">
      <protection hidden="1"/>
    </xf>
    <xf numFmtId="178" fontId="10" fillId="0" borderId="52" xfId="0" applyFont="1" applyFill="1" applyBorder="1" applyProtection="1">
      <protection hidden="1"/>
    </xf>
    <xf numFmtId="183" fontId="9" fillId="65" borderId="0" xfId="0" applyNumberFormat="1" applyFont="1" applyFill="1" applyBorder="1" applyAlignment="1" applyProtection="1">
      <alignment horizontal="left" vertical="center"/>
      <protection hidden="1"/>
    </xf>
    <xf numFmtId="183" fontId="9" fillId="66" borderId="0" xfId="0" applyNumberFormat="1" applyFont="1" applyFill="1" applyBorder="1" applyAlignment="1" applyProtection="1">
      <alignment horizontal="left" vertical="center"/>
      <protection hidden="1"/>
    </xf>
    <xf numFmtId="178" fontId="8" fillId="0" borderId="0" xfId="0" applyFont="1" applyFill="1" applyBorder="1" applyAlignment="1" applyProtection="1">
      <alignment horizontal="center" wrapText="1"/>
      <protection hidden="1"/>
    </xf>
    <xf numFmtId="178" fontId="8" fillId="0" borderId="52" xfId="0" applyFont="1" applyFill="1" applyBorder="1" applyAlignment="1" applyProtection="1">
      <alignment horizontal="center" wrapText="1"/>
      <protection hidden="1"/>
    </xf>
    <xf numFmtId="49" fontId="8" fillId="0" borderId="0" xfId="0" applyNumberFormat="1" applyFont="1" applyFill="1" applyBorder="1" applyAlignment="1" applyProtection="1">
      <alignment horizontal="center" wrapText="1"/>
      <protection hidden="1"/>
    </xf>
    <xf numFmtId="49" fontId="8" fillId="0" borderId="52" xfId="0" applyNumberFormat="1" applyFont="1" applyFill="1" applyBorder="1" applyAlignment="1" applyProtection="1">
      <alignment horizontal="center" wrapText="1"/>
      <protection hidden="1"/>
    </xf>
    <xf numFmtId="2" fontId="13" fillId="0" borderId="0" xfId="0" applyNumberFormat="1" applyFont="1" applyProtection="1">
      <protection hidden="1"/>
    </xf>
    <xf numFmtId="178" fontId="108" fillId="22" borderId="46" xfId="0" applyFont="1" applyFill="1" applyBorder="1" applyAlignment="1" applyProtection="1">
      <alignment vertical="center"/>
      <protection hidden="1"/>
    </xf>
    <xf numFmtId="178" fontId="108" fillId="22" borderId="49" xfId="0" applyFont="1" applyFill="1" applyBorder="1" applyAlignment="1" applyProtection="1">
      <alignment vertical="center"/>
      <protection hidden="1"/>
    </xf>
    <xf numFmtId="178" fontId="0" fillId="0" borderId="4" xfId="0" applyFill="1" applyBorder="1" applyProtection="1">
      <protection hidden="1"/>
    </xf>
    <xf numFmtId="178" fontId="0" fillId="0" borderId="5" xfId="0" applyFill="1" applyBorder="1" applyProtection="1">
      <protection hidden="1"/>
    </xf>
    <xf numFmtId="1" fontId="69" fillId="16" borderId="67" xfId="0" applyNumberFormat="1" applyFont="1" applyFill="1" applyBorder="1" applyAlignment="1" applyProtection="1">
      <alignment vertical="center"/>
      <protection hidden="1"/>
    </xf>
    <xf numFmtId="1" fontId="22" fillId="16" borderId="67" xfId="0" applyNumberFormat="1" applyFont="1" applyFill="1" applyBorder="1" applyAlignment="1" applyProtection="1">
      <alignment vertical="center"/>
      <protection hidden="1"/>
    </xf>
    <xf numFmtId="1" fontId="22" fillId="16" borderId="36" xfId="0" applyNumberFormat="1" applyFont="1" applyFill="1" applyBorder="1" applyAlignment="1" applyProtection="1">
      <alignment vertical="center"/>
      <protection hidden="1"/>
    </xf>
    <xf numFmtId="178" fontId="67" fillId="34" borderId="0" xfId="0" applyFont="1" applyFill="1" applyBorder="1" applyAlignment="1" applyProtection="1">
      <alignment wrapText="1"/>
      <protection hidden="1"/>
    </xf>
    <xf numFmtId="178" fontId="67" fillId="34" borderId="89" xfId="0" applyFont="1" applyFill="1" applyBorder="1" applyAlignment="1" applyProtection="1">
      <alignment wrapText="1"/>
      <protection hidden="1"/>
    </xf>
    <xf numFmtId="164" fontId="62" fillId="34" borderId="4" xfId="0" applyNumberFormat="1" applyFont="1" applyFill="1" applyBorder="1" applyAlignment="1" applyProtection="1">
      <alignment vertical="center"/>
      <protection hidden="1"/>
    </xf>
    <xf numFmtId="178" fontId="108" fillId="22" borderId="4" xfId="0" applyFont="1" applyFill="1" applyBorder="1" applyAlignment="1" applyProtection="1">
      <alignment vertical="center"/>
      <protection hidden="1"/>
    </xf>
    <xf numFmtId="178" fontId="108" fillId="22" borderId="0" xfId="0" applyFont="1" applyFill="1" applyBorder="1" applyAlignment="1" applyProtection="1">
      <alignment vertical="center"/>
      <protection hidden="1"/>
    </xf>
    <xf numFmtId="178" fontId="108" fillId="22" borderId="89" xfId="0" applyFont="1" applyFill="1" applyBorder="1" applyAlignment="1" applyProtection="1">
      <alignment vertical="center"/>
      <protection hidden="1"/>
    </xf>
    <xf numFmtId="178" fontId="108" fillId="22" borderId="5" xfId="0" applyFont="1" applyFill="1" applyBorder="1" applyAlignment="1" applyProtection="1">
      <alignment vertical="center"/>
      <protection hidden="1"/>
    </xf>
    <xf numFmtId="164" fontId="62" fillId="34" borderId="0" xfId="0" applyNumberFormat="1" applyFont="1" applyFill="1" applyBorder="1" applyAlignment="1" applyProtection="1">
      <alignment vertical="center"/>
      <protection hidden="1"/>
    </xf>
    <xf numFmtId="178" fontId="23" fillId="4" borderId="18" xfId="0" applyFont="1" applyFill="1" applyBorder="1"/>
    <xf numFmtId="178" fontId="23" fillId="5" borderId="18" xfId="0" applyFont="1" applyFill="1" applyBorder="1"/>
    <xf numFmtId="178" fontId="23" fillId="6" borderId="18" xfId="0" applyFont="1" applyFill="1" applyBorder="1"/>
    <xf numFmtId="178" fontId="23" fillId="7" borderId="18" xfId="0" applyFont="1" applyFill="1" applyBorder="1"/>
    <xf numFmtId="178" fontId="23" fillId="30" borderId="18" xfId="0" applyFont="1" applyFill="1" applyBorder="1"/>
    <xf numFmtId="178" fontId="23" fillId="50" borderId="18" xfId="0" applyFont="1" applyFill="1" applyBorder="1"/>
    <xf numFmtId="178" fontId="189" fillId="74" borderId="0" xfId="0" applyFont="1" applyFill="1" applyBorder="1" applyAlignment="1"/>
    <xf numFmtId="178" fontId="188" fillId="74" borderId="0" xfId="0" applyFont="1" applyFill="1" applyBorder="1" applyAlignment="1">
      <alignment vertical="top"/>
    </xf>
    <xf numFmtId="178" fontId="188" fillId="74" borderId="89" xfId="0" applyFont="1" applyFill="1" applyBorder="1" applyAlignment="1">
      <alignment vertical="top"/>
    </xf>
    <xf numFmtId="178" fontId="189" fillId="74" borderId="67" xfId="0" applyFont="1" applyFill="1" applyBorder="1" applyAlignment="1"/>
    <xf numFmtId="178" fontId="188" fillId="74" borderId="67" xfId="0" applyFont="1" applyFill="1" applyBorder="1" applyAlignment="1">
      <alignment vertical="top"/>
    </xf>
    <xf numFmtId="178" fontId="188" fillId="74" borderId="90" xfId="0" applyFont="1" applyFill="1" applyBorder="1" applyAlignment="1">
      <alignment vertical="top"/>
    </xf>
    <xf numFmtId="178" fontId="13" fillId="0" borderId="67" xfId="0" applyFont="1" applyBorder="1" applyProtection="1">
      <protection hidden="1"/>
    </xf>
    <xf numFmtId="178" fontId="22" fillId="0" borderId="46" xfId="0" applyFont="1" applyBorder="1" applyAlignment="1" applyProtection="1">
      <protection hidden="1"/>
    </xf>
    <xf numFmtId="178" fontId="13" fillId="0" borderId="48" xfId="0" applyFont="1" applyBorder="1" applyProtection="1">
      <protection hidden="1"/>
    </xf>
    <xf numFmtId="178" fontId="13" fillId="0" borderId="46" xfId="0" applyFont="1" applyBorder="1" applyProtection="1">
      <protection hidden="1"/>
    </xf>
    <xf numFmtId="178" fontId="13" fillId="0" borderId="49" xfId="0" applyFont="1" applyBorder="1" applyProtection="1">
      <protection hidden="1"/>
    </xf>
    <xf numFmtId="178" fontId="13" fillId="0" borderId="4" xfId="0" applyFont="1" applyBorder="1" applyProtection="1">
      <protection hidden="1"/>
    </xf>
    <xf numFmtId="178" fontId="22" fillId="0" borderId="89" xfId="0" applyFont="1" applyBorder="1" applyAlignment="1" applyProtection="1">
      <protection hidden="1"/>
    </xf>
    <xf numFmtId="178" fontId="44" fillId="0" borderId="89" xfId="0" applyFont="1" applyBorder="1" applyProtection="1">
      <protection hidden="1"/>
    </xf>
    <xf numFmtId="178" fontId="102" fillId="61" borderId="67" xfId="0" applyFont="1" applyFill="1" applyBorder="1" applyAlignment="1" applyProtection="1">
      <alignment vertical="center"/>
      <protection hidden="1"/>
    </xf>
    <xf numFmtId="183" fontId="102" fillId="46" borderId="67" xfId="0" applyNumberFormat="1" applyFont="1" applyFill="1" applyBorder="1" applyAlignment="1" applyProtection="1">
      <alignment vertical="center"/>
      <protection hidden="1"/>
    </xf>
    <xf numFmtId="178" fontId="5" fillId="34" borderId="0" xfId="0" applyFont="1" applyFill="1" applyBorder="1" applyAlignment="1" applyProtection="1">
      <alignment horizontal="right" vertical="center"/>
      <protection hidden="1"/>
    </xf>
    <xf numFmtId="178" fontId="5" fillId="34" borderId="0" xfId="0" applyFont="1" applyFill="1" applyBorder="1" applyAlignment="1" applyProtection="1">
      <alignment horizontal="left" vertical="center"/>
      <protection hidden="1"/>
    </xf>
    <xf numFmtId="178" fontId="5" fillId="34" borderId="40" xfId="0" applyFont="1" applyFill="1" applyBorder="1" applyAlignment="1" applyProtection="1">
      <alignment horizontal="right" vertical="center"/>
      <protection hidden="1"/>
    </xf>
    <xf numFmtId="178" fontId="5" fillId="34" borderId="41" xfId="0" applyFont="1" applyFill="1" applyBorder="1" applyAlignment="1" applyProtection="1">
      <alignment horizontal="left" vertical="center"/>
      <protection hidden="1"/>
    </xf>
    <xf numFmtId="178" fontId="5" fillId="34" borderId="5" xfId="0" applyFont="1" applyFill="1" applyBorder="1" applyAlignment="1" applyProtection="1">
      <alignment horizontal="left" vertical="center"/>
      <protection hidden="1"/>
    </xf>
    <xf numFmtId="178" fontId="186" fillId="16" borderId="15" xfId="0" applyFont="1" applyFill="1" applyBorder="1" applyAlignment="1" applyProtection="1">
      <alignment vertical="center"/>
      <protection hidden="1"/>
    </xf>
    <xf numFmtId="178" fontId="186" fillId="16" borderId="2" xfId="0" applyFont="1" applyFill="1" applyBorder="1" applyAlignment="1" applyProtection="1">
      <alignment vertical="center"/>
      <protection hidden="1"/>
    </xf>
    <xf numFmtId="178" fontId="186" fillId="16" borderId="2" xfId="0" applyFont="1" applyFill="1" applyBorder="1" applyAlignment="1" applyProtection="1">
      <alignment horizontal="right" vertical="center"/>
      <protection hidden="1"/>
    </xf>
    <xf numFmtId="178" fontId="186" fillId="16" borderId="2" xfId="0" applyFont="1" applyFill="1" applyBorder="1" applyAlignment="1" applyProtection="1">
      <alignment horizontal="left" vertical="center"/>
      <protection hidden="1"/>
    </xf>
    <xf numFmtId="178" fontId="200" fillId="16" borderId="2" xfId="1" applyFont="1" applyFill="1" applyBorder="1" applyAlignment="1" applyProtection="1">
      <alignment horizontal="left" vertical="center"/>
      <protection hidden="1"/>
    </xf>
    <xf numFmtId="178" fontId="200" fillId="16" borderId="3" xfId="1" applyFont="1" applyFill="1" applyBorder="1" applyAlignment="1" applyProtection="1">
      <alignment horizontal="left" vertical="center"/>
      <protection hidden="1"/>
    </xf>
    <xf numFmtId="1" fontId="24" fillId="15" borderId="11" xfId="0" applyNumberFormat="1" applyFont="1" applyFill="1" applyBorder="1" applyAlignment="1" applyProtection="1">
      <protection hidden="1"/>
    </xf>
    <xf numFmtId="178" fontId="19" fillId="0" borderId="0" xfId="0" applyFont="1" applyFill="1" applyBorder="1" applyAlignment="1" applyProtection="1">
      <alignment vertical="top"/>
      <protection hidden="1"/>
    </xf>
    <xf numFmtId="178" fontId="116" fillId="34" borderId="0" xfId="0" applyFont="1" applyFill="1" applyBorder="1" applyAlignment="1" applyProtection="1">
      <alignment horizontal="right" vertical="top"/>
      <protection hidden="1"/>
    </xf>
    <xf numFmtId="1" fontId="108" fillId="34" borderId="0" xfId="0" applyNumberFormat="1" applyFont="1" applyFill="1" applyBorder="1" applyAlignment="1" applyProtection="1">
      <alignment horizontal="left" vertical="top"/>
      <protection hidden="1"/>
    </xf>
    <xf numFmtId="178" fontId="15" fillId="34" borderId="41" xfId="0" applyFont="1" applyFill="1" applyBorder="1" applyAlignment="1" applyProtection="1">
      <alignment horizontal="left" vertical="top"/>
      <protection hidden="1"/>
    </xf>
    <xf numFmtId="1" fontId="116" fillId="34" borderId="0" xfId="0" applyNumberFormat="1" applyFont="1" applyFill="1" applyBorder="1" applyAlignment="1" applyProtection="1">
      <alignment horizontal="right" vertical="top"/>
      <protection hidden="1"/>
    </xf>
    <xf numFmtId="178" fontId="15" fillId="34" borderId="5" xfId="0" applyFont="1" applyFill="1" applyBorder="1" applyAlignment="1" applyProtection="1">
      <alignment horizontal="left" vertical="top"/>
      <protection hidden="1"/>
    </xf>
    <xf numFmtId="178" fontId="106" fillId="41" borderId="4" xfId="0" applyFont="1" applyFill="1" applyBorder="1" applyAlignment="1" applyProtection="1">
      <alignment vertical="top"/>
      <protection hidden="1"/>
    </xf>
    <xf numFmtId="178" fontId="106" fillId="41" borderId="0" xfId="0" applyFont="1" applyFill="1" applyBorder="1" applyAlignment="1" applyProtection="1">
      <alignment vertical="top"/>
      <protection hidden="1"/>
    </xf>
    <xf numFmtId="178" fontId="106" fillId="41" borderId="89" xfId="0" applyFont="1" applyFill="1" applyBorder="1" applyAlignment="1" applyProtection="1">
      <alignment vertical="top"/>
      <protection hidden="1"/>
    </xf>
    <xf numFmtId="178" fontId="197" fillId="74" borderId="4" xfId="0" applyFont="1" applyFill="1" applyBorder="1" applyAlignment="1" applyProtection="1">
      <alignment horizontal="center" vertical="center"/>
      <protection hidden="1"/>
    </xf>
    <xf numFmtId="178" fontId="197" fillId="74" borderId="0" xfId="0" applyFont="1" applyFill="1" applyBorder="1" applyAlignment="1" applyProtection="1">
      <alignment horizontal="center" vertical="center"/>
      <protection hidden="1"/>
    </xf>
    <xf numFmtId="178" fontId="205" fillId="74" borderId="0" xfId="0" applyFont="1" applyFill="1" applyBorder="1" applyAlignment="1" applyProtection="1">
      <alignment horizontal="left" vertical="center"/>
      <protection hidden="1"/>
    </xf>
    <xf numFmtId="178" fontId="205" fillId="74" borderId="89" xfId="0" applyFont="1" applyFill="1" applyBorder="1" applyAlignment="1" applyProtection="1">
      <alignment horizontal="left" vertical="center"/>
      <protection hidden="1"/>
    </xf>
    <xf numFmtId="1" fontId="15" fillId="61" borderId="30" xfId="0" applyNumberFormat="1" applyFont="1" applyFill="1" applyBorder="1" applyAlignment="1" applyProtection="1">
      <alignment horizontal="right" vertical="center"/>
      <protection hidden="1"/>
    </xf>
    <xf numFmtId="178" fontId="102" fillId="61" borderId="67" xfId="0" applyFont="1" applyFill="1" applyBorder="1" applyAlignment="1" applyProtection="1">
      <alignment horizontal="right" vertical="center"/>
      <protection hidden="1"/>
    </xf>
    <xf numFmtId="178" fontId="206" fillId="0" borderId="0" xfId="0" applyFont="1" applyFill="1" applyBorder="1" applyAlignment="1" applyProtection="1">
      <alignment horizontal="center" vertical="center" wrapText="1"/>
      <protection hidden="1"/>
    </xf>
    <xf numFmtId="178" fontId="206" fillId="0" borderId="52" xfId="0" applyFont="1" applyFill="1" applyBorder="1" applyAlignment="1" applyProtection="1">
      <alignment horizontal="center" vertical="center" wrapText="1"/>
      <protection hidden="1"/>
    </xf>
    <xf numFmtId="214" fontId="24" fillId="0" borderId="0" xfId="0" applyNumberFormat="1" applyFont="1" applyFill="1" applyAlignment="1">
      <alignment horizontal="center"/>
    </xf>
    <xf numFmtId="178" fontId="24" fillId="34" borderId="0" xfId="0" applyFont="1" applyFill="1" applyBorder="1" applyAlignment="1" applyProtection="1">
      <alignment horizontal="right" vertical="center"/>
      <protection hidden="1"/>
    </xf>
    <xf numFmtId="179" fontId="17" fillId="16" borderId="67" xfId="0" applyNumberFormat="1" applyFont="1" applyFill="1" applyBorder="1" applyAlignment="1" applyProtection="1">
      <alignment vertical="center"/>
      <protection hidden="1"/>
    </xf>
    <xf numFmtId="189" fontId="17" fillId="16" borderId="67" xfId="0" applyNumberFormat="1" applyFont="1" applyFill="1" applyBorder="1" applyAlignment="1" applyProtection="1">
      <alignment vertical="center"/>
      <protection hidden="1"/>
    </xf>
    <xf numFmtId="178" fontId="48" fillId="16" borderId="75" xfId="1" applyFont="1" applyFill="1" applyBorder="1" applyAlignment="1" applyProtection="1">
      <alignment horizontal="right" vertical="center"/>
      <protection hidden="1"/>
    </xf>
    <xf numFmtId="178" fontId="4" fillId="16" borderId="75" xfId="1" applyFill="1" applyBorder="1" applyAlignment="1" applyProtection="1">
      <alignment vertical="center"/>
      <protection locked="0" hidden="1"/>
    </xf>
    <xf numFmtId="178" fontId="48" fillId="16" borderId="75" xfId="1" applyFont="1" applyFill="1" applyBorder="1" applyAlignment="1" applyProtection="1">
      <alignment vertical="center"/>
      <protection hidden="1"/>
    </xf>
    <xf numFmtId="178" fontId="207" fillId="16" borderId="75" xfId="1" applyFont="1" applyFill="1" applyBorder="1" applyAlignment="1" applyProtection="1">
      <alignment vertical="center"/>
      <protection hidden="1"/>
    </xf>
    <xf numFmtId="178" fontId="20" fillId="34" borderId="0" xfId="0" applyFont="1" applyFill="1" applyAlignment="1" applyProtection="1">
      <alignment wrapText="1"/>
      <protection locked="0"/>
    </xf>
    <xf numFmtId="178" fontId="208" fillId="75" borderId="0" xfId="0" applyFont="1" applyFill="1" applyAlignment="1" applyProtection="1">
      <alignment horizontal="left"/>
      <protection locked="0"/>
    </xf>
    <xf numFmtId="178" fontId="209" fillId="29" borderId="0" xfId="0" applyFont="1" applyFill="1" applyProtection="1"/>
    <xf numFmtId="183" fontId="9" fillId="76" borderId="5" xfId="0" applyNumberFormat="1" applyFont="1" applyFill="1" applyBorder="1" applyAlignment="1" applyProtection="1">
      <alignment horizontal="left" vertical="center"/>
      <protection hidden="1"/>
    </xf>
    <xf numFmtId="178" fontId="14" fillId="29" borderId="0" xfId="0" applyFont="1" applyFill="1" applyProtection="1"/>
    <xf numFmtId="178" fontId="106" fillId="29" borderId="0" xfId="0" applyFont="1" applyFill="1" applyAlignment="1" applyProtection="1">
      <alignment vertical="center"/>
    </xf>
    <xf numFmtId="1" fontId="84" fillId="29" borderId="0" xfId="0" applyNumberFormat="1" applyFont="1" applyFill="1" applyAlignment="1" applyProtection="1">
      <alignment vertical="center"/>
    </xf>
    <xf numFmtId="1" fontId="46" fillId="29" borderId="0" xfId="0" applyNumberFormat="1" applyFont="1" applyFill="1" applyAlignment="1" applyProtection="1">
      <alignment horizontal="center" vertical="center"/>
    </xf>
    <xf numFmtId="1" fontId="14" fillId="29" borderId="0" xfId="0" applyNumberFormat="1" applyFont="1" applyFill="1" applyAlignment="1" applyProtection="1">
      <alignment horizontal="center"/>
    </xf>
    <xf numFmtId="1" fontId="54" fillId="29" borderId="0" xfId="0" applyNumberFormat="1" applyFont="1" applyFill="1" applyAlignment="1" applyProtection="1">
      <alignment horizontal="center" vertical="center"/>
    </xf>
    <xf numFmtId="1" fontId="0" fillId="29" borderId="0" xfId="0" applyNumberFormat="1" applyFill="1" applyAlignment="1" applyProtection="1">
      <alignment horizontal="center"/>
    </xf>
    <xf numFmtId="178" fontId="0" fillId="29" borderId="0" xfId="0" applyFill="1" applyAlignment="1" applyProtection="1">
      <alignment horizontal="center"/>
    </xf>
    <xf numFmtId="178" fontId="210" fillId="29" borderId="17" xfId="0" applyFont="1" applyFill="1" applyBorder="1" applyAlignment="1" applyProtection="1">
      <protection locked="0"/>
    </xf>
    <xf numFmtId="178" fontId="212" fillId="0" borderId="0" xfId="0" applyFont="1" applyAlignment="1" applyProtection="1">
      <alignment vertical="center"/>
      <protection locked="0"/>
    </xf>
    <xf numFmtId="178" fontId="0" fillId="0" borderId="0" xfId="0" applyProtection="1">
      <protection locked="0"/>
    </xf>
    <xf numFmtId="178" fontId="213" fillId="29" borderId="0" xfId="0" applyFont="1" applyFill="1" applyAlignment="1" applyProtection="1">
      <alignment vertical="center"/>
      <protection locked="0"/>
    </xf>
    <xf numFmtId="178" fontId="153" fillId="29" borderId="0" xfId="0" applyFont="1" applyFill="1" applyAlignment="1" applyProtection="1">
      <alignment vertical="center"/>
      <protection locked="0"/>
    </xf>
    <xf numFmtId="1" fontId="14" fillId="2" borderId="4" xfId="0" applyNumberFormat="1" applyFont="1" applyFill="1" applyBorder="1" applyAlignment="1" applyProtection="1">
      <alignment vertical="center"/>
    </xf>
    <xf numFmtId="1" fontId="14" fillId="0" borderId="4" xfId="0" applyNumberFormat="1" applyFont="1" applyBorder="1" applyAlignment="1" applyProtection="1">
      <alignment vertical="center"/>
    </xf>
    <xf numFmtId="1" fontId="14" fillId="0" borderId="4" xfId="0" applyNumberFormat="1" applyFont="1" applyFill="1" applyBorder="1" applyAlignment="1" applyProtection="1">
      <alignment vertical="center"/>
    </xf>
    <xf numFmtId="1" fontId="14" fillId="0" borderId="30" xfId="0" applyNumberFormat="1" applyFont="1" applyFill="1" applyBorder="1" applyAlignment="1" applyProtection="1">
      <alignment vertical="center"/>
    </xf>
    <xf numFmtId="165" fontId="5" fillId="0" borderId="0" xfId="0" applyNumberFormat="1" applyFont="1" applyProtection="1"/>
    <xf numFmtId="178" fontId="46" fillId="0" borderId="0" xfId="0" applyFont="1" applyAlignment="1">
      <alignment horizontal="center"/>
    </xf>
    <xf numFmtId="178" fontId="46" fillId="0" borderId="0" xfId="0" applyFont="1" applyAlignment="1"/>
    <xf numFmtId="165" fontId="14" fillId="0" borderId="5" xfId="0" applyNumberFormat="1" applyFont="1" applyBorder="1" applyProtection="1">
      <protection hidden="1"/>
    </xf>
    <xf numFmtId="178" fontId="14" fillId="0" borderId="5" xfId="0" applyFont="1" applyBorder="1" applyAlignment="1" applyProtection="1">
      <alignment horizontal="center"/>
      <protection hidden="1"/>
    </xf>
    <xf numFmtId="178" fontId="14" fillId="0" borderId="0" xfId="0" applyFont="1" applyAlignment="1" applyProtection="1">
      <alignment horizontal="center"/>
      <protection hidden="1"/>
    </xf>
    <xf numFmtId="178" fontId="20" fillId="8" borderId="18" xfId="0" applyFont="1" applyFill="1" applyBorder="1"/>
    <xf numFmtId="178" fontId="20" fillId="8" borderId="5" xfId="0" applyFont="1" applyFill="1" applyBorder="1"/>
    <xf numFmtId="178" fontId="20" fillId="8" borderId="13" xfId="0" applyFont="1" applyFill="1" applyBorder="1"/>
    <xf numFmtId="1" fontId="215" fillId="0" borderId="0" xfId="0" applyNumberFormat="1" applyFont="1"/>
    <xf numFmtId="1" fontId="46" fillId="0" borderId="0" xfId="0" applyNumberFormat="1" applyFont="1"/>
    <xf numFmtId="178" fontId="46" fillId="0" borderId="0" xfId="0" applyFont="1"/>
    <xf numFmtId="178" fontId="20" fillId="0" borderId="0" xfId="0" applyFont="1" applyBorder="1"/>
    <xf numFmtId="178" fontId="20" fillId="0" borderId="89" xfId="0" applyFont="1" applyBorder="1"/>
    <xf numFmtId="14" fontId="14" fillId="0" borderId="0" xfId="0" applyNumberFormat="1" applyFont="1" applyFill="1" applyAlignment="1">
      <alignment horizontal="center"/>
    </xf>
    <xf numFmtId="216" fontId="14" fillId="0" borderId="0" xfId="0" applyNumberFormat="1" applyFont="1" applyProtection="1">
      <protection hidden="1"/>
    </xf>
    <xf numFmtId="178" fontId="217" fillId="0" borderId="0" xfId="0" applyFont="1" applyBorder="1" applyProtection="1">
      <protection hidden="1"/>
    </xf>
    <xf numFmtId="176" fontId="46" fillId="2" borderId="23" xfId="0" quotePrefix="1" applyNumberFormat="1" applyFont="1" applyFill="1" applyBorder="1" applyAlignment="1" applyProtection="1">
      <alignment horizontal="left" vertical="center"/>
      <protection hidden="1"/>
    </xf>
    <xf numFmtId="176" fontId="46" fillId="34" borderId="27" xfId="0" quotePrefix="1" applyNumberFormat="1" applyFont="1" applyFill="1" applyBorder="1" applyAlignment="1" applyProtection="1">
      <alignment horizontal="left" vertical="center"/>
      <protection hidden="1"/>
    </xf>
    <xf numFmtId="176" fontId="46" fillId="2" borderId="27" xfId="0" quotePrefix="1" applyNumberFormat="1" applyFont="1" applyFill="1" applyBorder="1" applyAlignment="1" applyProtection="1">
      <alignment horizontal="left" vertical="center"/>
      <protection hidden="1"/>
    </xf>
    <xf numFmtId="176" fontId="46" fillId="2" borderId="56" xfId="0" quotePrefix="1" applyNumberFormat="1" applyFont="1" applyFill="1" applyBorder="1" applyAlignment="1" applyProtection="1">
      <alignment horizontal="left" vertical="center"/>
      <protection hidden="1"/>
    </xf>
    <xf numFmtId="1" fontId="46" fillId="2" borderId="22" xfId="0" quotePrefix="1" applyNumberFormat="1" applyFont="1" applyFill="1" applyBorder="1" applyAlignment="1" applyProtection="1">
      <alignment horizontal="right" vertical="center"/>
      <protection hidden="1"/>
    </xf>
    <xf numFmtId="1" fontId="46" fillId="34" borderId="26" xfId="0" quotePrefix="1" applyNumberFormat="1" applyFont="1" applyFill="1" applyBorder="1" applyAlignment="1" applyProtection="1">
      <alignment horizontal="right" vertical="center"/>
      <protection hidden="1"/>
    </xf>
    <xf numFmtId="1" fontId="46" fillId="2" borderId="26" xfId="0" quotePrefix="1" applyNumberFormat="1" applyFont="1" applyFill="1" applyBorder="1" applyAlignment="1" applyProtection="1">
      <alignment horizontal="right" vertical="center"/>
      <protection hidden="1"/>
    </xf>
    <xf numFmtId="1" fontId="46" fillId="2" borderId="57" xfId="0" quotePrefix="1" applyNumberFormat="1" applyFont="1" applyFill="1" applyBorder="1" applyAlignment="1" applyProtection="1">
      <alignment horizontal="right" vertical="center"/>
      <protection hidden="1"/>
    </xf>
    <xf numFmtId="1" fontId="22" fillId="0" borderId="67" xfId="0" applyNumberFormat="1" applyFont="1" applyFill="1" applyBorder="1" applyAlignment="1" applyProtection="1">
      <alignment vertical="center"/>
      <protection hidden="1"/>
    </xf>
    <xf numFmtId="1" fontId="22" fillId="0" borderId="36" xfId="0" applyNumberFormat="1" applyFont="1" applyFill="1" applyBorder="1" applyAlignment="1" applyProtection="1">
      <alignment vertical="center"/>
      <protection hidden="1"/>
    </xf>
    <xf numFmtId="176" fontId="58" fillId="2" borderId="0" xfId="0" quotePrefix="1" applyNumberFormat="1" applyFont="1" applyFill="1" applyBorder="1" applyAlignment="1" applyProtection="1">
      <alignment horizontal="center" vertical="center"/>
      <protection hidden="1"/>
    </xf>
    <xf numFmtId="183" fontId="14" fillId="0" borderId="0" xfId="0" applyNumberFormat="1" applyFont="1" applyAlignment="1" applyProtection="1">
      <alignment horizontal="center"/>
      <protection hidden="1"/>
    </xf>
    <xf numFmtId="176" fontId="15" fillId="2" borderId="49" xfId="0" quotePrefix="1" applyNumberFormat="1" applyFont="1" applyFill="1" applyBorder="1" applyAlignment="1" applyProtection="1">
      <alignment horizontal="left" vertical="center"/>
      <protection hidden="1"/>
    </xf>
    <xf numFmtId="176" fontId="15" fillId="34" borderId="27" xfId="0" quotePrefix="1" applyNumberFormat="1" applyFont="1" applyFill="1" applyBorder="1" applyAlignment="1" applyProtection="1">
      <alignment horizontal="left" vertical="center"/>
      <protection hidden="1"/>
    </xf>
    <xf numFmtId="176" fontId="15" fillId="2" borderId="27" xfId="0" quotePrefix="1" applyNumberFormat="1" applyFont="1" applyFill="1" applyBorder="1" applyAlignment="1" applyProtection="1">
      <alignment horizontal="left" vertical="center"/>
      <protection hidden="1"/>
    </xf>
    <xf numFmtId="176" fontId="15" fillId="2" borderId="56" xfId="0" quotePrefix="1" applyNumberFormat="1" applyFont="1" applyFill="1" applyBorder="1" applyAlignment="1" applyProtection="1">
      <alignment horizontal="left" vertical="center"/>
      <protection hidden="1"/>
    </xf>
    <xf numFmtId="1" fontId="15" fillId="2" borderId="48" xfId="0" quotePrefix="1" applyNumberFormat="1" applyFont="1" applyFill="1" applyBorder="1" applyAlignment="1" applyProtection="1">
      <alignment horizontal="right" vertical="center"/>
      <protection hidden="1"/>
    </xf>
    <xf numFmtId="1" fontId="15" fillId="34" borderId="26" xfId="0" quotePrefix="1" applyNumberFormat="1" applyFont="1" applyFill="1" applyBorder="1" applyAlignment="1" applyProtection="1">
      <alignment horizontal="right" vertical="center"/>
      <protection hidden="1"/>
    </xf>
    <xf numFmtId="1" fontId="15" fillId="2" borderId="26" xfId="0" quotePrefix="1" applyNumberFormat="1" applyFont="1" applyFill="1" applyBorder="1" applyAlignment="1" applyProtection="1">
      <alignment horizontal="right" vertical="center"/>
      <protection hidden="1"/>
    </xf>
    <xf numFmtId="1" fontId="15" fillId="2" borderId="57" xfId="0" quotePrefix="1" applyNumberFormat="1" applyFont="1" applyFill="1" applyBorder="1" applyAlignment="1" applyProtection="1">
      <alignment horizontal="right" vertical="center"/>
      <protection hidden="1"/>
    </xf>
    <xf numFmtId="178" fontId="14" fillId="0" borderId="0" xfId="0" applyFont="1" applyAlignment="1" applyProtection="1">
      <protection hidden="1"/>
    </xf>
    <xf numFmtId="178" fontId="155" fillId="0" borderId="0" xfId="0" applyFont="1" applyAlignment="1" applyProtection="1">
      <alignment horizontal="right"/>
      <protection hidden="1"/>
    </xf>
    <xf numFmtId="213" fontId="14" fillId="0" borderId="0" xfId="0" applyNumberFormat="1" applyFont="1" applyProtection="1">
      <protection hidden="1"/>
    </xf>
    <xf numFmtId="213" fontId="14" fillId="0" borderId="0" xfId="0" applyNumberFormat="1" applyFont="1" applyAlignment="1" applyProtection="1">
      <alignment horizontal="left"/>
      <protection hidden="1"/>
    </xf>
    <xf numFmtId="49" fontId="48" fillId="52" borderId="67" xfId="0" applyNumberFormat="1" applyFont="1" applyFill="1" applyBorder="1" applyAlignment="1" applyProtection="1">
      <alignment vertical="center" wrapText="1"/>
    </xf>
    <xf numFmtId="49" fontId="46" fillId="52" borderId="67" xfId="0" applyNumberFormat="1" applyFont="1" applyFill="1" applyBorder="1" applyAlignment="1" applyProtection="1"/>
    <xf numFmtId="49" fontId="14" fillId="52" borderId="67" xfId="0" applyNumberFormat="1" applyFont="1" applyFill="1" applyBorder="1" applyAlignment="1" applyProtection="1"/>
    <xf numFmtId="49" fontId="46" fillId="52" borderId="36" xfId="0" applyNumberFormat="1" applyFont="1" applyFill="1" applyBorder="1" applyAlignment="1" applyProtection="1"/>
    <xf numFmtId="49" fontId="49" fillId="52" borderId="5" xfId="0" applyNumberFormat="1" applyFont="1" applyFill="1" applyBorder="1" applyAlignment="1" applyProtection="1">
      <alignment wrapText="1"/>
    </xf>
    <xf numFmtId="1" fontId="22" fillId="50" borderId="6" xfId="0" applyNumberFormat="1" applyFont="1" applyFill="1" applyBorder="1" applyAlignment="1" applyProtection="1">
      <alignment horizontal="center"/>
    </xf>
    <xf numFmtId="49" fontId="61" fillId="3" borderId="67" xfId="0" applyNumberFormat="1" applyFont="1" applyFill="1" applyBorder="1" applyAlignment="1" applyProtection="1">
      <alignment vertical="center" wrapText="1"/>
    </xf>
    <xf numFmtId="49" fontId="46" fillId="47" borderId="47" xfId="0" applyNumberFormat="1" applyFont="1" applyFill="1" applyBorder="1" applyAlignment="1" applyProtection="1"/>
    <xf numFmtId="49" fontId="46" fillId="47" borderId="5" xfId="0" applyNumberFormat="1" applyFont="1" applyFill="1" applyBorder="1" applyAlignment="1" applyProtection="1"/>
    <xf numFmtId="49" fontId="14" fillId="47" borderId="5" xfId="0" applyNumberFormat="1" applyFont="1" applyFill="1" applyBorder="1" applyAlignment="1" applyProtection="1"/>
    <xf numFmtId="49" fontId="85" fillId="47" borderId="5" xfId="0" applyNumberFormat="1" applyFont="1" applyFill="1" applyBorder="1" applyAlignment="1" applyProtection="1"/>
    <xf numFmtId="178" fontId="11" fillId="47" borderId="0" xfId="0" applyFont="1" applyFill="1" applyBorder="1" applyProtection="1"/>
    <xf numFmtId="49" fontId="61" fillId="3" borderId="0" xfId="0" applyNumberFormat="1" applyFont="1" applyFill="1" applyBorder="1" applyAlignment="1" applyProtection="1"/>
    <xf numFmtId="178" fontId="11" fillId="50" borderId="0" xfId="0" applyFont="1" applyFill="1" applyBorder="1" applyProtection="1"/>
    <xf numFmtId="178" fontId="11" fillId="3" borderId="0" xfId="0" applyFont="1" applyFill="1" applyBorder="1" applyProtection="1"/>
    <xf numFmtId="178" fontId="11" fillId="3" borderId="5" xfId="0" applyFont="1" applyFill="1" applyBorder="1" applyProtection="1"/>
    <xf numFmtId="49" fontId="61" fillId="3" borderId="5" xfId="0" applyNumberFormat="1" applyFont="1" applyFill="1" applyBorder="1" applyAlignment="1" applyProtection="1"/>
    <xf numFmtId="1" fontId="89" fillId="47" borderId="0" xfId="0" applyNumberFormat="1" applyFont="1" applyFill="1" applyBorder="1" applyAlignment="1" applyProtection="1">
      <alignment vertical="center"/>
    </xf>
    <xf numFmtId="49" fontId="64" fillId="47" borderId="0" xfId="0" applyNumberFormat="1" applyFont="1" applyFill="1" applyBorder="1" applyAlignment="1" applyProtection="1">
      <alignment horizontal="left" vertical="center"/>
    </xf>
    <xf numFmtId="49" fontId="64" fillId="47" borderId="0" xfId="0" applyNumberFormat="1" applyFont="1" applyFill="1" applyBorder="1" applyAlignment="1" applyProtection="1">
      <alignment vertical="center"/>
    </xf>
    <xf numFmtId="178" fontId="83" fillId="79" borderId="6" xfId="0" applyFont="1" applyFill="1" applyBorder="1" applyProtection="1"/>
    <xf numFmtId="49" fontId="61" fillId="79" borderId="0" xfId="0" applyNumberFormat="1" applyFont="1" applyFill="1" applyBorder="1" applyAlignment="1" applyProtection="1"/>
    <xf numFmtId="49" fontId="61" fillId="79" borderId="0" xfId="0" applyNumberFormat="1" applyFont="1" applyFill="1" applyBorder="1" applyAlignment="1" applyProtection="1">
      <alignment vertical="top" wrapText="1"/>
    </xf>
    <xf numFmtId="49" fontId="83" fillId="79" borderId="0" xfId="0" applyNumberFormat="1" applyFont="1" applyFill="1" applyBorder="1" applyProtection="1"/>
    <xf numFmtId="49" fontId="14" fillId="80" borderId="0" xfId="0" applyNumberFormat="1" applyFont="1" applyFill="1" applyBorder="1" applyAlignment="1" applyProtection="1">
      <alignment vertical="center"/>
    </xf>
    <xf numFmtId="49" fontId="46" fillId="80" borderId="0" xfId="0" applyNumberFormat="1" applyFont="1" applyFill="1" applyBorder="1" applyAlignment="1" applyProtection="1"/>
    <xf numFmtId="49" fontId="61" fillId="51" borderId="67" xfId="0" applyNumberFormat="1" applyFont="1" applyFill="1" applyBorder="1" applyAlignment="1" applyProtection="1">
      <alignment wrapText="1"/>
    </xf>
    <xf numFmtId="49" fontId="61" fillId="51" borderId="0" xfId="0" applyNumberFormat="1" applyFont="1" applyFill="1" applyBorder="1" applyAlignment="1" applyProtection="1">
      <alignment wrapText="1"/>
    </xf>
    <xf numFmtId="49" fontId="48" fillId="51" borderId="0" xfId="0" applyNumberFormat="1" applyFont="1" applyFill="1" applyBorder="1" applyAlignment="1" applyProtection="1">
      <alignment vertical="center" wrapText="1"/>
    </xf>
    <xf numFmtId="49" fontId="22" fillId="51" borderId="67" xfId="0" applyNumberFormat="1" applyFont="1" applyFill="1" applyBorder="1" applyAlignment="1" applyProtection="1"/>
    <xf numFmtId="49" fontId="22" fillId="51" borderId="67" xfId="0" applyNumberFormat="1" applyFont="1" applyFill="1" applyBorder="1" applyAlignment="1" applyProtection="1">
      <alignment horizontal="center"/>
    </xf>
    <xf numFmtId="49" fontId="48" fillId="51" borderId="67" xfId="0" applyNumberFormat="1" applyFont="1" applyFill="1" applyBorder="1" applyAlignment="1" applyProtection="1">
      <alignment vertical="center" wrapText="1"/>
    </xf>
    <xf numFmtId="49" fontId="61" fillId="50" borderId="0" xfId="0" applyNumberFormat="1" applyFont="1" applyFill="1" applyBorder="1" applyAlignment="1" applyProtection="1">
      <alignment vertical="center"/>
    </xf>
    <xf numFmtId="178" fontId="11" fillId="50" borderId="46" xfId="0" applyFont="1" applyFill="1" applyBorder="1" applyProtection="1"/>
    <xf numFmtId="49" fontId="61" fillId="50" borderId="0" xfId="0" applyNumberFormat="1" applyFont="1" applyFill="1" applyBorder="1" applyAlignment="1" applyProtection="1">
      <alignment vertical="center" wrapText="1"/>
    </xf>
    <xf numFmtId="1" fontId="73" fillId="50" borderId="6" xfId="0" applyNumberFormat="1" applyFont="1" applyFill="1" applyBorder="1" applyAlignment="1" applyProtection="1">
      <alignment horizontal="left" vertical="center"/>
    </xf>
    <xf numFmtId="49" fontId="61" fillId="50" borderId="67" xfId="0" applyNumberFormat="1" applyFont="1" applyFill="1" applyBorder="1" applyAlignment="1" applyProtection="1">
      <alignment vertical="center"/>
    </xf>
    <xf numFmtId="49" fontId="61" fillId="50" borderId="67" xfId="0" applyNumberFormat="1" applyFont="1" applyFill="1" applyBorder="1" applyAlignment="1" applyProtection="1">
      <alignment vertical="center" wrapText="1"/>
    </xf>
    <xf numFmtId="49" fontId="11" fillId="79" borderId="0" xfId="0" applyNumberFormat="1" applyFont="1" applyFill="1" applyBorder="1" applyAlignment="1" applyProtection="1"/>
    <xf numFmtId="49" fontId="61" fillId="79" borderId="0" xfId="0" applyNumberFormat="1" applyFont="1" applyFill="1" applyBorder="1" applyAlignment="1" applyProtection="1">
      <alignment wrapText="1"/>
    </xf>
    <xf numFmtId="49" fontId="22" fillId="79" borderId="0" xfId="0" applyNumberFormat="1" applyFont="1" applyFill="1" applyBorder="1" applyAlignment="1" applyProtection="1">
      <alignment horizontal="center" vertical="center"/>
    </xf>
    <xf numFmtId="49" fontId="22" fillId="79" borderId="0" xfId="0" applyNumberFormat="1" applyFont="1" applyFill="1" applyBorder="1" applyAlignment="1" applyProtection="1">
      <alignment vertical="center"/>
    </xf>
    <xf numFmtId="49" fontId="11" fillId="79" borderId="0" xfId="0" applyNumberFormat="1" applyFont="1" applyFill="1" applyBorder="1" applyAlignment="1" applyProtection="1">
      <alignment vertical="center"/>
    </xf>
    <xf numFmtId="49" fontId="22" fillId="79" borderId="0" xfId="0" applyNumberFormat="1" applyFont="1" applyFill="1" applyBorder="1" applyAlignment="1" applyProtection="1"/>
    <xf numFmtId="49" fontId="11" fillId="79" borderId="0" xfId="0" applyNumberFormat="1" applyFont="1" applyFill="1" applyBorder="1" applyProtection="1"/>
    <xf numFmtId="178" fontId="11" fillId="79" borderId="0" xfId="0" applyFont="1" applyFill="1" applyProtection="1"/>
    <xf numFmtId="178" fontId="73" fillId="81" borderId="50" xfId="0" applyFont="1" applyFill="1" applyBorder="1" applyAlignment="1" applyProtection="1">
      <alignment vertical="center"/>
    </xf>
    <xf numFmtId="49" fontId="61" fillId="81" borderId="46" xfId="0" applyNumberFormat="1" applyFont="1" applyFill="1" applyBorder="1" applyAlignment="1" applyProtection="1">
      <alignment vertical="center"/>
    </xf>
    <xf numFmtId="49" fontId="0" fillId="81" borderId="46" xfId="0" applyNumberFormat="1" applyFill="1" applyBorder="1" applyAlignment="1" applyProtection="1"/>
    <xf numFmtId="178" fontId="11" fillId="81" borderId="0" xfId="0" applyFont="1" applyFill="1" applyProtection="1"/>
    <xf numFmtId="215" fontId="211" fillId="81" borderId="0" xfId="0" applyNumberFormat="1" applyFont="1" applyFill="1" applyBorder="1" applyAlignment="1" applyProtection="1">
      <alignment vertical="center"/>
    </xf>
    <xf numFmtId="49" fontId="0" fillId="81" borderId="67" xfId="0" applyNumberFormat="1" applyFill="1" applyBorder="1" applyAlignment="1" applyProtection="1"/>
    <xf numFmtId="49" fontId="11" fillId="81" borderId="0" xfId="0" applyNumberFormat="1" applyFont="1" applyFill="1" applyBorder="1" applyAlignment="1" applyProtection="1"/>
    <xf numFmtId="1" fontId="129" fillId="81" borderId="0" xfId="0" applyNumberFormat="1" applyFont="1" applyFill="1" applyBorder="1" applyAlignment="1" applyProtection="1"/>
    <xf numFmtId="49" fontId="22" fillId="81" borderId="67" xfId="0" applyNumberFormat="1" applyFont="1" applyFill="1" applyBorder="1" applyAlignment="1" applyProtection="1">
      <alignment horizontal="center"/>
    </xf>
    <xf numFmtId="49" fontId="11" fillId="81" borderId="67" xfId="0" applyNumberFormat="1" applyFont="1" applyFill="1" applyBorder="1" applyAlignment="1" applyProtection="1">
      <alignment horizontal="center"/>
    </xf>
    <xf numFmtId="178" fontId="83" fillId="81" borderId="0" xfId="0" applyFont="1" applyFill="1" applyProtection="1"/>
    <xf numFmtId="49" fontId="5" fillId="47" borderId="0" xfId="0" applyNumberFormat="1" applyFont="1" applyFill="1" applyBorder="1" applyAlignment="1" applyProtection="1">
      <alignment vertical="center"/>
    </xf>
    <xf numFmtId="49" fontId="46" fillId="47" borderId="0" xfId="0" applyNumberFormat="1" applyFont="1" applyFill="1" applyBorder="1" applyAlignment="1" applyProtection="1">
      <alignment horizontal="right" vertical="center"/>
    </xf>
    <xf numFmtId="178" fontId="73" fillId="51" borderId="6" xfId="0" applyFont="1" applyFill="1" applyBorder="1" applyAlignment="1" applyProtection="1">
      <alignment vertical="center"/>
    </xf>
    <xf numFmtId="178" fontId="11" fillId="51" borderId="0" xfId="0" applyFont="1" applyFill="1" applyBorder="1" applyProtection="1"/>
    <xf numFmtId="178" fontId="11" fillId="80" borderId="0" xfId="0" applyFont="1" applyFill="1" applyBorder="1" applyProtection="1"/>
    <xf numFmtId="49" fontId="88" fillId="80" borderId="0" xfId="0" applyNumberFormat="1" applyFont="1" applyFill="1" applyBorder="1" applyAlignment="1" applyProtection="1"/>
    <xf numFmtId="1" fontId="76" fillId="80" borderId="5" xfId="0" applyNumberFormat="1" applyFont="1" applyFill="1" applyBorder="1" applyAlignment="1" applyProtection="1"/>
    <xf numFmtId="1" fontId="76" fillId="80" borderId="9" xfId="0" applyNumberFormat="1" applyFont="1" applyFill="1" applyBorder="1" applyAlignment="1" applyProtection="1"/>
    <xf numFmtId="49" fontId="61" fillId="79" borderId="6" xfId="0" applyNumberFormat="1" applyFont="1" applyFill="1" applyBorder="1" applyAlignment="1" applyProtection="1">
      <alignment vertical="center"/>
    </xf>
    <xf numFmtId="49" fontId="61" fillId="52" borderId="0" xfId="0" applyNumberFormat="1" applyFont="1" applyFill="1" applyBorder="1" applyAlignment="1" applyProtection="1">
      <alignment vertical="center" wrapText="1"/>
    </xf>
    <xf numFmtId="49" fontId="61" fillId="52" borderId="0" xfId="0" applyNumberFormat="1" applyFont="1" applyFill="1" applyBorder="1" applyAlignment="1" applyProtection="1">
      <alignment horizontal="right" vertical="center"/>
    </xf>
    <xf numFmtId="178" fontId="11" fillId="81" borderId="6" xfId="0" applyFont="1" applyFill="1" applyBorder="1" applyAlignment="1" applyProtection="1">
      <alignment vertical="center"/>
    </xf>
    <xf numFmtId="49" fontId="0" fillId="81" borderId="0" xfId="0" applyNumberFormat="1" applyFill="1" applyBorder="1" applyAlignment="1" applyProtection="1">
      <alignment vertical="center"/>
    </xf>
    <xf numFmtId="49" fontId="44" fillId="80" borderId="0" xfId="0" applyNumberFormat="1" applyFont="1" applyFill="1" applyBorder="1" applyAlignment="1" applyProtection="1"/>
    <xf numFmtId="49" fontId="78" fillId="80" borderId="0" xfId="0" applyNumberFormat="1" applyFont="1" applyFill="1" applyBorder="1" applyAlignment="1" applyProtection="1">
      <alignment horizontal="left"/>
    </xf>
    <xf numFmtId="49" fontId="44" fillId="79" borderId="0" xfId="0" applyNumberFormat="1" applyFont="1" applyFill="1" applyBorder="1" applyAlignment="1" applyProtection="1"/>
    <xf numFmtId="49" fontId="78" fillId="79" borderId="46" xfId="0" applyNumberFormat="1" applyFont="1" applyFill="1" applyBorder="1" applyAlignment="1" applyProtection="1">
      <alignment horizontal="left"/>
    </xf>
    <xf numFmtId="49" fontId="85" fillId="47" borderId="0" xfId="0" applyNumberFormat="1" applyFont="1" applyFill="1" applyBorder="1" applyAlignment="1" applyProtection="1">
      <alignment horizontal="left"/>
    </xf>
    <xf numFmtId="178" fontId="84" fillId="47" borderId="0" xfId="0" applyFont="1" applyFill="1" applyBorder="1" applyProtection="1"/>
    <xf numFmtId="49" fontId="61" fillId="81" borderId="0" xfId="0" applyNumberFormat="1" applyFont="1" applyFill="1" applyBorder="1" applyAlignment="1" applyProtection="1"/>
    <xf numFmtId="49" fontId="49" fillId="47" borderId="0" xfId="0" applyNumberFormat="1" applyFont="1" applyFill="1" applyBorder="1" applyAlignment="1" applyProtection="1">
      <alignment horizontal="center" vertical="center"/>
    </xf>
    <xf numFmtId="49" fontId="48" fillId="52" borderId="4" xfId="0" applyNumberFormat="1" applyFont="1" applyFill="1" applyBorder="1" applyAlignment="1" applyProtection="1">
      <alignment vertical="center" wrapText="1"/>
    </xf>
    <xf numFmtId="49" fontId="48" fillId="52" borderId="30" xfId="0" applyNumberFormat="1" applyFont="1" applyFill="1" applyBorder="1" applyAlignment="1" applyProtection="1">
      <alignment vertical="center" wrapText="1"/>
    </xf>
    <xf numFmtId="49" fontId="61" fillId="3" borderId="48" xfId="0" applyNumberFormat="1" applyFont="1" applyFill="1" applyBorder="1" applyAlignment="1" applyProtection="1"/>
    <xf numFmtId="49" fontId="61" fillId="3" borderId="4" xfId="0" applyNumberFormat="1" applyFont="1" applyFill="1" applyBorder="1" applyAlignment="1" applyProtection="1"/>
    <xf numFmtId="49" fontId="61" fillId="3" borderId="30" xfId="0" applyNumberFormat="1" applyFont="1" applyFill="1" applyBorder="1" applyAlignment="1" applyProtection="1">
      <alignment vertical="center" wrapText="1"/>
    </xf>
    <xf numFmtId="178" fontId="11" fillId="47" borderId="4" xfId="0" applyFont="1" applyFill="1" applyBorder="1" applyProtection="1"/>
    <xf numFmtId="178" fontId="83" fillId="47" borderId="4" xfId="0" applyFont="1" applyFill="1" applyBorder="1" applyProtection="1"/>
    <xf numFmtId="49" fontId="11" fillId="80" borderId="4" xfId="0" applyNumberFormat="1" applyFont="1" applyFill="1" applyBorder="1" applyAlignment="1" applyProtection="1"/>
    <xf numFmtId="49" fontId="85" fillId="80" borderId="4" xfId="0" applyNumberFormat="1" applyFont="1" applyFill="1" applyBorder="1" applyAlignment="1" applyProtection="1"/>
    <xf numFmtId="178" fontId="11" fillId="80" borderId="4" xfId="0" applyFont="1" applyFill="1" applyBorder="1" applyProtection="1"/>
    <xf numFmtId="49" fontId="11" fillId="80" borderId="4" xfId="0" applyNumberFormat="1" applyFont="1" applyFill="1" applyBorder="1" applyAlignment="1" applyProtection="1">
      <alignment vertical="center"/>
    </xf>
    <xf numFmtId="178" fontId="0" fillId="29" borderId="0" xfId="0" applyFill="1" applyAlignment="1" applyProtection="1"/>
    <xf numFmtId="178" fontId="0" fillId="34" borderId="0" xfId="0" applyFill="1" applyAlignment="1" applyProtection="1"/>
    <xf numFmtId="178" fontId="0" fillId="0" borderId="0" xfId="0" applyAlignment="1" applyProtection="1"/>
    <xf numFmtId="178" fontId="153" fillId="29" borderId="0" xfId="0" applyFont="1" applyFill="1" applyAlignment="1" applyProtection="1"/>
    <xf numFmtId="178" fontId="162" fillId="29" borderId="0" xfId="0" applyFont="1" applyFill="1" applyBorder="1" applyAlignment="1" applyProtection="1">
      <alignment vertical="center"/>
    </xf>
    <xf numFmtId="178" fontId="0" fillId="0" borderId="0" xfId="0" applyBorder="1" applyAlignment="1" applyProtection="1"/>
    <xf numFmtId="178" fontId="61" fillId="47" borderId="16" xfId="0" applyFont="1" applyFill="1" applyBorder="1" applyAlignment="1" applyProtection="1">
      <alignment vertical="center"/>
    </xf>
    <xf numFmtId="178" fontId="61" fillId="47" borderId="6" xfId="0" applyFont="1" applyFill="1" applyBorder="1" applyAlignment="1" applyProtection="1">
      <alignment vertical="center"/>
    </xf>
    <xf numFmtId="178" fontId="11" fillId="50" borderId="6" xfId="0" applyFont="1" applyFill="1" applyBorder="1" applyAlignment="1" applyProtection="1"/>
    <xf numFmtId="178" fontId="11" fillId="81" borderId="31" xfId="0" applyFont="1" applyFill="1" applyBorder="1" applyAlignment="1" applyProtection="1"/>
    <xf numFmtId="178" fontId="73" fillId="79" borderId="6" xfId="0" applyFont="1" applyFill="1" applyBorder="1" applyAlignment="1" applyProtection="1"/>
    <xf numFmtId="178" fontId="83" fillId="79" borderId="6" xfId="0" applyFont="1" applyFill="1" applyBorder="1" applyAlignment="1" applyProtection="1"/>
    <xf numFmtId="178" fontId="11" fillId="34" borderId="0" xfId="0" applyFont="1" applyFill="1" applyBorder="1" applyAlignment="1" applyProtection="1"/>
    <xf numFmtId="178" fontId="11" fillId="34" borderId="9" xfId="0" applyFont="1" applyFill="1" applyBorder="1" applyAlignment="1" applyProtection="1"/>
    <xf numFmtId="178" fontId="11" fillId="34" borderId="46" xfId="0" applyFont="1" applyFill="1" applyBorder="1" applyAlignment="1" applyProtection="1"/>
    <xf numFmtId="178" fontId="167" fillId="34" borderId="0" xfId="0" applyFont="1" applyFill="1" applyBorder="1" applyAlignment="1" applyProtection="1"/>
    <xf numFmtId="178" fontId="165" fillId="34" borderId="0" xfId="0" applyFont="1" applyFill="1" applyAlignment="1" applyProtection="1"/>
    <xf numFmtId="178" fontId="85" fillId="34" borderId="6" xfId="0" applyFont="1" applyFill="1" applyBorder="1" applyAlignment="1" applyProtection="1"/>
    <xf numFmtId="178" fontId="85" fillId="34" borderId="6" xfId="0" applyFont="1" applyFill="1" applyBorder="1" applyAlignment="1" applyProtection="1">
      <alignment vertical="top"/>
    </xf>
    <xf numFmtId="178" fontId="20" fillId="0" borderId="67" xfId="0" applyFont="1" applyBorder="1" applyAlignment="1" applyProtection="1"/>
    <xf numFmtId="178" fontId="61" fillId="77" borderId="16" xfId="0" applyFont="1" applyFill="1" applyBorder="1" applyAlignment="1" applyProtection="1">
      <alignment vertical="center"/>
    </xf>
    <xf numFmtId="1" fontId="84" fillId="77" borderId="17" xfId="0" applyNumberFormat="1" applyFont="1" applyFill="1" applyBorder="1" applyAlignment="1" applyProtection="1">
      <alignment vertical="center"/>
    </xf>
    <xf numFmtId="1" fontId="14" fillId="77" borderId="17" xfId="0" applyNumberFormat="1" applyFont="1" applyFill="1" applyBorder="1" applyAlignment="1" applyProtection="1">
      <alignment vertical="center"/>
    </xf>
    <xf numFmtId="1" fontId="54" fillId="77" borderId="17" xfId="0" applyNumberFormat="1" applyFont="1" applyFill="1" applyBorder="1" applyAlignment="1" applyProtection="1">
      <alignment horizontal="right" vertical="center"/>
    </xf>
    <xf numFmtId="1" fontId="54" fillId="77" borderId="17" xfId="0" applyNumberFormat="1" applyFont="1" applyFill="1" applyBorder="1" applyAlignment="1" applyProtection="1">
      <alignment horizontal="center" vertical="center"/>
    </xf>
    <xf numFmtId="174" fontId="90" fillId="77" borderId="17" xfId="0" applyNumberFormat="1" applyFont="1" applyFill="1" applyBorder="1" applyAlignment="1" applyProtection="1">
      <alignment vertical="center"/>
    </xf>
    <xf numFmtId="1" fontId="90" fillId="77" borderId="17" xfId="0" applyNumberFormat="1" applyFont="1" applyFill="1" applyBorder="1" applyAlignment="1" applyProtection="1">
      <alignment vertical="center"/>
    </xf>
    <xf numFmtId="1" fontId="76" fillId="77" borderId="17" xfId="0" applyNumberFormat="1" applyFont="1" applyFill="1" applyBorder="1" applyAlignment="1" applyProtection="1">
      <alignment horizontal="center" vertical="center"/>
    </xf>
    <xf numFmtId="1" fontId="76" fillId="77" borderId="18" xfId="0" applyNumberFormat="1" applyFont="1" applyFill="1" applyBorder="1" applyAlignment="1" applyProtection="1">
      <alignment horizontal="center" vertical="center"/>
    </xf>
    <xf numFmtId="1" fontId="90" fillId="34" borderId="0" xfId="0" applyNumberFormat="1" applyFont="1" applyFill="1" applyBorder="1" applyAlignment="1" applyProtection="1">
      <alignment horizontal="center" vertical="center"/>
    </xf>
    <xf numFmtId="1" fontId="219" fillId="80" borderId="13" xfId="0" applyNumberFormat="1" applyFont="1" applyFill="1" applyBorder="1" applyAlignment="1" applyProtection="1">
      <alignment vertical="center" wrapText="1"/>
    </xf>
    <xf numFmtId="1" fontId="220" fillId="79" borderId="6" xfId="0" applyNumberFormat="1" applyFont="1" applyFill="1" applyBorder="1" applyAlignment="1" applyProtection="1">
      <alignment horizontal="center" vertical="center"/>
    </xf>
    <xf numFmtId="2" fontId="67" fillId="79" borderId="12" xfId="0" applyNumberFormat="1" applyFont="1" applyFill="1" applyBorder="1" applyAlignment="1" applyProtection="1">
      <alignment vertical="center"/>
    </xf>
    <xf numFmtId="2" fontId="67" fillId="80" borderId="12" xfId="0" applyNumberFormat="1" applyFont="1" applyFill="1" applyBorder="1" applyAlignment="1" applyProtection="1">
      <alignment vertical="center"/>
    </xf>
    <xf numFmtId="2" fontId="67" fillId="80" borderId="5" xfId="0" applyNumberFormat="1" applyFont="1" applyFill="1" applyBorder="1" applyAlignment="1" applyProtection="1">
      <alignment vertical="center"/>
    </xf>
    <xf numFmtId="2" fontId="67" fillId="80" borderId="12" xfId="0" applyNumberFormat="1" applyFont="1" applyFill="1" applyBorder="1" applyAlignment="1" applyProtection="1">
      <alignment horizontal="left" vertical="center"/>
    </xf>
    <xf numFmtId="2" fontId="67" fillId="79" borderId="12" xfId="0" applyNumberFormat="1" applyFont="1" applyFill="1" applyBorder="1" applyAlignment="1" applyProtection="1">
      <alignment horizontal="left" vertical="center"/>
    </xf>
    <xf numFmtId="2" fontId="67" fillId="79" borderId="0" xfId="0" applyNumberFormat="1" applyFont="1" applyFill="1" applyBorder="1" applyAlignment="1" applyProtection="1">
      <alignment vertical="center"/>
    </xf>
    <xf numFmtId="2" fontId="67" fillId="80" borderId="0" xfId="0" applyNumberFormat="1" applyFont="1" applyFill="1" applyBorder="1" applyAlignment="1" applyProtection="1">
      <alignment vertical="center"/>
    </xf>
    <xf numFmtId="1" fontId="76" fillId="77" borderId="11" xfId="0" applyNumberFormat="1" applyFont="1" applyFill="1" applyBorder="1" applyAlignment="1" applyProtection="1">
      <alignment horizontal="left"/>
    </xf>
    <xf numFmtId="1" fontId="76" fillId="77" borderId="12" xfId="0" applyNumberFormat="1" applyFont="1" applyFill="1" applyBorder="1" applyAlignment="1" applyProtection="1"/>
    <xf numFmtId="1" fontId="90" fillId="34" borderId="0" xfId="0" applyNumberFormat="1" applyFont="1" applyFill="1" applyBorder="1" applyAlignment="1" applyProtection="1">
      <alignment horizontal="center"/>
    </xf>
    <xf numFmtId="190" fontId="49" fillId="34" borderId="0" xfId="0" applyNumberFormat="1" applyFont="1" applyFill="1" applyBorder="1" applyAlignment="1" applyProtection="1">
      <alignment wrapText="1"/>
    </xf>
    <xf numFmtId="1" fontId="71" fillId="29" borderId="0" xfId="0" applyNumberFormat="1" applyFont="1" applyFill="1" applyBorder="1" applyAlignment="1" applyProtection="1">
      <alignment horizontal="center" vertical="center"/>
    </xf>
    <xf numFmtId="178" fontId="76" fillId="29" borderId="0" xfId="0" applyFont="1" applyFill="1" applyBorder="1" applyAlignment="1" applyProtection="1">
      <alignment vertical="center"/>
    </xf>
    <xf numFmtId="1" fontId="222" fillId="29" borderId="0" xfId="0" applyNumberFormat="1" applyFont="1" applyFill="1" applyAlignment="1" applyProtection="1">
      <alignment horizontal="left" vertical="center"/>
    </xf>
    <xf numFmtId="1" fontId="95" fillId="29" borderId="0" xfId="0" applyNumberFormat="1" applyFont="1" applyFill="1" applyBorder="1" applyAlignment="1" applyProtection="1">
      <alignment horizontal="center" vertical="center"/>
    </xf>
    <xf numFmtId="1" fontId="103" fillId="29" borderId="0" xfId="0" applyNumberFormat="1" applyFont="1" applyFill="1" applyBorder="1" applyAlignment="1" applyProtection="1">
      <alignment horizontal="center" vertical="center"/>
    </xf>
    <xf numFmtId="190" fontId="64" fillId="2" borderId="142" xfId="0" applyNumberFormat="1" applyFont="1" applyFill="1" applyBorder="1" applyAlignment="1" applyProtection="1">
      <alignment horizontal="center" vertical="center"/>
      <protection locked="0"/>
    </xf>
    <xf numFmtId="1" fontId="46" fillId="29" borderId="0" xfId="0" applyNumberFormat="1" applyFont="1" applyFill="1" applyAlignment="1" applyProtection="1">
      <alignment horizontal="left" vertical="center"/>
    </xf>
    <xf numFmtId="193" fontId="14" fillId="0" borderId="0" xfId="0" applyNumberFormat="1" applyFont="1" applyProtection="1">
      <protection hidden="1"/>
    </xf>
    <xf numFmtId="1" fontId="17" fillId="34" borderId="15" xfId="0" applyNumberFormat="1" applyFont="1" applyFill="1" applyBorder="1" applyAlignment="1" applyProtection="1">
      <alignment horizontal="right" vertical="center"/>
      <protection hidden="1"/>
    </xf>
    <xf numFmtId="178" fontId="17" fillId="34" borderId="11" xfId="0" applyFont="1" applyFill="1" applyBorder="1" applyAlignment="1" applyProtection="1">
      <alignment horizontal="right" vertical="center"/>
      <protection hidden="1"/>
    </xf>
    <xf numFmtId="178" fontId="17" fillId="34" borderId="15" xfId="0" applyFont="1" applyFill="1" applyBorder="1" applyAlignment="1" applyProtection="1">
      <alignment horizontal="right" vertical="center"/>
      <protection hidden="1"/>
    </xf>
    <xf numFmtId="178" fontId="89" fillId="29" borderId="0" xfId="0" applyFont="1" applyFill="1" applyProtection="1"/>
    <xf numFmtId="1" fontId="110" fillId="29" borderId="0" xfId="0" applyNumberFormat="1" applyFont="1" applyFill="1" applyBorder="1" applyAlignment="1" applyProtection="1">
      <alignment horizontal="center" vertical="center"/>
    </xf>
    <xf numFmtId="178" fontId="110" fillId="29" borderId="0" xfId="0" applyFont="1" applyFill="1" applyBorder="1" applyAlignment="1" applyProtection="1">
      <alignment vertical="center"/>
    </xf>
    <xf numFmtId="1" fontId="223" fillId="29" borderId="0" xfId="0" applyNumberFormat="1" applyFont="1" applyFill="1" applyAlignment="1" applyProtection="1">
      <alignment horizontal="center" vertical="center"/>
    </xf>
    <xf numFmtId="1" fontId="223" fillId="29" borderId="170" xfId="0" applyNumberFormat="1" applyFont="1" applyFill="1" applyBorder="1" applyAlignment="1" applyProtection="1">
      <alignment horizontal="center" vertical="center"/>
    </xf>
    <xf numFmtId="1" fontId="223" fillId="29" borderId="171" xfId="0" applyNumberFormat="1" applyFont="1" applyFill="1" applyBorder="1" applyAlignment="1" applyProtection="1">
      <alignment horizontal="center" vertical="center"/>
    </xf>
    <xf numFmtId="1" fontId="223" fillId="29" borderId="172" xfId="0" applyNumberFormat="1" applyFont="1" applyFill="1" applyBorder="1" applyAlignment="1" applyProtection="1">
      <alignment horizontal="center" vertical="center"/>
    </xf>
    <xf numFmtId="178" fontId="224" fillId="29" borderId="0" xfId="0" applyFont="1" applyFill="1" applyAlignment="1" applyProtection="1">
      <alignment horizontal="center"/>
    </xf>
    <xf numFmtId="178" fontId="132" fillId="78" borderId="9" xfId="0" applyFont="1" applyFill="1" applyBorder="1" applyAlignment="1" applyProtection="1">
      <alignment vertical="center"/>
    </xf>
    <xf numFmtId="178" fontId="180" fillId="78" borderId="9" xfId="0" applyFont="1" applyFill="1" applyBorder="1" applyAlignment="1" applyProtection="1">
      <alignment horizontal="right" vertical="center"/>
    </xf>
    <xf numFmtId="190" fontId="180" fillId="78" borderId="9" xfId="0" applyNumberFormat="1" applyFont="1" applyFill="1" applyBorder="1" applyAlignment="1" applyProtection="1">
      <alignment horizontal="center" vertical="center"/>
    </xf>
    <xf numFmtId="190" fontId="180" fillId="78" borderId="10" xfId="0" applyNumberFormat="1" applyFont="1" applyFill="1" applyBorder="1" applyAlignment="1" applyProtection="1">
      <alignment vertical="center"/>
    </xf>
    <xf numFmtId="49" fontId="5" fillId="80" borderId="165" xfId="0" applyNumberFormat="1" applyFont="1" applyFill="1" applyBorder="1" applyAlignment="1" applyProtection="1">
      <alignment vertical="center"/>
    </xf>
    <xf numFmtId="49" fontId="5" fillId="79" borderId="0" xfId="0" applyNumberFormat="1" applyFont="1" applyFill="1" applyBorder="1" applyAlignment="1" applyProtection="1">
      <alignment horizontal="center" vertical="center"/>
    </xf>
    <xf numFmtId="1" fontId="132" fillId="34" borderId="0" xfId="0" applyNumberFormat="1" applyFont="1" applyFill="1" applyProtection="1"/>
    <xf numFmtId="193" fontId="129" fillId="34" borderId="0" xfId="0" applyNumberFormat="1" applyFont="1" applyFill="1" applyBorder="1" applyAlignment="1" applyProtection="1"/>
    <xf numFmtId="1" fontId="227" fillId="29" borderId="0" xfId="0" applyNumberFormat="1" applyFont="1" applyFill="1" applyAlignment="1" applyProtection="1">
      <alignment horizontal="center" vertical="center"/>
    </xf>
    <xf numFmtId="1" fontId="228" fillId="29" borderId="0" xfId="0" applyNumberFormat="1" applyFont="1" applyFill="1" applyAlignment="1" applyProtection="1">
      <alignment horizontal="center" vertical="center"/>
    </xf>
    <xf numFmtId="1" fontId="223" fillId="29" borderId="0" xfId="0" applyNumberFormat="1" applyFont="1" applyFill="1" applyBorder="1" applyAlignment="1" applyProtection="1">
      <alignment horizontal="center" vertical="center"/>
    </xf>
    <xf numFmtId="1" fontId="229" fillId="29" borderId="0" xfId="0" applyNumberFormat="1" applyFont="1" applyFill="1" applyAlignment="1" applyProtection="1">
      <alignment horizontal="center" vertical="center"/>
    </xf>
    <xf numFmtId="178" fontId="230" fillId="29" borderId="0" xfId="0" applyFont="1" applyFill="1" applyBorder="1" applyAlignment="1" applyProtection="1">
      <alignment vertical="center"/>
    </xf>
    <xf numFmtId="178" fontId="225" fillId="29" borderId="0" xfId="0" applyFont="1" applyFill="1" applyProtection="1"/>
    <xf numFmtId="1" fontId="228" fillId="29" borderId="0" xfId="0" applyNumberFormat="1" applyFont="1" applyFill="1" applyAlignment="1" applyProtection="1">
      <alignment horizontal="center"/>
    </xf>
    <xf numFmtId="178" fontId="228" fillId="29" borderId="0" xfId="0" applyFont="1" applyFill="1" applyProtection="1"/>
    <xf numFmtId="178" fontId="231" fillId="29" borderId="0" xfId="0" applyFont="1" applyFill="1" applyProtection="1"/>
    <xf numFmtId="1" fontId="229" fillId="29" borderId="0" xfId="0" applyNumberFormat="1" applyFont="1" applyFill="1" applyAlignment="1" applyProtection="1">
      <alignment vertical="center"/>
    </xf>
    <xf numFmtId="1" fontId="230" fillId="29" borderId="0" xfId="0" applyNumberFormat="1" applyFont="1" applyFill="1" applyAlignment="1" applyProtection="1">
      <alignment horizontal="center" vertical="center"/>
    </xf>
    <xf numFmtId="178" fontId="227" fillId="29" borderId="0" xfId="0" applyFont="1" applyFill="1" applyProtection="1"/>
    <xf numFmtId="1" fontId="231" fillId="29" borderId="0" xfId="0" applyNumberFormat="1" applyFont="1" applyFill="1" applyAlignment="1" applyProtection="1">
      <alignment horizontal="right" vertical="center"/>
    </xf>
    <xf numFmtId="1" fontId="231" fillId="29" borderId="0" xfId="0" applyNumberFormat="1" applyFont="1" applyFill="1" applyAlignment="1" applyProtection="1">
      <alignment horizontal="center" vertical="center"/>
    </xf>
    <xf numFmtId="178" fontId="231" fillId="29" borderId="0" xfId="0" applyFont="1" applyFill="1" applyAlignment="1" applyProtection="1">
      <alignment horizontal="center" vertical="center"/>
    </xf>
    <xf numFmtId="1" fontId="232" fillId="34" borderId="173" xfId="0" applyNumberFormat="1" applyFont="1" applyFill="1" applyBorder="1" applyAlignment="1" applyProtection="1">
      <alignment horizontal="center" vertical="center"/>
    </xf>
    <xf numFmtId="1" fontId="232" fillId="29" borderId="174" xfId="0" applyNumberFormat="1" applyFont="1" applyFill="1" applyBorder="1" applyAlignment="1" applyProtection="1">
      <alignment horizontal="center" vertical="center"/>
    </xf>
    <xf numFmtId="1" fontId="232" fillId="34" borderId="175" xfId="0" applyNumberFormat="1" applyFont="1" applyFill="1" applyBorder="1" applyAlignment="1" applyProtection="1">
      <alignment horizontal="center" vertical="center"/>
    </xf>
    <xf numFmtId="1" fontId="232" fillId="34" borderId="176" xfId="0" applyNumberFormat="1" applyFont="1" applyFill="1" applyBorder="1" applyAlignment="1" applyProtection="1">
      <alignment horizontal="center" vertical="center"/>
    </xf>
    <xf numFmtId="1" fontId="232" fillId="29" borderId="177" xfId="0" applyNumberFormat="1" applyFont="1" applyFill="1" applyBorder="1" applyAlignment="1" applyProtection="1">
      <alignment horizontal="center" vertical="center"/>
    </xf>
    <xf numFmtId="1" fontId="232" fillId="29" borderId="178" xfId="0" applyNumberFormat="1" applyFont="1" applyFill="1" applyBorder="1" applyAlignment="1" applyProtection="1">
      <alignment horizontal="center" vertical="center"/>
    </xf>
    <xf numFmtId="178" fontId="232" fillId="34" borderId="178" xfId="0" applyFont="1" applyFill="1" applyBorder="1" applyAlignment="1" applyProtection="1">
      <alignment vertical="center"/>
    </xf>
    <xf numFmtId="1" fontId="232" fillId="34" borderId="179" xfId="0" applyNumberFormat="1" applyFont="1" applyFill="1" applyBorder="1" applyAlignment="1" applyProtection="1">
      <alignment horizontal="center" vertical="center"/>
    </xf>
    <xf numFmtId="1" fontId="232" fillId="29" borderId="180" xfId="0" applyNumberFormat="1" applyFont="1" applyFill="1" applyBorder="1" applyAlignment="1" applyProtection="1">
      <alignment horizontal="center" vertical="center"/>
    </xf>
    <xf numFmtId="178" fontId="232" fillId="34" borderId="181" xfId="0" applyFont="1" applyFill="1" applyBorder="1" applyAlignment="1" applyProtection="1">
      <alignment vertical="center"/>
    </xf>
    <xf numFmtId="1" fontId="233" fillId="29" borderId="173" xfId="0" applyNumberFormat="1" applyFont="1" applyFill="1" applyBorder="1" applyAlignment="1" applyProtection="1">
      <alignment horizontal="center" vertical="center"/>
    </xf>
    <xf numFmtId="1" fontId="233" fillId="29" borderId="174" xfId="0" applyNumberFormat="1" applyFont="1" applyFill="1" applyBorder="1" applyAlignment="1" applyProtection="1">
      <alignment horizontal="center" vertical="center"/>
    </xf>
    <xf numFmtId="1" fontId="233" fillId="29" borderId="175" xfId="0" applyNumberFormat="1" applyFont="1" applyFill="1" applyBorder="1" applyAlignment="1" applyProtection="1">
      <alignment horizontal="center" vertical="center"/>
    </xf>
    <xf numFmtId="1" fontId="232" fillId="29" borderId="176" xfId="0" applyNumberFormat="1" applyFont="1" applyFill="1" applyBorder="1" applyAlignment="1" applyProtection="1">
      <alignment horizontal="center" vertical="center"/>
    </xf>
    <xf numFmtId="178" fontId="232" fillId="29" borderId="178" xfId="0" applyFont="1" applyFill="1" applyBorder="1" applyAlignment="1" applyProtection="1">
      <alignment horizontal="center" vertical="center"/>
    </xf>
    <xf numFmtId="1" fontId="232" fillId="29" borderId="179" xfId="0" applyNumberFormat="1" applyFont="1" applyFill="1" applyBorder="1" applyAlignment="1" applyProtection="1">
      <alignment horizontal="center" vertical="center"/>
    </xf>
    <xf numFmtId="178" fontId="232" fillId="29" borderId="181" xfId="0" applyFont="1" applyFill="1" applyBorder="1" applyAlignment="1" applyProtection="1">
      <alignment horizontal="center" vertical="center"/>
    </xf>
    <xf numFmtId="178" fontId="234" fillId="29" borderId="0" xfId="0" applyFont="1" applyFill="1" applyAlignment="1" applyProtection="1">
      <alignment vertical="center"/>
    </xf>
    <xf numFmtId="1" fontId="15" fillId="47" borderId="17" xfId="0" applyNumberFormat="1" applyFont="1" applyFill="1" applyBorder="1" applyAlignment="1" applyProtection="1">
      <alignment vertical="center"/>
    </xf>
    <xf numFmtId="1" fontId="15" fillId="47" borderId="17" xfId="0" applyNumberFormat="1" applyFont="1" applyFill="1" applyBorder="1" applyAlignment="1" applyProtection="1">
      <alignment horizontal="right" vertical="center"/>
    </xf>
    <xf numFmtId="215" fontId="237" fillId="47" borderId="0" xfId="0" applyNumberFormat="1" applyFont="1" applyFill="1" applyBorder="1" applyAlignment="1" applyProtection="1">
      <alignment vertical="center"/>
    </xf>
    <xf numFmtId="215" fontId="237" fillId="47" borderId="5" xfId="0" applyNumberFormat="1" applyFont="1" applyFill="1" applyBorder="1" applyAlignment="1" applyProtection="1">
      <alignment vertical="center"/>
    </xf>
    <xf numFmtId="1" fontId="238" fillId="47" borderId="17" xfId="0" applyNumberFormat="1" applyFont="1" applyFill="1" applyBorder="1" applyAlignment="1" applyProtection="1">
      <alignment vertical="center"/>
    </xf>
    <xf numFmtId="1" fontId="238" fillId="47" borderId="18" xfId="0" applyNumberFormat="1" applyFont="1" applyFill="1" applyBorder="1" applyAlignment="1" applyProtection="1">
      <alignment vertical="center"/>
    </xf>
    <xf numFmtId="178" fontId="9" fillId="0" borderId="5" xfId="0" applyFont="1" applyFill="1" applyBorder="1" applyAlignment="1" applyProtection="1">
      <alignment vertical="center" wrapText="1"/>
      <protection hidden="1"/>
    </xf>
    <xf numFmtId="178" fontId="40" fillId="63" borderId="50" xfId="0" applyFont="1" applyFill="1" applyBorder="1" applyAlignment="1" applyProtection="1">
      <alignment vertical="center"/>
      <protection hidden="1"/>
    </xf>
    <xf numFmtId="178" fontId="40" fillId="63" borderId="46" xfId="0" applyFont="1" applyFill="1" applyBorder="1" applyAlignment="1" applyProtection="1">
      <alignment vertical="center"/>
      <protection hidden="1"/>
    </xf>
    <xf numFmtId="178" fontId="40" fillId="68" borderId="46" xfId="0" applyFont="1" applyFill="1" applyBorder="1" applyAlignment="1" applyProtection="1">
      <alignment vertical="center"/>
      <protection hidden="1"/>
    </xf>
    <xf numFmtId="178" fontId="40" fillId="68" borderId="47" xfId="0" applyFont="1" applyFill="1" applyBorder="1" applyAlignment="1" applyProtection="1">
      <alignment vertical="center"/>
      <protection hidden="1"/>
    </xf>
    <xf numFmtId="183" fontId="9" fillId="0" borderId="12" xfId="0" applyNumberFormat="1" applyFont="1" applyBorder="1" applyAlignment="1" applyProtection="1">
      <alignment horizontal="left" vertical="center"/>
      <protection hidden="1"/>
    </xf>
    <xf numFmtId="171" fontId="9" fillId="0" borderId="13" xfId="0" applyNumberFormat="1" applyFont="1" applyBorder="1" applyAlignment="1" applyProtection="1">
      <alignment horizontal="left" vertical="center"/>
      <protection hidden="1"/>
    </xf>
    <xf numFmtId="178" fontId="20" fillId="44" borderId="0" xfId="0" applyFont="1" applyFill="1" applyAlignment="1" applyProtection="1">
      <alignment horizontal="left"/>
      <protection locked="0"/>
    </xf>
    <xf numFmtId="178" fontId="11" fillId="0" borderId="0" xfId="0" applyNumberFormat="1" applyFont="1" applyAlignment="1"/>
    <xf numFmtId="2" fontId="14" fillId="0" borderId="0" xfId="0" applyNumberFormat="1" applyFont="1" applyFill="1" applyAlignment="1">
      <alignment horizontal="center"/>
    </xf>
    <xf numFmtId="170" fontId="14" fillId="0" borderId="0" xfId="0" applyNumberFormat="1" applyFont="1" applyFill="1" applyAlignment="1">
      <alignment horizontal="left"/>
    </xf>
    <xf numFmtId="169" fontId="14" fillId="0" borderId="0" xfId="0" applyNumberFormat="1" applyFont="1" applyFill="1" applyAlignment="1">
      <alignment horizontal="center"/>
    </xf>
    <xf numFmtId="204" fontId="14" fillId="0" borderId="0" xfId="0" applyNumberFormat="1" applyFont="1" applyFill="1" applyAlignment="1">
      <alignment horizontal="center"/>
    </xf>
    <xf numFmtId="178" fontId="145" fillId="44" borderId="0" xfId="0" applyFont="1" applyFill="1" applyAlignment="1" applyProtection="1">
      <alignment horizontal="left" vertical="center"/>
      <protection locked="0"/>
    </xf>
    <xf numFmtId="178" fontId="165" fillId="34" borderId="0" xfId="0" applyFont="1" applyFill="1" applyProtection="1">
      <protection locked="0"/>
    </xf>
    <xf numFmtId="178" fontId="0" fillId="86" borderId="17" xfId="0" applyFill="1" applyBorder="1" applyProtection="1"/>
    <xf numFmtId="178" fontId="0" fillId="86" borderId="18" xfId="0" applyFill="1" applyBorder="1" applyProtection="1"/>
    <xf numFmtId="178" fontId="0" fillId="86" borderId="0" xfId="0" applyFill="1" applyBorder="1" applyProtection="1"/>
    <xf numFmtId="178" fontId="0" fillId="86" borderId="5" xfId="0" applyFill="1" applyBorder="1" applyProtection="1"/>
    <xf numFmtId="178" fontId="20" fillId="86" borderId="0" xfId="0" applyFont="1" applyFill="1" applyBorder="1" applyAlignment="1" applyProtection="1">
      <alignment vertical="center" wrapText="1" shrinkToFit="1"/>
    </xf>
    <xf numFmtId="178" fontId="20" fillId="86" borderId="5" xfId="0" applyFont="1" applyFill="1" applyBorder="1" applyAlignment="1" applyProtection="1">
      <alignment vertical="center" wrapText="1" shrinkToFit="1"/>
    </xf>
    <xf numFmtId="178" fontId="0" fillId="86" borderId="12" xfId="0" applyFill="1" applyBorder="1" applyProtection="1"/>
    <xf numFmtId="178" fontId="0" fillId="86" borderId="13" xfId="0" applyFill="1" applyBorder="1" applyProtection="1"/>
    <xf numFmtId="178" fontId="173" fillId="34" borderId="0" xfId="0" applyFont="1" applyFill="1"/>
    <xf numFmtId="193" fontId="14" fillId="34" borderId="0" xfId="0" applyNumberFormat="1" applyFont="1" applyFill="1" applyAlignment="1"/>
    <xf numFmtId="0" fontId="23" fillId="0" borderId="0" xfId="0" applyNumberFormat="1" applyFont="1" applyFill="1" applyAlignment="1">
      <alignment horizontal="center"/>
    </xf>
    <xf numFmtId="18" fontId="23" fillId="0" borderId="0" xfId="0" applyNumberFormat="1" applyFont="1" applyFill="1" applyAlignment="1">
      <alignment horizontal="center"/>
    </xf>
    <xf numFmtId="3" fontId="23" fillId="0" borderId="0" xfId="0" applyNumberFormat="1" applyFont="1" applyFill="1" applyAlignment="1">
      <alignment horizontal="center"/>
    </xf>
    <xf numFmtId="10" fontId="23" fillId="0" borderId="0" xfId="0" applyNumberFormat="1" applyFont="1" applyFill="1" applyAlignment="1">
      <alignment horizontal="center"/>
    </xf>
    <xf numFmtId="0" fontId="216" fillId="0" borderId="0" xfId="0" applyNumberFormat="1" applyFont="1" applyFill="1" applyAlignment="1">
      <alignment horizontal="left"/>
    </xf>
    <xf numFmtId="14" fontId="46" fillId="0" borderId="0" xfId="0" applyNumberFormat="1" applyFont="1" applyFill="1" applyAlignment="1">
      <alignment horizontal="center"/>
    </xf>
    <xf numFmtId="204" fontId="23" fillId="0" borderId="0" xfId="0" applyNumberFormat="1" applyFont="1" applyFill="1" applyAlignment="1">
      <alignment horizontal="center"/>
    </xf>
    <xf numFmtId="204" fontId="46" fillId="0" borderId="0" xfId="0" applyNumberFormat="1" applyFont="1" applyFill="1" applyAlignment="1">
      <alignment horizontal="center"/>
    </xf>
    <xf numFmtId="178" fontId="225" fillId="0" borderId="0" xfId="0" applyFont="1"/>
    <xf numFmtId="1" fontId="46" fillId="0" borderId="0" xfId="0" applyNumberFormat="1" applyFont="1" applyFill="1" applyAlignment="1">
      <alignment horizontal="center"/>
    </xf>
    <xf numFmtId="0" fontId="216" fillId="0" borderId="0" xfId="0" applyNumberFormat="1" applyFont="1" applyFill="1" applyAlignment="1">
      <alignment horizontal="center"/>
    </xf>
    <xf numFmtId="18" fontId="216" fillId="0" borderId="0" xfId="0" applyNumberFormat="1" applyFont="1" applyFill="1" applyAlignment="1">
      <alignment horizontal="center"/>
    </xf>
    <xf numFmtId="3" fontId="216" fillId="0" borderId="0" xfId="0" applyNumberFormat="1" applyFont="1" applyFill="1" applyAlignment="1">
      <alignment horizontal="center"/>
    </xf>
    <xf numFmtId="10" fontId="216" fillId="0" borderId="0" xfId="0" applyNumberFormat="1" applyFont="1" applyFill="1" applyAlignment="1">
      <alignment horizontal="center"/>
    </xf>
    <xf numFmtId="170" fontId="216" fillId="0" borderId="0" xfId="0" applyNumberFormat="1" applyFont="1" applyFill="1" applyAlignment="1">
      <alignment horizontal="center"/>
    </xf>
    <xf numFmtId="0" fontId="64" fillId="0" borderId="0" xfId="0" applyNumberFormat="1" applyFont="1" applyFill="1" applyAlignment="1">
      <alignment horizontal="left"/>
    </xf>
    <xf numFmtId="0" fontId="216" fillId="44" borderId="0" xfId="0" applyNumberFormat="1" applyFont="1" applyFill="1" applyAlignment="1">
      <alignment horizontal="left"/>
    </xf>
    <xf numFmtId="213" fontId="14" fillId="0" borderId="0" xfId="0" applyNumberFormat="1" applyFont="1" applyAlignment="1" applyProtection="1">
      <alignment horizontal="center"/>
      <protection hidden="1"/>
    </xf>
    <xf numFmtId="215" fontId="14" fillId="0" borderId="0" xfId="0" applyNumberFormat="1" applyFont="1" applyAlignment="1" applyProtection="1">
      <alignment horizontal="center"/>
      <protection hidden="1"/>
    </xf>
    <xf numFmtId="178" fontId="155" fillId="0" borderId="0" xfId="0" applyFont="1" applyAlignment="1" applyProtection="1">
      <alignment horizontal="center"/>
      <protection hidden="1"/>
    </xf>
    <xf numFmtId="178" fontId="14" fillId="0" borderId="0" xfId="0" applyNumberFormat="1" applyFont="1" applyAlignment="1" applyProtection="1">
      <protection hidden="1"/>
    </xf>
    <xf numFmtId="1" fontId="7" fillId="0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82" xfId="0" applyNumberFormat="1" applyFont="1" applyFill="1" applyBorder="1" applyAlignment="1" applyProtection="1">
      <alignment horizontal="center" vertical="center"/>
      <protection hidden="1"/>
    </xf>
    <xf numFmtId="1" fontId="46" fillId="2" borderId="22" xfId="0" quotePrefix="1" applyNumberFormat="1" applyFont="1" applyFill="1" applyBorder="1" applyAlignment="1" applyProtection="1">
      <alignment horizontal="center" vertical="center"/>
      <protection hidden="1"/>
    </xf>
    <xf numFmtId="1" fontId="46" fillId="34" borderId="26" xfId="0" quotePrefix="1" applyNumberFormat="1" applyFont="1" applyFill="1" applyBorder="1" applyAlignment="1" applyProtection="1">
      <alignment horizontal="center" vertical="center"/>
      <protection hidden="1"/>
    </xf>
    <xf numFmtId="1" fontId="46" fillId="2" borderId="26" xfId="0" quotePrefix="1" applyNumberFormat="1" applyFont="1" applyFill="1" applyBorder="1" applyAlignment="1" applyProtection="1">
      <alignment horizontal="center" vertical="center"/>
      <protection hidden="1"/>
    </xf>
    <xf numFmtId="1" fontId="46" fillId="2" borderId="57" xfId="0" quotePrefix="1" applyNumberFormat="1" applyFont="1" applyFill="1" applyBorder="1" applyAlignment="1" applyProtection="1">
      <alignment horizontal="center" vertical="center"/>
      <protection hidden="1"/>
    </xf>
    <xf numFmtId="174" fontId="48" fillId="16" borderId="75" xfId="0" applyNumberFormat="1" applyFont="1" applyFill="1" applyBorder="1" applyAlignment="1" applyProtection="1">
      <alignment horizontal="left" vertical="center"/>
      <protection hidden="1"/>
    </xf>
    <xf numFmtId="178" fontId="199" fillId="16" borderId="2" xfId="1" applyFont="1" applyFill="1" applyBorder="1" applyAlignment="1" applyProtection="1">
      <alignment vertical="center"/>
      <protection locked="0" hidden="1"/>
    </xf>
    <xf numFmtId="1" fontId="20" fillId="0" borderId="0" xfId="0" applyNumberFormat="1" applyFont="1" applyProtection="1"/>
    <xf numFmtId="212" fontId="14" fillId="0" borderId="0" xfId="0" applyNumberFormat="1" applyFont="1" applyFill="1" applyAlignment="1">
      <alignment horizontal="right"/>
    </xf>
    <xf numFmtId="170" fontId="14" fillId="44" borderId="0" xfId="0" applyNumberFormat="1" applyFont="1" applyFill="1" applyAlignment="1">
      <alignment horizontal="right"/>
    </xf>
    <xf numFmtId="1" fontId="14" fillId="0" borderId="0" xfId="0" applyNumberFormat="1" applyFont="1" applyBorder="1" applyAlignment="1" applyProtection="1">
      <alignment horizontal="center"/>
      <protection hidden="1"/>
    </xf>
    <xf numFmtId="178" fontId="9" fillId="0" borderId="0" xfId="0" applyFont="1" applyFill="1" applyBorder="1" applyAlignment="1" applyProtection="1">
      <alignment horizontal="center" vertical="center" wrapText="1"/>
      <protection hidden="1"/>
    </xf>
    <xf numFmtId="178" fontId="9" fillId="0" borderId="17" xfId="0" applyFont="1" applyFill="1" applyBorder="1" applyAlignment="1" applyProtection="1">
      <alignment horizontal="center" vertical="center" wrapText="1"/>
      <protection hidden="1"/>
    </xf>
    <xf numFmtId="178" fontId="46" fillId="0" borderId="0" xfId="0" applyFont="1" applyBorder="1" applyAlignment="1" applyProtection="1">
      <alignment horizontal="center"/>
      <protection hidden="1"/>
    </xf>
    <xf numFmtId="1" fontId="14" fillId="0" borderId="46" xfId="0" applyNumberFormat="1" applyFont="1" applyBorder="1" applyAlignment="1" applyProtection="1">
      <alignment horizontal="center"/>
      <protection hidden="1"/>
    </xf>
    <xf numFmtId="178" fontId="46" fillId="34" borderId="0" xfId="0" applyFont="1" applyFill="1" applyBorder="1" applyAlignment="1" applyProtection="1">
      <alignment horizontal="left"/>
      <protection hidden="1"/>
    </xf>
    <xf numFmtId="178" fontId="22" fillId="34" borderId="0" xfId="0" applyFont="1" applyFill="1" applyBorder="1" applyAlignment="1" applyProtection="1">
      <alignment horizontal="left"/>
      <protection hidden="1"/>
    </xf>
    <xf numFmtId="178" fontId="22" fillId="34" borderId="41" xfId="0" applyFont="1" applyFill="1" applyBorder="1" applyAlignment="1" applyProtection="1">
      <alignment horizontal="left"/>
      <protection hidden="1"/>
    </xf>
    <xf numFmtId="178" fontId="46" fillId="0" borderId="0" xfId="0" applyFont="1" applyBorder="1" applyAlignment="1" applyProtection="1">
      <alignment horizontal="center" wrapText="1"/>
      <protection hidden="1"/>
    </xf>
    <xf numFmtId="1" fontId="90" fillId="77" borderId="17" xfId="0" applyNumberFormat="1" applyFont="1" applyFill="1" applyBorder="1" applyAlignment="1" applyProtection="1">
      <alignment horizontal="center" vertical="center"/>
    </xf>
    <xf numFmtId="49" fontId="61" fillId="79" borderId="0" xfId="0" applyNumberFormat="1" applyFont="1" applyFill="1" applyBorder="1" applyAlignment="1" applyProtection="1">
      <alignment horizontal="center" vertical="center"/>
    </xf>
    <xf numFmtId="178" fontId="24" fillId="34" borderId="0" xfId="0" applyFont="1" applyFill="1" applyAlignment="1" applyProtection="1">
      <alignment horizontal="right" vertical="center"/>
    </xf>
    <xf numFmtId="1" fontId="5" fillId="34" borderId="1" xfId="0" applyNumberFormat="1" applyFont="1" applyFill="1" applyBorder="1" applyAlignment="1" applyProtection="1">
      <alignment horizontal="center" vertical="center"/>
    </xf>
    <xf numFmtId="178" fontId="20" fillId="42" borderId="6" xfId="0" applyFont="1" applyFill="1" applyBorder="1" applyAlignment="1" applyProtection="1">
      <alignment horizontal="center"/>
    </xf>
    <xf numFmtId="178" fontId="0" fillId="42" borderId="0" xfId="0" applyFill="1" applyBorder="1" applyAlignment="1" applyProtection="1">
      <alignment horizontal="center"/>
    </xf>
    <xf numFmtId="178" fontId="20" fillId="29" borderId="0" xfId="0" applyFont="1" applyFill="1" applyAlignment="1" applyProtection="1">
      <alignment horizontal="right" vertical="center"/>
    </xf>
    <xf numFmtId="178" fontId="0" fillId="42" borderId="0" xfId="0" applyFill="1" applyProtection="1"/>
    <xf numFmtId="178" fontId="20" fillId="42" borderId="0" xfId="0" applyFont="1" applyFill="1" applyBorder="1" applyAlignment="1" applyProtection="1">
      <alignment horizontal="center"/>
    </xf>
    <xf numFmtId="178" fontId="94" fillId="34" borderId="0" xfId="0" applyFont="1" applyFill="1" applyAlignment="1" applyProtection="1">
      <alignment horizontal="left" vertical="center"/>
    </xf>
    <xf numFmtId="1" fontId="231" fillId="29" borderId="0" xfId="0" applyNumberFormat="1" applyFont="1" applyFill="1" applyBorder="1" applyAlignment="1" applyProtection="1">
      <alignment horizontal="center" vertical="center"/>
    </xf>
    <xf numFmtId="1" fontId="11" fillId="0" borderId="0" xfId="0" applyNumberFormat="1" applyFont="1" applyAlignment="1">
      <alignment horizontal="center"/>
    </xf>
    <xf numFmtId="178" fontId="46" fillId="0" borderId="0" xfId="0" applyFont="1" applyAlignment="1" applyProtection="1">
      <alignment horizontal="center"/>
      <protection hidden="1"/>
    </xf>
    <xf numFmtId="178" fontId="46" fillId="0" borderId="4" xfId="0" applyFont="1" applyBorder="1" applyAlignment="1" applyProtection="1">
      <alignment horizontal="center"/>
      <protection hidden="1"/>
    </xf>
    <xf numFmtId="178" fontId="46" fillId="0" borderId="89" xfId="0" applyFont="1" applyBorder="1" applyAlignment="1" applyProtection="1">
      <alignment horizontal="center"/>
      <protection hidden="1"/>
    </xf>
    <xf numFmtId="178" fontId="14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78" fontId="46" fillId="0" borderId="4" xfId="0" applyFont="1" applyBorder="1" applyAlignment="1">
      <alignment horizontal="center"/>
    </xf>
    <xf numFmtId="178" fontId="46" fillId="0" borderId="0" xfId="0" applyFont="1" applyBorder="1" applyAlignment="1">
      <alignment horizontal="center"/>
    </xf>
    <xf numFmtId="205" fontId="14" fillId="0" borderId="0" xfId="0" applyNumberFormat="1" applyFont="1" applyAlignment="1" applyProtection="1">
      <alignment horizontal="center"/>
      <protection hidden="1"/>
    </xf>
    <xf numFmtId="178" fontId="6" fillId="3" borderId="4" xfId="0" applyFont="1" applyFill="1" applyBorder="1" applyAlignment="1" applyProtection="1">
      <alignment horizontal="center" vertical="center"/>
      <protection hidden="1"/>
    </xf>
    <xf numFmtId="178" fontId="6" fillId="3" borderId="0" xfId="0" applyFont="1" applyFill="1" applyBorder="1" applyAlignment="1" applyProtection="1">
      <alignment horizontal="center" vertical="center"/>
      <protection hidden="1"/>
    </xf>
    <xf numFmtId="178" fontId="6" fillId="3" borderId="48" xfId="0" applyFont="1" applyFill="1" applyBorder="1" applyAlignment="1" applyProtection="1">
      <alignment horizontal="center" vertical="center"/>
      <protection hidden="1"/>
    </xf>
    <xf numFmtId="178" fontId="6" fillId="3" borderId="46" xfId="0" applyFont="1" applyFill="1" applyBorder="1" applyAlignment="1" applyProtection="1">
      <alignment horizontal="center" vertical="center"/>
      <protection hidden="1"/>
    </xf>
    <xf numFmtId="178" fontId="46" fillId="0" borderId="0" xfId="0" applyFont="1" applyAlignment="1" applyProtection="1">
      <alignment horizontal="center" wrapText="1"/>
      <protection hidden="1"/>
    </xf>
    <xf numFmtId="178" fontId="6" fillId="3" borderId="30" xfId="0" applyFont="1" applyFill="1" applyBorder="1" applyAlignment="1" applyProtection="1">
      <alignment horizontal="center" vertical="center"/>
      <protection hidden="1"/>
    </xf>
    <xf numFmtId="178" fontId="6" fillId="3" borderId="67" xfId="0" applyFont="1" applyFill="1" applyBorder="1" applyAlignment="1" applyProtection="1">
      <alignment horizontal="center" vertical="center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 wrapText="1"/>
      <protection hidden="1"/>
    </xf>
    <xf numFmtId="1" fontId="14" fillId="0" borderId="0" xfId="0" applyNumberFormat="1" applyFont="1" applyAlignment="1" applyProtection="1">
      <alignment horizontal="left"/>
      <protection hidden="1"/>
    </xf>
    <xf numFmtId="1" fontId="14" fillId="0" borderId="0" xfId="0" applyNumberFormat="1" applyFont="1" applyAlignment="1" applyProtection="1">
      <alignment horizontal="right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173" fontId="28" fillId="0" borderId="67" xfId="0" applyNumberFormat="1" applyFont="1" applyBorder="1" applyAlignment="1" applyProtection="1">
      <alignment horizontal="center"/>
    </xf>
    <xf numFmtId="174" fontId="28" fillId="0" borderId="90" xfId="0" applyNumberFormat="1" applyFont="1" applyBorder="1" applyAlignment="1" applyProtection="1">
      <alignment horizontal="center"/>
    </xf>
    <xf numFmtId="178" fontId="6" fillId="3" borderId="90" xfId="0" applyFont="1" applyFill="1" applyBorder="1" applyAlignment="1" applyProtection="1">
      <alignment horizontal="right" vertical="center"/>
      <protection hidden="1"/>
    </xf>
    <xf numFmtId="178" fontId="242" fillId="88" borderId="129" xfId="0" applyFont="1" applyFill="1" applyBorder="1" applyAlignment="1" applyProtection="1">
      <protection locked="0"/>
    </xf>
    <xf numFmtId="178" fontId="24" fillId="34" borderId="67" xfId="0" applyFont="1" applyFill="1" applyBorder="1" applyAlignment="1" applyProtection="1">
      <alignment horizontal="left"/>
      <protection hidden="1"/>
    </xf>
    <xf numFmtId="178" fontId="24" fillId="34" borderId="90" xfId="0" applyFont="1" applyFill="1" applyBorder="1" applyAlignment="1" applyProtection="1">
      <alignment horizontal="left"/>
      <protection hidden="1"/>
    </xf>
    <xf numFmtId="178" fontId="24" fillId="34" borderId="30" xfId="0" applyFont="1" applyFill="1" applyBorder="1" applyAlignment="1" applyProtection="1">
      <alignment horizontal="left"/>
      <protection hidden="1"/>
    </xf>
    <xf numFmtId="178" fontId="24" fillId="34" borderId="60" xfId="0" applyFont="1" applyFill="1" applyBorder="1" applyAlignment="1" applyProtection="1">
      <alignment horizontal="left"/>
      <protection hidden="1"/>
    </xf>
    <xf numFmtId="178" fontId="24" fillId="34" borderId="59" xfId="0" applyFont="1" applyFill="1" applyBorder="1" applyAlignment="1" applyProtection="1">
      <alignment horizontal="left"/>
      <protection hidden="1"/>
    </xf>
    <xf numFmtId="178" fontId="24" fillId="34" borderId="36" xfId="0" applyFont="1" applyFill="1" applyBorder="1" applyAlignment="1" applyProtection="1">
      <alignment horizontal="left"/>
      <protection hidden="1"/>
    </xf>
    <xf numFmtId="178" fontId="15" fillId="34" borderId="40" xfId="0" applyFont="1" applyFill="1" applyBorder="1" applyAlignment="1" applyProtection="1">
      <alignment horizontal="center" vertical="top"/>
      <protection hidden="1"/>
    </xf>
    <xf numFmtId="178" fontId="15" fillId="34" borderId="0" xfId="0" applyFont="1" applyFill="1" applyBorder="1" applyAlignment="1" applyProtection="1">
      <alignment horizontal="center" vertical="top"/>
      <protection hidden="1"/>
    </xf>
    <xf numFmtId="168" fontId="159" fillId="18" borderId="7" xfId="0" applyNumberFormat="1" applyFont="1" applyFill="1" applyBorder="1" applyAlignment="1" applyProtection="1">
      <alignment horizontal="center" vertical="center"/>
      <protection hidden="1"/>
    </xf>
    <xf numFmtId="168" fontId="159" fillId="18" borderId="9" xfId="0" applyNumberFormat="1" applyFont="1" applyFill="1" applyBorder="1" applyAlignment="1" applyProtection="1">
      <alignment horizontal="center" vertical="center"/>
      <protection hidden="1"/>
    </xf>
    <xf numFmtId="168" fontId="159" fillId="18" borderId="8" xfId="0" applyNumberFormat="1" applyFont="1" applyFill="1" applyBorder="1" applyAlignment="1" applyProtection="1">
      <alignment horizontal="center" vertical="center"/>
      <protection hidden="1"/>
    </xf>
    <xf numFmtId="178" fontId="24" fillId="34" borderId="31" xfId="0" applyFont="1" applyFill="1" applyBorder="1" applyAlignment="1" applyProtection="1">
      <alignment horizontal="left"/>
      <protection hidden="1"/>
    </xf>
    <xf numFmtId="178" fontId="24" fillId="34" borderId="6" xfId="0" applyFont="1" applyFill="1" applyBorder="1" applyAlignment="1" applyProtection="1">
      <alignment horizontal="left"/>
      <protection hidden="1"/>
    </xf>
    <xf numFmtId="178" fontId="24" fillId="34" borderId="0" xfId="0" applyFont="1" applyFill="1" applyBorder="1" applyAlignment="1" applyProtection="1">
      <alignment horizontal="left"/>
      <protection hidden="1"/>
    </xf>
    <xf numFmtId="165" fontId="24" fillId="34" borderId="0" xfId="0" applyNumberFormat="1" applyFont="1" applyFill="1" applyBorder="1" applyAlignment="1" applyProtection="1">
      <alignment horizontal="left"/>
      <protection hidden="1"/>
    </xf>
    <xf numFmtId="165" fontId="24" fillId="34" borderId="89" xfId="0" applyNumberFormat="1" applyFont="1" applyFill="1" applyBorder="1" applyAlignment="1" applyProtection="1">
      <alignment horizontal="left"/>
      <protection hidden="1"/>
    </xf>
    <xf numFmtId="165" fontId="24" fillId="34" borderId="4" xfId="0" applyNumberFormat="1" applyFont="1" applyFill="1" applyBorder="1" applyAlignment="1" applyProtection="1">
      <alignment horizontal="left"/>
      <protection hidden="1"/>
    </xf>
    <xf numFmtId="165" fontId="24" fillId="34" borderId="41" xfId="0" applyNumberFormat="1" applyFont="1" applyFill="1" applyBorder="1" applyAlignment="1" applyProtection="1">
      <alignment horizontal="left"/>
      <protection hidden="1"/>
    </xf>
    <xf numFmtId="178" fontId="24" fillId="34" borderId="40" xfId="0" applyFont="1" applyFill="1" applyBorder="1" applyAlignment="1" applyProtection="1">
      <alignment horizontal="left"/>
      <protection hidden="1"/>
    </xf>
    <xf numFmtId="165" fontId="24" fillId="34" borderId="5" xfId="0" applyNumberFormat="1" applyFont="1" applyFill="1" applyBorder="1" applyAlignment="1" applyProtection="1">
      <alignment horizontal="left"/>
      <protection hidden="1"/>
    </xf>
    <xf numFmtId="178" fontId="15" fillId="34" borderId="6" xfId="0" applyFont="1" applyFill="1" applyBorder="1" applyAlignment="1" applyProtection="1">
      <alignment horizontal="center" vertical="top"/>
      <protection hidden="1"/>
    </xf>
    <xf numFmtId="1" fontId="24" fillId="34" borderId="0" xfId="0" applyNumberFormat="1" applyFont="1" applyFill="1" applyBorder="1" applyAlignment="1" applyProtection="1">
      <alignment horizontal="left"/>
      <protection hidden="1"/>
    </xf>
    <xf numFmtId="1" fontId="24" fillId="34" borderId="41" xfId="0" applyNumberFormat="1" applyFont="1" applyFill="1" applyBorder="1" applyAlignment="1" applyProtection="1">
      <alignment horizontal="left"/>
      <protection hidden="1"/>
    </xf>
    <xf numFmtId="1" fontId="24" fillId="34" borderId="89" xfId="0" applyNumberFormat="1" applyFont="1" applyFill="1" applyBorder="1" applyAlignment="1" applyProtection="1">
      <alignment horizontal="left"/>
      <protection hidden="1"/>
    </xf>
    <xf numFmtId="178" fontId="24" fillId="34" borderId="4" xfId="0" applyFont="1" applyFill="1" applyBorder="1" applyAlignment="1" applyProtection="1">
      <alignment horizontal="left"/>
      <protection hidden="1"/>
    </xf>
    <xf numFmtId="178" fontId="24" fillId="34" borderId="41" xfId="0" applyFont="1" applyFill="1" applyBorder="1" applyAlignment="1" applyProtection="1">
      <alignment horizontal="left"/>
      <protection hidden="1"/>
    </xf>
    <xf numFmtId="1" fontId="24" fillId="34" borderId="5" xfId="0" applyNumberFormat="1" applyFont="1" applyFill="1" applyBorder="1" applyAlignment="1" applyProtection="1">
      <alignment horizontal="left"/>
      <protection hidden="1"/>
    </xf>
    <xf numFmtId="1" fontId="97" fillId="34" borderId="75" xfId="0" applyNumberFormat="1" applyFont="1" applyFill="1" applyBorder="1" applyAlignment="1" applyProtection="1">
      <alignment horizontal="left"/>
      <protection hidden="1"/>
    </xf>
    <xf numFmtId="178" fontId="97" fillId="34" borderId="75" xfId="0" applyFont="1" applyFill="1" applyBorder="1" applyAlignment="1" applyProtection="1">
      <alignment horizontal="left"/>
      <protection hidden="1"/>
    </xf>
    <xf numFmtId="182" fontId="97" fillId="34" borderId="75" xfId="0" applyNumberFormat="1" applyFont="1" applyFill="1" applyBorder="1" applyAlignment="1" applyProtection="1">
      <alignment horizontal="left" vertical="center"/>
      <protection hidden="1"/>
    </xf>
    <xf numFmtId="1" fontId="97" fillId="34" borderId="75" xfId="0" applyNumberFormat="1" applyFont="1" applyFill="1" applyBorder="1" applyAlignment="1" applyProtection="1">
      <alignment horizontal="left" vertical="center"/>
      <protection hidden="1"/>
    </xf>
    <xf numFmtId="1" fontId="97" fillId="34" borderId="0" xfId="0" applyNumberFormat="1" applyFont="1" applyFill="1" applyBorder="1" applyAlignment="1" applyProtection="1">
      <alignment horizontal="left"/>
      <protection hidden="1"/>
    </xf>
    <xf numFmtId="178" fontId="97" fillId="34" borderId="17" xfId="0" applyFont="1" applyFill="1" applyBorder="1" applyAlignment="1" applyProtection="1">
      <alignment horizontal="left"/>
      <protection hidden="1"/>
    </xf>
    <xf numFmtId="1" fontId="186" fillId="34" borderId="77" xfId="0" applyNumberFormat="1" applyFont="1" applyFill="1" applyBorder="1" applyAlignment="1" applyProtection="1">
      <alignment horizontal="left"/>
      <protection hidden="1"/>
    </xf>
    <xf numFmtId="1" fontId="186" fillId="34" borderId="75" xfId="0" applyNumberFormat="1" applyFont="1" applyFill="1" applyBorder="1" applyAlignment="1" applyProtection="1">
      <alignment horizontal="left"/>
      <protection hidden="1"/>
    </xf>
    <xf numFmtId="1" fontId="186" fillId="34" borderId="77" xfId="0" applyNumberFormat="1" applyFont="1" applyFill="1" applyBorder="1" applyAlignment="1" applyProtection="1">
      <alignment horizontal="left" vertical="center"/>
      <protection hidden="1"/>
    </xf>
    <xf numFmtId="1" fontId="186" fillId="34" borderId="75" xfId="0" applyNumberFormat="1" applyFont="1" applyFill="1" applyBorder="1" applyAlignment="1" applyProtection="1">
      <alignment horizontal="left" vertical="center"/>
      <protection hidden="1"/>
    </xf>
    <xf numFmtId="178" fontId="198" fillId="15" borderId="105" xfId="0" applyFont="1" applyFill="1" applyBorder="1" applyAlignment="1" applyProtection="1">
      <alignment horizontal="center" vertical="center"/>
      <protection hidden="1"/>
    </xf>
    <xf numFmtId="178" fontId="198" fillId="15" borderId="14" xfId="0" applyFont="1" applyFill="1" applyBorder="1" applyAlignment="1" applyProtection="1">
      <alignment horizontal="center" vertical="center"/>
      <protection hidden="1"/>
    </xf>
    <xf numFmtId="178" fontId="198" fillId="15" borderId="107" xfId="0" applyFont="1" applyFill="1" applyBorder="1" applyAlignment="1" applyProtection="1">
      <alignment horizontal="center" vertical="center"/>
      <protection hidden="1"/>
    </xf>
    <xf numFmtId="198" fontId="195" fillId="16" borderId="31" xfId="0" applyNumberFormat="1" applyFont="1" applyFill="1" applyBorder="1" applyAlignment="1" applyProtection="1">
      <alignment horizontal="center" vertical="center"/>
      <protection hidden="1"/>
    </xf>
    <xf numFmtId="198" fontId="195" fillId="16" borderId="67" xfId="0" applyNumberFormat="1" applyFont="1" applyFill="1" applyBorder="1" applyAlignment="1" applyProtection="1">
      <alignment horizontal="center" vertical="center"/>
      <protection hidden="1"/>
    </xf>
    <xf numFmtId="198" fontId="195" fillId="16" borderId="60" xfId="0" applyNumberFormat="1" applyFont="1" applyFill="1" applyBorder="1" applyAlignment="1" applyProtection="1">
      <alignment horizontal="center" vertical="center"/>
      <protection hidden="1"/>
    </xf>
    <xf numFmtId="198" fontId="195" fillId="16" borderId="59" xfId="0" applyNumberFormat="1" applyFont="1" applyFill="1" applyBorder="1" applyAlignment="1" applyProtection="1">
      <alignment horizontal="center" vertical="center"/>
      <protection hidden="1"/>
    </xf>
    <xf numFmtId="198" fontId="195" fillId="16" borderId="36" xfId="0" applyNumberFormat="1" applyFont="1" applyFill="1" applyBorder="1" applyAlignment="1" applyProtection="1">
      <alignment horizontal="center" vertical="center"/>
      <protection hidden="1"/>
    </xf>
    <xf numFmtId="178" fontId="47" fillId="34" borderId="50" xfId="0" applyFont="1" applyFill="1" applyBorder="1" applyAlignment="1" applyProtection="1">
      <alignment horizontal="center"/>
      <protection hidden="1"/>
    </xf>
    <xf numFmtId="178" fontId="47" fillId="34" borderId="46" xfId="0" applyFont="1" applyFill="1" applyBorder="1" applyAlignment="1" applyProtection="1">
      <alignment horizontal="center"/>
      <protection hidden="1"/>
    </xf>
    <xf numFmtId="178" fontId="47" fillId="34" borderId="49" xfId="0" applyFont="1" applyFill="1" applyBorder="1" applyAlignment="1" applyProtection="1">
      <alignment horizontal="center"/>
      <protection hidden="1"/>
    </xf>
    <xf numFmtId="178" fontId="47" fillId="34" borderId="48" xfId="0" applyFont="1" applyFill="1" applyBorder="1" applyAlignment="1" applyProtection="1">
      <alignment horizontal="center"/>
      <protection hidden="1"/>
    </xf>
    <xf numFmtId="178" fontId="47" fillId="34" borderId="58" xfId="0" applyFont="1" applyFill="1" applyBorder="1" applyAlignment="1" applyProtection="1">
      <alignment horizontal="center"/>
      <protection hidden="1"/>
    </xf>
    <xf numFmtId="178" fontId="47" fillId="34" borderId="61" xfId="0" applyFont="1" applyFill="1" applyBorder="1" applyAlignment="1" applyProtection="1">
      <alignment horizontal="center"/>
      <protection hidden="1"/>
    </xf>
    <xf numFmtId="178" fontId="47" fillId="34" borderId="47" xfId="0" applyFont="1" applyFill="1" applyBorder="1" applyAlignment="1" applyProtection="1">
      <alignment horizontal="center"/>
      <protection hidden="1"/>
    </xf>
    <xf numFmtId="1" fontId="204" fillId="43" borderId="65" xfId="0" applyNumberFormat="1" applyFont="1" applyFill="1" applyBorder="1" applyAlignment="1" applyProtection="1">
      <alignment horizontal="left" vertical="center"/>
      <protection hidden="1"/>
    </xf>
    <xf numFmtId="1" fontId="204" fillId="43" borderId="118" xfId="0" applyNumberFormat="1" applyFont="1" applyFill="1" applyBorder="1" applyAlignment="1" applyProtection="1">
      <alignment horizontal="left" vertical="center"/>
      <protection hidden="1"/>
    </xf>
    <xf numFmtId="1" fontId="24" fillId="15" borderId="2" xfId="0" applyNumberFormat="1" applyFont="1" applyFill="1" applyBorder="1" applyAlignment="1" applyProtection="1">
      <alignment horizontal="center" vertical="center"/>
      <protection hidden="1"/>
    </xf>
    <xf numFmtId="1" fontId="95" fillId="15" borderId="2" xfId="0" applyNumberFormat="1" applyFont="1" applyFill="1" applyBorder="1" applyAlignment="1" applyProtection="1">
      <alignment horizontal="right" vertical="center"/>
      <protection hidden="1"/>
    </xf>
    <xf numFmtId="1" fontId="95" fillId="15" borderId="3" xfId="0" applyNumberFormat="1" applyFont="1" applyFill="1" applyBorder="1" applyAlignment="1" applyProtection="1">
      <alignment horizontal="right" vertical="center"/>
      <protection hidden="1"/>
    </xf>
    <xf numFmtId="182" fontId="97" fillId="34" borderId="12" xfId="0" applyNumberFormat="1" applyFont="1" applyFill="1" applyBorder="1" applyAlignment="1" applyProtection="1">
      <alignment horizontal="left" vertical="center"/>
      <protection hidden="1"/>
    </xf>
    <xf numFmtId="1" fontId="97" fillId="34" borderId="12" xfId="0" applyNumberFormat="1" applyFont="1" applyFill="1" applyBorder="1" applyAlignment="1" applyProtection="1">
      <alignment horizontal="left" vertical="center"/>
      <protection hidden="1"/>
    </xf>
    <xf numFmtId="187" fontId="5" fillId="34" borderId="25" xfId="0" applyNumberFormat="1" applyFont="1" applyFill="1" applyBorder="1" applyAlignment="1" applyProtection="1">
      <alignment horizontal="center"/>
      <protection hidden="1"/>
    </xf>
    <xf numFmtId="187" fontId="5" fillId="2" borderId="65" xfId="0" applyNumberFormat="1" applyFont="1" applyFill="1" applyBorder="1" applyAlignment="1" applyProtection="1">
      <alignment horizontal="center"/>
      <protection hidden="1"/>
    </xf>
    <xf numFmtId="1" fontId="0" fillId="33" borderId="142" xfId="0" applyNumberFormat="1" applyFill="1" applyBorder="1" applyAlignment="1" applyProtection="1">
      <alignment horizontal="center"/>
      <protection hidden="1"/>
    </xf>
    <xf numFmtId="1" fontId="0" fillId="33" borderId="77" xfId="0" applyNumberFormat="1" applyFill="1" applyBorder="1" applyAlignment="1" applyProtection="1">
      <alignment horizontal="center"/>
      <protection hidden="1"/>
    </xf>
    <xf numFmtId="1" fontId="0" fillId="33" borderId="76" xfId="0" applyNumberFormat="1" applyFill="1" applyBorder="1" applyAlignment="1" applyProtection="1">
      <alignment horizontal="center"/>
      <protection hidden="1"/>
    </xf>
    <xf numFmtId="166" fontId="15" fillId="0" borderId="67" xfId="0" applyNumberFormat="1" applyFont="1" applyFill="1" applyBorder="1" applyAlignment="1" applyProtection="1">
      <alignment horizontal="center" vertical="center"/>
      <protection hidden="1"/>
    </xf>
    <xf numFmtId="203" fontId="107" fillId="0" borderId="57" xfId="0" applyNumberFormat="1" applyFont="1" applyFill="1" applyBorder="1" applyAlignment="1" applyProtection="1">
      <alignment horizontal="center" vertical="center"/>
      <protection hidden="1"/>
    </xf>
    <xf numFmtId="203" fontId="107" fillId="0" borderId="65" xfId="0" applyNumberFormat="1" applyFont="1" applyFill="1" applyBorder="1" applyAlignment="1" applyProtection="1">
      <alignment horizontal="center" vertical="center"/>
      <protection hidden="1"/>
    </xf>
    <xf numFmtId="183" fontId="15" fillId="34" borderId="24" xfId="0" applyNumberFormat="1" applyFont="1" applyFill="1" applyBorder="1" applyAlignment="1" applyProtection="1">
      <alignment horizontal="center"/>
      <protection hidden="1"/>
    </xf>
    <xf numFmtId="183" fontId="15" fillId="34" borderId="25" xfId="0" applyNumberFormat="1" applyFont="1" applyFill="1" applyBorder="1" applyAlignment="1" applyProtection="1">
      <alignment horizontal="center"/>
      <protection hidden="1"/>
    </xf>
    <xf numFmtId="184" fontId="203" fillId="34" borderId="25" xfId="0" applyNumberFormat="1" applyFont="1" applyFill="1" applyBorder="1" applyAlignment="1" applyProtection="1">
      <alignment horizontal="center"/>
      <protection hidden="1"/>
    </xf>
    <xf numFmtId="184" fontId="203" fillId="34" borderId="27" xfId="0" applyNumberFormat="1" applyFont="1" applyFill="1" applyBorder="1" applyAlignment="1" applyProtection="1">
      <alignment horizontal="center"/>
      <protection hidden="1"/>
    </xf>
    <xf numFmtId="186" fontId="15" fillId="34" borderId="26" xfId="0" applyNumberFormat="1" applyFont="1" applyFill="1" applyBorder="1" applyAlignment="1" applyProtection="1">
      <alignment horizontal="center"/>
      <protection hidden="1"/>
    </xf>
    <xf numFmtId="186" fontId="15" fillId="34" borderId="25" xfId="0" applyNumberFormat="1" applyFont="1" applyFill="1" applyBorder="1" applyAlignment="1" applyProtection="1">
      <alignment horizontal="center"/>
      <protection hidden="1"/>
    </xf>
    <xf numFmtId="176" fontId="203" fillId="34" borderId="54" xfId="0" applyNumberFormat="1" applyFont="1" applyFill="1" applyBorder="1" applyAlignment="1" applyProtection="1">
      <alignment horizontal="center"/>
      <protection hidden="1"/>
    </xf>
    <xf numFmtId="176" fontId="203" fillId="34" borderId="78" xfId="0" applyNumberFormat="1" applyFont="1" applyFill="1" applyBorder="1" applyAlignment="1" applyProtection="1">
      <alignment horizontal="center"/>
      <protection hidden="1"/>
    </xf>
    <xf numFmtId="166" fontId="15" fillId="34" borderId="25" xfId="0" applyNumberFormat="1" applyFont="1" applyFill="1" applyBorder="1" applyAlignment="1" applyProtection="1">
      <alignment horizontal="center"/>
      <protection hidden="1"/>
    </xf>
    <xf numFmtId="166" fontId="15" fillId="34" borderId="27" xfId="0" applyNumberFormat="1" applyFont="1" applyFill="1" applyBorder="1" applyAlignment="1" applyProtection="1">
      <alignment horizontal="center"/>
      <protection hidden="1"/>
    </xf>
    <xf numFmtId="9" fontId="15" fillId="34" borderId="51" xfId="0" applyNumberFormat="1" applyFont="1" applyFill="1" applyBorder="1" applyAlignment="1" applyProtection="1">
      <alignment horizontal="center"/>
      <protection hidden="1"/>
    </xf>
    <xf numFmtId="9" fontId="15" fillId="34" borderId="27" xfId="0" applyNumberFormat="1" applyFont="1" applyFill="1" applyBorder="1" applyAlignment="1" applyProtection="1">
      <alignment horizontal="center"/>
      <protection hidden="1"/>
    </xf>
    <xf numFmtId="181" fontId="15" fillId="34" borderId="26" xfId="0" applyNumberFormat="1" applyFont="1" applyFill="1" applyBorder="1" applyAlignment="1" applyProtection="1">
      <alignment horizontal="center"/>
      <protection hidden="1"/>
    </xf>
    <xf numFmtId="181" fontId="15" fillId="34" borderId="25" xfId="0" applyNumberFormat="1" applyFont="1" applyFill="1" applyBorder="1" applyAlignment="1" applyProtection="1">
      <alignment horizontal="center"/>
      <protection hidden="1"/>
    </xf>
    <xf numFmtId="181" fontId="15" fillId="34" borderId="27" xfId="0" applyNumberFormat="1" applyFont="1" applyFill="1" applyBorder="1" applyAlignment="1" applyProtection="1">
      <alignment horizontal="center"/>
      <protection hidden="1"/>
    </xf>
    <xf numFmtId="187" fontId="24" fillId="34" borderId="26" xfId="0" applyNumberFormat="1" applyFont="1" applyFill="1" applyBorder="1" applyAlignment="1" applyProtection="1">
      <alignment horizontal="center"/>
      <protection hidden="1"/>
    </xf>
    <xf numFmtId="187" fontId="24" fillId="34" borderId="27" xfId="0" applyNumberFormat="1" applyFont="1" applyFill="1" applyBorder="1" applyAlignment="1" applyProtection="1">
      <alignment horizontal="center"/>
      <protection hidden="1"/>
    </xf>
    <xf numFmtId="183" fontId="15" fillId="12" borderId="31" xfId="0" applyNumberFormat="1" applyFont="1" applyFill="1" applyBorder="1" applyAlignment="1" applyProtection="1">
      <alignment horizontal="center"/>
      <protection hidden="1"/>
    </xf>
    <xf numFmtId="183" fontId="15" fillId="12" borderId="67" xfId="0" applyNumberFormat="1" applyFont="1" applyFill="1" applyBorder="1" applyAlignment="1" applyProtection="1">
      <alignment horizontal="center"/>
      <protection hidden="1"/>
    </xf>
    <xf numFmtId="184" fontId="203" fillId="12" borderId="67" xfId="0" applyNumberFormat="1" applyFont="1" applyFill="1" applyBorder="1" applyAlignment="1" applyProtection="1">
      <alignment horizontal="center"/>
      <protection hidden="1"/>
    </xf>
    <xf numFmtId="186" fontId="15" fillId="2" borderId="57" xfId="0" applyNumberFormat="1" applyFont="1" applyFill="1" applyBorder="1" applyAlignment="1" applyProtection="1">
      <alignment horizontal="center"/>
      <protection hidden="1"/>
    </xf>
    <xf numFmtId="186" fontId="15" fillId="2" borderId="65" xfId="0" applyNumberFormat="1" applyFont="1" applyFill="1" applyBorder="1" applyAlignment="1" applyProtection="1">
      <alignment horizontal="center"/>
      <protection hidden="1"/>
    </xf>
    <xf numFmtId="176" fontId="203" fillId="2" borderId="55" xfId="0" applyNumberFormat="1" applyFont="1" applyFill="1" applyBorder="1" applyAlignment="1" applyProtection="1">
      <alignment horizontal="center"/>
      <protection hidden="1"/>
    </xf>
    <xf numFmtId="176" fontId="203" fillId="2" borderId="56" xfId="0" applyNumberFormat="1" applyFont="1" applyFill="1" applyBorder="1" applyAlignment="1" applyProtection="1">
      <alignment horizontal="center"/>
      <protection hidden="1"/>
    </xf>
    <xf numFmtId="166" fontId="15" fillId="2" borderId="65" xfId="0" applyNumberFormat="1" applyFont="1" applyFill="1" applyBorder="1" applyAlignment="1" applyProtection="1">
      <alignment horizontal="center"/>
      <protection hidden="1"/>
    </xf>
    <xf numFmtId="166" fontId="15" fillId="2" borderId="56" xfId="0" applyNumberFormat="1" applyFont="1" applyFill="1" applyBorder="1" applyAlignment="1" applyProtection="1">
      <alignment horizontal="center"/>
      <protection hidden="1"/>
    </xf>
    <xf numFmtId="9" fontId="15" fillId="2" borderId="55" xfId="0" applyNumberFormat="1" applyFont="1" applyFill="1" applyBorder="1" applyAlignment="1" applyProtection="1">
      <alignment horizontal="center"/>
      <protection hidden="1"/>
    </xf>
    <xf numFmtId="9" fontId="15" fillId="2" borderId="56" xfId="0" applyNumberFormat="1" applyFont="1" applyFill="1" applyBorder="1" applyAlignment="1" applyProtection="1">
      <alignment horizontal="center"/>
      <protection hidden="1"/>
    </xf>
    <xf numFmtId="181" fontId="15" fillId="2" borderId="57" xfId="0" applyNumberFormat="1" applyFont="1" applyFill="1" applyBorder="1" applyAlignment="1" applyProtection="1">
      <alignment horizontal="center"/>
      <protection hidden="1"/>
    </xf>
    <xf numFmtId="181" fontId="15" fillId="2" borderId="65" xfId="0" applyNumberFormat="1" applyFont="1" applyFill="1" applyBorder="1" applyAlignment="1" applyProtection="1">
      <alignment horizontal="center"/>
      <protection hidden="1"/>
    </xf>
    <xf numFmtId="181" fontId="15" fillId="2" borderId="56" xfId="0" applyNumberFormat="1" applyFont="1" applyFill="1" applyBorder="1" applyAlignment="1" applyProtection="1">
      <alignment horizontal="center"/>
      <protection hidden="1"/>
    </xf>
    <xf numFmtId="187" fontId="24" fillId="2" borderId="57" xfId="0" applyNumberFormat="1" applyFont="1" applyFill="1" applyBorder="1" applyAlignment="1" applyProtection="1">
      <alignment horizontal="center"/>
      <protection hidden="1"/>
    </xf>
    <xf numFmtId="187" fontId="24" fillId="2" borderId="56" xfId="0" applyNumberFormat="1" applyFont="1" applyFill="1" applyBorder="1" applyAlignment="1" applyProtection="1">
      <alignment horizontal="center"/>
      <protection hidden="1"/>
    </xf>
    <xf numFmtId="178" fontId="15" fillId="0" borderId="67" xfId="0" applyFont="1" applyFill="1" applyBorder="1" applyAlignment="1" applyProtection="1">
      <alignment horizontal="center"/>
      <protection hidden="1"/>
    </xf>
    <xf numFmtId="203" fontId="107" fillId="0" borderId="26" xfId="0" applyNumberFormat="1" applyFont="1" applyFill="1" applyBorder="1" applyAlignment="1" applyProtection="1">
      <alignment horizontal="center" vertical="center"/>
      <protection hidden="1"/>
    </xf>
    <xf numFmtId="203" fontId="107" fillId="0" borderId="25" xfId="0" applyNumberFormat="1" applyFont="1" applyFill="1" applyBorder="1" applyAlignment="1" applyProtection="1">
      <alignment horizontal="center" vertical="center"/>
      <protection hidden="1"/>
    </xf>
    <xf numFmtId="1" fontId="204" fillId="43" borderId="25" xfId="0" applyNumberFormat="1" applyFont="1" applyFill="1" applyBorder="1" applyAlignment="1" applyProtection="1">
      <alignment horizontal="left" vertical="center"/>
      <protection hidden="1"/>
    </xf>
    <xf numFmtId="1" fontId="204" fillId="43" borderId="111" xfId="0" applyNumberFormat="1" applyFont="1" applyFill="1" applyBorder="1" applyAlignment="1" applyProtection="1">
      <alignment horizontal="left" vertical="center"/>
      <protection hidden="1"/>
    </xf>
    <xf numFmtId="1" fontId="108" fillId="22" borderId="46" xfId="0" applyNumberFormat="1" applyFont="1" applyFill="1" applyBorder="1" applyAlignment="1" applyProtection="1">
      <alignment horizontal="center"/>
      <protection hidden="1"/>
    </xf>
    <xf numFmtId="203" fontId="107" fillId="42" borderId="26" xfId="0" applyNumberFormat="1" applyFont="1" applyFill="1" applyBorder="1" applyAlignment="1" applyProtection="1">
      <alignment horizontal="center" vertical="center"/>
      <protection hidden="1"/>
    </xf>
    <xf numFmtId="203" fontId="107" fillId="42" borderId="25" xfId="0" applyNumberFormat="1" applyFont="1" applyFill="1" applyBorder="1" applyAlignment="1" applyProtection="1">
      <alignment horizontal="center" vertical="center"/>
      <protection hidden="1"/>
    </xf>
    <xf numFmtId="183" fontId="15" fillId="2" borderId="24" xfId="0" applyNumberFormat="1" applyFont="1" applyFill="1" applyBorder="1" applyAlignment="1" applyProtection="1">
      <alignment horizontal="center"/>
      <protection hidden="1"/>
    </xf>
    <xf numFmtId="183" fontId="15" fillId="2" borderId="25" xfId="0" applyNumberFormat="1" applyFont="1" applyFill="1" applyBorder="1" applyAlignment="1" applyProtection="1">
      <alignment horizontal="center"/>
      <protection hidden="1"/>
    </xf>
    <xf numFmtId="184" fontId="203" fillId="2" borderId="25" xfId="0" applyNumberFormat="1" applyFont="1" applyFill="1" applyBorder="1" applyAlignment="1" applyProtection="1">
      <alignment horizontal="center"/>
      <protection hidden="1"/>
    </xf>
    <xf numFmtId="186" fontId="15" fillId="2" borderId="26" xfId="0" applyNumberFormat="1" applyFont="1" applyFill="1" applyBorder="1" applyAlignment="1" applyProtection="1">
      <alignment horizontal="center"/>
      <protection hidden="1"/>
    </xf>
    <xf numFmtId="186" fontId="15" fillId="2" borderId="25" xfId="0" applyNumberFormat="1" applyFont="1" applyFill="1" applyBorder="1" applyAlignment="1" applyProtection="1">
      <alignment horizontal="center"/>
      <protection hidden="1"/>
    </xf>
    <xf numFmtId="176" fontId="203" fillId="2" borderId="51" xfId="0" applyNumberFormat="1" applyFont="1" applyFill="1" applyBorder="1" applyAlignment="1" applyProtection="1">
      <alignment horizontal="center"/>
      <protection hidden="1"/>
    </xf>
    <xf numFmtId="176" fontId="203" fillId="2" borderId="27" xfId="0" applyNumberFormat="1" applyFont="1" applyFill="1" applyBorder="1" applyAlignment="1" applyProtection="1">
      <alignment horizontal="center"/>
      <protection hidden="1"/>
    </xf>
    <xf numFmtId="166" fontId="15" fillId="2" borderId="25" xfId="0" applyNumberFormat="1" applyFont="1" applyFill="1" applyBorder="1" applyAlignment="1" applyProtection="1">
      <alignment horizontal="center"/>
      <protection hidden="1"/>
    </xf>
    <xf numFmtId="166" fontId="15" fillId="2" borderId="27" xfId="0" applyNumberFormat="1" applyFont="1" applyFill="1" applyBorder="1" applyAlignment="1" applyProtection="1">
      <alignment horizontal="center"/>
      <protection hidden="1"/>
    </xf>
    <xf numFmtId="9" fontId="15" fillId="2" borderId="51" xfId="0" applyNumberFormat="1" applyFont="1" applyFill="1" applyBorder="1" applyAlignment="1" applyProtection="1">
      <alignment horizontal="center"/>
      <protection hidden="1"/>
    </xf>
    <xf numFmtId="9" fontId="15" fillId="2" borderId="27" xfId="0" applyNumberFormat="1" applyFont="1" applyFill="1" applyBorder="1" applyAlignment="1" applyProtection="1">
      <alignment horizontal="center"/>
      <protection hidden="1"/>
    </xf>
    <xf numFmtId="181" fontId="15" fillId="2" borderId="26" xfId="0" applyNumberFormat="1" applyFont="1" applyFill="1" applyBorder="1" applyAlignment="1" applyProtection="1">
      <alignment horizontal="center"/>
      <protection hidden="1"/>
    </xf>
    <xf numFmtId="181" fontId="15" fillId="2" borderId="25" xfId="0" applyNumberFormat="1" applyFont="1" applyFill="1" applyBorder="1" applyAlignment="1" applyProtection="1">
      <alignment horizontal="center"/>
      <protection hidden="1"/>
    </xf>
    <xf numFmtId="181" fontId="15" fillId="2" borderId="27" xfId="0" applyNumberFormat="1" applyFont="1" applyFill="1" applyBorder="1" applyAlignment="1" applyProtection="1">
      <alignment horizontal="center"/>
      <protection hidden="1"/>
    </xf>
    <xf numFmtId="187" fontId="24" fillId="2" borderId="26" xfId="0" applyNumberFormat="1" applyFont="1" applyFill="1" applyBorder="1" applyAlignment="1" applyProtection="1">
      <alignment horizontal="center"/>
      <protection hidden="1"/>
    </xf>
    <xf numFmtId="187" fontId="24" fillId="2" borderId="27" xfId="0" applyNumberFormat="1" applyFont="1" applyFill="1" applyBorder="1" applyAlignment="1" applyProtection="1">
      <alignment horizontal="center"/>
      <protection hidden="1"/>
    </xf>
    <xf numFmtId="187" fontId="5" fillId="34" borderId="26" xfId="0" applyNumberFormat="1" applyFont="1" applyFill="1" applyBorder="1" applyAlignment="1" applyProtection="1">
      <alignment horizontal="center"/>
      <protection hidden="1"/>
    </xf>
    <xf numFmtId="187" fontId="5" fillId="2" borderId="25" xfId="0" applyNumberFormat="1" applyFont="1" applyFill="1" applyBorder="1" applyAlignment="1" applyProtection="1">
      <alignment horizontal="center"/>
      <protection hidden="1"/>
    </xf>
    <xf numFmtId="178" fontId="108" fillId="22" borderId="46" xfId="0" applyFont="1" applyFill="1" applyBorder="1" applyAlignment="1" applyProtection="1">
      <alignment horizontal="center"/>
      <protection hidden="1"/>
    </xf>
    <xf numFmtId="166" fontId="203" fillId="34" borderId="51" xfId="0" applyNumberFormat="1" applyFont="1" applyFill="1" applyBorder="1" applyAlignment="1" applyProtection="1">
      <alignment horizontal="center"/>
      <protection hidden="1"/>
    </xf>
    <xf numFmtId="166" fontId="203" fillId="34" borderId="27" xfId="0" applyNumberFormat="1" applyFont="1" applyFill="1" applyBorder="1" applyAlignment="1" applyProtection="1">
      <alignment horizontal="center"/>
      <protection hidden="1"/>
    </xf>
    <xf numFmtId="9" fontId="15" fillId="34" borderId="26" xfId="0" applyNumberFormat="1" applyFont="1" applyFill="1" applyBorder="1" applyAlignment="1" applyProtection="1">
      <alignment horizontal="center"/>
      <protection hidden="1"/>
    </xf>
    <xf numFmtId="9" fontId="15" fillId="34" borderId="67" xfId="0" applyNumberFormat="1" applyFont="1" applyFill="1" applyBorder="1" applyAlignment="1" applyProtection="1">
      <alignment horizontal="center"/>
      <protection hidden="1"/>
    </xf>
    <xf numFmtId="166" fontId="203" fillId="2" borderId="51" xfId="0" applyNumberFormat="1" applyFont="1" applyFill="1" applyBorder="1" applyAlignment="1" applyProtection="1">
      <alignment horizontal="center"/>
      <protection hidden="1"/>
    </xf>
    <xf numFmtId="166" fontId="203" fillId="2" borderId="27" xfId="0" applyNumberFormat="1" applyFont="1" applyFill="1" applyBorder="1" applyAlignment="1" applyProtection="1">
      <alignment horizontal="center"/>
      <protection hidden="1"/>
    </xf>
    <xf numFmtId="9" fontId="15" fillId="2" borderId="26" xfId="0" applyNumberFormat="1" applyFont="1" applyFill="1" applyBorder="1" applyAlignment="1" applyProtection="1">
      <alignment horizontal="center"/>
      <protection hidden="1"/>
    </xf>
    <xf numFmtId="187" fontId="5" fillId="2" borderId="26" xfId="0" applyNumberFormat="1" applyFont="1" applyFill="1" applyBorder="1" applyAlignment="1" applyProtection="1">
      <alignment horizontal="center"/>
      <protection hidden="1"/>
    </xf>
    <xf numFmtId="9" fontId="95" fillId="34" borderId="0" xfId="0" applyNumberFormat="1" applyFont="1" applyFill="1" applyBorder="1" applyAlignment="1" applyProtection="1">
      <alignment horizontal="center" vertical="top"/>
      <protection hidden="1"/>
    </xf>
    <xf numFmtId="181" fontId="15" fillId="0" borderId="67" xfId="0" applyNumberFormat="1" applyFont="1" applyFill="1" applyBorder="1" applyAlignment="1" applyProtection="1">
      <alignment horizontal="center"/>
      <protection hidden="1"/>
    </xf>
    <xf numFmtId="194" fontId="15" fillId="34" borderId="67" xfId="0" applyNumberFormat="1" applyFont="1" applyFill="1" applyBorder="1" applyAlignment="1" applyProtection="1">
      <alignment horizontal="center"/>
      <protection hidden="1"/>
    </xf>
    <xf numFmtId="186" fontId="102" fillId="34" borderId="67" xfId="0" applyNumberFormat="1" applyFont="1" applyFill="1" applyBorder="1" applyAlignment="1" applyProtection="1">
      <alignment horizontal="center"/>
      <protection hidden="1"/>
    </xf>
    <xf numFmtId="166" fontId="196" fillId="34" borderId="67" xfId="0" applyNumberFormat="1" applyFont="1" applyFill="1" applyBorder="1" applyAlignment="1" applyProtection="1">
      <alignment horizontal="center"/>
      <protection hidden="1"/>
    </xf>
    <xf numFmtId="187" fontId="5" fillId="2" borderId="22" xfId="0" applyNumberFormat="1" applyFont="1" applyFill="1" applyBorder="1" applyAlignment="1" applyProtection="1">
      <alignment horizontal="center"/>
      <protection hidden="1"/>
    </xf>
    <xf numFmtId="187" fontId="5" fillId="2" borderId="21" xfId="0" applyNumberFormat="1" applyFont="1" applyFill="1" applyBorder="1" applyAlignment="1" applyProtection="1">
      <alignment horizontal="center"/>
      <protection hidden="1"/>
    </xf>
    <xf numFmtId="183" fontId="15" fillId="2" borderId="20" xfId="0" applyNumberFormat="1" applyFont="1" applyFill="1" applyBorder="1" applyAlignment="1" applyProtection="1">
      <alignment horizontal="center"/>
      <protection hidden="1"/>
    </xf>
    <xf numFmtId="183" fontId="15" fillId="2" borderId="21" xfId="0" applyNumberFormat="1" applyFont="1" applyFill="1" applyBorder="1" applyAlignment="1" applyProtection="1">
      <alignment horizontal="center"/>
      <protection hidden="1"/>
    </xf>
    <xf numFmtId="184" fontId="203" fillId="2" borderId="21" xfId="0" applyNumberFormat="1" applyFont="1" applyFill="1" applyBorder="1" applyAlignment="1" applyProtection="1">
      <alignment horizontal="center"/>
      <protection hidden="1"/>
    </xf>
    <xf numFmtId="186" fontId="15" fillId="2" borderId="22" xfId="0" applyNumberFormat="1" applyFont="1" applyFill="1" applyBorder="1" applyAlignment="1" applyProtection="1">
      <alignment horizontal="center"/>
      <protection hidden="1"/>
    </xf>
    <xf numFmtId="186" fontId="15" fillId="2" borderId="21" xfId="0" applyNumberFormat="1" applyFont="1" applyFill="1" applyBorder="1" applyAlignment="1" applyProtection="1">
      <alignment horizontal="center"/>
      <protection hidden="1"/>
    </xf>
    <xf numFmtId="166" fontId="203" fillId="2" borderId="68" xfId="0" applyNumberFormat="1" applyFont="1" applyFill="1" applyBorder="1" applyAlignment="1" applyProtection="1">
      <alignment horizontal="center"/>
      <protection hidden="1"/>
    </xf>
    <xf numFmtId="166" fontId="203" fillId="2" borderId="23" xfId="0" applyNumberFormat="1" applyFont="1" applyFill="1" applyBorder="1" applyAlignment="1" applyProtection="1">
      <alignment horizontal="center"/>
      <protection hidden="1"/>
    </xf>
    <xf numFmtId="166" fontId="15" fillId="2" borderId="21" xfId="0" applyNumberFormat="1" applyFont="1" applyFill="1" applyBorder="1" applyAlignment="1" applyProtection="1">
      <alignment horizontal="center"/>
      <protection hidden="1"/>
    </xf>
    <xf numFmtId="166" fontId="15" fillId="2" borderId="23" xfId="0" applyNumberFormat="1" applyFont="1" applyFill="1" applyBorder="1" applyAlignment="1" applyProtection="1">
      <alignment horizontal="center"/>
      <protection hidden="1"/>
    </xf>
    <xf numFmtId="9" fontId="15" fillId="2" borderId="22" xfId="0" applyNumberFormat="1" applyFont="1" applyFill="1" applyBorder="1" applyAlignment="1" applyProtection="1">
      <alignment horizontal="center"/>
      <protection hidden="1"/>
    </xf>
    <xf numFmtId="9" fontId="15" fillId="2" borderId="23" xfId="0" applyNumberFormat="1" applyFont="1" applyFill="1" applyBorder="1" applyAlignment="1" applyProtection="1">
      <alignment horizontal="center"/>
      <protection hidden="1"/>
    </xf>
    <xf numFmtId="181" fontId="15" fillId="2" borderId="22" xfId="0" applyNumberFormat="1" applyFont="1" applyFill="1" applyBorder="1" applyAlignment="1" applyProtection="1">
      <alignment horizontal="center"/>
      <protection hidden="1"/>
    </xf>
    <xf numFmtId="181" fontId="15" fillId="2" borderId="21" xfId="0" applyNumberFormat="1" applyFont="1" applyFill="1" applyBorder="1" applyAlignment="1" applyProtection="1">
      <alignment horizontal="center"/>
      <protection hidden="1"/>
    </xf>
    <xf numFmtId="181" fontId="15" fillId="2" borderId="23" xfId="0" applyNumberFormat="1" applyFont="1" applyFill="1" applyBorder="1" applyAlignment="1" applyProtection="1">
      <alignment horizontal="center"/>
      <protection hidden="1"/>
    </xf>
    <xf numFmtId="187" fontId="24" fillId="2" borderId="22" xfId="0" applyNumberFormat="1" applyFont="1" applyFill="1" applyBorder="1" applyAlignment="1" applyProtection="1">
      <alignment horizontal="center"/>
      <protection hidden="1"/>
    </xf>
    <xf numFmtId="187" fontId="24" fillId="2" borderId="23" xfId="0" applyNumberFormat="1" applyFont="1" applyFill="1" applyBorder="1" applyAlignment="1" applyProtection="1">
      <alignment horizontal="center"/>
      <protection hidden="1"/>
    </xf>
    <xf numFmtId="178" fontId="17" fillId="15" borderId="7" xfId="0" applyFont="1" applyFill="1" applyBorder="1" applyAlignment="1" applyProtection="1">
      <alignment horizontal="center" vertical="center"/>
      <protection hidden="1"/>
    </xf>
    <xf numFmtId="178" fontId="17" fillId="15" borderId="9" xfId="0" applyFont="1" applyFill="1" applyBorder="1" applyAlignment="1" applyProtection="1">
      <alignment horizontal="center" vertical="center"/>
      <protection hidden="1"/>
    </xf>
    <xf numFmtId="178" fontId="17" fillId="15" borderId="10" xfId="0" applyFont="1" applyFill="1" applyBorder="1" applyAlignment="1" applyProtection="1">
      <alignment horizontal="center" vertical="center"/>
      <protection hidden="1"/>
    </xf>
    <xf numFmtId="178" fontId="106" fillId="0" borderId="50" xfId="0" applyFont="1" applyBorder="1" applyAlignment="1" applyProtection="1">
      <alignment horizontal="center" vertical="center" wrapText="1"/>
      <protection hidden="1"/>
    </xf>
    <xf numFmtId="178" fontId="106" fillId="0" borderId="46" xfId="0" applyFont="1" applyBorder="1" applyAlignment="1" applyProtection="1">
      <alignment horizontal="center" vertical="center" wrapText="1"/>
      <protection hidden="1"/>
    </xf>
    <xf numFmtId="178" fontId="106" fillId="0" borderId="31" xfId="0" applyFont="1" applyBorder="1" applyAlignment="1" applyProtection="1">
      <alignment horizontal="center" vertical="center" wrapText="1"/>
      <protection hidden="1"/>
    </xf>
    <xf numFmtId="178" fontId="106" fillId="0" borderId="67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vertical="center" wrapText="1"/>
      <protection hidden="1"/>
    </xf>
    <xf numFmtId="178" fontId="108" fillId="0" borderId="46" xfId="0" applyFont="1" applyBorder="1" applyAlignment="1" applyProtection="1">
      <alignment horizontal="center" vertical="center" wrapText="1"/>
      <protection hidden="1"/>
    </xf>
    <xf numFmtId="178" fontId="108" fillId="0" borderId="49" xfId="0" applyFont="1" applyBorder="1" applyAlignment="1" applyProtection="1">
      <alignment horizontal="center" vertical="center" wrapText="1"/>
      <protection hidden="1"/>
    </xf>
    <xf numFmtId="178" fontId="108" fillId="0" borderId="30" xfId="0" applyFont="1" applyBorder="1" applyAlignment="1" applyProtection="1">
      <alignment horizontal="center" vertical="center" wrapText="1"/>
      <protection hidden="1"/>
    </xf>
    <xf numFmtId="178" fontId="108" fillId="0" borderId="67" xfId="0" applyFont="1" applyBorder="1" applyAlignment="1" applyProtection="1">
      <alignment horizontal="center" vertical="center" wrapText="1"/>
      <protection hidden="1"/>
    </xf>
    <xf numFmtId="178" fontId="108" fillId="0" borderId="90" xfId="0" applyFont="1" applyBorder="1" applyAlignment="1" applyProtection="1">
      <alignment horizontal="center" vertical="center" wrapText="1"/>
      <protection hidden="1"/>
    </xf>
    <xf numFmtId="178" fontId="95" fillId="0" borderId="48" xfId="0" applyFont="1" applyBorder="1" applyAlignment="1" applyProtection="1">
      <alignment horizontal="center" vertical="center" wrapText="1"/>
      <protection hidden="1"/>
    </xf>
    <xf numFmtId="178" fontId="95" fillId="0" borderId="49" xfId="0" applyFont="1" applyBorder="1" applyAlignment="1" applyProtection="1">
      <alignment horizontal="center" vertical="center" wrapText="1"/>
      <protection hidden="1"/>
    </xf>
    <xf numFmtId="178" fontId="95" fillId="0" borderId="30" xfId="0" applyFont="1" applyBorder="1" applyAlignment="1" applyProtection="1">
      <alignment horizontal="center" vertical="center" wrapText="1"/>
      <protection hidden="1"/>
    </xf>
    <xf numFmtId="178" fontId="95" fillId="0" borderId="90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wrapText="1"/>
      <protection hidden="1"/>
    </xf>
    <xf numFmtId="178" fontId="108" fillId="0" borderId="49" xfId="0" applyFont="1" applyBorder="1" applyAlignment="1" applyProtection="1">
      <alignment horizontal="center" wrapText="1"/>
      <protection hidden="1"/>
    </xf>
    <xf numFmtId="178" fontId="108" fillId="0" borderId="46" xfId="0" applyFont="1" applyBorder="1" applyAlignment="1" applyProtection="1">
      <alignment horizontal="center" wrapText="1"/>
      <protection hidden="1"/>
    </xf>
    <xf numFmtId="178" fontId="108" fillId="0" borderId="103" xfId="0" applyFont="1" applyBorder="1" applyAlignment="1" applyProtection="1">
      <alignment horizontal="center" vertical="center" wrapText="1"/>
      <protection hidden="1"/>
    </xf>
    <xf numFmtId="178" fontId="108" fillId="0" borderId="160" xfId="0" applyFont="1" applyBorder="1" applyAlignment="1" applyProtection="1">
      <alignment horizontal="center" vertical="center" wrapText="1"/>
      <protection hidden="1"/>
    </xf>
    <xf numFmtId="178" fontId="108" fillId="0" borderId="48" xfId="0" applyFont="1" applyBorder="1" applyAlignment="1" applyProtection="1">
      <alignment horizontal="center" vertical="center"/>
      <protection hidden="1"/>
    </xf>
    <xf numFmtId="178" fontId="108" fillId="0" borderId="49" xfId="0" applyFont="1" applyBorder="1" applyAlignment="1" applyProtection="1">
      <alignment horizontal="center" vertical="center"/>
      <protection hidden="1"/>
    </xf>
    <xf numFmtId="178" fontId="108" fillId="0" borderId="103" xfId="0" applyFont="1" applyBorder="1" applyAlignment="1" applyProtection="1">
      <alignment horizontal="center" vertical="center"/>
      <protection hidden="1"/>
    </xf>
    <xf numFmtId="178" fontId="108" fillId="0" borderId="160" xfId="0" applyFont="1" applyBorder="1" applyAlignment="1" applyProtection="1">
      <alignment horizontal="center" vertical="center"/>
      <protection hidden="1"/>
    </xf>
    <xf numFmtId="178" fontId="108" fillId="0" borderId="63" xfId="0" applyFont="1" applyFill="1" applyBorder="1" applyAlignment="1" applyProtection="1">
      <alignment horizontal="center" vertical="center" wrapText="1"/>
      <protection hidden="1"/>
    </xf>
    <xf numFmtId="178" fontId="108" fillId="0" borderId="79" xfId="0" applyFont="1" applyFill="1" applyBorder="1" applyAlignment="1" applyProtection="1">
      <alignment horizontal="center" vertical="center" wrapText="1"/>
      <protection hidden="1"/>
    </xf>
    <xf numFmtId="178" fontId="108" fillId="0" borderId="161" xfId="0" applyFont="1" applyFill="1" applyBorder="1" applyAlignment="1" applyProtection="1">
      <alignment horizontal="center" vertical="center" wrapText="1"/>
      <protection hidden="1"/>
    </xf>
    <xf numFmtId="178" fontId="108" fillId="0" borderId="162" xfId="0" applyFont="1" applyFill="1" applyBorder="1" applyAlignment="1" applyProtection="1">
      <alignment horizontal="center" vertical="center" wrapText="1"/>
      <protection hidden="1"/>
    </xf>
    <xf numFmtId="178" fontId="49" fillId="0" borderId="48" xfId="0" applyFont="1" applyBorder="1" applyAlignment="1" applyProtection="1">
      <alignment horizontal="center" vertical="center" wrapText="1"/>
      <protection hidden="1"/>
    </xf>
    <xf numFmtId="178" fontId="49" fillId="0" borderId="49" xfId="0" applyFont="1" applyBorder="1" applyAlignment="1" applyProtection="1">
      <alignment horizontal="center" vertical="center" wrapText="1"/>
      <protection hidden="1"/>
    </xf>
    <xf numFmtId="178" fontId="49" fillId="0" borderId="103" xfId="0" applyFont="1" applyBorder="1" applyAlignment="1" applyProtection="1">
      <alignment horizontal="center" vertical="center" wrapText="1"/>
      <protection hidden="1"/>
    </xf>
    <xf numFmtId="178" fontId="49" fillId="0" borderId="160" xfId="0" applyFont="1" applyBorder="1" applyAlignment="1" applyProtection="1">
      <alignment horizontal="center" vertical="center" wrapText="1"/>
      <protection hidden="1"/>
    </xf>
    <xf numFmtId="178" fontId="186" fillId="34" borderId="63" xfId="0" applyFont="1" applyFill="1" applyBorder="1" applyAlignment="1" applyProtection="1">
      <alignment horizontal="center" vertical="center" wrapText="1"/>
      <protection hidden="1"/>
    </xf>
    <xf numFmtId="178" fontId="186" fillId="34" borderId="163" xfId="0" applyFont="1" applyFill="1" applyBorder="1" applyAlignment="1" applyProtection="1">
      <alignment horizontal="center" vertical="center" wrapText="1"/>
      <protection hidden="1"/>
    </xf>
    <xf numFmtId="178" fontId="108" fillId="22" borderId="46" xfId="0" applyFont="1" applyFill="1" applyBorder="1" applyAlignment="1" applyProtection="1">
      <alignment horizontal="center" vertical="center"/>
      <protection hidden="1"/>
    </xf>
    <xf numFmtId="1" fontId="102" fillId="0" borderId="48" xfId="0" applyNumberFormat="1" applyFont="1" applyFill="1" applyBorder="1" applyAlignment="1" applyProtection="1">
      <alignment horizontal="center" vertical="center"/>
      <protection hidden="1"/>
    </xf>
    <xf numFmtId="1" fontId="102" fillId="0" borderId="46" xfId="0" applyNumberFormat="1" applyFont="1" applyFill="1" applyBorder="1" applyAlignment="1" applyProtection="1">
      <alignment horizontal="center" vertical="center"/>
      <protection hidden="1"/>
    </xf>
    <xf numFmtId="178" fontId="95" fillId="0" borderId="30" xfId="0" applyFont="1" applyBorder="1" applyAlignment="1" applyProtection="1">
      <alignment horizontal="center" vertical="top" wrapText="1"/>
      <protection hidden="1"/>
    </xf>
    <xf numFmtId="178" fontId="95" fillId="0" borderId="90" xfId="0" applyFont="1" applyBorder="1" applyAlignment="1" applyProtection="1">
      <alignment horizontal="center" vertical="top" wrapText="1"/>
      <protection hidden="1"/>
    </xf>
    <xf numFmtId="178" fontId="95" fillId="0" borderId="67" xfId="0" applyFont="1" applyBorder="1" applyAlignment="1" applyProtection="1">
      <alignment horizontal="center" vertical="top" wrapText="1"/>
      <protection hidden="1"/>
    </xf>
    <xf numFmtId="186" fontId="15" fillId="34" borderId="67" xfId="0" applyNumberFormat="1" applyFont="1" applyFill="1" applyBorder="1" applyAlignment="1" applyProtection="1">
      <alignment horizontal="center" vertical="center"/>
      <protection hidden="1"/>
    </xf>
    <xf numFmtId="166" fontId="196" fillId="34" borderId="67" xfId="0" applyNumberFormat="1" applyFont="1" applyFill="1" applyBorder="1" applyAlignment="1" applyProtection="1">
      <alignment horizontal="center" vertical="center"/>
      <protection hidden="1"/>
    </xf>
    <xf numFmtId="203" fontId="107" fillId="42" borderId="22" xfId="0" applyNumberFormat="1" applyFont="1" applyFill="1" applyBorder="1" applyAlignment="1" applyProtection="1">
      <alignment horizontal="center" vertical="center"/>
      <protection hidden="1"/>
    </xf>
    <xf numFmtId="203" fontId="107" fillId="42" borderId="21" xfId="0" applyNumberFormat="1" applyFont="1" applyFill="1" applyBorder="1" applyAlignment="1" applyProtection="1">
      <alignment horizontal="center" vertical="center"/>
      <protection hidden="1"/>
    </xf>
    <xf numFmtId="1" fontId="204" fillId="43" borderId="21" xfId="0" applyNumberFormat="1" applyFont="1" applyFill="1" applyBorder="1" applyAlignment="1" applyProtection="1">
      <alignment horizontal="left" vertical="center"/>
      <protection hidden="1"/>
    </xf>
    <xf numFmtId="1" fontId="204" fillId="43" borderId="110" xfId="0" applyNumberFormat="1" applyFont="1" applyFill="1" applyBorder="1" applyAlignment="1" applyProtection="1">
      <alignment horizontal="left" vertical="center"/>
      <protection hidden="1"/>
    </xf>
    <xf numFmtId="178" fontId="17" fillId="15" borderId="28" xfId="0" applyFont="1" applyFill="1" applyBorder="1" applyAlignment="1" applyProtection="1">
      <alignment horizontal="center" vertical="center" wrapText="1"/>
      <protection hidden="1"/>
    </xf>
    <xf numFmtId="178" fontId="17" fillId="15" borderId="9" xfId="0" applyFont="1" applyFill="1" applyBorder="1" applyAlignment="1" applyProtection="1">
      <alignment horizontal="center" vertical="center" wrapText="1"/>
      <protection hidden="1"/>
    </xf>
    <xf numFmtId="178" fontId="17" fillId="15" borderId="46" xfId="0" applyFont="1" applyFill="1" applyBorder="1" applyAlignment="1" applyProtection="1">
      <alignment horizontal="center" vertical="center"/>
      <protection hidden="1"/>
    </xf>
    <xf numFmtId="178" fontId="17" fillId="15" borderId="49" xfId="0" applyFont="1" applyFill="1" applyBorder="1" applyAlignment="1" applyProtection="1">
      <alignment horizontal="center" vertical="center"/>
      <protection hidden="1"/>
    </xf>
    <xf numFmtId="178" fontId="22" fillId="0" borderId="48" xfId="0" applyFont="1" applyBorder="1" applyAlignment="1" applyProtection="1">
      <alignment horizontal="center"/>
      <protection hidden="1"/>
    </xf>
    <xf numFmtId="178" fontId="22" fillId="0" borderId="46" xfId="0" applyFont="1" applyBorder="1" applyAlignment="1" applyProtection="1">
      <alignment horizontal="center"/>
      <protection hidden="1"/>
    </xf>
    <xf numFmtId="178" fontId="22" fillId="0" borderId="49" xfId="0" applyFont="1" applyBorder="1" applyAlignment="1" applyProtection="1">
      <alignment horizontal="center"/>
      <protection hidden="1"/>
    </xf>
    <xf numFmtId="178" fontId="46" fillId="0" borderId="0" xfId="0" applyFont="1" applyBorder="1" applyAlignment="1" applyProtection="1">
      <alignment horizontal="center"/>
      <protection hidden="1"/>
    </xf>
    <xf numFmtId="178" fontId="44" fillId="0" borderId="30" xfId="0" applyFont="1" applyBorder="1" applyAlignment="1" applyProtection="1">
      <alignment horizontal="center"/>
      <protection hidden="1"/>
    </xf>
    <xf numFmtId="178" fontId="44" fillId="0" borderId="67" xfId="0" applyFont="1" applyBorder="1" applyAlignment="1" applyProtection="1">
      <alignment horizontal="center"/>
      <protection hidden="1"/>
    </xf>
    <xf numFmtId="1" fontId="54" fillId="0" borderId="67" xfId="0" applyNumberFormat="1" applyFont="1" applyBorder="1" applyAlignment="1" applyProtection="1">
      <alignment horizontal="center"/>
      <protection hidden="1"/>
    </xf>
    <xf numFmtId="1" fontId="14" fillId="0" borderId="46" xfId="0" applyNumberFormat="1" applyFont="1" applyBorder="1" applyAlignment="1" applyProtection="1">
      <alignment horizontal="center"/>
      <protection hidden="1"/>
    </xf>
    <xf numFmtId="1" fontId="14" fillId="0" borderId="0" xfId="0" applyNumberFormat="1" applyFont="1" applyBorder="1" applyAlignment="1" applyProtection="1">
      <alignment horizontal="center"/>
      <protection hidden="1"/>
    </xf>
    <xf numFmtId="178" fontId="0" fillId="15" borderId="105" xfId="0" applyFill="1" applyBorder="1" applyAlignment="1" applyProtection="1">
      <alignment horizontal="center"/>
      <protection hidden="1"/>
    </xf>
    <xf numFmtId="178" fontId="0" fillId="0" borderId="14" xfId="0" applyBorder="1" applyAlignment="1"/>
    <xf numFmtId="178" fontId="0" fillId="0" borderId="107" xfId="0" applyBorder="1" applyAlignment="1"/>
    <xf numFmtId="1" fontId="102" fillId="0" borderId="47" xfId="0" applyNumberFormat="1" applyFont="1" applyFill="1" applyBorder="1" applyAlignment="1" applyProtection="1">
      <alignment horizontal="center" vertical="center"/>
      <protection hidden="1"/>
    </xf>
    <xf numFmtId="164" fontId="244" fillId="89" borderId="4" xfId="0" applyNumberFormat="1" applyFont="1" applyFill="1" applyBorder="1" applyAlignment="1" applyProtection="1">
      <alignment horizontal="center" vertical="center"/>
      <protection hidden="1"/>
    </xf>
    <xf numFmtId="164" fontId="244" fillId="89" borderId="0" xfId="0" applyNumberFormat="1" applyFont="1" applyFill="1" applyBorder="1" applyAlignment="1" applyProtection="1">
      <alignment horizontal="center" vertical="center"/>
      <protection hidden="1"/>
    </xf>
    <xf numFmtId="164" fontId="244" fillId="89" borderId="30" xfId="0" applyNumberFormat="1" applyFont="1" applyFill="1" applyBorder="1" applyAlignment="1" applyProtection="1">
      <alignment horizontal="center" vertical="center"/>
      <protection hidden="1"/>
    </xf>
    <xf numFmtId="164" fontId="244" fillId="89" borderId="67" xfId="0" applyNumberFormat="1" applyFont="1" applyFill="1" applyBorder="1" applyAlignment="1" applyProtection="1">
      <alignment horizontal="center" vertical="center"/>
      <protection hidden="1"/>
    </xf>
    <xf numFmtId="178" fontId="97" fillId="71" borderId="48" xfId="0" applyFont="1" applyFill="1" applyBorder="1" applyAlignment="1" applyProtection="1">
      <alignment horizontal="center" vertical="center"/>
      <protection hidden="1"/>
    </xf>
    <xf numFmtId="178" fontId="97" fillId="71" borderId="46" xfId="0" applyFont="1" applyFill="1" applyBorder="1" applyAlignment="1" applyProtection="1">
      <alignment horizontal="center" vertical="center"/>
      <protection hidden="1"/>
    </xf>
    <xf numFmtId="178" fontId="97" fillId="71" borderId="49" xfId="0" applyFont="1" applyFill="1" applyBorder="1" applyAlignment="1" applyProtection="1">
      <alignment horizontal="center" vertical="center"/>
      <protection hidden="1"/>
    </xf>
    <xf numFmtId="178" fontId="97" fillId="71" borderId="4" xfId="0" applyFont="1" applyFill="1" applyBorder="1" applyAlignment="1" applyProtection="1">
      <alignment horizontal="center" vertical="center"/>
      <protection hidden="1"/>
    </xf>
    <xf numFmtId="178" fontId="97" fillId="71" borderId="0" xfId="0" applyFont="1" applyFill="1" applyBorder="1" applyAlignment="1" applyProtection="1">
      <alignment horizontal="center" vertical="center"/>
      <protection hidden="1"/>
    </xf>
    <xf numFmtId="178" fontId="97" fillId="71" borderId="89" xfId="0" applyFont="1" applyFill="1" applyBorder="1" applyAlignment="1" applyProtection="1">
      <alignment horizontal="center" vertical="center"/>
      <protection hidden="1"/>
    </xf>
    <xf numFmtId="178" fontId="170" fillId="22" borderId="50" xfId="0" applyFont="1" applyFill="1" applyBorder="1" applyAlignment="1" applyProtection="1">
      <alignment horizontal="left" vertical="center"/>
      <protection hidden="1"/>
    </xf>
    <xf numFmtId="178" fontId="170" fillId="22" borderId="46" xfId="0" applyFont="1" applyFill="1" applyBorder="1" applyAlignment="1" applyProtection="1">
      <alignment horizontal="left" vertical="center"/>
      <protection hidden="1"/>
    </xf>
    <xf numFmtId="178" fontId="15" fillId="34" borderId="6" xfId="0" applyFont="1" applyFill="1" applyBorder="1" applyAlignment="1" applyProtection="1">
      <alignment horizontal="left" vertical="center"/>
      <protection hidden="1"/>
    </xf>
    <xf numFmtId="178" fontId="15" fillId="34" borderId="0" xfId="0" applyFont="1" applyFill="1" applyBorder="1" applyAlignment="1" applyProtection="1">
      <alignment horizontal="left" vertical="center"/>
      <protection hidden="1"/>
    </xf>
    <xf numFmtId="1" fontId="15" fillId="34" borderId="6" xfId="0" applyNumberFormat="1" applyFont="1" applyFill="1" applyBorder="1" applyAlignment="1" applyProtection="1">
      <alignment horizontal="left" vertical="center"/>
      <protection hidden="1"/>
    </xf>
    <xf numFmtId="1" fontId="15" fillId="34" borderId="0" xfId="0" applyNumberFormat="1" applyFont="1" applyFill="1" applyBorder="1" applyAlignment="1" applyProtection="1">
      <alignment horizontal="left" vertical="center"/>
      <protection hidden="1"/>
    </xf>
    <xf numFmtId="179" fontId="17" fillId="16" borderId="67" xfId="0" applyNumberFormat="1" applyFont="1" applyFill="1" applyBorder="1" applyAlignment="1" applyProtection="1">
      <alignment horizontal="right" vertical="center"/>
      <protection hidden="1"/>
    </xf>
    <xf numFmtId="178" fontId="108" fillId="22" borderId="48" xfId="0" applyFont="1" applyFill="1" applyBorder="1" applyAlignment="1" applyProtection="1">
      <alignment horizontal="center" vertical="center"/>
      <protection hidden="1"/>
    </xf>
    <xf numFmtId="178" fontId="108" fillId="22" borderId="47" xfId="0" applyFont="1" applyFill="1" applyBorder="1" applyAlignment="1" applyProtection="1">
      <alignment horizontal="center" vertical="center"/>
      <protection hidden="1"/>
    </xf>
    <xf numFmtId="178" fontId="106" fillId="22" borderId="48" xfId="0" applyFont="1" applyFill="1" applyBorder="1" applyAlignment="1" applyProtection="1">
      <alignment horizontal="center" vertical="center"/>
      <protection hidden="1"/>
    </xf>
    <xf numFmtId="178" fontId="106" fillId="22" borderId="46" xfId="0" applyFont="1" applyFill="1" applyBorder="1" applyAlignment="1" applyProtection="1">
      <alignment horizontal="center" vertical="center"/>
      <protection hidden="1"/>
    </xf>
    <xf numFmtId="178" fontId="97" fillId="34" borderId="4" xfId="0" applyFont="1" applyFill="1" applyBorder="1" applyAlignment="1" applyProtection="1">
      <alignment horizontal="center" vertical="center"/>
      <protection hidden="1"/>
    </xf>
    <xf numFmtId="178" fontId="97" fillId="34" borderId="0" xfId="0" applyFont="1" applyFill="1" applyBorder="1" applyAlignment="1" applyProtection="1">
      <alignment horizontal="center" vertical="center"/>
      <protection hidden="1"/>
    </xf>
    <xf numFmtId="178" fontId="106" fillId="22" borderId="49" xfId="0" applyFont="1" applyFill="1" applyBorder="1" applyAlignment="1" applyProtection="1">
      <alignment horizontal="center" vertical="center"/>
      <protection hidden="1"/>
    </xf>
    <xf numFmtId="179" fontId="17" fillId="16" borderId="9" xfId="0" applyNumberFormat="1" applyFont="1" applyFill="1" applyBorder="1" applyAlignment="1" applyProtection="1">
      <alignment horizontal="left" vertical="center"/>
      <protection hidden="1"/>
    </xf>
    <xf numFmtId="197" fontId="201" fillId="16" borderId="28" xfId="0" applyNumberFormat="1" applyFont="1" applyFill="1" applyBorder="1" applyAlignment="1" applyProtection="1">
      <alignment horizontal="center" vertical="center"/>
      <protection hidden="1"/>
    </xf>
    <xf numFmtId="197" fontId="201" fillId="16" borderId="9" xfId="0" applyNumberFormat="1" applyFont="1" applyFill="1" applyBorder="1" applyAlignment="1" applyProtection="1">
      <alignment horizontal="center" vertical="center"/>
      <protection hidden="1"/>
    </xf>
    <xf numFmtId="178" fontId="122" fillId="16" borderId="9" xfId="0" applyFont="1" applyFill="1" applyBorder="1" applyAlignment="1" applyProtection="1">
      <alignment horizontal="right" vertical="center"/>
      <protection hidden="1"/>
    </xf>
    <xf numFmtId="178" fontId="17" fillId="16" borderId="9" xfId="0" applyFont="1" applyFill="1" applyBorder="1" applyAlignment="1" applyProtection="1">
      <alignment horizontal="left" vertical="center"/>
      <protection hidden="1"/>
    </xf>
    <xf numFmtId="1" fontId="100" fillId="23" borderId="11" xfId="0" applyNumberFormat="1" applyFont="1" applyFill="1" applyBorder="1" applyAlignment="1" applyProtection="1">
      <alignment horizontal="center"/>
      <protection hidden="1"/>
    </xf>
    <xf numFmtId="1" fontId="100" fillId="23" borderId="12" xfId="0" applyNumberFormat="1" applyFont="1" applyFill="1" applyBorder="1" applyAlignment="1" applyProtection="1">
      <alignment horizontal="center"/>
      <protection hidden="1"/>
    </xf>
    <xf numFmtId="49" fontId="9" fillId="41" borderId="6" xfId="0" applyNumberFormat="1" applyFont="1" applyFill="1" applyBorder="1" applyAlignment="1" applyProtection="1">
      <alignment horizontal="right" vertical="center"/>
      <protection hidden="1"/>
    </xf>
    <xf numFmtId="49" fontId="9" fillId="41" borderId="0" xfId="0" applyNumberFormat="1" applyFont="1" applyFill="1" applyBorder="1" applyAlignment="1" applyProtection="1">
      <alignment horizontal="right" vertical="center"/>
      <protection hidden="1"/>
    </xf>
    <xf numFmtId="178" fontId="99" fillId="69" borderId="0" xfId="0" applyFont="1" applyFill="1" applyBorder="1" applyAlignment="1" applyProtection="1">
      <alignment horizontal="center" vertical="center"/>
      <protection hidden="1"/>
    </xf>
    <xf numFmtId="178" fontId="9" fillId="0" borderId="11" xfId="0" applyFont="1" applyFill="1" applyBorder="1" applyAlignment="1" applyProtection="1">
      <alignment horizontal="center" vertical="center" wrapText="1"/>
      <protection hidden="1"/>
    </xf>
    <xf numFmtId="178" fontId="9" fillId="0" borderId="12" xfId="0" applyFont="1" applyFill="1" applyBorder="1" applyAlignment="1" applyProtection="1">
      <alignment horizontal="center" vertical="center" wrapText="1"/>
      <protection hidden="1"/>
    </xf>
    <xf numFmtId="178" fontId="9" fillId="0" borderId="0" xfId="0" applyFont="1" applyFill="1" applyBorder="1" applyAlignment="1" applyProtection="1">
      <alignment horizontal="center" vertical="center" wrapText="1"/>
      <protection hidden="1"/>
    </xf>
    <xf numFmtId="178" fontId="9" fillId="0" borderId="11" xfId="0" applyFont="1" applyFill="1" applyBorder="1" applyAlignment="1" applyProtection="1">
      <alignment horizontal="center" vertical="center"/>
      <protection hidden="1"/>
    </xf>
    <xf numFmtId="178" fontId="9" fillId="0" borderId="12" xfId="0" applyFont="1" applyFill="1" applyBorder="1" applyAlignment="1" applyProtection="1">
      <alignment horizontal="center" vertical="center"/>
      <protection hidden="1"/>
    </xf>
    <xf numFmtId="49" fontId="9" fillId="0" borderId="11" xfId="0" applyNumberFormat="1" applyFont="1" applyBorder="1" applyAlignment="1" applyProtection="1">
      <alignment horizontal="right" vertical="center"/>
      <protection hidden="1"/>
    </xf>
    <xf numFmtId="49" fontId="9" fillId="0" borderId="12" xfId="0" applyNumberFormat="1" applyFont="1" applyBorder="1" applyAlignment="1" applyProtection="1">
      <alignment horizontal="right" vertical="center"/>
      <protection hidden="1"/>
    </xf>
    <xf numFmtId="49" fontId="9" fillId="64" borderId="6" xfId="0" applyNumberFormat="1" applyFont="1" applyFill="1" applyBorder="1" applyAlignment="1" applyProtection="1">
      <alignment horizontal="right" vertical="center"/>
      <protection hidden="1"/>
    </xf>
    <xf numFmtId="49" fontId="9" fillId="64" borderId="0" xfId="0" applyNumberFormat="1" applyFont="1" applyFill="1" applyBorder="1" applyAlignment="1" applyProtection="1">
      <alignment horizontal="right" vertical="center"/>
      <protection hidden="1"/>
    </xf>
    <xf numFmtId="49" fontId="9" fillId="66" borderId="6" xfId="0" applyNumberFormat="1" applyFont="1" applyFill="1" applyBorder="1" applyAlignment="1" applyProtection="1">
      <alignment horizontal="right" vertical="center"/>
      <protection hidden="1"/>
    </xf>
    <xf numFmtId="49" fontId="9" fillId="66" borderId="0" xfId="0" applyNumberFormat="1" applyFont="1" applyFill="1" applyBorder="1" applyAlignment="1" applyProtection="1">
      <alignment horizontal="right" vertical="center"/>
      <protection hidden="1"/>
    </xf>
    <xf numFmtId="49" fontId="9" fillId="65" borderId="6" xfId="0" applyNumberFormat="1" applyFont="1" applyFill="1" applyBorder="1" applyAlignment="1" applyProtection="1">
      <alignment horizontal="right" vertical="center"/>
      <protection hidden="1"/>
    </xf>
    <xf numFmtId="49" fontId="9" fillId="65" borderId="0" xfId="0" applyNumberFormat="1" applyFont="1" applyFill="1" applyBorder="1" applyAlignment="1" applyProtection="1">
      <alignment horizontal="right" vertical="center"/>
      <protection hidden="1"/>
    </xf>
    <xf numFmtId="178" fontId="13" fillId="0" borderId="11" xfId="0" applyFont="1" applyFill="1" applyBorder="1" applyAlignment="1" applyProtection="1">
      <alignment horizontal="center"/>
      <protection hidden="1"/>
    </xf>
    <xf numFmtId="178" fontId="13" fillId="0" borderId="12" xfId="0" applyFont="1" applyFill="1" applyBorder="1" applyAlignment="1" applyProtection="1">
      <alignment horizontal="center"/>
      <protection hidden="1"/>
    </xf>
    <xf numFmtId="178" fontId="13" fillId="0" borderId="2" xfId="0" applyFont="1" applyFill="1" applyBorder="1" applyAlignment="1" applyProtection="1">
      <alignment horizontal="center"/>
      <protection hidden="1"/>
    </xf>
    <xf numFmtId="164" fontId="158" fillId="61" borderId="17" xfId="0" applyNumberFormat="1" applyFont="1" applyFill="1" applyBorder="1" applyAlignment="1" applyProtection="1">
      <alignment horizontal="center" vertical="center"/>
      <protection hidden="1"/>
    </xf>
    <xf numFmtId="164" fontId="158" fillId="61" borderId="18" xfId="0" applyNumberFormat="1" applyFont="1" applyFill="1" applyBorder="1" applyAlignment="1" applyProtection="1">
      <alignment horizontal="center" vertical="center"/>
      <protection hidden="1"/>
    </xf>
    <xf numFmtId="164" fontId="38" fillId="61" borderId="0" xfId="0" applyNumberFormat="1" applyFont="1" applyFill="1" applyBorder="1" applyAlignment="1" applyProtection="1">
      <alignment horizontal="center" vertical="center"/>
      <protection hidden="1"/>
    </xf>
    <xf numFmtId="164" fontId="38" fillId="61" borderId="5" xfId="0" applyNumberFormat="1" applyFont="1" applyFill="1" applyBorder="1" applyAlignment="1" applyProtection="1">
      <alignment horizontal="center" vertical="center"/>
      <protection hidden="1"/>
    </xf>
    <xf numFmtId="175" fontId="38" fillId="62" borderId="0" xfId="0" applyNumberFormat="1" applyFont="1" applyFill="1" applyBorder="1" applyAlignment="1" applyProtection="1">
      <alignment horizontal="center" vertical="center" wrapText="1"/>
      <protection hidden="1"/>
    </xf>
    <xf numFmtId="175" fontId="38" fillId="62" borderId="5" xfId="0" applyNumberFormat="1" applyFont="1" applyFill="1" applyBorder="1" applyAlignment="1" applyProtection="1">
      <alignment horizontal="center" vertical="center" wrapText="1"/>
      <protection hidden="1"/>
    </xf>
    <xf numFmtId="178" fontId="240" fillId="41" borderId="16" xfId="0" applyFont="1" applyFill="1" applyBorder="1" applyAlignment="1" applyProtection="1">
      <alignment horizontal="left" vertical="center"/>
      <protection hidden="1"/>
    </xf>
    <xf numFmtId="178" fontId="240" fillId="41" borderId="17" xfId="0" applyFont="1" applyFill="1" applyBorder="1" applyAlignment="1" applyProtection="1">
      <alignment horizontal="left" vertical="center"/>
      <protection hidden="1"/>
    </xf>
    <xf numFmtId="164" fontId="157" fillId="59" borderId="17" xfId="0" applyNumberFormat="1" applyFont="1" applyFill="1" applyBorder="1" applyAlignment="1" applyProtection="1">
      <alignment horizontal="center" vertical="center"/>
      <protection hidden="1"/>
    </xf>
    <xf numFmtId="164" fontId="37" fillId="59" borderId="0" xfId="0" applyNumberFormat="1" applyFont="1" applyFill="1" applyBorder="1" applyAlignment="1" applyProtection="1">
      <alignment horizontal="center" vertical="center"/>
      <protection hidden="1"/>
    </xf>
    <xf numFmtId="178" fontId="9" fillId="0" borderId="16" xfId="0" applyFont="1" applyFill="1" applyBorder="1" applyAlignment="1" applyProtection="1">
      <alignment horizontal="center" vertical="center" wrapText="1"/>
      <protection hidden="1"/>
    </xf>
    <xf numFmtId="178" fontId="9" fillId="0" borderId="17" xfId="0" applyFont="1" applyFill="1" applyBorder="1" applyAlignment="1" applyProtection="1">
      <alignment horizontal="center" vertical="center" wrapText="1"/>
      <protection hidden="1"/>
    </xf>
    <xf numFmtId="178" fontId="9" fillId="0" borderId="16" xfId="0" applyFont="1" applyFill="1" applyBorder="1" applyAlignment="1" applyProtection="1">
      <alignment horizontal="center" vertical="center"/>
      <protection hidden="1"/>
    </xf>
    <xf numFmtId="178" fontId="9" fillId="0" borderId="17" xfId="0" applyFont="1" applyFill="1" applyBorder="1" applyAlignment="1" applyProtection="1">
      <alignment horizontal="center" vertical="center"/>
      <protection hidden="1"/>
    </xf>
    <xf numFmtId="178" fontId="9" fillId="0" borderId="14" xfId="0" applyFont="1" applyFill="1" applyBorder="1" applyAlignment="1" applyProtection="1">
      <alignment horizontal="center" vertical="center"/>
      <protection hidden="1"/>
    </xf>
    <xf numFmtId="178" fontId="13" fillId="0" borderId="16" xfId="0" applyFont="1" applyFill="1" applyBorder="1" applyAlignment="1" applyProtection="1">
      <alignment horizontal="center"/>
      <protection hidden="1"/>
    </xf>
    <xf numFmtId="178" fontId="13" fillId="0" borderId="17" xfId="0" applyFont="1" applyFill="1" applyBorder="1" applyAlignment="1" applyProtection="1">
      <alignment horizontal="center"/>
      <protection hidden="1"/>
    </xf>
    <xf numFmtId="178" fontId="9" fillId="0" borderId="2" xfId="0" applyFont="1" applyFill="1" applyBorder="1" applyAlignment="1" applyProtection="1">
      <alignment horizontal="center" vertical="center"/>
      <protection hidden="1"/>
    </xf>
    <xf numFmtId="178" fontId="9" fillId="0" borderId="6" xfId="0" applyFont="1" applyFill="1" applyBorder="1" applyAlignment="1" applyProtection="1">
      <alignment horizontal="center" vertical="center" wrapText="1"/>
      <protection hidden="1"/>
    </xf>
    <xf numFmtId="178" fontId="9" fillId="0" borderId="89" xfId="0" applyFont="1" applyFill="1" applyBorder="1" applyAlignment="1" applyProtection="1">
      <alignment horizontal="center" vertical="center" wrapText="1"/>
      <protection hidden="1"/>
    </xf>
    <xf numFmtId="175" fontId="37" fillId="60" borderId="0" xfId="0" applyNumberFormat="1" applyFont="1" applyFill="1" applyBorder="1" applyAlignment="1" applyProtection="1">
      <alignment horizontal="center" vertical="center" wrapText="1"/>
      <protection hidden="1"/>
    </xf>
    <xf numFmtId="178" fontId="8" fillId="11" borderId="6" xfId="0" applyFont="1" applyFill="1" applyBorder="1" applyAlignment="1" applyProtection="1">
      <alignment horizontal="center"/>
      <protection hidden="1"/>
    </xf>
    <xf numFmtId="178" fontId="8" fillId="11" borderId="0" xfId="0" applyFont="1" applyFill="1" applyBorder="1" applyAlignment="1" applyProtection="1">
      <alignment horizontal="center"/>
      <protection hidden="1"/>
    </xf>
    <xf numFmtId="178" fontId="8" fillId="11" borderId="5" xfId="0" applyFont="1" applyFill="1" applyBorder="1" applyAlignment="1" applyProtection="1">
      <alignment horizontal="center"/>
      <protection hidden="1"/>
    </xf>
    <xf numFmtId="178" fontId="13" fillId="0" borderId="14" xfId="0" applyFont="1" applyFill="1" applyBorder="1" applyAlignment="1" applyProtection="1">
      <alignment horizontal="center"/>
      <protection hidden="1"/>
    </xf>
    <xf numFmtId="168" fontId="8" fillId="18" borderId="7" xfId="0" applyNumberFormat="1" applyFont="1" applyFill="1" applyBorder="1" applyAlignment="1" applyProtection="1">
      <alignment horizontal="center" vertical="center" wrapText="1"/>
      <protection hidden="1"/>
    </xf>
    <xf numFmtId="168" fontId="8" fillId="18" borderId="8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11" xfId="0" applyNumberFormat="1" applyFont="1" applyFill="1" applyBorder="1" applyAlignment="1" applyProtection="1">
      <alignment horizontal="center" wrapText="1"/>
      <protection hidden="1"/>
    </xf>
    <xf numFmtId="1" fontId="8" fillId="0" borderId="12" xfId="0" applyNumberFormat="1" applyFont="1" applyFill="1" applyBorder="1" applyAlignment="1" applyProtection="1">
      <alignment horizontal="center" wrapText="1"/>
      <protection hidden="1"/>
    </xf>
    <xf numFmtId="1" fontId="8" fillId="0" borderId="13" xfId="0" applyNumberFormat="1" applyFont="1" applyFill="1" applyBorder="1" applyAlignment="1" applyProtection="1">
      <alignment horizontal="center" wrapText="1"/>
      <protection hidden="1"/>
    </xf>
    <xf numFmtId="178" fontId="33" fillId="10" borderId="6" xfId="0" applyFont="1" applyFill="1" applyBorder="1" applyAlignment="1" applyProtection="1">
      <alignment horizontal="center" wrapText="1"/>
      <protection hidden="1"/>
    </xf>
    <xf numFmtId="178" fontId="33" fillId="10" borderId="0" xfId="0" applyFont="1" applyFill="1" applyBorder="1" applyAlignment="1" applyProtection="1">
      <alignment horizontal="center" wrapText="1"/>
      <protection hidden="1"/>
    </xf>
    <xf numFmtId="178" fontId="33" fillId="10" borderId="5" xfId="0" applyFont="1" applyFill="1" applyBorder="1" applyAlignment="1" applyProtection="1">
      <alignment horizontal="center" wrapText="1"/>
      <protection hidden="1"/>
    </xf>
    <xf numFmtId="178" fontId="206" fillId="9" borderId="6" xfId="0" applyFont="1" applyFill="1" applyBorder="1" applyAlignment="1" applyProtection="1">
      <alignment horizontal="center" vertical="center" wrapText="1"/>
      <protection hidden="1"/>
    </xf>
    <xf numFmtId="178" fontId="206" fillId="9" borderId="0" xfId="0" applyFont="1" applyFill="1" applyBorder="1" applyAlignment="1" applyProtection="1">
      <alignment horizontal="center" vertical="center" wrapText="1"/>
      <protection hidden="1"/>
    </xf>
    <xf numFmtId="178" fontId="206" fillId="9" borderId="5" xfId="0" applyFont="1" applyFill="1" applyBorder="1" applyAlignment="1" applyProtection="1">
      <alignment horizontal="center" vertical="center" wrapText="1"/>
      <protection hidden="1"/>
    </xf>
    <xf numFmtId="1" fontId="8" fillId="11" borderId="6" xfId="0" applyNumberFormat="1" applyFont="1" applyFill="1" applyBorder="1" applyAlignment="1" applyProtection="1">
      <alignment horizontal="center"/>
      <protection hidden="1"/>
    </xf>
    <xf numFmtId="1" fontId="8" fillId="11" borderId="0" xfId="0" applyNumberFormat="1" applyFont="1" applyFill="1" applyBorder="1" applyAlignment="1" applyProtection="1">
      <alignment horizontal="center"/>
      <protection hidden="1"/>
    </xf>
    <xf numFmtId="1" fontId="8" fillId="11" borderId="5" xfId="0" applyNumberFormat="1" applyFont="1" applyFill="1" applyBorder="1" applyAlignment="1" applyProtection="1">
      <alignment horizontal="center"/>
      <protection hidden="1"/>
    </xf>
    <xf numFmtId="178" fontId="193" fillId="14" borderId="16" xfId="0" applyFont="1" applyFill="1" applyBorder="1" applyAlignment="1" applyProtection="1">
      <alignment horizontal="left" vertical="center" wrapText="1"/>
      <protection hidden="1"/>
    </xf>
    <xf numFmtId="178" fontId="23" fillId="14" borderId="17" xfId="0" applyFont="1" applyFill="1" applyBorder="1" applyAlignment="1" applyProtection="1">
      <protection hidden="1"/>
    </xf>
    <xf numFmtId="178" fontId="23" fillId="14" borderId="18" xfId="0" applyFont="1" applyFill="1" applyBorder="1" applyAlignment="1" applyProtection="1">
      <protection hidden="1"/>
    </xf>
    <xf numFmtId="178" fontId="206" fillId="19" borderId="6" xfId="0" applyFont="1" applyFill="1" applyBorder="1" applyAlignment="1" applyProtection="1">
      <alignment horizontal="center" vertical="center" wrapText="1"/>
      <protection hidden="1"/>
    </xf>
    <xf numFmtId="178" fontId="206" fillId="19" borderId="0" xfId="0" applyFont="1" applyFill="1" applyBorder="1" applyAlignment="1" applyProtection="1">
      <alignment horizontal="center" vertical="center" wrapText="1"/>
      <protection hidden="1"/>
    </xf>
    <xf numFmtId="178" fontId="206" fillId="19" borderId="5" xfId="0" applyFont="1" applyFill="1" applyBorder="1" applyAlignment="1" applyProtection="1">
      <alignment horizontal="center" vertical="center" wrapText="1"/>
      <protection hidden="1"/>
    </xf>
    <xf numFmtId="1" fontId="99" fillId="23" borderId="12" xfId="0" applyNumberFormat="1" applyFont="1" applyFill="1" applyBorder="1" applyAlignment="1" applyProtection="1">
      <alignment horizontal="center"/>
      <protection hidden="1"/>
    </xf>
    <xf numFmtId="1" fontId="99" fillId="23" borderId="12" xfId="0" applyNumberFormat="1" applyFont="1" applyFill="1" applyBorder="1" applyAlignment="1" applyProtection="1">
      <alignment horizontal="left"/>
      <protection hidden="1"/>
    </xf>
    <xf numFmtId="1" fontId="99" fillId="23" borderId="13" xfId="0" applyNumberFormat="1" applyFont="1" applyFill="1" applyBorder="1" applyAlignment="1" applyProtection="1">
      <alignment horizontal="left"/>
      <protection hidden="1"/>
    </xf>
    <xf numFmtId="178" fontId="193" fillId="13" borderId="16" xfId="0" applyFont="1" applyFill="1" applyBorder="1" applyAlignment="1" applyProtection="1">
      <alignment horizontal="left" vertical="center" wrapText="1"/>
      <protection hidden="1"/>
    </xf>
    <xf numFmtId="178" fontId="23" fillId="13" borderId="17" xfId="0" applyFont="1" applyFill="1" applyBorder="1" applyAlignment="1" applyProtection="1">
      <protection hidden="1"/>
    </xf>
    <xf numFmtId="178" fontId="23" fillId="13" borderId="18" xfId="0" applyFont="1" applyFill="1" applyBorder="1" applyAlignment="1" applyProtection="1">
      <protection hidden="1"/>
    </xf>
    <xf numFmtId="167" fontId="187" fillId="24" borderId="6" xfId="0" applyNumberFormat="1" applyFont="1" applyFill="1" applyBorder="1" applyAlignment="1" applyProtection="1">
      <alignment horizontal="center" vertical="center"/>
      <protection hidden="1"/>
    </xf>
    <xf numFmtId="167" fontId="187" fillId="24" borderId="0" xfId="0" applyNumberFormat="1" applyFont="1" applyFill="1" applyBorder="1" applyAlignment="1" applyProtection="1">
      <alignment horizontal="center" vertical="center"/>
      <protection hidden="1"/>
    </xf>
    <xf numFmtId="168" fontId="190" fillId="24" borderId="0" xfId="0" applyNumberFormat="1" applyFont="1" applyFill="1" applyBorder="1" applyAlignment="1" applyProtection="1">
      <alignment horizontal="center" vertical="center" wrapText="1"/>
      <protection hidden="1"/>
    </xf>
    <xf numFmtId="168" fontId="191" fillId="24" borderId="0" xfId="0" applyNumberFormat="1" applyFont="1" applyFill="1" applyBorder="1" applyAlignment="1" applyProtection="1">
      <alignment horizontal="left" vertical="center" wrapText="1"/>
      <protection hidden="1"/>
    </xf>
    <xf numFmtId="168" fontId="191" fillId="24" borderId="5" xfId="0" applyNumberFormat="1" applyFont="1" applyFill="1" applyBorder="1" applyAlignment="1" applyProtection="1">
      <alignment horizontal="left" vertical="center" wrapText="1"/>
      <protection hidden="1"/>
    </xf>
    <xf numFmtId="178" fontId="43" fillId="23" borderId="11" xfId="0" applyFont="1" applyFill="1" applyBorder="1" applyAlignment="1" applyProtection="1">
      <alignment horizontal="center"/>
      <protection hidden="1"/>
    </xf>
    <xf numFmtId="178" fontId="43" fillId="23" borderId="12" xfId="0" applyFont="1" applyFill="1" applyBorder="1" applyAlignment="1" applyProtection="1">
      <alignment horizontal="center"/>
      <protection hidden="1"/>
    </xf>
    <xf numFmtId="178" fontId="10" fillId="3" borderId="45" xfId="0" applyFont="1" applyFill="1" applyBorder="1" applyAlignment="1" applyProtection="1">
      <alignment horizontal="center"/>
      <protection hidden="1"/>
    </xf>
    <xf numFmtId="178" fontId="10" fillId="3" borderId="17" xfId="0" applyFont="1" applyFill="1" applyBorder="1" applyAlignment="1" applyProtection="1">
      <alignment horizontal="center"/>
      <protection hidden="1"/>
    </xf>
    <xf numFmtId="177" fontId="192" fillId="25" borderId="48" xfId="0" applyNumberFormat="1" applyFont="1" applyFill="1" applyBorder="1" applyAlignment="1" applyProtection="1">
      <alignment horizontal="center" vertical="center"/>
      <protection hidden="1"/>
    </xf>
    <xf numFmtId="177" fontId="192" fillId="25" borderId="46" xfId="0" applyNumberFormat="1" applyFont="1" applyFill="1" applyBorder="1" applyAlignment="1" applyProtection="1">
      <alignment horizontal="center" vertical="center"/>
      <protection hidden="1"/>
    </xf>
    <xf numFmtId="177" fontId="192" fillId="25" borderId="49" xfId="0" applyNumberFormat="1" applyFont="1" applyFill="1" applyBorder="1" applyAlignment="1" applyProtection="1">
      <alignment horizontal="center" vertical="center"/>
      <protection hidden="1"/>
    </xf>
    <xf numFmtId="177" fontId="192" fillId="25" borderId="4" xfId="0" applyNumberFormat="1" applyFont="1" applyFill="1" applyBorder="1" applyAlignment="1" applyProtection="1">
      <alignment horizontal="center" vertical="center"/>
      <protection hidden="1"/>
    </xf>
    <xf numFmtId="177" fontId="192" fillId="25" borderId="0" xfId="0" applyNumberFormat="1" applyFont="1" applyFill="1" applyBorder="1" applyAlignment="1" applyProtection="1">
      <alignment horizontal="center" vertical="center"/>
      <protection hidden="1"/>
    </xf>
    <xf numFmtId="177" fontId="192" fillId="25" borderId="89" xfId="0" applyNumberFormat="1" applyFont="1" applyFill="1" applyBorder="1" applyAlignment="1" applyProtection="1">
      <alignment horizontal="center" vertical="center"/>
      <protection hidden="1"/>
    </xf>
    <xf numFmtId="167" fontId="45" fillId="12" borderId="4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0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46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49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30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67" xfId="0" applyNumberFormat="1" applyFont="1" applyFill="1" applyBorder="1" applyAlignment="1" applyProtection="1">
      <alignment horizontal="left" vertical="center" wrapText="1"/>
      <protection hidden="1"/>
    </xf>
    <xf numFmtId="167" fontId="45" fillId="12" borderId="90" xfId="0" applyNumberFormat="1" applyFont="1" applyFill="1" applyBorder="1" applyAlignment="1" applyProtection="1">
      <alignment horizontal="left" vertical="center" wrapText="1"/>
      <protection hidden="1"/>
    </xf>
    <xf numFmtId="167" fontId="101" fillId="22" borderId="16" xfId="0" applyNumberFormat="1" applyFont="1" applyFill="1" applyBorder="1" applyAlignment="1" applyProtection="1">
      <alignment horizontal="center" vertical="center"/>
      <protection hidden="1"/>
    </xf>
    <xf numFmtId="167" fontId="101" fillId="22" borderId="17" xfId="0" applyNumberFormat="1" applyFont="1" applyFill="1" applyBorder="1" applyAlignment="1" applyProtection="1">
      <alignment horizontal="center" vertical="center"/>
      <protection hidden="1"/>
    </xf>
    <xf numFmtId="167" fontId="101" fillId="22" borderId="18" xfId="0" applyNumberFormat="1" applyFont="1" applyFill="1" applyBorder="1" applyAlignment="1" applyProtection="1">
      <alignment horizontal="center" vertical="center"/>
      <protection hidden="1"/>
    </xf>
    <xf numFmtId="167" fontId="101" fillId="22" borderId="6" xfId="0" applyNumberFormat="1" applyFont="1" applyFill="1" applyBorder="1" applyAlignment="1" applyProtection="1">
      <alignment horizontal="center" vertical="center"/>
      <protection hidden="1"/>
    </xf>
    <xf numFmtId="167" fontId="101" fillId="22" borderId="0" xfId="0" applyNumberFormat="1" applyFont="1" applyFill="1" applyBorder="1" applyAlignment="1" applyProtection="1">
      <alignment horizontal="center" vertical="center"/>
      <protection hidden="1"/>
    </xf>
    <xf numFmtId="167" fontId="101" fillId="22" borderId="5" xfId="0" applyNumberFormat="1" applyFont="1" applyFill="1" applyBorder="1" applyAlignment="1" applyProtection="1">
      <alignment horizontal="center" vertical="center"/>
      <protection hidden="1"/>
    </xf>
    <xf numFmtId="178" fontId="12" fillId="12" borderId="48" xfId="0" applyFont="1" applyFill="1" applyBorder="1" applyAlignment="1" applyProtection="1">
      <alignment horizontal="center" vertical="top"/>
      <protection hidden="1"/>
    </xf>
    <xf numFmtId="178" fontId="12" fillId="12" borderId="46" xfId="0" applyFont="1" applyFill="1" applyBorder="1" applyAlignment="1" applyProtection="1">
      <alignment horizontal="center" vertical="top"/>
      <protection hidden="1"/>
    </xf>
    <xf numFmtId="178" fontId="12" fillId="12" borderId="49" xfId="0" applyFont="1" applyFill="1" applyBorder="1" applyAlignment="1" applyProtection="1">
      <alignment horizontal="center" vertical="top"/>
      <protection hidden="1"/>
    </xf>
    <xf numFmtId="178" fontId="12" fillId="26" borderId="0" xfId="0" applyNumberFormat="1" applyFont="1" applyFill="1" applyBorder="1" applyAlignment="1" applyProtection="1">
      <alignment horizontal="center" vertical="top"/>
      <protection hidden="1"/>
    </xf>
    <xf numFmtId="178" fontId="12" fillId="26" borderId="12" xfId="0" applyNumberFormat="1" applyFont="1" applyFill="1" applyBorder="1" applyAlignment="1" applyProtection="1">
      <alignment horizontal="center" vertical="top"/>
      <protection hidden="1"/>
    </xf>
    <xf numFmtId="167" fontId="26" fillId="17" borderId="0" xfId="0" applyNumberFormat="1" applyFont="1" applyFill="1" applyBorder="1" applyAlignment="1" applyProtection="1">
      <alignment horizontal="center" vertical="center" wrapText="1"/>
      <protection hidden="1"/>
    </xf>
    <xf numFmtId="167" fontId="26" fillId="17" borderId="12" xfId="0" applyNumberFormat="1" applyFont="1" applyFill="1" applyBorder="1" applyAlignment="1" applyProtection="1">
      <alignment horizontal="center" vertical="center" wrapText="1"/>
      <protection hidden="1"/>
    </xf>
    <xf numFmtId="178" fontId="80" fillId="28" borderId="7" xfId="0" applyFont="1" applyFill="1" applyBorder="1" applyAlignment="1" applyProtection="1">
      <alignment horizontal="center"/>
      <protection hidden="1"/>
    </xf>
    <xf numFmtId="178" fontId="80" fillId="28" borderId="9" xfId="0" applyFont="1" applyFill="1" applyBorder="1" applyAlignment="1" applyProtection="1">
      <alignment horizontal="center"/>
      <protection hidden="1"/>
    </xf>
    <xf numFmtId="178" fontId="13" fillId="11" borderId="46" xfId="0" applyFont="1" applyFill="1" applyBorder="1" applyAlignment="1" applyProtection="1">
      <alignment horizontal="center"/>
      <protection hidden="1"/>
    </xf>
    <xf numFmtId="178" fontId="13" fillId="11" borderId="0" xfId="0" applyFont="1" applyFill="1" applyBorder="1" applyAlignment="1" applyProtection="1">
      <alignment horizontal="center"/>
      <protection hidden="1"/>
    </xf>
    <xf numFmtId="178" fontId="99" fillId="23" borderId="12" xfId="0" applyFont="1" applyFill="1" applyBorder="1" applyAlignment="1" applyProtection="1">
      <alignment horizontal="center"/>
      <protection hidden="1"/>
    </xf>
    <xf numFmtId="178" fontId="106" fillId="22" borderId="4" xfId="0" applyFont="1" applyFill="1" applyBorder="1" applyAlignment="1" applyProtection="1">
      <alignment horizontal="center" vertical="top"/>
      <protection hidden="1"/>
    </xf>
    <xf numFmtId="178" fontId="106" fillId="22" borderId="0" xfId="0" applyFont="1" applyFill="1" applyBorder="1" applyAlignment="1" applyProtection="1">
      <alignment horizontal="center" vertical="top"/>
      <protection hidden="1"/>
    </xf>
    <xf numFmtId="178" fontId="106" fillId="22" borderId="5" xfId="0" applyFont="1" applyFill="1" applyBorder="1" applyAlignment="1" applyProtection="1">
      <alignment horizontal="center" vertical="top"/>
      <protection hidden="1"/>
    </xf>
    <xf numFmtId="178" fontId="106" fillId="22" borderId="48" xfId="0" applyFont="1" applyFill="1" applyBorder="1" applyAlignment="1" applyProtection="1">
      <alignment horizontal="center" vertical="top"/>
      <protection hidden="1"/>
    </xf>
    <xf numFmtId="178" fontId="106" fillId="22" borderId="46" xfId="0" applyFont="1" applyFill="1" applyBorder="1" applyAlignment="1" applyProtection="1">
      <alignment horizontal="center" vertical="top"/>
      <protection hidden="1"/>
    </xf>
    <xf numFmtId="178" fontId="106" fillId="22" borderId="49" xfId="0" applyFont="1" applyFill="1" applyBorder="1" applyAlignment="1" applyProtection="1">
      <alignment horizontal="center" vertical="top"/>
      <protection hidden="1"/>
    </xf>
    <xf numFmtId="178" fontId="47" fillId="34" borderId="4" xfId="0" applyFont="1" applyFill="1" applyBorder="1" applyAlignment="1" applyProtection="1">
      <alignment horizontal="center" vertical="top" wrapText="1"/>
      <protection hidden="1"/>
    </xf>
    <xf numFmtId="178" fontId="47" fillId="34" borderId="0" xfId="0" applyFont="1" applyFill="1" applyBorder="1" applyAlignment="1" applyProtection="1">
      <alignment horizontal="center" vertical="top" wrapText="1"/>
      <protection hidden="1"/>
    </xf>
    <xf numFmtId="178" fontId="47" fillId="34" borderId="89" xfId="0" applyFont="1" applyFill="1" applyBorder="1" applyAlignment="1" applyProtection="1">
      <alignment horizontal="center" vertical="top" wrapText="1"/>
      <protection hidden="1"/>
    </xf>
    <xf numFmtId="178" fontId="47" fillId="34" borderId="30" xfId="0" applyFont="1" applyFill="1" applyBorder="1" applyAlignment="1" applyProtection="1">
      <alignment horizontal="center" vertical="top" wrapText="1"/>
      <protection hidden="1"/>
    </xf>
    <xf numFmtId="178" fontId="47" fillId="34" borderId="67" xfId="0" applyFont="1" applyFill="1" applyBorder="1" applyAlignment="1" applyProtection="1">
      <alignment horizontal="center" vertical="top" wrapText="1"/>
      <protection hidden="1"/>
    </xf>
    <xf numFmtId="178" fontId="47" fillId="34" borderId="90" xfId="0" applyFont="1" applyFill="1" applyBorder="1" applyAlignment="1" applyProtection="1">
      <alignment horizontal="center" vertical="top" wrapText="1"/>
      <protection hidden="1"/>
    </xf>
    <xf numFmtId="178" fontId="121" fillId="57" borderId="4" xfId="0" applyFont="1" applyFill="1" applyBorder="1" applyAlignment="1" applyProtection="1">
      <alignment horizontal="center" vertical="center"/>
      <protection hidden="1"/>
    </xf>
    <xf numFmtId="178" fontId="121" fillId="57" borderId="0" xfId="0" applyFont="1" applyFill="1" applyBorder="1" applyAlignment="1" applyProtection="1">
      <alignment horizontal="center" vertical="center"/>
      <protection hidden="1"/>
    </xf>
    <xf numFmtId="178" fontId="121" fillId="57" borderId="5" xfId="0" applyFont="1" applyFill="1" applyBorder="1" applyAlignment="1" applyProtection="1">
      <alignment horizontal="center" vertical="center"/>
      <protection hidden="1"/>
    </xf>
    <xf numFmtId="171" fontId="195" fillId="3" borderId="4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0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5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30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67" xfId="0" applyNumberFormat="1" applyFont="1" applyFill="1" applyBorder="1" applyAlignment="1" applyProtection="1">
      <alignment horizontal="center" vertical="center" wrapText="1"/>
      <protection hidden="1"/>
    </xf>
    <xf numFmtId="171" fontId="195" fillId="3" borderId="36" xfId="0" applyNumberFormat="1" applyFont="1" applyFill="1" applyBorder="1" applyAlignment="1" applyProtection="1">
      <alignment horizontal="center" vertical="center" wrapText="1"/>
      <protection hidden="1"/>
    </xf>
    <xf numFmtId="178" fontId="121" fillId="57" borderId="4" xfId="0" applyFont="1" applyFill="1" applyBorder="1" applyAlignment="1" applyProtection="1">
      <alignment horizontal="center" vertical="center" wrapText="1"/>
      <protection hidden="1"/>
    </xf>
    <xf numFmtId="178" fontId="121" fillId="57" borderId="0" xfId="0" applyFont="1" applyFill="1" applyBorder="1" applyAlignment="1" applyProtection="1">
      <alignment horizontal="center" vertical="center" wrapText="1"/>
      <protection hidden="1"/>
    </xf>
    <xf numFmtId="164" fontId="195" fillId="3" borderId="4" xfId="0" applyNumberFormat="1" applyFont="1" applyFill="1" applyBorder="1" applyAlignment="1" applyProtection="1">
      <alignment horizontal="center" vertical="center"/>
      <protection hidden="1"/>
    </xf>
    <xf numFmtId="164" fontId="195" fillId="3" borderId="0" xfId="0" applyNumberFormat="1" applyFont="1" applyFill="1" applyBorder="1" applyAlignment="1" applyProtection="1">
      <alignment horizontal="center" vertical="center"/>
      <protection hidden="1"/>
    </xf>
    <xf numFmtId="164" fontId="195" fillId="3" borderId="89" xfId="0" applyNumberFormat="1" applyFont="1" applyFill="1" applyBorder="1" applyAlignment="1" applyProtection="1">
      <alignment horizontal="center" vertical="center"/>
      <protection hidden="1"/>
    </xf>
    <xf numFmtId="178" fontId="121" fillId="57" borderId="5" xfId="0" applyFont="1" applyFill="1" applyBorder="1" applyAlignment="1" applyProtection="1">
      <alignment horizontal="center" vertical="center" wrapText="1"/>
      <protection hidden="1"/>
    </xf>
    <xf numFmtId="164" fontId="202" fillId="3" borderId="4" xfId="0" applyNumberFormat="1" applyFont="1" applyFill="1" applyBorder="1" applyAlignment="1" applyProtection="1">
      <alignment horizontal="center" vertical="center"/>
      <protection hidden="1"/>
    </xf>
    <xf numFmtId="164" fontId="202" fillId="3" borderId="0" xfId="0" applyNumberFormat="1" applyFont="1" applyFill="1" applyBorder="1" applyAlignment="1" applyProtection="1">
      <alignment horizontal="center" vertical="center"/>
      <protection hidden="1"/>
    </xf>
    <xf numFmtId="164" fontId="202" fillId="3" borderId="5" xfId="0" applyNumberFormat="1" applyFont="1" applyFill="1" applyBorder="1" applyAlignment="1" applyProtection="1">
      <alignment horizontal="center" vertical="center"/>
      <protection hidden="1"/>
    </xf>
    <xf numFmtId="178" fontId="108" fillId="22" borderId="0" xfId="0" applyFont="1" applyFill="1" applyBorder="1" applyAlignment="1" applyProtection="1">
      <alignment horizontal="center" vertical="center"/>
      <protection hidden="1"/>
    </xf>
    <xf numFmtId="178" fontId="108" fillId="22" borderId="5" xfId="0" applyFont="1" applyFill="1" applyBorder="1" applyAlignment="1" applyProtection="1">
      <alignment horizontal="center" vertical="center"/>
      <protection hidden="1"/>
    </xf>
    <xf numFmtId="178" fontId="188" fillId="74" borderId="0" xfId="0" applyFont="1" applyFill="1" applyBorder="1" applyAlignment="1">
      <alignment horizontal="center" vertical="top"/>
    </xf>
    <xf numFmtId="178" fontId="188" fillId="74" borderId="89" xfId="0" applyFont="1" applyFill="1" applyBorder="1" applyAlignment="1">
      <alignment horizontal="center" vertical="top"/>
    </xf>
    <xf numFmtId="183" fontId="205" fillId="74" borderId="0" xfId="0" applyNumberFormat="1" applyFont="1" applyFill="1" applyBorder="1" applyAlignment="1" applyProtection="1">
      <alignment horizontal="left" vertical="center"/>
      <protection hidden="1"/>
    </xf>
    <xf numFmtId="183" fontId="205" fillId="74" borderId="89" xfId="0" applyNumberFormat="1" applyFont="1" applyFill="1" applyBorder="1" applyAlignment="1" applyProtection="1">
      <alignment horizontal="left" vertical="center"/>
      <protection hidden="1"/>
    </xf>
    <xf numFmtId="171" fontId="205" fillId="74" borderId="0" xfId="0" applyNumberFormat="1" applyFont="1" applyFill="1" applyBorder="1" applyAlignment="1" applyProtection="1">
      <alignment horizontal="left" vertical="center"/>
      <protection hidden="1"/>
    </xf>
    <xf numFmtId="171" fontId="205" fillId="74" borderId="89" xfId="0" applyNumberFormat="1" applyFont="1" applyFill="1" applyBorder="1" applyAlignment="1" applyProtection="1">
      <alignment horizontal="left" vertical="center"/>
      <protection hidden="1"/>
    </xf>
    <xf numFmtId="178" fontId="97" fillId="34" borderId="48" xfId="0" applyFont="1" applyFill="1" applyBorder="1" applyAlignment="1" applyProtection="1">
      <alignment horizontal="center" vertical="center"/>
      <protection hidden="1"/>
    </xf>
    <xf numFmtId="178" fontId="97" fillId="34" borderId="46" xfId="0" applyFont="1" applyFill="1" applyBorder="1" applyAlignment="1" applyProtection="1">
      <alignment horizontal="center" vertical="center"/>
      <protection hidden="1"/>
    </xf>
    <xf numFmtId="171" fontId="97" fillId="34" borderId="48" xfId="0" applyNumberFormat="1" applyFont="1" applyFill="1" applyBorder="1" applyAlignment="1" applyProtection="1">
      <alignment horizontal="center" vertical="center"/>
      <protection hidden="1"/>
    </xf>
    <xf numFmtId="171" fontId="97" fillId="34" borderId="46" xfId="0" applyNumberFormat="1" applyFont="1" applyFill="1" applyBorder="1" applyAlignment="1" applyProtection="1">
      <alignment horizontal="center" vertical="center"/>
      <protection hidden="1"/>
    </xf>
    <xf numFmtId="178" fontId="97" fillId="34" borderId="4" xfId="0" applyFont="1" applyFill="1" applyBorder="1" applyAlignment="1" applyProtection="1">
      <alignment horizontal="center" wrapText="1"/>
      <protection hidden="1"/>
    </xf>
    <xf numFmtId="178" fontId="97" fillId="34" borderId="0" xfId="0" applyFont="1" applyFill="1" applyBorder="1" applyAlignment="1" applyProtection="1">
      <alignment horizontal="center" wrapText="1"/>
      <protection hidden="1"/>
    </xf>
    <xf numFmtId="178" fontId="97" fillId="34" borderId="89" xfId="0" applyFont="1" applyFill="1" applyBorder="1" applyAlignment="1" applyProtection="1">
      <alignment horizontal="center" wrapText="1"/>
      <protection hidden="1"/>
    </xf>
    <xf numFmtId="178" fontId="197" fillId="73" borderId="4" xfId="0" applyFont="1" applyFill="1" applyBorder="1" applyAlignment="1" applyProtection="1">
      <alignment horizontal="center" vertical="top"/>
      <protection hidden="1"/>
    </xf>
    <xf numFmtId="178" fontId="197" fillId="73" borderId="0" xfId="0" applyFont="1" applyFill="1" applyBorder="1" applyAlignment="1" applyProtection="1">
      <alignment horizontal="center" vertical="top"/>
      <protection hidden="1"/>
    </xf>
    <xf numFmtId="183" fontId="205" fillId="73" borderId="0" xfId="0" applyNumberFormat="1" applyFont="1" applyFill="1" applyBorder="1" applyAlignment="1" applyProtection="1">
      <alignment horizontal="left" vertical="top"/>
      <protection hidden="1"/>
    </xf>
    <xf numFmtId="183" fontId="205" fillId="73" borderId="89" xfId="0" applyNumberFormat="1" applyFont="1" applyFill="1" applyBorder="1" applyAlignment="1" applyProtection="1">
      <alignment horizontal="left" vertical="top"/>
      <protection hidden="1"/>
    </xf>
    <xf numFmtId="178" fontId="197" fillId="74" borderId="4" xfId="0" applyFont="1" applyFill="1" applyBorder="1" applyAlignment="1" applyProtection="1">
      <alignment horizontal="right" vertical="center"/>
      <protection hidden="1"/>
    </xf>
    <xf numFmtId="178" fontId="197" fillId="74" borderId="0" xfId="0" applyFont="1" applyFill="1" applyBorder="1" applyAlignment="1" applyProtection="1">
      <alignment horizontal="right" vertical="center"/>
      <protection hidden="1"/>
    </xf>
    <xf numFmtId="178" fontId="180" fillId="72" borderId="4" xfId="0" applyFont="1" applyFill="1" applyBorder="1" applyAlignment="1" applyProtection="1">
      <alignment horizontal="center" vertical="center"/>
      <protection hidden="1"/>
    </xf>
    <xf numFmtId="178" fontId="180" fillId="72" borderId="0" xfId="0" applyFont="1" applyFill="1" applyBorder="1" applyAlignment="1" applyProtection="1">
      <alignment horizontal="center" vertical="center"/>
      <protection hidden="1"/>
    </xf>
    <xf numFmtId="178" fontId="180" fillId="72" borderId="89" xfId="0" applyFont="1" applyFill="1" applyBorder="1" applyAlignment="1" applyProtection="1">
      <alignment horizontal="center" vertical="center"/>
      <protection hidden="1"/>
    </xf>
    <xf numFmtId="1" fontId="15" fillId="34" borderId="31" xfId="0" applyNumberFormat="1" applyFont="1" applyFill="1" applyBorder="1" applyAlignment="1" applyProtection="1">
      <alignment horizontal="left" vertical="center"/>
      <protection hidden="1"/>
    </xf>
    <xf numFmtId="1" fontId="15" fillId="34" borderId="67" xfId="0" applyNumberFormat="1" applyFont="1" applyFill="1" applyBorder="1" applyAlignment="1" applyProtection="1">
      <alignment horizontal="left" vertical="center"/>
      <protection hidden="1"/>
    </xf>
    <xf numFmtId="178" fontId="102" fillId="64" borderId="4" xfId="0" applyFont="1" applyFill="1" applyBorder="1" applyAlignment="1" applyProtection="1">
      <alignment horizontal="right"/>
      <protection hidden="1"/>
    </xf>
    <xf numFmtId="178" fontId="102" fillId="64" borderId="0" xfId="0" applyFont="1" applyFill="1" applyBorder="1" applyAlignment="1" applyProtection="1">
      <alignment horizontal="right"/>
      <protection hidden="1"/>
    </xf>
    <xf numFmtId="183" fontId="114" fillId="64" borderId="0" xfId="0" applyNumberFormat="1" applyFont="1" applyFill="1" applyBorder="1" applyAlignment="1" applyProtection="1">
      <alignment horizontal="left"/>
      <protection hidden="1"/>
    </xf>
    <xf numFmtId="183" fontId="114" fillId="64" borderId="89" xfId="0" applyNumberFormat="1" applyFont="1" applyFill="1" applyBorder="1" applyAlignment="1" applyProtection="1">
      <alignment horizontal="left"/>
      <protection hidden="1"/>
    </xf>
    <xf numFmtId="178" fontId="102" fillId="46" borderId="4" xfId="0" applyFont="1" applyFill="1" applyBorder="1" applyAlignment="1" applyProtection="1">
      <alignment horizontal="right"/>
      <protection hidden="1"/>
    </xf>
    <xf numFmtId="178" fontId="102" fillId="46" borderId="0" xfId="0" applyFont="1" applyFill="1" applyBorder="1" applyAlignment="1" applyProtection="1">
      <alignment horizontal="right"/>
      <protection hidden="1"/>
    </xf>
    <xf numFmtId="183" fontId="114" fillId="46" borderId="0" xfId="0" applyNumberFormat="1" applyFont="1" applyFill="1" applyBorder="1" applyAlignment="1" applyProtection="1">
      <alignment horizontal="left"/>
      <protection hidden="1"/>
    </xf>
    <xf numFmtId="183" fontId="114" fillId="46" borderId="89" xfId="0" applyNumberFormat="1" applyFont="1" applyFill="1" applyBorder="1" applyAlignment="1" applyProtection="1">
      <alignment horizontal="left"/>
      <protection hidden="1"/>
    </xf>
    <xf numFmtId="171" fontId="99" fillId="70" borderId="0" xfId="0" applyNumberFormat="1" applyFont="1" applyFill="1" applyBorder="1" applyAlignment="1" applyProtection="1">
      <alignment horizontal="right" vertical="center"/>
      <protection hidden="1"/>
    </xf>
    <xf numFmtId="49" fontId="9" fillId="76" borderId="0" xfId="0" applyNumberFormat="1" applyFont="1" applyFill="1" applyBorder="1" applyAlignment="1" applyProtection="1">
      <alignment horizontal="right" vertical="center"/>
      <protection hidden="1"/>
    </xf>
    <xf numFmtId="164" fontId="9" fillId="0" borderId="12" xfId="0" applyNumberFormat="1" applyFont="1" applyBorder="1" applyAlignment="1" applyProtection="1">
      <alignment horizontal="right" vertical="center"/>
      <protection hidden="1"/>
    </xf>
    <xf numFmtId="197" fontId="122" fillId="16" borderId="2" xfId="0" applyNumberFormat="1" applyFont="1" applyFill="1" applyBorder="1" applyAlignment="1" applyProtection="1">
      <alignment horizontal="left" vertical="center"/>
      <protection hidden="1"/>
    </xf>
    <xf numFmtId="167" fontId="103" fillId="20" borderId="6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0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11" xfId="0" applyNumberFormat="1" applyFont="1" applyFill="1" applyBorder="1" applyAlignment="1" applyProtection="1">
      <alignment horizontal="left" vertical="top" wrapText="1"/>
      <protection hidden="1"/>
    </xf>
    <xf numFmtId="167" fontId="103" fillId="20" borderId="12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0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5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12" xfId="0" applyNumberFormat="1" applyFont="1" applyFill="1" applyBorder="1" applyAlignment="1" applyProtection="1">
      <alignment horizontal="left" vertical="top" wrapText="1"/>
      <protection hidden="1"/>
    </xf>
    <xf numFmtId="168" fontId="95" fillId="20" borderId="13" xfId="0" applyNumberFormat="1" applyFont="1" applyFill="1" applyBorder="1" applyAlignment="1" applyProtection="1">
      <alignment horizontal="left" vertical="top" wrapText="1"/>
      <protection hidden="1"/>
    </xf>
    <xf numFmtId="168" fontId="156" fillId="24" borderId="0" xfId="0" applyNumberFormat="1" applyFont="1" applyFill="1" applyBorder="1" applyAlignment="1" applyProtection="1">
      <alignment horizontal="left" vertical="center"/>
      <protection hidden="1"/>
    </xf>
    <xf numFmtId="168" fontId="156" fillId="24" borderId="5" xfId="0" applyNumberFormat="1" applyFont="1" applyFill="1" applyBorder="1" applyAlignment="1" applyProtection="1">
      <alignment horizontal="left" vertical="center"/>
      <protection hidden="1"/>
    </xf>
    <xf numFmtId="168" fontId="123" fillId="41" borderId="0" xfId="0" applyNumberFormat="1" applyFont="1" applyFill="1" applyBorder="1" applyAlignment="1" applyProtection="1">
      <alignment horizontal="left" vertical="center"/>
      <protection hidden="1"/>
    </xf>
    <xf numFmtId="178" fontId="71" fillId="23" borderId="11" xfId="0" applyFont="1" applyFill="1" applyBorder="1" applyAlignment="1" applyProtection="1">
      <alignment horizontal="center" vertical="center"/>
      <protection hidden="1"/>
    </xf>
    <xf numFmtId="178" fontId="71" fillId="23" borderId="12" xfId="0" applyFont="1" applyFill="1" applyBorder="1" applyAlignment="1" applyProtection="1">
      <alignment horizontal="center" vertical="center"/>
      <protection hidden="1"/>
    </xf>
    <xf numFmtId="1" fontId="71" fillId="23" borderId="12" xfId="0" applyNumberFormat="1" applyFont="1" applyFill="1" applyBorder="1" applyAlignment="1" applyProtection="1">
      <alignment horizontal="center" vertical="center"/>
      <protection hidden="1"/>
    </xf>
    <xf numFmtId="1" fontId="71" fillId="23" borderId="13" xfId="0" applyNumberFormat="1" applyFont="1" applyFill="1" applyBorder="1" applyAlignment="1" applyProtection="1">
      <alignment horizontal="center" vertical="center"/>
      <protection hidden="1"/>
    </xf>
    <xf numFmtId="197" fontId="24" fillId="16" borderId="2" xfId="0" applyNumberFormat="1" applyFont="1" applyFill="1" applyBorder="1" applyAlignment="1" applyProtection="1">
      <alignment horizontal="center" vertical="center"/>
      <protection hidden="1"/>
    </xf>
    <xf numFmtId="178" fontId="10" fillId="3" borderId="16" xfId="0" applyFont="1" applyFill="1" applyBorder="1" applyAlignment="1" applyProtection="1">
      <alignment horizontal="center"/>
      <protection hidden="1"/>
    </xf>
    <xf numFmtId="178" fontId="10" fillId="3" borderId="14" xfId="0" applyFont="1" applyFill="1" applyBorder="1" applyAlignment="1" applyProtection="1">
      <alignment horizontal="center"/>
      <protection hidden="1"/>
    </xf>
    <xf numFmtId="178" fontId="10" fillId="3" borderId="107" xfId="0" applyFont="1" applyFill="1" applyBorder="1" applyAlignment="1" applyProtection="1">
      <alignment horizontal="center"/>
      <protection hidden="1"/>
    </xf>
    <xf numFmtId="178" fontId="5" fillId="11" borderId="6" xfId="0" applyFont="1" applyFill="1" applyBorder="1" applyAlignment="1" applyProtection="1">
      <alignment horizontal="center" wrapText="1"/>
      <protection hidden="1"/>
    </xf>
    <xf numFmtId="178" fontId="5" fillId="11" borderId="0" xfId="0" applyFont="1" applyFill="1" applyBorder="1" applyAlignment="1" applyProtection="1">
      <alignment horizontal="center" wrapText="1"/>
      <protection hidden="1"/>
    </xf>
    <xf numFmtId="178" fontId="5" fillId="11" borderId="5" xfId="0" applyFont="1" applyFill="1" applyBorder="1" applyAlignment="1" applyProtection="1">
      <alignment horizontal="center" wrapText="1"/>
      <protection hidden="1"/>
    </xf>
    <xf numFmtId="199" fontId="107" fillId="22" borderId="16" xfId="0" applyNumberFormat="1" applyFont="1" applyFill="1" applyBorder="1" applyAlignment="1" applyProtection="1">
      <alignment horizontal="center" vertical="center"/>
      <protection hidden="1"/>
    </xf>
    <xf numFmtId="199" fontId="107" fillId="22" borderId="17" xfId="0" applyNumberFormat="1" applyFont="1" applyFill="1" applyBorder="1" applyAlignment="1" applyProtection="1">
      <alignment horizontal="center" vertical="center"/>
      <protection hidden="1"/>
    </xf>
    <xf numFmtId="199" fontId="107" fillId="22" borderId="18" xfId="0" applyNumberFormat="1" applyFont="1" applyFill="1" applyBorder="1" applyAlignment="1" applyProtection="1">
      <alignment horizontal="center" vertical="center"/>
      <protection hidden="1"/>
    </xf>
    <xf numFmtId="199" fontId="107" fillId="22" borderId="6" xfId="0" applyNumberFormat="1" applyFont="1" applyFill="1" applyBorder="1" applyAlignment="1" applyProtection="1">
      <alignment horizontal="center" vertical="center"/>
      <protection hidden="1"/>
    </xf>
    <xf numFmtId="199" fontId="107" fillId="22" borderId="0" xfId="0" applyNumberFormat="1" applyFont="1" applyFill="1" applyBorder="1" applyAlignment="1" applyProtection="1">
      <alignment horizontal="center" vertical="center"/>
      <protection hidden="1"/>
    </xf>
    <xf numFmtId="199" fontId="107" fillId="22" borderId="5" xfId="0" applyNumberFormat="1" applyFont="1" applyFill="1" applyBorder="1" applyAlignment="1" applyProtection="1">
      <alignment horizontal="center" vertical="center"/>
      <protection hidden="1"/>
    </xf>
    <xf numFmtId="178" fontId="115" fillId="9" borderId="6" xfId="0" applyFont="1" applyFill="1" applyBorder="1" applyAlignment="1" applyProtection="1">
      <alignment horizontal="center" vertical="center" wrapText="1"/>
      <protection hidden="1"/>
    </xf>
    <xf numFmtId="178" fontId="115" fillId="9" borderId="0" xfId="0" applyFont="1" applyFill="1" applyBorder="1" applyAlignment="1" applyProtection="1">
      <alignment horizontal="center" vertical="center" wrapText="1"/>
      <protection hidden="1"/>
    </xf>
    <xf numFmtId="178" fontId="115" fillId="9" borderId="5" xfId="0" applyFont="1" applyFill="1" applyBorder="1" applyAlignment="1" applyProtection="1">
      <alignment horizontal="center" vertical="center" wrapText="1"/>
      <protection hidden="1"/>
    </xf>
    <xf numFmtId="1" fontId="5" fillId="11" borderId="6" xfId="0" applyNumberFormat="1" applyFont="1" applyFill="1" applyBorder="1" applyAlignment="1" applyProtection="1">
      <alignment horizontal="center" wrapText="1"/>
      <protection hidden="1"/>
    </xf>
    <xf numFmtId="1" fontId="5" fillId="11" borderId="0" xfId="0" applyNumberFormat="1" applyFont="1" applyFill="1" applyBorder="1" applyAlignment="1" applyProtection="1">
      <alignment horizontal="center" wrapText="1"/>
      <protection hidden="1"/>
    </xf>
    <xf numFmtId="1" fontId="5" fillId="11" borderId="5" xfId="0" applyNumberFormat="1" applyFont="1" applyFill="1" applyBorder="1" applyAlignment="1" applyProtection="1">
      <alignment horizontal="center" wrapText="1"/>
      <protection hidden="1"/>
    </xf>
    <xf numFmtId="167" fontId="24" fillId="16" borderId="2" xfId="0" applyNumberFormat="1" applyFont="1" applyFill="1" applyBorder="1" applyAlignment="1" applyProtection="1">
      <alignment horizontal="right" vertical="center"/>
      <protection hidden="1"/>
    </xf>
    <xf numFmtId="178" fontId="115" fillId="19" borderId="6" xfId="0" applyFont="1" applyFill="1" applyBorder="1" applyAlignment="1" applyProtection="1">
      <alignment horizontal="center" vertical="center" wrapText="1"/>
      <protection hidden="1"/>
    </xf>
    <xf numFmtId="178" fontId="115" fillId="19" borderId="0" xfId="0" applyFont="1" applyFill="1" applyBorder="1" applyAlignment="1" applyProtection="1">
      <alignment horizontal="center" vertical="center" wrapText="1"/>
      <protection hidden="1"/>
    </xf>
    <xf numFmtId="178" fontId="115" fillId="19" borderId="5" xfId="0" applyFont="1" applyFill="1" applyBorder="1" applyAlignment="1" applyProtection="1">
      <alignment horizontal="center" vertical="center" wrapText="1"/>
      <protection hidden="1"/>
    </xf>
    <xf numFmtId="199" fontId="103" fillId="41" borderId="6" xfId="0" applyNumberFormat="1" applyFont="1" applyFill="1" applyBorder="1" applyAlignment="1" applyProtection="1">
      <alignment horizontal="left"/>
      <protection hidden="1"/>
    </xf>
    <xf numFmtId="199" fontId="103" fillId="41" borderId="0" xfId="0" applyNumberFormat="1" applyFont="1" applyFill="1" applyBorder="1" applyAlignment="1" applyProtection="1">
      <alignment horizontal="left"/>
      <protection hidden="1"/>
    </xf>
    <xf numFmtId="199" fontId="95" fillId="41" borderId="0" xfId="0" applyNumberFormat="1" applyFont="1" applyFill="1" applyBorder="1" applyAlignment="1" applyProtection="1">
      <alignment horizontal="left"/>
      <protection hidden="1"/>
    </xf>
    <xf numFmtId="199" fontId="95" fillId="41" borderId="5" xfId="0" applyNumberFormat="1" applyFont="1" applyFill="1" applyBorder="1" applyAlignment="1" applyProtection="1">
      <alignment horizontal="left"/>
      <protection hidden="1"/>
    </xf>
    <xf numFmtId="1" fontId="103" fillId="41" borderId="6" xfId="0" applyNumberFormat="1" applyFont="1" applyFill="1" applyBorder="1" applyAlignment="1" applyProtection="1">
      <alignment horizontal="left"/>
      <protection hidden="1"/>
    </xf>
    <xf numFmtId="1" fontId="103" fillId="41" borderId="0" xfId="0" applyNumberFormat="1" applyFont="1" applyFill="1" applyBorder="1" applyAlignment="1" applyProtection="1">
      <alignment horizontal="left"/>
      <protection hidden="1"/>
    </xf>
    <xf numFmtId="178" fontId="23" fillId="0" borderId="0" xfId="0" applyFont="1" applyAlignment="1"/>
    <xf numFmtId="178" fontId="23" fillId="0" borderId="5" xfId="0" applyFont="1" applyBorder="1" applyAlignment="1"/>
    <xf numFmtId="1" fontId="5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5" fillId="13" borderId="16" xfId="0" applyFont="1" applyFill="1" applyBorder="1" applyAlignment="1" applyProtection="1">
      <alignment horizontal="left" vertical="center" wrapText="1"/>
      <protection hidden="1"/>
    </xf>
    <xf numFmtId="178" fontId="20" fillId="13" borderId="17" xfId="0" applyFont="1" applyFill="1" applyBorder="1" applyAlignment="1" applyProtection="1">
      <protection hidden="1"/>
    </xf>
    <xf numFmtId="178" fontId="20" fillId="13" borderId="18" xfId="0" applyFont="1" applyFill="1" applyBorder="1" applyAlignment="1" applyProtection="1">
      <protection hidden="1"/>
    </xf>
    <xf numFmtId="178" fontId="5" fillId="14" borderId="16" xfId="0" applyFont="1" applyFill="1" applyBorder="1" applyAlignment="1" applyProtection="1">
      <alignment horizontal="left" vertical="center" wrapText="1"/>
      <protection hidden="1"/>
    </xf>
    <xf numFmtId="178" fontId="20" fillId="14" borderId="17" xfId="0" applyFont="1" applyFill="1" applyBorder="1" applyAlignment="1" applyProtection="1">
      <protection hidden="1"/>
    </xf>
    <xf numFmtId="178" fontId="20" fillId="14" borderId="18" xfId="0" applyFont="1" applyFill="1" applyBorder="1" applyAlignment="1" applyProtection="1">
      <protection hidden="1"/>
    </xf>
    <xf numFmtId="178" fontId="113" fillId="10" borderId="6" xfId="0" applyFont="1" applyFill="1" applyBorder="1" applyAlignment="1" applyProtection="1">
      <alignment horizontal="center" wrapText="1"/>
      <protection hidden="1"/>
    </xf>
    <xf numFmtId="178" fontId="113" fillId="10" borderId="0" xfId="0" applyFont="1" applyFill="1" applyBorder="1" applyAlignment="1" applyProtection="1">
      <alignment horizontal="center" wrapText="1"/>
      <protection hidden="1"/>
    </xf>
    <xf numFmtId="178" fontId="113" fillId="10" borderId="5" xfId="0" applyFont="1" applyFill="1" applyBorder="1" applyAlignment="1" applyProtection="1">
      <alignment horizontal="center" wrapText="1"/>
      <protection hidden="1"/>
    </xf>
    <xf numFmtId="178" fontId="46" fillId="34" borderId="4" xfId="0" applyFont="1" applyFill="1" applyBorder="1" applyAlignment="1" applyProtection="1">
      <alignment horizontal="left"/>
      <protection hidden="1"/>
    </xf>
    <xf numFmtId="178" fontId="46" fillId="34" borderId="0" xfId="0" applyFont="1" applyFill="1" applyBorder="1" applyAlignment="1" applyProtection="1">
      <alignment horizontal="left"/>
      <protection hidden="1"/>
    </xf>
    <xf numFmtId="178" fontId="46" fillId="34" borderId="6" xfId="0" applyFont="1" applyFill="1" applyBorder="1" applyAlignment="1" applyProtection="1">
      <alignment horizontal="left"/>
      <protection hidden="1"/>
    </xf>
    <xf numFmtId="165" fontId="22" fillId="34" borderId="0" xfId="0" applyNumberFormat="1" applyFont="1" applyFill="1" applyBorder="1" applyAlignment="1" applyProtection="1">
      <alignment horizontal="left"/>
      <protection hidden="1"/>
    </xf>
    <xf numFmtId="165" fontId="22" fillId="34" borderId="89" xfId="0" applyNumberFormat="1" applyFont="1" applyFill="1" applyBorder="1" applyAlignment="1" applyProtection="1">
      <alignment horizontal="left"/>
      <protection hidden="1"/>
    </xf>
    <xf numFmtId="165" fontId="46" fillId="34" borderId="4" xfId="0" applyNumberFormat="1" applyFont="1" applyFill="1" applyBorder="1" applyAlignment="1" applyProtection="1">
      <alignment horizontal="left"/>
      <protection hidden="1"/>
    </xf>
    <xf numFmtId="165" fontId="46" fillId="34" borderId="0" xfId="0" applyNumberFormat="1" applyFont="1" applyFill="1" applyBorder="1" applyAlignment="1" applyProtection="1">
      <alignment horizontal="left"/>
      <protection hidden="1"/>
    </xf>
    <xf numFmtId="165" fontId="22" fillId="34" borderId="41" xfId="0" applyNumberFormat="1" applyFont="1" applyFill="1" applyBorder="1" applyAlignment="1" applyProtection="1">
      <alignment horizontal="left"/>
      <protection hidden="1"/>
    </xf>
    <xf numFmtId="178" fontId="46" fillId="34" borderId="40" xfId="0" applyFont="1" applyFill="1" applyBorder="1" applyAlignment="1" applyProtection="1">
      <alignment horizontal="left"/>
      <protection hidden="1"/>
    </xf>
    <xf numFmtId="178" fontId="49" fillId="22" borderId="50" xfId="0" applyFont="1" applyFill="1" applyBorder="1" applyAlignment="1" applyProtection="1">
      <alignment horizontal="center" vertical="center"/>
      <protection hidden="1"/>
    </xf>
    <xf numFmtId="178" fontId="49" fillId="22" borderId="46" xfId="0" applyFont="1" applyFill="1" applyBorder="1" applyAlignment="1" applyProtection="1">
      <alignment horizontal="center" vertical="center"/>
      <protection hidden="1"/>
    </xf>
    <xf numFmtId="178" fontId="49" fillId="22" borderId="47" xfId="0" applyFont="1" applyFill="1" applyBorder="1" applyAlignment="1" applyProtection="1">
      <alignment horizontal="center" vertical="center"/>
      <protection hidden="1"/>
    </xf>
    <xf numFmtId="178" fontId="49" fillId="22" borderId="46" xfId="0" applyFont="1" applyFill="1" applyBorder="1" applyAlignment="1" applyProtection="1">
      <alignment horizontal="center" wrapText="1"/>
      <protection hidden="1"/>
    </xf>
    <xf numFmtId="178" fontId="49" fillId="22" borderId="47" xfId="0" applyFont="1" applyFill="1" applyBorder="1" applyAlignment="1" applyProtection="1">
      <alignment horizontal="center" wrapText="1"/>
      <protection hidden="1"/>
    </xf>
    <xf numFmtId="178" fontId="46" fillId="34" borderId="6" xfId="0" applyFont="1" applyFill="1" applyBorder="1" applyAlignment="1" applyProtection="1">
      <alignment horizontal="left" vertical="center"/>
      <protection hidden="1"/>
    </xf>
    <xf numFmtId="178" fontId="46" fillId="34" borderId="0" xfId="0" applyFont="1" applyFill="1" applyBorder="1" applyAlignment="1" applyProtection="1">
      <alignment horizontal="left" vertical="center"/>
      <protection hidden="1"/>
    </xf>
    <xf numFmtId="178" fontId="46" fillId="34" borderId="5" xfId="0" applyFont="1" applyFill="1" applyBorder="1" applyAlignment="1" applyProtection="1">
      <alignment horizontal="left" vertical="center"/>
      <protection hidden="1"/>
    </xf>
    <xf numFmtId="182" fontId="71" fillId="34" borderId="75" xfId="0" applyNumberFormat="1" applyFont="1" applyFill="1" applyBorder="1" applyAlignment="1" applyProtection="1">
      <alignment horizontal="left" vertical="center"/>
      <protection hidden="1"/>
    </xf>
    <xf numFmtId="1" fontId="71" fillId="34" borderId="75" xfId="0" applyNumberFormat="1" applyFont="1" applyFill="1" applyBorder="1" applyAlignment="1" applyProtection="1">
      <alignment horizontal="left"/>
      <protection hidden="1"/>
    </xf>
    <xf numFmtId="1" fontId="22" fillId="34" borderId="0" xfId="0" applyNumberFormat="1" applyFont="1" applyFill="1" applyBorder="1" applyAlignment="1" applyProtection="1">
      <alignment horizontal="left"/>
      <protection hidden="1"/>
    </xf>
    <xf numFmtId="1" fontId="22" fillId="34" borderId="41" xfId="0" applyNumberFormat="1" applyFont="1" applyFill="1" applyBorder="1" applyAlignment="1" applyProtection="1">
      <alignment horizontal="left"/>
      <protection hidden="1"/>
    </xf>
    <xf numFmtId="49" fontId="54" fillId="34" borderId="6" xfId="0" applyNumberFormat="1" applyFont="1" applyFill="1" applyBorder="1" applyAlignment="1" applyProtection="1">
      <alignment horizontal="right" vertical="center"/>
      <protection hidden="1"/>
    </xf>
    <xf numFmtId="49" fontId="54" fillId="34" borderId="0" xfId="0" applyNumberFormat="1" applyFont="1" applyFill="1" applyBorder="1" applyAlignment="1" applyProtection="1">
      <alignment horizontal="right" vertical="center"/>
      <protection hidden="1"/>
    </xf>
    <xf numFmtId="183" fontId="54" fillId="34" borderId="0" xfId="0" applyNumberFormat="1" applyFont="1" applyFill="1" applyBorder="1" applyAlignment="1" applyProtection="1">
      <alignment horizontal="center" vertical="center"/>
      <protection hidden="1"/>
    </xf>
    <xf numFmtId="49" fontId="54" fillId="34" borderId="40" xfId="0" applyNumberFormat="1" applyFont="1" applyFill="1" applyBorder="1" applyAlignment="1" applyProtection="1">
      <alignment horizontal="right" vertical="center"/>
      <protection hidden="1"/>
    </xf>
    <xf numFmtId="168" fontId="57" fillId="18" borderId="77" xfId="0" applyNumberFormat="1" applyFont="1" applyFill="1" applyBorder="1" applyAlignment="1" applyProtection="1">
      <alignment horizontal="center" vertical="center"/>
      <protection hidden="1"/>
    </xf>
    <xf numFmtId="168" fontId="57" fillId="18" borderId="76" xfId="0" applyNumberFormat="1" applyFont="1" applyFill="1" applyBorder="1" applyAlignment="1" applyProtection="1">
      <alignment horizontal="center" vertical="center"/>
      <protection hidden="1"/>
    </xf>
    <xf numFmtId="1" fontId="22" fillId="34" borderId="89" xfId="0" applyNumberFormat="1" applyFont="1" applyFill="1" applyBorder="1" applyAlignment="1" applyProtection="1">
      <alignment horizontal="left"/>
      <protection hidden="1"/>
    </xf>
    <xf numFmtId="178" fontId="22" fillId="34" borderId="0" xfId="0" applyFont="1" applyFill="1" applyBorder="1" applyAlignment="1" applyProtection="1">
      <alignment horizontal="left"/>
      <protection hidden="1"/>
    </xf>
    <xf numFmtId="178" fontId="22" fillId="34" borderId="41" xfId="0" applyFont="1" applyFill="1" applyBorder="1" applyAlignment="1" applyProtection="1">
      <alignment horizontal="left"/>
      <protection hidden="1"/>
    </xf>
    <xf numFmtId="178" fontId="54" fillId="34" borderId="0" xfId="0" applyFont="1" applyFill="1" applyBorder="1" applyAlignment="1" applyProtection="1">
      <alignment horizontal="right" vertical="center"/>
      <protection hidden="1"/>
    </xf>
    <xf numFmtId="183" fontId="54" fillId="34" borderId="5" xfId="0" applyNumberFormat="1" applyFont="1" applyFill="1" applyBorder="1" applyAlignment="1" applyProtection="1">
      <alignment horizontal="center" vertical="center"/>
      <protection hidden="1"/>
    </xf>
    <xf numFmtId="171" fontId="54" fillId="34" borderId="0" xfId="0" applyNumberFormat="1" applyFont="1" applyFill="1" applyBorder="1" applyAlignment="1" applyProtection="1">
      <alignment horizontal="center" vertical="center"/>
      <protection hidden="1"/>
    </xf>
    <xf numFmtId="171" fontId="54" fillId="34" borderId="41" xfId="0" applyNumberFormat="1" applyFont="1" applyFill="1" applyBorder="1" applyAlignment="1" applyProtection="1">
      <alignment horizontal="center" vertical="center"/>
      <protection hidden="1"/>
    </xf>
    <xf numFmtId="171" fontId="54" fillId="34" borderId="5" xfId="0" applyNumberFormat="1" applyFont="1" applyFill="1" applyBorder="1" applyAlignment="1" applyProtection="1">
      <alignment horizontal="center" vertical="center"/>
      <protection hidden="1"/>
    </xf>
    <xf numFmtId="178" fontId="60" fillId="22" borderId="61" xfId="0" applyFont="1" applyFill="1" applyBorder="1" applyAlignment="1" applyProtection="1">
      <alignment horizontal="center" vertical="center"/>
      <protection hidden="1"/>
    </xf>
    <xf numFmtId="178" fontId="60" fillId="22" borderId="46" xfId="0" applyFont="1" applyFill="1" applyBorder="1" applyAlignment="1" applyProtection="1">
      <alignment horizontal="center" vertical="center"/>
      <protection hidden="1"/>
    </xf>
    <xf numFmtId="178" fontId="60" fillId="22" borderId="47" xfId="0" applyFont="1" applyFill="1" applyBorder="1" applyAlignment="1" applyProtection="1">
      <alignment horizontal="center" vertical="center"/>
      <protection hidden="1"/>
    </xf>
    <xf numFmtId="49" fontId="54" fillId="34" borderId="6" xfId="0" applyNumberFormat="1" applyFont="1" applyFill="1" applyBorder="1" applyAlignment="1" applyProtection="1">
      <alignment horizontal="right" vertical="center" wrapText="1"/>
      <protection hidden="1"/>
    </xf>
    <xf numFmtId="49" fontId="54" fillId="34" borderId="0" xfId="0" applyNumberFormat="1" applyFont="1" applyFill="1" applyBorder="1" applyAlignment="1" applyProtection="1">
      <alignment horizontal="right" vertical="center" wrapText="1"/>
      <protection hidden="1"/>
    </xf>
    <xf numFmtId="49" fontId="54" fillId="34" borderId="40" xfId="0" applyNumberFormat="1" applyFont="1" applyFill="1" applyBorder="1" applyAlignment="1" applyProtection="1">
      <alignment horizontal="right" vertical="center" wrapText="1"/>
      <protection hidden="1"/>
    </xf>
    <xf numFmtId="178" fontId="60" fillId="22" borderId="50" xfId="0" applyFont="1" applyFill="1" applyBorder="1" applyAlignment="1" applyProtection="1">
      <alignment horizontal="center" vertical="center"/>
      <protection hidden="1"/>
    </xf>
    <xf numFmtId="178" fontId="60" fillId="22" borderId="58" xfId="0" applyFont="1" applyFill="1" applyBorder="1" applyAlignment="1" applyProtection="1">
      <alignment horizontal="center" vertical="center"/>
      <protection hidden="1"/>
    </xf>
    <xf numFmtId="178" fontId="46" fillId="34" borderId="31" xfId="0" applyFont="1" applyFill="1" applyBorder="1" applyAlignment="1" applyProtection="1">
      <alignment horizontal="left"/>
      <protection hidden="1"/>
    </xf>
    <xf numFmtId="178" fontId="46" fillId="34" borderId="67" xfId="0" applyFont="1" applyFill="1" applyBorder="1" applyAlignment="1" applyProtection="1">
      <alignment horizontal="left"/>
      <protection hidden="1"/>
    </xf>
    <xf numFmtId="178" fontId="22" fillId="34" borderId="67" xfId="0" applyFont="1" applyFill="1" applyBorder="1" applyAlignment="1" applyProtection="1">
      <alignment horizontal="left"/>
      <protection hidden="1"/>
    </xf>
    <xf numFmtId="178" fontId="0" fillId="0" borderId="67" xfId="0" applyBorder="1" applyAlignment="1"/>
    <xf numFmtId="178" fontId="0" fillId="0" borderId="90" xfId="0" applyBorder="1" applyAlignment="1"/>
    <xf numFmtId="178" fontId="46" fillId="34" borderId="30" xfId="0" applyFont="1" applyFill="1" applyBorder="1" applyAlignment="1" applyProtection="1">
      <alignment horizontal="left"/>
      <protection hidden="1"/>
    </xf>
    <xf numFmtId="178" fontId="22" fillId="34" borderId="60" xfId="0" applyFont="1" applyFill="1" applyBorder="1" applyAlignment="1" applyProtection="1">
      <alignment horizontal="left"/>
      <protection hidden="1"/>
    </xf>
    <xf numFmtId="178" fontId="46" fillId="34" borderId="59" xfId="0" applyFont="1" applyFill="1" applyBorder="1" applyAlignment="1" applyProtection="1">
      <alignment horizontal="left"/>
      <protection hidden="1"/>
    </xf>
    <xf numFmtId="178" fontId="22" fillId="34" borderId="90" xfId="0" applyFont="1" applyFill="1" applyBorder="1" applyAlignment="1" applyProtection="1">
      <alignment horizontal="left"/>
      <protection hidden="1"/>
    </xf>
    <xf numFmtId="178" fontId="22" fillId="34" borderId="36" xfId="0" applyFont="1" applyFill="1" applyBorder="1" applyAlignment="1" applyProtection="1">
      <alignment horizontal="left"/>
      <protection hidden="1"/>
    </xf>
    <xf numFmtId="1" fontId="22" fillId="34" borderId="5" xfId="0" applyNumberFormat="1" applyFont="1" applyFill="1" applyBorder="1" applyAlignment="1" applyProtection="1">
      <alignment horizontal="left"/>
      <protection hidden="1"/>
    </xf>
    <xf numFmtId="165" fontId="22" fillId="34" borderId="5" xfId="0" applyNumberFormat="1" applyFont="1" applyFill="1" applyBorder="1" applyAlignment="1" applyProtection="1">
      <alignment horizontal="left"/>
      <protection hidden="1"/>
    </xf>
    <xf numFmtId="1" fontId="71" fillId="34" borderId="75" xfId="0" applyNumberFormat="1" applyFont="1" applyFill="1" applyBorder="1" applyAlignment="1" applyProtection="1">
      <alignment horizontal="left" vertical="center"/>
      <protection hidden="1"/>
    </xf>
    <xf numFmtId="1" fontId="71" fillId="34" borderId="0" xfId="0" applyNumberFormat="1" applyFont="1" applyFill="1" applyBorder="1" applyAlignment="1" applyProtection="1">
      <alignment horizontal="left"/>
      <protection hidden="1"/>
    </xf>
    <xf numFmtId="178" fontId="71" fillId="34" borderId="17" xfId="0" applyFont="1" applyFill="1" applyBorder="1" applyAlignment="1" applyProtection="1">
      <alignment horizontal="left"/>
      <protection hidden="1"/>
    </xf>
    <xf numFmtId="178" fontId="48" fillId="34" borderId="48" xfId="0" applyFont="1" applyFill="1" applyBorder="1" applyAlignment="1" applyProtection="1">
      <alignment horizontal="center"/>
      <protection hidden="1"/>
    </xf>
    <xf numFmtId="178" fontId="48" fillId="34" borderId="46" xfId="0" applyFont="1" applyFill="1" applyBorder="1" applyAlignment="1" applyProtection="1">
      <alignment horizontal="center"/>
      <protection hidden="1"/>
    </xf>
    <xf numFmtId="178" fontId="48" fillId="34" borderId="58" xfId="0" applyFont="1" applyFill="1" applyBorder="1" applyAlignment="1" applyProtection="1">
      <alignment horizontal="center"/>
      <protection hidden="1"/>
    </xf>
    <xf numFmtId="178" fontId="48" fillId="34" borderId="61" xfId="0" applyFont="1" applyFill="1" applyBorder="1" applyAlignment="1" applyProtection="1">
      <alignment horizontal="center"/>
      <protection hidden="1"/>
    </xf>
    <xf numFmtId="178" fontId="48" fillId="34" borderId="49" xfId="0" applyFont="1" applyFill="1" applyBorder="1" applyAlignment="1" applyProtection="1">
      <alignment horizontal="center"/>
      <protection hidden="1"/>
    </xf>
    <xf numFmtId="178" fontId="48" fillId="34" borderId="47" xfId="0" applyFont="1" applyFill="1" applyBorder="1" applyAlignment="1" applyProtection="1">
      <alignment horizontal="center"/>
      <protection hidden="1"/>
    </xf>
    <xf numFmtId="178" fontId="24" fillId="15" borderId="77" xfId="0" applyFont="1" applyFill="1" applyBorder="1" applyAlignment="1" applyProtection="1">
      <alignment horizontal="center" vertical="center"/>
      <protection hidden="1"/>
    </xf>
    <xf numFmtId="178" fontId="24" fillId="15" borderId="75" xfId="0" applyFont="1" applyFill="1" applyBorder="1" applyAlignment="1" applyProtection="1">
      <alignment horizontal="center" vertical="center"/>
      <protection hidden="1"/>
    </xf>
    <xf numFmtId="178" fontId="24" fillId="15" borderId="76" xfId="0" applyFont="1" applyFill="1" applyBorder="1" applyAlignment="1" applyProtection="1">
      <alignment horizontal="center" vertical="center"/>
      <protection hidden="1"/>
    </xf>
    <xf numFmtId="198" fontId="47" fillId="16" borderId="105" xfId="0" applyNumberFormat="1" applyFont="1" applyFill="1" applyBorder="1" applyAlignment="1" applyProtection="1">
      <alignment horizontal="center"/>
      <protection hidden="1"/>
    </xf>
    <xf numFmtId="198" fontId="47" fillId="16" borderId="14" xfId="0" applyNumberFormat="1" applyFont="1" applyFill="1" applyBorder="1" applyAlignment="1" applyProtection="1">
      <alignment horizontal="center"/>
      <protection hidden="1"/>
    </xf>
    <xf numFmtId="198" fontId="47" fillId="16" borderId="106" xfId="0" applyNumberFormat="1" applyFont="1" applyFill="1" applyBorder="1" applyAlignment="1" applyProtection="1">
      <alignment horizontal="center"/>
      <protection hidden="1"/>
    </xf>
    <xf numFmtId="198" fontId="47" fillId="16" borderId="119" xfId="0" applyNumberFormat="1" applyFont="1" applyFill="1" applyBorder="1" applyAlignment="1" applyProtection="1">
      <alignment horizontal="center"/>
      <protection hidden="1"/>
    </xf>
    <xf numFmtId="198" fontId="47" fillId="16" borderId="107" xfId="0" applyNumberFormat="1" applyFont="1" applyFill="1" applyBorder="1" applyAlignment="1" applyProtection="1">
      <alignment horizontal="center"/>
      <protection hidden="1"/>
    </xf>
    <xf numFmtId="178" fontId="48" fillId="34" borderId="50" xfId="0" applyFont="1" applyFill="1" applyBorder="1" applyAlignment="1" applyProtection="1">
      <alignment horizontal="center"/>
      <protection hidden="1"/>
    </xf>
    <xf numFmtId="1" fontId="48" fillId="34" borderId="77" xfId="0" applyNumberFormat="1" applyFont="1" applyFill="1" applyBorder="1" applyAlignment="1" applyProtection="1">
      <alignment horizontal="left" vertical="center"/>
      <protection hidden="1"/>
    </xf>
    <xf numFmtId="1" fontId="48" fillId="34" borderId="75" xfId="0" applyNumberFormat="1" applyFont="1" applyFill="1" applyBorder="1" applyAlignment="1" applyProtection="1">
      <alignment horizontal="left" vertical="center"/>
      <protection hidden="1"/>
    </xf>
    <xf numFmtId="1" fontId="48" fillId="34" borderId="77" xfId="0" applyNumberFormat="1" applyFont="1" applyFill="1" applyBorder="1" applyAlignment="1" applyProtection="1">
      <alignment horizontal="left"/>
      <protection hidden="1"/>
    </xf>
    <xf numFmtId="1" fontId="48" fillId="34" borderId="75" xfId="0" applyNumberFormat="1" applyFont="1" applyFill="1" applyBorder="1" applyAlignment="1" applyProtection="1">
      <alignment horizontal="left"/>
      <protection hidden="1"/>
    </xf>
    <xf numFmtId="178" fontId="71" fillId="34" borderId="75" xfId="0" applyFont="1" applyFill="1" applyBorder="1" applyAlignment="1" applyProtection="1">
      <alignment horizontal="left"/>
      <protection hidden="1"/>
    </xf>
    <xf numFmtId="1" fontId="130" fillId="43" borderId="65" xfId="0" applyNumberFormat="1" applyFont="1" applyFill="1" applyBorder="1" applyAlignment="1" applyProtection="1">
      <alignment horizontal="left" vertical="center"/>
      <protection hidden="1"/>
    </xf>
    <xf numFmtId="1" fontId="130" fillId="43" borderId="118" xfId="0" applyNumberFormat="1" applyFont="1" applyFill="1" applyBorder="1" applyAlignment="1" applyProtection="1">
      <alignment horizontal="left" vertical="center"/>
      <protection hidden="1"/>
    </xf>
    <xf numFmtId="182" fontId="71" fillId="34" borderId="12" xfId="0" applyNumberFormat="1" applyFont="1" applyFill="1" applyBorder="1" applyAlignment="1" applyProtection="1">
      <alignment horizontal="left" vertical="center"/>
      <protection hidden="1"/>
    </xf>
    <xf numFmtId="1" fontId="71" fillId="34" borderId="12" xfId="0" applyNumberFormat="1" applyFont="1" applyFill="1" applyBorder="1" applyAlignment="1" applyProtection="1">
      <alignment horizontal="left" vertical="center"/>
      <protection hidden="1"/>
    </xf>
    <xf numFmtId="1" fontId="24" fillId="15" borderId="11" xfId="0" applyNumberFormat="1" applyFont="1" applyFill="1" applyBorder="1" applyAlignment="1" applyProtection="1">
      <alignment horizontal="left" vertical="center"/>
      <protection hidden="1"/>
    </xf>
    <xf numFmtId="1" fontId="24" fillId="15" borderId="12" xfId="0" applyNumberFormat="1" applyFont="1" applyFill="1" applyBorder="1" applyAlignment="1" applyProtection="1">
      <alignment horizontal="left" vertical="center"/>
      <protection hidden="1"/>
    </xf>
    <xf numFmtId="187" fontId="46" fillId="34" borderId="25" xfId="0" applyNumberFormat="1" applyFont="1" applyFill="1" applyBorder="1" applyAlignment="1" applyProtection="1">
      <alignment horizontal="center"/>
      <protection hidden="1"/>
    </xf>
    <xf numFmtId="187" fontId="46" fillId="34" borderId="62" xfId="0" applyNumberFormat="1" applyFont="1" applyFill="1" applyBorder="1" applyAlignment="1" applyProtection="1">
      <alignment horizontal="center"/>
      <protection hidden="1"/>
    </xf>
    <xf numFmtId="187" fontId="46" fillId="2" borderId="65" xfId="0" applyNumberFormat="1" applyFont="1" applyFill="1" applyBorder="1" applyAlignment="1" applyProtection="1">
      <alignment horizontal="center"/>
      <protection hidden="1"/>
    </xf>
    <xf numFmtId="187" fontId="46" fillId="2" borderId="66" xfId="0" applyNumberFormat="1" applyFont="1" applyFill="1" applyBorder="1" applyAlignment="1" applyProtection="1">
      <alignment horizontal="center"/>
      <protection hidden="1"/>
    </xf>
    <xf numFmtId="1" fontId="180" fillId="33" borderId="73" xfId="0" applyNumberFormat="1" applyFont="1" applyFill="1" applyBorder="1" applyAlignment="1" applyProtection="1">
      <alignment horizontal="center" vertical="center"/>
      <protection hidden="1"/>
    </xf>
    <xf numFmtId="1" fontId="180" fillId="33" borderId="74" xfId="0" applyNumberFormat="1" applyFont="1" applyFill="1" applyBorder="1" applyAlignment="1" applyProtection="1">
      <alignment horizontal="center" vertical="center"/>
      <protection hidden="1"/>
    </xf>
    <xf numFmtId="166" fontId="22" fillId="0" borderId="59" xfId="0" applyNumberFormat="1" applyFont="1" applyFill="1" applyBorder="1" applyAlignment="1" applyProtection="1">
      <alignment horizontal="center" vertical="center"/>
      <protection hidden="1"/>
    </xf>
    <xf numFmtId="166" fontId="22" fillId="0" borderId="67" xfId="0" applyNumberFormat="1" applyFont="1" applyFill="1" applyBorder="1" applyAlignment="1" applyProtection="1">
      <alignment horizontal="center" vertical="center"/>
      <protection hidden="1"/>
    </xf>
    <xf numFmtId="166" fontId="22" fillId="0" borderId="36" xfId="0" applyNumberFormat="1" applyFont="1" applyFill="1" applyBorder="1" applyAlignment="1" applyProtection="1">
      <alignment horizontal="center" vertical="center"/>
      <protection hidden="1"/>
    </xf>
    <xf numFmtId="203" fontId="64" fillId="0" borderId="117" xfId="0" applyNumberFormat="1" applyFont="1" applyFill="1" applyBorder="1" applyAlignment="1" applyProtection="1">
      <alignment horizontal="center" vertical="center"/>
      <protection hidden="1"/>
    </xf>
    <xf numFmtId="203" fontId="64" fillId="0" borderId="65" xfId="0" applyNumberFormat="1" applyFont="1" applyFill="1" applyBorder="1" applyAlignment="1" applyProtection="1">
      <alignment horizontal="center" vertical="center"/>
      <protection hidden="1"/>
    </xf>
    <xf numFmtId="183" fontId="22" fillId="34" borderId="24" xfId="0" applyNumberFormat="1" applyFont="1" applyFill="1" applyBorder="1" applyAlignment="1" applyProtection="1">
      <alignment horizontal="center"/>
      <protection hidden="1"/>
    </xf>
    <xf numFmtId="183" fontId="22" fillId="34" borderId="25" xfId="0" applyNumberFormat="1" applyFont="1" applyFill="1" applyBorder="1" applyAlignment="1" applyProtection="1">
      <alignment horizontal="center"/>
      <protection hidden="1"/>
    </xf>
    <xf numFmtId="184" fontId="55" fillId="34" borderId="25" xfId="0" applyNumberFormat="1" applyFont="1" applyFill="1" applyBorder="1" applyAlignment="1" applyProtection="1">
      <alignment horizontal="center"/>
      <protection hidden="1"/>
    </xf>
    <xf numFmtId="184" fontId="55" fillId="34" borderId="27" xfId="0" applyNumberFormat="1" applyFont="1" applyFill="1" applyBorder="1" applyAlignment="1" applyProtection="1">
      <alignment horizontal="center"/>
      <protection hidden="1"/>
    </xf>
    <xf numFmtId="186" fontId="46" fillId="34" borderId="26" xfId="0" applyNumberFormat="1" applyFont="1" applyFill="1" applyBorder="1" applyAlignment="1" applyProtection="1">
      <alignment horizontal="center"/>
      <protection hidden="1"/>
    </xf>
    <xf numFmtId="186" fontId="46" fillId="34" borderId="25" xfId="0" applyNumberFormat="1" applyFont="1" applyFill="1" applyBorder="1" applyAlignment="1" applyProtection="1">
      <alignment horizontal="center"/>
      <protection hidden="1"/>
    </xf>
    <xf numFmtId="176" fontId="59" fillId="34" borderId="54" xfId="0" applyNumberFormat="1" applyFont="1" applyFill="1" applyBorder="1" applyAlignment="1" applyProtection="1">
      <alignment horizontal="center"/>
      <protection hidden="1"/>
    </xf>
    <xf numFmtId="176" fontId="59" fillId="34" borderId="78" xfId="0" applyNumberFormat="1" applyFont="1" applyFill="1" applyBorder="1" applyAlignment="1" applyProtection="1">
      <alignment horizontal="center"/>
      <protection hidden="1"/>
    </xf>
    <xf numFmtId="166" fontId="46" fillId="34" borderId="25" xfId="0" applyNumberFormat="1" applyFont="1" applyFill="1" applyBorder="1" applyAlignment="1" applyProtection="1">
      <alignment horizontal="center"/>
      <protection hidden="1"/>
    </xf>
    <xf numFmtId="166" fontId="46" fillId="34" borderId="27" xfId="0" applyNumberFormat="1" applyFont="1" applyFill="1" applyBorder="1" applyAlignment="1" applyProtection="1">
      <alignment horizontal="center"/>
      <protection hidden="1"/>
    </xf>
    <xf numFmtId="9" fontId="46" fillId="34" borderId="51" xfId="0" applyNumberFormat="1" applyFont="1" applyFill="1" applyBorder="1" applyAlignment="1" applyProtection="1">
      <alignment horizontal="center"/>
      <protection hidden="1"/>
    </xf>
    <xf numFmtId="9" fontId="46" fillId="34" borderId="27" xfId="0" applyNumberFormat="1" applyFont="1" applyFill="1" applyBorder="1" applyAlignment="1" applyProtection="1">
      <alignment horizontal="center"/>
      <protection hidden="1"/>
    </xf>
    <xf numFmtId="181" fontId="46" fillId="34" borderId="26" xfId="0" applyNumberFormat="1" applyFont="1" applyFill="1" applyBorder="1" applyAlignment="1" applyProtection="1">
      <alignment horizontal="center"/>
      <protection hidden="1"/>
    </xf>
    <xf numFmtId="181" fontId="46" fillId="34" borderId="25" xfId="0" applyNumberFormat="1" applyFont="1" applyFill="1" applyBorder="1" applyAlignment="1" applyProtection="1">
      <alignment horizontal="center"/>
      <protection hidden="1"/>
    </xf>
    <xf numFmtId="181" fontId="46" fillId="34" borderId="27" xfId="0" applyNumberFormat="1" applyFont="1" applyFill="1" applyBorder="1" applyAlignment="1" applyProtection="1">
      <alignment horizontal="center"/>
      <protection hidden="1"/>
    </xf>
    <xf numFmtId="187" fontId="46" fillId="34" borderId="26" xfId="0" applyNumberFormat="1" applyFont="1" applyFill="1" applyBorder="1" applyAlignment="1" applyProtection="1">
      <alignment horizontal="center"/>
      <protection hidden="1"/>
    </xf>
    <xf numFmtId="187" fontId="46" fillId="34" borderId="27" xfId="0" applyNumberFormat="1" applyFont="1" applyFill="1" applyBorder="1" applyAlignment="1" applyProtection="1">
      <alignment horizontal="center"/>
      <protection hidden="1"/>
    </xf>
    <xf numFmtId="183" fontId="22" fillId="12" borderId="31" xfId="0" applyNumberFormat="1" applyFont="1" applyFill="1" applyBorder="1" applyAlignment="1" applyProtection="1">
      <alignment horizontal="center"/>
      <protection hidden="1"/>
    </xf>
    <xf numFmtId="183" fontId="22" fillId="12" borderId="67" xfId="0" applyNumberFormat="1" applyFont="1" applyFill="1" applyBorder="1" applyAlignment="1" applyProtection="1">
      <alignment horizontal="center"/>
      <protection hidden="1"/>
    </xf>
    <xf numFmtId="184" fontId="55" fillId="12" borderId="67" xfId="0" applyNumberFormat="1" applyFont="1" applyFill="1" applyBorder="1" applyAlignment="1" applyProtection="1">
      <alignment horizontal="center"/>
      <protection hidden="1"/>
    </xf>
    <xf numFmtId="186" fontId="46" fillId="2" borderId="57" xfId="0" applyNumberFormat="1" applyFont="1" applyFill="1" applyBorder="1" applyAlignment="1" applyProtection="1">
      <alignment horizontal="center"/>
      <protection hidden="1"/>
    </xf>
    <xf numFmtId="186" fontId="46" fillId="2" borderId="65" xfId="0" applyNumberFormat="1" applyFont="1" applyFill="1" applyBorder="1" applyAlignment="1" applyProtection="1">
      <alignment horizontal="center"/>
      <protection hidden="1"/>
    </xf>
    <xf numFmtId="176" fontId="59" fillId="2" borderId="55" xfId="0" applyNumberFormat="1" applyFont="1" applyFill="1" applyBorder="1" applyAlignment="1" applyProtection="1">
      <alignment horizontal="center"/>
      <protection hidden="1"/>
    </xf>
    <xf numFmtId="176" fontId="59" fillId="2" borderId="56" xfId="0" applyNumberFormat="1" applyFont="1" applyFill="1" applyBorder="1" applyAlignment="1" applyProtection="1">
      <alignment horizontal="center"/>
      <protection hidden="1"/>
    </xf>
    <xf numFmtId="166" fontId="46" fillId="2" borderId="65" xfId="0" applyNumberFormat="1" applyFont="1" applyFill="1" applyBorder="1" applyAlignment="1" applyProtection="1">
      <alignment horizontal="center"/>
      <protection hidden="1"/>
    </xf>
    <xf numFmtId="166" fontId="46" fillId="2" borderId="56" xfId="0" applyNumberFormat="1" applyFont="1" applyFill="1" applyBorder="1" applyAlignment="1" applyProtection="1">
      <alignment horizontal="center"/>
      <protection hidden="1"/>
    </xf>
    <xf numFmtId="9" fontId="46" fillId="2" borderId="55" xfId="0" applyNumberFormat="1" applyFont="1" applyFill="1" applyBorder="1" applyAlignment="1" applyProtection="1">
      <alignment horizontal="center"/>
      <protection hidden="1"/>
    </xf>
    <xf numFmtId="9" fontId="46" fillId="2" borderId="56" xfId="0" applyNumberFormat="1" applyFont="1" applyFill="1" applyBorder="1" applyAlignment="1" applyProtection="1">
      <alignment horizontal="center"/>
      <protection hidden="1"/>
    </xf>
    <xf numFmtId="181" fontId="46" fillId="2" borderId="57" xfId="0" applyNumberFormat="1" applyFont="1" applyFill="1" applyBorder="1" applyAlignment="1" applyProtection="1">
      <alignment horizontal="center"/>
      <protection hidden="1"/>
    </xf>
    <xf numFmtId="181" fontId="46" fillId="2" borderId="65" xfId="0" applyNumberFormat="1" applyFont="1" applyFill="1" applyBorder="1" applyAlignment="1" applyProtection="1">
      <alignment horizontal="center"/>
      <protection hidden="1"/>
    </xf>
    <xf numFmtId="181" fontId="46" fillId="2" borderId="56" xfId="0" applyNumberFormat="1" applyFont="1" applyFill="1" applyBorder="1" applyAlignment="1" applyProtection="1">
      <alignment horizontal="center"/>
      <protection hidden="1"/>
    </xf>
    <xf numFmtId="187" fontId="46" fillId="2" borderId="57" xfId="0" applyNumberFormat="1" applyFont="1" applyFill="1" applyBorder="1" applyAlignment="1" applyProtection="1">
      <alignment horizontal="center"/>
      <protection hidden="1"/>
    </xf>
    <xf numFmtId="187" fontId="46" fillId="2" borderId="56" xfId="0" applyNumberFormat="1" applyFont="1" applyFill="1" applyBorder="1" applyAlignment="1" applyProtection="1">
      <alignment horizontal="center"/>
      <protection hidden="1"/>
    </xf>
    <xf numFmtId="178" fontId="22" fillId="0" borderId="59" xfId="0" applyFont="1" applyFill="1" applyBorder="1" applyAlignment="1" applyProtection="1">
      <alignment horizontal="center"/>
      <protection hidden="1"/>
    </xf>
    <xf numFmtId="178" fontId="22" fillId="0" borderId="67" xfId="0" applyFont="1" applyFill="1" applyBorder="1" applyAlignment="1" applyProtection="1">
      <alignment horizontal="center"/>
      <protection hidden="1"/>
    </xf>
    <xf numFmtId="178" fontId="22" fillId="0" borderId="36" xfId="0" applyFont="1" applyFill="1" applyBorder="1" applyAlignment="1" applyProtection="1">
      <alignment horizontal="center"/>
      <protection hidden="1"/>
    </xf>
    <xf numFmtId="203" fontId="64" fillId="0" borderId="24" xfId="0" applyNumberFormat="1" applyFont="1" applyFill="1" applyBorder="1" applyAlignment="1" applyProtection="1">
      <alignment horizontal="center" vertical="center"/>
      <protection hidden="1"/>
    </xf>
    <xf numFmtId="203" fontId="64" fillId="0" borderId="25" xfId="0" applyNumberFormat="1" applyFont="1" applyFill="1" applyBorder="1" applyAlignment="1" applyProtection="1">
      <alignment horizontal="center" vertical="center"/>
      <protection hidden="1"/>
    </xf>
    <xf numFmtId="1" fontId="130" fillId="43" borderId="25" xfId="0" applyNumberFormat="1" applyFont="1" applyFill="1" applyBorder="1" applyAlignment="1" applyProtection="1">
      <alignment horizontal="left" vertical="center"/>
      <protection hidden="1"/>
    </xf>
    <xf numFmtId="1" fontId="130" fillId="43" borderId="111" xfId="0" applyNumberFormat="1" applyFont="1" applyFill="1" applyBorder="1" applyAlignment="1" applyProtection="1">
      <alignment horizontal="left" vertical="center"/>
      <protection hidden="1"/>
    </xf>
    <xf numFmtId="1" fontId="61" fillId="22" borderId="61" xfId="0" applyNumberFormat="1" applyFont="1" applyFill="1" applyBorder="1" applyAlignment="1" applyProtection="1">
      <alignment horizontal="center"/>
      <protection hidden="1"/>
    </xf>
    <xf numFmtId="1" fontId="61" fillId="22" borderId="46" xfId="0" applyNumberFormat="1" applyFont="1" applyFill="1" applyBorder="1" applyAlignment="1" applyProtection="1">
      <alignment horizontal="center"/>
      <protection hidden="1"/>
    </xf>
    <xf numFmtId="1" fontId="61" fillId="22" borderId="47" xfId="0" applyNumberFormat="1" applyFont="1" applyFill="1" applyBorder="1" applyAlignment="1" applyProtection="1">
      <alignment horizontal="center"/>
      <protection hidden="1"/>
    </xf>
    <xf numFmtId="203" fontId="64" fillId="42" borderId="24" xfId="0" applyNumberFormat="1" applyFont="1" applyFill="1" applyBorder="1" applyAlignment="1" applyProtection="1">
      <alignment horizontal="center" vertical="center"/>
      <protection hidden="1"/>
    </xf>
    <xf numFmtId="203" fontId="64" fillId="42" borderId="25" xfId="0" applyNumberFormat="1" applyFont="1" applyFill="1" applyBorder="1" applyAlignment="1" applyProtection="1">
      <alignment horizontal="center" vertical="center"/>
      <protection hidden="1"/>
    </xf>
    <xf numFmtId="183" fontId="22" fillId="2" borderId="24" xfId="0" applyNumberFormat="1" applyFont="1" applyFill="1" applyBorder="1" applyAlignment="1" applyProtection="1">
      <alignment horizontal="center"/>
      <protection hidden="1"/>
    </xf>
    <xf numFmtId="183" fontId="22" fillId="2" borderId="25" xfId="0" applyNumberFormat="1" applyFont="1" applyFill="1" applyBorder="1" applyAlignment="1" applyProtection="1">
      <alignment horizontal="center"/>
      <protection hidden="1"/>
    </xf>
    <xf numFmtId="184" fontId="55" fillId="2" borderId="25" xfId="0" applyNumberFormat="1" applyFont="1" applyFill="1" applyBorder="1" applyAlignment="1" applyProtection="1">
      <alignment horizontal="center"/>
      <protection hidden="1"/>
    </xf>
    <xf numFmtId="186" fontId="46" fillId="2" borderId="26" xfId="0" applyNumberFormat="1" applyFont="1" applyFill="1" applyBorder="1" applyAlignment="1" applyProtection="1">
      <alignment horizontal="center"/>
      <protection hidden="1"/>
    </xf>
    <xf numFmtId="186" fontId="46" fillId="2" borderId="25" xfId="0" applyNumberFormat="1" applyFont="1" applyFill="1" applyBorder="1" applyAlignment="1" applyProtection="1">
      <alignment horizontal="center"/>
      <protection hidden="1"/>
    </xf>
    <xf numFmtId="176" fontId="59" fillId="2" borderId="51" xfId="0" applyNumberFormat="1" applyFont="1" applyFill="1" applyBorder="1" applyAlignment="1" applyProtection="1">
      <alignment horizontal="center"/>
      <protection hidden="1"/>
    </xf>
    <xf numFmtId="176" fontId="59" fillId="2" borderId="27" xfId="0" applyNumberFormat="1" applyFont="1" applyFill="1" applyBorder="1" applyAlignment="1" applyProtection="1">
      <alignment horizontal="center"/>
      <protection hidden="1"/>
    </xf>
    <xf numFmtId="166" fontId="46" fillId="2" borderId="25" xfId="0" applyNumberFormat="1" applyFont="1" applyFill="1" applyBorder="1" applyAlignment="1" applyProtection="1">
      <alignment horizontal="center"/>
      <protection hidden="1"/>
    </xf>
    <xf numFmtId="166" fontId="46" fillId="2" borderId="27" xfId="0" applyNumberFormat="1" applyFont="1" applyFill="1" applyBorder="1" applyAlignment="1" applyProtection="1">
      <alignment horizontal="center"/>
      <protection hidden="1"/>
    </xf>
    <xf numFmtId="9" fontId="46" fillId="2" borderId="51" xfId="0" applyNumberFormat="1" applyFont="1" applyFill="1" applyBorder="1" applyAlignment="1" applyProtection="1">
      <alignment horizontal="center"/>
      <protection hidden="1"/>
    </xf>
    <xf numFmtId="9" fontId="46" fillId="2" borderId="27" xfId="0" applyNumberFormat="1" applyFont="1" applyFill="1" applyBorder="1" applyAlignment="1" applyProtection="1">
      <alignment horizontal="center"/>
      <protection hidden="1"/>
    </xf>
    <xf numFmtId="181" fontId="46" fillId="2" borderId="26" xfId="0" applyNumberFormat="1" applyFont="1" applyFill="1" applyBorder="1" applyAlignment="1" applyProtection="1">
      <alignment horizontal="center"/>
      <protection hidden="1"/>
    </xf>
    <xf numFmtId="181" fontId="46" fillId="2" borderId="25" xfId="0" applyNumberFormat="1" applyFont="1" applyFill="1" applyBorder="1" applyAlignment="1" applyProtection="1">
      <alignment horizontal="center"/>
      <protection hidden="1"/>
    </xf>
    <xf numFmtId="181" fontId="46" fillId="2" borderId="27" xfId="0" applyNumberFormat="1" applyFont="1" applyFill="1" applyBorder="1" applyAlignment="1" applyProtection="1">
      <alignment horizontal="center"/>
      <protection hidden="1"/>
    </xf>
    <xf numFmtId="187" fontId="46" fillId="2" borderId="26" xfId="0" applyNumberFormat="1" applyFont="1" applyFill="1" applyBorder="1" applyAlignment="1" applyProtection="1">
      <alignment horizontal="center"/>
      <protection hidden="1"/>
    </xf>
    <xf numFmtId="187" fontId="46" fillId="2" borderId="27" xfId="0" applyNumberFormat="1" applyFont="1" applyFill="1" applyBorder="1" applyAlignment="1" applyProtection="1">
      <alignment horizontal="center"/>
      <protection hidden="1"/>
    </xf>
    <xf numFmtId="187" fontId="46" fillId="2" borderId="25" xfId="0" applyNumberFormat="1" applyFont="1" applyFill="1" applyBorder="1" applyAlignment="1" applyProtection="1">
      <alignment horizontal="center"/>
      <protection hidden="1"/>
    </xf>
    <xf numFmtId="187" fontId="46" fillId="2" borderId="62" xfId="0" applyNumberFormat="1" applyFont="1" applyFill="1" applyBorder="1" applyAlignment="1" applyProtection="1">
      <alignment horizontal="center"/>
      <protection hidden="1"/>
    </xf>
    <xf numFmtId="178" fontId="61" fillId="22" borderId="61" xfId="0" applyFont="1" applyFill="1" applyBorder="1" applyAlignment="1" applyProtection="1">
      <alignment horizontal="center"/>
      <protection hidden="1"/>
    </xf>
    <xf numFmtId="178" fontId="61" fillId="22" borderId="46" xfId="0" applyFont="1" applyFill="1" applyBorder="1" applyAlignment="1" applyProtection="1">
      <alignment horizontal="center"/>
      <protection hidden="1"/>
    </xf>
    <xf numFmtId="178" fontId="61" fillId="22" borderId="47" xfId="0" applyFont="1" applyFill="1" applyBorder="1" applyAlignment="1" applyProtection="1">
      <alignment horizontal="center"/>
      <protection hidden="1"/>
    </xf>
    <xf numFmtId="166" fontId="59" fillId="34" borderId="51" xfId="0" applyNumberFormat="1" applyFont="1" applyFill="1" applyBorder="1" applyAlignment="1" applyProtection="1">
      <alignment horizontal="center"/>
      <protection hidden="1"/>
    </xf>
    <xf numFmtId="166" fontId="59" fillId="34" borderId="27" xfId="0" applyNumberFormat="1" applyFont="1" applyFill="1" applyBorder="1" applyAlignment="1" applyProtection="1">
      <alignment horizontal="center"/>
      <protection hidden="1"/>
    </xf>
    <xf numFmtId="9" fontId="46" fillId="34" borderId="26" xfId="0" applyNumberFormat="1" applyFont="1" applyFill="1" applyBorder="1" applyAlignment="1" applyProtection="1">
      <alignment horizontal="center"/>
      <protection hidden="1"/>
    </xf>
    <xf numFmtId="9" fontId="22" fillId="34" borderId="59" xfId="0" applyNumberFormat="1" applyFont="1" applyFill="1" applyBorder="1" applyAlignment="1" applyProtection="1">
      <alignment horizontal="center"/>
      <protection hidden="1"/>
    </xf>
    <xf numFmtId="9" fontId="22" fillId="34" borderId="67" xfId="0" applyNumberFormat="1" applyFont="1" applyFill="1" applyBorder="1" applyAlignment="1" applyProtection="1">
      <alignment horizontal="center"/>
      <protection hidden="1"/>
    </xf>
    <xf numFmtId="9" fontId="22" fillId="34" borderId="36" xfId="0" applyNumberFormat="1" applyFont="1" applyFill="1" applyBorder="1" applyAlignment="1" applyProtection="1">
      <alignment horizontal="center"/>
      <protection hidden="1"/>
    </xf>
    <xf numFmtId="166" fontId="59" fillId="2" borderId="51" xfId="0" applyNumberFormat="1" applyFont="1" applyFill="1" applyBorder="1" applyAlignment="1" applyProtection="1">
      <alignment horizontal="center"/>
      <protection hidden="1"/>
    </xf>
    <xf numFmtId="166" fontId="59" fillId="2" borderId="27" xfId="0" applyNumberFormat="1" applyFont="1" applyFill="1" applyBorder="1" applyAlignment="1" applyProtection="1">
      <alignment horizontal="center"/>
      <protection hidden="1"/>
    </xf>
    <xf numFmtId="9" fontId="46" fillId="2" borderId="26" xfId="0" applyNumberFormat="1" applyFont="1" applyFill="1" applyBorder="1" applyAlignment="1" applyProtection="1">
      <alignment horizontal="center"/>
      <protection hidden="1"/>
    </xf>
    <xf numFmtId="9" fontId="61" fillId="34" borderId="40" xfId="0" applyNumberFormat="1" applyFont="1" applyFill="1" applyBorder="1" applyAlignment="1" applyProtection="1">
      <alignment horizontal="center" vertical="top"/>
      <protection hidden="1"/>
    </xf>
    <xf numFmtId="9" fontId="61" fillId="34" borderId="0" xfId="0" applyNumberFormat="1" applyFont="1" applyFill="1" applyBorder="1" applyAlignment="1" applyProtection="1">
      <alignment horizontal="center" vertical="top"/>
      <protection hidden="1"/>
    </xf>
    <xf numFmtId="9" fontId="61" fillId="34" borderId="5" xfId="0" applyNumberFormat="1" applyFont="1" applyFill="1" applyBorder="1" applyAlignment="1" applyProtection="1">
      <alignment horizontal="center" vertical="top"/>
      <protection hidden="1"/>
    </xf>
    <xf numFmtId="181" fontId="22" fillId="0" borderId="59" xfId="0" applyNumberFormat="1" applyFont="1" applyFill="1" applyBorder="1" applyAlignment="1" applyProtection="1">
      <alignment horizontal="center"/>
      <protection hidden="1"/>
    </xf>
    <xf numFmtId="181" fontId="22" fillId="0" borderId="67" xfId="0" applyNumberFormat="1" applyFont="1" applyFill="1" applyBorder="1" applyAlignment="1" applyProtection="1">
      <alignment horizontal="center"/>
      <protection hidden="1"/>
    </xf>
    <xf numFmtId="181" fontId="22" fillId="0" borderId="36" xfId="0" applyNumberFormat="1" applyFont="1" applyFill="1" applyBorder="1" applyAlignment="1" applyProtection="1">
      <alignment horizontal="center"/>
      <protection hidden="1"/>
    </xf>
    <xf numFmtId="194" fontId="22" fillId="34" borderId="59" xfId="0" applyNumberFormat="1" applyFont="1" applyFill="1" applyBorder="1" applyAlignment="1" applyProtection="1">
      <alignment horizontal="center"/>
      <protection hidden="1"/>
    </xf>
    <xf numFmtId="194" fontId="22" fillId="34" borderId="67" xfId="0" applyNumberFormat="1" applyFont="1" applyFill="1" applyBorder="1" applyAlignment="1" applyProtection="1">
      <alignment horizontal="center"/>
      <protection hidden="1"/>
    </xf>
    <xf numFmtId="194" fontId="22" fillId="34" borderId="36" xfId="0" applyNumberFormat="1" applyFont="1" applyFill="1" applyBorder="1" applyAlignment="1" applyProtection="1">
      <alignment horizontal="center"/>
      <protection hidden="1"/>
    </xf>
    <xf numFmtId="186" fontId="67" fillId="34" borderId="59" xfId="0" applyNumberFormat="1" applyFont="1" applyFill="1" applyBorder="1" applyAlignment="1" applyProtection="1">
      <alignment horizontal="center"/>
      <protection hidden="1"/>
    </xf>
    <xf numFmtId="186" fontId="67" fillId="34" borderId="67" xfId="0" applyNumberFormat="1" applyFont="1" applyFill="1" applyBorder="1" applyAlignment="1" applyProtection="1">
      <alignment horizontal="center"/>
      <protection hidden="1"/>
    </xf>
    <xf numFmtId="166" fontId="55" fillId="34" borderId="67" xfId="0" applyNumberFormat="1" applyFont="1" applyFill="1" applyBorder="1" applyAlignment="1" applyProtection="1">
      <alignment horizontal="center"/>
      <protection hidden="1"/>
    </xf>
    <xf numFmtId="166" fontId="55" fillId="34" borderId="36" xfId="0" applyNumberFormat="1" applyFont="1" applyFill="1" applyBorder="1" applyAlignment="1" applyProtection="1">
      <alignment horizontal="center"/>
      <protection hidden="1"/>
    </xf>
    <xf numFmtId="183" fontId="22" fillId="2" borderId="20" xfId="0" applyNumberFormat="1" applyFont="1" applyFill="1" applyBorder="1" applyAlignment="1" applyProtection="1">
      <alignment horizontal="center"/>
      <protection hidden="1"/>
    </xf>
    <xf numFmtId="183" fontId="22" fillId="2" borderId="21" xfId="0" applyNumberFormat="1" applyFont="1" applyFill="1" applyBorder="1" applyAlignment="1" applyProtection="1">
      <alignment horizontal="center"/>
      <protection hidden="1"/>
    </xf>
    <xf numFmtId="184" fontId="55" fillId="2" borderId="21" xfId="0" applyNumberFormat="1" applyFont="1" applyFill="1" applyBorder="1" applyAlignment="1" applyProtection="1">
      <alignment horizontal="center"/>
      <protection hidden="1"/>
    </xf>
    <xf numFmtId="186" fontId="46" fillId="2" borderId="22" xfId="0" applyNumberFormat="1" applyFont="1" applyFill="1" applyBorder="1" applyAlignment="1" applyProtection="1">
      <alignment horizontal="center"/>
      <protection hidden="1"/>
    </xf>
    <xf numFmtId="186" fontId="46" fillId="2" borderId="21" xfId="0" applyNumberFormat="1" applyFont="1" applyFill="1" applyBorder="1" applyAlignment="1" applyProtection="1">
      <alignment horizontal="center"/>
      <protection hidden="1"/>
    </xf>
    <xf numFmtId="166" fontId="59" fillId="2" borderId="68" xfId="0" applyNumberFormat="1" applyFont="1" applyFill="1" applyBorder="1" applyAlignment="1" applyProtection="1">
      <alignment horizontal="center"/>
      <protection hidden="1"/>
    </xf>
    <xf numFmtId="166" fontId="59" fillId="2" borderId="23" xfId="0" applyNumberFormat="1" applyFont="1" applyFill="1" applyBorder="1" applyAlignment="1" applyProtection="1">
      <alignment horizontal="center"/>
      <protection hidden="1"/>
    </xf>
    <xf numFmtId="166" fontId="46" fillId="2" borderId="21" xfId="0" applyNumberFormat="1" applyFont="1" applyFill="1" applyBorder="1" applyAlignment="1" applyProtection="1">
      <alignment horizontal="center"/>
      <protection hidden="1"/>
    </xf>
    <xf numFmtId="166" fontId="46" fillId="2" borderId="23" xfId="0" applyNumberFormat="1" applyFont="1" applyFill="1" applyBorder="1" applyAlignment="1" applyProtection="1">
      <alignment horizontal="center"/>
      <protection hidden="1"/>
    </xf>
    <xf numFmtId="9" fontId="46" fillId="2" borderId="22" xfId="0" applyNumberFormat="1" applyFont="1" applyFill="1" applyBorder="1" applyAlignment="1" applyProtection="1">
      <alignment horizontal="center"/>
      <protection hidden="1"/>
    </xf>
    <xf numFmtId="9" fontId="46" fillId="2" borderId="23" xfId="0" applyNumberFormat="1" applyFont="1" applyFill="1" applyBorder="1" applyAlignment="1" applyProtection="1">
      <alignment horizontal="center"/>
      <protection hidden="1"/>
    </xf>
    <xf numFmtId="181" fontId="46" fillId="2" borderId="22" xfId="0" applyNumberFormat="1" applyFont="1" applyFill="1" applyBorder="1" applyAlignment="1" applyProtection="1">
      <alignment horizontal="center"/>
      <protection hidden="1"/>
    </xf>
    <xf numFmtId="181" fontId="46" fillId="2" borderId="21" xfId="0" applyNumberFormat="1" applyFont="1" applyFill="1" applyBorder="1" applyAlignment="1" applyProtection="1">
      <alignment horizontal="center"/>
      <protection hidden="1"/>
    </xf>
    <xf numFmtId="181" fontId="46" fillId="2" borderId="23" xfId="0" applyNumberFormat="1" applyFont="1" applyFill="1" applyBorder="1" applyAlignment="1" applyProtection="1">
      <alignment horizontal="center"/>
      <protection hidden="1"/>
    </xf>
    <xf numFmtId="187" fontId="46" fillId="2" borderId="22" xfId="0" applyNumberFormat="1" applyFont="1" applyFill="1" applyBorder="1" applyAlignment="1" applyProtection="1">
      <alignment horizontal="center"/>
      <protection hidden="1"/>
    </xf>
    <xf numFmtId="187" fontId="46" fillId="2" borderId="23" xfId="0" applyNumberFormat="1" applyFont="1" applyFill="1" applyBorder="1" applyAlignment="1" applyProtection="1">
      <alignment horizontal="center"/>
      <protection hidden="1"/>
    </xf>
    <xf numFmtId="178" fontId="24" fillId="15" borderId="28" xfId="0" applyFont="1" applyFill="1" applyBorder="1" applyAlignment="1" applyProtection="1">
      <alignment horizontal="center" vertical="center" wrapText="1"/>
      <protection hidden="1"/>
    </xf>
    <xf numFmtId="178" fontId="24" fillId="15" borderId="9" xfId="0" applyFont="1" applyFill="1" applyBorder="1" applyAlignment="1" applyProtection="1">
      <alignment horizontal="center" vertical="center" wrapText="1"/>
      <protection hidden="1"/>
    </xf>
    <xf numFmtId="187" fontId="46" fillId="2" borderId="69" xfId="0" applyNumberFormat="1" applyFont="1" applyFill="1" applyBorder="1" applyAlignment="1" applyProtection="1">
      <alignment horizontal="center"/>
      <protection hidden="1"/>
    </xf>
    <xf numFmtId="178" fontId="78" fillId="0" borderId="30" xfId="0" applyFont="1" applyBorder="1" applyAlignment="1" applyProtection="1">
      <alignment horizontal="center" vertical="center" wrapText="1"/>
      <protection hidden="1"/>
    </xf>
    <xf numFmtId="178" fontId="78" fillId="0" borderId="36" xfId="0" applyFont="1" applyBorder="1" applyAlignment="1" applyProtection="1">
      <alignment horizontal="center" vertical="center" wrapText="1"/>
      <protection hidden="1"/>
    </xf>
    <xf numFmtId="178" fontId="24" fillId="15" borderId="28" xfId="0" applyFont="1" applyFill="1" applyBorder="1" applyAlignment="1" applyProtection="1">
      <alignment horizontal="center" vertical="center"/>
      <protection hidden="1"/>
    </xf>
    <xf numFmtId="178" fontId="24" fillId="15" borderId="9" xfId="0" applyFont="1" applyFill="1" applyBorder="1" applyAlignment="1" applyProtection="1">
      <alignment horizontal="center" vertical="center"/>
      <protection hidden="1"/>
    </xf>
    <xf numFmtId="178" fontId="5" fillId="15" borderId="28" xfId="0" applyFont="1" applyFill="1" applyBorder="1" applyAlignment="1" applyProtection="1">
      <alignment horizontal="center" vertical="center"/>
      <protection hidden="1"/>
    </xf>
    <xf numFmtId="178" fontId="5" fillId="15" borderId="9" xfId="0" applyFont="1" applyFill="1" applyBorder="1" applyAlignment="1" applyProtection="1">
      <alignment horizontal="center" vertical="center"/>
      <protection hidden="1"/>
    </xf>
    <xf numFmtId="178" fontId="5" fillId="15" borderId="10" xfId="0" applyFont="1" applyFill="1" applyBorder="1" applyAlignment="1" applyProtection="1">
      <alignment horizontal="center" vertical="center"/>
      <protection hidden="1"/>
    </xf>
    <xf numFmtId="178" fontId="5" fillId="15" borderId="67" xfId="0" applyFont="1" applyFill="1" applyBorder="1" applyAlignment="1" applyProtection="1">
      <alignment horizontal="center" vertical="center"/>
      <protection hidden="1"/>
    </xf>
    <xf numFmtId="178" fontId="61" fillId="0" borderId="50" xfId="0" applyFont="1" applyBorder="1" applyAlignment="1" applyProtection="1">
      <alignment horizontal="center" vertical="center" wrapText="1"/>
      <protection hidden="1"/>
    </xf>
    <xf numFmtId="178" fontId="61" fillId="0" borderId="46" xfId="0" applyFont="1" applyBorder="1" applyAlignment="1" applyProtection="1">
      <alignment horizontal="center" vertical="center" wrapText="1"/>
      <protection hidden="1"/>
    </xf>
    <xf numFmtId="178" fontId="61" fillId="0" borderId="31" xfId="0" applyFont="1" applyBorder="1" applyAlignment="1" applyProtection="1">
      <alignment horizontal="center" vertical="center" wrapText="1"/>
      <protection hidden="1"/>
    </xf>
    <xf numFmtId="178" fontId="61" fillId="0" borderId="67" xfId="0" applyFont="1" applyBorder="1" applyAlignment="1" applyProtection="1">
      <alignment horizontal="center" vertical="center" wrapText="1"/>
      <protection hidden="1"/>
    </xf>
    <xf numFmtId="178" fontId="61" fillId="0" borderId="48" xfId="0" applyFont="1" applyBorder="1" applyAlignment="1" applyProtection="1">
      <alignment horizontal="center" vertical="center" wrapText="1"/>
      <protection hidden="1"/>
    </xf>
    <xf numFmtId="178" fontId="61" fillId="0" borderId="49" xfId="0" applyFont="1" applyBorder="1" applyAlignment="1" applyProtection="1">
      <alignment horizontal="center" vertical="center" wrapText="1"/>
      <protection hidden="1"/>
    </xf>
    <xf numFmtId="178" fontId="61" fillId="0" borderId="30" xfId="0" applyFont="1" applyBorder="1" applyAlignment="1" applyProtection="1">
      <alignment horizontal="center" vertical="center" wrapText="1"/>
      <protection hidden="1"/>
    </xf>
    <xf numFmtId="178" fontId="61" fillId="0" borderId="90" xfId="0" applyFont="1" applyBorder="1" applyAlignment="1" applyProtection="1">
      <alignment horizontal="center" vertical="center" wrapText="1"/>
      <protection hidden="1"/>
    </xf>
    <xf numFmtId="178" fontId="85" fillId="0" borderId="48" xfId="0" applyFont="1" applyBorder="1" applyAlignment="1" applyProtection="1">
      <alignment horizontal="center" vertical="center" wrapText="1"/>
      <protection hidden="1"/>
    </xf>
    <xf numFmtId="178" fontId="85" fillId="0" borderId="49" xfId="0" applyFont="1" applyBorder="1" applyAlignment="1" applyProtection="1">
      <alignment horizontal="center" vertical="center" wrapText="1"/>
      <protection hidden="1"/>
    </xf>
    <xf numFmtId="178" fontId="85" fillId="0" borderId="30" xfId="0" applyFont="1" applyBorder="1" applyAlignment="1" applyProtection="1">
      <alignment horizontal="center" vertical="center" wrapText="1"/>
      <protection hidden="1"/>
    </xf>
    <xf numFmtId="178" fontId="85" fillId="0" borderId="90" xfId="0" applyFont="1" applyBorder="1" applyAlignment="1" applyProtection="1">
      <alignment horizontal="center" vertical="center" wrapText="1"/>
      <protection hidden="1"/>
    </xf>
    <xf numFmtId="178" fontId="61" fillId="0" borderId="70" xfId="0" applyFont="1" applyBorder="1" applyAlignment="1" applyProtection="1">
      <alignment horizontal="center" vertical="center" wrapText="1"/>
      <protection hidden="1"/>
    </xf>
    <xf numFmtId="178" fontId="61" fillId="0" borderId="71" xfId="0" applyFont="1" applyBorder="1" applyAlignment="1" applyProtection="1">
      <alignment horizontal="center" vertical="center" wrapText="1"/>
      <protection hidden="1"/>
    </xf>
    <xf numFmtId="178" fontId="61" fillId="0" borderId="48" xfId="0" applyFont="1" applyBorder="1" applyAlignment="1" applyProtection="1">
      <alignment horizontal="center" vertical="center"/>
      <protection hidden="1"/>
    </xf>
    <xf numFmtId="178" fontId="61" fillId="0" borderId="49" xfId="0" applyFont="1" applyBorder="1" applyAlignment="1" applyProtection="1">
      <alignment horizontal="center" vertical="center"/>
      <protection hidden="1"/>
    </xf>
    <xf numFmtId="178" fontId="61" fillId="0" borderId="72" xfId="0" applyFont="1" applyBorder="1" applyAlignment="1" applyProtection="1">
      <alignment horizontal="center" vertical="center"/>
      <protection hidden="1"/>
    </xf>
    <xf numFmtId="178" fontId="61" fillId="0" borderId="71" xfId="0" applyFont="1" applyBorder="1" applyAlignment="1" applyProtection="1">
      <alignment horizontal="center" vertical="center"/>
      <protection hidden="1"/>
    </xf>
    <xf numFmtId="178" fontId="61" fillId="0" borderId="63" xfId="0" applyFont="1" applyFill="1" applyBorder="1" applyAlignment="1" applyProtection="1">
      <alignment horizontal="center" vertical="center" wrapText="1"/>
      <protection hidden="1"/>
    </xf>
    <xf numFmtId="178" fontId="61" fillId="0" borderId="79" xfId="0" applyFont="1" applyFill="1" applyBorder="1" applyAlignment="1" applyProtection="1">
      <alignment horizontal="center" vertical="center" wrapText="1"/>
      <protection hidden="1"/>
    </xf>
    <xf numFmtId="178" fontId="61" fillId="0" borderId="64" xfId="0" applyFont="1" applyFill="1" applyBorder="1" applyAlignment="1" applyProtection="1">
      <alignment horizontal="center" vertical="center" wrapText="1"/>
      <protection hidden="1"/>
    </xf>
    <xf numFmtId="178" fontId="61" fillId="0" borderId="80" xfId="0" applyFont="1" applyFill="1" applyBorder="1" applyAlignment="1" applyProtection="1">
      <alignment horizontal="center" vertical="center" wrapText="1"/>
      <protection hidden="1"/>
    </xf>
    <xf numFmtId="178" fontId="85" fillId="0" borderId="72" xfId="0" applyFont="1" applyBorder="1" applyAlignment="1" applyProtection="1">
      <alignment horizontal="center" vertical="center" wrapText="1"/>
      <protection hidden="1"/>
    </xf>
    <xf numFmtId="178" fontId="85" fillId="0" borderId="71" xfId="0" applyFont="1" applyBorder="1" applyAlignment="1" applyProtection="1">
      <alignment horizontal="center" vertical="center" wrapText="1"/>
      <protection hidden="1"/>
    </xf>
    <xf numFmtId="178" fontId="62" fillId="34" borderId="63" xfId="0" applyFont="1" applyFill="1" applyBorder="1" applyAlignment="1" applyProtection="1">
      <alignment horizontal="center" vertical="center" wrapText="1"/>
      <protection hidden="1"/>
    </xf>
    <xf numFmtId="178" fontId="62" fillId="34" borderId="79" xfId="0" applyFont="1" applyFill="1" applyBorder="1" applyAlignment="1" applyProtection="1">
      <alignment horizontal="center" vertical="center" wrapText="1"/>
      <protection hidden="1"/>
    </xf>
    <xf numFmtId="178" fontId="62" fillId="34" borderId="64" xfId="0" applyFont="1" applyFill="1" applyBorder="1" applyAlignment="1" applyProtection="1">
      <alignment horizontal="center" vertical="center" wrapText="1"/>
      <protection hidden="1"/>
    </xf>
    <xf numFmtId="178" fontId="62" fillId="34" borderId="80" xfId="0" applyFont="1" applyFill="1" applyBorder="1" applyAlignment="1" applyProtection="1">
      <alignment horizontal="center" vertical="center" wrapText="1"/>
      <protection hidden="1"/>
    </xf>
    <xf numFmtId="178" fontId="61" fillId="22" borderId="50" xfId="0" applyFont="1" applyFill="1" applyBorder="1" applyAlignment="1" applyProtection="1">
      <alignment horizontal="center" vertical="center"/>
      <protection hidden="1"/>
    </xf>
    <xf numFmtId="178" fontId="61" fillId="22" borderId="46" xfId="0" applyFont="1" applyFill="1" applyBorder="1" applyAlignment="1" applyProtection="1">
      <alignment horizontal="center" vertical="center"/>
      <protection hidden="1"/>
    </xf>
    <xf numFmtId="178" fontId="61" fillId="22" borderId="47" xfId="0" applyFont="1" applyFill="1" applyBorder="1" applyAlignment="1" applyProtection="1">
      <alignment horizontal="center" vertical="center"/>
      <protection hidden="1"/>
    </xf>
    <xf numFmtId="1" fontId="67" fillId="0" borderId="50" xfId="0" applyNumberFormat="1" applyFont="1" applyFill="1" applyBorder="1" applyAlignment="1" applyProtection="1">
      <alignment horizontal="center" vertical="center"/>
      <protection hidden="1"/>
    </xf>
    <xf numFmtId="1" fontId="67" fillId="0" borderId="46" xfId="0" applyNumberFormat="1" applyFont="1" applyFill="1" applyBorder="1" applyAlignment="1" applyProtection="1">
      <alignment horizontal="center" vertical="center"/>
      <protection hidden="1"/>
    </xf>
    <xf numFmtId="1" fontId="67" fillId="0" borderId="47" xfId="0" applyNumberFormat="1" applyFont="1" applyFill="1" applyBorder="1" applyAlignment="1" applyProtection="1">
      <alignment horizontal="center" vertical="center"/>
      <protection hidden="1"/>
    </xf>
    <xf numFmtId="186" fontId="22" fillId="34" borderId="31" xfId="0" applyNumberFormat="1" applyFont="1" applyFill="1" applyBorder="1" applyAlignment="1" applyProtection="1">
      <alignment horizontal="center" vertical="center"/>
      <protection hidden="1"/>
    </xf>
    <xf numFmtId="186" fontId="22" fillId="34" borderId="67" xfId="0" applyNumberFormat="1" applyFont="1" applyFill="1" applyBorder="1" applyAlignment="1" applyProtection="1">
      <alignment horizontal="center" vertical="center"/>
      <protection hidden="1"/>
    </xf>
    <xf numFmtId="166" fontId="55" fillId="34" borderId="67" xfId="0" applyNumberFormat="1" applyFont="1" applyFill="1" applyBorder="1" applyAlignment="1" applyProtection="1">
      <alignment horizontal="center" vertical="center"/>
      <protection hidden="1"/>
    </xf>
    <xf numFmtId="166" fontId="55" fillId="34" borderId="36" xfId="0" applyNumberFormat="1" applyFont="1" applyFill="1" applyBorder="1" applyAlignment="1" applyProtection="1">
      <alignment horizontal="center" vertical="center"/>
      <protection hidden="1"/>
    </xf>
    <xf numFmtId="203" fontId="64" fillId="42" borderId="20" xfId="0" applyNumberFormat="1" applyFont="1" applyFill="1" applyBorder="1" applyAlignment="1" applyProtection="1">
      <alignment horizontal="center" vertical="center"/>
      <protection hidden="1"/>
    </xf>
    <xf numFmtId="203" fontId="64" fillId="42" borderId="21" xfId="0" applyNumberFormat="1" applyFont="1" applyFill="1" applyBorder="1" applyAlignment="1" applyProtection="1">
      <alignment horizontal="center" vertical="center"/>
      <protection hidden="1"/>
    </xf>
    <xf numFmtId="1" fontId="130" fillId="43" borderId="21" xfId="0" applyNumberFormat="1" applyFont="1" applyFill="1" applyBorder="1" applyAlignment="1" applyProtection="1">
      <alignment horizontal="left" vertical="center"/>
      <protection hidden="1"/>
    </xf>
    <xf numFmtId="1" fontId="130" fillId="43" borderId="110" xfId="0" applyNumberFormat="1" applyFont="1" applyFill="1" applyBorder="1" applyAlignment="1" applyProtection="1">
      <alignment horizontal="left" vertical="center"/>
      <protection hidden="1"/>
    </xf>
    <xf numFmtId="178" fontId="61" fillId="0" borderId="47" xfId="0" applyFont="1" applyBorder="1" applyAlignment="1" applyProtection="1">
      <alignment horizontal="center" vertical="center" wrapText="1"/>
      <protection hidden="1"/>
    </xf>
    <xf numFmtId="178" fontId="78" fillId="0" borderId="90" xfId="0" applyFont="1" applyBorder="1" applyAlignment="1" applyProtection="1">
      <alignment horizontal="center" vertical="center" wrapText="1"/>
      <protection hidden="1"/>
    </xf>
    <xf numFmtId="0" fontId="46" fillId="34" borderId="94" xfId="0" applyNumberFormat="1" applyFont="1" applyFill="1" applyBorder="1" applyAlignment="1" applyProtection="1">
      <alignment horizontal="center" vertical="center"/>
      <protection hidden="1"/>
    </xf>
    <xf numFmtId="0" fontId="46" fillId="34" borderId="0" xfId="0" applyNumberFormat="1" applyFont="1" applyFill="1" applyBorder="1" applyAlignment="1" applyProtection="1">
      <alignment horizontal="center" vertical="center"/>
      <protection hidden="1"/>
    </xf>
    <xf numFmtId="0" fontId="46" fillId="34" borderId="5" xfId="0" applyNumberFormat="1" applyFont="1" applyFill="1" applyBorder="1" applyAlignment="1" applyProtection="1">
      <alignment horizontal="center" vertical="center"/>
      <protection hidden="1"/>
    </xf>
    <xf numFmtId="0" fontId="46" fillId="34" borderId="143" xfId="0" applyNumberFormat="1" applyFont="1" applyFill="1" applyBorder="1" applyAlignment="1" applyProtection="1">
      <alignment horizontal="center" vertical="center"/>
      <protection hidden="1"/>
    </xf>
    <xf numFmtId="0" fontId="46" fillId="34" borderId="67" xfId="0" applyNumberFormat="1" applyFont="1" applyFill="1" applyBorder="1" applyAlignment="1" applyProtection="1">
      <alignment horizontal="center" vertical="center"/>
      <protection hidden="1"/>
    </xf>
    <xf numFmtId="0" fontId="46" fillId="34" borderId="36" xfId="0" applyNumberFormat="1" applyFont="1" applyFill="1" applyBorder="1" applyAlignment="1" applyProtection="1">
      <alignment horizontal="center" vertical="center"/>
      <protection hidden="1"/>
    </xf>
    <xf numFmtId="1" fontId="46" fillId="34" borderId="31" xfId="0" applyNumberFormat="1" applyFont="1" applyFill="1" applyBorder="1" applyAlignment="1" applyProtection="1">
      <alignment horizontal="left" vertical="center"/>
      <protection hidden="1"/>
    </xf>
    <xf numFmtId="1" fontId="46" fillId="34" borderId="67" xfId="0" applyNumberFormat="1" applyFont="1" applyFill="1" applyBorder="1" applyAlignment="1" applyProtection="1">
      <alignment horizontal="left" vertical="center"/>
      <protection hidden="1"/>
    </xf>
    <xf numFmtId="1" fontId="46" fillId="34" borderId="36" xfId="0" applyNumberFormat="1" applyFont="1" applyFill="1" applyBorder="1" applyAlignment="1" applyProtection="1">
      <alignment horizontal="left" vertical="center"/>
      <protection hidden="1"/>
    </xf>
    <xf numFmtId="164" fontId="62" fillId="31" borderId="91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2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3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4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0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5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6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7" xfId="0" applyNumberFormat="1" applyFont="1" applyFill="1" applyBorder="1" applyAlignment="1" applyProtection="1">
      <alignment horizontal="center" vertical="center" wrapText="1"/>
      <protection hidden="1"/>
    </xf>
    <xf numFmtId="164" fontId="62" fillId="31" borderId="98" xfId="0" applyNumberFormat="1" applyFont="1" applyFill="1" applyBorder="1" applyAlignment="1" applyProtection="1">
      <alignment horizontal="center" vertical="center" wrapText="1"/>
      <protection hidden="1"/>
    </xf>
    <xf numFmtId="178" fontId="71" fillId="2" borderId="6" xfId="0" applyFont="1" applyFill="1" applyBorder="1" applyAlignment="1" applyProtection="1">
      <alignment horizontal="right" vertical="center"/>
      <protection hidden="1"/>
    </xf>
    <xf numFmtId="178" fontId="71" fillId="2" borderId="0" xfId="0" applyFont="1" applyFill="1" applyBorder="1" applyAlignment="1" applyProtection="1">
      <alignment horizontal="right" vertical="center"/>
      <protection hidden="1"/>
    </xf>
    <xf numFmtId="183" fontId="67" fillId="2" borderId="0" xfId="0" applyNumberFormat="1" applyFont="1" applyFill="1" applyBorder="1" applyAlignment="1" applyProtection="1">
      <alignment horizontal="left" vertical="center"/>
      <protection hidden="1"/>
    </xf>
    <xf numFmtId="183" fontId="67" fillId="2" borderId="89" xfId="0" applyNumberFormat="1" applyFont="1" applyFill="1" applyBorder="1" applyAlignment="1" applyProtection="1">
      <alignment horizontal="left" vertical="center"/>
      <protection hidden="1"/>
    </xf>
    <xf numFmtId="178" fontId="67" fillId="34" borderId="50" xfId="0" applyFont="1" applyFill="1" applyBorder="1" applyAlignment="1" applyProtection="1">
      <alignment horizontal="center" vertical="top"/>
      <protection hidden="1"/>
    </xf>
    <xf numFmtId="178" fontId="67" fillId="34" borderId="46" xfId="0" applyFont="1" applyFill="1" applyBorder="1" applyAlignment="1" applyProtection="1">
      <alignment horizontal="center" vertical="top"/>
      <protection hidden="1"/>
    </xf>
    <xf numFmtId="178" fontId="67" fillId="34" borderId="47" xfId="0" applyFont="1" applyFill="1" applyBorder="1" applyAlignment="1" applyProtection="1">
      <alignment horizontal="center" vertical="top"/>
      <protection hidden="1"/>
    </xf>
    <xf numFmtId="178" fontId="67" fillId="34" borderId="6" xfId="0" applyFont="1" applyFill="1" applyBorder="1" applyAlignment="1" applyProtection="1">
      <alignment horizontal="center" vertical="top"/>
      <protection hidden="1"/>
    </xf>
    <xf numFmtId="178" fontId="67" fillId="34" borderId="0" xfId="0" applyFont="1" applyFill="1" applyBorder="1" applyAlignment="1" applyProtection="1">
      <alignment horizontal="center" vertical="top"/>
      <protection hidden="1"/>
    </xf>
    <xf numFmtId="178" fontId="67" fillId="34" borderId="5" xfId="0" applyFont="1" applyFill="1" applyBorder="1" applyAlignment="1" applyProtection="1">
      <alignment horizontal="center" vertical="top"/>
      <protection hidden="1"/>
    </xf>
    <xf numFmtId="0" fontId="46" fillId="34" borderId="46" xfId="0" applyNumberFormat="1" applyFont="1" applyFill="1" applyBorder="1" applyAlignment="1" applyProtection="1">
      <alignment horizontal="center" vertical="top"/>
      <protection hidden="1"/>
    </xf>
    <xf numFmtId="0" fontId="46" fillId="34" borderId="47" xfId="0" applyNumberFormat="1" applyFont="1" applyFill="1" applyBorder="1" applyAlignment="1" applyProtection="1">
      <alignment horizontal="center" vertical="top"/>
      <protection hidden="1"/>
    </xf>
    <xf numFmtId="0" fontId="46" fillId="34" borderId="0" xfId="0" applyNumberFormat="1" applyFont="1" applyFill="1" applyBorder="1" applyAlignment="1" applyProtection="1">
      <alignment horizontal="center" vertical="top"/>
      <protection hidden="1"/>
    </xf>
    <xf numFmtId="0" fontId="46" fillId="34" borderId="5" xfId="0" applyNumberFormat="1" applyFont="1" applyFill="1" applyBorder="1" applyAlignment="1" applyProtection="1">
      <alignment horizontal="center" vertical="top"/>
      <protection hidden="1"/>
    </xf>
    <xf numFmtId="178" fontId="46" fillId="61" borderId="4" xfId="0" applyFont="1" applyFill="1" applyBorder="1" applyAlignment="1" applyProtection="1">
      <alignment horizontal="right" vertical="center"/>
      <protection hidden="1"/>
    </xf>
    <xf numFmtId="178" fontId="46" fillId="61" borderId="0" xfId="0" applyFont="1" applyFill="1" applyBorder="1" applyAlignment="1" applyProtection="1">
      <alignment horizontal="right" vertical="center"/>
      <protection hidden="1"/>
    </xf>
    <xf numFmtId="183" fontId="22" fillId="61" borderId="0" xfId="0" applyNumberFormat="1" applyFont="1" applyFill="1" applyBorder="1" applyAlignment="1" applyProtection="1">
      <alignment horizontal="left" vertical="center"/>
      <protection hidden="1"/>
    </xf>
    <xf numFmtId="183" fontId="22" fillId="61" borderId="5" xfId="0" applyNumberFormat="1" applyFont="1" applyFill="1" applyBorder="1" applyAlignment="1" applyProtection="1">
      <alignment horizontal="left" vertical="center"/>
      <protection hidden="1"/>
    </xf>
    <xf numFmtId="164" fontId="243" fillId="89" borderId="6" xfId="0" applyNumberFormat="1" applyFont="1" applyFill="1" applyBorder="1" applyAlignment="1" applyProtection="1">
      <alignment horizontal="center" vertical="center"/>
      <protection hidden="1"/>
    </xf>
    <xf numFmtId="164" fontId="243" fillId="89" borderId="0" xfId="0" applyNumberFormat="1" applyFont="1" applyFill="1" applyBorder="1" applyAlignment="1" applyProtection="1">
      <alignment horizontal="center" vertical="center"/>
      <protection hidden="1"/>
    </xf>
    <xf numFmtId="164" fontId="243" fillId="89" borderId="5" xfId="0" applyNumberFormat="1" applyFont="1" applyFill="1" applyBorder="1" applyAlignment="1" applyProtection="1">
      <alignment horizontal="center" vertical="center"/>
      <protection hidden="1"/>
    </xf>
    <xf numFmtId="164" fontId="243" fillId="89" borderId="31" xfId="0" applyNumberFormat="1" applyFont="1" applyFill="1" applyBorder="1" applyAlignment="1" applyProtection="1">
      <alignment horizontal="center" vertical="center"/>
      <protection hidden="1"/>
    </xf>
    <xf numFmtId="164" fontId="243" fillId="89" borderId="67" xfId="0" applyNumberFormat="1" applyFont="1" applyFill="1" applyBorder="1" applyAlignment="1" applyProtection="1">
      <alignment horizontal="center" vertical="center"/>
      <protection hidden="1"/>
    </xf>
    <xf numFmtId="164" fontId="243" fillId="89" borderId="36" xfId="0" applyNumberFormat="1" applyFont="1" applyFill="1" applyBorder="1" applyAlignment="1" applyProtection="1">
      <alignment horizontal="center" vertical="center"/>
      <protection hidden="1"/>
    </xf>
    <xf numFmtId="178" fontId="46" fillId="0" borderId="101" xfId="0" applyFont="1" applyBorder="1" applyAlignment="1" applyProtection="1">
      <alignment horizontal="center" wrapText="1"/>
      <protection hidden="1"/>
    </xf>
    <xf numFmtId="178" fontId="46" fillId="0" borderId="92" xfId="0" applyFont="1" applyBorder="1" applyAlignment="1" applyProtection="1">
      <alignment horizontal="center" wrapText="1"/>
      <protection hidden="1"/>
    </xf>
    <xf numFmtId="178" fontId="46" fillId="0" borderId="102" xfId="0" applyFont="1" applyBorder="1" applyAlignment="1" applyProtection="1">
      <alignment horizontal="center" wrapText="1"/>
      <protection hidden="1"/>
    </xf>
    <xf numFmtId="178" fontId="46" fillId="0" borderId="6" xfId="0" applyFont="1" applyBorder="1" applyAlignment="1" applyProtection="1">
      <alignment horizontal="center" wrapText="1"/>
      <protection hidden="1"/>
    </xf>
    <xf numFmtId="178" fontId="46" fillId="0" borderId="0" xfId="0" applyFont="1" applyBorder="1" applyAlignment="1" applyProtection="1">
      <alignment horizontal="center" wrapText="1"/>
      <protection hidden="1"/>
    </xf>
    <xf numFmtId="178" fontId="46" fillId="0" borderId="5" xfId="0" applyFont="1" applyBorder="1" applyAlignment="1" applyProtection="1">
      <alignment horizontal="center" wrapText="1"/>
      <protection hidden="1"/>
    </xf>
    <xf numFmtId="178" fontId="46" fillId="0" borderId="99" xfId="0" applyFont="1" applyBorder="1" applyAlignment="1" applyProtection="1">
      <alignment horizontal="center" wrapText="1"/>
      <protection hidden="1"/>
    </xf>
    <xf numFmtId="178" fontId="46" fillId="0" borderId="97" xfId="0" applyFont="1" applyBorder="1" applyAlignment="1" applyProtection="1">
      <alignment horizontal="center" wrapText="1"/>
      <protection hidden="1"/>
    </xf>
    <xf numFmtId="178" fontId="46" fillId="0" borderId="100" xfId="0" applyFont="1" applyBorder="1" applyAlignment="1" applyProtection="1">
      <alignment horizontal="center" wrapText="1"/>
      <protection hidden="1"/>
    </xf>
    <xf numFmtId="0" fontId="46" fillId="34" borderId="6" xfId="0" applyNumberFormat="1" applyFont="1" applyFill="1" applyBorder="1" applyAlignment="1" applyProtection="1">
      <alignment horizontal="center" vertical="center"/>
      <protection hidden="1"/>
    </xf>
    <xf numFmtId="0" fontId="46" fillId="34" borderId="31" xfId="0" applyNumberFormat="1" applyFont="1" applyFill="1" applyBorder="1" applyAlignment="1" applyProtection="1">
      <alignment horizontal="center" vertical="center"/>
      <protection hidden="1"/>
    </xf>
    <xf numFmtId="171" fontId="22" fillId="61" borderId="0" xfId="0" applyNumberFormat="1" applyFont="1" applyFill="1" applyBorder="1" applyAlignment="1" applyProtection="1">
      <alignment horizontal="left" vertical="center"/>
      <protection hidden="1"/>
    </xf>
    <xf numFmtId="171" fontId="22" fillId="61" borderId="5" xfId="0" applyNumberFormat="1" applyFont="1" applyFill="1" applyBorder="1" applyAlignment="1" applyProtection="1">
      <alignment horizontal="left" vertical="center"/>
      <protection hidden="1"/>
    </xf>
    <xf numFmtId="178" fontId="71" fillId="2" borderId="31" xfId="0" applyFont="1" applyFill="1" applyBorder="1" applyAlignment="1" applyProtection="1">
      <alignment horizontal="right" vertical="center"/>
      <protection hidden="1"/>
    </xf>
    <xf numFmtId="178" fontId="71" fillId="2" borderId="67" xfId="0" applyFont="1" applyFill="1" applyBorder="1" applyAlignment="1" applyProtection="1">
      <alignment horizontal="right" vertical="center"/>
      <protection hidden="1"/>
    </xf>
    <xf numFmtId="183" fontId="67" fillId="2" borderId="67" xfId="0" applyNumberFormat="1" applyFont="1" applyFill="1" applyBorder="1" applyAlignment="1" applyProtection="1">
      <alignment horizontal="left" vertical="center"/>
      <protection hidden="1"/>
    </xf>
    <xf numFmtId="183" fontId="67" fillId="2" borderId="90" xfId="0" applyNumberFormat="1" applyFont="1" applyFill="1" applyBorder="1" applyAlignment="1" applyProtection="1">
      <alignment horizontal="left" vertical="center"/>
      <protection hidden="1"/>
    </xf>
    <xf numFmtId="178" fontId="49" fillId="41" borderId="6" xfId="0" applyFont="1" applyFill="1" applyBorder="1" applyAlignment="1" applyProtection="1">
      <alignment horizontal="center" vertical="top" wrapText="1"/>
      <protection hidden="1"/>
    </xf>
    <xf numFmtId="178" fontId="49" fillId="41" borderId="0" xfId="0" applyFont="1" applyFill="1" applyBorder="1" applyAlignment="1" applyProtection="1">
      <alignment horizontal="center" vertical="top" wrapText="1"/>
      <protection hidden="1"/>
    </xf>
    <xf numFmtId="178" fontId="49" fillId="41" borderId="5" xfId="0" applyFont="1" applyFill="1" applyBorder="1" applyAlignment="1" applyProtection="1">
      <alignment horizontal="center" vertical="top" wrapText="1"/>
      <protection hidden="1"/>
    </xf>
    <xf numFmtId="178" fontId="67" fillId="34" borderId="6" xfId="0" applyFont="1" applyFill="1" applyBorder="1" applyAlignment="1" applyProtection="1">
      <alignment horizontal="center" wrapText="1"/>
      <protection hidden="1"/>
    </xf>
    <xf numFmtId="178" fontId="67" fillId="34" borderId="0" xfId="0" applyFont="1" applyFill="1" applyBorder="1" applyAlignment="1" applyProtection="1">
      <alignment horizontal="center" wrapText="1"/>
      <protection hidden="1"/>
    </xf>
    <xf numFmtId="178" fontId="67" fillId="34" borderId="5" xfId="0" applyFont="1" applyFill="1" applyBorder="1" applyAlignment="1" applyProtection="1">
      <alignment horizontal="center" wrapText="1"/>
      <protection hidden="1"/>
    </xf>
    <xf numFmtId="171" fontId="67" fillId="34" borderId="50" xfId="0" applyNumberFormat="1" applyFont="1" applyFill="1" applyBorder="1" applyAlignment="1" applyProtection="1">
      <alignment horizontal="center" vertical="top"/>
      <protection hidden="1"/>
    </xf>
    <xf numFmtId="171" fontId="67" fillId="34" borderId="46" xfId="0" applyNumberFormat="1" applyFont="1" applyFill="1" applyBorder="1" applyAlignment="1" applyProtection="1">
      <alignment horizontal="center" vertical="top"/>
      <protection hidden="1"/>
    </xf>
    <xf numFmtId="171" fontId="67" fillId="34" borderId="47" xfId="0" applyNumberFormat="1" applyFont="1" applyFill="1" applyBorder="1" applyAlignment="1" applyProtection="1">
      <alignment horizontal="center" vertical="top"/>
      <protection hidden="1"/>
    </xf>
    <xf numFmtId="171" fontId="67" fillId="34" borderId="6" xfId="0" applyNumberFormat="1" applyFont="1" applyFill="1" applyBorder="1" applyAlignment="1" applyProtection="1">
      <alignment horizontal="center" vertical="top"/>
      <protection hidden="1"/>
    </xf>
    <xf numFmtId="171" fontId="67" fillId="34" borderId="0" xfId="0" applyNumberFormat="1" applyFont="1" applyFill="1" applyBorder="1" applyAlignment="1" applyProtection="1">
      <alignment horizontal="center" vertical="top"/>
      <protection hidden="1"/>
    </xf>
    <xf numFmtId="171" fontId="67" fillId="34" borderId="5" xfId="0" applyNumberFormat="1" applyFont="1" applyFill="1" applyBorder="1" applyAlignment="1" applyProtection="1">
      <alignment horizontal="center" vertical="top"/>
      <protection hidden="1"/>
    </xf>
    <xf numFmtId="178" fontId="22" fillId="34" borderId="6" xfId="0" applyFont="1" applyFill="1" applyBorder="1" applyAlignment="1" applyProtection="1">
      <alignment horizontal="center" wrapText="1"/>
      <protection hidden="1"/>
    </xf>
    <xf numFmtId="178" fontId="22" fillId="34" borderId="0" xfId="0" applyFont="1" applyFill="1" applyBorder="1" applyAlignment="1" applyProtection="1">
      <alignment horizontal="center" wrapText="1"/>
      <protection hidden="1"/>
    </xf>
    <xf numFmtId="178" fontId="49" fillId="22" borderId="50" xfId="0" applyFont="1" applyFill="1" applyBorder="1" applyAlignment="1" applyProtection="1">
      <alignment horizontal="center"/>
      <protection hidden="1"/>
    </xf>
    <xf numFmtId="178" fontId="49" fillId="22" borderId="46" xfId="0" applyFont="1" applyFill="1" applyBorder="1" applyAlignment="1" applyProtection="1">
      <alignment horizontal="center"/>
      <protection hidden="1"/>
    </xf>
    <xf numFmtId="178" fontId="49" fillId="22" borderId="47" xfId="0" applyFont="1" applyFill="1" applyBorder="1" applyAlignment="1" applyProtection="1">
      <alignment horizontal="center"/>
      <protection hidden="1"/>
    </xf>
    <xf numFmtId="178" fontId="71" fillId="34" borderId="6" xfId="0" applyFont="1" applyFill="1" applyBorder="1" applyAlignment="1" applyProtection="1">
      <alignment horizontal="center" vertical="top" wrapText="1"/>
      <protection hidden="1"/>
    </xf>
    <xf numFmtId="178" fontId="71" fillId="34" borderId="0" xfId="0" applyFont="1" applyFill="1" applyBorder="1" applyAlignment="1" applyProtection="1">
      <alignment horizontal="center" vertical="top" wrapText="1"/>
      <protection hidden="1"/>
    </xf>
    <xf numFmtId="178" fontId="71" fillId="34" borderId="5" xfId="0" applyFont="1" applyFill="1" applyBorder="1" applyAlignment="1" applyProtection="1">
      <alignment horizontal="center" vertical="top" wrapText="1"/>
      <protection hidden="1"/>
    </xf>
    <xf numFmtId="178" fontId="46" fillId="34" borderId="6" xfId="0" applyFont="1" applyFill="1" applyBorder="1" applyAlignment="1" applyProtection="1">
      <alignment horizontal="center" vertical="top"/>
      <protection hidden="1"/>
    </xf>
    <xf numFmtId="178" fontId="0" fillId="34" borderId="0" xfId="0" applyFill="1" applyAlignment="1" applyProtection="1">
      <protection hidden="1"/>
    </xf>
    <xf numFmtId="178" fontId="0" fillId="34" borderId="5" xfId="0" applyFill="1" applyBorder="1" applyAlignment="1" applyProtection="1">
      <protection hidden="1"/>
    </xf>
    <xf numFmtId="178" fontId="0" fillId="34" borderId="6" xfId="0" applyFill="1" applyBorder="1" applyAlignment="1" applyProtection="1">
      <protection hidden="1"/>
    </xf>
    <xf numFmtId="178" fontId="71" fillId="2" borderId="50" xfId="0" applyFont="1" applyFill="1" applyBorder="1" applyAlignment="1" applyProtection="1">
      <alignment horizontal="right" vertical="center"/>
      <protection hidden="1"/>
    </xf>
    <xf numFmtId="178" fontId="71" fillId="2" borderId="46" xfId="0" applyFont="1" applyFill="1" applyBorder="1" applyAlignment="1" applyProtection="1">
      <alignment horizontal="right" vertical="center"/>
      <protection hidden="1"/>
    </xf>
    <xf numFmtId="183" fontId="67" fillId="2" borderId="46" xfId="0" applyNumberFormat="1" applyFont="1" applyFill="1" applyBorder="1" applyAlignment="1" applyProtection="1">
      <alignment horizontal="left" vertical="center"/>
      <protection hidden="1"/>
    </xf>
    <xf numFmtId="183" fontId="67" fillId="2" borderId="49" xfId="0" applyNumberFormat="1" applyFont="1" applyFill="1" applyBorder="1" applyAlignment="1" applyProtection="1">
      <alignment horizontal="left" vertical="center"/>
      <protection hidden="1"/>
    </xf>
    <xf numFmtId="178" fontId="46" fillId="61" borderId="48" xfId="0" applyFont="1" applyFill="1" applyBorder="1" applyAlignment="1" applyProtection="1">
      <alignment horizontal="center" vertical="center"/>
      <protection hidden="1"/>
    </xf>
    <xf numFmtId="178" fontId="46" fillId="61" borderId="46" xfId="0" applyFont="1" applyFill="1" applyBorder="1" applyAlignment="1" applyProtection="1">
      <alignment horizontal="center" vertical="center"/>
      <protection hidden="1"/>
    </xf>
    <xf numFmtId="178" fontId="46" fillId="61" borderId="47" xfId="0" applyFont="1" applyFill="1" applyBorder="1" applyAlignment="1" applyProtection="1">
      <alignment horizontal="center" vertical="center"/>
      <protection hidden="1"/>
    </xf>
    <xf numFmtId="0" fontId="46" fillId="34" borderId="0" xfId="0" applyNumberFormat="1" applyFont="1" applyFill="1" applyAlignment="1" applyProtection="1">
      <alignment vertical="center"/>
      <protection hidden="1"/>
    </xf>
    <xf numFmtId="0" fontId="46" fillId="34" borderId="5" xfId="0" applyNumberFormat="1" applyFont="1" applyFill="1" applyBorder="1" applyAlignment="1" applyProtection="1">
      <alignment vertical="center"/>
      <protection hidden="1"/>
    </xf>
    <xf numFmtId="0" fontId="46" fillId="34" borderId="67" xfId="0" applyNumberFormat="1" applyFont="1" applyFill="1" applyBorder="1" applyAlignment="1" applyProtection="1">
      <alignment vertical="center"/>
      <protection hidden="1"/>
    </xf>
    <xf numFmtId="0" fontId="46" fillId="34" borderId="36" xfId="0" applyNumberFormat="1" applyFont="1" applyFill="1" applyBorder="1" applyAlignment="1" applyProtection="1">
      <alignment vertical="center"/>
      <protection hidden="1"/>
    </xf>
    <xf numFmtId="1" fontId="48" fillId="34" borderId="6" xfId="0" quotePrefix="1" applyNumberFormat="1" applyFont="1" applyFill="1" applyBorder="1" applyAlignment="1" applyProtection="1">
      <alignment horizontal="center" vertical="center" wrapText="1"/>
      <protection hidden="1"/>
    </xf>
    <xf numFmtId="1" fontId="48" fillId="34" borderId="0" xfId="0" quotePrefix="1" applyNumberFormat="1" applyFont="1" applyFill="1" applyBorder="1" applyAlignment="1" applyProtection="1">
      <alignment horizontal="center" vertical="center" wrapText="1"/>
      <protection hidden="1"/>
    </xf>
    <xf numFmtId="0" fontId="46" fillId="34" borderId="50" xfId="0" applyNumberFormat="1" applyFont="1" applyFill="1" applyBorder="1" applyAlignment="1" applyProtection="1">
      <alignment horizontal="center" vertical="top"/>
      <protection hidden="1"/>
    </xf>
    <xf numFmtId="178" fontId="89" fillId="61" borderId="30" xfId="0" applyFont="1" applyFill="1" applyBorder="1" applyAlignment="1">
      <alignment horizontal="right"/>
    </xf>
    <xf numFmtId="178" fontId="89" fillId="61" borderId="67" xfId="0" applyFont="1" applyFill="1" applyBorder="1" applyAlignment="1">
      <alignment horizontal="right"/>
    </xf>
    <xf numFmtId="178" fontId="89" fillId="61" borderId="36" xfId="0" applyFont="1" applyFill="1" applyBorder="1" applyAlignment="1">
      <alignment horizontal="right"/>
    </xf>
    <xf numFmtId="0" fontId="72" fillId="31" borderId="91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2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3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4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5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6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7" xfId="0" applyNumberFormat="1" applyFont="1" applyFill="1" applyBorder="1" applyAlignment="1" applyProtection="1">
      <alignment horizontal="center" vertical="center" wrapText="1"/>
      <protection hidden="1"/>
    </xf>
    <xf numFmtId="0" fontId="72" fillId="31" borderId="98" xfId="0" applyNumberFormat="1" applyFont="1" applyFill="1" applyBorder="1" applyAlignment="1" applyProtection="1">
      <alignment horizontal="center" vertical="center" wrapText="1"/>
      <protection hidden="1"/>
    </xf>
    <xf numFmtId="178" fontId="73" fillId="34" borderId="6" xfId="1" applyFont="1" applyFill="1" applyBorder="1" applyAlignment="1" applyProtection="1">
      <alignment horizontal="center" vertical="center" wrapText="1"/>
      <protection hidden="1"/>
    </xf>
    <xf numFmtId="178" fontId="73" fillId="34" borderId="0" xfId="1" applyFont="1" applyFill="1" applyBorder="1" applyAlignment="1" applyProtection="1">
      <alignment horizontal="center" vertical="center" wrapText="1"/>
      <protection hidden="1"/>
    </xf>
    <xf numFmtId="178" fontId="73" fillId="34" borderId="31" xfId="1" applyFont="1" applyFill="1" applyBorder="1" applyAlignment="1" applyProtection="1">
      <alignment horizontal="center" vertical="center" wrapText="1"/>
      <protection hidden="1"/>
    </xf>
    <xf numFmtId="178" fontId="73" fillId="34" borderId="67" xfId="1" applyFont="1" applyFill="1" applyBorder="1" applyAlignment="1" applyProtection="1">
      <alignment horizontal="center" vertical="center" wrapText="1"/>
      <protection hidden="1"/>
    </xf>
    <xf numFmtId="1" fontId="50" fillId="0" borderId="67" xfId="0" applyNumberFormat="1" applyFont="1" applyBorder="1" applyAlignment="1" applyProtection="1">
      <alignment horizontal="center"/>
      <protection hidden="1"/>
    </xf>
    <xf numFmtId="178" fontId="0" fillId="15" borderId="16" xfId="0" applyFill="1" applyBorder="1" applyAlignment="1" applyProtection="1">
      <alignment horizontal="center"/>
      <protection hidden="1"/>
    </xf>
    <xf numFmtId="178" fontId="0" fillId="15" borderId="17" xfId="0" applyFill="1" applyBorder="1" applyAlignment="1" applyProtection="1">
      <alignment horizontal="center"/>
      <protection hidden="1"/>
    </xf>
    <xf numFmtId="178" fontId="0" fillId="15" borderId="18" xfId="0" applyFill="1" applyBorder="1" applyAlignment="1" applyProtection="1">
      <alignment horizontal="center"/>
      <protection hidden="1"/>
    </xf>
    <xf numFmtId="197" fontId="24" fillId="16" borderId="46" xfId="0" applyNumberFormat="1" applyFont="1" applyFill="1" applyBorder="1" applyAlignment="1" applyProtection="1">
      <alignment horizontal="center" vertical="center"/>
      <protection hidden="1"/>
    </xf>
    <xf numFmtId="178" fontId="5" fillId="16" borderId="46" xfId="0" applyFont="1" applyFill="1" applyBorder="1" applyAlignment="1" applyProtection="1">
      <alignment horizontal="center" vertical="center"/>
      <protection hidden="1"/>
    </xf>
    <xf numFmtId="178" fontId="22" fillId="16" borderId="46" xfId="0" applyFont="1" applyFill="1" applyBorder="1" applyAlignment="1" applyProtection="1">
      <alignment horizontal="left" vertical="center"/>
      <protection hidden="1"/>
    </xf>
    <xf numFmtId="179" fontId="5" fillId="16" borderId="9" xfId="0" applyNumberFormat="1" applyFont="1" applyFill="1" applyBorder="1" applyAlignment="1" applyProtection="1">
      <alignment horizontal="right" vertical="center"/>
      <protection hidden="1"/>
    </xf>
    <xf numFmtId="179" fontId="15" fillId="16" borderId="9" xfId="0" applyNumberFormat="1" applyFont="1" applyFill="1" applyBorder="1" applyAlignment="1" applyProtection="1">
      <alignment horizontal="left" vertical="center"/>
      <protection hidden="1"/>
    </xf>
    <xf numFmtId="189" fontId="5" fillId="16" borderId="9" xfId="0" applyNumberFormat="1" applyFont="1" applyFill="1" applyBorder="1" applyAlignment="1" applyProtection="1">
      <alignment horizontal="center" vertical="center"/>
      <protection hidden="1"/>
    </xf>
    <xf numFmtId="178" fontId="44" fillId="0" borderId="0" xfId="0" applyFont="1" applyBorder="1" applyAlignment="1" applyProtection="1">
      <alignment horizontal="left"/>
      <protection hidden="1"/>
    </xf>
    <xf numFmtId="178" fontId="44" fillId="0" borderId="89" xfId="0" applyFont="1" applyBorder="1" applyAlignment="1" applyProtection="1">
      <alignment horizontal="left"/>
      <protection hidden="1"/>
    </xf>
    <xf numFmtId="1" fontId="0" fillId="33" borderId="73" xfId="0" applyNumberFormat="1" applyFill="1" applyBorder="1" applyAlignment="1" applyProtection="1">
      <alignment horizontal="center"/>
      <protection hidden="1"/>
    </xf>
    <xf numFmtId="1" fontId="0" fillId="33" borderId="74" xfId="0" applyNumberFormat="1" applyFill="1" applyBorder="1" applyAlignment="1" applyProtection="1">
      <alignment horizontal="center"/>
      <protection hidden="1"/>
    </xf>
    <xf numFmtId="168" fontId="139" fillId="18" borderId="77" xfId="0" applyNumberFormat="1" applyFont="1" applyFill="1" applyBorder="1" applyAlignment="1" applyProtection="1">
      <alignment horizontal="center" vertical="center"/>
      <protection hidden="1"/>
    </xf>
    <xf numFmtId="168" fontId="139" fillId="18" borderId="76" xfId="0" applyNumberFormat="1" applyFont="1" applyFill="1" applyBorder="1" applyAlignment="1" applyProtection="1">
      <alignment horizontal="center" vertical="center"/>
      <protection hidden="1"/>
    </xf>
    <xf numFmtId="183" fontId="54" fillId="34" borderId="41" xfId="0" applyNumberFormat="1" applyFont="1" applyFill="1" applyBorder="1" applyAlignment="1" applyProtection="1">
      <alignment horizontal="center" vertical="center"/>
      <protection hidden="1"/>
    </xf>
    <xf numFmtId="178" fontId="54" fillId="34" borderId="0" xfId="0" applyFont="1" applyFill="1" applyBorder="1" applyAlignment="1" applyProtection="1">
      <alignment horizontal="center" vertical="center"/>
      <protection hidden="1"/>
    </xf>
    <xf numFmtId="1" fontId="71" fillId="34" borderId="0" xfId="0" applyNumberFormat="1" applyFont="1" applyFill="1" applyBorder="1" applyAlignment="1" applyProtection="1">
      <alignment horizontal="left" vertical="center"/>
      <protection hidden="1"/>
    </xf>
    <xf numFmtId="178" fontId="71" fillId="34" borderId="17" xfId="0" applyFont="1" applyFill="1" applyBorder="1" applyAlignment="1" applyProtection="1">
      <alignment horizontal="left" vertical="center"/>
      <protection hidden="1"/>
    </xf>
    <xf numFmtId="1" fontId="71" fillId="34" borderId="168" xfId="0" applyNumberFormat="1" applyFont="1" applyFill="1" applyBorder="1" applyAlignment="1" applyProtection="1">
      <alignment horizontal="left" vertical="center"/>
      <protection hidden="1"/>
    </xf>
    <xf numFmtId="1" fontId="48" fillId="34" borderId="169" xfId="0" applyNumberFormat="1" applyFont="1" applyFill="1" applyBorder="1" applyAlignment="1" applyProtection="1">
      <alignment horizontal="left" vertical="center"/>
      <protection hidden="1"/>
    </xf>
    <xf numFmtId="178" fontId="71" fillId="34" borderId="75" xfId="0" applyFont="1" applyFill="1" applyBorder="1" applyAlignment="1" applyProtection="1">
      <alignment horizontal="left" vertical="center"/>
      <protection hidden="1"/>
    </xf>
    <xf numFmtId="182" fontId="71" fillId="34" borderId="168" xfId="0" applyNumberFormat="1" applyFont="1" applyFill="1" applyBorder="1" applyAlignment="1" applyProtection="1">
      <alignment horizontal="left" vertical="center"/>
      <protection hidden="1"/>
    </xf>
    <xf numFmtId="178" fontId="48" fillId="34" borderId="63" xfId="0" applyFont="1" applyFill="1" applyBorder="1" applyAlignment="1" applyProtection="1">
      <alignment horizontal="center" vertical="center" wrapText="1"/>
      <protection hidden="1"/>
    </xf>
    <xf numFmtId="178" fontId="48" fillId="34" borderId="79" xfId="0" applyFont="1" applyFill="1" applyBorder="1" applyAlignment="1" applyProtection="1">
      <alignment horizontal="center" vertical="center" wrapText="1"/>
      <protection hidden="1"/>
    </xf>
    <xf numFmtId="178" fontId="48" fillId="34" borderId="64" xfId="0" applyFont="1" applyFill="1" applyBorder="1" applyAlignment="1" applyProtection="1">
      <alignment horizontal="center" vertical="center" wrapText="1"/>
      <protection hidden="1"/>
    </xf>
    <xf numFmtId="178" fontId="48" fillId="34" borderId="80" xfId="0" applyFont="1" applyFill="1" applyBorder="1" applyAlignment="1" applyProtection="1">
      <alignment horizontal="center" vertical="center" wrapText="1"/>
      <protection hidden="1"/>
    </xf>
    <xf numFmtId="178" fontId="0" fillId="0" borderId="17" xfId="0" applyBorder="1" applyAlignment="1"/>
    <xf numFmtId="178" fontId="0" fillId="0" borderId="18" xfId="0" applyBorder="1" applyAlignment="1"/>
    <xf numFmtId="178" fontId="22" fillId="16" borderId="9" xfId="0" applyFont="1" applyFill="1" applyBorder="1" applyAlignment="1" applyProtection="1">
      <alignment horizontal="left" vertical="center"/>
      <protection hidden="1"/>
    </xf>
    <xf numFmtId="178" fontId="49" fillId="22" borderId="50" xfId="0" applyFont="1" applyFill="1" applyBorder="1" applyAlignment="1" applyProtection="1">
      <alignment horizontal="left" vertical="center"/>
      <protection hidden="1"/>
    </xf>
    <xf numFmtId="178" fontId="49" fillId="22" borderId="46" xfId="0" applyFont="1" applyFill="1" applyBorder="1" applyAlignment="1" applyProtection="1">
      <alignment horizontal="left" vertical="center"/>
      <protection hidden="1"/>
    </xf>
    <xf numFmtId="178" fontId="49" fillId="22" borderId="47" xfId="0" applyFont="1" applyFill="1" applyBorder="1" applyAlignment="1" applyProtection="1">
      <alignment horizontal="left" vertical="center"/>
      <protection hidden="1"/>
    </xf>
    <xf numFmtId="178" fontId="61" fillId="22" borderId="50" xfId="0" applyFont="1" applyFill="1" applyBorder="1" applyAlignment="1" applyProtection="1">
      <alignment horizontal="center" wrapText="1"/>
      <protection hidden="1"/>
    </xf>
    <xf numFmtId="178" fontId="61" fillId="22" borderId="46" xfId="0" applyFont="1" applyFill="1" applyBorder="1" applyAlignment="1" applyProtection="1">
      <alignment horizontal="center" wrapText="1"/>
      <protection hidden="1"/>
    </xf>
    <xf numFmtId="178" fontId="61" fillId="22" borderId="47" xfId="0" applyFont="1" applyFill="1" applyBorder="1" applyAlignment="1" applyProtection="1">
      <alignment horizontal="center" wrapText="1"/>
      <protection hidden="1"/>
    </xf>
    <xf numFmtId="178" fontId="134" fillId="57" borderId="6" xfId="0" applyFont="1" applyFill="1" applyBorder="1" applyAlignment="1" applyProtection="1">
      <alignment horizontal="center" vertical="center" wrapText="1"/>
      <protection hidden="1"/>
    </xf>
    <xf numFmtId="178" fontId="134" fillId="57" borderId="0" xfId="0" applyFont="1" applyFill="1" applyBorder="1" applyAlignment="1" applyProtection="1">
      <alignment horizontal="center" vertical="center" wrapText="1"/>
      <protection hidden="1"/>
    </xf>
    <xf numFmtId="178" fontId="134" fillId="57" borderId="5" xfId="0" applyFont="1" applyFill="1" applyBorder="1" applyAlignment="1" applyProtection="1">
      <alignment horizontal="center" vertical="center" wrapText="1"/>
      <protection hidden="1"/>
    </xf>
    <xf numFmtId="178" fontId="46" fillId="34" borderId="50" xfId="0" applyFont="1" applyFill="1" applyBorder="1" applyAlignment="1" applyProtection="1">
      <alignment horizontal="center" vertical="top"/>
      <protection hidden="1"/>
    </xf>
    <xf numFmtId="178" fontId="46" fillId="34" borderId="46" xfId="0" applyFont="1" applyFill="1" applyBorder="1" applyAlignment="1" applyProtection="1">
      <alignment horizontal="center" vertical="top"/>
      <protection hidden="1"/>
    </xf>
    <xf numFmtId="178" fontId="46" fillId="34" borderId="47" xfId="0" applyFont="1" applyFill="1" applyBorder="1" applyAlignment="1" applyProtection="1">
      <alignment horizontal="center" vertical="top"/>
      <protection hidden="1"/>
    </xf>
    <xf numFmtId="178" fontId="46" fillId="34" borderId="0" xfId="0" applyFont="1" applyFill="1" applyBorder="1" applyAlignment="1" applyProtection="1">
      <alignment horizontal="center" vertical="top"/>
      <protection hidden="1"/>
    </xf>
    <xf numFmtId="178" fontId="46" fillId="34" borderId="5" xfId="0" applyFont="1" applyFill="1" applyBorder="1" applyAlignment="1" applyProtection="1">
      <alignment horizontal="center" vertical="top"/>
      <protection hidden="1"/>
    </xf>
    <xf numFmtId="171" fontId="72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71" fontId="72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178" fontId="61" fillId="41" borderId="6" xfId="0" applyFont="1" applyFill="1" applyBorder="1" applyAlignment="1" applyProtection="1">
      <alignment horizontal="center" vertical="center" wrapText="1"/>
      <protection hidden="1"/>
    </xf>
    <xf numFmtId="178" fontId="61" fillId="41" borderId="0" xfId="0" applyFont="1" applyFill="1" applyBorder="1" applyAlignment="1" applyProtection="1">
      <alignment horizontal="center" vertical="center" wrapText="1"/>
      <protection hidden="1"/>
    </xf>
    <xf numFmtId="178" fontId="61" fillId="41" borderId="5" xfId="0" applyFont="1" applyFill="1" applyBorder="1" applyAlignment="1" applyProtection="1">
      <alignment horizontal="center" vertical="center" wrapText="1"/>
      <protection hidden="1"/>
    </xf>
    <xf numFmtId="178" fontId="71" fillId="41" borderId="6" xfId="0" applyFont="1" applyFill="1" applyBorder="1" applyAlignment="1" applyProtection="1">
      <alignment horizontal="center" wrapText="1"/>
      <protection hidden="1"/>
    </xf>
    <xf numFmtId="178" fontId="71" fillId="41" borderId="0" xfId="0" applyFont="1" applyFill="1" applyBorder="1" applyAlignment="1" applyProtection="1">
      <alignment horizontal="center" wrapText="1"/>
      <protection hidden="1"/>
    </xf>
    <xf numFmtId="178" fontId="71" fillId="41" borderId="5" xfId="0" applyFont="1" applyFill="1" applyBorder="1" applyAlignment="1" applyProtection="1">
      <alignment horizontal="center" wrapText="1"/>
      <protection hidden="1"/>
    </xf>
    <xf numFmtId="178" fontId="118" fillId="41" borderId="6" xfId="1" applyFont="1" applyFill="1" applyBorder="1" applyAlignment="1" applyProtection="1">
      <alignment horizontal="center" vertical="top" wrapText="1"/>
      <protection locked="0" hidden="1"/>
    </xf>
    <xf numFmtId="178" fontId="118" fillId="41" borderId="0" xfId="1" applyFont="1" applyFill="1" applyBorder="1" applyAlignment="1" applyProtection="1">
      <alignment horizontal="center" vertical="top" wrapText="1"/>
      <protection locked="0" hidden="1"/>
    </xf>
    <xf numFmtId="178" fontId="118" fillId="41" borderId="5" xfId="1" applyFont="1" applyFill="1" applyBorder="1" applyAlignment="1" applyProtection="1">
      <alignment horizontal="center" vertical="top" wrapText="1"/>
      <protection locked="0" hidden="1"/>
    </xf>
    <xf numFmtId="178" fontId="118" fillId="41" borderId="31" xfId="1" applyFont="1" applyFill="1" applyBorder="1" applyAlignment="1" applyProtection="1">
      <alignment horizontal="center" vertical="top" wrapText="1"/>
      <protection locked="0" hidden="1"/>
    </xf>
    <xf numFmtId="178" fontId="118" fillId="41" borderId="67" xfId="1" applyFont="1" applyFill="1" applyBorder="1" applyAlignment="1" applyProtection="1">
      <alignment horizontal="center" vertical="top" wrapText="1"/>
      <protection locked="0" hidden="1"/>
    </xf>
    <xf numFmtId="178" fontId="118" fillId="41" borderId="36" xfId="1" applyFont="1" applyFill="1" applyBorder="1" applyAlignment="1" applyProtection="1">
      <alignment horizontal="center" vertical="top" wrapText="1"/>
      <protection locked="0" hidden="1"/>
    </xf>
    <xf numFmtId="178" fontId="119" fillId="34" borderId="6" xfId="1" applyFont="1" applyFill="1" applyBorder="1" applyAlignment="1" applyProtection="1">
      <alignment horizontal="center" vertical="center" wrapText="1"/>
      <protection locked="0" hidden="1"/>
    </xf>
    <xf numFmtId="178" fontId="119" fillId="34" borderId="0" xfId="1" applyFont="1" applyFill="1" applyBorder="1" applyAlignment="1" applyProtection="1">
      <alignment horizontal="center" vertical="center" wrapText="1"/>
      <protection locked="0" hidden="1"/>
    </xf>
    <xf numFmtId="178" fontId="119" fillId="34" borderId="31" xfId="1" applyFont="1" applyFill="1" applyBorder="1" applyAlignment="1" applyProtection="1">
      <alignment horizontal="center" vertical="center" wrapText="1"/>
      <protection locked="0" hidden="1"/>
    </xf>
    <xf numFmtId="178" fontId="119" fillId="34" borderId="67" xfId="1" applyFont="1" applyFill="1" applyBorder="1" applyAlignment="1" applyProtection="1">
      <alignment horizontal="center" vertical="center" wrapText="1"/>
      <protection locked="0" hidden="1"/>
    </xf>
    <xf numFmtId="178" fontId="46" fillId="34" borderId="6" xfId="0" applyFont="1" applyFill="1" applyBorder="1" applyAlignment="1" applyProtection="1">
      <alignment horizontal="center" vertical="top"/>
      <protection locked="0" hidden="1"/>
    </xf>
    <xf numFmtId="178" fontId="46" fillId="34" borderId="0" xfId="0" applyFont="1" applyFill="1" applyBorder="1" applyAlignment="1" applyProtection="1">
      <alignment horizontal="center" vertical="top"/>
      <protection locked="0" hidden="1"/>
    </xf>
    <xf numFmtId="178" fontId="46" fillId="34" borderId="5" xfId="0" applyFont="1" applyFill="1" applyBorder="1" applyAlignment="1" applyProtection="1">
      <alignment horizontal="center" vertical="top"/>
      <protection locked="0" hidden="1"/>
    </xf>
    <xf numFmtId="178" fontId="46" fillId="34" borderId="31" xfId="0" applyFont="1" applyFill="1" applyBorder="1" applyAlignment="1" applyProtection="1">
      <alignment horizontal="center" vertical="top"/>
      <protection locked="0" hidden="1"/>
    </xf>
    <xf numFmtId="178" fontId="46" fillId="34" borderId="67" xfId="0" applyFont="1" applyFill="1" applyBorder="1" applyAlignment="1" applyProtection="1">
      <alignment horizontal="center" vertical="top"/>
      <protection locked="0" hidden="1"/>
    </xf>
    <xf numFmtId="178" fontId="46" fillId="34" borderId="36" xfId="0" applyFont="1" applyFill="1" applyBorder="1" applyAlignment="1" applyProtection="1">
      <alignment horizontal="center" vertical="top"/>
      <protection locked="0" hidden="1"/>
    </xf>
    <xf numFmtId="178" fontId="164" fillId="43" borderId="30" xfId="0" applyFont="1" applyFill="1" applyBorder="1" applyAlignment="1">
      <alignment horizontal="right"/>
    </xf>
    <xf numFmtId="178" fontId="164" fillId="43" borderId="67" xfId="0" applyFont="1" applyFill="1" applyBorder="1" applyAlignment="1">
      <alignment horizontal="right"/>
    </xf>
    <xf numFmtId="178" fontId="164" fillId="43" borderId="36" xfId="0" applyFont="1" applyFill="1" applyBorder="1" applyAlignment="1">
      <alignment horizontal="right"/>
    </xf>
    <xf numFmtId="1" fontId="22" fillId="0" borderId="59" xfId="0" applyNumberFormat="1" applyFont="1" applyFill="1" applyBorder="1" applyAlignment="1" applyProtection="1">
      <alignment horizontal="right" vertical="center"/>
      <protection hidden="1"/>
    </xf>
    <xf numFmtId="1" fontId="22" fillId="0" borderId="67" xfId="0" applyNumberFormat="1" applyFont="1" applyFill="1" applyBorder="1" applyAlignment="1" applyProtection="1">
      <alignment horizontal="right" vertical="center"/>
      <protection hidden="1"/>
    </xf>
    <xf numFmtId="1" fontId="46" fillId="34" borderId="6" xfId="0" applyNumberFormat="1" applyFont="1" applyFill="1" applyBorder="1" applyAlignment="1" applyProtection="1">
      <alignment horizontal="left" vertical="center"/>
      <protection hidden="1"/>
    </xf>
    <xf numFmtId="1" fontId="46" fillId="34" borderId="0" xfId="0" applyNumberFormat="1" applyFont="1" applyFill="1" applyBorder="1" applyAlignment="1" applyProtection="1">
      <alignment horizontal="left" vertical="center"/>
      <protection hidden="1"/>
    </xf>
    <xf numFmtId="1" fontId="46" fillId="34" borderId="5" xfId="0" applyNumberFormat="1" applyFont="1" applyFill="1" applyBorder="1" applyAlignment="1" applyProtection="1">
      <alignment horizontal="left" vertical="center"/>
      <protection hidden="1"/>
    </xf>
    <xf numFmtId="178" fontId="0" fillId="34" borderId="0" xfId="0" applyFill="1" applyBorder="1" applyAlignment="1" applyProtection="1">
      <alignment horizontal="center"/>
      <protection locked="0" hidden="1"/>
    </xf>
    <xf numFmtId="178" fontId="0" fillId="34" borderId="0" xfId="0" applyFill="1" applyAlignment="1" applyProtection="1">
      <protection locked="0" hidden="1"/>
    </xf>
    <xf numFmtId="178" fontId="0" fillId="34" borderId="5" xfId="0" applyFill="1" applyBorder="1" applyAlignment="1" applyProtection="1">
      <protection locked="0" hidden="1"/>
    </xf>
    <xf numFmtId="178" fontId="0" fillId="34" borderId="67" xfId="0" applyFill="1" applyBorder="1" applyAlignment="1" applyProtection="1">
      <protection locked="0" hidden="1"/>
    </xf>
    <xf numFmtId="178" fontId="0" fillId="34" borderId="36" xfId="0" applyFill="1" applyBorder="1" applyAlignment="1" applyProtection="1">
      <protection locked="0" hidden="1"/>
    </xf>
    <xf numFmtId="164" fontId="62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62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78" fontId="20" fillId="0" borderId="0" xfId="0" applyFont="1" applyBorder="1" applyAlignment="1" applyProtection="1">
      <alignment horizontal="center"/>
      <protection hidden="1"/>
    </xf>
    <xf numFmtId="178" fontId="0" fillId="0" borderId="0" xfId="0" applyBorder="1" applyAlignment="1" applyProtection="1">
      <alignment horizontal="center"/>
      <protection hidden="1"/>
    </xf>
    <xf numFmtId="1" fontId="20" fillId="0" borderId="0" xfId="0" applyNumberFormat="1" applyFont="1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178" fontId="71" fillId="46" borderId="50" xfId="0" applyFont="1" applyFill="1" applyBorder="1" applyAlignment="1" applyProtection="1">
      <alignment horizontal="right" vertical="center"/>
      <protection hidden="1"/>
    </xf>
    <xf numFmtId="178" fontId="71" fillId="46" borderId="46" xfId="0" applyFont="1" applyFill="1" applyBorder="1" applyAlignment="1" applyProtection="1">
      <alignment horizontal="right" vertical="center"/>
      <protection hidden="1"/>
    </xf>
    <xf numFmtId="178" fontId="71" fillId="46" borderId="6" xfId="0" applyFont="1" applyFill="1" applyBorder="1" applyAlignment="1" applyProtection="1">
      <alignment horizontal="right" vertical="center"/>
      <protection hidden="1"/>
    </xf>
    <xf numFmtId="178" fontId="71" fillId="46" borderId="0" xfId="0" applyFont="1" applyFill="1" applyBorder="1" applyAlignment="1" applyProtection="1">
      <alignment horizontal="right" vertical="center"/>
      <protection hidden="1"/>
    </xf>
    <xf numFmtId="183" fontId="67" fillId="46" borderId="46" xfId="0" applyNumberFormat="1" applyFont="1" applyFill="1" applyBorder="1" applyAlignment="1" applyProtection="1">
      <alignment horizontal="left" vertical="center"/>
      <protection hidden="1"/>
    </xf>
    <xf numFmtId="183" fontId="67" fillId="46" borderId="49" xfId="0" applyNumberFormat="1" applyFont="1" applyFill="1" applyBorder="1" applyAlignment="1" applyProtection="1">
      <alignment horizontal="left" vertical="center"/>
      <protection hidden="1"/>
    </xf>
    <xf numFmtId="183" fontId="67" fillId="46" borderId="0" xfId="0" applyNumberFormat="1" applyFont="1" applyFill="1" applyBorder="1" applyAlignment="1" applyProtection="1">
      <alignment horizontal="left" vertical="center"/>
      <protection hidden="1"/>
    </xf>
    <xf numFmtId="183" fontId="67" fillId="46" borderId="89" xfId="0" applyNumberFormat="1" applyFont="1" applyFill="1" applyBorder="1" applyAlignment="1" applyProtection="1">
      <alignment horizontal="left" vertical="center"/>
      <protection hidden="1"/>
    </xf>
    <xf numFmtId="178" fontId="71" fillId="46" borderId="31" xfId="0" applyFont="1" applyFill="1" applyBorder="1" applyAlignment="1" applyProtection="1">
      <alignment horizontal="right" vertical="center"/>
      <protection hidden="1"/>
    </xf>
    <xf numFmtId="178" fontId="71" fillId="46" borderId="67" xfId="0" applyFont="1" applyFill="1" applyBorder="1" applyAlignment="1" applyProtection="1">
      <alignment horizontal="right" vertical="center"/>
      <protection hidden="1"/>
    </xf>
    <xf numFmtId="183" fontId="67" fillId="46" borderId="67" xfId="0" applyNumberFormat="1" applyFont="1" applyFill="1" applyBorder="1" applyAlignment="1" applyProtection="1">
      <alignment horizontal="left" vertical="center"/>
      <protection hidden="1"/>
    </xf>
    <xf numFmtId="183" fontId="67" fillId="46" borderId="90" xfId="0" applyNumberFormat="1" applyFont="1" applyFill="1" applyBorder="1" applyAlignment="1" applyProtection="1">
      <alignment horizontal="left" vertical="center"/>
      <protection hidden="1"/>
    </xf>
    <xf numFmtId="178" fontId="134" fillId="45" borderId="48" xfId="0" applyFont="1" applyFill="1" applyBorder="1" applyAlignment="1" applyProtection="1">
      <alignment horizontal="center" vertical="center"/>
      <protection hidden="1"/>
    </xf>
    <xf numFmtId="178" fontId="134" fillId="45" borderId="46" xfId="0" applyFont="1" applyFill="1" applyBorder="1" applyAlignment="1" applyProtection="1">
      <alignment horizontal="center" vertical="center"/>
      <protection hidden="1"/>
    </xf>
    <xf numFmtId="178" fontId="134" fillId="45" borderId="47" xfId="0" applyFont="1" applyFill="1" applyBorder="1" applyAlignment="1" applyProtection="1">
      <alignment horizontal="center" vertical="center"/>
      <protection hidden="1"/>
    </xf>
    <xf numFmtId="178" fontId="136" fillId="45" borderId="4" xfId="0" applyFont="1" applyFill="1" applyBorder="1" applyAlignment="1" applyProtection="1">
      <alignment horizontal="right" vertical="center"/>
      <protection hidden="1"/>
    </xf>
    <xf numFmtId="178" fontId="136" fillId="45" borderId="0" xfId="0" applyFont="1" applyFill="1" applyBorder="1" applyAlignment="1" applyProtection="1">
      <alignment horizontal="right" vertical="center"/>
      <protection hidden="1"/>
    </xf>
    <xf numFmtId="183" fontId="137" fillId="45" borderId="0" xfId="0" applyNumberFormat="1" applyFont="1" applyFill="1" applyBorder="1" applyAlignment="1" applyProtection="1">
      <alignment horizontal="left" vertical="center"/>
      <protection hidden="1"/>
    </xf>
    <xf numFmtId="183" fontId="137" fillId="45" borderId="5" xfId="0" applyNumberFormat="1" applyFont="1" applyFill="1" applyBorder="1" applyAlignment="1" applyProtection="1">
      <alignment horizontal="left" vertical="center"/>
      <protection hidden="1"/>
    </xf>
    <xf numFmtId="171" fontId="137" fillId="45" borderId="0" xfId="0" applyNumberFormat="1" applyFont="1" applyFill="1" applyBorder="1" applyAlignment="1" applyProtection="1">
      <alignment horizontal="left" vertical="center"/>
      <protection hidden="1"/>
    </xf>
    <xf numFmtId="171" fontId="137" fillId="45" borderId="5" xfId="0" applyNumberFormat="1" applyFont="1" applyFill="1" applyBorder="1" applyAlignment="1" applyProtection="1">
      <alignment horizontal="left" vertical="center"/>
      <protection hidden="1"/>
    </xf>
    <xf numFmtId="1" fontId="49" fillId="15" borderId="2" xfId="0" applyNumberFormat="1" applyFont="1" applyFill="1" applyBorder="1" applyAlignment="1" applyProtection="1">
      <alignment horizontal="right" vertical="center"/>
      <protection hidden="1"/>
    </xf>
    <xf numFmtId="1" fontId="49" fillId="15" borderId="3" xfId="0" applyNumberFormat="1" applyFont="1" applyFill="1" applyBorder="1" applyAlignment="1" applyProtection="1">
      <alignment horizontal="right" vertical="center"/>
      <protection hidden="1"/>
    </xf>
    <xf numFmtId="178" fontId="5" fillId="47" borderId="17" xfId="0" applyFont="1" applyFill="1" applyBorder="1" applyAlignment="1" applyProtection="1">
      <alignment horizontal="center" vertical="center" wrapText="1"/>
    </xf>
    <xf numFmtId="178" fontId="5" fillId="47" borderId="18" xfId="0" applyFont="1" applyFill="1" applyBorder="1" applyAlignment="1" applyProtection="1">
      <alignment horizontal="center" vertical="center" wrapText="1"/>
    </xf>
    <xf numFmtId="178" fontId="5" fillId="47" borderId="0" xfId="0" applyFont="1" applyFill="1" applyBorder="1" applyAlignment="1" applyProtection="1">
      <alignment horizontal="center" vertical="center" wrapText="1"/>
    </xf>
    <xf numFmtId="178" fontId="5" fillId="47" borderId="5" xfId="0" applyFont="1" applyFill="1" applyBorder="1" applyAlignment="1" applyProtection="1">
      <alignment horizontal="center" vertical="center" wrapText="1"/>
    </xf>
    <xf numFmtId="178" fontId="22" fillId="47" borderId="67" xfId="0" applyFont="1" applyFill="1" applyBorder="1" applyAlignment="1" applyProtection="1">
      <alignment horizontal="center" vertical="center"/>
    </xf>
    <xf numFmtId="178" fontId="61" fillId="47" borderId="67" xfId="0" applyFont="1" applyFill="1" applyBorder="1" applyAlignment="1" applyProtection="1">
      <alignment horizontal="center" vertical="center"/>
    </xf>
    <xf numFmtId="178" fontId="61" fillId="47" borderId="36" xfId="0" applyFont="1" applyFill="1" applyBorder="1" applyAlignment="1" applyProtection="1">
      <alignment horizontal="center" vertical="center"/>
    </xf>
    <xf numFmtId="178" fontId="5" fillId="47" borderId="16" xfId="0" applyFont="1" applyFill="1" applyBorder="1" applyAlignment="1" applyProtection="1">
      <alignment horizontal="center" vertical="center" wrapText="1"/>
    </xf>
    <xf numFmtId="178" fontId="5" fillId="47" borderId="31" xfId="0" applyFont="1" applyFill="1" applyBorder="1" applyAlignment="1" applyProtection="1">
      <alignment horizontal="center" vertical="center" wrapText="1"/>
    </xf>
    <xf numFmtId="178" fontId="5" fillId="47" borderId="36" xfId="0" applyFont="1" applyFill="1" applyBorder="1" applyAlignment="1" applyProtection="1">
      <alignment horizontal="center" vertical="center" wrapText="1"/>
    </xf>
    <xf numFmtId="49" fontId="78" fillId="79" borderId="67" xfId="0" applyNumberFormat="1" applyFont="1" applyFill="1" applyBorder="1" applyAlignment="1" applyProtection="1">
      <alignment horizontal="center"/>
    </xf>
    <xf numFmtId="49" fontId="5" fillId="30" borderId="7" xfId="0" applyNumberFormat="1" applyFont="1" applyFill="1" applyBorder="1" applyAlignment="1" applyProtection="1">
      <alignment horizontal="center" vertical="center"/>
      <protection locked="0"/>
    </xf>
    <xf numFmtId="49" fontId="5" fillId="30" borderId="9" xfId="0" applyNumberFormat="1" applyFont="1" applyFill="1" applyBorder="1" applyAlignment="1" applyProtection="1">
      <alignment horizontal="center" vertical="center"/>
      <protection locked="0"/>
    </xf>
    <xf numFmtId="49" fontId="5" fillId="30" borderId="8" xfId="0" applyNumberFormat="1" applyFont="1" applyFill="1" applyBorder="1" applyAlignment="1" applyProtection="1">
      <alignment horizontal="center" vertical="center"/>
      <protection locked="0"/>
    </xf>
    <xf numFmtId="49" fontId="78" fillId="80" borderId="0" xfId="0" applyNumberFormat="1" applyFont="1" applyFill="1" applyBorder="1" applyAlignment="1" applyProtection="1">
      <alignment horizontal="center" wrapText="1"/>
    </xf>
    <xf numFmtId="49" fontId="78" fillId="80" borderId="5" xfId="0" applyNumberFormat="1" applyFont="1" applyFill="1" applyBorder="1" applyAlignment="1" applyProtection="1">
      <alignment horizontal="center" wrapText="1"/>
    </xf>
    <xf numFmtId="49" fontId="78" fillId="80" borderId="67" xfId="0" applyNumberFormat="1" applyFont="1" applyFill="1" applyBorder="1" applyAlignment="1" applyProtection="1">
      <alignment horizontal="center" wrapText="1"/>
    </xf>
    <xf numFmtId="49" fontId="5" fillId="2" borderId="7" xfId="0" applyNumberFormat="1" applyFont="1" applyFill="1" applyBorder="1" applyAlignment="1" applyProtection="1">
      <alignment horizontal="center" vertical="center"/>
      <protection locked="0"/>
    </xf>
    <xf numFmtId="49" fontId="5" fillId="2" borderId="8" xfId="0" applyNumberFormat="1" applyFont="1" applyFill="1" applyBorder="1" applyAlignment="1" applyProtection="1">
      <alignment horizontal="center" vertical="center"/>
      <protection locked="0"/>
    </xf>
    <xf numFmtId="1" fontId="154" fillId="50" borderId="9" xfId="0" applyNumberFormat="1" applyFont="1" applyFill="1" applyBorder="1" applyAlignment="1" applyProtection="1">
      <alignment horizontal="center"/>
    </xf>
    <xf numFmtId="1" fontId="44" fillId="77" borderId="12" xfId="0" applyNumberFormat="1" applyFont="1" applyFill="1" applyBorder="1" applyAlignment="1" applyProtection="1">
      <alignment horizontal="center"/>
    </xf>
    <xf numFmtId="49" fontId="78" fillId="79" borderId="0" xfId="0" applyNumberFormat="1" applyFont="1" applyFill="1" applyBorder="1" applyAlignment="1" applyProtection="1">
      <alignment horizontal="center" wrapText="1"/>
    </xf>
    <xf numFmtId="49" fontId="78" fillId="79" borderId="67" xfId="0" applyNumberFormat="1" applyFont="1" applyFill="1" applyBorder="1" applyAlignment="1" applyProtection="1">
      <alignment horizontal="center" wrapText="1"/>
    </xf>
    <xf numFmtId="165" fontId="5" fillId="30" borderId="7" xfId="0" applyNumberFormat="1" applyFont="1" applyFill="1" applyBorder="1" applyAlignment="1" applyProtection="1">
      <alignment horizontal="center" vertical="center"/>
      <protection locked="0"/>
    </xf>
    <xf numFmtId="165" fontId="5" fillId="30" borderId="8" xfId="0" applyNumberFormat="1" applyFont="1" applyFill="1" applyBorder="1" applyAlignment="1" applyProtection="1">
      <alignment horizontal="center" vertical="center"/>
      <protection locked="0"/>
    </xf>
    <xf numFmtId="49" fontId="85" fillId="81" borderId="0" xfId="0" applyNumberFormat="1" applyFont="1" applyFill="1" applyBorder="1" applyAlignment="1" applyProtection="1">
      <alignment horizontal="left"/>
    </xf>
    <xf numFmtId="1" fontId="64" fillId="2" borderId="9" xfId="0" applyNumberFormat="1" applyFont="1" applyFill="1" applyBorder="1" applyAlignment="1" applyProtection="1">
      <alignment horizontal="center" vertical="center"/>
      <protection locked="0"/>
    </xf>
    <xf numFmtId="1" fontId="64" fillId="2" borderId="8" xfId="0" applyNumberFormat="1" applyFont="1" applyFill="1" applyBorder="1" applyAlignment="1" applyProtection="1">
      <alignment horizontal="center" vertical="center"/>
      <protection locked="0"/>
    </xf>
    <xf numFmtId="1" fontId="64" fillId="30" borderId="67" xfId="0" applyNumberFormat="1" applyFont="1" applyFill="1" applyBorder="1" applyAlignment="1" applyProtection="1">
      <alignment horizontal="center" vertical="center"/>
      <protection locked="0"/>
    </xf>
    <xf numFmtId="1" fontId="64" fillId="30" borderId="90" xfId="0" applyNumberFormat="1" applyFont="1" applyFill="1" applyBorder="1" applyAlignment="1" applyProtection="1">
      <alignment horizontal="center" vertical="center"/>
      <protection locked="0"/>
    </xf>
    <xf numFmtId="1" fontId="221" fillId="3" borderId="9" xfId="0" applyNumberFormat="1" applyFont="1" applyFill="1" applyBorder="1" applyAlignment="1" applyProtection="1">
      <alignment horizontal="center"/>
    </xf>
    <xf numFmtId="1" fontId="221" fillId="3" borderId="67" xfId="0" applyNumberFormat="1" applyFont="1" applyFill="1" applyBorder="1" applyAlignment="1" applyProtection="1">
      <alignment horizontal="center"/>
    </xf>
    <xf numFmtId="1" fontId="221" fillId="3" borderId="36" xfId="0" applyNumberFormat="1" applyFont="1" applyFill="1" applyBorder="1" applyAlignment="1" applyProtection="1">
      <alignment horizontal="center"/>
    </xf>
    <xf numFmtId="49" fontId="85" fillId="47" borderId="67" xfId="0" applyNumberFormat="1" applyFont="1" applyFill="1" applyBorder="1" applyAlignment="1" applyProtection="1">
      <alignment horizontal="center"/>
    </xf>
    <xf numFmtId="165" fontId="5" fillId="2" borderId="7" xfId="0" applyNumberFormat="1" applyFont="1" applyFill="1" applyBorder="1" applyAlignment="1" applyProtection="1">
      <alignment horizontal="center" vertical="center"/>
      <protection locked="0"/>
    </xf>
    <xf numFmtId="165" fontId="5" fillId="2" borderId="8" xfId="0" applyNumberFormat="1" applyFont="1" applyFill="1" applyBorder="1" applyAlignment="1" applyProtection="1">
      <alignment horizontal="center" vertical="center"/>
      <protection locked="0"/>
    </xf>
    <xf numFmtId="49" fontId="61" fillId="50" borderId="9" xfId="0" applyNumberFormat="1" applyFont="1" applyFill="1" applyBorder="1" applyAlignment="1" applyProtection="1">
      <alignment horizontal="center"/>
    </xf>
    <xf numFmtId="49" fontId="5" fillId="2" borderId="9" xfId="0" applyNumberFormat="1" applyFont="1" applyFill="1" applyBorder="1" applyAlignment="1" applyProtection="1">
      <alignment horizontal="center" vertical="center"/>
      <protection locked="0"/>
    </xf>
    <xf numFmtId="49" fontId="22" fillId="2" borderId="7" xfId="0" quotePrefix="1" applyNumberFormat="1" applyFont="1" applyFill="1" applyBorder="1" applyAlignment="1" applyProtection="1">
      <alignment horizontal="center" vertical="center"/>
      <protection locked="0"/>
    </xf>
    <xf numFmtId="49" fontId="22" fillId="2" borderId="9" xfId="0" quotePrefix="1" applyNumberFormat="1" applyFont="1" applyFill="1" applyBorder="1" applyAlignment="1" applyProtection="1">
      <alignment horizontal="center" vertical="center"/>
      <protection locked="0"/>
    </xf>
    <xf numFmtId="49" fontId="22" fillId="2" borderId="8" xfId="0" quotePrefix="1" applyNumberFormat="1" applyFont="1" applyFill="1" applyBorder="1" applyAlignment="1" applyProtection="1">
      <alignment horizontal="center" vertical="center"/>
      <protection locked="0"/>
    </xf>
    <xf numFmtId="49" fontId="218" fillId="51" borderId="164" xfId="0" applyNumberFormat="1" applyFont="1" applyFill="1" applyBorder="1" applyAlignment="1" applyProtection="1">
      <alignment horizontal="center" vertical="top"/>
    </xf>
    <xf numFmtId="49" fontId="93" fillId="51" borderId="164" xfId="0" applyNumberFormat="1" applyFont="1" applyFill="1" applyBorder="1" applyAlignment="1" applyProtection="1">
      <alignment horizontal="center" vertical="top" wrapText="1"/>
    </xf>
    <xf numFmtId="178" fontId="5" fillId="34" borderId="0" xfId="0" applyFont="1" applyFill="1" applyBorder="1" applyAlignment="1" applyProtection="1">
      <alignment horizontal="left" vertical="center" wrapText="1"/>
    </xf>
    <xf numFmtId="178" fontId="5" fillId="34" borderId="5" xfId="0" applyFont="1" applyFill="1" applyBorder="1" applyAlignment="1" applyProtection="1">
      <alignment horizontal="left" vertical="center" wrapText="1"/>
    </xf>
    <xf numFmtId="195" fontId="93" fillId="30" borderId="48" xfId="0" applyNumberFormat="1" applyFont="1" applyFill="1" applyBorder="1" applyAlignment="1" applyProtection="1">
      <alignment horizontal="center" vertical="center"/>
      <protection locked="0"/>
    </xf>
    <xf numFmtId="195" fontId="93" fillId="30" borderId="49" xfId="0" applyNumberFormat="1" applyFont="1" applyFill="1" applyBorder="1" applyAlignment="1" applyProtection="1">
      <alignment horizontal="center" vertical="center"/>
      <protection locked="0"/>
    </xf>
    <xf numFmtId="1" fontId="154" fillId="50" borderId="67" xfId="0" applyNumberFormat="1" applyFont="1" applyFill="1" applyBorder="1" applyAlignment="1" applyProtection="1">
      <alignment horizontal="center"/>
    </xf>
    <xf numFmtId="49" fontId="85" fillId="81" borderId="0" xfId="0" applyNumberFormat="1" applyFont="1" applyFill="1" applyBorder="1" applyAlignment="1" applyProtection="1">
      <alignment horizontal="center"/>
    </xf>
    <xf numFmtId="2" fontId="134" fillId="43" borderId="48" xfId="0" applyNumberFormat="1" applyFont="1" applyFill="1" applyBorder="1" applyAlignment="1" applyProtection="1">
      <alignment horizontal="center" vertical="center"/>
    </xf>
    <xf numFmtId="2" fontId="134" fillId="43" borderId="46" xfId="0" applyNumberFormat="1" applyFont="1" applyFill="1" applyBorder="1" applyAlignment="1" applyProtection="1">
      <alignment horizontal="center" vertical="center"/>
    </xf>
    <xf numFmtId="2" fontId="134" fillId="43" borderId="49" xfId="0" applyNumberFormat="1" applyFont="1" applyFill="1" applyBorder="1" applyAlignment="1" applyProtection="1">
      <alignment horizontal="center" vertical="center"/>
    </xf>
    <xf numFmtId="2" fontId="134" fillId="43" borderId="30" xfId="0" applyNumberFormat="1" applyFont="1" applyFill="1" applyBorder="1" applyAlignment="1" applyProtection="1">
      <alignment horizontal="center" vertical="center"/>
    </xf>
    <xf numFmtId="2" fontId="134" fillId="43" borderId="67" xfId="0" applyNumberFormat="1" applyFont="1" applyFill="1" applyBorder="1" applyAlignment="1" applyProtection="1">
      <alignment horizontal="center" vertical="center"/>
    </xf>
    <xf numFmtId="2" fontId="134" fillId="43" borderId="90" xfId="0" applyNumberFormat="1" applyFont="1" applyFill="1" applyBorder="1" applyAlignment="1" applyProtection="1">
      <alignment horizontal="center" vertical="center"/>
    </xf>
    <xf numFmtId="49" fontId="5" fillId="82" borderId="7" xfId="0" applyNumberFormat="1" applyFont="1" applyFill="1" applyBorder="1" applyAlignment="1" applyProtection="1">
      <alignment horizontal="center" vertical="center"/>
      <protection locked="0"/>
    </xf>
    <xf numFmtId="49" fontId="5" fillId="82" borderId="8" xfId="0" applyNumberFormat="1" applyFont="1" applyFill="1" applyBorder="1" applyAlignment="1" applyProtection="1">
      <alignment horizontal="center" vertical="center"/>
      <protection locked="0"/>
    </xf>
    <xf numFmtId="178" fontId="61" fillId="81" borderId="6" xfId="0" applyFont="1" applyFill="1" applyBorder="1" applyAlignment="1" applyProtection="1">
      <alignment horizontal="center" vertical="top" wrapText="1"/>
    </xf>
    <xf numFmtId="178" fontId="61" fillId="81" borderId="0" xfId="0" applyFont="1" applyFill="1" applyBorder="1" applyAlignment="1" applyProtection="1">
      <alignment horizontal="center" vertical="top" wrapText="1"/>
    </xf>
    <xf numFmtId="181" fontId="150" fillId="47" borderId="9" xfId="0" applyNumberFormat="1" applyFont="1" applyFill="1" applyBorder="1" applyAlignment="1" applyProtection="1">
      <alignment horizontal="center" vertical="center"/>
    </xf>
    <xf numFmtId="181" fontId="150" fillId="47" borderId="8" xfId="0" applyNumberFormat="1" applyFont="1" applyFill="1" applyBorder="1" applyAlignment="1" applyProtection="1">
      <alignment horizontal="center" vertical="center"/>
    </xf>
    <xf numFmtId="176" fontId="53" fillId="47" borderId="131" xfId="0" applyNumberFormat="1" applyFont="1" applyFill="1" applyBorder="1" applyAlignment="1" applyProtection="1">
      <alignment horizontal="center" vertical="center"/>
    </xf>
    <xf numFmtId="176" fontId="53" fillId="47" borderId="131" xfId="0" quotePrefix="1" applyNumberFormat="1" applyFont="1" applyFill="1" applyBorder="1" applyAlignment="1" applyProtection="1">
      <alignment horizontal="center" vertical="center"/>
    </xf>
    <xf numFmtId="49" fontId="85" fillId="51" borderId="166" xfId="0" applyNumberFormat="1" applyFont="1" applyFill="1" applyBorder="1" applyAlignment="1" applyProtection="1">
      <alignment horizontal="center"/>
    </xf>
    <xf numFmtId="49" fontId="22" fillId="30" borderId="7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9" xfId="0" quotePrefix="1" applyNumberFormat="1" applyFont="1" applyFill="1" applyBorder="1" applyAlignment="1" applyProtection="1">
      <alignment horizontal="center" vertical="center"/>
      <protection locked="0"/>
    </xf>
    <xf numFmtId="49" fontId="22" fillId="30" borderId="8" xfId="0" quotePrefix="1" applyNumberFormat="1" applyFont="1" applyFill="1" applyBorder="1" applyAlignment="1" applyProtection="1">
      <alignment horizontal="center" vertical="center"/>
      <protection locked="0"/>
    </xf>
    <xf numFmtId="178" fontId="235" fillId="52" borderId="4" xfId="0" applyFont="1" applyFill="1" applyBorder="1" applyAlignment="1" applyProtection="1">
      <alignment horizontal="left" vertical="top" wrapText="1"/>
    </xf>
    <xf numFmtId="178" fontId="235" fillId="52" borderId="0" xfId="0" applyFont="1" applyFill="1" applyBorder="1" applyAlignment="1" applyProtection="1">
      <alignment horizontal="left" vertical="top" wrapText="1"/>
    </xf>
    <xf numFmtId="178" fontId="235" fillId="52" borderId="5" xfId="0" applyFont="1" applyFill="1" applyBorder="1" applyAlignment="1" applyProtection="1">
      <alignment horizontal="left" vertical="top" wrapText="1"/>
    </xf>
    <xf numFmtId="181" fontId="150" fillId="34" borderId="9" xfId="0" applyNumberFormat="1" applyFont="1" applyFill="1" applyBorder="1" applyAlignment="1" applyProtection="1">
      <alignment horizontal="center" vertical="center"/>
    </xf>
    <xf numFmtId="181" fontId="150" fillId="34" borderId="8" xfId="0" applyNumberFormat="1" applyFont="1" applyFill="1" applyBorder="1" applyAlignment="1" applyProtection="1">
      <alignment horizontal="center" vertical="center"/>
    </xf>
    <xf numFmtId="9" fontId="61" fillId="47" borderId="16" xfId="0" applyNumberFormat="1" applyFont="1" applyFill="1" applyBorder="1" applyAlignment="1" applyProtection="1">
      <alignment horizontal="center" vertical="center"/>
    </xf>
    <xf numFmtId="9" fontId="61" fillId="47" borderId="17" xfId="0" applyNumberFormat="1" applyFont="1" applyFill="1" applyBorder="1" applyAlignment="1" applyProtection="1">
      <alignment horizontal="center" vertical="center"/>
    </xf>
    <xf numFmtId="9" fontId="61" fillId="47" borderId="18" xfId="0" applyNumberFormat="1" applyFont="1" applyFill="1" applyBorder="1" applyAlignment="1" applyProtection="1">
      <alignment horizontal="center" vertical="center"/>
    </xf>
    <xf numFmtId="1" fontId="49" fillId="34" borderId="132" xfId="0" applyNumberFormat="1" applyFont="1" applyFill="1" applyBorder="1" applyAlignment="1" applyProtection="1">
      <alignment horizontal="center" vertical="center"/>
    </xf>
    <xf numFmtId="1" fontId="49" fillId="34" borderId="1" xfId="0" applyNumberFormat="1" applyFont="1" applyFill="1" applyBorder="1" applyAlignment="1" applyProtection="1">
      <alignment horizontal="center" vertical="center"/>
    </xf>
    <xf numFmtId="166" fontId="49" fillId="47" borderId="1" xfId="0" applyNumberFormat="1" applyFont="1" applyFill="1" applyBorder="1" applyAlignment="1" applyProtection="1">
      <alignment horizontal="right" vertical="center"/>
    </xf>
    <xf numFmtId="166" fontId="49" fillId="47" borderId="7" xfId="0" applyNumberFormat="1" applyFont="1" applyFill="1" applyBorder="1" applyAlignment="1" applyProtection="1">
      <alignment horizontal="right" vertical="center"/>
    </xf>
    <xf numFmtId="166" fontId="49" fillId="47" borderId="1" xfId="0" applyNumberFormat="1" applyFont="1" applyFill="1" applyBorder="1" applyAlignment="1" applyProtection="1">
      <alignment horizontal="center" vertical="center"/>
    </xf>
    <xf numFmtId="166" fontId="49" fillId="47" borderId="127" xfId="0" applyNumberFormat="1" applyFont="1" applyFill="1" applyBorder="1" applyAlignment="1" applyProtection="1">
      <alignment horizontal="center" vertical="center"/>
    </xf>
    <xf numFmtId="9" fontId="5" fillId="47" borderId="131" xfId="0" applyNumberFormat="1" applyFont="1" applyFill="1" applyBorder="1" applyAlignment="1" applyProtection="1">
      <alignment horizontal="center" vertical="center"/>
    </xf>
    <xf numFmtId="166" fontId="105" fillId="30" borderId="7" xfId="0" applyNumberFormat="1" applyFont="1" applyFill="1" applyBorder="1" applyAlignment="1" applyProtection="1">
      <alignment horizontal="center" vertical="center"/>
      <protection locked="0"/>
    </xf>
    <xf numFmtId="166" fontId="105" fillId="30" borderId="8" xfId="0" applyNumberFormat="1" applyFont="1" applyFill="1" applyBorder="1" applyAlignment="1" applyProtection="1">
      <alignment horizontal="center" vertical="center"/>
      <protection locked="0"/>
    </xf>
    <xf numFmtId="200" fontId="221" fillId="3" borderId="9" xfId="0" applyNumberFormat="1" applyFont="1" applyFill="1" applyBorder="1" applyAlignment="1" applyProtection="1">
      <alignment horizontal="center"/>
    </xf>
    <xf numFmtId="178" fontId="245" fillId="29" borderId="0" xfId="0" applyFont="1" applyFill="1" applyAlignment="1" applyProtection="1">
      <alignment horizontal="center" vertical="center"/>
    </xf>
    <xf numFmtId="1" fontId="90" fillId="77" borderId="17" xfId="0" applyNumberFormat="1" applyFont="1" applyFill="1" applyBorder="1" applyAlignment="1" applyProtection="1">
      <alignment horizontal="center" vertical="center"/>
    </xf>
    <xf numFmtId="1" fontId="5" fillId="47" borderId="133" xfId="0" applyNumberFormat="1" applyFont="1" applyFill="1" applyBorder="1" applyAlignment="1" applyProtection="1">
      <alignment horizontal="center" vertical="center"/>
    </xf>
    <xf numFmtId="1" fontId="5" fillId="47" borderId="123" xfId="0" applyNumberFormat="1" applyFont="1" applyFill="1" applyBorder="1" applyAlignment="1" applyProtection="1">
      <alignment horizontal="center" vertical="center"/>
    </xf>
    <xf numFmtId="1" fontId="236" fillId="43" borderId="77" xfId="0" applyNumberFormat="1" applyFont="1" applyFill="1" applyBorder="1" applyAlignment="1" applyProtection="1">
      <alignment horizontal="center" vertical="center"/>
    </xf>
    <xf numFmtId="1" fontId="236" fillId="43" borderId="76" xfId="0" applyNumberFormat="1" applyFont="1" applyFill="1" applyBorder="1" applyAlignment="1" applyProtection="1">
      <alignment horizontal="center" vertical="center"/>
    </xf>
    <xf numFmtId="2" fontId="5" fillId="2" borderId="7" xfId="0" applyNumberFormat="1" applyFont="1" applyFill="1" applyBorder="1" applyAlignment="1" applyProtection="1">
      <alignment horizontal="center" vertical="center"/>
      <protection locked="0"/>
    </xf>
    <xf numFmtId="2" fontId="5" fillId="2" borderId="9" xfId="0" applyNumberFormat="1" applyFont="1" applyFill="1" applyBorder="1" applyAlignment="1" applyProtection="1">
      <alignment horizontal="center" vertical="center"/>
      <protection locked="0"/>
    </xf>
    <xf numFmtId="2" fontId="5" fillId="2" borderId="8" xfId="0" applyNumberFormat="1" applyFont="1" applyFill="1" applyBorder="1" applyAlignment="1" applyProtection="1">
      <alignment horizontal="center" vertical="center"/>
      <protection locked="0"/>
    </xf>
    <xf numFmtId="1" fontId="16" fillId="34" borderId="16" xfId="0" applyNumberFormat="1" applyFont="1" applyFill="1" applyBorder="1" applyAlignment="1" applyProtection="1">
      <alignment horizontal="center" vertical="center"/>
    </xf>
    <xf numFmtId="1" fontId="16" fillId="34" borderId="18" xfId="0" applyNumberFormat="1" applyFont="1" applyFill="1" applyBorder="1" applyAlignment="1" applyProtection="1">
      <alignment horizontal="center" vertical="center"/>
    </xf>
    <xf numFmtId="1" fontId="16" fillId="34" borderId="11" xfId="0" applyNumberFormat="1" applyFont="1" applyFill="1" applyBorder="1" applyAlignment="1" applyProtection="1">
      <alignment horizontal="center" vertical="center"/>
    </xf>
    <xf numFmtId="1" fontId="16" fillId="34" borderId="13" xfId="0" applyNumberFormat="1" applyFont="1" applyFill="1" applyBorder="1" applyAlignment="1" applyProtection="1">
      <alignment horizontal="center" vertical="center"/>
    </xf>
    <xf numFmtId="49" fontId="61" fillId="79" borderId="0" xfId="0" applyNumberFormat="1" applyFont="1" applyFill="1" applyBorder="1" applyAlignment="1" applyProtection="1">
      <alignment horizontal="center" vertical="center"/>
    </xf>
    <xf numFmtId="49" fontId="61" fillId="79" borderId="89" xfId="0" applyNumberFormat="1" applyFont="1" applyFill="1" applyBorder="1" applyAlignment="1" applyProtection="1">
      <alignment horizontal="center" vertical="center"/>
    </xf>
    <xf numFmtId="49" fontId="85" fillId="52" borderId="167" xfId="0" applyNumberFormat="1" applyFont="1" applyFill="1" applyBorder="1" applyAlignment="1" applyProtection="1">
      <alignment horizontal="center" wrapText="1"/>
    </xf>
    <xf numFmtId="1" fontId="61" fillId="47" borderId="17" xfId="0" applyNumberFormat="1" applyFont="1" applyFill="1" applyBorder="1" applyAlignment="1" applyProtection="1">
      <alignment horizontal="left" vertical="center"/>
    </xf>
    <xf numFmtId="178" fontId="22" fillId="47" borderId="67" xfId="0" applyFont="1" applyFill="1" applyBorder="1" applyAlignment="1" applyProtection="1">
      <alignment horizontal="center" vertical="center" wrapText="1"/>
    </xf>
    <xf numFmtId="178" fontId="61" fillId="47" borderId="67" xfId="0" applyFont="1" applyFill="1" applyBorder="1" applyAlignment="1" applyProtection="1">
      <alignment horizontal="center"/>
    </xf>
    <xf numFmtId="178" fontId="61" fillId="47" borderId="36" xfId="0" applyFont="1" applyFill="1" applyBorder="1" applyAlignment="1" applyProtection="1">
      <alignment horizontal="center"/>
    </xf>
    <xf numFmtId="166" fontId="150" fillId="47" borderId="1" xfId="0" applyNumberFormat="1" applyFont="1" applyFill="1" applyBorder="1" applyAlignment="1" applyProtection="1">
      <alignment horizontal="center" vertical="center"/>
    </xf>
    <xf numFmtId="181" fontId="105" fillId="30" borderId="7" xfId="0" applyNumberFormat="1" applyFont="1" applyFill="1" applyBorder="1" applyAlignment="1" applyProtection="1">
      <alignment horizontal="center" vertical="center"/>
      <protection locked="0"/>
    </xf>
    <xf numFmtId="181" fontId="105" fillId="30" borderId="9" xfId="0" applyNumberFormat="1" applyFont="1" applyFill="1" applyBorder="1" applyAlignment="1" applyProtection="1">
      <alignment horizontal="center" vertical="center"/>
      <protection locked="0"/>
    </xf>
    <xf numFmtId="181" fontId="49" fillId="47" borderId="7" xfId="0" applyNumberFormat="1" applyFont="1" applyFill="1" applyBorder="1" applyAlignment="1" applyProtection="1">
      <alignment horizontal="center" vertical="center"/>
    </xf>
    <xf numFmtId="181" fontId="49" fillId="47" borderId="9" xfId="0" applyNumberFormat="1" applyFont="1" applyFill="1" applyBorder="1" applyAlignment="1" applyProtection="1">
      <alignment horizontal="center" vertical="center"/>
    </xf>
    <xf numFmtId="181" fontId="150" fillId="47" borderId="7" xfId="0" applyNumberFormat="1" applyFont="1" applyFill="1" applyBorder="1" applyAlignment="1" applyProtection="1">
      <alignment horizontal="center" vertical="center"/>
    </xf>
    <xf numFmtId="49" fontId="61" fillId="79" borderId="6" xfId="0" applyNumberFormat="1" applyFont="1" applyFill="1" applyBorder="1" applyAlignment="1" applyProtection="1">
      <alignment horizontal="center" wrapText="1"/>
    </xf>
    <xf numFmtId="49" fontId="61" fillId="79" borderId="0" xfId="0" applyNumberFormat="1" applyFont="1" applyFill="1" applyBorder="1" applyAlignment="1" applyProtection="1">
      <alignment horizontal="center" wrapText="1"/>
    </xf>
    <xf numFmtId="49" fontId="78" fillId="80" borderId="67" xfId="0" applyNumberFormat="1" applyFont="1" applyFill="1" applyBorder="1" applyAlignment="1" applyProtection="1">
      <alignment horizontal="center"/>
    </xf>
    <xf numFmtId="178" fontId="130" fillId="78" borderId="7" xfId="0" applyFont="1" applyFill="1" applyBorder="1" applyAlignment="1" applyProtection="1">
      <alignment horizontal="right" vertical="center"/>
    </xf>
    <xf numFmtId="178" fontId="130" fillId="78" borderId="9" xfId="0" applyFont="1" applyFill="1" applyBorder="1" applyAlignment="1" applyProtection="1">
      <alignment horizontal="right" vertical="center"/>
    </xf>
    <xf numFmtId="190" fontId="64" fillId="30" borderId="4" xfId="0" applyNumberFormat="1" applyFont="1" applyFill="1" applyBorder="1" applyAlignment="1" applyProtection="1">
      <alignment horizontal="center" vertical="center"/>
      <protection locked="0"/>
    </xf>
    <xf numFmtId="190" fontId="64" fillId="30" borderId="89" xfId="0" applyNumberFormat="1" applyFont="1" applyFill="1" applyBorder="1" applyAlignment="1" applyProtection="1">
      <alignment horizontal="center" vertical="center"/>
      <protection locked="0"/>
    </xf>
    <xf numFmtId="2" fontId="134" fillId="43" borderId="48" xfId="0" applyNumberFormat="1" applyFont="1" applyFill="1" applyBorder="1" applyAlignment="1" applyProtection="1">
      <alignment horizontal="center" vertical="top" wrapText="1"/>
    </xf>
    <xf numFmtId="2" fontId="134" fillId="43" borderId="46" xfId="0" applyNumberFormat="1" applyFont="1" applyFill="1" applyBorder="1" applyAlignment="1" applyProtection="1">
      <alignment horizontal="center" vertical="top" wrapText="1"/>
    </xf>
    <xf numFmtId="2" fontId="134" fillId="43" borderId="49" xfId="0" applyNumberFormat="1" applyFont="1" applyFill="1" applyBorder="1" applyAlignment="1" applyProtection="1">
      <alignment horizontal="center" vertical="top" wrapText="1"/>
    </xf>
    <xf numFmtId="2" fontId="134" fillId="43" borderId="30" xfId="0" applyNumberFormat="1" applyFont="1" applyFill="1" applyBorder="1" applyAlignment="1" applyProtection="1">
      <alignment horizontal="center" vertical="top" wrapText="1"/>
    </xf>
    <xf numFmtId="2" fontId="134" fillId="43" borderId="67" xfId="0" applyNumberFormat="1" applyFont="1" applyFill="1" applyBorder="1" applyAlignment="1" applyProtection="1">
      <alignment horizontal="center" vertical="top" wrapText="1"/>
    </xf>
    <xf numFmtId="2" fontId="134" fillId="43" borderId="90" xfId="0" applyNumberFormat="1" applyFont="1" applyFill="1" applyBorder="1" applyAlignment="1" applyProtection="1">
      <alignment horizontal="center" vertical="top" wrapText="1"/>
    </xf>
    <xf numFmtId="183" fontId="46" fillId="47" borderId="0" xfId="0" applyNumberFormat="1" applyFont="1" applyFill="1" applyBorder="1" applyAlignment="1" applyProtection="1">
      <alignment horizontal="center" vertical="center"/>
    </xf>
    <xf numFmtId="181" fontId="105" fillId="30" borderId="8" xfId="0" applyNumberFormat="1" applyFont="1" applyFill="1" applyBorder="1" applyAlignment="1" applyProtection="1">
      <alignment horizontal="center" vertical="center"/>
      <protection locked="0"/>
    </xf>
    <xf numFmtId="49" fontId="85" fillId="52" borderId="167" xfId="0" applyNumberFormat="1" applyFont="1" applyFill="1" applyBorder="1" applyAlignment="1" applyProtection="1">
      <alignment horizontal="center"/>
    </xf>
    <xf numFmtId="213" fontId="5" fillId="34" borderId="82" xfId="0" applyNumberFormat="1" applyFont="1" applyFill="1" applyBorder="1" applyAlignment="1" applyProtection="1">
      <alignment horizontal="center" vertical="center"/>
    </xf>
    <xf numFmtId="183" fontId="22" fillId="0" borderId="152" xfId="0" applyNumberFormat="1" applyFont="1" applyFill="1" applyBorder="1" applyAlignment="1" applyProtection="1">
      <alignment horizontal="center" vertical="center"/>
    </xf>
    <xf numFmtId="183" fontId="22" fillId="0" borderId="153" xfId="0" applyNumberFormat="1" applyFont="1" applyFill="1" applyBorder="1" applyAlignment="1" applyProtection="1">
      <alignment horizontal="center" vertical="center"/>
    </xf>
    <xf numFmtId="173" fontId="239" fillId="85" borderId="0" xfId="0" applyNumberFormat="1" applyFont="1" applyFill="1" applyBorder="1" applyAlignment="1" applyProtection="1">
      <alignment horizontal="center" wrapText="1"/>
    </xf>
    <xf numFmtId="173" fontId="239" fillId="85" borderId="67" xfId="0" applyNumberFormat="1" applyFont="1" applyFill="1" applyBorder="1" applyAlignment="1" applyProtection="1">
      <alignment horizontal="center" wrapText="1"/>
    </xf>
    <xf numFmtId="185" fontId="64" fillId="42" borderId="81" xfId="0" applyNumberFormat="1" applyFont="1" applyFill="1" applyBorder="1" applyAlignment="1" applyProtection="1">
      <alignment horizontal="center" vertical="center"/>
    </xf>
    <xf numFmtId="173" fontId="170" fillId="29" borderId="0" xfId="0" applyNumberFormat="1" applyFont="1" applyFill="1" applyBorder="1" applyAlignment="1" applyProtection="1">
      <alignment horizontal="center" vertical="center" wrapText="1"/>
    </xf>
    <xf numFmtId="178" fontId="44" fillId="77" borderId="12" xfId="0" applyFont="1" applyFill="1" applyBorder="1" applyAlignment="1" applyProtection="1">
      <alignment horizontal="center"/>
    </xf>
    <xf numFmtId="165" fontId="90" fillId="77" borderId="12" xfId="0" applyNumberFormat="1" applyFont="1" applyFill="1" applyBorder="1" applyAlignment="1" applyProtection="1">
      <alignment horizontal="center"/>
    </xf>
    <xf numFmtId="178" fontId="24" fillId="34" borderId="0" xfId="0" applyFont="1" applyFill="1" applyAlignment="1" applyProtection="1">
      <alignment horizontal="right" vertical="center"/>
    </xf>
    <xf numFmtId="1" fontId="90" fillId="77" borderId="12" xfId="0" applyNumberFormat="1" applyFont="1" applyFill="1" applyBorder="1" applyAlignment="1" applyProtection="1">
      <alignment horizontal="center"/>
    </xf>
    <xf numFmtId="165" fontId="22" fillId="0" borderId="7" xfId="0" applyNumberFormat="1" applyFont="1" applyFill="1" applyBorder="1" applyAlignment="1" applyProtection="1">
      <alignment horizontal="center" vertical="center"/>
    </xf>
    <xf numFmtId="165" fontId="22" fillId="0" borderId="9" xfId="0" applyNumberFormat="1" applyFont="1" applyFill="1" applyBorder="1" applyAlignment="1" applyProtection="1">
      <alignment horizontal="center" vertical="center"/>
    </xf>
    <xf numFmtId="165" fontId="22" fillId="0" borderId="104" xfId="0" applyNumberFormat="1" applyFont="1" applyFill="1" applyBorder="1" applyAlignment="1" applyProtection="1">
      <alignment horizontal="center" vertical="center"/>
    </xf>
    <xf numFmtId="178" fontId="18" fillId="34" borderId="0" xfId="0" applyFont="1" applyFill="1" applyAlignment="1" applyProtection="1">
      <alignment horizontal="center" vertical="center"/>
    </xf>
    <xf numFmtId="2" fontId="180" fillId="43" borderId="16" xfId="0" applyNumberFormat="1" applyFont="1" applyFill="1" applyBorder="1" applyAlignment="1" applyProtection="1">
      <alignment horizontal="left" vertical="center"/>
    </xf>
    <xf numFmtId="2" fontId="180" fillId="43" borderId="17" xfId="0" applyNumberFormat="1" applyFont="1" applyFill="1" applyBorder="1" applyAlignment="1" applyProtection="1">
      <alignment horizontal="left" vertical="center"/>
    </xf>
    <xf numFmtId="2" fontId="180" fillId="43" borderId="18" xfId="0" applyNumberFormat="1" applyFont="1" applyFill="1" applyBorder="1" applyAlignment="1" applyProtection="1">
      <alignment horizontal="left" vertical="center"/>
    </xf>
    <xf numFmtId="173" fontId="122" fillId="85" borderId="0" xfId="0" applyNumberFormat="1" applyFont="1" applyFill="1" applyBorder="1" applyAlignment="1" applyProtection="1">
      <alignment horizontal="center" wrapText="1"/>
    </xf>
    <xf numFmtId="173" fontId="122" fillId="85" borderId="67" xfId="0" applyNumberFormat="1" applyFont="1" applyFill="1" applyBorder="1" applyAlignment="1" applyProtection="1">
      <alignment horizontal="center" wrapText="1"/>
    </xf>
    <xf numFmtId="2" fontId="180" fillId="43" borderId="11" xfId="0" applyNumberFormat="1" applyFont="1" applyFill="1" applyBorder="1" applyAlignment="1" applyProtection="1">
      <alignment horizontal="left" vertical="top"/>
    </xf>
    <xf numFmtId="2" fontId="180" fillId="43" borderId="12" xfId="0" applyNumberFormat="1" applyFont="1" applyFill="1" applyBorder="1" applyAlignment="1" applyProtection="1">
      <alignment horizontal="left" vertical="top"/>
    </xf>
    <xf numFmtId="2" fontId="180" fillId="43" borderId="13" xfId="0" applyNumberFormat="1" applyFont="1" applyFill="1" applyBorder="1" applyAlignment="1" applyProtection="1">
      <alignment horizontal="left" vertical="top"/>
    </xf>
    <xf numFmtId="49" fontId="61" fillId="3" borderId="9" xfId="0" applyNumberFormat="1" applyFont="1" applyFill="1" applyBorder="1" applyAlignment="1" applyProtection="1">
      <alignment horizontal="center"/>
    </xf>
    <xf numFmtId="178" fontId="44" fillId="77" borderId="17" xfId="0" applyFont="1" applyFill="1" applyBorder="1" applyAlignment="1" applyProtection="1">
      <alignment horizontal="center" vertical="center"/>
    </xf>
    <xf numFmtId="183" fontId="22" fillId="0" borderId="156" xfId="0" applyNumberFormat="1" applyFont="1" applyFill="1" applyBorder="1" applyAlignment="1" applyProtection="1">
      <alignment horizontal="center" vertical="center"/>
    </xf>
    <xf numFmtId="183" fontId="22" fillId="0" borderId="155" xfId="0" applyNumberFormat="1" applyFont="1" applyFill="1" applyBorder="1" applyAlignment="1" applyProtection="1">
      <alignment horizontal="center" vertical="center"/>
    </xf>
    <xf numFmtId="183" fontId="22" fillId="0" borderId="35" xfId="0" applyNumberFormat="1" applyFont="1" applyFill="1" applyBorder="1" applyAlignment="1" applyProtection="1">
      <alignment horizontal="center" vertical="center"/>
    </xf>
    <xf numFmtId="183" fontId="22" fillId="0" borderId="151" xfId="0" applyNumberFormat="1" applyFont="1" applyFill="1" applyBorder="1" applyAlignment="1" applyProtection="1">
      <alignment horizontal="center" vertical="center"/>
    </xf>
    <xf numFmtId="12" fontId="48" fillId="34" borderId="7" xfId="0" applyNumberFormat="1" applyFont="1" applyFill="1" applyBorder="1" applyAlignment="1" applyProtection="1">
      <alignment horizontal="left" vertical="center"/>
    </xf>
    <xf numFmtId="12" fontId="48" fillId="34" borderId="9" xfId="0" applyNumberFormat="1" applyFont="1" applyFill="1" applyBorder="1" applyAlignment="1" applyProtection="1">
      <alignment horizontal="left" vertical="center"/>
    </xf>
    <xf numFmtId="180" fontId="107" fillId="49" borderId="105" xfId="0" applyNumberFormat="1" applyFont="1" applyFill="1" applyBorder="1" applyAlignment="1" applyProtection="1">
      <alignment horizontal="center" vertical="center"/>
    </xf>
    <xf numFmtId="180" fontId="107" fillId="49" borderId="14" xfId="0" applyNumberFormat="1" applyFont="1" applyFill="1" applyBorder="1" applyAlignment="1" applyProtection="1">
      <alignment horizontal="center" vertical="center"/>
    </xf>
    <xf numFmtId="180" fontId="107" fillId="49" borderId="107" xfId="0" applyNumberFormat="1" applyFont="1" applyFill="1" applyBorder="1" applyAlignment="1" applyProtection="1">
      <alignment horizontal="center" vertical="center"/>
    </xf>
    <xf numFmtId="12" fontId="48" fillId="34" borderId="7" xfId="0" applyNumberFormat="1" applyFont="1" applyFill="1" applyBorder="1" applyAlignment="1" applyProtection="1">
      <alignment horizontal="right" vertical="center"/>
    </xf>
    <xf numFmtId="12" fontId="48" fillId="34" borderId="9" xfId="0" applyNumberFormat="1" applyFont="1" applyFill="1" applyBorder="1" applyAlignment="1" applyProtection="1">
      <alignment horizontal="right" vertical="center"/>
    </xf>
    <xf numFmtId="183" fontId="22" fillId="0" borderId="86" xfId="0" applyNumberFormat="1" applyFont="1" applyFill="1" applyBorder="1" applyAlignment="1" applyProtection="1">
      <alignment horizontal="center" vertical="center"/>
    </xf>
    <xf numFmtId="183" fontId="22" fillId="0" borderId="154" xfId="0" applyNumberFormat="1" applyFont="1" applyFill="1" applyBorder="1" applyAlignment="1" applyProtection="1">
      <alignment horizontal="center" vertical="center"/>
    </xf>
    <xf numFmtId="190" fontId="64" fillId="30" borderId="7" xfId="0" applyNumberFormat="1" applyFont="1" applyFill="1" applyBorder="1" applyAlignment="1" applyProtection="1">
      <alignment horizontal="center" vertical="center" wrapText="1"/>
      <protection locked="0"/>
    </xf>
    <xf numFmtId="190" fontId="64" fillId="30" borderId="8" xfId="0" applyNumberFormat="1" applyFont="1" applyFill="1" applyBorder="1" applyAlignment="1" applyProtection="1">
      <alignment horizontal="center" vertical="center" wrapText="1"/>
      <protection locked="0"/>
    </xf>
    <xf numFmtId="49" fontId="64" fillId="30" borderId="7" xfId="0" applyNumberFormat="1" applyFont="1" applyFill="1" applyBorder="1" applyAlignment="1" applyProtection="1">
      <alignment horizontal="center" vertical="center" wrapText="1"/>
      <protection locked="0"/>
    </xf>
    <xf numFmtId="49" fontId="64" fillId="30" borderId="8" xfId="0" applyNumberFormat="1" applyFont="1" applyFill="1" applyBorder="1" applyAlignment="1" applyProtection="1">
      <alignment horizontal="center" vertical="center" wrapText="1"/>
      <protection locked="0"/>
    </xf>
    <xf numFmtId="178" fontId="102" fillId="39" borderId="48" xfId="0" applyFont="1" applyFill="1" applyBorder="1" applyAlignment="1" applyProtection="1">
      <alignment horizontal="center" vertical="center"/>
    </xf>
    <xf numFmtId="178" fontId="102" fillId="39" borderId="46" xfId="0" applyFont="1" applyFill="1" applyBorder="1" applyAlignment="1" applyProtection="1">
      <alignment horizontal="center" vertical="center"/>
    </xf>
    <xf numFmtId="178" fontId="102" fillId="39" borderId="47" xfId="0" applyFont="1" applyFill="1" applyBorder="1" applyAlignment="1" applyProtection="1">
      <alignment horizontal="center" vertical="center"/>
    </xf>
    <xf numFmtId="178" fontId="108" fillId="29" borderId="0" xfId="0" applyFont="1" applyFill="1" applyBorder="1" applyAlignment="1" applyProtection="1">
      <alignment horizontal="center" vertical="center"/>
    </xf>
    <xf numFmtId="183" fontId="22" fillId="0" borderId="19" xfId="0" applyNumberFormat="1" applyFont="1" applyFill="1" applyBorder="1" applyAlignment="1" applyProtection="1">
      <alignment horizontal="center" vertical="center"/>
    </xf>
    <xf numFmtId="1" fontId="61" fillId="34" borderId="67" xfId="0" applyNumberFormat="1" applyFont="1" applyFill="1" applyBorder="1" applyAlignment="1" applyProtection="1">
      <alignment horizontal="center"/>
    </xf>
    <xf numFmtId="49" fontId="22" fillId="2" borderId="8" xfId="0" applyNumberFormat="1" applyFont="1" applyFill="1" applyBorder="1" applyAlignment="1" applyProtection="1">
      <alignment horizontal="center" vertical="center"/>
      <protection locked="0"/>
    </xf>
    <xf numFmtId="49" fontId="61" fillId="34" borderId="0" xfId="0" applyNumberFormat="1" applyFont="1" applyFill="1" applyBorder="1" applyAlignment="1" applyProtection="1">
      <alignment horizontal="right" vertical="center"/>
    </xf>
    <xf numFmtId="49" fontId="61" fillId="34" borderId="89" xfId="0" applyNumberFormat="1" applyFont="1" applyFill="1" applyBorder="1" applyAlignment="1" applyProtection="1">
      <alignment horizontal="right" vertical="center"/>
    </xf>
    <xf numFmtId="178" fontId="102" fillId="37" borderId="0" xfId="0" applyFont="1" applyFill="1" applyBorder="1" applyAlignment="1" applyProtection="1">
      <alignment horizontal="center" vertical="center"/>
    </xf>
    <xf numFmtId="1" fontId="97" fillId="30" borderId="7" xfId="0" applyNumberFormat="1" applyFont="1" applyFill="1" applyBorder="1" applyAlignment="1" applyProtection="1">
      <alignment horizontal="center" vertical="center"/>
      <protection locked="0"/>
    </xf>
    <xf numFmtId="1" fontId="97" fillId="30" borderId="8" xfId="0" applyNumberFormat="1" applyFont="1" applyFill="1" applyBorder="1" applyAlignment="1" applyProtection="1">
      <alignment horizontal="center" vertical="center"/>
      <protection locked="0"/>
    </xf>
    <xf numFmtId="1" fontId="64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64" fillId="2" borderId="8" xfId="0" applyNumberFormat="1" applyFont="1" applyFill="1" applyBorder="1" applyAlignment="1" applyProtection="1">
      <alignment horizontal="center" vertical="center" wrapText="1"/>
      <protection locked="0"/>
    </xf>
    <xf numFmtId="165" fontId="61" fillId="34" borderId="0" xfId="0" applyNumberFormat="1" applyFont="1" applyFill="1" applyBorder="1" applyAlignment="1" applyProtection="1">
      <alignment horizontal="right" vertical="center"/>
    </xf>
    <xf numFmtId="165" fontId="61" fillId="34" borderId="89" xfId="0" applyNumberFormat="1" applyFont="1" applyFill="1" applyBorder="1" applyAlignment="1" applyProtection="1">
      <alignment horizontal="right" vertical="center"/>
    </xf>
    <xf numFmtId="178" fontId="85" fillId="34" borderId="6" xfId="0" applyFont="1" applyFill="1" applyBorder="1" applyAlignment="1" applyProtection="1">
      <alignment horizontal="right" vertical="center" wrapText="1"/>
    </xf>
    <xf numFmtId="178" fontId="85" fillId="34" borderId="0" xfId="0" applyFont="1" applyFill="1" applyBorder="1" applyAlignment="1" applyProtection="1">
      <alignment horizontal="right" vertical="center" wrapText="1"/>
    </xf>
    <xf numFmtId="178" fontId="85" fillId="34" borderId="89" xfId="0" applyFont="1" applyFill="1" applyBorder="1" applyAlignment="1" applyProtection="1">
      <alignment horizontal="right" vertical="center" wrapText="1"/>
    </xf>
    <xf numFmtId="49" fontId="67" fillId="2" borderId="7" xfId="0" applyNumberFormat="1" applyFont="1" applyFill="1" applyBorder="1" applyAlignment="1" applyProtection="1">
      <alignment horizontal="center" vertical="center"/>
      <protection locked="0"/>
    </xf>
    <xf numFmtId="49" fontId="67" fillId="2" borderId="9" xfId="0" applyNumberFormat="1" applyFont="1" applyFill="1" applyBorder="1" applyAlignment="1" applyProtection="1">
      <alignment horizontal="center" vertical="center"/>
      <protection locked="0"/>
    </xf>
    <xf numFmtId="49" fontId="67" fillId="2" borderId="8" xfId="0" applyNumberFormat="1" applyFont="1" applyFill="1" applyBorder="1" applyAlignment="1" applyProtection="1">
      <alignment horizontal="center" vertical="center"/>
      <protection locked="0"/>
    </xf>
    <xf numFmtId="178" fontId="67" fillId="2" borderId="7" xfId="0" applyFont="1" applyFill="1" applyBorder="1" applyAlignment="1" applyProtection="1">
      <alignment horizontal="center" vertical="center"/>
      <protection locked="0"/>
    </xf>
    <xf numFmtId="178" fontId="67" fillId="2" borderId="9" xfId="0" applyFont="1" applyFill="1" applyBorder="1" applyAlignment="1" applyProtection="1">
      <alignment horizontal="center" vertical="center"/>
      <protection locked="0"/>
    </xf>
    <xf numFmtId="178" fontId="67" fillId="2" borderId="8" xfId="0" applyFont="1" applyFill="1" applyBorder="1" applyAlignment="1" applyProtection="1">
      <alignment horizontal="center" vertical="center"/>
      <protection locked="0"/>
    </xf>
    <xf numFmtId="178" fontId="49" fillId="34" borderId="0" xfId="0" applyFont="1" applyFill="1" applyBorder="1" applyAlignment="1" applyProtection="1">
      <alignment horizontal="right" vertical="center"/>
    </xf>
    <xf numFmtId="178" fontId="49" fillId="34" borderId="0" xfId="0" applyFont="1" applyFill="1" applyBorder="1" applyAlignment="1" applyProtection="1">
      <alignment horizontal="center" vertical="center"/>
    </xf>
    <xf numFmtId="178" fontId="49" fillId="34" borderId="89" xfId="0" applyFont="1" applyFill="1" applyBorder="1" applyAlignment="1" applyProtection="1">
      <alignment horizontal="center" vertical="center"/>
    </xf>
    <xf numFmtId="1" fontId="61" fillId="34" borderId="0" xfId="0" applyNumberFormat="1" applyFont="1" applyFill="1" applyBorder="1" applyAlignment="1" applyProtection="1">
      <alignment horizontal="center" wrapText="1"/>
    </xf>
    <xf numFmtId="1" fontId="61" fillId="34" borderId="67" xfId="0" applyNumberFormat="1" applyFont="1" applyFill="1" applyBorder="1" applyAlignment="1" applyProtection="1">
      <alignment horizontal="center" wrapText="1"/>
    </xf>
    <xf numFmtId="49" fontId="61" fillId="34" borderId="0" xfId="0" applyNumberFormat="1" applyFont="1" applyFill="1" applyBorder="1" applyAlignment="1" applyProtection="1">
      <alignment horizontal="center"/>
    </xf>
    <xf numFmtId="49" fontId="61" fillId="34" borderId="4" xfId="0" applyNumberFormat="1" applyFont="1" applyFill="1" applyBorder="1" applyAlignment="1" applyProtection="1">
      <alignment horizontal="right" vertical="center"/>
    </xf>
    <xf numFmtId="49" fontId="61" fillId="34" borderId="0" xfId="0" applyNumberFormat="1" applyFont="1" applyFill="1" applyBorder="1" applyAlignment="1" applyProtection="1">
      <alignment horizontal="right" wrapText="1"/>
    </xf>
    <xf numFmtId="49" fontId="61" fillId="34" borderId="67" xfId="0" applyNumberFormat="1" applyFont="1" applyFill="1" applyBorder="1" applyAlignment="1" applyProtection="1">
      <alignment horizontal="center" wrapText="1"/>
    </xf>
    <xf numFmtId="178" fontId="159" fillId="30" borderId="50" xfId="0" applyFont="1" applyFill="1" applyBorder="1" applyAlignment="1" applyProtection="1">
      <alignment horizontal="center" vertical="center" wrapText="1"/>
      <protection locked="0"/>
    </xf>
    <xf numFmtId="178" fontId="159" fillId="30" borderId="46" xfId="0" applyFont="1" applyFill="1" applyBorder="1" applyAlignment="1" applyProtection="1">
      <alignment horizontal="center" vertical="center" wrapText="1"/>
      <protection locked="0"/>
    </xf>
    <xf numFmtId="178" fontId="159" fillId="30" borderId="47" xfId="0" applyFont="1" applyFill="1" applyBorder="1" applyAlignment="1" applyProtection="1">
      <alignment horizontal="center" vertical="center" wrapText="1"/>
      <protection locked="0"/>
    </xf>
    <xf numFmtId="178" fontId="159" fillId="30" borderId="11" xfId="0" applyFont="1" applyFill="1" applyBorder="1" applyAlignment="1" applyProtection="1">
      <alignment horizontal="center" vertical="center" wrapText="1"/>
      <protection locked="0"/>
    </xf>
    <xf numFmtId="178" fontId="159" fillId="30" borderId="12" xfId="0" applyFont="1" applyFill="1" applyBorder="1" applyAlignment="1" applyProtection="1">
      <alignment horizontal="center" vertical="center" wrapText="1"/>
      <protection locked="0"/>
    </xf>
    <xf numFmtId="178" fontId="159" fillId="30" borderId="13" xfId="0" applyFont="1" applyFill="1" applyBorder="1" applyAlignment="1" applyProtection="1">
      <alignment horizontal="center" vertical="center" wrapText="1"/>
      <protection locked="0"/>
    </xf>
    <xf numFmtId="178" fontId="49" fillId="35" borderId="50" xfId="0" applyFont="1" applyFill="1" applyBorder="1" applyAlignment="1" applyProtection="1">
      <alignment horizontal="left" vertical="center"/>
    </xf>
    <xf numFmtId="178" fontId="49" fillId="35" borderId="46" xfId="0" applyFont="1" applyFill="1" applyBorder="1" applyAlignment="1" applyProtection="1">
      <alignment horizontal="left" vertical="center"/>
    </xf>
    <xf numFmtId="1" fontId="61" fillId="34" borderId="0" xfId="0" applyNumberFormat="1" applyFont="1" applyFill="1" applyBorder="1" applyAlignment="1" applyProtection="1">
      <alignment horizontal="right" wrapText="1"/>
    </xf>
    <xf numFmtId="178" fontId="61" fillId="34" borderId="0" xfId="0" applyFont="1" applyFill="1" applyBorder="1" applyAlignment="1" applyProtection="1">
      <alignment horizontal="right" vertical="center"/>
    </xf>
    <xf numFmtId="178" fontId="61" fillId="34" borderId="89" xfId="0" applyFont="1" applyFill="1" applyBorder="1" applyAlignment="1" applyProtection="1">
      <alignment horizontal="right" vertical="center"/>
    </xf>
    <xf numFmtId="49" fontId="85" fillId="51" borderId="166" xfId="0" applyNumberFormat="1" applyFont="1" applyFill="1" applyBorder="1" applyAlignment="1" applyProtection="1">
      <alignment horizontal="center" wrapText="1"/>
    </xf>
    <xf numFmtId="1" fontId="90" fillId="77" borderId="13" xfId="0" applyNumberFormat="1" applyFont="1" applyFill="1" applyBorder="1" applyAlignment="1" applyProtection="1">
      <alignment horizontal="center"/>
    </xf>
    <xf numFmtId="178" fontId="61" fillId="81" borderId="6" xfId="0" applyFont="1" applyFill="1" applyBorder="1" applyAlignment="1" applyProtection="1">
      <alignment horizontal="right" vertical="center"/>
    </xf>
    <xf numFmtId="178" fontId="61" fillId="81" borderId="0" xfId="0" applyFont="1" applyFill="1" applyBorder="1" applyAlignment="1" applyProtection="1">
      <alignment horizontal="right" vertical="center"/>
    </xf>
    <xf numFmtId="178" fontId="61" fillId="81" borderId="89" xfId="0" applyFont="1" applyFill="1" applyBorder="1" applyAlignment="1" applyProtection="1">
      <alignment horizontal="right" vertical="center"/>
    </xf>
    <xf numFmtId="49" fontId="64" fillId="2" borderId="7" xfId="0" applyNumberFormat="1" applyFont="1" applyFill="1" applyBorder="1" applyAlignment="1" applyProtection="1">
      <alignment horizontal="center" vertical="center"/>
      <protection locked="0"/>
    </xf>
    <xf numFmtId="49" fontId="64" fillId="2" borderId="8" xfId="0" applyNumberFormat="1" applyFont="1" applyFill="1" applyBorder="1" applyAlignment="1" applyProtection="1">
      <alignment horizontal="center" vertical="center"/>
      <protection locked="0"/>
    </xf>
    <xf numFmtId="190" fontId="64" fillId="2" borderId="7" xfId="0" applyNumberFormat="1" applyFont="1" applyFill="1" applyBorder="1" applyAlignment="1" applyProtection="1">
      <alignment horizontal="center" vertical="center"/>
      <protection locked="0"/>
    </xf>
    <xf numFmtId="190" fontId="64" fillId="2" borderId="8" xfId="0" applyNumberFormat="1" applyFont="1" applyFill="1" applyBorder="1" applyAlignment="1" applyProtection="1">
      <alignment horizontal="center" vertical="center"/>
      <protection locked="0"/>
    </xf>
    <xf numFmtId="172" fontId="22" fillId="0" borderId="28" xfId="0" applyNumberFormat="1" applyFont="1" applyFill="1" applyBorder="1" applyAlignment="1" applyProtection="1">
      <alignment horizontal="center" vertical="center"/>
    </xf>
    <xf numFmtId="172" fontId="22" fillId="0" borderId="10" xfId="0" applyNumberFormat="1" applyFont="1" applyFill="1" applyBorder="1" applyAlignment="1" applyProtection="1">
      <alignment horizontal="center" vertical="center"/>
    </xf>
    <xf numFmtId="9" fontId="5" fillId="0" borderId="126" xfId="0" applyNumberFormat="1" applyFont="1" applyFill="1" applyBorder="1" applyAlignment="1" applyProtection="1">
      <alignment horizontal="center" vertical="center"/>
    </xf>
    <xf numFmtId="178" fontId="22" fillId="34" borderId="17" xfId="0" applyFont="1" applyFill="1" applyBorder="1" applyAlignment="1" applyProtection="1">
      <alignment horizontal="center"/>
    </xf>
    <xf numFmtId="181" fontId="150" fillId="34" borderId="2" xfId="0" applyNumberFormat="1" applyFont="1" applyFill="1" applyBorder="1" applyAlignment="1" applyProtection="1">
      <alignment horizontal="center" vertical="center"/>
    </xf>
    <xf numFmtId="181" fontId="150" fillId="34" borderId="125" xfId="0" applyNumberFormat="1" applyFont="1" applyFill="1" applyBorder="1" applyAlignment="1" applyProtection="1">
      <alignment horizontal="center" vertical="center"/>
    </xf>
    <xf numFmtId="49" fontId="64" fillId="30" borderId="4" xfId="0" applyNumberFormat="1" applyFont="1" applyFill="1" applyBorder="1" applyAlignment="1" applyProtection="1">
      <alignment horizontal="center" vertical="center"/>
      <protection locked="0"/>
    </xf>
    <xf numFmtId="49" fontId="64" fillId="30" borderId="89" xfId="0" applyNumberFormat="1" applyFont="1" applyFill="1" applyBorder="1" applyAlignment="1" applyProtection="1">
      <alignment horizontal="center" vertical="center"/>
      <protection locked="0"/>
    </xf>
    <xf numFmtId="49" fontId="61" fillId="51" borderId="6" xfId="0" applyNumberFormat="1" applyFont="1" applyFill="1" applyBorder="1" applyAlignment="1" applyProtection="1">
      <alignment horizontal="center" vertical="center" wrapText="1"/>
    </xf>
    <xf numFmtId="49" fontId="61" fillId="51" borderId="0" xfId="0" applyNumberFormat="1" applyFont="1" applyFill="1" applyBorder="1" applyAlignment="1" applyProtection="1">
      <alignment horizontal="center" vertical="center" wrapText="1"/>
    </xf>
    <xf numFmtId="49" fontId="61" fillId="51" borderId="31" xfId="0" applyNumberFormat="1" applyFont="1" applyFill="1" applyBorder="1" applyAlignment="1" applyProtection="1">
      <alignment horizontal="center" vertical="center" wrapText="1"/>
    </xf>
    <xf numFmtId="49" fontId="61" fillId="51" borderId="67" xfId="0" applyNumberFormat="1" applyFont="1" applyFill="1" applyBorder="1" applyAlignment="1" applyProtection="1">
      <alignment horizontal="center" vertical="center" wrapText="1"/>
    </xf>
    <xf numFmtId="178" fontId="130" fillId="83" borderId="28" xfId="0" applyFont="1" applyFill="1" applyBorder="1" applyAlignment="1" applyProtection="1">
      <alignment horizontal="center" vertical="center"/>
    </xf>
    <xf numFmtId="178" fontId="130" fillId="83" borderId="9" xfId="0" applyFont="1" applyFill="1" applyBorder="1" applyAlignment="1" applyProtection="1">
      <alignment horizontal="center" vertical="center"/>
    </xf>
    <xf numFmtId="178" fontId="130" fillId="83" borderId="8" xfId="0" applyFont="1" applyFill="1" applyBorder="1" applyAlignment="1" applyProtection="1">
      <alignment horizontal="center" vertical="center"/>
    </xf>
    <xf numFmtId="172" fontId="22" fillId="0" borderId="2" xfId="0" applyNumberFormat="1" applyFont="1" applyFill="1" applyBorder="1" applyAlignment="1" applyProtection="1">
      <alignment horizontal="center" vertical="center"/>
    </xf>
    <xf numFmtId="172" fontId="22" fillId="0" borderId="3" xfId="0" applyNumberFormat="1" applyFont="1" applyFill="1" applyBorder="1" applyAlignment="1" applyProtection="1">
      <alignment horizontal="center" vertical="center"/>
    </xf>
    <xf numFmtId="49" fontId="5" fillId="30" borderId="77" xfId="0" applyNumberFormat="1" applyFont="1" applyFill="1" applyBorder="1" applyAlignment="1" applyProtection="1">
      <alignment horizontal="center" vertical="center"/>
      <protection locked="0"/>
    </xf>
    <xf numFmtId="49" fontId="5" fillId="30" borderId="75" xfId="0" applyNumberFormat="1" applyFont="1" applyFill="1" applyBorder="1" applyAlignment="1" applyProtection="1">
      <alignment horizontal="center" vertical="center"/>
      <protection locked="0"/>
    </xf>
    <xf numFmtId="49" fontId="5" fillId="30" borderId="76" xfId="0" applyNumberFormat="1" applyFont="1" applyFill="1" applyBorder="1" applyAlignment="1" applyProtection="1">
      <alignment horizontal="center" vertical="center"/>
      <protection locked="0"/>
    </xf>
    <xf numFmtId="172" fontId="22" fillId="47" borderId="28" xfId="0" applyNumberFormat="1" applyFont="1" applyFill="1" applyBorder="1" applyAlignment="1" applyProtection="1">
      <alignment horizontal="center" vertical="center"/>
    </xf>
    <xf numFmtId="172" fontId="22" fillId="47" borderId="10" xfId="0" applyNumberFormat="1" applyFont="1" applyFill="1" applyBorder="1" applyAlignment="1" applyProtection="1">
      <alignment horizontal="center" vertical="center"/>
    </xf>
    <xf numFmtId="170" fontId="64" fillId="30" borderId="77" xfId="0" applyNumberFormat="1" applyFont="1" applyFill="1" applyBorder="1" applyAlignment="1" applyProtection="1">
      <alignment horizontal="center" vertical="center"/>
      <protection locked="0"/>
    </xf>
    <xf numFmtId="170" fontId="64" fillId="30" borderId="76" xfId="0" applyNumberFormat="1" applyFont="1" applyFill="1" applyBorder="1" applyAlignment="1" applyProtection="1">
      <alignment horizontal="center" vertical="center"/>
      <protection locked="0"/>
    </xf>
    <xf numFmtId="1" fontId="5" fillId="34" borderId="132" xfId="0" applyNumberFormat="1" applyFont="1" applyFill="1" applyBorder="1" applyAlignment="1" applyProtection="1">
      <alignment horizontal="center" vertical="center"/>
    </xf>
    <xf numFmtId="1" fontId="5" fillId="34" borderId="1" xfId="0" applyNumberFormat="1" applyFont="1" applyFill="1" applyBorder="1" applyAlignment="1" applyProtection="1">
      <alignment horizontal="center" vertical="center"/>
    </xf>
    <xf numFmtId="178" fontId="147" fillId="29" borderId="141" xfId="0" applyFont="1" applyFill="1" applyBorder="1" applyAlignment="1" applyProtection="1">
      <alignment horizontal="center" vertical="top"/>
    </xf>
    <xf numFmtId="166" fontId="150" fillId="34" borderId="123" xfId="0" applyNumberFormat="1" applyFont="1" applyFill="1" applyBorder="1" applyAlignment="1" applyProtection="1">
      <alignment horizontal="center" vertical="center"/>
    </xf>
    <xf numFmtId="178" fontId="64" fillId="47" borderId="31" xfId="0" applyFont="1" applyFill="1" applyBorder="1" applyAlignment="1" applyProtection="1">
      <alignment horizontal="center"/>
    </xf>
    <xf numFmtId="178" fontId="64" fillId="47" borderId="67" xfId="0" applyFont="1" applyFill="1" applyBorder="1" applyAlignment="1" applyProtection="1">
      <alignment horizontal="center"/>
    </xf>
    <xf numFmtId="166" fontId="105" fillId="30" borderId="1" xfId="0" applyNumberFormat="1" applyFont="1" applyFill="1" applyBorder="1" applyAlignment="1" applyProtection="1">
      <alignment horizontal="center" vertical="center"/>
      <protection locked="0"/>
    </xf>
    <xf numFmtId="166" fontId="49" fillId="34" borderId="123" xfId="0" applyNumberFormat="1" applyFont="1" applyFill="1" applyBorder="1" applyAlignment="1" applyProtection="1">
      <alignment horizontal="center" vertical="center"/>
    </xf>
    <xf numFmtId="166" fontId="49" fillId="34" borderId="128" xfId="0" applyNumberFormat="1" applyFont="1" applyFill="1" applyBorder="1" applyAlignment="1" applyProtection="1">
      <alignment horizontal="center" vertical="center"/>
    </xf>
    <xf numFmtId="181" fontId="49" fillId="34" borderId="7" xfId="0" applyNumberFormat="1" applyFont="1" applyFill="1" applyBorder="1" applyAlignment="1" applyProtection="1">
      <alignment horizontal="center" vertical="center"/>
    </xf>
    <xf numFmtId="181" fontId="49" fillId="34" borderId="9" xfId="0" applyNumberFormat="1" applyFont="1" applyFill="1" applyBorder="1" applyAlignment="1" applyProtection="1">
      <alignment horizontal="center" vertical="center"/>
    </xf>
    <xf numFmtId="172" fontId="22" fillId="0" borderId="9" xfId="0" applyNumberFormat="1" applyFont="1" applyFill="1" applyBorder="1" applyAlignment="1" applyProtection="1">
      <alignment horizontal="center" vertical="center"/>
    </xf>
    <xf numFmtId="172" fontId="22" fillId="47" borderId="9" xfId="0" applyNumberFormat="1" applyFont="1" applyFill="1" applyBorder="1" applyAlignment="1" applyProtection="1">
      <alignment horizontal="center" vertical="center"/>
    </xf>
    <xf numFmtId="202" fontId="64" fillId="47" borderId="15" xfId="0" applyNumberFormat="1" applyFont="1" applyFill="1" applyBorder="1" applyAlignment="1" applyProtection="1">
      <alignment horizontal="center" vertical="center"/>
    </xf>
    <xf numFmtId="202" fontId="64" fillId="47" borderId="2" xfId="0" applyNumberFormat="1" applyFont="1" applyFill="1" applyBorder="1" applyAlignment="1" applyProtection="1">
      <alignment horizontal="center" vertical="center"/>
    </xf>
    <xf numFmtId="202" fontId="64" fillId="47" borderId="3" xfId="0" applyNumberFormat="1" applyFont="1" applyFill="1" applyBorder="1" applyAlignment="1" applyProtection="1">
      <alignment horizontal="center" vertical="center"/>
    </xf>
    <xf numFmtId="202" fontId="64" fillId="0" borderId="28" xfId="0" applyNumberFormat="1" applyFont="1" applyFill="1" applyBorder="1" applyAlignment="1" applyProtection="1">
      <alignment horizontal="center" vertical="center"/>
    </xf>
    <xf numFmtId="202" fontId="64" fillId="0" borderId="9" xfId="0" applyNumberFormat="1" applyFont="1" applyFill="1" applyBorder="1" applyAlignment="1" applyProtection="1">
      <alignment horizontal="center" vertical="center"/>
    </xf>
    <xf numFmtId="202" fontId="64" fillId="0" borderId="10" xfId="0" applyNumberFormat="1" applyFont="1" applyFill="1" applyBorder="1" applyAlignment="1" applyProtection="1">
      <alignment horizontal="center" vertical="center"/>
    </xf>
    <xf numFmtId="202" fontId="64" fillId="47" borderId="28" xfId="0" applyNumberFormat="1" applyFont="1" applyFill="1" applyBorder="1" applyAlignment="1" applyProtection="1">
      <alignment horizontal="center" vertical="center"/>
    </xf>
    <xf numFmtId="202" fontId="64" fillId="47" borderId="9" xfId="0" applyNumberFormat="1" applyFont="1" applyFill="1" applyBorder="1" applyAlignment="1" applyProtection="1">
      <alignment horizontal="center" vertical="center"/>
    </xf>
    <xf numFmtId="202" fontId="64" fillId="47" borderId="10" xfId="0" applyNumberFormat="1" applyFont="1" applyFill="1" applyBorder="1" applyAlignment="1" applyProtection="1">
      <alignment horizontal="center" vertical="center"/>
    </xf>
    <xf numFmtId="181" fontId="150" fillId="34" borderId="124" xfId="0" applyNumberFormat="1" applyFont="1" applyFill="1" applyBorder="1" applyAlignment="1" applyProtection="1">
      <alignment horizontal="center" vertical="center"/>
    </xf>
    <xf numFmtId="2" fontId="22" fillId="34" borderId="16" xfId="0" applyNumberFormat="1" applyFont="1" applyFill="1" applyBorder="1" applyAlignment="1" applyProtection="1">
      <alignment horizontal="center"/>
    </xf>
    <xf numFmtId="2" fontId="22" fillId="34" borderId="17" xfId="0" applyNumberFormat="1" applyFont="1" applyFill="1" applyBorder="1" applyAlignment="1" applyProtection="1">
      <alignment horizontal="center"/>
    </xf>
    <xf numFmtId="176" fontId="53" fillId="0" borderId="131" xfId="0" applyNumberFormat="1" applyFont="1" applyFill="1" applyBorder="1" applyAlignment="1" applyProtection="1">
      <alignment horizontal="center" vertical="center"/>
    </xf>
    <xf numFmtId="176" fontId="53" fillId="0" borderId="131" xfId="0" quotePrefix="1" applyNumberFormat="1" applyFont="1" applyFill="1" applyBorder="1" applyAlignment="1" applyProtection="1">
      <alignment horizontal="center" vertical="center"/>
    </xf>
    <xf numFmtId="166" fontId="150" fillId="34" borderId="125" xfId="0" applyNumberFormat="1" applyFont="1" applyFill="1" applyBorder="1" applyAlignment="1" applyProtection="1">
      <alignment horizontal="center" vertical="center"/>
    </xf>
    <xf numFmtId="181" fontId="150" fillId="34" borderId="7" xfId="0" applyNumberFormat="1" applyFont="1" applyFill="1" applyBorder="1" applyAlignment="1" applyProtection="1">
      <alignment horizontal="center" vertical="center"/>
    </xf>
    <xf numFmtId="166" fontId="150" fillId="34" borderId="1" xfId="0" applyNumberFormat="1" applyFont="1" applyFill="1" applyBorder="1" applyAlignment="1" applyProtection="1">
      <alignment horizontal="center" vertical="center"/>
    </xf>
    <xf numFmtId="1" fontId="14" fillId="47" borderId="17" xfId="0" applyNumberFormat="1" applyFont="1" applyFill="1" applyBorder="1" applyAlignment="1" applyProtection="1">
      <alignment horizontal="center" vertical="center"/>
    </xf>
    <xf numFmtId="166" fontId="49" fillId="34" borderId="1" xfId="0" applyNumberFormat="1" applyFont="1" applyFill="1" applyBorder="1" applyAlignment="1" applyProtection="1">
      <alignment horizontal="center" vertical="center"/>
    </xf>
    <xf numFmtId="166" fontId="49" fillId="34" borderId="127" xfId="0" applyNumberFormat="1" applyFont="1" applyFill="1" applyBorder="1" applyAlignment="1" applyProtection="1">
      <alignment horizontal="center" vertical="center"/>
    </xf>
    <xf numFmtId="9" fontId="5" fillId="0" borderId="131" xfId="0" applyNumberFormat="1" applyFont="1" applyFill="1" applyBorder="1" applyAlignment="1" applyProtection="1">
      <alignment horizontal="center" vertical="center"/>
    </xf>
    <xf numFmtId="166" fontId="150" fillId="47" borderId="8" xfId="0" applyNumberFormat="1" applyFont="1" applyFill="1" applyBorder="1" applyAlignment="1" applyProtection="1">
      <alignment horizontal="center" vertical="center"/>
    </xf>
    <xf numFmtId="178" fontId="49" fillId="30" borderId="136" xfId="0" applyFont="1" applyFill="1" applyBorder="1" applyAlignment="1" applyProtection="1">
      <alignment horizontal="center" vertical="center"/>
      <protection locked="0"/>
    </xf>
    <xf numFmtId="178" fontId="49" fillId="30" borderId="137" xfId="0" applyFont="1" applyFill="1" applyBorder="1" applyAlignment="1" applyProtection="1">
      <alignment horizontal="center" vertical="center"/>
      <protection locked="0"/>
    </xf>
    <xf numFmtId="186" fontId="22" fillId="34" borderId="9" xfId="0" applyNumberFormat="1" applyFont="1" applyFill="1" applyBorder="1" applyAlignment="1" applyProtection="1">
      <alignment horizontal="center" vertical="center"/>
    </xf>
    <xf numFmtId="186" fontId="22" fillId="34" borderId="10" xfId="0" applyNumberFormat="1" applyFont="1" applyFill="1" applyBorder="1" applyAlignment="1" applyProtection="1">
      <alignment horizontal="center" vertical="center"/>
    </xf>
    <xf numFmtId="178" fontId="64" fillId="47" borderId="36" xfId="0" applyFont="1" applyFill="1" applyBorder="1" applyAlignment="1" applyProtection="1">
      <alignment horizontal="center"/>
    </xf>
    <xf numFmtId="178" fontId="24" fillId="47" borderId="16" xfId="0" applyFont="1" applyFill="1" applyBorder="1" applyAlignment="1" applyProtection="1">
      <alignment horizontal="center" vertical="center" wrapText="1"/>
    </xf>
    <xf numFmtId="178" fontId="24" fillId="47" borderId="17" xfId="0" applyFont="1" applyFill="1" applyBorder="1" applyAlignment="1" applyProtection="1">
      <alignment horizontal="center" vertical="center" wrapText="1"/>
    </xf>
    <xf numFmtId="178" fontId="24" fillId="47" borderId="18" xfId="0" applyFont="1" applyFill="1" applyBorder="1" applyAlignment="1" applyProtection="1">
      <alignment horizontal="center" vertical="center" wrapText="1"/>
    </xf>
    <xf numFmtId="178" fontId="22" fillId="47" borderId="129" xfId="0" applyFont="1" applyFill="1" applyBorder="1" applyAlignment="1" applyProtection="1">
      <alignment horizontal="center" vertical="center" wrapText="1"/>
    </xf>
    <xf numFmtId="178" fontId="22" fillId="47" borderId="130" xfId="0" applyFont="1" applyFill="1" applyBorder="1" applyAlignment="1" applyProtection="1">
      <alignment horizontal="center" vertical="center" wrapText="1"/>
    </xf>
    <xf numFmtId="215" fontId="237" fillId="47" borderId="0" xfId="0" applyNumberFormat="1" applyFont="1" applyFill="1" applyBorder="1" applyAlignment="1" applyProtection="1">
      <alignment horizontal="center" vertical="center"/>
    </xf>
    <xf numFmtId="215" fontId="237" fillId="47" borderId="5" xfId="0" applyNumberFormat="1" applyFont="1" applyFill="1" applyBorder="1" applyAlignment="1" applyProtection="1">
      <alignment horizontal="center" vertical="center"/>
    </xf>
    <xf numFmtId="1" fontId="130" fillId="84" borderId="0" xfId="0" applyNumberFormat="1" applyFont="1" applyFill="1" applyBorder="1" applyAlignment="1" applyProtection="1">
      <alignment horizontal="left" vertical="center" wrapText="1"/>
    </xf>
    <xf numFmtId="1" fontId="130" fillId="84" borderId="12" xfId="0" applyNumberFormat="1" applyFont="1" applyFill="1" applyBorder="1" applyAlignment="1" applyProtection="1">
      <alignment horizontal="left" vertical="center" wrapText="1"/>
    </xf>
    <xf numFmtId="215" fontId="237" fillId="47" borderId="17" xfId="0" applyNumberFormat="1" applyFont="1" applyFill="1" applyBorder="1" applyAlignment="1" applyProtection="1">
      <alignment horizontal="center" vertical="center"/>
    </xf>
    <xf numFmtId="2" fontId="95" fillId="30" borderId="138" xfId="0" applyNumberFormat="1" applyFont="1" applyFill="1" applyBorder="1" applyAlignment="1" applyProtection="1">
      <alignment horizontal="center" vertical="center"/>
      <protection locked="0"/>
    </xf>
    <xf numFmtId="2" fontId="95" fillId="30" borderId="137" xfId="0" applyNumberFormat="1" applyFont="1" applyFill="1" applyBorder="1" applyAlignment="1" applyProtection="1">
      <alignment horizontal="center" vertical="center"/>
      <protection locked="0"/>
    </xf>
    <xf numFmtId="2" fontId="129" fillId="34" borderId="12" xfId="0" applyNumberFormat="1" applyFont="1" applyFill="1" applyBorder="1" applyAlignment="1" applyProtection="1">
      <alignment horizontal="center" vertical="center"/>
    </xf>
    <xf numFmtId="2" fontId="129" fillId="34" borderId="13" xfId="0" applyNumberFormat="1" applyFont="1" applyFill="1" applyBorder="1" applyAlignment="1" applyProtection="1">
      <alignment horizontal="center" vertical="center"/>
    </xf>
    <xf numFmtId="181" fontId="49" fillId="34" borderId="124" xfId="0" applyNumberFormat="1" applyFont="1" applyFill="1" applyBorder="1" applyAlignment="1" applyProtection="1">
      <alignment horizontal="center" vertical="center"/>
    </xf>
    <xf numFmtId="181" fontId="49" fillId="34" borderId="2" xfId="0" applyNumberFormat="1" applyFont="1" applyFill="1" applyBorder="1" applyAlignment="1" applyProtection="1">
      <alignment horizontal="center" vertical="center"/>
    </xf>
    <xf numFmtId="176" fontId="53" fillId="0" borderId="126" xfId="0" applyNumberFormat="1" applyFont="1" applyFill="1" applyBorder="1" applyAlignment="1" applyProtection="1">
      <alignment horizontal="center" vertical="center"/>
    </xf>
    <xf numFmtId="176" fontId="53" fillId="0" borderId="126" xfId="0" quotePrefix="1" applyNumberFormat="1" applyFont="1" applyFill="1" applyBorder="1" applyAlignment="1" applyProtection="1">
      <alignment horizontal="center" vertical="center"/>
    </xf>
    <xf numFmtId="1" fontId="219" fillId="80" borderId="4" xfId="0" applyNumberFormat="1" applyFont="1" applyFill="1" applyBorder="1" applyAlignment="1" applyProtection="1">
      <alignment horizontal="left" vertical="center" wrapText="1"/>
    </xf>
    <xf numFmtId="1" fontId="219" fillId="80" borderId="0" xfId="0" applyNumberFormat="1" applyFont="1" applyFill="1" applyBorder="1" applyAlignment="1" applyProtection="1">
      <alignment horizontal="left" vertical="center" wrapText="1"/>
    </xf>
    <xf numFmtId="1" fontId="219" fillId="80" borderId="5" xfId="0" applyNumberFormat="1" applyFont="1" applyFill="1" applyBorder="1" applyAlignment="1" applyProtection="1">
      <alignment horizontal="left" vertical="center" wrapText="1"/>
    </xf>
    <xf numFmtId="172" fontId="22" fillId="0" borderId="15" xfId="0" applyNumberFormat="1" applyFont="1" applyFill="1" applyBorder="1" applyAlignment="1" applyProtection="1">
      <alignment horizontal="center" vertical="center"/>
    </xf>
    <xf numFmtId="1" fontId="230" fillId="29" borderId="0" xfId="0" applyNumberFormat="1" applyFont="1" applyFill="1" applyAlignment="1" applyProtection="1">
      <alignment horizontal="left" vertical="center"/>
    </xf>
    <xf numFmtId="1" fontId="5" fillId="47" borderId="28" xfId="0" applyNumberFormat="1" applyFont="1" applyFill="1" applyBorder="1" applyAlignment="1" applyProtection="1">
      <alignment horizontal="center" vertical="center"/>
      <protection locked="0"/>
    </xf>
    <xf numFmtId="1" fontId="5" fillId="47" borderId="9" xfId="0" applyNumberFormat="1" applyFont="1" applyFill="1" applyBorder="1" applyAlignment="1" applyProtection="1">
      <alignment horizontal="center" vertical="center"/>
      <protection locked="0"/>
    </xf>
    <xf numFmtId="176" fontId="53" fillId="34" borderId="7" xfId="0" applyNumberFormat="1" applyFont="1" applyFill="1" applyBorder="1" applyAlignment="1" applyProtection="1">
      <alignment horizontal="center" vertical="center"/>
    </xf>
    <xf numFmtId="176" fontId="53" fillId="34" borderId="8" xfId="0" applyNumberFormat="1" applyFont="1" applyFill="1" applyBorder="1" applyAlignment="1" applyProtection="1">
      <alignment horizontal="center" vertical="center"/>
    </xf>
    <xf numFmtId="1" fontId="5" fillId="0" borderId="50" xfId="0" applyNumberFormat="1" applyFont="1" applyBorder="1" applyAlignment="1" applyProtection="1">
      <alignment horizontal="center" vertical="center"/>
      <protection locked="0"/>
    </xf>
    <xf numFmtId="1" fontId="5" fillId="0" borderId="46" xfId="0" applyNumberFormat="1" applyFont="1" applyBorder="1" applyAlignment="1" applyProtection="1">
      <alignment horizontal="center" vertical="center"/>
      <protection locked="0"/>
    </xf>
    <xf numFmtId="1" fontId="231" fillId="29" borderId="0" xfId="0" applyNumberFormat="1" applyFont="1" applyFill="1" applyBorder="1" applyAlignment="1" applyProtection="1">
      <alignment horizontal="center" vertical="center"/>
    </xf>
    <xf numFmtId="1" fontId="5" fillId="0" borderId="7" xfId="0" applyNumberFormat="1" applyFont="1" applyBorder="1" applyAlignment="1" applyProtection="1">
      <alignment horizontal="center" vertical="center"/>
      <protection locked="0"/>
    </xf>
    <xf numFmtId="1" fontId="5" fillId="0" borderId="9" xfId="0" applyNumberFormat="1" applyFont="1" applyBorder="1" applyAlignment="1" applyProtection="1">
      <alignment horizontal="center" vertical="center"/>
      <protection locked="0"/>
    </xf>
    <xf numFmtId="16" fontId="61" fillId="47" borderId="31" xfId="0" applyNumberFormat="1" applyFont="1" applyFill="1" applyBorder="1" applyAlignment="1" applyProtection="1">
      <alignment horizontal="center" vertical="center"/>
    </xf>
    <xf numFmtId="16" fontId="61" fillId="47" borderId="67" xfId="0" applyNumberFormat="1" applyFont="1" applyFill="1" applyBorder="1" applyAlignment="1" applyProtection="1">
      <alignment horizontal="center" vertical="center"/>
    </xf>
    <xf numFmtId="16" fontId="98" fillId="47" borderId="67" xfId="0" applyNumberFormat="1" applyFont="1" applyFill="1" applyBorder="1" applyAlignment="1" applyProtection="1">
      <alignment horizontal="center" vertical="center"/>
    </xf>
    <xf numFmtId="16" fontId="98" fillId="47" borderId="36" xfId="0" applyNumberFormat="1" applyFont="1" applyFill="1" applyBorder="1" applyAlignment="1" applyProtection="1">
      <alignment horizontal="center" vertical="center"/>
    </xf>
    <xf numFmtId="178" fontId="64" fillId="0" borderId="28" xfId="0" applyFont="1" applyBorder="1" applyAlignment="1" applyProtection="1">
      <alignment horizontal="center" vertical="center"/>
    </xf>
    <xf numFmtId="178" fontId="64" fillId="0" borderId="9" xfId="0" applyFont="1" applyBorder="1" applyAlignment="1" applyProtection="1">
      <alignment horizontal="center" vertical="center"/>
    </xf>
    <xf numFmtId="178" fontId="64" fillId="0" borderId="10" xfId="0" applyFont="1" applyBorder="1" applyAlignment="1" applyProtection="1">
      <alignment horizontal="center" vertical="center"/>
    </xf>
    <xf numFmtId="49" fontId="67" fillId="34" borderId="0" xfId="0" applyNumberFormat="1" applyFont="1" applyFill="1" applyBorder="1" applyAlignment="1" applyProtection="1">
      <alignment horizontal="center" vertical="center" wrapText="1"/>
      <protection locked="0"/>
    </xf>
    <xf numFmtId="178" fontId="85" fillId="34" borderId="0" xfId="0" applyFont="1" applyFill="1" applyBorder="1" applyAlignment="1" applyProtection="1">
      <alignment horizontal="center" wrapText="1"/>
    </xf>
    <xf numFmtId="1" fontId="5" fillId="0" borderId="48" xfId="0" applyNumberFormat="1" applyFont="1" applyBorder="1" applyAlignment="1" applyProtection="1">
      <alignment horizontal="center" vertical="center"/>
      <protection locked="0"/>
    </xf>
    <xf numFmtId="178" fontId="64" fillId="47" borderId="50" xfId="0" applyFont="1" applyFill="1" applyBorder="1" applyAlignment="1" applyProtection="1">
      <alignment horizontal="center" vertical="center"/>
    </xf>
    <xf numFmtId="178" fontId="64" fillId="47" borderId="46" xfId="0" applyFont="1" applyFill="1" applyBorder="1" applyAlignment="1" applyProtection="1">
      <alignment horizontal="center" vertical="center"/>
    </xf>
    <xf numFmtId="178" fontId="64" fillId="47" borderId="47" xfId="0" applyFont="1" applyFill="1" applyBorder="1" applyAlignment="1" applyProtection="1">
      <alignment horizontal="center" vertical="center"/>
    </xf>
    <xf numFmtId="1" fontId="5" fillId="47" borderId="50" xfId="0" applyNumberFormat="1" applyFont="1" applyFill="1" applyBorder="1" applyAlignment="1" applyProtection="1">
      <alignment horizontal="center" vertical="center"/>
      <protection locked="0"/>
    </xf>
    <xf numFmtId="1" fontId="5" fillId="47" borderId="46" xfId="0" applyNumberFormat="1" applyFont="1" applyFill="1" applyBorder="1" applyAlignment="1" applyProtection="1">
      <alignment horizontal="center" vertical="center"/>
      <protection locked="0"/>
    </xf>
    <xf numFmtId="1" fontId="5" fillId="47" borderId="48" xfId="0" applyNumberFormat="1" applyFont="1" applyFill="1" applyBorder="1" applyAlignment="1" applyProtection="1">
      <alignment horizontal="center" vertical="center"/>
      <protection locked="0"/>
    </xf>
    <xf numFmtId="1" fontId="5" fillId="47" borderId="47" xfId="0" applyNumberFormat="1" applyFont="1" applyFill="1" applyBorder="1" applyAlignment="1" applyProtection="1">
      <alignment horizontal="center" vertical="center"/>
      <protection locked="0"/>
    </xf>
    <xf numFmtId="178" fontId="5" fillId="0" borderId="77" xfId="0" applyFont="1" applyFill="1" applyBorder="1" applyAlignment="1" applyProtection="1">
      <alignment horizontal="center" vertical="center"/>
    </xf>
    <xf numFmtId="178" fontId="5" fillId="0" borderId="75" xfId="0" applyFont="1" applyFill="1" applyBorder="1" applyAlignment="1" applyProtection="1">
      <alignment horizontal="center" vertical="center"/>
    </xf>
    <xf numFmtId="178" fontId="5" fillId="0" borderId="76" xfId="0" applyFont="1" applyFill="1" applyBorder="1" applyAlignment="1" applyProtection="1">
      <alignment horizontal="center" vertical="center"/>
    </xf>
    <xf numFmtId="178" fontId="49" fillId="34" borderId="0" xfId="0" applyFont="1" applyFill="1" applyBorder="1" applyAlignment="1" applyProtection="1">
      <alignment horizontal="left" vertical="center"/>
    </xf>
    <xf numFmtId="1" fontId="95" fillId="0" borderId="77" xfId="0" applyNumberFormat="1" applyFont="1" applyFill="1" applyBorder="1" applyAlignment="1" applyProtection="1">
      <alignment horizontal="center" vertical="center"/>
    </xf>
    <xf numFmtId="1" fontId="95" fillId="0" borderId="108" xfId="0" applyNumberFormat="1" applyFont="1" applyFill="1" applyBorder="1" applyAlignment="1" applyProtection="1">
      <alignment horizontal="center" vertical="center"/>
    </xf>
    <xf numFmtId="1" fontId="103" fillId="0" borderId="109" xfId="0" applyNumberFormat="1" applyFont="1" applyFill="1" applyBorder="1" applyAlignment="1" applyProtection="1">
      <alignment horizontal="center" vertical="center"/>
    </xf>
    <xf numFmtId="1" fontId="103" fillId="0" borderId="76" xfId="0" applyNumberFormat="1" applyFont="1" applyFill="1" applyBorder="1" applyAlignment="1" applyProtection="1">
      <alignment horizontal="center" vertical="center"/>
    </xf>
    <xf numFmtId="1" fontId="230" fillId="29" borderId="0" xfId="0" applyNumberFormat="1" applyFont="1" applyFill="1" applyAlignment="1" applyProtection="1">
      <alignment horizontal="left"/>
    </xf>
    <xf numFmtId="178" fontId="167" fillId="34" borderId="0" xfId="0" applyFont="1" applyFill="1" applyBorder="1" applyAlignment="1" applyProtection="1">
      <alignment horizontal="center"/>
    </xf>
    <xf numFmtId="1" fontId="97" fillId="30" borderId="7" xfId="0" quotePrefix="1" applyNumberFormat="1" applyFont="1" applyFill="1" applyBorder="1" applyAlignment="1" applyProtection="1">
      <alignment horizontal="center" vertical="center"/>
      <protection locked="0"/>
    </xf>
    <xf numFmtId="1" fontId="5" fillId="47" borderId="7" xfId="0" applyNumberFormat="1" applyFont="1" applyFill="1" applyBorder="1" applyAlignment="1" applyProtection="1">
      <alignment horizontal="center" vertical="center"/>
      <protection locked="0"/>
    </xf>
    <xf numFmtId="178" fontId="64" fillId="47" borderId="28" xfId="0" applyFont="1" applyFill="1" applyBorder="1" applyAlignment="1" applyProtection="1">
      <alignment horizontal="center" vertical="center"/>
    </xf>
    <xf numFmtId="178" fontId="64" fillId="47" borderId="9" xfId="0" applyFont="1" applyFill="1" applyBorder="1" applyAlignment="1" applyProtection="1">
      <alignment horizontal="center" vertical="center"/>
    </xf>
    <xf numFmtId="178" fontId="64" fillId="47" borderId="10" xfId="0" applyFont="1" applyFill="1" applyBorder="1" applyAlignment="1" applyProtection="1">
      <alignment horizontal="center" vertical="center"/>
    </xf>
    <xf numFmtId="1" fontId="5" fillId="0" borderId="10" xfId="0" applyNumberFormat="1" applyFont="1" applyBorder="1" applyAlignment="1" applyProtection="1">
      <alignment horizontal="center" vertical="center"/>
      <protection locked="0"/>
    </xf>
    <xf numFmtId="178" fontId="16" fillId="49" borderId="16" xfId="0" applyFont="1" applyFill="1" applyBorder="1" applyAlignment="1" applyProtection="1">
      <alignment horizontal="center" vertical="center"/>
    </xf>
    <xf numFmtId="178" fontId="16" fillId="49" borderId="17" xfId="0" applyFont="1" applyFill="1" applyBorder="1" applyAlignment="1" applyProtection="1">
      <alignment horizontal="center" vertical="center"/>
    </xf>
    <xf numFmtId="178" fontId="16" fillId="49" borderId="18" xfId="0" applyFont="1" applyFill="1" applyBorder="1" applyAlignment="1" applyProtection="1">
      <alignment horizontal="center" vertical="center"/>
    </xf>
    <xf numFmtId="178" fontId="16" fillId="49" borderId="6" xfId="0" applyFont="1" applyFill="1" applyBorder="1" applyAlignment="1" applyProtection="1">
      <alignment horizontal="center" vertical="center"/>
    </xf>
    <xf numFmtId="178" fontId="16" fillId="49" borderId="0" xfId="0" applyFont="1" applyFill="1" applyBorder="1" applyAlignment="1" applyProtection="1">
      <alignment horizontal="center" vertical="center"/>
    </xf>
    <xf numFmtId="178" fontId="16" fillId="49" borderId="5" xfId="0" applyFont="1" applyFill="1" applyBorder="1" applyAlignment="1" applyProtection="1">
      <alignment horizontal="center" vertical="center"/>
    </xf>
    <xf numFmtId="1" fontId="5" fillId="0" borderId="47" xfId="0" applyNumberFormat="1" applyFont="1" applyBorder="1" applyAlignment="1" applyProtection="1">
      <alignment horizontal="center" vertical="center"/>
      <protection locked="0"/>
    </xf>
    <xf numFmtId="1" fontId="5" fillId="47" borderId="49" xfId="0" applyNumberFormat="1" applyFont="1" applyFill="1" applyBorder="1" applyAlignment="1" applyProtection="1">
      <alignment horizontal="center" vertical="center"/>
      <protection locked="0"/>
    </xf>
    <xf numFmtId="1" fontId="5" fillId="0" borderId="49" xfId="0" applyNumberFormat="1" applyFont="1" applyBorder="1" applyAlignment="1" applyProtection="1">
      <alignment horizontal="center" vertical="center"/>
      <protection locked="0"/>
    </xf>
    <xf numFmtId="1" fontId="5" fillId="47" borderId="10" xfId="0" applyNumberFormat="1" applyFont="1" applyFill="1" applyBorder="1" applyAlignment="1" applyProtection="1">
      <alignment horizontal="center" vertical="center"/>
      <protection locked="0"/>
    </xf>
    <xf numFmtId="178" fontId="106" fillId="29" borderId="0" xfId="0" applyFont="1" applyFill="1" applyAlignment="1" applyProtection="1">
      <alignment horizontal="left" vertical="center"/>
    </xf>
    <xf numFmtId="178" fontId="104" fillId="34" borderId="0" xfId="0" applyFont="1" applyFill="1" applyBorder="1" applyAlignment="1" applyProtection="1">
      <alignment horizontal="right" vertical="center"/>
    </xf>
    <xf numFmtId="178" fontId="104" fillId="34" borderId="89" xfId="0" applyFont="1" applyFill="1" applyBorder="1" applyAlignment="1" applyProtection="1">
      <alignment horizontal="right" vertical="center"/>
    </xf>
    <xf numFmtId="178" fontId="61" fillId="41" borderId="0" xfId="0" applyFont="1" applyFill="1" applyBorder="1" applyAlignment="1" applyProtection="1">
      <alignment horizontal="center"/>
    </xf>
    <xf numFmtId="49" fontId="61" fillId="41" borderId="0" xfId="0" applyNumberFormat="1" applyFont="1" applyFill="1" applyBorder="1" applyAlignment="1" applyProtection="1">
      <alignment horizontal="center" wrapText="1"/>
    </xf>
    <xf numFmtId="49" fontId="61" fillId="41" borderId="0" xfId="0" applyNumberFormat="1" applyFont="1" applyFill="1" applyBorder="1" applyAlignment="1" applyProtection="1">
      <alignment horizontal="center"/>
    </xf>
    <xf numFmtId="1" fontId="64" fillId="34" borderId="0" xfId="0" applyNumberFormat="1" applyFont="1" applyFill="1" applyBorder="1" applyAlignment="1" applyProtection="1">
      <alignment horizontal="center" vertical="center" wrapText="1"/>
      <protection locked="0"/>
    </xf>
    <xf numFmtId="173" fontId="24" fillId="47" borderId="50" xfId="0" applyNumberFormat="1" applyFont="1" applyFill="1" applyBorder="1" applyAlignment="1" applyProtection="1">
      <alignment horizontal="center" vertical="center"/>
    </xf>
    <xf numFmtId="173" fontId="24" fillId="47" borderId="46" xfId="0" applyNumberFormat="1" applyFont="1" applyFill="1" applyBorder="1" applyAlignment="1" applyProtection="1">
      <alignment horizontal="center" vertical="center"/>
    </xf>
    <xf numFmtId="173" fontId="24" fillId="47" borderId="47" xfId="0" applyNumberFormat="1" applyFont="1" applyFill="1" applyBorder="1" applyAlignment="1" applyProtection="1">
      <alignment horizontal="center" vertical="center"/>
    </xf>
    <xf numFmtId="1" fontId="5" fillId="0" borderId="28" xfId="0" applyNumberFormat="1" applyFont="1" applyBorder="1" applyAlignment="1" applyProtection="1">
      <alignment horizontal="center" vertical="center"/>
      <protection locked="0"/>
    </xf>
    <xf numFmtId="178" fontId="5" fillId="47" borderId="50" xfId="0" applyFont="1" applyFill="1" applyBorder="1" applyAlignment="1" applyProtection="1">
      <alignment horizontal="center" vertical="center"/>
    </xf>
    <xf numFmtId="178" fontId="5" fillId="47" borderId="46" xfId="0" applyFont="1" applyFill="1" applyBorder="1" applyAlignment="1" applyProtection="1">
      <alignment horizontal="center" vertical="center"/>
    </xf>
    <xf numFmtId="178" fontId="5" fillId="47" borderId="47" xfId="0" applyFont="1" applyFill="1" applyBorder="1" applyAlignment="1" applyProtection="1">
      <alignment horizontal="center" vertical="center"/>
    </xf>
    <xf numFmtId="178" fontId="5" fillId="47" borderId="31" xfId="0" applyFont="1" applyFill="1" applyBorder="1" applyAlignment="1" applyProtection="1">
      <alignment horizontal="center" vertical="center"/>
    </xf>
    <xf numFmtId="178" fontId="5" fillId="47" borderId="67" xfId="0" applyFont="1" applyFill="1" applyBorder="1" applyAlignment="1" applyProtection="1">
      <alignment horizontal="center" vertical="center"/>
    </xf>
    <xf numFmtId="178" fontId="5" fillId="47" borderId="36" xfId="0" applyFont="1" applyFill="1" applyBorder="1" applyAlignment="1" applyProtection="1">
      <alignment horizontal="center" vertical="center"/>
    </xf>
    <xf numFmtId="1" fontId="5" fillId="47" borderId="8" xfId="0" applyNumberFormat="1" applyFont="1" applyFill="1" applyBorder="1" applyAlignment="1" applyProtection="1">
      <alignment horizontal="center" vertical="center"/>
      <protection locked="0"/>
    </xf>
    <xf numFmtId="1" fontId="5" fillId="0" borderId="8" xfId="0" applyNumberFormat="1" applyFont="1" applyBorder="1" applyAlignment="1" applyProtection="1">
      <alignment horizontal="center" vertical="center"/>
      <protection locked="0"/>
    </xf>
    <xf numFmtId="1" fontId="5" fillId="34" borderId="127" xfId="0" applyNumberFormat="1" applyFont="1" applyFill="1" applyBorder="1" applyAlignment="1" applyProtection="1">
      <alignment horizontal="center" vertical="center"/>
    </xf>
    <xf numFmtId="1" fontId="5" fillId="47" borderId="1" xfId="0" applyNumberFormat="1" applyFont="1" applyFill="1" applyBorder="1" applyAlignment="1" applyProtection="1">
      <alignment horizontal="center" vertical="center"/>
    </xf>
    <xf numFmtId="1" fontId="5" fillId="47" borderId="127" xfId="0" applyNumberFormat="1" applyFont="1" applyFill="1" applyBorder="1" applyAlignment="1" applyProtection="1">
      <alignment horizontal="center" vertical="center"/>
    </xf>
    <xf numFmtId="1" fontId="49" fillId="47" borderId="133" xfId="0" applyNumberFormat="1" applyFont="1" applyFill="1" applyBorder="1" applyAlignment="1" applyProtection="1">
      <alignment horizontal="center" vertical="center"/>
    </xf>
    <xf numFmtId="1" fontId="49" fillId="47" borderId="123" xfId="0" applyNumberFormat="1" applyFont="1" applyFill="1" applyBorder="1" applyAlignment="1" applyProtection="1">
      <alignment horizontal="center" vertical="center"/>
    </xf>
    <xf numFmtId="166" fontId="150" fillId="47" borderId="132" xfId="0" applyNumberFormat="1" applyFont="1" applyFill="1" applyBorder="1" applyAlignment="1" applyProtection="1">
      <alignment horizontal="center" vertical="center"/>
    </xf>
    <xf numFmtId="1" fontId="5" fillId="47" borderId="132" xfId="0" applyNumberFormat="1" applyFont="1" applyFill="1" applyBorder="1" applyAlignment="1" applyProtection="1">
      <alignment horizontal="center" vertical="center"/>
    </xf>
    <xf numFmtId="190" fontId="49" fillId="47" borderId="1" xfId="0" applyNumberFormat="1" applyFont="1" applyFill="1" applyBorder="1" applyAlignment="1" applyProtection="1">
      <alignment horizontal="center" vertical="center"/>
    </xf>
    <xf numFmtId="190" fontId="49" fillId="47" borderId="127" xfId="0" applyNumberFormat="1" applyFont="1" applyFill="1" applyBorder="1" applyAlignment="1" applyProtection="1">
      <alignment horizontal="center" vertical="center"/>
    </xf>
    <xf numFmtId="1" fontId="49" fillId="47" borderId="132" xfId="0" applyNumberFormat="1" applyFont="1" applyFill="1" applyBorder="1" applyAlignment="1" applyProtection="1">
      <alignment horizontal="center" vertical="center"/>
    </xf>
    <xf numFmtId="1" fontId="49" fillId="47" borderId="1" xfId="0" applyNumberFormat="1" applyFont="1" applyFill="1" applyBorder="1" applyAlignment="1" applyProtection="1">
      <alignment horizontal="center" vertical="center"/>
    </xf>
    <xf numFmtId="49" fontId="64" fillId="30" borderId="28" xfId="0" applyNumberFormat="1" applyFont="1" applyFill="1" applyBorder="1" applyAlignment="1" applyProtection="1">
      <alignment horizontal="center" vertical="center"/>
      <protection locked="0"/>
    </xf>
    <xf numFmtId="49" fontId="64" fillId="30" borderId="8" xfId="0" applyNumberFormat="1" applyFont="1" applyFill="1" applyBorder="1" applyAlignment="1" applyProtection="1">
      <alignment horizontal="center" vertical="center"/>
      <protection locked="0"/>
    </xf>
    <xf numFmtId="190" fontId="49" fillId="34" borderId="1" xfId="0" applyNumberFormat="1" applyFont="1" applyFill="1" applyBorder="1" applyAlignment="1" applyProtection="1">
      <alignment horizontal="center" vertical="center"/>
    </xf>
    <xf numFmtId="190" fontId="49" fillId="34" borderId="127" xfId="0" applyNumberFormat="1" applyFont="1" applyFill="1" applyBorder="1" applyAlignment="1" applyProtection="1">
      <alignment horizontal="center" vertical="center"/>
    </xf>
    <xf numFmtId="183" fontId="22" fillId="47" borderId="28" xfId="0" applyNumberFormat="1" applyFont="1" applyFill="1" applyBorder="1" applyAlignment="1" applyProtection="1">
      <alignment horizontal="center" vertical="center"/>
    </xf>
    <xf numFmtId="183" fontId="22" fillId="47" borderId="9" xfId="0" applyNumberFormat="1" applyFont="1" applyFill="1" applyBorder="1" applyAlignment="1" applyProtection="1">
      <alignment horizontal="center" vertical="center"/>
    </xf>
    <xf numFmtId="166" fontId="150" fillId="34" borderId="133" xfId="0" applyNumberFormat="1" applyFont="1" applyFill="1" applyBorder="1" applyAlignment="1" applyProtection="1">
      <alignment horizontal="center" vertical="center"/>
    </xf>
    <xf numFmtId="176" fontId="67" fillId="47" borderId="16" xfId="0" applyNumberFormat="1" applyFont="1" applyFill="1" applyBorder="1" applyAlignment="1" applyProtection="1">
      <alignment horizontal="center" vertical="center"/>
    </xf>
    <xf numFmtId="176" fontId="67" fillId="47" borderId="17" xfId="0" applyNumberFormat="1" applyFont="1" applyFill="1" applyBorder="1" applyAlignment="1" applyProtection="1">
      <alignment horizontal="center" vertical="center"/>
    </xf>
    <xf numFmtId="176" fontId="67" fillId="47" borderId="18" xfId="0" applyNumberFormat="1" applyFont="1" applyFill="1" applyBorder="1" applyAlignment="1" applyProtection="1">
      <alignment horizontal="center" vertical="center"/>
    </xf>
    <xf numFmtId="166" fontId="105" fillId="30" borderId="124" xfId="0" applyNumberFormat="1" applyFont="1" applyFill="1" applyBorder="1" applyAlignment="1" applyProtection="1">
      <alignment horizontal="center" vertical="center"/>
      <protection locked="0"/>
    </xf>
    <xf numFmtId="166" fontId="105" fillId="30" borderId="125" xfId="0" applyNumberFormat="1" applyFont="1" applyFill="1" applyBorder="1" applyAlignment="1" applyProtection="1">
      <alignment horizontal="center" vertical="center"/>
      <protection locked="0"/>
    </xf>
    <xf numFmtId="190" fontId="5" fillId="30" borderId="7" xfId="0" applyNumberFormat="1" applyFont="1" applyFill="1" applyBorder="1" applyAlignment="1" applyProtection="1">
      <alignment horizontal="center" vertical="center"/>
      <protection locked="0"/>
    </xf>
    <xf numFmtId="190" fontId="5" fillId="30" borderId="10" xfId="0" applyNumberFormat="1" applyFont="1" applyFill="1" applyBorder="1" applyAlignment="1" applyProtection="1">
      <alignment horizontal="center" vertical="center"/>
      <protection locked="0"/>
    </xf>
    <xf numFmtId="1" fontId="121" fillId="84" borderId="0" xfId="0" applyNumberFormat="1" applyFont="1" applyFill="1" applyBorder="1" applyAlignment="1" applyProtection="1">
      <alignment horizontal="left" vertical="center" wrapText="1"/>
    </xf>
    <xf numFmtId="1" fontId="121" fillId="84" borderId="12" xfId="0" applyNumberFormat="1" applyFont="1" applyFill="1" applyBorder="1" applyAlignment="1" applyProtection="1">
      <alignment horizontal="left" vertical="center" wrapText="1"/>
    </xf>
    <xf numFmtId="170" fontId="20" fillId="47" borderId="17" xfId="0" applyNumberFormat="1" applyFont="1" applyFill="1" applyBorder="1" applyAlignment="1" applyProtection="1">
      <alignment horizontal="center"/>
    </xf>
    <xf numFmtId="170" fontId="0" fillId="47" borderId="17" xfId="0" applyNumberFormat="1" applyFill="1" applyBorder="1" applyAlignment="1" applyProtection="1">
      <alignment horizontal="center"/>
    </xf>
    <xf numFmtId="166" fontId="150" fillId="34" borderId="132" xfId="0" applyNumberFormat="1" applyFont="1" applyFill="1" applyBorder="1" applyAlignment="1" applyProtection="1">
      <alignment horizontal="center" vertical="center"/>
    </xf>
    <xf numFmtId="170" fontId="5" fillId="49" borderId="77" xfId="0" applyNumberFormat="1" applyFont="1" applyFill="1" applyBorder="1" applyAlignment="1" applyProtection="1">
      <alignment horizontal="center" vertical="center"/>
    </xf>
    <xf numFmtId="170" fontId="5" fillId="49" borderId="76" xfId="0" applyNumberFormat="1" applyFont="1" applyFill="1" applyBorder="1" applyAlignment="1" applyProtection="1">
      <alignment horizontal="center" vertical="center"/>
    </xf>
    <xf numFmtId="190" fontId="49" fillId="47" borderId="123" xfId="0" applyNumberFormat="1" applyFont="1" applyFill="1" applyBorder="1" applyAlignment="1" applyProtection="1">
      <alignment horizontal="center" vertical="center"/>
    </xf>
    <xf numFmtId="190" fontId="49" fillId="47" borderId="128" xfId="0" applyNumberFormat="1" applyFont="1" applyFill="1" applyBorder="1" applyAlignment="1" applyProtection="1">
      <alignment horizontal="center" vertical="center"/>
    </xf>
    <xf numFmtId="184" fontId="67" fillId="47" borderId="16" xfId="0" applyNumberFormat="1" applyFont="1" applyFill="1" applyBorder="1" applyAlignment="1" applyProtection="1">
      <alignment horizontal="center" vertical="center"/>
    </xf>
    <xf numFmtId="184" fontId="67" fillId="47" borderId="17" xfId="0" applyNumberFormat="1" applyFont="1" applyFill="1" applyBorder="1" applyAlignment="1" applyProtection="1">
      <alignment horizontal="center" vertical="center"/>
    </xf>
    <xf numFmtId="184" fontId="67" fillId="47" borderId="18" xfId="0" applyNumberFormat="1" applyFont="1" applyFill="1" applyBorder="1" applyAlignment="1" applyProtection="1">
      <alignment horizontal="center" vertical="center"/>
    </xf>
    <xf numFmtId="184" fontId="53" fillId="47" borderId="9" xfId="0" applyNumberFormat="1" applyFont="1" applyFill="1" applyBorder="1" applyAlignment="1" applyProtection="1">
      <alignment horizontal="center" vertical="center"/>
    </xf>
    <xf numFmtId="186" fontId="22" fillId="47" borderId="9" xfId="0" applyNumberFormat="1" applyFont="1" applyFill="1" applyBorder="1" applyAlignment="1" applyProtection="1">
      <alignment horizontal="center" vertical="center"/>
    </xf>
    <xf numFmtId="186" fontId="22" fillId="47" borderId="10" xfId="0" applyNumberFormat="1" applyFont="1" applyFill="1" applyBorder="1" applyAlignment="1" applyProtection="1">
      <alignment horizontal="center" vertical="center"/>
    </xf>
    <xf numFmtId="166" fontId="49" fillId="34" borderId="123" xfId="0" applyNumberFormat="1" applyFont="1" applyFill="1" applyBorder="1" applyAlignment="1" applyProtection="1">
      <alignment horizontal="right" vertical="center"/>
    </xf>
    <xf numFmtId="166" fontId="49" fillId="34" borderId="124" xfId="0" applyNumberFormat="1" applyFont="1" applyFill="1" applyBorder="1" applyAlignment="1" applyProtection="1">
      <alignment horizontal="right" vertical="center"/>
    </xf>
    <xf numFmtId="166" fontId="150" fillId="34" borderId="8" xfId="0" applyNumberFormat="1" applyFont="1" applyFill="1" applyBorder="1" applyAlignment="1" applyProtection="1">
      <alignment horizontal="center" vertical="center"/>
    </xf>
    <xf numFmtId="178" fontId="127" fillId="0" borderId="24" xfId="0" applyFont="1" applyFill="1" applyBorder="1" applyAlignment="1" applyProtection="1">
      <alignment horizontal="center" vertical="center"/>
    </xf>
    <xf numFmtId="178" fontId="127" fillId="0" borderId="25" xfId="0" applyFont="1" applyFill="1" applyBorder="1" applyAlignment="1" applyProtection="1">
      <alignment horizontal="center" vertical="center"/>
    </xf>
    <xf numFmtId="178" fontId="19" fillId="0" borderId="50" xfId="0" applyFont="1" applyBorder="1" applyAlignment="1" applyProtection="1">
      <alignment horizontal="center" vertical="center" wrapText="1"/>
      <protection locked="0"/>
    </xf>
    <xf numFmtId="178" fontId="19" fillId="0" borderId="46" xfId="0" applyFont="1" applyBorder="1" applyAlignment="1" applyProtection="1">
      <alignment horizontal="center" vertical="center" wrapText="1"/>
      <protection locked="0"/>
    </xf>
    <xf numFmtId="178" fontId="19" fillId="0" borderId="47" xfId="0" applyFont="1" applyBorder="1" applyAlignment="1" applyProtection="1">
      <alignment horizontal="center" vertical="center" wrapText="1"/>
      <protection locked="0"/>
    </xf>
    <xf numFmtId="178" fontId="19" fillId="0" borderId="6" xfId="0" applyFont="1" applyBorder="1" applyAlignment="1" applyProtection="1">
      <alignment horizontal="center" vertical="center" wrapText="1"/>
      <protection locked="0"/>
    </xf>
    <xf numFmtId="178" fontId="19" fillId="0" borderId="0" xfId="0" applyFont="1" applyBorder="1" applyAlignment="1" applyProtection="1">
      <alignment horizontal="center" vertical="center" wrapText="1"/>
      <protection locked="0"/>
    </xf>
    <xf numFmtId="178" fontId="19" fillId="0" borderId="5" xfId="0" applyFont="1" applyBorder="1" applyAlignment="1" applyProtection="1">
      <alignment horizontal="center" vertical="center" wrapText="1"/>
      <protection locked="0"/>
    </xf>
    <xf numFmtId="178" fontId="19" fillId="0" borderId="11" xfId="0" applyFont="1" applyBorder="1" applyAlignment="1" applyProtection="1">
      <alignment horizontal="center" vertical="center" wrapText="1"/>
      <protection locked="0"/>
    </xf>
    <xf numFmtId="178" fontId="19" fillId="0" borderId="12" xfId="0" applyFont="1" applyBorder="1" applyAlignment="1" applyProtection="1">
      <alignment horizontal="center" vertical="center" wrapText="1"/>
      <protection locked="0"/>
    </xf>
    <xf numFmtId="178" fontId="19" fillId="0" borderId="13" xfId="0" applyFont="1" applyBorder="1" applyAlignment="1" applyProtection="1">
      <alignment horizontal="center" vertical="center" wrapText="1"/>
      <protection locked="0"/>
    </xf>
    <xf numFmtId="178" fontId="148" fillId="30" borderId="120" xfId="0" applyFont="1" applyFill="1" applyBorder="1" applyAlignment="1" applyProtection="1">
      <alignment horizontal="center" vertical="center" wrapText="1"/>
      <protection locked="0"/>
    </xf>
    <xf numFmtId="178" fontId="0" fillId="0" borderId="121" xfId="0" applyBorder="1" applyAlignment="1" applyProtection="1">
      <protection locked="0"/>
    </xf>
    <xf numFmtId="178" fontId="0" fillId="0" borderId="122" xfId="0" applyBorder="1" applyAlignment="1" applyProtection="1">
      <protection locked="0"/>
    </xf>
    <xf numFmtId="178" fontId="147" fillId="34" borderId="0" xfId="0" applyFont="1" applyFill="1" applyBorder="1" applyAlignment="1" applyProtection="1">
      <alignment horizontal="center" vertical="top"/>
    </xf>
    <xf numFmtId="178" fontId="126" fillId="0" borderId="114" xfId="0" applyFont="1" applyBorder="1" applyAlignment="1" applyProtection="1">
      <alignment horizontal="center"/>
    </xf>
    <xf numFmtId="178" fontId="126" fillId="0" borderId="113" xfId="0" applyFont="1" applyBorder="1" applyAlignment="1" applyProtection="1">
      <alignment horizontal="center"/>
    </xf>
    <xf numFmtId="178" fontId="126" fillId="0" borderId="115" xfId="0" applyFont="1" applyBorder="1" applyAlignment="1" applyProtection="1">
      <alignment horizontal="center"/>
    </xf>
    <xf numFmtId="166" fontId="49" fillId="34" borderId="1" xfId="0" applyNumberFormat="1" applyFont="1" applyFill="1" applyBorder="1" applyAlignment="1" applyProtection="1">
      <alignment horizontal="right" vertical="center"/>
    </xf>
    <xf numFmtId="166" fontId="49" fillId="34" borderId="7" xfId="0" applyNumberFormat="1" applyFont="1" applyFill="1" applyBorder="1" applyAlignment="1" applyProtection="1">
      <alignment horizontal="right" vertical="center"/>
    </xf>
    <xf numFmtId="183" fontId="22" fillId="48" borderId="28" xfId="0" applyNumberFormat="1" applyFont="1" applyFill="1" applyBorder="1" applyAlignment="1" applyProtection="1">
      <alignment horizontal="center" vertical="center"/>
    </xf>
    <xf numFmtId="183" fontId="22" fillId="48" borderId="9" xfId="0" applyNumberFormat="1" applyFont="1" applyFill="1" applyBorder="1" applyAlignment="1" applyProtection="1">
      <alignment horizontal="center" vertical="center"/>
    </xf>
    <xf numFmtId="178" fontId="125" fillId="0" borderId="26" xfId="1" applyFont="1" applyFill="1" applyBorder="1" applyAlignment="1" applyProtection="1">
      <alignment horizontal="center" vertical="center"/>
    </xf>
    <xf numFmtId="178" fontId="125" fillId="0" borderId="25" xfId="1" applyFont="1" applyFill="1" applyBorder="1" applyAlignment="1" applyProtection="1">
      <alignment horizontal="center" vertical="center"/>
    </xf>
    <xf numFmtId="178" fontId="125" fillId="0" borderId="24" xfId="1" applyFont="1" applyFill="1" applyBorder="1" applyAlignment="1" applyProtection="1">
      <alignment horizontal="center" vertical="center"/>
    </xf>
    <xf numFmtId="178" fontId="0" fillId="3" borderId="28" xfId="0" applyFill="1" applyBorder="1" applyAlignment="1" applyProtection="1">
      <alignment horizontal="center"/>
    </xf>
    <xf numFmtId="178" fontId="0" fillId="3" borderId="10" xfId="0" applyFill="1" applyBorder="1" applyAlignment="1" applyProtection="1">
      <alignment horizontal="center"/>
    </xf>
    <xf numFmtId="178" fontId="126" fillId="3" borderId="26" xfId="0" applyFont="1" applyFill="1" applyBorder="1" applyAlignment="1" applyProtection="1">
      <alignment horizontal="center"/>
    </xf>
    <xf numFmtId="178" fontId="126" fillId="3" borderId="25" xfId="0" applyFont="1" applyFill="1" applyBorder="1" applyAlignment="1" applyProtection="1">
      <alignment horizontal="center"/>
    </xf>
    <xf numFmtId="178" fontId="126" fillId="3" borderId="111" xfId="0" applyFont="1" applyFill="1" applyBorder="1" applyAlignment="1" applyProtection="1">
      <alignment horizontal="center"/>
    </xf>
    <xf numFmtId="178" fontId="125" fillId="3" borderId="24" xfId="1" applyFont="1" applyFill="1" applyBorder="1" applyAlignment="1" applyProtection="1">
      <alignment horizontal="center" vertical="center"/>
    </xf>
    <xf numFmtId="178" fontId="125" fillId="3" borderId="25" xfId="1" applyFont="1" applyFill="1" applyBorder="1" applyAlignment="1" applyProtection="1">
      <alignment horizontal="center" vertical="center"/>
    </xf>
    <xf numFmtId="178" fontId="124" fillId="3" borderId="24" xfId="0" applyFont="1" applyFill="1" applyBorder="1" applyAlignment="1" applyProtection="1">
      <alignment horizontal="center" vertical="center"/>
    </xf>
    <xf numFmtId="178" fontId="124" fillId="3" borderId="25" xfId="0" applyFont="1" applyFill="1" applyBorder="1" applyAlignment="1" applyProtection="1">
      <alignment horizontal="center" vertical="center"/>
    </xf>
    <xf numFmtId="184" fontId="53" fillId="0" borderId="2" xfId="0" applyNumberFormat="1" applyFont="1" applyFill="1" applyBorder="1" applyAlignment="1" applyProtection="1">
      <alignment horizontal="center" vertical="center"/>
    </xf>
    <xf numFmtId="184" fontId="53" fillId="0" borderId="9" xfId="0" applyNumberFormat="1" applyFont="1" applyFill="1" applyBorder="1" applyAlignment="1" applyProtection="1">
      <alignment horizontal="center" vertical="center"/>
    </xf>
    <xf numFmtId="178" fontId="125" fillId="3" borderId="26" xfId="1" applyFont="1" applyFill="1" applyBorder="1" applyAlignment="1" applyProtection="1">
      <alignment horizontal="center" vertical="center"/>
    </xf>
    <xf numFmtId="1" fontId="5" fillId="47" borderId="128" xfId="0" applyNumberFormat="1" applyFont="1" applyFill="1" applyBorder="1" applyAlignment="1" applyProtection="1">
      <alignment horizontal="center" vertical="center"/>
    </xf>
    <xf numFmtId="178" fontId="127" fillId="3" borderId="24" xfId="0" applyFont="1" applyFill="1" applyBorder="1" applyAlignment="1" applyProtection="1">
      <alignment horizontal="center" vertical="center"/>
    </xf>
    <xf numFmtId="178" fontId="127" fillId="3" borderId="25" xfId="0" applyFont="1" applyFill="1" applyBorder="1" applyAlignment="1" applyProtection="1">
      <alignment horizontal="center" vertical="center"/>
    </xf>
    <xf numFmtId="178" fontId="128" fillId="0" borderId="112" xfId="0" applyFont="1" applyFill="1" applyBorder="1" applyAlignment="1" applyProtection="1">
      <alignment horizontal="center"/>
    </xf>
    <xf numFmtId="178" fontId="128" fillId="0" borderId="113" xfId="0" applyFont="1" applyFill="1" applyBorder="1" applyAlignment="1" applyProtection="1">
      <alignment horizontal="center"/>
    </xf>
    <xf numFmtId="174" fontId="5" fillId="2" borderId="7" xfId="0" applyNumberFormat="1" applyFont="1" applyFill="1" applyBorder="1" applyAlignment="1" applyProtection="1">
      <alignment horizontal="center" vertical="center"/>
      <protection locked="0"/>
    </xf>
    <xf numFmtId="174" fontId="5" fillId="2" borderId="8" xfId="0" applyNumberFormat="1" applyFont="1" applyFill="1" applyBorder="1" applyAlignment="1" applyProtection="1">
      <alignment horizontal="center" vertical="center"/>
      <protection locked="0"/>
    </xf>
    <xf numFmtId="178" fontId="125" fillId="3" borderId="20" xfId="1" applyFont="1" applyFill="1" applyBorder="1" applyAlignment="1" applyProtection="1">
      <alignment horizontal="center" vertical="center"/>
    </xf>
    <xf numFmtId="178" fontId="125" fillId="3" borderId="21" xfId="1" applyFont="1" applyFill="1" applyBorder="1" applyAlignment="1" applyProtection="1">
      <alignment horizontal="center" vertical="center"/>
    </xf>
    <xf numFmtId="178" fontId="125" fillId="3" borderId="22" xfId="1" applyFont="1" applyFill="1" applyBorder="1" applyAlignment="1" applyProtection="1">
      <alignment horizontal="center" vertical="center"/>
    </xf>
    <xf numFmtId="178" fontId="125" fillId="3" borderId="110" xfId="1" applyFont="1" applyFill="1" applyBorder="1" applyAlignment="1" applyProtection="1">
      <alignment horizontal="center" vertical="center"/>
    </xf>
    <xf numFmtId="164" fontId="5" fillId="0" borderId="77" xfId="0" applyNumberFormat="1" applyFont="1" applyFill="1" applyBorder="1" applyAlignment="1" applyProtection="1">
      <alignment horizontal="center" vertical="center" wrapText="1"/>
    </xf>
    <xf numFmtId="164" fontId="5" fillId="0" borderId="75" xfId="0" applyNumberFormat="1" applyFont="1" applyFill="1" applyBorder="1" applyAlignment="1" applyProtection="1">
      <alignment horizontal="center" vertical="center" wrapText="1"/>
    </xf>
    <xf numFmtId="164" fontId="5" fillId="0" borderId="76" xfId="0" applyNumberFormat="1" applyFont="1" applyFill="1" applyBorder="1" applyAlignment="1" applyProtection="1">
      <alignment horizontal="center" vertical="center" wrapText="1"/>
    </xf>
    <xf numFmtId="178" fontId="126" fillId="0" borderId="26" xfId="0" applyFont="1" applyBorder="1" applyAlignment="1" applyProtection="1">
      <alignment horizontal="center"/>
    </xf>
    <xf numFmtId="178" fontId="126" fillId="0" borderId="25" xfId="0" applyFont="1" applyBorder="1" applyAlignment="1" applyProtection="1">
      <alignment horizontal="center"/>
    </xf>
    <xf numFmtId="178" fontId="126" fillId="0" borderId="111" xfId="0" applyFont="1" applyBorder="1" applyAlignment="1" applyProtection="1">
      <alignment horizontal="center"/>
    </xf>
    <xf numFmtId="183" fontId="22" fillId="0" borderId="28" xfId="0" applyNumberFormat="1" applyFont="1" applyFill="1" applyBorder="1" applyAlignment="1" applyProtection="1">
      <alignment horizontal="center" vertical="center"/>
    </xf>
    <xf numFmtId="183" fontId="22" fillId="0" borderId="9" xfId="0" applyNumberFormat="1" applyFont="1" applyFill="1" applyBorder="1" applyAlignment="1" applyProtection="1">
      <alignment horizontal="center" vertical="center"/>
    </xf>
    <xf numFmtId="178" fontId="24" fillId="42" borderId="31" xfId="0" applyFont="1" applyFill="1" applyBorder="1" applyAlignment="1" applyProtection="1">
      <alignment horizontal="left" vertical="center" wrapText="1"/>
    </xf>
    <xf numFmtId="178" fontId="24" fillId="42" borderId="67" xfId="0" applyFont="1" applyFill="1" applyBorder="1" applyAlignment="1" applyProtection="1">
      <alignment horizontal="left" vertical="center" wrapText="1"/>
    </xf>
    <xf numFmtId="178" fontId="24" fillId="42" borderId="36" xfId="0" applyFont="1" applyFill="1" applyBorder="1" applyAlignment="1" applyProtection="1">
      <alignment horizontal="left" vertical="center" wrapText="1"/>
    </xf>
    <xf numFmtId="178" fontId="15" fillId="42" borderId="28" xfId="0" applyFont="1" applyFill="1" applyBorder="1" applyAlignment="1" applyProtection="1">
      <alignment horizontal="center" vertical="center"/>
    </xf>
    <xf numFmtId="178" fontId="15" fillId="42" borderId="9" xfId="0" applyFont="1" applyFill="1" applyBorder="1" applyAlignment="1" applyProtection="1">
      <alignment horizontal="center" vertical="center"/>
    </xf>
    <xf numFmtId="178" fontId="241" fillId="87" borderId="0" xfId="1" applyFont="1" applyFill="1" applyBorder="1" applyAlignment="1" applyProtection="1">
      <alignment horizontal="center" vertical="center" wrapText="1"/>
      <protection locked="0"/>
    </xf>
    <xf numFmtId="178" fontId="241" fillId="87" borderId="0" xfId="0" applyFont="1" applyFill="1" applyBorder="1" applyAlignment="1" applyProtection="1">
      <alignment horizontal="center" vertical="center" wrapText="1"/>
      <protection locked="0"/>
    </xf>
    <xf numFmtId="184" fontId="53" fillId="48" borderId="9" xfId="0" applyNumberFormat="1" applyFont="1" applyFill="1" applyBorder="1" applyAlignment="1" applyProtection="1">
      <alignment horizontal="center" vertical="center"/>
    </xf>
    <xf numFmtId="178" fontId="125" fillId="0" borderId="114" xfId="1" applyFont="1" applyFill="1" applyBorder="1" applyAlignment="1" applyProtection="1">
      <alignment horizontal="center"/>
    </xf>
    <xf numFmtId="178" fontId="125" fillId="0" borderId="113" xfId="1" applyFont="1" applyFill="1" applyBorder="1" applyAlignment="1" applyProtection="1">
      <alignment horizontal="center"/>
    </xf>
    <xf numFmtId="178" fontId="94" fillId="34" borderId="0" xfId="0" applyFont="1" applyFill="1" applyAlignment="1" applyProtection="1">
      <alignment horizontal="left" vertical="center"/>
    </xf>
    <xf numFmtId="178" fontId="64" fillId="2" borderId="7" xfId="0" applyFont="1" applyFill="1" applyBorder="1" applyAlignment="1" applyProtection="1">
      <alignment horizontal="center" vertical="center"/>
      <protection locked="0"/>
    </xf>
    <xf numFmtId="178" fontId="64" fillId="2" borderId="9" xfId="0" applyFont="1" applyFill="1" applyBorder="1" applyAlignment="1" applyProtection="1">
      <alignment horizontal="center" vertical="center"/>
      <protection locked="0"/>
    </xf>
    <xf numFmtId="178" fontId="64" fillId="2" borderId="8" xfId="0" applyFont="1" applyFill="1" applyBorder="1" applyAlignment="1" applyProtection="1">
      <alignment horizontal="center" vertical="center"/>
      <protection locked="0"/>
    </xf>
    <xf numFmtId="178" fontId="11" fillId="42" borderId="6" xfId="0" applyFont="1" applyFill="1" applyBorder="1" applyAlignment="1" applyProtection="1">
      <alignment horizontal="center" wrapText="1"/>
    </xf>
    <xf numFmtId="178" fontId="11" fillId="42" borderId="0" xfId="0" applyFont="1" applyFill="1" applyBorder="1" applyAlignment="1" applyProtection="1">
      <alignment horizontal="center" wrapText="1"/>
    </xf>
    <xf numFmtId="178" fontId="16" fillId="42" borderId="16" xfId="0" applyFont="1" applyFill="1" applyBorder="1" applyAlignment="1" applyProtection="1">
      <alignment horizontal="center" vertical="center"/>
    </xf>
    <xf numFmtId="178" fontId="16" fillId="42" borderId="17" xfId="0" applyFont="1" applyFill="1" applyBorder="1" applyAlignment="1" applyProtection="1">
      <alignment horizontal="center" vertical="center"/>
    </xf>
    <xf numFmtId="178" fontId="16" fillId="42" borderId="18" xfId="0" applyFont="1" applyFill="1" applyBorder="1" applyAlignment="1" applyProtection="1">
      <alignment horizontal="center" vertical="center"/>
    </xf>
    <xf numFmtId="204" fontId="129" fillId="29" borderId="0" xfId="0" applyNumberFormat="1" applyFont="1" applyFill="1" applyAlignment="1" applyProtection="1">
      <alignment horizontal="center"/>
    </xf>
    <xf numFmtId="178" fontId="24" fillId="42" borderId="16" xfId="0" applyFont="1" applyFill="1" applyBorder="1" applyAlignment="1" applyProtection="1">
      <alignment horizontal="left" vertical="center"/>
    </xf>
    <xf numFmtId="178" fontId="24" fillId="42" borderId="17" xfId="0" applyFont="1" applyFill="1" applyBorder="1" applyAlignment="1" applyProtection="1">
      <alignment horizontal="left" vertical="center"/>
    </xf>
    <xf numFmtId="178" fontId="24" fillId="42" borderId="6" xfId="0" applyFont="1" applyFill="1" applyBorder="1" applyAlignment="1" applyProtection="1">
      <alignment horizontal="left" vertical="center"/>
    </xf>
    <xf numFmtId="178" fontId="24" fillId="42" borderId="0" xfId="0" applyFont="1" applyFill="1" applyBorder="1" applyAlignment="1" applyProtection="1">
      <alignment horizontal="left" vertical="center"/>
    </xf>
    <xf numFmtId="204" fontId="129" fillId="29" borderId="0" xfId="0" applyNumberFormat="1" applyFont="1" applyFill="1" applyBorder="1" applyAlignment="1" applyProtection="1">
      <alignment horizontal="center"/>
    </xf>
    <xf numFmtId="178" fontId="46" fillId="30" borderId="77" xfId="0" applyFont="1" applyFill="1" applyBorder="1" applyAlignment="1" applyProtection="1">
      <alignment horizontal="center" vertical="center"/>
      <protection locked="0"/>
    </xf>
    <xf numFmtId="178" fontId="46" fillId="30" borderId="75" xfId="0" applyFont="1" applyFill="1" applyBorder="1" applyAlignment="1" applyProtection="1">
      <alignment horizontal="center" vertical="center"/>
      <protection locked="0"/>
    </xf>
    <xf numFmtId="178" fontId="46" fillId="30" borderId="76" xfId="0" applyFont="1" applyFill="1" applyBorder="1" applyAlignment="1" applyProtection="1">
      <alignment horizontal="center" vertical="center"/>
      <protection locked="0"/>
    </xf>
    <xf numFmtId="178" fontId="49" fillId="42" borderId="0" xfId="0" applyFont="1" applyFill="1" applyBorder="1" applyAlignment="1" applyProtection="1">
      <alignment horizontal="center"/>
    </xf>
    <xf numFmtId="178" fontId="24" fillId="30" borderId="7" xfId="0" applyFont="1" applyFill="1" applyBorder="1" applyAlignment="1" applyProtection="1">
      <alignment horizontal="center" vertical="center"/>
      <protection locked="0"/>
    </xf>
    <xf numFmtId="178" fontId="24" fillId="30" borderId="8" xfId="0" applyFont="1" applyFill="1" applyBorder="1" applyAlignment="1" applyProtection="1">
      <alignment horizontal="center" vertical="center"/>
      <protection locked="0"/>
    </xf>
    <xf numFmtId="178" fontId="5" fillId="2" borderId="7" xfId="0" applyFont="1" applyFill="1" applyBorder="1" applyAlignment="1" applyProtection="1">
      <alignment horizontal="center" vertical="center"/>
      <protection locked="0"/>
    </xf>
    <xf numFmtId="178" fontId="5" fillId="2" borderId="9" xfId="0" applyFont="1" applyFill="1" applyBorder="1" applyAlignment="1" applyProtection="1">
      <alignment horizontal="center" vertical="center"/>
      <protection locked="0"/>
    </xf>
    <xf numFmtId="178" fontId="5" fillId="2" borderId="8" xfId="0" applyFont="1" applyFill="1" applyBorder="1" applyAlignment="1" applyProtection="1">
      <alignment horizontal="center" vertical="center"/>
      <protection locked="0"/>
    </xf>
    <xf numFmtId="178" fontId="0" fillId="34" borderId="50" xfId="0" applyFill="1" applyBorder="1" applyAlignment="1" applyProtection="1">
      <alignment horizontal="center"/>
      <protection locked="0"/>
    </xf>
    <xf numFmtId="178" fontId="0" fillId="34" borderId="46" xfId="0" applyFill="1" applyBorder="1" applyAlignment="1" applyProtection="1">
      <alignment horizontal="center"/>
      <protection locked="0"/>
    </xf>
    <xf numFmtId="178" fontId="0" fillId="34" borderId="47" xfId="0" applyFill="1" applyBorder="1" applyAlignment="1" applyProtection="1">
      <alignment horizontal="center"/>
      <protection locked="0"/>
    </xf>
    <xf numFmtId="178" fontId="0" fillId="34" borderId="6" xfId="0" applyFill="1" applyBorder="1" applyAlignment="1" applyProtection="1">
      <alignment horizontal="center"/>
      <protection locked="0"/>
    </xf>
    <xf numFmtId="178" fontId="0" fillId="34" borderId="0" xfId="0" applyFill="1" applyBorder="1" applyAlignment="1" applyProtection="1">
      <alignment horizontal="center"/>
      <protection locked="0"/>
    </xf>
    <xf numFmtId="178" fontId="0" fillId="34" borderId="5" xfId="0" applyFill="1" applyBorder="1" applyAlignment="1" applyProtection="1">
      <alignment horizontal="center"/>
      <protection locked="0"/>
    </xf>
    <xf numFmtId="178" fontId="0" fillId="34" borderId="31" xfId="0" applyFill="1" applyBorder="1" applyAlignment="1" applyProtection="1">
      <alignment horizontal="center"/>
      <protection locked="0"/>
    </xf>
    <xf numFmtId="178" fontId="0" fillId="34" borderId="67" xfId="0" applyFill="1" applyBorder="1" applyAlignment="1" applyProtection="1">
      <alignment horizontal="center"/>
      <protection locked="0"/>
    </xf>
    <xf numFmtId="178" fontId="0" fillId="34" borderId="36" xfId="0" applyFill="1" applyBorder="1" applyAlignment="1" applyProtection="1">
      <alignment horizontal="center"/>
      <protection locked="0"/>
    </xf>
    <xf numFmtId="178" fontId="46" fillId="30" borderId="48" xfId="0" applyFont="1" applyFill="1" applyBorder="1" applyAlignment="1" applyProtection="1">
      <alignment horizontal="center" vertical="center" wrapText="1"/>
      <protection locked="0"/>
    </xf>
    <xf numFmtId="178" fontId="46" fillId="30" borderId="46" xfId="0" applyFont="1" applyFill="1" applyBorder="1" applyAlignment="1" applyProtection="1">
      <alignment horizontal="center" vertical="center" wrapText="1"/>
      <protection locked="0"/>
    </xf>
    <xf numFmtId="178" fontId="46" fillId="30" borderId="49" xfId="0" applyFont="1" applyFill="1" applyBorder="1" applyAlignment="1" applyProtection="1">
      <alignment horizontal="center" vertical="center" wrapText="1"/>
      <protection locked="0"/>
    </xf>
    <xf numFmtId="178" fontId="46" fillId="30" borderId="4" xfId="0" applyFont="1" applyFill="1" applyBorder="1" applyAlignment="1" applyProtection="1">
      <alignment horizontal="center" vertical="center" wrapText="1"/>
      <protection locked="0"/>
    </xf>
    <xf numFmtId="178" fontId="46" fillId="30" borderId="0" xfId="0" applyFont="1" applyFill="1" applyBorder="1" applyAlignment="1" applyProtection="1">
      <alignment horizontal="center" vertical="center" wrapText="1"/>
      <protection locked="0"/>
    </xf>
    <xf numFmtId="178" fontId="46" fillId="30" borderId="89" xfId="0" applyFont="1" applyFill="1" applyBorder="1" applyAlignment="1" applyProtection="1">
      <alignment horizontal="center" vertical="center" wrapText="1"/>
      <protection locked="0"/>
    </xf>
    <xf numFmtId="178" fontId="46" fillId="30" borderId="30" xfId="0" applyFont="1" applyFill="1" applyBorder="1" applyAlignment="1" applyProtection="1">
      <alignment horizontal="center" vertical="center" wrapText="1"/>
      <protection locked="0"/>
    </xf>
    <xf numFmtId="178" fontId="46" fillId="30" borderId="67" xfId="0" applyFont="1" applyFill="1" applyBorder="1" applyAlignment="1" applyProtection="1">
      <alignment horizontal="center" vertical="center" wrapText="1"/>
      <protection locked="0"/>
    </xf>
    <xf numFmtId="178" fontId="46" fillId="30" borderId="90" xfId="0" applyFont="1" applyFill="1" applyBorder="1" applyAlignment="1" applyProtection="1">
      <alignment horizontal="center" vertical="center" wrapText="1"/>
      <protection locked="0"/>
    </xf>
    <xf numFmtId="49" fontId="24" fillId="30" borderId="7" xfId="0" applyNumberFormat="1" applyFont="1" applyFill="1" applyBorder="1" applyAlignment="1" applyProtection="1">
      <alignment horizontal="center" vertical="center"/>
      <protection locked="0"/>
    </xf>
    <xf numFmtId="178" fontId="0" fillId="0" borderId="8" xfId="0" applyBorder="1" applyAlignment="1" applyProtection="1">
      <protection locked="0"/>
    </xf>
    <xf numFmtId="178" fontId="149" fillId="42" borderId="16" xfId="0" applyFont="1" applyFill="1" applyBorder="1" applyAlignment="1" applyProtection="1">
      <alignment horizontal="center" vertical="center"/>
    </xf>
    <xf numFmtId="178" fontId="149" fillId="42" borderId="17" xfId="0" applyFont="1" applyFill="1" applyBorder="1" applyAlignment="1" applyProtection="1">
      <alignment horizontal="center" vertical="center"/>
    </xf>
    <xf numFmtId="178" fontId="149" fillId="42" borderId="18" xfId="0" applyFont="1" applyFill="1" applyBorder="1" applyAlignment="1" applyProtection="1">
      <alignment horizontal="center" vertical="center"/>
    </xf>
    <xf numFmtId="178" fontId="149" fillId="42" borderId="31" xfId="0" applyFont="1" applyFill="1" applyBorder="1" applyAlignment="1" applyProtection="1">
      <alignment horizontal="center" vertical="center"/>
    </xf>
    <xf numFmtId="178" fontId="149" fillId="42" borderId="67" xfId="0" applyFont="1" applyFill="1" applyBorder="1" applyAlignment="1" applyProtection="1">
      <alignment horizontal="center" vertical="center"/>
    </xf>
    <xf numFmtId="178" fontId="149" fillId="42" borderId="36" xfId="0" applyFont="1" applyFill="1" applyBorder="1" applyAlignment="1" applyProtection="1">
      <alignment horizontal="center" vertical="center"/>
    </xf>
    <xf numFmtId="1" fontId="49" fillId="29" borderId="4" xfId="0" applyNumberFormat="1" applyFont="1" applyFill="1" applyBorder="1" applyAlignment="1" applyProtection="1">
      <alignment horizontal="right" vertical="center"/>
    </xf>
    <xf numFmtId="1" fontId="49" fillId="29" borderId="0" xfId="0" applyNumberFormat="1" applyFont="1" applyFill="1" applyBorder="1" applyAlignment="1" applyProtection="1">
      <alignment horizontal="right" vertical="center"/>
    </xf>
    <xf numFmtId="178" fontId="0" fillId="42" borderId="0" xfId="0" applyFill="1" applyAlignment="1" applyProtection="1"/>
    <xf numFmtId="196" fontId="5" fillId="30" borderId="7" xfId="0" applyNumberFormat="1" applyFont="1" applyFill="1" applyBorder="1" applyAlignment="1" applyProtection="1">
      <alignment horizontal="center" vertical="center"/>
      <protection locked="0"/>
    </xf>
    <xf numFmtId="196" fontId="5" fillId="30" borderId="9" xfId="0" applyNumberFormat="1" applyFont="1" applyFill="1" applyBorder="1" applyAlignment="1" applyProtection="1">
      <alignment horizontal="center" vertical="center"/>
      <protection locked="0"/>
    </xf>
    <xf numFmtId="196" fontId="5" fillId="30" borderId="8" xfId="0" applyNumberFormat="1" applyFont="1" applyFill="1" applyBorder="1" applyAlignment="1" applyProtection="1">
      <alignment horizontal="center" vertical="center"/>
      <protection locked="0"/>
    </xf>
    <xf numFmtId="178" fontId="5" fillId="30" borderId="7" xfId="0" applyFont="1" applyFill="1" applyBorder="1" applyAlignment="1" applyProtection="1">
      <alignment horizontal="center" vertical="center"/>
      <protection locked="0"/>
    </xf>
    <xf numFmtId="178" fontId="5" fillId="30" borderId="8" xfId="0" applyFont="1" applyFill="1" applyBorder="1" applyAlignment="1" applyProtection="1">
      <alignment horizontal="center" vertical="center"/>
      <protection locked="0"/>
    </xf>
    <xf numFmtId="183" fontId="5" fillId="34" borderId="7" xfId="0" applyNumberFormat="1" applyFont="1" applyFill="1" applyBorder="1" applyAlignment="1" applyProtection="1">
      <alignment horizontal="center" vertical="center"/>
    </xf>
    <xf numFmtId="183" fontId="5" fillId="34" borderId="8" xfId="0" applyNumberFormat="1" applyFont="1" applyFill="1" applyBorder="1" applyAlignment="1" applyProtection="1">
      <alignment horizontal="center" vertical="center"/>
    </xf>
    <xf numFmtId="183" fontId="22" fillId="2" borderId="7" xfId="0" applyNumberFormat="1" applyFont="1" applyFill="1" applyBorder="1" applyAlignment="1" applyProtection="1">
      <alignment horizontal="center" vertical="center"/>
      <protection locked="0"/>
    </xf>
    <xf numFmtId="183" fontId="22" fillId="2" borderId="8" xfId="0" applyNumberFormat="1" applyFont="1" applyFill="1" applyBorder="1" applyAlignment="1" applyProtection="1">
      <alignment horizontal="center" vertical="center"/>
      <protection locked="0"/>
    </xf>
    <xf numFmtId="178" fontId="20" fillId="29" borderId="0" xfId="0" applyFont="1" applyFill="1" applyAlignment="1" applyProtection="1">
      <alignment horizontal="right" vertical="center"/>
    </xf>
    <xf numFmtId="178" fontId="87" fillId="34" borderId="7" xfId="0" applyFont="1" applyFill="1" applyBorder="1" applyAlignment="1" applyProtection="1">
      <alignment horizontal="center" vertical="center"/>
    </xf>
    <xf numFmtId="178" fontId="87" fillId="34" borderId="9" xfId="0" applyFont="1" applyFill="1" applyBorder="1" applyAlignment="1" applyProtection="1">
      <alignment horizontal="center" vertical="center"/>
    </xf>
    <xf numFmtId="178" fontId="87" fillId="34" borderId="8" xfId="0" applyFont="1" applyFill="1" applyBorder="1" applyAlignment="1" applyProtection="1">
      <alignment horizontal="center" vertical="center"/>
    </xf>
    <xf numFmtId="178" fontId="20" fillId="42" borderId="6" xfId="0" applyFont="1" applyFill="1" applyBorder="1" applyAlignment="1" applyProtection="1">
      <alignment horizontal="center"/>
    </xf>
    <xf numFmtId="178" fontId="0" fillId="42" borderId="0" xfId="0" applyFill="1" applyBorder="1" applyAlignment="1" applyProtection="1">
      <alignment horizontal="center"/>
    </xf>
    <xf numFmtId="178" fontId="103" fillId="29" borderId="0" xfId="0" applyFont="1" applyFill="1" applyAlignment="1" applyProtection="1">
      <alignment horizontal="center" vertical="center"/>
    </xf>
    <xf numFmtId="1" fontId="226" fillId="84" borderId="0" xfId="0" applyNumberFormat="1" applyFont="1" applyFill="1" applyAlignment="1" applyProtection="1">
      <alignment horizontal="center" vertical="center" wrapText="1"/>
    </xf>
    <xf numFmtId="178" fontId="5" fillId="47" borderId="67" xfId="0" applyFont="1" applyFill="1" applyBorder="1" applyAlignment="1" applyProtection="1">
      <alignment horizontal="center" vertical="center" wrapText="1"/>
    </xf>
    <xf numFmtId="166" fontId="150" fillId="48" borderId="132" xfId="0" applyNumberFormat="1" applyFont="1" applyFill="1" applyBorder="1" applyAlignment="1" applyProtection="1">
      <alignment horizontal="center" vertical="center"/>
    </xf>
    <xf numFmtId="166" fontId="150" fillId="48" borderId="1" xfId="0" applyNumberFormat="1" applyFont="1" applyFill="1" applyBorder="1" applyAlignment="1" applyProtection="1">
      <alignment horizontal="center" vertical="center"/>
    </xf>
    <xf numFmtId="164" fontId="5" fillId="3" borderId="28" xfId="0" applyNumberFormat="1" applyFont="1" applyFill="1" applyBorder="1" applyAlignment="1" applyProtection="1">
      <alignment horizontal="center" vertical="center" wrapText="1"/>
    </xf>
    <xf numFmtId="164" fontId="5" fillId="3" borderId="9" xfId="0" applyNumberFormat="1" applyFont="1" applyFill="1" applyBorder="1" applyAlignment="1" applyProtection="1">
      <alignment horizontal="center" vertical="center" wrapText="1"/>
    </xf>
    <xf numFmtId="164" fontId="5" fillId="3" borderId="10" xfId="0" applyNumberFormat="1" applyFont="1" applyFill="1" applyBorder="1" applyAlignment="1" applyProtection="1">
      <alignment horizontal="center" vertical="center" wrapText="1"/>
    </xf>
    <xf numFmtId="1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76" xfId="0" applyNumberFormat="1" applyFont="1" applyFill="1" applyBorder="1" applyAlignment="1" applyProtection="1">
      <alignment horizontal="center" vertical="center" wrapText="1"/>
      <protection locked="0"/>
    </xf>
    <xf numFmtId="178" fontId="46" fillId="47" borderId="67" xfId="0" applyFont="1" applyFill="1" applyBorder="1" applyAlignment="1" applyProtection="1">
      <alignment horizontal="center" vertical="center"/>
    </xf>
    <xf numFmtId="178" fontId="20" fillId="29" borderId="0" xfId="0" applyFont="1" applyFill="1" applyAlignment="1" applyProtection="1">
      <alignment horizontal="center"/>
    </xf>
    <xf numFmtId="183" fontId="22" fillId="0" borderId="15" xfId="0" applyNumberFormat="1" applyFont="1" applyFill="1" applyBorder="1" applyAlignment="1" applyProtection="1">
      <alignment horizontal="center" vertical="center"/>
    </xf>
    <xf numFmtId="183" fontId="22" fillId="0" borderId="2" xfId="0" applyNumberFormat="1" applyFont="1" applyFill="1" applyBorder="1" applyAlignment="1" applyProtection="1">
      <alignment horizontal="center" vertical="center"/>
    </xf>
    <xf numFmtId="178" fontId="16" fillId="42" borderId="50" xfId="0" applyFont="1" applyFill="1" applyBorder="1" applyAlignment="1" applyProtection="1">
      <alignment horizontal="center" vertical="center" wrapText="1"/>
    </xf>
    <xf numFmtId="178" fontId="16" fillId="42" borderId="46" xfId="0" applyFont="1" applyFill="1" applyBorder="1" applyAlignment="1" applyProtection="1">
      <alignment horizontal="center" vertical="center" wrapText="1"/>
    </xf>
    <xf numFmtId="178" fontId="16" fillId="42" borderId="47" xfId="0" applyFont="1" applyFill="1" applyBorder="1" applyAlignment="1" applyProtection="1">
      <alignment horizontal="center" vertical="center" wrapText="1"/>
    </xf>
    <xf numFmtId="178" fontId="16" fillId="42" borderId="6" xfId="0" applyFont="1" applyFill="1" applyBorder="1" applyAlignment="1" applyProtection="1">
      <alignment horizontal="center" vertical="center" wrapText="1"/>
    </xf>
    <xf numFmtId="178" fontId="16" fillId="42" borderId="0" xfId="0" applyFont="1" applyFill="1" applyBorder="1" applyAlignment="1" applyProtection="1">
      <alignment horizontal="center" vertical="center" wrapText="1"/>
    </xf>
    <xf numFmtId="178" fontId="16" fillId="42" borderId="5" xfId="0" applyFont="1" applyFill="1" applyBorder="1" applyAlignment="1" applyProtection="1">
      <alignment horizontal="center" vertical="center" wrapText="1"/>
    </xf>
    <xf numFmtId="178" fontId="15" fillId="42" borderId="7" xfId="0" applyFont="1" applyFill="1" applyBorder="1" applyAlignment="1" applyProtection="1">
      <alignment horizontal="center" vertical="center"/>
    </xf>
    <xf numFmtId="178" fontId="15" fillId="42" borderId="10" xfId="0" applyFont="1" applyFill="1" applyBorder="1" applyAlignment="1" applyProtection="1">
      <alignment horizontal="center" vertical="center"/>
    </xf>
    <xf numFmtId="178" fontId="5" fillId="3" borderId="28" xfId="0" applyFont="1" applyFill="1" applyBorder="1" applyAlignment="1" applyProtection="1">
      <alignment horizontal="center" vertical="center" wrapText="1"/>
    </xf>
    <xf numFmtId="178" fontId="5" fillId="3" borderId="9" xfId="0" applyFont="1" applyFill="1" applyBorder="1" applyAlignment="1" applyProtection="1">
      <alignment horizontal="center" vertical="center" wrapText="1"/>
    </xf>
    <xf numFmtId="178" fontId="5" fillId="3" borderId="10" xfId="0" applyFont="1" applyFill="1" applyBorder="1" applyAlignment="1" applyProtection="1">
      <alignment horizontal="center" vertical="center" wrapText="1"/>
    </xf>
    <xf numFmtId="178" fontId="22" fillId="47" borderId="31" xfId="0" applyFont="1" applyFill="1" applyBorder="1" applyAlignment="1" applyProtection="1">
      <alignment horizontal="center" vertical="center" wrapText="1"/>
    </xf>
    <xf numFmtId="1" fontId="5" fillId="2" borderId="7" xfId="0" applyNumberFormat="1" applyFont="1" applyFill="1" applyBorder="1" applyAlignment="1" applyProtection="1">
      <alignment horizontal="center" vertical="center"/>
      <protection locked="0"/>
    </xf>
    <xf numFmtId="1" fontId="5" fillId="2" borderId="8" xfId="0" applyNumberFormat="1" applyFont="1" applyFill="1" applyBorder="1" applyAlignment="1" applyProtection="1">
      <alignment horizontal="center" vertical="center"/>
      <protection locked="0"/>
    </xf>
    <xf numFmtId="178" fontId="24" fillId="2" borderId="7" xfId="0" applyFont="1" applyFill="1" applyBorder="1" applyAlignment="1" applyProtection="1">
      <alignment horizontal="center" vertical="center"/>
      <protection locked="0"/>
    </xf>
    <xf numFmtId="178" fontId="24" fillId="2" borderId="9" xfId="0" applyFont="1" applyFill="1" applyBorder="1" applyAlignment="1" applyProtection="1">
      <alignment horizontal="center" vertical="center"/>
      <protection locked="0"/>
    </xf>
    <xf numFmtId="178" fontId="24" fillId="2" borderId="8" xfId="0" applyFont="1" applyFill="1" applyBorder="1" applyAlignment="1" applyProtection="1">
      <alignment horizontal="center" vertical="center"/>
      <protection locked="0"/>
    </xf>
    <xf numFmtId="178" fontId="147" fillId="34" borderId="0" xfId="0" applyFont="1" applyFill="1" applyAlignment="1" applyProtection="1">
      <alignment horizontal="center" wrapText="1"/>
    </xf>
    <xf numFmtId="178" fontId="177" fillId="30" borderId="120" xfId="0" applyFont="1" applyFill="1" applyBorder="1" applyAlignment="1" applyProtection="1">
      <alignment horizontal="center" vertical="center"/>
      <protection locked="0"/>
    </xf>
    <xf numFmtId="178" fontId="20" fillId="0" borderId="121" xfId="0" applyFont="1" applyBorder="1" applyAlignment="1" applyProtection="1">
      <protection locked="0"/>
    </xf>
    <xf numFmtId="178" fontId="20" fillId="0" borderId="122" xfId="0" applyFont="1" applyBorder="1" applyAlignment="1" applyProtection="1">
      <protection locked="0"/>
    </xf>
    <xf numFmtId="178" fontId="20" fillId="42" borderId="0" xfId="0" applyFont="1" applyFill="1" applyBorder="1" applyAlignment="1" applyProtection="1">
      <alignment horizontal="center"/>
    </xf>
    <xf numFmtId="186" fontId="22" fillId="34" borderId="2" xfId="0" applyNumberFormat="1" applyFont="1" applyFill="1" applyBorder="1" applyAlignment="1" applyProtection="1">
      <alignment horizontal="center" vertical="center"/>
    </xf>
    <xf numFmtId="186" fontId="22" fillId="34" borderId="3" xfId="0" applyNumberFormat="1" applyFont="1" applyFill="1" applyBorder="1" applyAlignment="1" applyProtection="1">
      <alignment horizontal="center" vertical="center"/>
    </xf>
    <xf numFmtId="178" fontId="64" fillId="47" borderId="105" xfId="0" applyFont="1" applyFill="1" applyBorder="1" applyAlignment="1" applyProtection="1">
      <alignment horizontal="center"/>
    </xf>
    <xf numFmtId="178" fontId="64" fillId="47" borderId="14" xfId="0" applyFont="1" applyFill="1" applyBorder="1" applyAlignment="1" applyProtection="1">
      <alignment horizontal="center"/>
    </xf>
    <xf numFmtId="178" fontId="64" fillId="47" borderId="107" xfId="0" applyFont="1" applyFill="1" applyBorder="1" applyAlignment="1" applyProtection="1">
      <alignment horizontal="center"/>
    </xf>
    <xf numFmtId="178" fontId="64" fillId="47" borderId="28" xfId="0" applyFont="1" applyFill="1" applyBorder="1" applyAlignment="1" applyProtection="1">
      <alignment horizontal="center"/>
    </xf>
    <xf numFmtId="178" fontId="64" fillId="47" borderId="9" xfId="0" applyFont="1" applyFill="1" applyBorder="1" applyAlignment="1" applyProtection="1">
      <alignment horizontal="center"/>
    </xf>
    <xf numFmtId="178" fontId="64" fillId="47" borderId="10" xfId="0" applyFont="1" applyFill="1" applyBorder="1" applyAlignment="1" applyProtection="1">
      <alignment horizontal="center"/>
    </xf>
    <xf numFmtId="180" fontId="45" fillId="30" borderId="16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7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8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1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2" xfId="0" applyNumberFormat="1" applyFont="1" applyFill="1" applyBorder="1" applyAlignment="1" applyProtection="1">
      <alignment horizontal="left" vertical="center" wrapText="1"/>
      <protection locked="0"/>
    </xf>
    <xf numFmtId="180" fontId="45" fillId="30" borderId="13" xfId="0" applyNumberFormat="1" applyFont="1" applyFill="1" applyBorder="1" applyAlignment="1" applyProtection="1">
      <alignment horizontal="left" vertical="center" wrapText="1"/>
      <protection locked="0"/>
    </xf>
    <xf numFmtId="178" fontId="95" fillId="29" borderId="0" xfId="0" applyNumberFormat="1" applyFont="1" applyFill="1" applyBorder="1" applyAlignment="1" applyProtection="1">
      <alignment horizontal="right" vertical="center" wrapText="1"/>
    </xf>
    <xf numFmtId="178" fontId="95" fillId="29" borderId="5" xfId="0" applyNumberFormat="1" applyFont="1" applyFill="1" applyBorder="1" applyAlignment="1" applyProtection="1">
      <alignment horizontal="right" vertical="center" wrapText="1"/>
    </xf>
    <xf numFmtId="190" fontId="64" fillId="34" borderId="0" xfId="0" applyNumberFormat="1" applyFont="1" applyFill="1" applyBorder="1" applyAlignment="1" applyProtection="1">
      <alignment horizontal="center" vertical="center" wrapText="1"/>
      <protection locked="0"/>
    </xf>
    <xf numFmtId="183" fontId="22" fillId="34" borderId="46" xfId="0" applyNumberFormat="1" applyFont="1" applyFill="1" applyBorder="1" applyAlignment="1" applyProtection="1">
      <alignment horizontal="center"/>
    </xf>
    <xf numFmtId="185" fontId="5" fillId="42" borderId="81" xfId="0" applyNumberFormat="1" applyFont="1" applyFill="1" applyBorder="1" applyAlignment="1" applyProtection="1">
      <alignment horizontal="center" vertical="center"/>
    </xf>
    <xf numFmtId="165" fontId="22" fillId="0" borderId="8" xfId="0" applyNumberFormat="1" applyFont="1" applyFill="1" applyBorder="1" applyAlignment="1" applyProtection="1">
      <alignment horizontal="center" vertical="center"/>
    </xf>
    <xf numFmtId="178" fontId="5" fillId="0" borderId="48" xfId="0" applyFont="1" applyBorder="1" applyAlignment="1" applyProtection="1">
      <alignment horizontal="center"/>
    </xf>
    <xf numFmtId="178" fontId="5" fillId="0" borderId="46" xfId="0" applyFont="1" applyBorder="1" applyAlignment="1" applyProtection="1">
      <alignment horizontal="center"/>
    </xf>
    <xf numFmtId="178" fontId="5" fillId="0" borderId="49" xfId="0" applyFont="1" applyBorder="1" applyAlignment="1" applyProtection="1">
      <alignment horizontal="center"/>
    </xf>
    <xf numFmtId="178" fontId="20" fillId="0" borderId="48" xfId="0" applyFont="1" applyBorder="1" applyAlignment="1" applyProtection="1">
      <alignment horizontal="center"/>
    </xf>
    <xf numFmtId="178" fontId="20" fillId="0" borderId="46" xfId="0" applyFont="1" applyBorder="1" applyAlignment="1" applyProtection="1">
      <alignment horizontal="center"/>
    </xf>
    <xf numFmtId="178" fontId="20" fillId="0" borderId="49" xfId="0" applyFont="1" applyBorder="1" applyAlignment="1" applyProtection="1">
      <alignment horizontal="center"/>
    </xf>
    <xf numFmtId="178" fontId="5" fillId="2" borderId="48" xfId="0" applyFont="1" applyFill="1" applyBorder="1" applyAlignment="1" applyProtection="1">
      <alignment horizontal="center"/>
    </xf>
    <xf numFmtId="178" fontId="5" fillId="2" borderId="46" xfId="0" applyFont="1" applyFill="1" applyBorder="1" applyAlignment="1" applyProtection="1">
      <alignment horizontal="center"/>
    </xf>
    <xf numFmtId="178" fontId="5" fillId="2" borderId="49" xfId="0" applyFont="1" applyFill="1" applyBorder="1" applyAlignment="1" applyProtection="1">
      <alignment horizontal="center"/>
    </xf>
    <xf numFmtId="178" fontId="122" fillId="0" borderId="0" xfId="0" applyFont="1" applyAlignment="1" applyProtection="1">
      <alignment horizontal="center" vertical="center"/>
    </xf>
    <xf numFmtId="178" fontId="5" fillId="0" borderId="0" xfId="0" applyFont="1" applyAlignment="1" applyProtection="1">
      <alignment horizontal="center"/>
    </xf>
    <xf numFmtId="185" fontId="11" fillId="2" borderId="4" xfId="0" applyNumberFormat="1" applyFont="1" applyFill="1" applyBorder="1" applyAlignment="1" applyProtection="1">
      <alignment horizontal="center" vertical="center"/>
    </xf>
    <xf numFmtId="185" fontId="11" fillId="2" borderId="0" xfId="0" applyNumberFormat="1" applyFont="1" applyFill="1" applyBorder="1" applyAlignment="1" applyProtection="1">
      <alignment horizontal="center" vertical="center"/>
    </xf>
    <xf numFmtId="185" fontId="11" fillId="2" borderId="89" xfId="0" applyNumberFormat="1" applyFont="1" applyFill="1" applyBorder="1" applyAlignment="1" applyProtection="1">
      <alignment horizontal="center" vertical="center"/>
    </xf>
    <xf numFmtId="1" fontId="61" fillId="2" borderId="4" xfId="0" applyNumberFormat="1" applyFont="1" applyFill="1" applyBorder="1" applyAlignment="1" applyProtection="1">
      <alignment horizontal="center" vertical="center"/>
    </xf>
    <xf numFmtId="1" fontId="61" fillId="2" borderId="0" xfId="0" applyNumberFormat="1" applyFont="1" applyFill="1" applyBorder="1" applyAlignment="1" applyProtection="1">
      <alignment horizontal="center" vertical="center"/>
    </xf>
    <xf numFmtId="1" fontId="61" fillId="2" borderId="89" xfId="0" applyNumberFormat="1" applyFont="1" applyFill="1" applyBorder="1" applyAlignment="1" applyProtection="1">
      <alignment horizontal="center" vertical="center"/>
    </xf>
    <xf numFmtId="165" fontId="98" fillId="2" borderId="0" xfId="0" applyNumberFormat="1" applyFont="1" applyFill="1" applyBorder="1" applyAlignment="1" applyProtection="1">
      <alignment horizontal="center" vertical="center"/>
    </xf>
    <xf numFmtId="1" fontId="22" fillId="2" borderId="4" xfId="0" applyNumberFormat="1" applyFont="1" applyFill="1" applyBorder="1" applyAlignment="1" applyProtection="1">
      <alignment horizontal="center" vertical="center"/>
    </xf>
    <xf numFmtId="1" fontId="22" fillId="2" borderId="89" xfId="0" applyNumberFormat="1" applyFont="1" applyFill="1" applyBorder="1" applyAlignment="1" applyProtection="1">
      <alignment horizontal="center" vertical="center"/>
    </xf>
    <xf numFmtId="2" fontId="11" fillId="2" borderId="4" xfId="0" applyNumberFormat="1" applyFont="1" applyFill="1" applyBorder="1" applyAlignment="1" applyProtection="1">
      <alignment horizontal="center" vertical="center"/>
    </xf>
    <xf numFmtId="2" fontId="11" fillId="2" borderId="0" xfId="0" applyNumberFormat="1" applyFont="1" applyFill="1" applyBorder="1" applyAlignment="1" applyProtection="1">
      <alignment horizontal="center" vertical="center"/>
    </xf>
    <xf numFmtId="2" fontId="11" fillId="2" borderId="89" xfId="0" applyNumberFormat="1" applyFont="1" applyFill="1" applyBorder="1" applyAlignment="1" applyProtection="1">
      <alignment horizontal="center" vertical="center"/>
    </xf>
    <xf numFmtId="178" fontId="22" fillId="2" borderId="4" xfId="0" applyFont="1" applyFill="1" applyBorder="1" applyAlignment="1" applyProtection="1">
      <alignment horizontal="center" vertical="center"/>
    </xf>
    <xf numFmtId="178" fontId="22" fillId="2" borderId="89" xfId="0" applyFont="1" applyFill="1" applyBorder="1" applyAlignment="1" applyProtection="1">
      <alignment horizontal="center" vertical="center"/>
    </xf>
    <xf numFmtId="178" fontId="179" fillId="2" borderId="4" xfId="0" applyFont="1" applyFill="1" applyBorder="1" applyAlignment="1" applyProtection="1">
      <alignment horizontal="center" vertical="center"/>
    </xf>
    <xf numFmtId="178" fontId="179" fillId="2" borderId="0" xfId="0" applyFont="1" applyFill="1" applyBorder="1" applyAlignment="1" applyProtection="1">
      <alignment horizontal="center" vertical="center"/>
    </xf>
    <xf numFmtId="1" fontId="179" fillId="2" borderId="0" xfId="0" applyNumberFormat="1" applyFont="1" applyFill="1" applyBorder="1" applyAlignment="1" applyProtection="1">
      <alignment horizontal="center" vertical="center"/>
    </xf>
    <xf numFmtId="178" fontId="179" fillId="2" borderId="89" xfId="0" applyFont="1" applyFill="1" applyBorder="1" applyAlignment="1" applyProtection="1">
      <alignment horizontal="center" vertical="center"/>
    </xf>
    <xf numFmtId="1" fontId="22" fillId="0" borderId="30" xfId="0" applyNumberFormat="1" applyFont="1" applyBorder="1" applyAlignment="1" applyProtection="1">
      <alignment horizontal="center"/>
    </xf>
    <xf numFmtId="1" fontId="22" fillId="0" borderId="67" xfId="0" applyNumberFormat="1" applyFont="1" applyBorder="1" applyAlignment="1" applyProtection="1">
      <alignment horizontal="center"/>
    </xf>
    <xf numFmtId="1" fontId="22" fillId="0" borderId="90" xfId="0" applyNumberFormat="1" applyFont="1" applyBorder="1" applyAlignment="1" applyProtection="1">
      <alignment horizontal="center"/>
    </xf>
    <xf numFmtId="185" fontId="11" fillId="0" borderId="4" xfId="0" applyNumberFormat="1" applyFont="1" applyBorder="1" applyAlignment="1" applyProtection="1">
      <alignment horizontal="center" vertical="center"/>
    </xf>
    <xf numFmtId="185" fontId="11" fillId="0" borderId="0" xfId="0" applyNumberFormat="1" applyFont="1" applyBorder="1" applyAlignment="1" applyProtection="1">
      <alignment horizontal="center" vertical="center"/>
    </xf>
    <xf numFmtId="185" fontId="11" fillId="0" borderId="89" xfId="0" applyNumberFormat="1" applyFont="1" applyBorder="1" applyAlignment="1" applyProtection="1">
      <alignment horizontal="center" vertical="center"/>
    </xf>
    <xf numFmtId="1" fontId="61" fillId="0" borderId="4" xfId="0" applyNumberFormat="1" applyFont="1" applyBorder="1" applyAlignment="1" applyProtection="1">
      <alignment horizontal="center" vertical="center"/>
    </xf>
    <xf numFmtId="1" fontId="61" fillId="0" borderId="0" xfId="0" applyNumberFormat="1" applyFont="1" applyBorder="1" applyAlignment="1" applyProtection="1">
      <alignment horizontal="center" vertical="center"/>
    </xf>
    <xf numFmtId="1" fontId="61" fillId="0" borderId="89" xfId="0" applyNumberFormat="1" applyFont="1" applyBorder="1" applyAlignment="1" applyProtection="1">
      <alignment horizontal="center" vertical="center"/>
    </xf>
    <xf numFmtId="165" fontId="98" fillId="0" borderId="0" xfId="0" applyNumberFormat="1" applyFont="1" applyBorder="1" applyAlignment="1" applyProtection="1">
      <alignment horizontal="center" vertical="center"/>
    </xf>
    <xf numFmtId="1" fontId="22" fillId="0" borderId="4" xfId="0" applyNumberFormat="1" applyFont="1" applyBorder="1" applyAlignment="1" applyProtection="1">
      <alignment horizontal="center" vertical="center"/>
    </xf>
    <xf numFmtId="1" fontId="22" fillId="0" borderId="89" xfId="0" applyNumberFormat="1" applyFont="1" applyBorder="1" applyAlignment="1" applyProtection="1">
      <alignment horizontal="center" vertical="center"/>
    </xf>
    <xf numFmtId="2" fontId="11" fillId="0" borderId="4" xfId="0" applyNumberFormat="1" applyFont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horizontal="center" vertical="center"/>
    </xf>
    <xf numFmtId="2" fontId="11" fillId="0" borderId="89" xfId="0" applyNumberFormat="1" applyFont="1" applyBorder="1" applyAlignment="1" applyProtection="1">
      <alignment horizontal="center" vertical="center"/>
    </xf>
    <xf numFmtId="178" fontId="22" fillId="0" borderId="4" xfId="0" applyFont="1" applyBorder="1" applyAlignment="1" applyProtection="1">
      <alignment horizontal="center" vertical="center"/>
    </xf>
    <xf numFmtId="178" fontId="22" fillId="0" borderId="89" xfId="0" applyFont="1" applyBorder="1" applyAlignment="1" applyProtection="1">
      <alignment horizontal="center" vertical="center"/>
    </xf>
    <xf numFmtId="178" fontId="179" fillId="0" borderId="4" xfId="0" applyFont="1" applyBorder="1" applyAlignment="1" applyProtection="1">
      <alignment horizontal="center" vertical="center"/>
    </xf>
    <xf numFmtId="178" fontId="179" fillId="0" borderId="0" xfId="0" applyFont="1" applyBorder="1" applyAlignment="1" applyProtection="1">
      <alignment horizontal="center" vertical="center"/>
    </xf>
    <xf numFmtId="1" fontId="179" fillId="0" borderId="0" xfId="0" applyNumberFormat="1" applyFont="1" applyBorder="1" applyAlignment="1" applyProtection="1">
      <alignment horizontal="center" vertical="center"/>
    </xf>
    <xf numFmtId="178" fontId="179" fillId="0" borderId="89" xfId="0" applyFont="1" applyBorder="1" applyAlignment="1" applyProtection="1">
      <alignment horizontal="center" vertical="center"/>
    </xf>
    <xf numFmtId="2" fontId="11" fillId="0" borderId="0" xfId="0" applyNumberFormat="1" applyFont="1" applyFill="1" applyBorder="1" applyAlignment="1" applyProtection="1">
      <alignment horizontal="center" vertical="center"/>
    </xf>
    <xf numFmtId="2" fontId="11" fillId="0" borderId="89" xfId="0" applyNumberFormat="1" applyFont="1" applyFill="1" applyBorder="1" applyAlignment="1" applyProtection="1">
      <alignment horizontal="center" vertical="center"/>
    </xf>
    <xf numFmtId="178" fontId="11" fillId="29" borderId="0" xfId="0" applyFont="1" applyFill="1" applyAlignment="1" applyProtection="1">
      <alignment horizontal="left" vertical="center"/>
    </xf>
    <xf numFmtId="185" fontId="11" fillId="0" borderId="30" xfId="0" applyNumberFormat="1" applyFont="1" applyBorder="1" applyAlignment="1" applyProtection="1">
      <alignment horizontal="center"/>
    </xf>
    <xf numFmtId="185" fontId="11" fillId="0" borderId="67" xfId="0" applyNumberFormat="1" applyFont="1" applyBorder="1" applyAlignment="1" applyProtection="1">
      <alignment horizontal="center"/>
    </xf>
    <xf numFmtId="185" fontId="11" fillId="0" borderId="90" xfId="0" applyNumberFormat="1" applyFont="1" applyBorder="1" applyAlignment="1" applyProtection="1">
      <alignment horizontal="center"/>
    </xf>
    <xf numFmtId="185" fontId="11" fillId="0" borderId="30" xfId="0" applyNumberFormat="1" applyFont="1" applyBorder="1" applyAlignment="1" applyProtection="1">
      <alignment horizontal="center" vertical="center"/>
    </xf>
    <xf numFmtId="185" fontId="11" fillId="0" borderId="67" xfId="0" applyNumberFormat="1" applyFont="1" applyBorder="1" applyAlignment="1" applyProtection="1">
      <alignment horizontal="center" vertical="center"/>
    </xf>
    <xf numFmtId="185" fontId="11" fillId="0" borderId="90" xfId="0" applyNumberFormat="1" applyFont="1" applyBorder="1" applyAlignment="1" applyProtection="1">
      <alignment horizontal="center" vertical="center"/>
    </xf>
    <xf numFmtId="178" fontId="22" fillId="0" borderId="30" xfId="0" applyFont="1" applyBorder="1" applyAlignment="1" applyProtection="1">
      <alignment horizontal="center" vertical="center"/>
    </xf>
    <xf numFmtId="178" fontId="22" fillId="0" borderId="90" xfId="0" applyFont="1" applyBorder="1" applyAlignment="1" applyProtection="1">
      <alignment horizontal="center" vertical="center"/>
    </xf>
    <xf numFmtId="1" fontId="61" fillId="0" borderId="30" xfId="0" applyNumberFormat="1" applyFont="1" applyBorder="1" applyAlignment="1" applyProtection="1">
      <alignment horizontal="center" vertical="center"/>
    </xf>
    <xf numFmtId="1" fontId="61" fillId="0" borderId="67" xfId="0" applyNumberFormat="1" applyFont="1" applyBorder="1" applyAlignment="1" applyProtection="1">
      <alignment horizontal="center" vertical="center"/>
    </xf>
    <xf numFmtId="1" fontId="61" fillId="0" borderId="90" xfId="0" applyNumberFormat="1" applyFont="1" applyBorder="1" applyAlignment="1" applyProtection="1">
      <alignment horizontal="center" vertical="center"/>
    </xf>
    <xf numFmtId="165" fontId="98" fillId="0" borderId="67" xfId="0" applyNumberFormat="1" applyFont="1" applyBorder="1" applyAlignment="1" applyProtection="1">
      <alignment horizontal="center" vertical="center"/>
    </xf>
    <xf numFmtId="1" fontId="22" fillId="0" borderId="30" xfId="0" applyNumberFormat="1" applyFont="1" applyBorder="1" applyAlignment="1" applyProtection="1">
      <alignment horizontal="center" vertical="center"/>
    </xf>
    <xf numFmtId="1" fontId="22" fillId="0" borderId="90" xfId="0" applyNumberFormat="1" applyFont="1" applyBorder="1" applyAlignment="1" applyProtection="1">
      <alignment horizontal="center" vertical="center"/>
    </xf>
    <xf numFmtId="2" fontId="11" fillId="0" borderId="30" xfId="0" applyNumberFormat="1" applyFont="1" applyBorder="1" applyAlignment="1" applyProtection="1">
      <alignment horizontal="center" vertical="center"/>
    </xf>
    <xf numFmtId="2" fontId="11" fillId="0" borderId="67" xfId="0" applyNumberFormat="1" applyFont="1" applyBorder="1" applyAlignment="1" applyProtection="1">
      <alignment horizontal="center" vertical="center"/>
    </xf>
    <xf numFmtId="2" fontId="11" fillId="0" borderId="67" xfId="0" applyNumberFormat="1" applyFont="1" applyFill="1" applyBorder="1" applyAlignment="1" applyProtection="1">
      <alignment horizontal="center" vertical="center"/>
    </xf>
    <xf numFmtId="2" fontId="11" fillId="0" borderId="90" xfId="0" applyNumberFormat="1" applyFont="1" applyFill="1" applyBorder="1" applyAlignment="1" applyProtection="1">
      <alignment horizontal="center" vertical="center"/>
    </xf>
    <xf numFmtId="178" fontId="179" fillId="0" borderId="30" xfId="0" applyFont="1" applyBorder="1" applyAlignment="1" applyProtection="1">
      <alignment horizontal="center" vertical="center"/>
    </xf>
    <xf numFmtId="178" fontId="179" fillId="0" borderId="67" xfId="0" applyFont="1" applyBorder="1" applyAlignment="1" applyProtection="1">
      <alignment horizontal="center" vertical="center"/>
    </xf>
    <xf numFmtId="1" fontId="179" fillId="0" borderId="67" xfId="0" applyNumberFormat="1" applyFont="1" applyBorder="1" applyAlignment="1" applyProtection="1">
      <alignment horizontal="center" vertical="center"/>
    </xf>
    <xf numFmtId="178" fontId="179" fillId="0" borderId="90" xfId="0" applyFont="1" applyBorder="1" applyAlignment="1" applyProtection="1">
      <alignment horizontal="center" vertical="center"/>
    </xf>
    <xf numFmtId="170" fontId="15" fillId="0" borderId="0" xfId="0" applyNumberFormat="1" applyFont="1" applyFill="1" applyAlignment="1">
      <alignment horizontal="center"/>
    </xf>
    <xf numFmtId="170" fontId="5" fillId="0" borderId="0" xfId="0" applyNumberFormat="1" applyFont="1" applyFill="1" applyAlignment="1">
      <alignment horizontal="center"/>
    </xf>
    <xf numFmtId="178" fontId="5" fillId="0" borderId="4" xfId="0" applyFont="1" applyBorder="1" applyAlignment="1">
      <alignment horizontal="center"/>
    </xf>
    <xf numFmtId="178" fontId="5" fillId="0" borderId="89" xfId="0" applyFont="1" applyBorder="1" applyAlignment="1">
      <alignment horizontal="center"/>
    </xf>
    <xf numFmtId="1" fontId="75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74" fillId="0" borderId="0" xfId="0" applyNumberFormat="1" applyFont="1" applyBorder="1" applyAlignment="1">
      <alignment horizontal="center"/>
    </xf>
    <xf numFmtId="178" fontId="5" fillId="0" borderId="0" xfId="0" applyFont="1" applyAlignment="1">
      <alignment horizontal="center"/>
    </xf>
    <xf numFmtId="174" fontId="29" fillId="0" borderId="4" xfId="0" applyNumberFormat="1" applyFont="1" applyBorder="1" applyAlignment="1" applyProtection="1">
      <alignment horizontal="center"/>
    </xf>
    <xf numFmtId="174" fontId="29" fillId="0" borderId="89" xfId="0" applyNumberFormat="1" applyFont="1" applyBorder="1" applyAlignment="1" applyProtection="1">
      <alignment horizontal="center"/>
    </xf>
    <xf numFmtId="178" fontId="29" fillId="0" borderId="4" xfId="0" applyFont="1" applyBorder="1" applyAlignment="1" applyProtection="1">
      <alignment horizontal="center"/>
    </xf>
    <xf numFmtId="178" fontId="29" fillId="0" borderId="89" xfId="0" applyFont="1" applyBorder="1" applyAlignment="1" applyProtection="1">
      <alignment horizontal="center"/>
    </xf>
    <xf numFmtId="193" fontId="14" fillId="0" borderId="0" xfId="0" applyNumberFormat="1" applyFont="1" applyAlignment="1" applyProtection="1">
      <alignment horizontal="center"/>
      <protection hidden="1"/>
    </xf>
    <xf numFmtId="183" fontId="14" fillId="0" borderId="0" xfId="0" applyNumberFormat="1" applyFont="1" applyAlignment="1" applyProtection="1">
      <alignment horizontal="left"/>
      <protection hidden="1"/>
    </xf>
    <xf numFmtId="178" fontId="14" fillId="0" borderId="0" xfId="0" applyFont="1" applyAlignment="1" applyProtection="1">
      <alignment horizontal="left"/>
      <protection hidden="1"/>
    </xf>
    <xf numFmtId="178" fontId="46" fillId="0" borderId="0" xfId="0" applyFont="1" applyAlignment="1" applyProtection="1">
      <alignment horizontal="center" wrapText="1"/>
      <protection hidden="1"/>
    </xf>
    <xf numFmtId="178" fontId="6" fillId="3" borderId="0" xfId="0" applyFont="1" applyFill="1" applyBorder="1" applyAlignment="1" applyProtection="1">
      <alignment horizontal="center" vertical="center"/>
      <protection hidden="1"/>
    </xf>
    <xf numFmtId="178" fontId="6" fillId="3" borderId="48" xfId="0" applyFont="1" applyFill="1" applyBorder="1" applyAlignment="1" applyProtection="1">
      <alignment horizontal="center" vertical="center"/>
      <protection hidden="1"/>
    </xf>
    <xf numFmtId="178" fontId="6" fillId="3" borderId="46" xfId="0" applyFont="1" applyFill="1" applyBorder="1" applyAlignment="1" applyProtection="1">
      <alignment horizontal="center" vertical="center"/>
      <protection hidden="1"/>
    </xf>
    <xf numFmtId="178" fontId="6" fillId="3" borderId="49" xfId="0" applyFont="1" applyFill="1" applyBorder="1" applyAlignment="1" applyProtection="1">
      <alignment horizontal="center" vertical="center"/>
      <protection hidden="1"/>
    </xf>
    <xf numFmtId="178" fontId="92" fillId="3" borderId="81" xfId="0" applyFont="1" applyFill="1" applyBorder="1" applyAlignment="1" applyProtection="1">
      <alignment horizontal="center" vertical="center" wrapText="1"/>
      <protection hidden="1"/>
    </xf>
    <xf numFmtId="178" fontId="92" fillId="3" borderId="158" xfId="0" applyFont="1" applyFill="1" applyBorder="1" applyAlignment="1" applyProtection="1">
      <alignment horizontal="center" vertical="center" wrapText="1"/>
      <protection hidden="1"/>
    </xf>
    <xf numFmtId="183" fontId="46" fillId="0" borderId="0" xfId="0" applyNumberFormat="1" applyFont="1" applyAlignment="1" applyProtection="1">
      <alignment horizontal="center"/>
      <protection hidden="1"/>
    </xf>
    <xf numFmtId="178" fontId="46" fillId="0" borderId="0" xfId="0" applyFont="1" applyAlignment="1" applyProtection="1">
      <alignment horizontal="center"/>
      <protection hidden="1"/>
    </xf>
    <xf numFmtId="178" fontId="8" fillId="3" borderId="30" xfId="0" applyFont="1" applyFill="1" applyBorder="1" applyAlignment="1" applyProtection="1">
      <alignment horizontal="center" vertical="center"/>
      <protection hidden="1"/>
    </xf>
    <xf numFmtId="178" fontId="8" fillId="3" borderId="67" xfId="0" applyFont="1" applyFill="1" applyBorder="1" applyAlignment="1" applyProtection="1">
      <alignment horizontal="center" vertical="center"/>
      <protection hidden="1"/>
    </xf>
    <xf numFmtId="183" fontId="22" fillId="2" borderId="9" xfId="0" applyNumberFormat="1" applyFont="1" applyFill="1" applyBorder="1" applyAlignment="1" applyProtection="1">
      <alignment horizontal="center"/>
      <protection hidden="1"/>
    </xf>
    <xf numFmtId="183" fontId="22" fillId="0" borderId="9" xfId="0" applyNumberFormat="1" applyFont="1" applyFill="1" applyBorder="1" applyAlignment="1" applyProtection="1">
      <alignment horizontal="center"/>
      <protection hidden="1"/>
    </xf>
    <xf numFmtId="178" fontId="6" fillId="3" borderId="4" xfId="0" applyFont="1" applyFill="1" applyBorder="1" applyAlignment="1" applyProtection="1">
      <alignment horizontal="center" vertical="center"/>
      <protection hidden="1"/>
    </xf>
    <xf numFmtId="178" fontId="6" fillId="3" borderId="48" xfId="0" applyFont="1" applyFill="1" applyBorder="1" applyAlignment="1" applyProtection="1">
      <alignment horizontal="center" vertical="center" wrapText="1"/>
      <protection hidden="1"/>
    </xf>
    <xf numFmtId="178" fontId="6" fillId="3" borderId="49" xfId="0" applyFont="1" applyFill="1" applyBorder="1" applyAlignment="1" applyProtection="1">
      <alignment horizontal="center" vertical="center" wrapText="1"/>
      <protection hidden="1"/>
    </xf>
    <xf numFmtId="178" fontId="6" fillId="3" borderId="4" xfId="0" applyFont="1" applyFill="1" applyBorder="1" applyAlignment="1" applyProtection="1">
      <alignment horizontal="right" vertical="center" wrapText="1"/>
      <protection hidden="1"/>
    </xf>
    <xf numFmtId="178" fontId="6" fillId="3" borderId="89" xfId="0" applyFont="1" applyFill="1" applyBorder="1" applyAlignment="1" applyProtection="1">
      <alignment horizontal="right" vertical="center" wrapText="1"/>
      <protection hidden="1"/>
    </xf>
    <xf numFmtId="178" fontId="6" fillId="3" borderId="81" xfId="0" applyFont="1" applyFill="1" applyBorder="1" applyAlignment="1" applyProtection="1">
      <alignment horizontal="center" vertical="center" wrapText="1"/>
      <protection hidden="1"/>
    </xf>
    <xf numFmtId="178" fontId="6" fillId="3" borderId="83" xfId="0" applyFont="1" applyFill="1" applyBorder="1" applyAlignment="1" applyProtection="1">
      <alignment horizontal="center" vertical="center" wrapText="1"/>
      <protection hidden="1"/>
    </xf>
    <xf numFmtId="178" fontId="6" fillId="3" borderId="82" xfId="0" applyFont="1" applyFill="1" applyBorder="1" applyAlignment="1" applyProtection="1">
      <alignment horizontal="center" vertical="center" wrapText="1"/>
      <protection hidden="1"/>
    </xf>
    <xf numFmtId="178" fontId="6" fillId="3" borderId="81" xfId="0" applyNumberFormat="1" applyFont="1" applyFill="1" applyBorder="1" applyAlignment="1" applyProtection="1">
      <alignment horizontal="center" vertical="center" wrapText="1"/>
      <protection hidden="1"/>
    </xf>
    <xf numFmtId="178" fontId="6" fillId="3" borderId="83" xfId="0" applyNumberFormat="1" applyFont="1" applyFill="1" applyBorder="1" applyAlignment="1" applyProtection="1">
      <alignment horizontal="center" vertical="center" wrapText="1"/>
      <protection hidden="1"/>
    </xf>
    <xf numFmtId="178" fontId="6" fillId="3" borderId="1" xfId="0" applyFont="1" applyFill="1" applyBorder="1" applyAlignment="1" applyProtection="1">
      <alignment horizontal="center" vertical="center"/>
      <protection hidden="1"/>
    </xf>
    <xf numFmtId="178" fontId="6" fillId="3" borderId="81" xfId="0" applyFont="1" applyFill="1" applyBorder="1" applyAlignment="1" applyProtection="1">
      <alignment horizontal="center" vertical="center"/>
      <protection hidden="1"/>
    </xf>
    <xf numFmtId="178" fontId="14" fillId="3" borderId="83" xfId="0" applyFont="1" applyFill="1" applyBorder="1" applyAlignment="1" applyProtection="1">
      <alignment horizontal="center" vertical="center" wrapText="1"/>
      <protection hidden="1"/>
    </xf>
    <xf numFmtId="178" fontId="6" fillId="3" borderId="48" xfId="0" applyFont="1" applyFill="1" applyBorder="1" applyAlignment="1" applyProtection="1">
      <alignment horizontal="center" vertical="top"/>
      <protection hidden="1"/>
    </xf>
    <xf numFmtId="178" fontId="6" fillId="3" borderId="46" xfId="0" applyFont="1" applyFill="1" applyBorder="1" applyAlignment="1" applyProtection="1">
      <alignment horizontal="center" vertical="top"/>
      <protection hidden="1"/>
    </xf>
    <xf numFmtId="178" fontId="6" fillId="3" borderId="49" xfId="0" applyFont="1" applyFill="1" applyBorder="1" applyAlignment="1" applyProtection="1">
      <alignment horizontal="center" vertical="top"/>
      <protection hidden="1"/>
    </xf>
    <xf numFmtId="178" fontId="6" fillId="3" borderId="4" xfId="0" applyFont="1" applyFill="1" applyBorder="1" applyAlignment="1" applyProtection="1">
      <alignment horizontal="center" vertical="top"/>
      <protection hidden="1"/>
    </xf>
    <xf numFmtId="178" fontId="6" fillId="3" borderId="0" xfId="0" applyFont="1" applyFill="1" applyBorder="1" applyAlignment="1" applyProtection="1">
      <alignment horizontal="center" vertical="top"/>
      <protection hidden="1"/>
    </xf>
    <xf numFmtId="178" fontId="6" fillId="3" borderId="89" xfId="0" applyFont="1" applyFill="1" applyBorder="1" applyAlignment="1" applyProtection="1">
      <alignment horizontal="center" vertical="top"/>
      <protection hidden="1"/>
    </xf>
    <xf numFmtId="205" fontId="11" fillId="0" borderId="0" xfId="0" applyNumberFormat="1" applyFont="1" applyAlignment="1">
      <alignment horizontal="left"/>
    </xf>
    <xf numFmtId="178" fontId="22" fillId="0" borderId="4" xfId="0" applyFont="1" applyBorder="1" applyAlignment="1" applyProtection="1">
      <alignment horizontal="center"/>
      <protection hidden="1"/>
    </xf>
    <xf numFmtId="178" fontId="22" fillId="0" borderId="0" xfId="0" applyFont="1" applyBorder="1" applyAlignment="1" applyProtection="1">
      <alignment horizontal="center"/>
      <protection hidden="1"/>
    </xf>
    <xf numFmtId="205" fontId="22" fillId="0" borderId="0" xfId="0" applyNumberFormat="1" applyFont="1" applyAlignment="1" applyProtection="1">
      <alignment horizontal="left"/>
      <protection hidden="1"/>
    </xf>
    <xf numFmtId="178" fontId="46" fillId="0" borderId="4" xfId="0" applyFont="1" applyBorder="1" applyAlignment="1" applyProtection="1">
      <alignment horizontal="center"/>
      <protection hidden="1"/>
    </xf>
    <xf numFmtId="178" fontId="46" fillId="0" borderId="89" xfId="0" applyFont="1" applyBorder="1" applyAlignment="1" applyProtection="1">
      <alignment horizontal="center"/>
      <protection hidden="1"/>
    </xf>
    <xf numFmtId="178" fontId="46" fillId="0" borderId="4" xfId="0" applyFont="1" applyBorder="1" applyAlignment="1" applyProtection="1">
      <alignment horizontal="right"/>
      <protection hidden="1"/>
    </xf>
    <xf numFmtId="178" fontId="46" fillId="0" borderId="0" xfId="0" applyFont="1" applyBorder="1" applyAlignment="1" applyProtection="1">
      <alignment horizontal="right"/>
      <protection hidden="1"/>
    </xf>
    <xf numFmtId="205" fontId="14" fillId="0" borderId="0" xfId="0" applyNumberFormat="1" applyFont="1" applyAlignment="1" applyProtection="1">
      <alignment horizontal="center"/>
      <protection hidden="1"/>
    </xf>
    <xf numFmtId="178" fontId="22" fillId="0" borderId="89" xfId="0" applyFont="1" applyBorder="1" applyAlignment="1" applyProtection="1">
      <alignment horizontal="center"/>
      <protection hidden="1"/>
    </xf>
    <xf numFmtId="178" fontId="22" fillId="51" borderId="6" xfId="0" applyFont="1" applyFill="1" applyBorder="1" applyAlignment="1" applyProtection="1">
      <alignment horizontal="center"/>
      <protection hidden="1"/>
    </xf>
    <xf numFmtId="178" fontId="22" fillId="51" borderId="0" xfId="0" applyFont="1" applyFill="1" applyBorder="1" applyAlignment="1" applyProtection="1">
      <alignment horizontal="center"/>
      <protection hidden="1"/>
    </xf>
    <xf numFmtId="178" fontId="22" fillId="51" borderId="5" xfId="0" applyFont="1" applyFill="1" applyBorder="1" applyAlignment="1" applyProtection="1">
      <alignment horizontal="center"/>
      <protection hidden="1"/>
    </xf>
    <xf numFmtId="205" fontId="14" fillId="0" borderId="0" xfId="0" applyNumberFormat="1" applyFont="1" applyAlignment="1">
      <alignment horizontal="left"/>
    </xf>
    <xf numFmtId="205" fontId="14" fillId="0" borderId="0" xfId="0" applyNumberFormat="1" applyFont="1" applyAlignment="1">
      <alignment horizontal="center"/>
    </xf>
    <xf numFmtId="205" fontId="14" fillId="0" borderId="0" xfId="0" quotePrefix="1" applyNumberFormat="1" applyFont="1" applyAlignment="1" applyProtection="1">
      <alignment horizontal="center"/>
      <protection hidden="1"/>
    </xf>
    <xf numFmtId="207" fontId="0" fillId="0" borderId="0" xfId="0" applyNumberFormat="1" applyAlignment="1">
      <alignment horizontal="center"/>
    </xf>
    <xf numFmtId="178" fontId="14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78" fontId="46" fillId="0" borderId="4" xfId="0" applyFont="1" applyBorder="1" applyAlignment="1">
      <alignment horizontal="center"/>
    </xf>
    <xf numFmtId="178" fontId="46" fillId="0" borderId="0" xfId="0" applyFont="1" applyBorder="1" applyAlignment="1">
      <alignment horizontal="center"/>
    </xf>
    <xf numFmtId="178" fontId="22" fillId="50" borderId="0" xfId="0" applyFont="1" applyFill="1" applyAlignment="1" applyProtection="1">
      <alignment horizontal="center"/>
      <protection hidden="1"/>
    </xf>
    <xf numFmtId="178" fontId="46" fillId="0" borderId="5" xfId="0" applyFont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left"/>
      <protection hidden="1"/>
    </xf>
    <xf numFmtId="1" fontId="14" fillId="0" borderId="0" xfId="0" applyNumberFormat="1" applyFont="1" applyAlignment="1" applyProtection="1">
      <alignment horizontal="right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alignment horizontal="center"/>
      <protection hidden="1"/>
    </xf>
    <xf numFmtId="1" fontId="46" fillId="0" borderId="0" xfId="0" applyNumberFormat="1" applyFont="1" applyBorder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/>
      <protection hidden="1"/>
    </xf>
    <xf numFmtId="1" fontId="46" fillId="0" borderId="4" xfId="0" applyNumberFormat="1" applyFont="1" applyBorder="1" applyAlignment="1" applyProtection="1">
      <alignment horizontal="center" wrapText="1"/>
      <protection hidden="1"/>
    </xf>
    <xf numFmtId="1" fontId="46" fillId="0" borderId="0" xfId="0" applyNumberFormat="1" applyFont="1" applyBorder="1" applyAlignment="1" applyProtection="1">
      <alignment horizontal="center" wrapText="1"/>
      <protection hidden="1"/>
    </xf>
    <xf numFmtId="1" fontId="46" fillId="0" borderId="0" xfId="0" applyNumberFormat="1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/>
      <protection hidden="1"/>
    </xf>
    <xf numFmtId="1" fontId="46" fillId="0" borderId="89" xfId="0" applyNumberFormat="1" applyFont="1" applyBorder="1" applyAlignment="1" applyProtection="1">
      <alignment horizontal="center" wrapText="1"/>
      <protection hidden="1"/>
    </xf>
    <xf numFmtId="1" fontId="46" fillId="0" borderId="90" xfId="0" applyNumberFormat="1" applyFont="1" applyBorder="1" applyAlignment="1" applyProtection="1">
      <alignment horizontal="center" wrapText="1"/>
      <protection hidden="1"/>
    </xf>
    <xf numFmtId="1" fontId="46" fillId="0" borderId="30" xfId="0" applyNumberFormat="1" applyFont="1" applyBorder="1" applyAlignment="1" applyProtection="1">
      <alignment horizontal="center" wrapText="1"/>
      <protection hidden="1"/>
    </xf>
    <xf numFmtId="1" fontId="46" fillId="0" borderId="0" xfId="0" applyNumberFormat="1" applyFont="1" applyAlignment="1" applyProtection="1">
      <alignment horizontal="center"/>
      <protection hidden="1"/>
    </xf>
    <xf numFmtId="1" fontId="22" fillId="0" borderId="0" xfId="0" applyNumberFormat="1" applyFont="1" applyBorder="1" applyAlignment="1" applyProtection="1">
      <alignment horizontal="center"/>
      <protection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3 2" xfId="4"/>
  </cellStyles>
  <dxfs count="4658"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rgb="FFFFC000"/>
      </font>
    </dxf>
    <dxf>
      <font>
        <color rgb="FFFF0000"/>
      </font>
    </dxf>
    <dxf>
      <font>
        <color theme="0" tint="-0.24994659260841701"/>
      </font>
    </dxf>
    <dxf>
      <fill>
        <patternFill>
          <bgColor rgb="FFFFFFCC"/>
        </patternFill>
      </fill>
    </dxf>
    <dxf>
      <font>
        <color rgb="FFFF0000"/>
      </font>
    </dxf>
    <dxf>
      <font>
        <color rgb="FFD60093"/>
      </font>
    </dxf>
    <dxf>
      <font>
        <color rgb="FF0000FF"/>
      </font>
    </dxf>
    <dxf>
      <font>
        <condense val="0"/>
        <extend val="0"/>
        <color indexed="20"/>
      </font>
    </dxf>
    <dxf>
      <font>
        <condense val="0"/>
        <extend val="0"/>
        <color indexed="10"/>
      </font>
    </dxf>
    <dxf>
      <font>
        <b/>
        <i val="0"/>
        <color indexed="12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0"/>
      </font>
    </dxf>
    <dxf>
      <font>
        <color theme="0" tint="-0.24994659260841701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color rgb="FF7030A0"/>
      </font>
    </dxf>
    <dxf>
      <font>
        <color theme="4" tint="-0.24994659260841701"/>
      </font>
    </dxf>
    <dxf>
      <font>
        <color rgb="FF00B050"/>
      </font>
    </dxf>
    <dxf>
      <font>
        <color rgb="FFFF6E01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ill>
        <patternFill>
          <bgColor rgb="FFFFCD2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gradientFill type="path" left="0.5" right="0.5" top="0.5" bottom="0.5">
          <stop position="0">
            <color rgb="FFC00000"/>
          </stop>
          <stop position="1">
            <color rgb="FFFF21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66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rgb="FFFF66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color rgb="FFFF6600"/>
      </font>
    </dxf>
    <dxf>
      <font>
        <color rgb="FFFF0000"/>
      </font>
    </dxf>
    <dxf>
      <font>
        <color rgb="FF7030A0"/>
      </font>
    </dxf>
    <dxf>
      <font>
        <color rgb="FF008000"/>
      </font>
    </dxf>
    <dxf>
      <font>
        <b/>
        <i val="0"/>
        <strike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 tint="-0.34998626667073579"/>
      </font>
    </dxf>
    <dxf>
      <font>
        <color rgb="FF6600CC"/>
      </font>
    </dxf>
    <dxf>
      <font>
        <color rgb="FF6600CC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6600CC"/>
      </font>
    </dxf>
    <dxf>
      <font>
        <color rgb="FFFF0000"/>
      </font>
    </dxf>
    <dxf>
      <font>
        <color rgb="FF0000FF"/>
      </font>
    </dxf>
    <dxf>
      <font>
        <color rgb="FF008000"/>
      </font>
    </dxf>
    <dxf>
      <font>
        <color rgb="FF008000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color rgb="FF008000"/>
      </font>
    </dxf>
    <dxf>
      <font>
        <color rgb="FF008000"/>
      </font>
    </dxf>
    <dxf>
      <font>
        <color rgb="FF0000FF"/>
      </font>
    </dxf>
    <dxf>
      <font>
        <color rgb="FFFF0000"/>
      </font>
    </dxf>
    <dxf>
      <font>
        <color rgb="FF6600CC"/>
      </font>
    </dxf>
    <dxf>
      <font>
        <color theme="0" tint="-0.34998626667073579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 tint="-0.34998626667073579"/>
      </font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ill>
        <gradientFill degree="90">
          <stop position="0">
            <color rgb="FFB3A3C7"/>
          </stop>
          <stop position="0.5">
            <color theme="0"/>
          </stop>
          <stop position="1">
            <color rgb="FFB3A3C7"/>
          </stop>
        </gradientFill>
      </fill>
    </dxf>
    <dxf>
      <fill>
        <gradientFill degree="90">
          <stop position="0">
            <color theme="6" tint="0.40000610370189521"/>
          </stop>
          <stop position="0.5">
            <color theme="0"/>
          </stop>
          <stop position="1">
            <color theme="6" tint="0.40000610370189521"/>
          </stop>
        </gradient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1" tint="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theme="1"/>
      </font>
    </dxf>
    <dxf>
      <font>
        <color theme="1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theme="0"/>
      </font>
      <fill>
        <patternFill>
          <bgColor rgb="FFFF0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theme="1" tint="0.34998626667073579"/>
      </font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theme="7" tint="0.79998168889431442"/>
      </font>
      <fill>
        <patternFill>
          <bgColor theme="4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color theme="0" tint="-0.24994659260841701"/>
      </font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BDBD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border>
        <left/>
        <bottom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border>
        <left/>
        <bottom/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border>
        <left/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1"/>
      </font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  <vertical/>
        <horizontal/>
      </border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>
          <bgColor rgb="FFF4F8EE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border>
        <left/>
        <vertical/>
        <horizontal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border>
        <left/>
        <vertical/>
        <horizontal/>
      </border>
    </dxf>
    <dxf>
      <border>
        <left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top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font>
        <color theme="0"/>
      </font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ont>
        <color theme="0"/>
      </font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ont>
        <color theme="0"/>
      </font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border>
        <left/>
        <top/>
        <vertical/>
        <horizontal/>
      </border>
    </dxf>
    <dxf>
      <border>
        <left/>
        <top/>
        <bottom/>
        <vertical/>
        <horizontal/>
      </border>
    </dxf>
    <dxf>
      <border>
        <top/>
        <vertical/>
        <horizontal/>
      </border>
    </dxf>
    <dxf>
      <border>
        <vertical/>
        <horizontal/>
      </border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border>
        <left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ont>
        <color rgb="FFFF6600"/>
      </font>
      <fill>
        <patternFill>
          <bgColor rgb="FFFFFF66"/>
        </patternFill>
      </fill>
    </dxf>
    <dxf>
      <font>
        <color rgb="FFFF0000"/>
      </font>
      <fill>
        <patternFill>
          <bgColor rgb="FFFFCCFF"/>
        </patternFill>
      </fill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</border>
    </dxf>
    <dxf>
      <font>
        <color theme="0" tint="-0.34998626667073579"/>
      </font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ont>
        <b/>
        <i val="0"/>
        <color theme="0" tint="-0.499984740745262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 tint="4.9989318521683403E-2"/>
        </patternFill>
      </fill>
    </dxf>
    <dxf>
      <font>
        <color theme="0"/>
      </font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color rgb="FF008000"/>
      </font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patternFill>
          <bgColor theme="0" tint="-0.24994659260841701"/>
        </patternFill>
      </fill>
      <border>
        <top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bottom/>
      </border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/>
        </patternFill>
      </fill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right style="hair">
          <color auto="1"/>
        </right>
        <bottom/>
        <vertical/>
        <horizontal/>
      </border>
    </dxf>
    <dxf>
      <border>
        <bottom/>
        <vertical/>
        <horizontal/>
      </border>
    </dxf>
    <dxf>
      <border>
        <top/>
        <vertical/>
        <horizontal/>
      </border>
    </dxf>
    <dxf>
      <border>
        <right style="hair">
          <color auto="1"/>
        </right>
        <top/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border>
        <left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A7D971"/>
          </stop>
          <stop position="1">
            <color rgb="FF008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 top="1" bottom="1">
          <stop position="0">
            <color rgb="FFFFFF99"/>
          </stop>
          <stop position="1">
            <color rgb="FFFFC000"/>
          </stop>
        </gradientFill>
      </fill>
      <border>
        <left/>
        <top/>
        <vertical/>
        <horizontal/>
      </border>
    </dxf>
    <dxf>
      <fill>
        <gradientFill type="path" left="1" right="1" top="1" bottom="1">
          <stop position="0">
            <color rgb="FFFE6666"/>
          </stop>
          <stop position="1">
            <color rgb="FFC00000"/>
          </stop>
        </gradientFill>
      </fill>
      <border>
        <left/>
        <top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left="1" right="1">
          <stop position="0">
            <color rgb="FFA7D971"/>
          </stop>
          <stop position="1">
            <color rgb="FF008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FFF99"/>
          </stop>
          <stop position="1">
            <color rgb="FFFFC000"/>
          </stop>
        </gradientFill>
      </fill>
      <border>
        <left/>
        <bottom/>
        <vertical/>
        <horizontal/>
      </border>
    </dxf>
    <dxf>
      <fill>
        <gradientFill type="path" left="1" right="1">
          <stop position="0">
            <color rgb="FFFE6666"/>
          </stop>
          <stop position="1">
            <color rgb="FFC00000"/>
          </stop>
        </gradientFill>
      </fill>
      <border>
        <left/>
        <bottom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border>
        <left/>
        <vertical/>
        <horizontal/>
      </border>
    </dxf>
    <dxf>
      <fill>
        <gradientFill type="path" top="1" bottom="1">
          <stop position="0">
            <color rgb="FFA7D971"/>
          </stop>
          <stop position="1">
            <color rgb="FF008000"/>
          </stop>
        </gradientFill>
      </fill>
      <border>
        <right/>
        <top/>
        <vertical/>
        <horizontal/>
      </border>
    </dxf>
    <dxf>
      <fill>
        <gradientFill type="path" top="1" bottom="1">
          <stop position="0">
            <color rgb="FFFFFF99"/>
          </stop>
          <stop position="1">
            <color rgb="FFFFC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gradientFill type="path" top="1" bottom="1">
          <stop position="0">
            <color rgb="FFFE6666"/>
          </stop>
          <stop position="1">
            <color rgb="FFC00000"/>
          </stop>
        </gradientFill>
      </fill>
      <border>
        <right/>
        <top/>
        <vertical/>
        <horizontal/>
      </border>
    </dxf>
    <dxf>
      <fill>
        <gradientFill type="path">
          <stop position="0">
            <color rgb="FFA7D971"/>
          </stop>
          <stop position="1">
            <color rgb="FF008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FFF99"/>
          </stop>
          <stop position="1">
            <color rgb="FFFFC000"/>
          </stop>
        </gradientFill>
      </fill>
      <border>
        <right/>
        <bottom/>
        <vertical/>
        <horizontal/>
      </border>
    </dxf>
    <dxf>
      <fill>
        <gradientFill type="path">
          <stop position="0">
            <color rgb="FFFE6666"/>
          </stop>
          <stop position="1">
            <color rgb="FFC00000"/>
          </stop>
        </gradientFill>
      </fill>
      <border>
        <righ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vertical/>
        <horizontal/>
      </border>
    </dxf>
    <dxf>
      <border>
        <left/>
        <top/>
        <bottom/>
        <vertical/>
        <horizontal/>
      </border>
    </dxf>
    <dxf>
      <border>
        <left/>
        <bottom/>
        <vertical/>
        <horizontal/>
      </border>
    </dxf>
    <dxf>
      <border>
        <top/>
        <vertical/>
        <horizontal/>
      </border>
    </dxf>
    <dxf>
      <border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 style="hair">
          <color auto="1"/>
        </left>
        <right/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gradientFill degree="90">
          <stop position="0">
            <color rgb="FFECF1F8"/>
          </stop>
          <stop position="1">
            <color rgb="FFECF1F8"/>
          </stop>
        </gradientFill>
      </fill>
      <border>
        <left/>
        <right style="hair">
          <color auto="1"/>
        </right>
        <top style="hair">
          <color auto="1"/>
        </top>
        <vertical/>
        <horizontal/>
      </border>
    </dxf>
    <dxf>
      <fill>
        <gradientFill degree="90">
          <stop position="0">
            <color rgb="FFF4F8EE"/>
          </stop>
          <stop position="1">
            <color rgb="FFF4F8EE"/>
          </stop>
        </gradient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rgb="FFF4F8EE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hair">
          <color auto="1"/>
        </left>
        <right style="hair">
          <color auto="1"/>
        </right>
        <bottom style="hair">
          <color auto="1"/>
        </bottom>
        <vertical/>
        <horizontal/>
      </border>
    </dxf>
    <dxf>
      <border>
        <left/>
        <vertical/>
        <horizontal/>
      </border>
    </dxf>
    <dxf>
      <border>
        <left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vertical/>
        <horizontal/>
      </border>
    </dxf>
    <dxf>
      <border>
        <left/>
        <top/>
        <bottom/>
        <vertical/>
        <horizontal/>
      </border>
    </dxf>
    <dxf>
      <border>
        <left/>
        <bottom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top/>
        <vertical/>
        <horizontal/>
      </border>
    </dxf>
    <dxf>
      <fill>
        <patternFill patternType="solid">
          <fgColor auto="1"/>
          <bgColor theme="9" tint="0.79998168889431442"/>
        </patternFill>
      </fill>
      <border>
        <left style="hair">
          <color auto="1"/>
        </left>
        <bottom/>
        <vertical/>
        <horizontal/>
      </border>
    </dxf>
    <dxf>
      <border>
        <left/>
        <vertical/>
        <horizontal/>
      </border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rgb="FF4305F1"/>
        </patternFill>
      </fill>
    </dxf>
    <dxf>
      <fill>
        <patternFill>
          <bgColor rgb="FFC00000"/>
        </patternFill>
      </fill>
    </dxf>
    <dxf>
      <fill>
        <patternFill>
          <bgColor rgb="FFE60000"/>
        </patternFill>
      </fill>
    </dxf>
    <dxf>
      <fill>
        <patternFill>
          <bgColor rgb="FFFF3701"/>
        </patternFill>
      </fill>
    </dxf>
    <dxf>
      <fill>
        <patternFill>
          <bgColor rgb="FFFF6600"/>
        </patternFill>
      </fill>
    </dxf>
    <dxf>
      <fill>
        <patternFill>
          <bgColor rgb="FF009999"/>
        </patternFill>
      </fill>
    </dxf>
    <dxf>
      <fill>
        <patternFill>
          <bgColor rgb="FF0070C0"/>
        </patternFill>
      </fill>
    </dxf>
    <dxf>
      <fill>
        <patternFill>
          <bgColor rgb="FF0535FF"/>
        </patternFill>
      </fill>
    </dxf>
    <dxf>
      <fill>
        <patternFill>
          <bgColor rgb="FF6600CC"/>
        </patternFill>
      </fill>
    </dxf>
    <dxf>
      <fill>
        <patternFill>
          <bgColor rgb="FF66006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ill>
        <gradientFill type="path" left="0.5" right="0.5" top="0.5" bottom="0.5">
          <stop position="0">
            <color rgb="FFA20000"/>
          </stop>
          <stop position="1">
            <color rgb="FFFE5454"/>
          </stop>
        </gradientFill>
      </fill>
    </dxf>
    <dxf>
      <fill>
        <gradientFill type="path" left="0.5" right="0.5" top="0.5" bottom="0.5">
          <stop position="0">
            <color rgb="FFFFC000"/>
          </stop>
          <stop position="1">
            <color rgb="FFFFFF99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color theme="1" tint="0.34998626667073579"/>
      </font>
      <fill>
        <patternFill patternType="solid">
          <fgColor auto="1"/>
          <bgColor theme="0"/>
        </patternFill>
      </fill>
    </dxf>
    <dxf>
      <fill>
        <gradientFill degree="90">
          <stop position="0">
            <color rgb="FFFFD0C5"/>
          </stop>
          <stop position="0.5">
            <color theme="0"/>
          </stop>
          <stop position="1">
            <color rgb="FFFFD0C5"/>
          </stop>
        </gradientFill>
      </fill>
    </dxf>
    <dxf>
      <fill>
        <gradientFill degree="270">
          <stop position="0">
            <color theme="7" tint="0.80001220740379042"/>
          </stop>
          <stop position="1">
            <color theme="7" tint="0.40000610370189521"/>
          </stop>
        </gradientFill>
      </fill>
    </dxf>
    <dxf>
      <fill>
        <gradientFill degree="270">
          <stop position="0">
            <color rgb="FFFFD0C5"/>
          </stop>
          <stop position="1">
            <color rgb="FFFF7757"/>
          </stop>
        </gradient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65D965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99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6D6D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0.1490218817712943"/>
          </stop>
        </gradientFill>
      </fill>
    </dxf>
    <dxf>
      <font>
        <b/>
        <i val="0"/>
        <color theme="1" tint="0.34998626667073579"/>
      </font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ont>
        <b/>
        <i val="0"/>
        <color rgb="FF6600CC"/>
      </font>
      <fill>
        <gradientFill type="path" left="0.5" right="0.5" top="0.5" bottom="0.5">
          <stop position="0">
            <color theme="0"/>
          </stop>
          <stop position="1">
            <color rgb="FFC7A9FD"/>
          </stop>
        </gradientFill>
      </fill>
    </dxf>
    <dxf>
      <font>
        <b/>
        <i val="0"/>
        <color rgb="FF0000CC"/>
      </font>
      <fill>
        <gradientFill type="path" left="0.5" right="0.5" top="0.5" bottom="0.5">
          <stop position="0">
            <color theme="0"/>
          </stop>
          <stop position="1">
            <color rgb="FF93E3FF"/>
          </stop>
        </gradientFill>
      </fill>
    </dxf>
    <dxf>
      <font>
        <b/>
        <i val="0"/>
        <color rgb="FF006600"/>
      </font>
      <fill>
        <gradientFill type="path" left="0.5" right="0.5" top="0.5" bottom="0.5">
          <stop position="0">
            <color theme="0"/>
          </stop>
          <stop position="1">
            <color rgb="FF8BFFBF"/>
          </stop>
        </gradientFill>
      </fill>
    </dxf>
    <dxf>
      <font>
        <b/>
        <i val="0"/>
        <color rgb="FFC96009"/>
      </font>
      <fill>
        <gradientFill type="path" left="0.5" right="0.5" top="0.5" bottom="0.5">
          <stop position="0">
            <color theme="0"/>
          </stop>
          <stop position="1">
            <color theme="9" tint="0.40000610370189521"/>
          </stop>
        </gradientFill>
      </fill>
    </dxf>
    <dxf>
      <fill>
        <gradientFill degree="90">
          <stop position="0">
            <color theme="7" tint="0.80001220740379042"/>
          </stop>
          <stop position="0.5">
            <color theme="0"/>
          </stop>
          <stop position="1">
            <color theme="7" tint="0.80001220740379042"/>
          </stop>
        </gradientFill>
      </fill>
    </dxf>
    <dxf>
      <fill>
        <gradientFill degree="270">
          <stop position="0">
            <color theme="7" tint="0.40000610370189521"/>
          </stop>
          <stop position="1">
            <color theme="7" tint="0.80001220740379042"/>
          </stop>
        </gradientFill>
      </fill>
    </dxf>
    <dxf>
      <fill>
        <gradientFill degree="270">
          <stop position="0">
            <color rgb="FFFF7757"/>
          </stop>
          <stop position="1">
            <color rgb="FFFFD0C5"/>
          </stop>
        </gradientFill>
      </fill>
    </dxf>
    <dxf>
      <font>
        <color rgb="FF005C00"/>
      </font>
      <fill>
        <gradientFill type="path" left="0.5" right="0.5" top="0.5" bottom="0.5">
          <stop position="0">
            <color theme="0"/>
          </stop>
          <stop position="1">
            <color rgb="FF5CD65C"/>
          </stop>
        </gradientFill>
      </fill>
    </dxf>
    <dxf>
      <font>
        <color rgb="FFF5640B"/>
      </font>
      <fill>
        <gradientFill type="path" left="0.5" right="0.5" top="0.5" bottom="0.5">
          <stop position="0">
            <color theme="0"/>
          </stop>
          <stop position="1">
            <color rgb="FFFFFF66"/>
          </stop>
        </gradientFill>
      </fill>
    </dxf>
    <dxf>
      <font>
        <color rgb="FFB00000"/>
      </font>
      <fill>
        <gradientFill type="path" left="0.5" right="0.5" top="0.5" bottom="0.5">
          <stop position="0">
            <color theme="0"/>
          </stop>
          <stop position="1">
            <color rgb="FFFF3F3F"/>
          </stop>
        </gradientFill>
      </fill>
    </dxf>
    <dxf>
      <font>
        <color theme="1"/>
      </font>
      <fill>
        <gradientFill type="path" left="0.5" right="0.5" top="0.5" bottom="0.5">
          <stop position="0">
            <color theme="0"/>
          </stop>
          <stop position="1">
            <color theme="1" tint="5.0965910824915313E-2"/>
          </stop>
        </gradientFill>
      </fill>
    </dxf>
  </dxfs>
  <tableStyles count="0" defaultTableStyle="TableStyleMedium9" defaultPivotStyle="PivotStyleLight16"/>
  <colors>
    <mruColors>
      <color rgb="FFFFCD2D"/>
      <color rgb="FFFF9900"/>
      <color rgb="FFFFCCFF"/>
      <color rgb="FFFFFF66"/>
      <color rgb="FFFF6600"/>
      <color rgb="FFCCFF99"/>
      <color rgb="FF99FF66"/>
      <color rgb="FF00FF00"/>
      <color rgb="FF006600"/>
      <color rgb="FFFFBD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5.jpeg"/><Relationship Id="rId39" Type="http://schemas.openxmlformats.org/officeDocument/2006/relationships/image" Target="../media/image37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2.emf"/><Relationship Id="rId42" Type="http://schemas.openxmlformats.org/officeDocument/2006/relationships/image" Target="../media/image4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microsoft.com/office/2007/relationships/hdphoto" Target="../media/hdphoto2.wdp"/><Relationship Id="rId41" Type="http://schemas.openxmlformats.org/officeDocument/2006/relationships/image" Target="../media/image3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microsoft.com/office/2007/relationships/hdphoto" Target="../media/hdphoto1.wdp"/><Relationship Id="rId32" Type="http://schemas.openxmlformats.org/officeDocument/2006/relationships/image" Target="../media/image30.jpe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7.png"/><Relationship Id="rId36" Type="http://schemas.openxmlformats.org/officeDocument/2006/relationships/image" Target="../media/image34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6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7.pn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2.png"/><Relationship Id="rId2" Type="http://schemas.openxmlformats.org/officeDocument/2006/relationships/image" Target="../media/image3.png"/><Relationship Id="rId16" Type="http://schemas.openxmlformats.org/officeDocument/2006/relationships/image" Target="../media/image26.png"/><Relationship Id="rId20" Type="http://schemas.openxmlformats.org/officeDocument/2006/relationships/image" Target="../media/image19.png"/><Relationship Id="rId1" Type="http://schemas.openxmlformats.org/officeDocument/2006/relationships/image" Target="../media/image43.jpeg"/><Relationship Id="rId6" Type="http://schemas.openxmlformats.org/officeDocument/2006/relationships/image" Target="../media/image24.png"/><Relationship Id="rId11" Type="http://schemas.openxmlformats.org/officeDocument/2006/relationships/image" Target="../media/image33.png"/><Relationship Id="rId24" Type="http://schemas.openxmlformats.org/officeDocument/2006/relationships/image" Target="../media/image1.png"/><Relationship Id="rId5" Type="http://schemas.openxmlformats.org/officeDocument/2006/relationships/image" Target="../media/image5.png"/><Relationship Id="rId15" Type="http://schemas.openxmlformats.org/officeDocument/2006/relationships/image" Target="../media/image41.png"/><Relationship Id="rId23" Type="http://schemas.openxmlformats.org/officeDocument/2006/relationships/image" Target="../media/image14.png"/><Relationship Id="rId28" Type="http://schemas.openxmlformats.org/officeDocument/2006/relationships/image" Target="../media/image4.jpe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25.jpeg"/><Relationship Id="rId9" Type="http://schemas.openxmlformats.org/officeDocument/2006/relationships/image" Target="../media/image9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Relationship Id="rId27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hc.noaa.gov/" TargetMode="External"/><Relationship Id="rId7" Type="http://schemas.openxmlformats.org/officeDocument/2006/relationships/image" Target="../media/image44.jpeg"/><Relationship Id="rId2" Type="http://schemas.openxmlformats.org/officeDocument/2006/relationships/hyperlink" Target="https://owsjet15.us.af.mil/portal/private/GuestFtKnox/Sensor" TargetMode="External"/><Relationship Id="rId1" Type="http://schemas.openxmlformats.org/officeDocument/2006/relationships/image" Target="../media/image4.jpeg"/><Relationship Id="rId6" Type="http://schemas.openxmlformats.org/officeDocument/2006/relationships/hyperlink" Target="https://www.surveymonkey.com/r/K28JNXJ" TargetMode="External"/><Relationship Id="rId5" Type="http://schemas.openxmlformats.org/officeDocument/2006/relationships/hyperlink" Target="https://home.army.mil/knox/index.php/units-tenants/usaf-ol-b-3rd-weather-squadron" TargetMode="External"/><Relationship Id="rId4" Type="http://schemas.openxmlformats.org/officeDocument/2006/relationships/image" Target="../media/image3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ws.noaa.gov/cgi-bin/lamp/getlav.pl?sta=KFTK" TargetMode="External"/><Relationship Id="rId13" Type="http://schemas.openxmlformats.org/officeDocument/2006/relationships/hyperlink" Target="https://ows.scott.af.mil/images/wx/Checklists/KFTK/Alberta%20Low%20Meridional%20-%20Fort%20Knox.htm" TargetMode="External"/><Relationship Id="rId18" Type="http://schemas.openxmlformats.org/officeDocument/2006/relationships/hyperlink" Target="https://ows.scott.af.mil/images/wx/Checklists/KFTK/Hatteras%20Low%20-%20Fort%20Knox.htm" TargetMode="External"/><Relationship Id="rId26" Type="http://schemas.openxmlformats.org/officeDocument/2006/relationships/hyperlink" Target="https://ows.scott.af.mil/images/wx/Checklists/KFTK/Tropical%20Systems%20-%20Fort%20Knox.htm" TargetMode="External"/><Relationship Id="rId39" Type="http://schemas.openxmlformats.org/officeDocument/2006/relationships/hyperlink" Target="https://weather.af.mil/services/WPS?SERVICE=WPS&amp;REQUEST=Execute&amp;SOURCE=GALWEM&amp;VERSION=1.0.0&amp;IDENTIFIER=get_paw&amp;RAWDATAOUTPUT=paw&amp;DATAINPUTS=model_id%3DGALWEM%3BHOUR%3D15%3BLOC%3DKFTK%3BQR%3D0" TargetMode="External"/><Relationship Id="rId3" Type="http://schemas.openxmlformats.org/officeDocument/2006/relationships/hyperlink" Target="https://15ows.us.af.mil/product/space_weather/?usehf=1&amp;sw=HF-FCST-NA" TargetMode="External"/><Relationship Id="rId21" Type="http://schemas.openxmlformats.org/officeDocument/2006/relationships/hyperlink" Target="https://ows.scott.af.mil/images/wx/Checklists/KFTK/North%20Pacific%20Low%20-%20Fort%20Knox.htm" TargetMode="External"/><Relationship Id="rId34" Type="http://schemas.openxmlformats.org/officeDocument/2006/relationships/hyperlink" Target="https://ows.scott.af.mil/images/wx/Checklists/KFTK/FTKfreezing.htm" TargetMode="External"/><Relationship Id="rId7" Type="http://schemas.openxmlformats.org/officeDocument/2006/relationships/hyperlink" Target="http://www.nhc.noaa.gov/" TargetMode="External"/><Relationship Id="rId12" Type="http://schemas.openxmlformats.org/officeDocument/2006/relationships/hyperlink" Target="https://ows.scott.af.mil/images/wx/Checklists/KFTK/Bermuda%20High%20-%20Fort%20Knox.htm" TargetMode="External"/><Relationship Id="rId17" Type="http://schemas.openxmlformats.org/officeDocument/2006/relationships/hyperlink" Target="https://ows.scott.af.mil/images/wx/Checklists/KFTK/West%20Gulf%20Low%20-%20Fort%20Knox.htm" TargetMode="External"/><Relationship Id="rId25" Type="http://schemas.openxmlformats.org/officeDocument/2006/relationships/hyperlink" Target="https://ows.scott.af.mil/images/wx/Checklists/KFTK/Texas%20Low%20-%20Fort%20Knox.htm" TargetMode="External"/><Relationship Id="rId33" Type="http://schemas.openxmlformats.org/officeDocument/2006/relationships/hyperlink" Target="https://ows.scott.af.mil/images/wx/Checklists/KFTK/FTKsn.htm" TargetMode="External"/><Relationship Id="rId38" Type="http://schemas.openxmlformats.org/officeDocument/2006/relationships/hyperlink" Target="https://weather.af.mil/services/WPS?SERVICE=WPS&amp;REQUEST=Execute&amp;SOURCE=GALWEM&amp;VERSION=1.0.0&amp;IDENTIFIER=get_paw&amp;RAWDATAOUTPUT=paw&amp;DATAINPUTS=model_id%3DGALWEM%3BHOUR%3D12%3BLOC%3DKFTK%3BQR%3D0" TargetMode="External"/><Relationship Id="rId2" Type="http://schemas.openxmlformats.org/officeDocument/2006/relationships/hyperlink" Target="http://aviationweather.gov/adds/tafs/?station_ids=KFTK&amp;std_trans=standard&amp;submit_taf=Get+TAFs" TargetMode="External"/><Relationship Id="rId16" Type="http://schemas.openxmlformats.org/officeDocument/2006/relationships/hyperlink" Target="https://ows.scott.af.mil/images/wx/Checklists/KFTK/East%20Gulf%20Low%20-%20Fort%20Knox.htm" TargetMode="External"/><Relationship Id="rId20" Type="http://schemas.openxmlformats.org/officeDocument/2006/relationships/hyperlink" Target="https://ows.scott.af.mil/images/wx/Checklists/KFTK/North%20Pacific%20High%20-%20Fort%20Knox.htm" TargetMode="External"/><Relationship Id="rId29" Type="http://schemas.openxmlformats.org/officeDocument/2006/relationships/hyperlink" Target="https://ows.scott.af.mil/images/wx/Checklists/KFTK/Icing.htm" TargetMode="External"/><Relationship Id="rId41" Type="http://schemas.openxmlformats.org/officeDocument/2006/relationships/image" Target="../media/image48.png"/><Relationship Id="rId1" Type="http://schemas.openxmlformats.org/officeDocument/2006/relationships/image" Target="../media/image45.jpeg"/><Relationship Id="rId6" Type="http://schemas.openxmlformats.org/officeDocument/2006/relationships/hyperlink" Target="https://15ows.us.af.mil/product/space_weather/?usehf=1&amp;sw=HF-RAD-NA" TargetMode="External"/><Relationship Id="rId11" Type="http://schemas.openxmlformats.org/officeDocument/2006/relationships/hyperlink" Target="https://ows.scott.af.mil/images/wx/Checklists/KFTK/Alberta%20High%20-%20Fort%20Knox.htm" TargetMode="External"/><Relationship Id="rId24" Type="http://schemas.openxmlformats.org/officeDocument/2006/relationships/hyperlink" Target="https://ows.scott.af.mil/images/wx/Checklists/KFTK/South%20Pacific%20Low%20-%20Fort%20Knox.htm" TargetMode="External"/><Relationship Id="rId32" Type="http://schemas.openxmlformats.org/officeDocument/2006/relationships/hyperlink" Target="https://ows.scott.af.mil/images/wx/Checklists/KFTK/FTKwinds.htm" TargetMode="External"/><Relationship Id="rId37" Type="http://schemas.openxmlformats.org/officeDocument/2006/relationships/image" Target="../media/image47.png"/><Relationship Id="rId40" Type="http://schemas.openxmlformats.org/officeDocument/2006/relationships/hyperlink" Target="https://weather.af.mil/services/WPS?SERVICE=WPS&amp;REQUEST=Execute&amp;SOURCE=GALWEM&amp;IDENTIFIER=get_fous&amp;VERSION=1.0.0&amp;RAWDATAOUTPUT=fous&amp;DATAINPUTS=LOC%3DKFTK;DURATION%3D144;model_id%3DGALWEM" TargetMode="External"/><Relationship Id="rId5" Type="http://schemas.openxmlformats.org/officeDocument/2006/relationships/hyperlink" Target="https://sapt.faa.gov/raim-summaries.php?outageType=129001150" TargetMode="External"/><Relationship Id="rId15" Type="http://schemas.openxmlformats.org/officeDocument/2006/relationships/hyperlink" Target="https://ows.scott.af.mil/images/wx/Checklists/KFTK/Colorado%20Low%20-%20Fort%20Knox.htm" TargetMode="External"/><Relationship Id="rId23" Type="http://schemas.openxmlformats.org/officeDocument/2006/relationships/hyperlink" Target="https://ows.scott.af.mil/images/wx/Checklists/KFTK/Rocky%20Mountain%20High%20-%20Fort%20Knox.htm" TargetMode="External"/><Relationship Id="rId28" Type="http://schemas.openxmlformats.org/officeDocument/2006/relationships/hyperlink" Target="https://ows.scott.af.mil/images/wx/Checklists/KFTK/turb.htm" TargetMode="External"/><Relationship Id="rId36" Type="http://schemas.openxmlformats.org/officeDocument/2006/relationships/hyperlink" Target="https://www.weather.gov/mdl/mos_getbull?ele=mav,met,mex&amp;sta=kftk" TargetMode="External"/><Relationship Id="rId10" Type="http://schemas.openxmlformats.org/officeDocument/2006/relationships/image" Target="../media/image46.png"/><Relationship Id="rId19" Type="http://schemas.openxmlformats.org/officeDocument/2006/relationships/hyperlink" Target="https://ows.scott.af.mil/images/wx/Checklists/KFTK/Hudson%20Bay%20High%20-%20Fort%20Knox.htm" TargetMode="External"/><Relationship Id="rId31" Type="http://schemas.openxmlformats.org/officeDocument/2006/relationships/hyperlink" Target="https://ows.scott.af.mil/images/wx/Checklists/KFTK/FTKllws.htm" TargetMode="External"/><Relationship Id="rId4" Type="http://schemas.openxmlformats.org/officeDocument/2006/relationships/hyperlink" Target="https://15ows.us.af.mil/product/space_weather/?usehf=1&amp;sw=UHF-FCST-NA" TargetMode="External"/><Relationship Id="rId9" Type="http://schemas.openxmlformats.org/officeDocument/2006/relationships/hyperlink" Target="https://15ows.us.af.mil/datalinks/KBLV_MOS_NAM_KFTK.txt" TargetMode="External"/><Relationship Id="rId14" Type="http://schemas.openxmlformats.org/officeDocument/2006/relationships/hyperlink" Target="https://ows.scott.af.mil/images/wx/Checklists/KFTK/Alberta%20Low%20Zonal%20-%20Fort%20Knox.htm" TargetMode="External"/><Relationship Id="rId22" Type="http://schemas.openxmlformats.org/officeDocument/2006/relationships/hyperlink" Target="https://ows.scott.af.mil/images/wx/Checklists/KFTK/Northern%20Rocky%20Mountain%20Low%20-%20Fort%20Knox.htm" TargetMode="External"/><Relationship Id="rId27" Type="http://schemas.openxmlformats.org/officeDocument/2006/relationships/hyperlink" Target="https://ows.scott.af.mil/images/wx/checklists/KFTK/KFTKRULESIDX.htm" TargetMode="External"/><Relationship Id="rId30" Type="http://schemas.openxmlformats.org/officeDocument/2006/relationships/hyperlink" Target="https://ows.scott.af.mil/images/wx/Checklists/KFTK/FTKT1.htm" TargetMode="External"/><Relationship Id="rId35" Type="http://schemas.openxmlformats.org/officeDocument/2006/relationships/hyperlink" Target="https://ows.scott.af.mil/images/wx/Checklists/KFTK/FTKsnvszl.htm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://aa.usno.navy.mil/data/docs/MoonFraction.php" TargetMode="External"/><Relationship Id="rId1" Type="http://schemas.openxmlformats.org/officeDocument/2006/relationships/hyperlink" Target="http://aa.usno.navy.mil/data/docs/RS_OneYear.php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jpe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jpeg"/><Relationship Id="rId4" Type="http://schemas.openxmlformats.org/officeDocument/2006/relationships/image" Target="../media/image52.png"/><Relationship Id="rId9" Type="http://schemas.openxmlformats.org/officeDocument/2006/relationships/image" Target="../media/image5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82552</xdr:colOff>
      <xdr:row>59</xdr:row>
      <xdr:rowOff>95252</xdr:rowOff>
    </xdr:from>
    <xdr:ext cx="1136648" cy="371474"/>
    <xdr:sp macro="" textlink="">
      <xdr:nvSpPr>
        <xdr:cNvPr id="139" name="Rectangle 7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rrowheads="1"/>
        </xdr:cNvSpPr>
      </xdr:nvSpPr>
      <xdr:spPr bwMode="auto">
        <a:xfrm>
          <a:off x="14036677" y="12877802"/>
          <a:ext cx="1136648" cy="371474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SNOW/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HEAVY SNOW</a:t>
          </a:r>
        </a:p>
      </xdr:txBody>
    </xdr:sp>
    <xdr:clientData/>
  </xdr:oneCellAnchor>
  <xdr:oneCellAnchor>
    <xdr:from>
      <xdr:col>1</xdr:col>
      <xdr:colOff>0</xdr:colOff>
      <xdr:row>60</xdr:row>
      <xdr:rowOff>51859</xdr:rowOff>
    </xdr:from>
    <xdr:ext cx="839260" cy="262466"/>
    <xdr:sp macro="" textlink="">
      <xdr:nvSpPr>
        <xdr:cNvPr id="140" name="Rectangle 76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rrowheads="1"/>
        </xdr:cNvSpPr>
      </xdr:nvSpPr>
      <xdr:spPr bwMode="auto">
        <a:xfrm>
          <a:off x="0" y="12996334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26</xdr:col>
      <xdr:colOff>55033</xdr:colOff>
      <xdr:row>59</xdr:row>
      <xdr:rowOff>11642</xdr:rowOff>
    </xdr:from>
    <xdr:ext cx="906992" cy="378883"/>
    <xdr:sp macro="" textlink="">
      <xdr:nvSpPr>
        <xdr:cNvPr id="141" name="Rectangle 7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rrowheads="1"/>
        </xdr:cNvSpPr>
      </xdr:nvSpPr>
      <xdr:spPr bwMode="auto">
        <a:xfrm>
          <a:off x="9151408" y="13737167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RAIN/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30</xdr:col>
      <xdr:colOff>115359</xdr:colOff>
      <xdr:row>48</xdr:row>
      <xdr:rowOff>104776</xdr:rowOff>
    </xdr:from>
    <xdr:ext cx="686191" cy="244655"/>
    <xdr:sp macro="" textlink="">
      <xdr:nvSpPr>
        <xdr:cNvPr id="142" name="Rectangle 78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rrowheads="1"/>
        </xdr:cNvSpPr>
      </xdr:nvSpPr>
      <xdr:spPr bwMode="auto">
        <a:xfrm>
          <a:off x="9392709" y="10401301"/>
          <a:ext cx="686191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23</xdr:col>
      <xdr:colOff>238134</xdr:colOff>
      <xdr:row>48</xdr:row>
      <xdr:rowOff>29633</xdr:rowOff>
    </xdr:from>
    <xdr:ext cx="686191" cy="338666"/>
    <xdr:sp macro="" textlink="">
      <xdr:nvSpPr>
        <xdr:cNvPr id="143" name="Rectangle 79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rrowheads="1"/>
        </xdr:cNvSpPr>
      </xdr:nvSpPr>
      <xdr:spPr bwMode="auto">
        <a:xfrm>
          <a:off x="7455967" y="10972800"/>
          <a:ext cx="686191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21159</xdr:colOff>
      <xdr:row>49</xdr:row>
      <xdr:rowOff>55032</xdr:rowOff>
    </xdr:from>
    <xdr:ext cx="686191" cy="338667"/>
    <xdr:sp macro="" textlink="">
      <xdr:nvSpPr>
        <xdr:cNvPr id="144" name="Rectangle 8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rrowheads="1"/>
        </xdr:cNvSpPr>
      </xdr:nvSpPr>
      <xdr:spPr bwMode="auto">
        <a:xfrm>
          <a:off x="4116909" y="12323232"/>
          <a:ext cx="686191" cy="33866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188382</xdr:colOff>
      <xdr:row>59</xdr:row>
      <xdr:rowOff>118533</xdr:rowOff>
    </xdr:from>
    <xdr:ext cx="1173693" cy="357717"/>
    <xdr:sp macro="" textlink="">
      <xdr:nvSpPr>
        <xdr:cNvPr id="145" name="Rectangle 8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rrowheads="1"/>
        </xdr:cNvSpPr>
      </xdr:nvSpPr>
      <xdr:spPr bwMode="auto">
        <a:xfrm>
          <a:off x="3817407" y="12901083"/>
          <a:ext cx="1173693" cy="35771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 SCT RAIN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218017</xdr:colOff>
      <xdr:row>49</xdr:row>
      <xdr:rowOff>4233</xdr:rowOff>
    </xdr:from>
    <xdr:ext cx="606425" cy="231775"/>
    <xdr:sp macro="" textlink="">
      <xdr:nvSpPr>
        <xdr:cNvPr id="146" name="Rectangle 8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275167" y="10462683"/>
          <a:ext cx="606425" cy="2317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SUNNY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34</xdr:col>
      <xdr:colOff>201083</xdr:colOff>
      <xdr:row>59</xdr:row>
      <xdr:rowOff>107951</xdr:rowOff>
    </xdr:from>
    <xdr:ext cx="617007" cy="354541"/>
    <xdr:sp macro="" textlink="">
      <xdr:nvSpPr>
        <xdr:cNvPr id="147" name="Rectangle 83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rrowheads="1"/>
        </xdr:cNvSpPr>
      </xdr:nvSpPr>
      <xdr:spPr bwMode="auto">
        <a:xfrm>
          <a:off x="11440583" y="12890501"/>
          <a:ext cx="617007" cy="3545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&amp;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353483</xdr:colOff>
      <xdr:row>48</xdr:row>
      <xdr:rowOff>133349</xdr:rowOff>
    </xdr:from>
    <xdr:ext cx="652990" cy="392642"/>
    <xdr:sp macro="" textlink="">
      <xdr:nvSpPr>
        <xdr:cNvPr id="148" name="Rectangle 89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rrowheads="1"/>
        </xdr:cNvSpPr>
      </xdr:nvSpPr>
      <xdr:spPr bwMode="auto">
        <a:xfrm>
          <a:off x="1553633" y="10429874"/>
          <a:ext cx="652990" cy="39264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 SUNNY</a:t>
          </a:r>
        </a:p>
      </xdr:txBody>
    </xdr:sp>
    <xdr:clientData/>
  </xdr:oneCellAnchor>
  <xdr:oneCellAnchor>
    <xdr:from>
      <xdr:col>6</xdr:col>
      <xdr:colOff>339726</xdr:colOff>
      <xdr:row>67</xdr:row>
      <xdr:rowOff>62450</xdr:rowOff>
    </xdr:from>
    <xdr:ext cx="445747" cy="244655"/>
    <xdr:sp macro="" textlink="">
      <xdr:nvSpPr>
        <xdr:cNvPr id="149" name="Rectangle 326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rrowheads="1"/>
        </xdr:cNvSpPr>
      </xdr:nvSpPr>
      <xdr:spPr bwMode="auto">
        <a:xfrm>
          <a:off x="2178051" y="15083375"/>
          <a:ext cx="445747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FOG</a:t>
          </a:r>
        </a:p>
      </xdr:txBody>
    </xdr:sp>
    <xdr:clientData/>
  </xdr:oneCellAnchor>
  <xdr:oneCellAnchor>
    <xdr:from>
      <xdr:col>22</xdr:col>
      <xdr:colOff>34925</xdr:colOff>
      <xdr:row>59</xdr:row>
      <xdr:rowOff>37043</xdr:rowOff>
    </xdr:from>
    <xdr:ext cx="898525" cy="248707"/>
    <xdr:sp macro="" textlink="">
      <xdr:nvSpPr>
        <xdr:cNvPr id="150" name="Rectangle 77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rrowheads="1"/>
        </xdr:cNvSpPr>
      </xdr:nvSpPr>
      <xdr:spPr bwMode="auto">
        <a:xfrm>
          <a:off x="7835900" y="13762568"/>
          <a:ext cx="898525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SPRINKLES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17</xdr:col>
      <xdr:colOff>219075</xdr:colOff>
      <xdr:row>49</xdr:row>
      <xdr:rowOff>52915</xdr:rowOff>
    </xdr:from>
    <xdr:ext cx="888994" cy="497416"/>
    <xdr:sp macro="" textlink="">
      <xdr:nvSpPr>
        <xdr:cNvPr id="151" name="Rectangle 8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rrowheads="1"/>
        </xdr:cNvSpPr>
      </xdr:nvSpPr>
      <xdr:spPr bwMode="auto">
        <a:xfrm>
          <a:off x="5436658" y="11154832"/>
          <a:ext cx="888994" cy="49741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 TO 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30</xdr:col>
      <xdr:colOff>197908</xdr:colOff>
      <xdr:row>59</xdr:row>
      <xdr:rowOff>135467</xdr:rowOff>
    </xdr:from>
    <xdr:ext cx="906992" cy="378883"/>
    <xdr:sp macro="" textlink="">
      <xdr:nvSpPr>
        <xdr:cNvPr id="162" name="Rectangle 77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rrowheads="1"/>
        </xdr:cNvSpPr>
      </xdr:nvSpPr>
      <xdr:spPr bwMode="auto">
        <a:xfrm>
          <a:off x="9913408" y="12918017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/ HEAVY RAIN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39</xdr:col>
      <xdr:colOff>483658</xdr:colOff>
      <xdr:row>48</xdr:row>
      <xdr:rowOff>46568</xdr:rowOff>
    </xdr:from>
    <xdr:ext cx="697442" cy="302682"/>
    <xdr:sp macro="" textlink="">
      <xdr:nvSpPr>
        <xdr:cNvPr id="164" name="Rectangle 77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rrowheads="1"/>
        </xdr:cNvSpPr>
      </xdr:nvSpPr>
      <xdr:spPr bwMode="auto">
        <a:xfrm>
          <a:off x="15266458" y="12156018"/>
          <a:ext cx="697442" cy="30268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ctr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DUST/ SMOKE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42</xdr:col>
      <xdr:colOff>97360</xdr:colOff>
      <xdr:row>49</xdr:row>
      <xdr:rowOff>17993</xdr:rowOff>
    </xdr:from>
    <xdr:ext cx="659342" cy="274108"/>
    <xdr:sp macro="" textlink="">
      <xdr:nvSpPr>
        <xdr:cNvPr id="171" name="Rectangle 7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rrowheads="1"/>
        </xdr:cNvSpPr>
      </xdr:nvSpPr>
      <xdr:spPr bwMode="auto">
        <a:xfrm>
          <a:off x="17115360" y="12286193"/>
          <a:ext cx="659342" cy="274108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HAZE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37</xdr:col>
      <xdr:colOff>511176</xdr:colOff>
      <xdr:row>59</xdr:row>
      <xdr:rowOff>104776</xdr:rowOff>
    </xdr:from>
    <xdr:ext cx="936196" cy="235245"/>
    <xdr:sp macro="" textlink="">
      <xdr:nvSpPr>
        <xdr:cNvPr id="173" name="Rectangle 7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rrowheads="1"/>
        </xdr:cNvSpPr>
      </xdr:nvSpPr>
      <xdr:spPr bwMode="auto">
        <a:xfrm>
          <a:off x="12636501" y="12887326"/>
          <a:ext cx="936196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SNOW</a:t>
          </a:r>
        </a:p>
      </xdr:txBody>
    </xdr:sp>
    <xdr:clientData/>
  </xdr:oneCellAnchor>
  <xdr:oneCellAnchor>
    <xdr:from>
      <xdr:col>4</xdr:col>
      <xdr:colOff>262465</xdr:colOff>
      <xdr:row>60</xdr:row>
      <xdr:rowOff>23284</xdr:rowOff>
    </xdr:from>
    <xdr:ext cx="890059" cy="338666"/>
    <xdr:sp macro="" textlink="">
      <xdr:nvSpPr>
        <xdr:cNvPr id="181" name="Rectangle 76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rrowheads="1"/>
        </xdr:cNvSpPr>
      </xdr:nvSpPr>
      <xdr:spPr bwMode="auto">
        <a:xfrm>
          <a:off x="1100665" y="12967759"/>
          <a:ext cx="890059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SCT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13</xdr:col>
      <xdr:colOff>130176</xdr:colOff>
      <xdr:row>67</xdr:row>
      <xdr:rowOff>43400</xdr:rowOff>
    </xdr:from>
    <xdr:ext cx="955560" cy="235245"/>
    <xdr:sp macro="" textlink="">
      <xdr:nvSpPr>
        <xdr:cNvPr id="209" name="Rectangle 326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rrowheads="1"/>
        </xdr:cNvSpPr>
      </xdr:nvSpPr>
      <xdr:spPr bwMode="auto">
        <a:xfrm>
          <a:off x="4502151" y="15064325"/>
          <a:ext cx="955560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PATCHY FOG</a:t>
          </a:r>
        </a:p>
      </xdr:txBody>
    </xdr:sp>
    <xdr:clientData/>
  </xdr:oneCellAnchor>
  <xdr:oneCellAnchor>
    <xdr:from>
      <xdr:col>18</xdr:col>
      <xdr:colOff>301626</xdr:colOff>
      <xdr:row>59</xdr:row>
      <xdr:rowOff>27518</xdr:rowOff>
    </xdr:from>
    <xdr:ext cx="717550" cy="248707"/>
    <xdr:sp macro="" textlink="">
      <xdr:nvSpPr>
        <xdr:cNvPr id="218" name="Rectangle 7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rrowheads="1"/>
        </xdr:cNvSpPr>
      </xdr:nvSpPr>
      <xdr:spPr bwMode="auto">
        <a:xfrm>
          <a:off x="5959476" y="12810068"/>
          <a:ext cx="717550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DRIZZLE</a:t>
          </a:r>
        </a:p>
      </xdr:txBody>
    </xdr:sp>
    <xdr:clientData/>
  </xdr:oneCellAnchor>
  <xdr:twoCellAnchor editAs="oneCell">
    <xdr:from>
      <xdr:col>12</xdr:col>
      <xdr:colOff>96895</xdr:colOff>
      <xdr:row>51</xdr:row>
      <xdr:rowOff>65286</xdr:rowOff>
    </xdr:from>
    <xdr:to>
      <xdr:col>16</xdr:col>
      <xdr:colOff>133350</xdr:colOff>
      <xdr:row>59</xdr:row>
      <xdr:rowOff>12700</xdr:rowOff>
    </xdr:to>
    <xdr:pic>
      <xdr:nvPicPr>
        <xdr:cNvPr id="268" name="Picture 10" descr="Weather Icon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06" b="3030"/>
        <a:stretch>
          <a:fillRect/>
        </a:stretch>
      </xdr:blipFill>
      <xdr:spPr bwMode="auto">
        <a:xfrm>
          <a:off x="4186295" y="12657336"/>
          <a:ext cx="1363605" cy="1255514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10583</xdr:colOff>
      <xdr:row>5</xdr:row>
      <xdr:rowOff>180974</xdr:rowOff>
    </xdr:from>
    <xdr:to>
      <xdr:col>5</xdr:col>
      <xdr:colOff>19051</xdr:colOff>
      <xdr:row>7</xdr:row>
      <xdr:rowOff>76199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/>
      </xdr:nvSpPr>
      <xdr:spPr bwMode="auto">
        <a:xfrm>
          <a:off x="286808" y="1285874"/>
          <a:ext cx="1227668" cy="657225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257175</xdr:colOff>
      <xdr:row>5</xdr:row>
      <xdr:rowOff>268189</xdr:rowOff>
    </xdr:from>
    <xdr:to>
      <xdr:col>4</xdr:col>
      <xdr:colOff>428624</xdr:colOff>
      <xdr:row>7</xdr:row>
      <xdr:rowOff>60371</xdr:rowOff>
    </xdr:to>
    <xdr:pic>
      <xdr:nvPicPr>
        <xdr:cNvPr id="303" name="fullSizedImage" descr="Air Force Logo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/>
        </a:blip>
        <a:srcRect l="15366" t="3819" r="15854" b="6597"/>
        <a:stretch>
          <a:fillRect/>
        </a:stretch>
      </xdr:blipFill>
      <xdr:spPr bwMode="auto">
        <a:xfrm>
          <a:off x="714375" y="1211164"/>
          <a:ext cx="571499" cy="554181"/>
        </a:xfrm>
        <a:prstGeom prst="rect">
          <a:avLst/>
        </a:prstGeom>
        <a:noFill/>
        <a:ln cap="rnd">
          <a:noFill/>
        </a:ln>
      </xdr:spPr>
    </xdr:pic>
    <xdr:clientData/>
  </xdr:twoCellAnchor>
  <xdr:twoCellAnchor editAs="oneCell">
    <xdr:from>
      <xdr:col>3</xdr:col>
      <xdr:colOff>257174</xdr:colOff>
      <xdr:row>5</xdr:row>
      <xdr:rowOff>257175</xdr:rowOff>
    </xdr:from>
    <xdr:to>
      <xdr:col>4</xdr:col>
      <xdr:colOff>432336</xdr:colOff>
      <xdr:row>7</xdr:row>
      <xdr:rowOff>52960</xdr:rowOff>
    </xdr:to>
    <xdr:pic>
      <xdr:nvPicPr>
        <xdr:cNvPr id="304" name="fullSizedImage" descr="Air Force Logo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lum bright="20000"/>
        </a:blip>
        <a:srcRect l="15366" t="3819" r="15854" b="6597"/>
        <a:stretch>
          <a:fillRect/>
        </a:stretch>
      </xdr:blipFill>
      <xdr:spPr bwMode="auto">
        <a:xfrm>
          <a:off x="714374" y="1200150"/>
          <a:ext cx="575212" cy="557784"/>
        </a:xfrm>
        <a:prstGeom prst="rect">
          <a:avLst/>
        </a:prstGeom>
        <a:noFill/>
        <a:ln cap="rnd">
          <a:noFill/>
        </a:ln>
      </xdr:spPr>
    </xdr:pic>
    <xdr:clientData/>
  </xdr:twoCellAnchor>
  <xdr:twoCellAnchor editAs="oneCell">
    <xdr:from>
      <xdr:col>2</xdr:col>
      <xdr:colOff>10580</xdr:colOff>
      <xdr:row>5</xdr:row>
      <xdr:rowOff>262920</xdr:rowOff>
    </xdr:from>
    <xdr:to>
      <xdr:col>3</xdr:col>
      <xdr:colOff>228600</xdr:colOff>
      <xdr:row>7</xdr:row>
      <xdr:rowOff>64391</xdr:rowOff>
    </xdr:to>
    <xdr:pic>
      <xdr:nvPicPr>
        <xdr:cNvPr id="305" name="Picture 9" descr="http://www.bumperstickerz.com/images/1000319-00-00-00-00_lg.pn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266" t="1645" r="1921" b="2632"/>
        <a:stretch>
          <a:fillRect/>
        </a:stretch>
      </xdr:blipFill>
      <xdr:spPr bwMode="auto">
        <a:xfrm>
          <a:off x="86780" y="1205895"/>
          <a:ext cx="560920" cy="5634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20110</xdr:colOff>
      <xdr:row>2</xdr:row>
      <xdr:rowOff>16355</xdr:rowOff>
    </xdr:from>
    <xdr:to>
      <xdr:col>5</xdr:col>
      <xdr:colOff>6350</xdr:colOff>
      <xdr:row>5</xdr:row>
      <xdr:rowOff>246860</xdr:rowOff>
    </xdr:to>
    <xdr:pic>
      <xdr:nvPicPr>
        <xdr:cNvPr id="306" name="Picture 305" descr="afg_021220_032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12000"/>
        </a:blip>
        <a:srcRect/>
        <a:stretch>
          <a:fillRect/>
        </a:stretch>
      </xdr:blipFill>
      <xdr:spPr bwMode="auto">
        <a:xfrm>
          <a:off x="267760" y="251305"/>
          <a:ext cx="1243540" cy="1113155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oneCellAnchor>
    <xdr:from>
      <xdr:col>5</xdr:col>
      <xdr:colOff>180975</xdr:colOff>
      <xdr:row>2</xdr:row>
      <xdr:rowOff>70909</xdr:rowOff>
    </xdr:from>
    <xdr:ext cx="5095874" cy="571500"/>
    <xdr:sp macro="" textlink="">
      <xdr:nvSpPr>
        <xdr:cNvPr id="307" name="Rectangl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/>
      </xdr:nvSpPr>
      <xdr:spPr>
        <a:xfrm>
          <a:off x="1676400" y="309034"/>
          <a:ext cx="5095874" cy="5715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3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5-Day Weather</a:t>
          </a:r>
          <a:r>
            <a:rPr lang="en-US" sz="36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Outlook</a:t>
          </a:r>
        </a:p>
      </xdr:txBody>
    </xdr:sp>
    <xdr:clientData/>
  </xdr:oneCellAnchor>
  <xdr:oneCellAnchor>
    <xdr:from>
      <xdr:col>19</xdr:col>
      <xdr:colOff>19050</xdr:colOff>
      <xdr:row>2</xdr:row>
      <xdr:rowOff>50801</xdr:rowOff>
    </xdr:from>
    <xdr:ext cx="4276725" cy="381000"/>
    <xdr:sp macro="" textlink="">
      <xdr:nvSpPr>
        <xdr:cNvPr id="308" name="Rectangl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/>
      </xdr:nvSpPr>
      <xdr:spPr>
        <a:xfrm>
          <a:off x="6257925" y="288926"/>
          <a:ext cx="4276725" cy="3810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4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20</xdr:col>
      <xdr:colOff>52917</xdr:colOff>
      <xdr:row>3</xdr:row>
      <xdr:rowOff>282576</xdr:rowOff>
    </xdr:from>
    <xdr:ext cx="3609974" cy="288924"/>
    <xdr:sp macro="" textlink="">
      <xdr:nvSpPr>
        <xdr:cNvPr id="309" name="Rectangl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/>
      </xdr:nvSpPr>
      <xdr:spPr>
        <a:xfrm>
          <a:off x="6672792" y="615951"/>
          <a:ext cx="3609974" cy="28892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6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6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104529</xdr:colOff>
      <xdr:row>41</xdr:row>
      <xdr:rowOff>124638</xdr:rowOff>
    </xdr:from>
    <xdr:to>
      <xdr:col>10</xdr:col>
      <xdr:colOff>84195</xdr:colOff>
      <xdr:row>47</xdr:row>
      <xdr:rowOff>137329</xdr:rowOff>
    </xdr:to>
    <xdr:pic>
      <xdr:nvPicPr>
        <xdr:cNvPr id="263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1633972" y="11021238"/>
          <a:ext cx="1677837" cy="1057720"/>
        </a:xfrm>
        <a:prstGeom prst="rect">
          <a:avLst/>
        </a:prstGeom>
        <a:noFill/>
      </xdr:spPr>
    </xdr:pic>
    <xdr:clientData/>
  </xdr:twoCellAnchor>
  <xdr:twoCellAnchor>
    <xdr:from>
      <xdr:col>25</xdr:col>
      <xdr:colOff>372536</xdr:colOff>
      <xdr:row>51</xdr:row>
      <xdr:rowOff>92674</xdr:rowOff>
    </xdr:from>
    <xdr:to>
      <xdr:col>28</xdr:col>
      <xdr:colOff>276225</xdr:colOff>
      <xdr:row>58</xdr:row>
      <xdr:rowOff>21696</xdr:rowOff>
    </xdr:to>
    <xdr:pic>
      <xdr:nvPicPr>
        <xdr:cNvPr id="265" name="Picture 6" descr="Weather Icon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8236" y="12684724"/>
          <a:ext cx="1160989" cy="1078372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19052</xdr:colOff>
      <xdr:row>96</xdr:row>
      <xdr:rowOff>95282</xdr:rowOff>
    </xdr:from>
    <xdr:to>
      <xdr:col>7</xdr:col>
      <xdr:colOff>366485</xdr:colOff>
      <xdr:row>103</xdr:row>
      <xdr:rowOff>46557</xdr:rowOff>
    </xdr:to>
    <xdr:pic>
      <xdr:nvPicPr>
        <xdr:cNvPr id="266" name="Picture 7" descr="Weather Icon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20427" b="20387"/>
        <a:stretch>
          <a:fillRect/>
        </a:stretch>
      </xdr:blipFill>
      <xdr:spPr bwMode="auto">
        <a:xfrm>
          <a:off x="638177" y="19812032"/>
          <a:ext cx="1985733" cy="1084750"/>
        </a:xfrm>
        <a:prstGeom prst="rect">
          <a:avLst/>
        </a:prstGeom>
        <a:noFill/>
      </xdr:spPr>
    </xdr:pic>
    <xdr:clientData/>
  </xdr:twoCellAnchor>
  <xdr:twoCellAnchor>
    <xdr:from>
      <xdr:col>37</xdr:col>
      <xdr:colOff>432860</xdr:colOff>
      <xdr:row>53</xdr:row>
      <xdr:rowOff>965</xdr:rowOff>
    </xdr:from>
    <xdr:to>
      <xdr:col>38</xdr:col>
      <xdr:colOff>599723</xdr:colOff>
      <xdr:row>58</xdr:row>
      <xdr:rowOff>105833</xdr:rowOff>
    </xdr:to>
    <xdr:pic>
      <xdr:nvPicPr>
        <xdr:cNvPr id="267" name="Picture 9" descr="Weather Icon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591471" y="12940854"/>
          <a:ext cx="1147585" cy="916257"/>
        </a:xfrm>
        <a:prstGeom prst="rect">
          <a:avLst/>
        </a:prstGeom>
        <a:noFill/>
      </xdr:spPr>
    </xdr:pic>
    <xdr:clientData/>
  </xdr:twoCellAnchor>
  <xdr:twoCellAnchor>
    <xdr:from>
      <xdr:col>24</xdr:col>
      <xdr:colOff>41276</xdr:colOff>
      <xdr:row>97</xdr:row>
      <xdr:rowOff>13247</xdr:rowOff>
    </xdr:from>
    <xdr:to>
      <xdr:col>26</xdr:col>
      <xdr:colOff>250912</xdr:colOff>
      <xdr:row>101</xdr:row>
      <xdr:rowOff>39158</xdr:rowOff>
    </xdr:to>
    <xdr:pic>
      <xdr:nvPicPr>
        <xdr:cNvPr id="269" name="Picture 12" descr="Weather Icon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9355" b="15054"/>
        <a:stretch>
          <a:fillRect/>
        </a:stretch>
      </xdr:blipFill>
      <xdr:spPr bwMode="auto">
        <a:xfrm>
          <a:off x="8261351" y="19891922"/>
          <a:ext cx="1085936" cy="673611"/>
        </a:xfrm>
        <a:prstGeom prst="rect">
          <a:avLst/>
        </a:prstGeom>
        <a:noFill/>
      </xdr:spPr>
    </xdr:pic>
    <xdr:clientData/>
  </xdr:twoCellAnchor>
  <xdr:twoCellAnchor>
    <xdr:from>
      <xdr:col>33</xdr:col>
      <xdr:colOff>249243</xdr:colOff>
      <xdr:row>51</xdr:row>
      <xdr:rowOff>149764</xdr:rowOff>
    </xdr:from>
    <xdr:to>
      <xdr:col>37</xdr:col>
      <xdr:colOff>49482</xdr:colOff>
      <xdr:row>58</xdr:row>
      <xdr:rowOff>107568</xdr:rowOff>
    </xdr:to>
    <xdr:pic>
      <xdr:nvPicPr>
        <xdr:cNvPr id="270" name="Picture 13" descr="Weather Icon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10564" y="12783868"/>
          <a:ext cx="1130144" cy="1125964"/>
        </a:xfrm>
        <a:prstGeom prst="rect">
          <a:avLst/>
        </a:prstGeom>
        <a:noFill/>
      </xdr:spPr>
    </xdr:pic>
    <xdr:clientData/>
  </xdr:twoCellAnchor>
  <xdr:twoCellAnchor>
    <xdr:from>
      <xdr:col>38</xdr:col>
      <xdr:colOff>562241</xdr:colOff>
      <xdr:row>40</xdr:row>
      <xdr:rowOff>81171</xdr:rowOff>
    </xdr:from>
    <xdr:to>
      <xdr:col>41</xdr:col>
      <xdr:colOff>228600</xdr:colOff>
      <xdr:row>48</xdr:row>
      <xdr:rowOff>9525</xdr:rowOff>
    </xdr:to>
    <xdr:pic>
      <xdr:nvPicPr>
        <xdr:cNvPr id="272" name="Picture 15" descr="Weather Icon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5376" t="5376" r="6452" b="17204"/>
        <a:stretch>
          <a:fillRect/>
        </a:stretch>
      </xdr:blipFill>
      <xdr:spPr bwMode="auto">
        <a:xfrm>
          <a:off x="14710041" y="10882521"/>
          <a:ext cx="1552309" cy="1236454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92075</xdr:colOff>
      <xdr:row>41</xdr:row>
      <xdr:rowOff>238124</xdr:rowOff>
    </xdr:from>
    <xdr:to>
      <xdr:col>21</xdr:col>
      <xdr:colOff>73025</xdr:colOff>
      <xdr:row>48</xdr:row>
      <xdr:rowOff>41274</xdr:rowOff>
    </xdr:to>
    <xdr:grpSp>
      <xdr:nvGrpSpPr>
        <xdr:cNvPr id="235" name="Group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GrpSpPr/>
      </xdr:nvGrpSpPr>
      <xdr:grpSpPr>
        <a:xfrm>
          <a:off x="5857875" y="11141074"/>
          <a:ext cx="1657350" cy="1009650"/>
          <a:chOff x="4938836" y="10022416"/>
          <a:chExt cx="1707497" cy="1112298"/>
        </a:xfrm>
      </xdr:grpSpPr>
      <xdr:pic>
        <xdr:nvPicPr>
          <xdr:cNvPr id="274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4938836" y="10022416"/>
            <a:ext cx="1707497" cy="1112298"/>
          </a:xfrm>
          <a:prstGeom prst="rect">
            <a:avLst/>
          </a:prstGeom>
          <a:noFill/>
        </xdr:spPr>
      </xdr:pic>
      <xdr:pic>
        <xdr:nvPicPr>
          <xdr:cNvPr id="275" name="Picture 12" descr="Weather Icon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5005917" y="10276418"/>
            <a:ext cx="674029" cy="81632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39</xdr:col>
      <xdr:colOff>445559</xdr:colOff>
      <xdr:row>52</xdr:row>
      <xdr:rowOff>67772</xdr:rowOff>
    </xdr:from>
    <xdr:to>
      <xdr:col>41</xdr:col>
      <xdr:colOff>342900</xdr:colOff>
      <xdr:row>59</xdr:row>
      <xdr:rowOff>118532</xdr:rowOff>
    </xdr:to>
    <xdr:pic>
      <xdr:nvPicPr>
        <xdr:cNvPr id="276" name="Picture 18" descr="Weather Icon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952134" y="12659822"/>
          <a:ext cx="1116541" cy="1184235"/>
        </a:xfrm>
        <a:prstGeom prst="rect">
          <a:avLst/>
        </a:prstGeom>
        <a:noFill/>
      </xdr:spPr>
    </xdr:pic>
    <xdr:clientData/>
  </xdr:twoCellAnchor>
  <xdr:twoCellAnchor>
    <xdr:from>
      <xdr:col>4</xdr:col>
      <xdr:colOff>364067</xdr:colOff>
      <xdr:row>64</xdr:row>
      <xdr:rowOff>39702</xdr:rowOff>
    </xdr:from>
    <xdr:to>
      <xdr:col>11</xdr:col>
      <xdr:colOff>231098</xdr:colOff>
      <xdr:row>66</xdr:row>
      <xdr:rowOff>58498</xdr:rowOff>
    </xdr:to>
    <xdr:grpSp>
      <xdr:nvGrpSpPr>
        <xdr:cNvPr id="277" name="Group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GrpSpPr>
          <a:grpSpLocks noChangeAspect="1"/>
        </xdr:cNvGrpSpPr>
      </xdr:nvGrpSpPr>
      <xdr:grpSpPr>
        <a:xfrm>
          <a:off x="1380067" y="14733602"/>
          <a:ext cx="2451481" cy="342646"/>
          <a:chOff x="2718199" y="12550256"/>
          <a:chExt cx="2701685" cy="784744"/>
        </a:xfrm>
      </xdr:grpSpPr>
      <xdr:pic>
        <xdr:nvPicPr>
          <xdr:cNvPr id="278" name="Picture 12" descr="Weather Icon">
            <a:extLst>
              <a:ext uri="{FF2B5EF4-FFF2-40B4-BE49-F238E27FC236}">
                <a16:creationId xmlns:a16="http://schemas.microsoft.com/office/drawing/2014/main" id="{00000000-0008-0000-0000-00001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7318" t="19355" r="8871" b="15054"/>
          <a:stretch>
            <a:fillRect/>
          </a:stretch>
        </xdr:blipFill>
        <xdr:spPr bwMode="auto">
          <a:xfrm>
            <a:off x="2721631" y="12639675"/>
            <a:ext cx="2698253" cy="695325"/>
          </a:xfrm>
          <a:prstGeom prst="rect">
            <a:avLst/>
          </a:prstGeom>
          <a:noFill/>
        </xdr:spPr>
      </xdr:pic>
      <xdr:pic>
        <xdr:nvPicPr>
          <xdr:cNvPr id="279" name="Picture 12" descr="Weather Icon">
            <a:extLst>
              <a:ext uri="{FF2B5EF4-FFF2-40B4-BE49-F238E27FC236}">
                <a16:creationId xmlns:a16="http://schemas.microsoft.com/office/drawing/2014/main" id="{00000000-0008-0000-0000-00001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9298" t="19355" r="8716" b="13340"/>
          <a:stretch>
            <a:fillRect/>
          </a:stretch>
        </xdr:blipFill>
        <xdr:spPr bwMode="auto">
          <a:xfrm rot="10800000">
            <a:off x="2718199" y="12550256"/>
            <a:ext cx="2701683" cy="65139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10</xdr:col>
      <xdr:colOff>30693</xdr:colOff>
      <xdr:row>97</xdr:row>
      <xdr:rowOff>9523</xdr:rowOff>
    </xdr:from>
    <xdr:to>
      <xdr:col>16</xdr:col>
      <xdr:colOff>161927</xdr:colOff>
      <xdr:row>101</xdr:row>
      <xdr:rowOff>98627</xdr:rowOff>
    </xdr:to>
    <xdr:grpSp>
      <xdr:nvGrpSpPr>
        <xdr:cNvPr id="280" name="Group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GrpSpPr>
          <a:grpSpLocks noChangeAspect="1"/>
        </xdr:cNvGrpSpPr>
      </xdr:nvGrpSpPr>
      <xdr:grpSpPr>
        <a:xfrm>
          <a:off x="3212043" y="16932273"/>
          <a:ext cx="2366434" cy="724104"/>
          <a:chOff x="8772525" y="9658349"/>
          <a:chExt cx="2276475" cy="724104"/>
        </a:xfrm>
      </xdr:grpSpPr>
      <xdr:pic>
        <xdr:nvPicPr>
          <xdr:cNvPr id="281" name="Picture 12" descr="Weather Icon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40000" contrast="-40000"/>
          </a:blip>
          <a:srcRect t="19355" b="15054"/>
          <a:stretch>
            <a:fillRect/>
          </a:stretch>
        </xdr:blipFill>
        <xdr:spPr bwMode="auto">
          <a:xfrm rot="10800000">
            <a:off x="8772525" y="9725024"/>
            <a:ext cx="2276475" cy="609802"/>
          </a:xfrm>
          <a:prstGeom prst="rect">
            <a:avLst/>
          </a:prstGeom>
          <a:noFill/>
        </xdr:spPr>
      </xdr:pic>
      <xdr:pic>
        <xdr:nvPicPr>
          <xdr:cNvPr id="282" name="Picture 12" descr="Weather Icon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9115426" y="9658349"/>
            <a:ext cx="895350" cy="562177"/>
          </a:xfrm>
          <a:prstGeom prst="rect">
            <a:avLst/>
          </a:prstGeom>
          <a:noFill/>
        </xdr:spPr>
      </xdr:pic>
      <xdr:pic>
        <xdr:nvPicPr>
          <xdr:cNvPr id="283" name="Picture 12" descr="Weather Icon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/>
          </a:blip>
          <a:srcRect t="19355" b="15054"/>
          <a:stretch>
            <a:fillRect/>
          </a:stretch>
        </xdr:blipFill>
        <xdr:spPr bwMode="auto">
          <a:xfrm>
            <a:off x="8810625" y="9848850"/>
            <a:ext cx="2200275" cy="533603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37</xdr:col>
      <xdr:colOff>55210</xdr:colOff>
      <xdr:row>90</xdr:row>
      <xdr:rowOff>37042</xdr:rowOff>
    </xdr:from>
    <xdr:to>
      <xdr:col>40</xdr:col>
      <xdr:colOff>207432</xdr:colOff>
      <xdr:row>96</xdr:row>
      <xdr:rowOff>105715</xdr:rowOff>
    </xdr:to>
    <xdr:pic>
      <xdr:nvPicPr>
        <xdr:cNvPr id="284" name="Picture 11" descr="Weather Icon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18793" b="16364"/>
        <a:stretch>
          <a:fillRect/>
        </a:stretch>
      </xdr:blipFill>
      <xdr:spPr bwMode="auto">
        <a:xfrm>
          <a:off x="13009210" y="16029517"/>
          <a:ext cx="2314397" cy="104022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152400</xdr:colOff>
      <xdr:row>51</xdr:row>
      <xdr:rowOff>63500</xdr:rowOff>
    </xdr:from>
    <xdr:to>
      <xdr:col>6</xdr:col>
      <xdr:colOff>349275</xdr:colOff>
      <xdr:row>60</xdr:row>
      <xdr:rowOff>16934</xdr:rowOff>
    </xdr:to>
    <xdr:grpSp>
      <xdr:nvGrpSpPr>
        <xdr:cNvPr id="285" name="Group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GrpSpPr>
          <a:grpSpLocks noChangeAspect="1"/>
        </xdr:cNvGrpSpPr>
      </xdr:nvGrpSpPr>
      <xdr:grpSpPr>
        <a:xfrm>
          <a:off x="1168400" y="12655550"/>
          <a:ext cx="1035075" cy="1420284"/>
          <a:chOff x="7362825" y="10753721"/>
          <a:chExt cx="1295400" cy="1571629"/>
        </a:xfrm>
      </xdr:grpSpPr>
      <xdr:pic>
        <xdr:nvPicPr>
          <xdr:cNvPr id="286" name="Picture 12" descr="Weather Icon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0" y="10753721"/>
            <a:ext cx="1019175" cy="1009651"/>
          </a:xfrm>
          <a:prstGeom prst="rect">
            <a:avLst/>
          </a:prstGeom>
          <a:noFill/>
        </xdr:spPr>
      </xdr:pic>
      <xdr:pic>
        <xdr:nvPicPr>
          <xdr:cNvPr id="287" name="Picture 8" descr="Weather Icon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7362825" y="11027588"/>
            <a:ext cx="1209677" cy="129776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377474</xdr:colOff>
      <xdr:row>52</xdr:row>
      <xdr:rowOff>124907</xdr:rowOff>
    </xdr:from>
    <xdr:to>
      <xdr:col>25</xdr:col>
      <xdr:colOff>79023</xdr:colOff>
      <xdr:row>57</xdr:row>
      <xdr:rowOff>117828</xdr:rowOff>
    </xdr:to>
    <xdr:pic>
      <xdr:nvPicPr>
        <xdr:cNvPr id="288" name="Picture 20" descr="Weather Icon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19674" y="12882057"/>
          <a:ext cx="1028699" cy="818421"/>
        </a:xfrm>
        <a:prstGeom prst="rect">
          <a:avLst/>
        </a:prstGeom>
        <a:noFill/>
      </xdr:spPr>
    </xdr:pic>
    <xdr:clientData/>
  </xdr:twoCellAnchor>
  <xdr:twoCellAnchor>
    <xdr:from>
      <xdr:col>12</xdr:col>
      <xdr:colOff>348193</xdr:colOff>
      <xdr:row>65</xdr:row>
      <xdr:rowOff>23284</xdr:rowOff>
    </xdr:from>
    <xdr:to>
      <xdr:col>19</xdr:col>
      <xdr:colOff>165101</xdr:colOff>
      <xdr:row>66</xdr:row>
      <xdr:rowOff>42334</xdr:rowOff>
    </xdr:to>
    <xdr:grpSp>
      <xdr:nvGrpSpPr>
        <xdr:cNvPr id="289" name="Group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GrpSpPr>
          <a:grpSpLocks noChangeAspect="1"/>
        </xdr:cNvGrpSpPr>
      </xdr:nvGrpSpPr>
      <xdr:grpSpPr>
        <a:xfrm>
          <a:off x="4437593" y="14882284"/>
          <a:ext cx="2401358" cy="177800"/>
          <a:chOff x="2514601" y="13315950"/>
          <a:chExt cx="2771773" cy="180975"/>
        </a:xfrm>
      </xdr:grpSpPr>
      <xdr:grpSp>
        <xdr:nvGrpSpPr>
          <xdr:cNvPr id="290" name="Group 177">
            <a:extLst>
              <a:ext uri="{FF2B5EF4-FFF2-40B4-BE49-F238E27FC236}">
                <a16:creationId xmlns:a16="http://schemas.microsoft.com/office/drawing/2014/main" id="{00000000-0008-0000-0000-000022010000}"/>
              </a:ext>
            </a:extLst>
          </xdr:cNvPr>
          <xdr:cNvGrpSpPr/>
        </xdr:nvGrpSpPr>
        <xdr:grpSpPr>
          <a:xfrm>
            <a:off x="2514601" y="13315950"/>
            <a:ext cx="1790700" cy="171449"/>
            <a:chOff x="2600325" y="13325475"/>
            <a:chExt cx="2647950" cy="314325"/>
          </a:xfrm>
        </xdr:grpSpPr>
        <xdr:pic>
          <xdr:nvPicPr>
            <xdr:cNvPr id="294" name="Picture 12" descr="Weather Icon">
              <a:extLst>
                <a:ext uri="{FF2B5EF4-FFF2-40B4-BE49-F238E27FC236}">
                  <a16:creationId xmlns:a16="http://schemas.microsoft.com/office/drawing/2014/main" id="{00000000-0008-0000-0000-000026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95" name="Picture 12" descr="Weather Icon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  <xdr:grpSp>
        <xdr:nvGrpSpPr>
          <xdr:cNvPr id="291" name="Group 178">
            <a:extLst>
              <a:ext uri="{FF2B5EF4-FFF2-40B4-BE49-F238E27FC236}">
                <a16:creationId xmlns:a16="http://schemas.microsoft.com/office/drawing/2014/main" id="{00000000-0008-0000-0000-000023010000}"/>
              </a:ext>
            </a:extLst>
          </xdr:cNvPr>
          <xdr:cNvGrpSpPr/>
        </xdr:nvGrpSpPr>
        <xdr:grpSpPr>
          <a:xfrm rot="10800000">
            <a:off x="4543425" y="13344525"/>
            <a:ext cx="742949" cy="152400"/>
            <a:chOff x="2600325" y="13325475"/>
            <a:chExt cx="2647950" cy="314325"/>
          </a:xfrm>
        </xdr:grpSpPr>
        <xdr:pic>
          <xdr:nvPicPr>
            <xdr:cNvPr id="292" name="Picture 12" descr="Weather Icon">
              <a:extLst>
                <a:ext uri="{FF2B5EF4-FFF2-40B4-BE49-F238E27FC236}">
                  <a16:creationId xmlns:a16="http://schemas.microsoft.com/office/drawing/2014/main" id="{00000000-0008-0000-0000-000024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93" name="Picture 12" descr="Weather Icon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>
    <xdr:from>
      <xdr:col>23</xdr:col>
      <xdr:colOff>294220</xdr:colOff>
      <xdr:row>90</xdr:row>
      <xdr:rowOff>132664</xdr:rowOff>
    </xdr:from>
    <xdr:to>
      <xdr:col>27</xdr:col>
      <xdr:colOff>282578</xdr:colOff>
      <xdr:row>95</xdr:row>
      <xdr:rowOff>66728</xdr:rowOff>
    </xdr:to>
    <xdr:grpSp>
      <xdr:nvGrpSpPr>
        <xdr:cNvPr id="297" name="Group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GrpSpPr/>
      </xdr:nvGrpSpPr>
      <xdr:grpSpPr>
        <a:xfrm>
          <a:off x="8295220" y="15944164"/>
          <a:ext cx="1594908" cy="727814"/>
          <a:chOff x="3838577" y="11113994"/>
          <a:chExt cx="1409700" cy="687480"/>
        </a:xfrm>
      </xdr:grpSpPr>
      <xdr:pic>
        <xdr:nvPicPr>
          <xdr:cNvPr id="298" name="Picture 6" descr="Weather Icon">
            <a:extLst>
              <a:ext uri="{FF2B5EF4-FFF2-40B4-BE49-F238E27FC236}">
                <a16:creationId xmlns:a16="http://schemas.microsoft.com/office/drawing/2014/main" id="{00000000-0008-0000-0000-00002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b="28885"/>
          <a:stretch>
            <a:fillRect/>
          </a:stretch>
        </xdr:blipFill>
        <xdr:spPr bwMode="auto">
          <a:xfrm>
            <a:off x="3917175" y="11161618"/>
            <a:ext cx="573512" cy="629399"/>
          </a:xfrm>
          <a:prstGeom prst="rect">
            <a:avLst/>
          </a:prstGeom>
          <a:noFill/>
        </xdr:spPr>
      </xdr:pic>
      <xdr:pic>
        <xdr:nvPicPr>
          <xdr:cNvPr id="299" name="Picture 6" descr="Weather Icon">
            <a:extLst>
              <a:ext uri="{FF2B5EF4-FFF2-40B4-BE49-F238E27FC236}">
                <a16:creationId xmlns:a16="http://schemas.microsoft.com/office/drawing/2014/main" id="{00000000-0008-0000-0000-00002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b="28885"/>
          <a:stretch>
            <a:fillRect/>
          </a:stretch>
        </xdr:blipFill>
        <xdr:spPr bwMode="auto">
          <a:xfrm>
            <a:off x="4239776" y="11113994"/>
            <a:ext cx="573512" cy="639389"/>
          </a:xfrm>
          <a:prstGeom prst="rect">
            <a:avLst/>
          </a:prstGeom>
          <a:noFill/>
        </xdr:spPr>
      </xdr:pic>
      <xdr:pic>
        <xdr:nvPicPr>
          <xdr:cNvPr id="300" name="Picture 6" descr="Weather Icon">
            <a:extLst>
              <a:ext uri="{FF2B5EF4-FFF2-40B4-BE49-F238E27FC236}">
                <a16:creationId xmlns:a16="http://schemas.microsoft.com/office/drawing/2014/main" id="{00000000-0008-0000-0000-00002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b="28885"/>
          <a:stretch>
            <a:fillRect/>
          </a:stretch>
        </xdr:blipFill>
        <xdr:spPr bwMode="auto">
          <a:xfrm>
            <a:off x="4589260" y="11162085"/>
            <a:ext cx="573512" cy="639389"/>
          </a:xfrm>
          <a:prstGeom prst="rect">
            <a:avLst/>
          </a:prstGeom>
          <a:noFill/>
        </xdr:spPr>
      </xdr:pic>
      <xdr:pic>
        <xdr:nvPicPr>
          <xdr:cNvPr id="301" name="Picture 12" descr="Weather Icon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3838577" y="11372817"/>
            <a:ext cx="1409700" cy="30217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114300</xdr:colOff>
      <xdr:row>91</xdr:row>
      <xdr:rowOff>28575</xdr:rowOff>
    </xdr:from>
    <xdr:to>
      <xdr:col>5</xdr:col>
      <xdr:colOff>104775</xdr:colOff>
      <xdr:row>96</xdr:row>
      <xdr:rowOff>104775</xdr:rowOff>
    </xdr:to>
    <xdr:pic>
      <xdr:nvPicPr>
        <xdr:cNvPr id="1025" name="Picture 1" descr="Weather Icon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3425" y="161829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390525</xdr:colOff>
      <xdr:row>91</xdr:row>
      <xdr:rowOff>66675</xdr:rowOff>
    </xdr:from>
    <xdr:to>
      <xdr:col>9</xdr:col>
      <xdr:colOff>285750</xdr:colOff>
      <xdr:row>96</xdr:row>
      <xdr:rowOff>142875</xdr:rowOff>
    </xdr:to>
    <xdr:pic>
      <xdr:nvPicPr>
        <xdr:cNvPr id="1026" name="Picture 2" descr="Weather Icon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28850" y="162210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142875</xdr:colOff>
      <xdr:row>91</xdr:row>
      <xdr:rowOff>9525</xdr:rowOff>
    </xdr:from>
    <xdr:to>
      <xdr:col>12</xdr:col>
      <xdr:colOff>133350</xdr:colOff>
      <xdr:row>96</xdr:row>
      <xdr:rowOff>85725</xdr:rowOff>
    </xdr:to>
    <xdr:pic>
      <xdr:nvPicPr>
        <xdr:cNvPr id="1027" name="Picture 3" descr="Weather Icon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95650" y="1616392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209550</xdr:colOff>
      <xdr:row>93</xdr:row>
      <xdr:rowOff>9525</xdr:rowOff>
    </xdr:from>
    <xdr:to>
      <xdr:col>16</xdr:col>
      <xdr:colOff>104775</xdr:colOff>
      <xdr:row>98</xdr:row>
      <xdr:rowOff>85725</xdr:rowOff>
    </xdr:to>
    <xdr:pic>
      <xdr:nvPicPr>
        <xdr:cNvPr id="1028" name="Picture 4" descr="Weather Icon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581525" y="1648777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428625</xdr:colOff>
      <xdr:row>91</xdr:row>
      <xdr:rowOff>85725</xdr:rowOff>
    </xdr:from>
    <xdr:to>
      <xdr:col>21</xdr:col>
      <xdr:colOff>57150</xdr:colOff>
      <xdr:row>97</xdr:row>
      <xdr:rowOff>0</xdr:rowOff>
    </xdr:to>
    <xdr:pic>
      <xdr:nvPicPr>
        <xdr:cNvPr id="1029" name="Picture 5" descr="Weather Icon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515100" y="16240125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20</xdr:col>
      <xdr:colOff>9525</xdr:colOff>
      <xdr:row>98</xdr:row>
      <xdr:rowOff>76200</xdr:rowOff>
    </xdr:from>
    <xdr:to>
      <xdr:col>21</xdr:col>
      <xdr:colOff>457200</xdr:colOff>
      <xdr:row>103</xdr:row>
      <xdr:rowOff>152400</xdr:rowOff>
    </xdr:to>
    <xdr:pic>
      <xdr:nvPicPr>
        <xdr:cNvPr id="1030" name="Picture 6" descr="Weather Icon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915150" y="20116800"/>
          <a:ext cx="866775" cy="885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63</xdr:row>
      <xdr:rowOff>123825</xdr:rowOff>
    </xdr:from>
    <xdr:to>
      <xdr:col>4</xdr:col>
      <xdr:colOff>190500</xdr:colOff>
      <xdr:row>66</xdr:row>
      <xdr:rowOff>133611</xdr:rowOff>
    </xdr:to>
    <xdr:grpSp>
      <xdr:nvGrpSpPr>
        <xdr:cNvPr id="196" name="Group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GrpSpPr/>
      </xdr:nvGrpSpPr>
      <xdr:grpSpPr>
        <a:xfrm>
          <a:off x="0" y="14658975"/>
          <a:ext cx="1206500" cy="492386"/>
          <a:chOff x="4974167" y="13292667"/>
          <a:chExt cx="1167530" cy="508260"/>
        </a:xfrm>
      </xdr:grpSpPr>
      <xdr:grpSp>
        <xdr:nvGrpSpPr>
          <xdr:cNvPr id="187" name="Group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GrpSpPr/>
        </xdr:nvGrpSpPr>
        <xdr:grpSpPr>
          <a:xfrm>
            <a:off x="4974167" y="13366749"/>
            <a:ext cx="1121825" cy="434178"/>
            <a:chOff x="7866980" y="13557248"/>
            <a:chExt cx="1234679" cy="434178"/>
          </a:xfrm>
        </xdr:grpSpPr>
        <xdr:sp macro="" textlink="">
          <xdr:nvSpPr>
            <xdr:cNvPr id="174" name="Freeform 173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/>
          </xdr:nvSpPr>
          <xdr:spPr bwMode="auto">
            <a:xfrm rot="12056348">
              <a:off x="8128962" y="13777219"/>
              <a:ext cx="941508" cy="214207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5" name="Freeform 174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/>
          </xdr:nvSpPr>
          <xdr:spPr bwMode="auto">
            <a:xfrm>
              <a:off x="8104718" y="13694838"/>
              <a:ext cx="973666" cy="5080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6" name="Freeform 175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SpPr/>
          </xdr:nvSpPr>
          <xdr:spPr bwMode="auto">
            <a:xfrm rot="21256648" flipV="1">
              <a:off x="7866980" y="13749472"/>
              <a:ext cx="999296" cy="101269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172" name="Freeform 171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/>
          </xdr:nvSpPr>
          <xdr:spPr bwMode="auto">
            <a:xfrm>
              <a:off x="8191493" y="13557248"/>
              <a:ext cx="910166" cy="15875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</xdr:grpSp>
      <xdr:pic>
        <xdr:nvPicPr>
          <xdr:cNvPr id="1032" name="Picture 8" descr="http://cdn1.iconfinder.com/data/icons/iconsland-weather/PNG/256x256/Wind_Flag_Storm.png">
            <a:extLst>
              <a:ext uri="{FF2B5EF4-FFF2-40B4-BE49-F238E27FC236}">
                <a16:creationId xmlns:a16="http://schemas.microsoft.com/office/drawing/2014/main" id="{00000000-0008-0000-0000-000008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5630333" y="13292667"/>
            <a:ext cx="511364" cy="50270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27</xdr:col>
      <xdr:colOff>183581</xdr:colOff>
      <xdr:row>42</xdr:row>
      <xdr:rowOff>57150</xdr:rowOff>
    </xdr:from>
    <xdr:to>
      <xdr:col>33</xdr:col>
      <xdr:colOff>312740</xdr:colOff>
      <xdr:row>47</xdr:row>
      <xdr:rowOff>36496</xdr:rowOff>
    </xdr:to>
    <xdr:pic>
      <xdr:nvPicPr>
        <xdr:cNvPr id="199" name="Picture 12" descr="Weather Icon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10008619" y="11253788"/>
          <a:ext cx="2415159" cy="788971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238126</xdr:colOff>
      <xdr:row>54</xdr:row>
      <xdr:rowOff>28575</xdr:rowOff>
    </xdr:from>
    <xdr:to>
      <xdr:col>20</xdr:col>
      <xdr:colOff>371475</xdr:colOff>
      <xdr:row>58</xdr:row>
      <xdr:rowOff>19049</xdr:rowOff>
    </xdr:to>
    <xdr:grpSp>
      <xdr:nvGrpSpPr>
        <xdr:cNvPr id="208" name="Group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pSpPr/>
      </xdr:nvGrpSpPr>
      <xdr:grpSpPr>
        <a:xfrm>
          <a:off x="5654676" y="13115925"/>
          <a:ext cx="1739899" cy="644524"/>
          <a:chOff x="4032250" y="14562667"/>
          <a:chExt cx="1608667" cy="632564"/>
        </a:xfrm>
      </xdr:grpSpPr>
      <xdr:grpSp>
        <xdr:nvGrpSpPr>
          <xdr:cNvPr id="207" name="Group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GrpSpPr/>
        </xdr:nvGrpSpPr>
        <xdr:grpSpPr>
          <a:xfrm>
            <a:off x="4146729" y="14700250"/>
            <a:ext cx="1311055" cy="494981"/>
            <a:chOff x="4146729" y="14700250"/>
            <a:chExt cx="1311055" cy="494981"/>
          </a:xfrm>
        </xdr:grpSpPr>
        <xdr:pic>
          <xdr:nvPicPr>
            <xdr:cNvPr id="203" name="Picture 6" descr="Weather Icon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 t="22857" b="28885"/>
            <a:stretch>
              <a:fillRect/>
            </a:stretch>
          </xdr:blipFill>
          <xdr:spPr bwMode="auto">
            <a:xfrm>
              <a:off x="4146729" y="14732000"/>
              <a:ext cx="603651" cy="452160"/>
            </a:xfrm>
            <a:prstGeom prst="rect">
              <a:avLst/>
            </a:prstGeom>
            <a:noFill/>
          </xdr:spPr>
        </xdr:pic>
        <xdr:pic>
          <xdr:nvPicPr>
            <xdr:cNvPr id="204" name="Picture 6" descr="Weather Icon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 t="26685" b="28885"/>
            <a:stretch>
              <a:fillRect/>
            </a:stretch>
          </xdr:blipFill>
          <xdr:spPr bwMode="auto">
            <a:xfrm>
              <a:off x="4486283" y="14721417"/>
              <a:ext cx="603651" cy="422902"/>
            </a:xfrm>
            <a:prstGeom prst="rect">
              <a:avLst/>
            </a:prstGeom>
            <a:noFill/>
          </xdr:spPr>
        </xdr:pic>
        <xdr:pic>
          <xdr:nvPicPr>
            <xdr:cNvPr id="205" name="Picture 6" descr="Weather Icon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 t="19112" b="28885"/>
            <a:stretch>
              <a:fillRect/>
            </a:stretch>
          </xdr:blipFill>
          <xdr:spPr bwMode="auto">
            <a:xfrm>
              <a:off x="4854133" y="14700250"/>
              <a:ext cx="603651" cy="494981"/>
            </a:xfrm>
            <a:prstGeom prst="rect">
              <a:avLst/>
            </a:prstGeom>
            <a:noFill/>
          </xdr:spPr>
        </xdr:pic>
      </xdr:grpSp>
      <xdr:pic>
        <xdr:nvPicPr>
          <xdr:cNvPr id="206" name="Picture 12" descr="Weather Icon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bright="-3000" contrast="-65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4032250" y="14562667"/>
            <a:ext cx="1608667" cy="509242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</xdr:col>
      <xdr:colOff>128059</xdr:colOff>
      <xdr:row>67</xdr:row>
      <xdr:rowOff>42341</xdr:rowOff>
    </xdr:from>
    <xdr:ext cx="589883" cy="235245"/>
    <xdr:sp macro="" textlink="">
      <xdr:nvSpPr>
        <xdr:cNvPr id="153" name="Rectangle 326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rrowheads="1"/>
        </xdr:cNvSpPr>
      </xdr:nvSpPr>
      <xdr:spPr bwMode="auto">
        <a:xfrm>
          <a:off x="404284" y="15063266"/>
          <a:ext cx="589883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WINDY</a:t>
          </a:r>
        </a:p>
      </xdr:txBody>
    </xdr:sp>
    <xdr:clientData/>
  </xdr:oneCellAnchor>
  <xdr:twoCellAnchor>
    <xdr:from>
      <xdr:col>10</xdr:col>
      <xdr:colOff>409046</xdr:colOff>
      <xdr:row>41</xdr:row>
      <xdr:rowOff>196850</xdr:rowOff>
    </xdr:from>
    <xdr:to>
      <xdr:col>14</xdr:col>
      <xdr:colOff>461962</xdr:colOff>
      <xdr:row>48</xdr:row>
      <xdr:rowOff>86321</xdr:rowOff>
    </xdr:to>
    <xdr:grpSp>
      <xdr:nvGrpSpPr>
        <xdr:cNvPr id="154" name="Group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3590396" y="11099800"/>
          <a:ext cx="1729316" cy="1095971"/>
          <a:chOff x="2910416" y="9937749"/>
          <a:chExt cx="1703917" cy="1088563"/>
        </a:xfrm>
      </xdr:grpSpPr>
      <xdr:pic>
        <xdr:nvPicPr>
          <xdr:cNvPr id="15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156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157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223838</xdr:colOff>
      <xdr:row>41</xdr:row>
      <xdr:rowOff>152400</xdr:rowOff>
    </xdr:from>
    <xdr:to>
      <xdr:col>27</xdr:col>
      <xdr:colOff>76739</xdr:colOff>
      <xdr:row>47</xdr:row>
      <xdr:rowOff>106891</xdr:rowOff>
    </xdr:to>
    <xdr:grpSp>
      <xdr:nvGrpSpPr>
        <xdr:cNvPr id="239" name="Group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GrpSpPr>
          <a:grpSpLocks noChangeAspect="1"/>
        </xdr:cNvGrpSpPr>
      </xdr:nvGrpSpPr>
      <xdr:grpSpPr>
        <a:xfrm>
          <a:off x="7666038" y="11055350"/>
          <a:ext cx="2018251" cy="1002241"/>
          <a:chOff x="5979583" y="14467417"/>
          <a:chExt cx="2137835" cy="1066800"/>
        </a:xfrm>
      </xdr:grpSpPr>
      <xdr:pic>
        <xdr:nvPicPr>
          <xdr:cNvPr id="236" name="Picture 5" descr="Weather Icon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237" name="Picture 12" descr="Weather Icon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27</xdr:col>
      <xdr:colOff>96308</xdr:colOff>
      <xdr:row>67</xdr:row>
      <xdr:rowOff>85725</xdr:rowOff>
    </xdr:from>
    <xdr:ext cx="828675" cy="447675"/>
    <xdr:sp macro="" textlink="">
      <xdr:nvSpPr>
        <xdr:cNvPr id="201" name="Rectangle 83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rrowheads="1"/>
        </xdr:cNvSpPr>
      </xdr:nvSpPr>
      <xdr:spPr bwMode="auto">
        <a:xfrm>
          <a:off x="9535583" y="15106650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FREEZING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DRIZZLE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20</xdr:col>
      <xdr:colOff>51858</xdr:colOff>
      <xdr:row>61</xdr:row>
      <xdr:rowOff>95250</xdr:rowOff>
    </xdr:from>
    <xdr:to>
      <xdr:col>25</xdr:col>
      <xdr:colOff>47625</xdr:colOff>
      <xdr:row>67</xdr:row>
      <xdr:rowOff>64559</xdr:rowOff>
    </xdr:to>
    <xdr:grpSp>
      <xdr:nvGrpSpPr>
        <xdr:cNvPr id="248" name="Group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GrpSpPr/>
      </xdr:nvGrpSpPr>
      <xdr:grpSpPr>
        <a:xfrm>
          <a:off x="7074958" y="14312900"/>
          <a:ext cx="1742017" cy="863600"/>
          <a:chOff x="6957481" y="13342411"/>
          <a:chExt cx="1767416" cy="1000111"/>
        </a:xfrm>
      </xdr:grpSpPr>
      <xdr:pic>
        <xdr:nvPicPr>
          <xdr:cNvPr id="211" name="Picture 6" descr="Weather Icon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8105505" y="13769646"/>
            <a:ext cx="333645" cy="495208"/>
          </a:xfrm>
          <a:prstGeom prst="rect">
            <a:avLst/>
          </a:prstGeom>
          <a:noFill/>
        </xdr:spPr>
      </xdr:pic>
      <xdr:pic>
        <xdr:nvPicPr>
          <xdr:cNvPr id="212" name="Picture 6" descr="Weather Icon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9261" b="26872"/>
          <a:stretch>
            <a:fillRect/>
          </a:stretch>
        </xdr:blipFill>
        <xdr:spPr bwMode="auto">
          <a:xfrm>
            <a:off x="7642268" y="13711387"/>
            <a:ext cx="382674" cy="592307"/>
          </a:xfrm>
          <a:prstGeom prst="rect">
            <a:avLst/>
          </a:prstGeom>
          <a:noFill/>
        </xdr:spPr>
      </xdr:pic>
      <xdr:pic>
        <xdr:nvPicPr>
          <xdr:cNvPr id="213" name="Picture 6" descr="Weather Icon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56595" b="28885"/>
          <a:stretch>
            <a:fillRect/>
          </a:stretch>
        </xdr:blipFill>
        <xdr:spPr bwMode="auto">
          <a:xfrm>
            <a:off x="7904099" y="13789067"/>
            <a:ext cx="325550" cy="553467"/>
          </a:xfrm>
          <a:prstGeom prst="rect">
            <a:avLst/>
          </a:prstGeom>
          <a:noFill/>
        </xdr:spPr>
      </xdr:pic>
      <xdr:pic>
        <xdr:nvPicPr>
          <xdr:cNvPr id="214" name="Picture 6" descr="Weather Icon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8579" b="30093"/>
          <a:stretch>
            <a:fillRect/>
          </a:stretch>
        </xdr:blipFill>
        <xdr:spPr bwMode="auto">
          <a:xfrm>
            <a:off x="7115175" y="13798777"/>
            <a:ext cx="295474" cy="378688"/>
          </a:xfrm>
          <a:prstGeom prst="rect">
            <a:avLst/>
          </a:prstGeom>
          <a:noFill/>
        </xdr:spPr>
      </xdr:pic>
      <xdr:pic>
        <xdr:nvPicPr>
          <xdr:cNvPr id="215" name="Picture 6" descr="Weather Icon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7340157" y="13827907"/>
            <a:ext cx="392744" cy="398108"/>
          </a:xfrm>
          <a:prstGeom prst="rect">
            <a:avLst/>
          </a:prstGeom>
          <a:noFill/>
        </xdr:spPr>
      </xdr:pic>
      <xdr:pic>
        <xdr:nvPicPr>
          <xdr:cNvPr id="216" name="Picture 12" descr="Weather Icon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6957483" y="13342409"/>
            <a:ext cx="1767417" cy="686691"/>
          </a:xfrm>
          <a:prstGeom prst="rect">
            <a:avLst/>
          </a:prstGeom>
          <a:noFill/>
        </xdr:spPr>
      </xdr:pic>
      <xdr:pic>
        <xdr:nvPicPr>
          <xdr:cNvPr id="217" name="Picture 12" descr="Weather Icon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7067549" y="13478348"/>
            <a:ext cx="1488883" cy="492417"/>
          </a:xfrm>
          <a:prstGeom prst="rect">
            <a:avLst/>
          </a:prstGeom>
          <a:noFill/>
        </xdr:spPr>
      </xdr:pic>
    </xdr:grpSp>
    <xdr:clientData/>
  </xdr:twoCellAnchor>
  <xdr:oneCellAnchor>
    <xdr:from>
      <xdr:col>21</xdr:col>
      <xdr:colOff>280459</xdr:colOff>
      <xdr:row>67</xdr:row>
      <xdr:rowOff>22225</xdr:rowOff>
    </xdr:from>
    <xdr:ext cx="828675" cy="447675"/>
    <xdr:sp macro="" textlink="">
      <xdr:nvSpPr>
        <xdr:cNvPr id="219" name="Rectangle 83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rrowheads="1"/>
        </xdr:cNvSpPr>
      </xdr:nvSpPr>
      <xdr:spPr bwMode="auto">
        <a:xfrm>
          <a:off x="7386109" y="15281275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FREEZING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RAIN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36722</xdr:colOff>
      <xdr:row>15</xdr:row>
      <xdr:rowOff>18330</xdr:rowOff>
    </xdr:from>
    <xdr:to>
      <xdr:col>19</xdr:col>
      <xdr:colOff>32415</xdr:colOff>
      <xdr:row>16</xdr:row>
      <xdr:rowOff>4780</xdr:rowOff>
    </xdr:to>
    <xdr:grpSp>
      <xdr:nvGrpSpPr>
        <xdr:cNvPr id="258" name="Group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GrpSpPr/>
      </xdr:nvGrpSpPr>
      <xdr:grpSpPr>
        <a:xfrm>
          <a:off x="5453272" y="3650530"/>
          <a:ext cx="1252993" cy="443650"/>
          <a:chOff x="150283" y="3611033"/>
          <a:chExt cx="1133473" cy="447677"/>
        </a:xfrm>
      </xdr:grpSpPr>
      <xdr:pic>
        <xdr:nvPicPr>
          <xdr:cNvPr id="259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60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30</xdr:col>
      <xdr:colOff>23703</xdr:colOff>
      <xdr:row>15</xdr:row>
      <xdr:rowOff>14017</xdr:rowOff>
    </xdr:from>
    <xdr:to>
      <xdr:col>33</xdr:col>
      <xdr:colOff>19396</xdr:colOff>
      <xdr:row>16</xdr:row>
      <xdr:rowOff>467</xdr:rowOff>
    </xdr:to>
    <xdr:grpSp>
      <xdr:nvGrpSpPr>
        <xdr:cNvPr id="311" name="Group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GrpSpPr/>
      </xdr:nvGrpSpPr>
      <xdr:grpSpPr>
        <a:xfrm>
          <a:off x="10609153" y="3646217"/>
          <a:ext cx="1252993" cy="443650"/>
          <a:chOff x="150283" y="3611033"/>
          <a:chExt cx="1133473" cy="447677"/>
        </a:xfrm>
      </xdr:grpSpPr>
      <xdr:pic>
        <xdr:nvPicPr>
          <xdr:cNvPr id="312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3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13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3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</xdr:col>
      <xdr:colOff>53444</xdr:colOff>
      <xdr:row>23</xdr:row>
      <xdr:rowOff>32960</xdr:rowOff>
    </xdr:from>
    <xdr:to>
      <xdr:col>5</xdr:col>
      <xdr:colOff>49137</xdr:colOff>
      <xdr:row>24</xdr:row>
      <xdr:rowOff>19409</xdr:rowOff>
    </xdr:to>
    <xdr:grpSp>
      <xdr:nvGrpSpPr>
        <xdr:cNvPr id="314" name="Group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GrpSpPr/>
      </xdr:nvGrpSpPr>
      <xdr:grpSpPr>
        <a:xfrm>
          <a:off x="301094" y="6484560"/>
          <a:ext cx="1252993" cy="443649"/>
          <a:chOff x="150283" y="3611033"/>
          <a:chExt cx="1133473" cy="447677"/>
        </a:xfrm>
      </xdr:grpSpPr>
      <xdr:pic>
        <xdr:nvPicPr>
          <xdr:cNvPr id="336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5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37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5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30</xdr:col>
      <xdr:colOff>83607</xdr:colOff>
      <xdr:row>23</xdr:row>
      <xdr:rowOff>22904</xdr:rowOff>
    </xdr:from>
    <xdr:to>
      <xdr:col>33</xdr:col>
      <xdr:colOff>79300</xdr:colOff>
      <xdr:row>24</xdr:row>
      <xdr:rowOff>9353</xdr:rowOff>
    </xdr:to>
    <xdr:grpSp>
      <xdr:nvGrpSpPr>
        <xdr:cNvPr id="363" name="Group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GrpSpPr/>
      </xdr:nvGrpSpPr>
      <xdr:grpSpPr>
        <a:xfrm>
          <a:off x="10669057" y="6474504"/>
          <a:ext cx="1252993" cy="443649"/>
          <a:chOff x="150283" y="3611033"/>
          <a:chExt cx="1133473" cy="447677"/>
        </a:xfrm>
      </xdr:grpSpPr>
      <xdr:pic>
        <xdr:nvPicPr>
          <xdr:cNvPr id="364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6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6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6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16</xdr:col>
      <xdr:colOff>45508</xdr:colOff>
      <xdr:row>96</xdr:row>
      <xdr:rowOff>103717</xdr:rowOff>
    </xdr:from>
    <xdr:to>
      <xdr:col>18</xdr:col>
      <xdr:colOff>359868</xdr:colOff>
      <xdr:row>105</xdr:row>
      <xdr:rowOff>103717</xdr:rowOff>
    </xdr:to>
    <xdr:grpSp>
      <xdr:nvGrpSpPr>
        <xdr:cNvPr id="184" name="Group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GrpSpPr>
          <a:grpSpLocks noChangeAspect="1"/>
        </xdr:cNvGrpSpPr>
      </xdr:nvGrpSpPr>
      <xdr:grpSpPr>
        <a:xfrm>
          <a:off x="5462058" y="16867717"/>
          <a:ext cx="1082710" cy="1428750"/>
          <a:chOff x="7362825" y="10753721"/>
          <a:chExt cx="1295400" cy="1571629"/>
        </a:xfrm>
      </xdr:grpSpPr>
      <xdr:pic>
        <xdr:nvPicPr>
          <xdr:cNvPr id="185" name="Picture 12" descr="Weather Icon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0" y="10753721"/>
            <a:ext cx="1019175" cy="1009651"/>
          </a:xfrm>
          <a:prstGeom prst="rect">
            <a:avLst/>
          </a:prstGeom>
          <a:noFill/>
        </xdr:spPr>
      </xdr:pic>
      <xdr:pic>
        <xdr:nvPicPr>
          <xdr:cNvPr id="186" name="Picture 8" descr="Weather Icon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7362825" y="11027588"/>
            <a:ext cx="1209677" cy="129776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76200</xdr:colOff>
      <xdr:row>41</xdr:row>
      <xdr:rowOff>171450</xdr:rowOff>
    </xdr:from>
    <xdr:to>
      <xdr:col>4</xdr:col>
      <xdr:colOff>380732</xdr:colOff>
      <xdr:row>47</xdr:row>
      <xdr:rowOff>134399</xdr:rowOff>
    </xdr:to>
    <xdr:pic>
      <xdr:nvPicPr>
        <xdr:cNvPr id="189" name="Picture 5" descr="Weather Icon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2564" b="1709"/>
        <a:stretch>
          <a:fillRect/>
        </a:stretch>
      </xdr:blipFill>
      <xdr:spPr bwMode="auto">
        <a:xfrm>
          <a:off x="314325" y="11125200"/>
          <a:ext cx="1037957" cy="10297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165101</xdr:colOff>
      <xdr:row>51</xdr:row>
      <xdr:rowOff>61214</xdr:rowOff>
    </xdr:from>
    <xdr:to>
      <xdr:col>4</xdr:col>
      <xdr:colOff>101601</xdr:colOff>
      <xdr:row>60</xdr:row>
      <xdr:rowOff>54605</xdr:rowOff>
    </xdr:to>
    <xdr:grpSp>
      <xdr:nvGrpSpPr>
        <xdr:cNvPr id="238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165101" y="12653264"/>
          <a:ext cx="952500" cy="1460241"/>
          <a:chOff x="7705725" y="11065461"/>
          <a:chExt cx="1343025" cy="1898065"/>
        </a:xfrm>
      </xdr:grpSpPr>
      <xdr:pic>
        <xdr:nvPicPr>
          <xdr:cNvPr id="240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241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7</xdr:col>
      <xdr:colOff>371477</xdr:colOff>
      <xdr:row>51</xdr:row>
      <xdr:rowOff>120650</xdr:rowOff>
    </xdr:from>
    <xdr:to>
      <xdr:col>11</xdr:col>
      <xdr:colOff>8200</xdr:colOff>
      <xdr:row>60</xdr:row>
      <xdr:rowOff>110785</xdr:rowOff>
    </xdr:to>
    <xdr:grpSp>
      <xdr:nvGrpSpPr>
        <xdr:cNvPr id="253" name="Group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GrpSpPr>
          <a:grpSpLocks noChangeAspect="1"/>
        </xdr:cNvGrpSpPr>
      </xdr:nvGrpSpPr>
      <xdr:grpSpPr>
        <a:xfrm>
          <a:off x="2644777" y="12712700"/>
          <a:ext cx="963873" cy="1456985"/>
          <a:chOff x="11896725" y="13605474"/>
          <a:chExt cx="1076696" cy="1831037"/>
        </a:xfrm>
      </xdr:grpSpPr>
      <xdr:pic>
        <xdr:nvPicPr>
          <xdr:cNvPr id="315" name="Picture 314">
            <a:extLst>
              <a:ext uri="{FF2B5EF4-FFF2-40B4-BE49-F238E27FC236}">
                <a16:creationId xmlns:a16="http://schemas.microsoft.com/office/drawing/2014/main" id="{00000000-0008-0000-00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9">
                    <a14:imgEffect>
                      <a14:brightnessContrast bright="27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18783"/>
          <a:stretch/>
        </xdr:blipFill>
        <xdr:spPr>
          <a:xfrm>
            <a:off x="12261016" y="14693042"/>
            <a:ext cx="605950" cy="697713"/>
          </a:xfrm>
          <a:prstGeom prst="rect">
            <a:avLst/>
          </a:prstGeom>
        </xdr:spPr>
      </xdr:pic>
      <xdr:pic>
        <xdr:nvPicPr>
          <xdr:cNvPr id="317" name="Picture 12" descr="Weather Icon">
            <a:extLst>
              <a:ext uri="{FF2B5EF4-FFF2-40B4-BE49-F238E27FC236}">
                <a16:creationId xmlns:a16="http://schemas.microsoft.com/office/drawing/2014/main" id="{00000000-0008-0000-0000-00003D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0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bright="-34000" contrast="-27000"/>
                    </a14:imgEffect>
                  </a14:imgLayer>
                </a14:imgProps>
              </a:ext>
            </a:extLst>
          </a:blip>
          <a:srcRect t="19355" b="22882"/>
          <a:stretch/>
        </xdr:blipFill>
        <xdr:spPr bwMode="auto">
          <a:xfrm>
            <a:off x="12310434" y="13877925"/>
            <a:ext cx="599227" cy="866776"/>
          </a:xfrm>
          <a:prstGeom prst="rect">
            <a:avLst/>
          </a:prstGeom>
          <a:noFill/>
        </xdr:spPr>
      </xdr:pic>
      <xdr:pic>
        <xdr:nvPicPr>
          <xdr:cNvPr id="351" name="Picture 12" descr="Weather Icon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12079944" y="13605474"/>
            <a:ext cx="893477" cy="993743"/>
          </a:xfrm>
          <a:prstGeom prst="rect">
            <a:avLst/>
          </a:prstGeom>
          <a:noFill/>
        </xdr:spPr>
      </xdr:pic>
      <xdr:pic>
        <xdr:nvPicPr>
          <xdr:cNvPr id="355" name="Picture 16" descr="Weather Icon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1896725" y="14058900"/>
            <a:ext cx="716619" cy="1377611"/>
          </a:xfrm>
          <a:prstGeom prst="rect">
            <a:avLst/>
          </a:prstGeom>
          <a:noFill/>
        </xdr:spPr>
      </xdr:pic>
    </xdr:grpSp>
    <xdr:clientData/>
  </xdr:twoCellAnchor>
  <xdr:oneCellAnchor>
    <xdr:from>
      <xdr:col>7</xdr:col>
      <xdr:colOff>371475</xdr:colOff>
      <xdr:row>60</xdr:row>
      <xdr:rowOff>128059</xdr:rowOff>
    </xdr:from>
    <xdr:ext cx="839260" cy="262466"/>
    <xdr:sp macro="" textlink="">
      <xdr:nvSpPr>
        <xdr:cNvPr id="356" name="Rectangle 7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rrowheads="1"/>
        </xdr:cNvSpPr>
      </xdr:nvSpPr>
      <xdr:spPr bwMode="auto">
        <a:xfrm>
          <a:off x="2371725" y="13072534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TORNADIC 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47625</xdr:colOff>
      <xdr:row>35</xdr:row>
      <xdr:rowOff>9525</xdr:rowOff>
    </xdr:from>
    <xdr:to>
      <xdr:col>4</xdr:col>
      <xdr:colOff>38842</xdr:colOff>
      <xdr:row>36</xdr:row>
      <xdr:rowOff>22098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35</xdr:row>
      <xdr:rowOff>38100</xdr:rowOff>
    </xdr:from>
    <xdr:to>
      <xdr:col>7</xdr:col>
      <xdr:colOff>8613</xdr:colOff>
      <xdr:row>35</xdr:row>
      <xdr:rowOff>312420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35</xdr:row>
      <xdr:rowOff>19050</xdr:rowOff>
    </xdr:from>
    <xdr:to>
      <xdr:col>11</xdr:col>
      <xdr:colOff>38842</xdr:colOff>
      <xdr:row>36</xdr:row>
      <xdr:rowOff>31623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3086100" y="9667875"/>
          <a:ext cx="391267" cy="374523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35</xdr:row>
      <xdr:rowOff>38100</xdr:rowOff>
    </xdr:from>
    <xdr:to>
      <xdr:col>13</xdr:col>
      <xdr:colOff>332463</xdr:colOff>
      <xdr:row>35</xdr:row>
      <xdr:rowOff>312420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123825</xdr:colOff>
      <xdr:row>35</xdr:row>
      <xdr:rowOff>38100</xdr:rowOff>
    </xdr:from>
    <xdr:to>
      <xdr:col>20</xdr:col>
      <xdr:colOff>399138</xdr:colOff>
      <xdr:row>35</xdr:row>
      <xdr:rowOff>312420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35</xdr:row>
      <xdr:rowOff>38100</xdr:rowOff>
    </xdr:from>
    <xdr:to>
      <xdr:col>28</xdr:col>
      <xdr:colOff>18138</xdr:colOff>
      <xdr:row>35</xdr:row>
      <xdr:rowOff>312420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450" y="9686925"/>
          <a:ext cx="275313" cy="274320"/>
        </a:xfrm>
        <a:prstGeom prst="rect">
          <a:avLst/>
        </a:prstGeom>
      </xdr:spPr>
    </xdr:pic>
    <xdr:clientData/>
  </xdr:twoCellAnchor>
  <xdr:twoCellAnchor editAs="oneCell">
    <xdr:from>
      <xdr:col>34</xdr:col>
      <xdr:colOff>133350</xdr:colOff>
      <xdr:row>35</xdr:row>
      <xdr:rowOff>38100</xdr:rowOff>
    </xdr:from>
    <xdr:to>
      <xdr:col>35</xdr:col>
      <xdr:colOff>8613</xdr:colOff>
      <xdr:row>35</xdr:row>
      <xdr:rowOff>312420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9686925"/>
          <a:ext cx="275313" cy="274320"/>
        </a:xfrm>
        <a:prstGeom prst="rect">
          <a:avLst/>
        </a:prstGeom>
      </xdr:spPr>
    </xdr:pic>
    <xdr:clientData/>
  </xdr:twoCellAnchor>
  <xdr:twoCellAnchor>
    <xdr:from>
      <xdr:col>30</xdr:col>
      <xdr:colOff>28575</xdr:colOff>
      <xdr:row>90</xdr:row>
      <xdr:rowOff>133350</xdr:rowOff>
    </xdr:from>
    <xdr:to>
      <xdr:col>35</xdr:col>
      <xdr:colOff>350837</xdr:colOff>
      <xdr:row>96</xdr:row>
      <xdr:rowOff>91022</xdr:rowOff>
    </xdr:to>
    <xdr:grpSp>
      <xdr:nvGrpSpPr>
        <xdr:cNvPr id="377" name="Group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GrpSpPr/>
      </xdr:nvGrpSpPr>
      <xdr:grpSpPr>
        <a:xfrm>
          <a:off x="10614025" y="15944850"/>
          <a:ext cx="2347912" cy="910172"/>
          <a:chOff x="211139" y="2700853"/>
          <a:chExt cx="2198687" cy="929222"/>
        </a:xfrm>
      </xdr:grpSpPr>
      <xdr:pic>
        <xdr:nvPicPr>
          <xdr:cNvPr id="378" name="Picture 5" descr="Weather Icon">
            <a:extLst>
              <a:ext uri="{FF2B5EF4-FFF2-40B4-BE49-F238E27FC236}">
                <a16:creationId xmlns:a16="http://schemas.microsoft.com/office/drawing/2014/main" id="{00000000-0008-0000-0000-00007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 t="2564" b="1709"/>
          <a:stretch>
            <a:fillRect/>
          </a:stretch>
        </xdr:blipFill>
        <xdr:spPr bwMode="auto">
          <a:xfrm>
            <a:off x="577744" y="2700853"/>
            <a:ext cx="948761" cy="929222"/>
          </a:xfrm>
          <a:prstGeom prst="rect">
            <a:avLst/>
          </a:prstGeom>
          <a:noFill/>
        </xdr:spPr>
      </xdr:pic>
      <xdr:pic>
        <xdr:nvPicPr>
          <xdr:cNvPr id="379" name="Picture 12" descr="Weather Icon">
            <a:extLst>
              <a:ext uri="{FF2B5EF4-FFF2-40B4-BE49-F238E27FC236}">
                <a16:creationId xmlns:a16="http://schemas.microsoft.com/office/drawing/2014/main" id="{00000000-0008-0000-0000-00007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211139" y="3148575"/>
            <a:ext cx="508050" cy="347016"/>
          </a:xfrm>
          <a:prstGeom prst="rect">
            <a:avLst/>
          </a:prstGeom>
          <a:noFill/>
        </xdr:spPr>
      </xdr:pic>
      <xdr:pic>
        <xdr:nvPicPr>
          <xdr:cNvPr id="380" name="Picture 12" descr="Weather Icon">
            <a:extLst>
              <a:ext uri="{FF2B5EF4-FFF2-40B4-BE49-F238E27FC236}">
                <a16:creationId xmlns:a16="http://schemas.microsoft.com/office/drawing/2014/main" id="{00000000-0008-0000-0000-00007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sharpenSoften amount="-100000"/>
                    </a14:imgEffect>
                    <a14:imgEffect>
                      <a14:brightnessContrast bright="42000" contrast="-60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352425" y="2771775"/>
            <a:ext cx="2057401" cy="274621"/>
          </a:xfrm>
          <a:prstGeom prst="rect">
            <a:avLst/>
          </a:prstGeom>
          <a:noFill/>
        </xdr:spPr>
      </xdr:pic>
    </xdr:grpSp>
    <xdr:clientData/>
  </xdr:twoCellAnchor>
  <xdr:oneCellAnchor>
    <xdr:from>
      <xdr:col>48</xdr:col>
      <xdr:colOff>9524</xdr:colOff>
      <xdr:row>112</xdr:row>
      <xdr:rowOff>0</xdr:rowOff>
    </xdr:from>
    <xdr:ext cx="5940426" cy="581025"/>
    <xdr:sp macro="" textlink="">
      <xdr:nvSpPr>
        <xdr:cNvPr id="256" name="Rectangl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/>
      </xdr:nvSpPr>
      <xdr:spPr>
        <a:xfrm>
          <a:off x="21167724" y="19240500"/>
          <a:ext cx="5940426" cy="58102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38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38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69</xdr:col>
      <xdr:colOff>177800</xdr:colOff>
      <xdr:row>112</xdr:row>
      <xdr:rowOff>0</xdr:rowOff>
    </xdr:from>
    <xdr:ext cx="5683251" cy="514350"/>
    <xdr:sp macro="" textlink="">
      <xdr:nvSpPr>
        <xdr:cNvPr id="319" name="Rectangl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/>
      </xdr:nvSpPr>
      <xdr:spPr>
        <a:xfrm>
          <a:off x="27025600" y="19240500"/>
          <a:ext cx="5683251" cy="51435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3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 </a:t>
          </a:r>
          <a:r>
            <a:rPr lang="en-US" sz="1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(OL-B, 3CWS)</a:t>
          </a:r>
        </a:p>
      </xdr:txBody>
    </xdr:sp>
    <xdr:clientData/>
  </xdr:oneCellAnchor>
  <xdr:twoCellAnchor>
    <xdr:from>
      <xdr:col>59</xdr:col>
      <xdr:colOff>180975</xdr:colOff>
      <xdr:row>153</xdr:row>
      <xdr:rowOff>9525</xdr:rowOff>
    </xdr:from>
    <xdr:to>
      <xdr:col>60</xdr:col>
      <xdr:colOff>63246</xdr:colOff>
      <xdr:row>161</xdr:row>
      <xdr:rowOff>0</xdr:rowOff>
    </xdr:to>
    <xdr:sp macro="" textlink="">
      <xdr:nvSpPr>
        <xdr:cNvPr id="331" name="Rectangl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/>
      </xdr:nvSpPr>
      <xdr:spPr bwMode="auto">
        <a:xfrm>
          <a:off x="2457450" y="62103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71</xdr:col>
      <xdr:colOff>180975</xdr:colOff>
      <xdr:row>153</xdr:row>
      <xdr:rowOff>9525</xdr:rowOff>
    </xdr:from>
    <xdr:to>
      <xdr:col>72</xdr:col>
      <xdr:colOff>63246</xdr:colOff>
      <xdr:row>161</xdr:row>
      <xdr:rowOff>0</xdr:rowOff>
    </xdr:to>
    <xdr:sp macro="" textlink="">
      <xdr:nvSpPr>
        <xdr:cNvPr id="332" name="Rectangl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/>
      </xdr:nvSpPr>
      <xdr:spPr bwMode="auto">
        <a:xfrm>
          <a:off x="23612475" y="27860625"/>
          <a:ext cx="82296" cy="113347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83</xdr:col>
      <xdr:colOff>180975</xdr:colOff>
      <xdr:row>153</xdr:row>
      <xdr:rowOff>9525</xdr:rowOff>
    </xdr:from>
    <xdr:to>
      <xdr:col>84</xdr:col>
      <xdr:colOff>63246</xdr:colOff>
      <xdr:row>161</xdr:row>
      <xdr:rowOff>0</xdr:rowOff>
    </xdr:to>
    <xdr:sp macro="" textlink="">
      <xdr:nvSpPr>
        <xdr:cNvPr id="334" name="Rectangl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/>
      </xdr:nvSpPr>
      <xdr:spPr bwMode="auto">
        <a:xfrm>
          <a:off x="7277100" y="62103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59</xdr:col>
      <xdr:colOff>180975</xdr:colOff>
      <xdr:row>153</xdr:row>
      <xdr:rowOff>9525</xdr:rowOff>
    </xdr:from>
    <xdr:to>
      <xdr:col>60</xdr:col>
      <xdr:colOff>63246</xdr:colOff>
      <xdr:row>162</xdr:row>
      <xdr:rowOff>7239</xdr:rowOff>
    </xdr:to>
    <xdr:sp macro="" textlink="">
      <xdr:nvSpPr>
        <xdr:cNvPr id="357" name="Rectangl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/>
      </xdr:nvSpPr>
      <xdr:spPr bwMode="auto">
        <a:xfrm>
          <a:off x="23774400" y="31108650"/>
          <a:ext cx="187071" cy="1426464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71</xdr:col>
      <xdr:colOff>171451</xdr:colOff>
      <xdr:row>153</xdr:row>
      <xdr:rowOff>9525</xdr:rowOff>
    </xdr:from>
    <xdr:to>
      <xdr:col>72</xdr:col>
      <xdr:colOff>63247</xdr:colOff>
      <xdr:row>162</xdr:row>
      <xdr:rowOff>9525</xdr:rowOff>
    </xdr:to>
    <xdr:sp macro="" textlink="">
      <xdr:nvSpPr>
        <xdr:cNvPr id="361" name="Rectangl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/>
      </xdr:nvSpPr>
      <xdr:spPr bwMode="auto">
        <a:xfrm>
          <a:off x="26965276" y="31108650"/>
          <a:ext cx="196596" cy="1428750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83</xdr:col>
      <xdr:colOff>180975</xdr:colOff>
      <xdr:row>153</xdr:row>
      <xdr:rowOff>9525</xdr:rowOff>
    </xdr:from>
    <xdr:to>
      <xdr:col>84</xdr:col>
      <xdr:colOff>63246</xdr:colOff>
      <xdr:row>162</xdr:row>
      <xdr:rowOff>7239</xdr:rowOff>
    </xdr:to>
    <xdr:sp macro="" textlink="">
      <xdr:nvSpPr>
        <xdr:cNvPr id="362" name="Rectangl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/>
      </xdr:nvSpPr>
      <xdr:spPr bwMode="auto">
        <a:xfrm>
          <a:off x="30175200" y="31108650"/>
          <a:ext cx="187071" cy="1426464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17317</xdr:colOff>
          <xdr:row>143</xdr:row>
          <xdr:rowOff>0</xdr:rowOff>
        </xdr:from>
        <xdr:to>
          <xdr:col>82</xdr:col>
          <xdr:colOff>166995</xdr:colOff>
          <xdr:row>144</xdr:row>
          <xdr:rowOff>19050</xdr:rowOff>
        </xdr:to>
        <xdr:pic>
          <xdr:nvPicPr>
            <xdr:cNvPr id="386" name="Picture 385">
              <a:extLst>
                <a:ext uri="{FF2B5EF4-FFF2-40B4-BE49-F238E27FC236}">
                  <a16:creationId xmlns:a16="http://schemas.microsoft.com/office/drawing/2014/main" id="{00000000-0008-0000-0000-00008201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36136"/>
                </a:ext>
              </a:extLst>
            </xdr:cNvPicPr>
          </xdr:nvPicPr>
          <xdr:blipFill>
            <a:blip xmlns:r="http://schemas.openxmlformats.org/officeDocument/2006/relationships" r:embed="rId34"/>
            <a:srcRect/>
            <a:stretch>
              <a:fillRect/>
            </a:stretch>
          </xdr:blipFill>
          <xdr:spPr bwMode="auto">
            <a:xfrm>
              <a:off x="29703567" y="26003250"/>
              <a:ext cx="644978" cy="2730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79</xdr:col>
      <xdr:colOff>247511</xdr:colOff>
      <xdr:row>116</xdr:row>
      <xdr:rowOff>66675</xdr:rowOff>
    </xdr:from>
    <xdr:to>
      <xdr:col>81</xdr:col>
      <xdr:colOff>165181</xdr:colOff>
      <xdr:row>118</xdr:row>
      <xdr:rowOff>154305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1136" y="23631525"/>
          <a:ext cx="412970" cy="411480"/>
        </a:xfrm>
        <a:prstGeom prst="rect">
          <a:avLst/>
        </a:prstGeom>
      </xdr:spPr>
    </xdr:pic>
    <xdr:clientData/>
  </xdr:twoCellAnchor>
  <xdr:twoCellAnchor editAs="oneCell">
    <xdr:from>
      <xdr:col>73</xdr:col>
      <xdr:colOff>219075</xdr:colOff>
      <xdr:row>116</xdr:row>
      <xdr:rowOff>21661</xdr:rowOff>
    </xdr:from>
    <xdr:to>
      <xdr:col>75</xdr:col>
      <xdr:colOff>213880</xdr:colOff>
      <xdr:row>118</xdr:row>
      <xdr:rowOff>155011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27622500" y="20833786"/>
          <a:ext cx="490105" cy="457200"/>
        </a:xfrm>
        <a:prstGeom prst="rect">
          <a:avLst/>
        </a:prstGeom>
      </xdr:spPr>
    </xdr:pic>
    <xdr:clientData/>
  </xdr:twoCellAnchor>
  <xdr:twoCellAnchor>
    <xdr:from>
      <xdr:col>23</xdr:col>
      <xdr:colOff>43052</xdr:colOff>
      <xdr:row>15</xdr:row>
      <xdr:rowOff>15685</xdr:rowOff>
    </xdr:from>
    <xdr:to>
      <xdr:col>26</xdr:col>
      <xdr:colOff>38745</xdr:colOff>
      <xdr:row>16</xdr:row>
      <xdr:rowOff>2134</xdr:rowOff>
    </xdr:to>
    <xdr:grpSp>
      <xdr:nvGrpSpPr>
        <xdr:cNvPr id="426" name="Group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GrpSpPr/>
      </xdr:nvGrpSpPr>
      <xdr:grpSpPr>
        <a:xfrm>
          <a:off x="8044052" y="3647885"/>
          <a:ext cx="1252993" cy="443649"/>
          <a:chOff x="150283" y="3611033"/>
          <a:chExt cx="1133473" cy="447677"/>
        </a:xfrm>
      </xdr:grpSpPr>
      <xdr:pic>
        <xdr:nvPicPr>
          <xdr:cNvPr id="427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29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6350</xdr:colOff>
      <xdr:row>52</xdr:row>
      <xdr:rowOff>31750</xdr:rowOff>
    </xdr:from>
    <xdr:to>
      <xdr:col>33</xdr:col>
      <xdr:colOff>103213</xdr:colOff>
      <xdr:row>58</xdr:row>
      <xdr:rowOff>146050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0521950" y="12788900"/>
          <a:ext cx="1424013" cy="1098550"/>
          <a:chOff x="10449986" y="12865100"/>
          <a:chExt cx="1356277" cy="1020232"/>
        </a:xfrm>
      </xdr:grpSpPr>
      <xdr:pic>
        <xdr:nvPicPr>
          <xdr:cNvPr id="271" name="Picture 14" descr="Weather Icon">
            <a:extLst>
              <a:ext uri="{FF2B5EF4-FFF2-40B4-BE49-F238E27FC236}">
                <a16:creationId xmlns:a16="http://schemas.microsoft.com/office/drawing/2014/main" id="{00000000-0008-0000-0000-00000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0449986" y="12896850"/>
            <a:ext cx="956227" cy="988482"/>
          </a:xfrm>
          <a:prstGeom prst="rect">
            <a:avLst/>
          </a:prstGeom>
          <a:noFill/>
        </xdr:spPr>
      </xdr:pic>
      <xdr:pic>
        <xdr:nvPicPr>
          <xdr:cNvPr id="420" name="Picture 14" descr="Weather Icon">
            <a:extLst>
              <a:ext uri="{FF2B5EF4-FFF2-40B4-BE49-F238E27FC236}">
                <a16:creationId xmlns:a16="http://schemas.microsoft.com/office/drawing/2014/main" id="{00000000-0008-0000-0000-0000A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0850036" y="12865100"/>
            <a:ext cx="956227" cy="98848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26</xdr:col>
      <xdr:colOff>63500</xdr:colOff>
      <xdr:row>62</xdr:row>
      <xdr:rowOff>120650</xdr:rowOff>
    </xdr:from>
    <xdr:to>
      <xdr:col>31</xdr:col>
      <xdr:colOff>283633</xdr:colOff>
      <xdr:row>66</xdr:row>
      <xdr:rowOff>120650</xdr:rowOff>
    </xdr:to>
    <xdr:grpSp>
      <xdr:nvGrpSpPr>
        <xdr:cNvPr id="227" name="Group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GrpSpPr/>
      </xdr:nvGrpSpPr>
      <xdr:grpSpPr>
        <a:xfrm>
          <a:off x="9321800" y="14497050"/>
          <a:ext cx="1896533" cy="641350"/>
          <a:chOff x="11153775" y="13296900"/>
          <a:chExt cx="1971675" cy="714375"/>
        </a:xfrm>
      </xdr:grpSpPr>
      <xdr:pic>
        <xdr:nvPicPr>
          <xdr:cNvPr id="228" name="Picture 6" descr="Weather Icon">
            <a:extLst>
              <a:ext uri="{FF2B5EF4-FFF2-40B4-BE49-F238E27FC236}">
                <a16:creationId xmlns:a16="http://schemas.microsoft.com/office/drawing/2014/main" id="{00000000-0008-0000-0000-0000E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</a:blip>
          <a:srcRect t="54201" r="37662" b="28885"/>
          <a:stretch>
            <a:fillRect/>
          </a:stretch>
        </xdr:blipFill>
        <xdr:spPr bwMode="auto">
          <a:xfrm>
            <a:off x="12372975" y="13764365"/>
            <a:ext cx="371475" cy="221664"/>
          </a:xfrm>
          <a:prstGeom prst="rect">
            <a:avLst/>
          </a:prstGeom>
          <a:noFill/>
        </xdr:spPr>
      </xdr:pic>
      <xdr:grpSp>
        <xdr:nvGrpSpPr>
          <xdr:cNvPr id="242" name="Group 175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GrpSpPr/>
        </xdr:nvGrpSpPr>
        <xdr:grpSpPr>
          <a:xfrm>
            <a:off x="11153775" y="13296900"/>
            <a:ext cx="1971675" cy="714375"/>
            <a:chOff x="11953875" y="13096875"/>
            <a:chExt cx="1971675" cy="714375"/>
          </a:xfrm>
        </xdr:grpSpPr>
        <xdr:pic>
          <xdr:nvPicPr>
            <xdr:cNvPr id="257" name="Picture 6" descr="Weather Icon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7662" b="28885"/>
            <a:stretch>
              <a:fillRect/>
            </a:stretch>
          </xdr:blipFill>
          <xdr:spPr bwMode="auto">
            <a:xfrm>
              <a:off x="13411200" y="13563508"/>
              <a:ext cx="352425" cy="173854"/>
            </a:xfrm>
            <a:prstGeom prst="rect">
              <a:avLst/>
            </a:prstGeom>
            <a:noFill/>
          </xdr:spPr>
        </xdr:pic>
        <xdr:pic>
          <xdr:nvPicPr>
            <xdr:cNvPr id="261" name="Picture 6" descr="Weather Icon">
              <a:extLst>
                <a:ext uri="{FF2B5EF4-FFF2-40B4-BE49-F238E27FC236}">
                  <a16:creationId xmlns:a16="http://schemas.microsoft.com/office/drawing/2014/main" id="{00000000-0008-0000-0000-00000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9261" b="26872"/>
            <a:stretch>
              <a:fillRect/>
            </a:stretch>
          </xdr:blipFill>
          <xdr:spPr bwMode="auto">
            <a:xfrm>
              <a:off x="12734925" y="13528736"/>
              <a:ext cx="361950" cy="265128"/>
            </a:xfrm>
            <a:prstGeom prst="rect">
              <a:avLst/>
            </a:prstGeom>
            <a:noFill/>
          </xdr:spPr>
        </xdr:pic>
        <xdr:pic>
          <xdr:nvPicPr>
            <xdr:cNvPr id="262" name="Picture 6" descr="Weather Icon">
              <a:extLst>
                <a:ext uri="{FF2B5EF4-FFF2-40B4-BE49-F238E27FC236}">
                  <a16:creationId xmlns:a16="http://schemas.microsoft.com/office/drawing/2014/main" id="{00000000-0008-0000-0000-000006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56595" b="28885"/>
            <a:stretch>
              <a:fillRect/>
            </a:stretch>
          </xdr:blipFill>
          <xdr:spPr bwMode="auto">
            <a:xfrm>
              <a:off x="12982576" y="13563508"/>
              <a:ext cx="307920" cy="247742"/>
            </a:xfrm>
            <a:prstGeom prst="rect">
              <a:avLst/>
            </a:prstGeom>
            <a:noFill/>
          </xdr:spPr>
        </xdr:pic>
        <xdr:pic>
          <xdr:nvPicPr>
            <xdr:cNvPr id="273" name="Picture 6" descr="Weather Icon">
              <a:extLst>
                <a:ext uri="{FF2B5EF4-FFF2-40B4-BE49-F238E27FC236}">
                  <a16:creationId xmlns:a16="http://schemas.microsoft.com/office/drawing/2014/main" id="{00000000-0008-0000-0000-000011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8579" b="30093"/>
            <a:stretch>
              <a:fillRect/>
            </a:stretch>
          </xdr:blipFill>
          <xdr:spPr bwMode="auto">
            <a:xfrm>
              <a:off x="12149841" y="13567853"/>
              <a:ext cx="366009" cy="191147"/>
            </a:xfrm>
            <a:prstGeom prst="rect">
              <a:avLst/>
            </a:prstGeom>
            <a:noFill/>
          </xdr:spPr>
        </xdr:pic>
        <xdr:pic>
          <xdr:nvPicPr>
            <xdr:cNvPr id="323" name="Picture 6" descr="Weather Icon">
              <a:extLst>
                <a:ext uri="{FF2B5EF4-FFF2-40B4-BE49-F238E27FC236}">
                  <a16:creationId xmlns:a16="http://schemas.microsoft.com/office/drawing/2014/main" id="{00000000-0008-0000-0000-000043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</a:blip>
            <a:srcRect t="54201" r="37662" b="28885"/>
            <a:stretch>
              <a:fillRect/>
            </a:stretch>
          </xdr:blipFill>
          <xdr:spPr bwMode="auto">
            <a:xfrm>
              <a:off x="12449175" y="13580893"/>
              <a:ext cx="371475" cy="178201"/>
            </a:xfrm>
            <a:prstGeom prst="rect">
              <a:avLst/>
            </a:prstGeom>
            <a:noFill/>
          </xdr:spPr>
        </xdr:pic>
        <xdr:pic>
          <xdr:nvPicPr>
            <xdr:cNvPr id="324" name="Picture 12" descr="Weather Icon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/>
            <a:srcRect t="19355" b="15054"/>
            <a:stretch>
              <a:fillRect/>
            </a:stretch>
          </xdr:blipFill>
          <xdr:spPr bwMode="auto">
            <a:xfrm>
              <a:off x="11953875" y="13096875"/>
              <a:ext cx="1371600" cy="574076"/>
            </a:xfrm>
            <a:prstGeom prst="rect">
              <a:avLst/>
            </a:prstGeom>
            <a:noFill/>
          </xdr:spPr>
        </xdr:pic>
        <xdr:pic>
          <xdr:nvPicPr>
            <xdr:cNvPr id="325" name="Picture 12" descr="Weather Icon">
              <a:extLst>
                <a:ext uri="{FF2B5EF4-FFF2-40B4-BE49-F238E27FC236}">
                  <a16:creationId xmlns:a16="http://schemas.microsoft.com/office/drawing/2014/main" id="{00000000-0008-0000-0000-00004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-20000" contrast="-10000"/>
            </a:blip>
            <a:srcRect t="19355" b="15054"/>
            <a:stretch>
              <a:fillRect/>
            </a:stretch>
          </xdr:blipFill>
          <xdr:spPr bwMode="auto">
            <a:xfrm>
              <a:off x="12163425" y="13211175"/>
              <a:ext cx="1762125" cy="504825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32</xdr:col>
      <xdr:colOff>44450</xdr:colOff>
      <xdr:row>2</xdr:row>
      <xdr:rowOff>19927</xdr:rowOff>
    </xdr:from>
    <xdr:to>
      <xdr:col>36</xdr:col>
      <xdr:colOff>850</xdr:colOff>
      <xdr:row>7</xdr:row>
      <xdr:rowOff>69851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11398250" y="254877"/>
          <a:ext cx="1698416" cy="16945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oneCellAnchor>
    <xdr:from>
      <xdr:col>17</xdr:col>
      <xdr:colOff>47625</xdr:colOff>
      <xdr:row>35</xdr:row>
      <xdr:rowOff>9525</xdr:rowOff>
    </xdr:from>
    <xdr:ext cx="391267" cy="374523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24</xdr:col>
      <xdr:colOff>47625</xdr:colOff>
      <xdr:row>35</xdr:row>
      <xdr:rowOff>9525</xdr:rowOff>
    </xdr:from>
    <xdr:ext cx="391267" cy="374523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31</xdr:col>
      <xdr:colOff>47625</xdr:colOff>
      <xdr:row>35</xdr:row>
      <xdr:rowOff>9525</xdr:rowOff>
    </xdr:from>
    <xdr:ext cx="391267" cy="374523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17</xdr:col>
      <xdr:colOff>47625</xdr:colOff>
      <xdr:row>35</xdr:row>
      <xdr:rowOff>9525</xdr:rowOff>
    </xdr:from>
    <xdr:ext cx="391267" cy="374523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24</xdr:col>
      <xdr:colOff>47625</xdr:colOff>
      <xdr:row>35</xdr:row>
      <xdr:rowOff>9525</xdr:rowOff>
    </xdr:from>
    <xdr:ext cx="391267" cy="374523"/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oneCellAnchor>
    <xdr:from>
      <xdr:col>31</xdr:col>
      <xdr:colOff>47625</xdr:colOff>
      <xdr:row>35</xdr:row>
      <xdr:rowOff>9525</xdr:rowOff>
    </xdr:from>
    <xdr:ext cx="391267" cy="374523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5" t="8530" r="4740" b="5687"/>
        <a:stretch/>
      </xdr:blipFill>
      <xdr:spPr>
        <a:xfrm>
          <a:off x="619125" y="9658350"/>
          <a:ext cx="391267" cy="374523"/>
        </a:xfrm>
        <a:prstGeom prst="rect">
          <a:avLst/>
        </a:prstGeom>
      </xdr:spPr>
    </xdr:pic>
    <xdr:clientData/>
  </xdr:oneCellAnchor>
  <xdr:twoCellAnchor>
    <xdr:from>
      <xdr:col>23</xdr:col>
      <xdr:colOff>62970</xdr:colOff>
      <xdr:row>23</xdr:row>
      <xdr:rowOff>28045</xdr:rowOff>
    </xdr:from>
    <xdr:to>
      <xdr:col>26</xdr:col>
      <xdr:colOff>58663</xdr:colOff>
      <xdr:row>24</xdr:row>
      <xdr:rowOff>14494</xdr:rowOff>
    </xdr:to>
    <xdr:grpSp>
      <xdr:nvGrpSpPr>
        <xdr:cNvPr id="411" name="Group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GrpSpPr/>
      </xdr:nvGrpSpPr>
      <xdr:grpSpPr>
        <a:xfrm>
          <a:off x="8063970" y="6479645"/>
          <a:ext cx="1252993" cy="443649"/>
          <a:chOff x="150283" y="3611033"/>
          <a:chExt cx="1133473" cy="447677"/>
        </a:xfrm>
      </xdr:grpSpPr>
      <xdr:pic>
        <xdr:nvPicPr>
          <xdr:cNvPr id="412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9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13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9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9</xdr:col>
      <xdr:colOff>51330</xdr:colOff>
      <xdr:row>15</xdr:row>
      <xdr:rowOff>26459</xdr:rowOff>
    </xdr:from>
    <xdr:to>
      <xdr:col>12</xdr:col>
      <xdr:colOff>47024</xdr:colOff>
      <xdr:row>16</xdr:row>
      <xdr:rowOff>12909</xdr:rowOff>
    </xdr:to>
    <xdr:grpSp>
      <xdr:nvGrpSpPr>
        <xdr:cNvPr id="224" name="Group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GrpSpPr/>
      </xdr:nvGrpSpPr>
      <xdr:grpSpPr>
        <a:xfrm>
          <a:off x="2883430" y="3658659"/>
          <a:ext cx="1252994" cy="443650"/>
          <a:chOff x="150283" y="3611033"/>
          <a:chExt cx="1133473" cy="447677"/>
        </a:xfrm>
      </xdr:grpSpPr>
      <xdr:pic>
        <xdr:nvPicPr>
          <xdr:cNvPr id="22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26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9</xdr:col>
      <xdr:colOff>70908</xdr:colOff>
      <xdr:row>23</xdr:row>
      <xdr:rowOff>21695</xdr:rowOff>
    </xdr:from>
    <xdr:to>
      <xdr:col>12</xdr:col>
      <xdr:colOff>66602</xdr:colOff>
      <xdr:row>24</xdr:row>
      <xdr:rowOff>8145</xdr:rowOff>
    </xdr:to>
    <xdr:grpSp>
      <xdr:nvGrpSpPr>
        <xdr:cNvPr id="229" name="Group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GrpSpPr/>
      </xdr:nvGrpSpPr>
      <xdr:grpSpPr>
        <a:xfrm>
          <a:off x="2903008" y="6473295"/>
          <a:ext cx="1252994" cy="443650"/>
          <a:chOff x="150283" y="3611033"/>
          <a:chExt cx="1133473" cy="447677"/>
        </a:xfrm>
      </xdr:grpSpPr>
      <xdr:pic>
        <xdr:nvPicPr>
          <xdr:cNvPr id="230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231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E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33</xdr:col>
      <xdr:colOff>184150</xdr:colOff>
      <xdr:row>44</xdr:row>
      <xdr:rowOff>6350</xdr:rowOff>
    </xdr:from>
    <xdr:to>
      <xdr:col>38</xdr:col>
      <xdr:colOff>311150</xdr:colOff>
      <xdr:row>46</xdr:row>
      <xdr:rowOff>80943</xdr:rowOff>
    </xdr:to>
    <xdr:grpSp>
      <xdr:nvGrpSpPr>
        <xdr:cNvPr id="418" name="Group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GrpSpPr/>
      </xdr:nvGrpSpPr>
      <xdr:grpSpPr>
        <a:xfrm>
          <a:off x="12026900" y="11480800"/>
          <a:ext cx="2432050" cy="392093"/>
          <a:chOff x="361950" y="3606800"/>
          <a:chExt cx="2190750" cy="392093"/>
        </a:xfrm>
      </xdr:grpSpPr>
      <xdr:pic>
        <xdr:nvPicPr>
          <xdr:cNvPr id="419" name="Picture 12" descr="Weather Icon">
            <a:extLst>
              <a:ext uri="{FF2B5EF4-FFF2-40B4-BE49-F238E27FC236}">
                <a16:creationId xmlns:a16="http://schemas.microsoft.com/office/drawing/2014/main" id="{00000000-0008-0000-0000-0000A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bright="38000" contrast="-62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361950" y="3643578"/>
            <a:ext cx="1079500" cy="266418"/>
          </a:xfrm>
          <a:prstGeom prst="rect">
            <a:avLst/>
          </a:prstGeom>
          <a:noFill/>
        </xdr:spPr>
      </xdr:pic>
      <xdr:pic>
        <xdr:nvPicPr>
          <xdr:cNvPr id="421" name="Picture 12" descr="Weather Icon">
            <a:extLst>
              <a:ext uri="{FF2B5EF4-FFF2-40B4-BE49-F238E27FC236}">
                <a16:creationId xmlns:a16="http://schemas.microsoft.com/office/drawing/2014/main" id="{00000000-0008-0000-0000-0000A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bright="36000" contrast="-64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>
            <a:off x="1701801" y="3606800"/>
            <a:ext cx="850899" cy="309545"/>
          </a:xfrm>
          <a:prstGeom prst="rect">
            <a:avLst/>
          </a:prstGeom>
          <a:noFill/>
        </xdr:spPr>
      </xdr:pic>
      <xdr:pic>
        <xdr:nvPicPr>
          <xdr:cNvPr id="422" name="Picture 12" descr="Weather Icon">
            <a:extLst>
              <a:ext uri="{FF2B5EF4-FFF2-40B4-BE49-F238E27FC236}">
                <a16:creationId xmlns:a16="http://schemas.microsoft.com/office/drawing/2014/main" id="{00000000-0008-0000-0000-0000A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bright="29000" contrast="-62000"/>
                    </a14:imgEffect>
                  </a14:imgLayer>
                </a14:imgProps>
              </a:ext>
            </a:extLst>
          </a:blip>
          <a:srcRect t="19355" b="15054"/>
          <a:stretch>
            <a:fillRect/>
          </a:stretch>
        </xdr:blipFill>
        <xdr:spPr bwMode="auto">
          <a:xfrm rot="10800000">
            <a:off x="1174750" y="3637614"/>
            <a:ext cx="584199" cy="361279"/>
          </a:xfrm>
          <a:prstGeom prst="rect">
            <a:avLst/>
          </a:prstGeom>
          <a:noFill/>
        </xdr:spPr>
      </xdr:pic>
    </xdr:grpSp>
    <xdr:clientData/>
  </xdr:twoCellAnchor>
  <xdr:oneCellAnchor>
    <xdr:from>
      <xdr:col>35</xdr:col>
      <xdr:colOff>77259</xdr:colOff>
      <xdr:row>48</xdr:row>
      <xdr:rowOff>38101</xdr:rowOff>
    </xdr:from>
    <xdr:ext cx="981144" cy="235245"/>
    <xdr:sp macro="" textlink="">
      <xdr:nvSpPr>
        <xdr:cNvPr id="423" name="Rectangle 78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rrowheads="1"/>
        </xdr:cNvSpPr>
      </xdr:nvSpPr>
      <xdr:spPr bwMode="auto">
        <a:xfrm>
          <a:off x="12694709" y="12147551"/>
          <a:ext cx="981144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LOW CLOUDS</a:t>
          </a:r>
        </a:p>
      </xdr:txBody>
    </xdr:sp>
    <xdr:clientData/>
  </xdr:oneCellAnchor>
  <xdr:twoCellAnchor>
    <xdr:from>
      <xdr:col>90</xdr:col>
      <xdr:colOff>12700</xdr:colOff>
      <xdr:row>112</xdr:row>
      <xdr:rowOff>6350</xdr:rowOff>
    </xdr:from>
    <xdr:to>
      <xdr:col>95</xdr:col>
      <xdr:colOff>313944</xdr:colOff>
      <xdr:row>117</xdr:row>
      <xdr:rowOff>146050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2410400" y="19246850"/>
          <a:ext cx="1609344" cy="1631950"/>
        </a:xfrm>
        <a:prstGeom prst="rect">
          <a:avLst/>
        </a:prstGeom>
        <a:solidFill>
          <a:srgbClr val="FFFFFF"/>
        </a:solidFill>
        <a:ln w="222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90</xdr:col>
      <xdr:colOff>44450</xdr:colOff>
      <xdr:row>112</xdr:row>
      <xdr:rowOff>50800</xdr:rowOff>
    </xdr:from>
    <xdr:to>
      <xdr:col>95</xdr:col>
      <xdr:colOff>273050</xdr:colOff>
      <xdr:row>117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2150" y="19291300"/>
          <a:ext cx="1536700" cy="1536700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107</xdr:row>
      <xdr:rowOff>133170</xdr:rowOff>
    </xdr:from>
    <xdr:to>
      <xdr:col>10</xdr:col>
      <xdr:colOff>118853</xdr:colOff>
      <xdr:row>121</xdr:row>
      <xdr:rowOff>13360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/>
      </xdr:nvSpPr>
      <xdr:spPr bwMode="auto">
        <a:xfrm>
          <a:off x="742950" y="18792645"/>
          <a:ext cx="2414378" cy="2832940"/>
        </a:xfrm>
        <a:prstGeom prst="rect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17972</xdr:colOff>
      <xdr:row>23</xdr:row>
      <xdr:rowOff>26958</xdr:rowOff>
    </xdr:from>
    <xdr:to>
      <xdr:col>19</xdr:col>
      <xdr:colOff>13665</xdr:colOff>
      <xdr:row>24</xdr:row>
      <xdr:rowOff>13407</xdr:rowOff>
    </xdr:to>
    <xdr:grpSp>
      <xdr:nvGrpSpPr>
        <xdr:cNvPr id="424" name="Group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GrpSpPr/>
      </xdr:nvGrpSpPr>
      <xdr:grpSpPr>
        <a:xfrm>
          <a:off x="5434522" y="6478558"/>
          <a:ext cx="1252993" cy="443649"/>
          <a:chOff x="150283" y="3611033"/>
          <a:chExt cx="1133473" cy="447677"/>
        </a:xfrm>
      </xdr:grpSpPr>
      <xdr:pic>
        <xdr:nvPicPr>
          <xdr:cNvPr id="425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428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A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35</xdr:col>
      <xdr:colOff>104776</xdr:colOff>
      <xdr:row>62</xdr:row>
      <xdr:rowOff>38100</xdr:rowOff>
    </xdr:from>
    <xdr:to>
      <xdr:col>38</xdr:col>
      <xdr:colOff>314326</xdr:colOff>
      <xdr:row>86</xdr:row>
      <xdr:rowOff>38100</xdr:rowOff>
    </xdr:to>
    <xdr:grpSp>
      <xdr:nvGrpSpPr>
        <xdr:cNvPr id="435" name="Group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GrpSpPr/>
      </xdr:nvGrpSpPr>
      <xdr:grpSpPr>
        <a:xfrm>
          <a:off x="12715876" y="14414500"/>
          <a:ext cx="1746250" cy="800100"/>
          <a:chOff x="7191375" y="16573500"/>
          <a:chExt cx="1695450" cy="866775"/>
        </a:xfrm>
      </xdr:grpSpPr>
      <xdr:pic>
        <xdr:nvPicPr>
          <xdr:cNvPr id="436" name="il_fi" descr="http://s3.amazonaws.com/dfc_attachments/images/856435/Rainbow.jpg">
            <a:extLst>
              <a:ext uri="{FF2B5EF4-FFF2-40B4-BE49-F238E27FC236}">
                <a16:creationId xmlns:a16="http://schemas.microsoft.com/office/drawing/2014/main" id="{00000000-0008-0000-0000-0000B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40000"/>
          </a:blip>
          <a:srcRect r="48986" b="14163"/>
          <a:stretch>
            <a:fillRect/>
          </a:stretch>
        </xdr:blipFill>
        <xdr:spPr bwMode="auto">
          <a:xfrm flipH="1">
            <a:off x="8001000" y="16573500"/>
            <a:ext cx="885825" cy="857250"/>
          </a:xfrm>
          <a:prstGeom prst="rect">
            <a:avLst/>
          </a:prstGeom>
          <a:noFill/>
        </xdr:spPr>
      </xdr:pic>
      <xdr:pic>
        <xdr:nvPicPr>
          <xdr:cNvPr id="437" name="il_fi" descr="http://s3.amazonaws.com/dfc_attachments/images/856435/Rainbow.jpg">
            <a:extLst>
              <a:ext uri="{FF2B5EF4-FFF2-40B4-BE49-F238E27FC236}">
                <a16:creationId xmlns:a16="http://schemas.microsoft.com/office/drawing/2014/main" id="{00000000-0008-0000-0000-0000B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57000"/>
          </a:blip>
          <a:srcRect r="46196" b="14462"/>
          <a:stretch>
            <a:fillRect/>
          </a:stretch>
        </xdr:blipFill>
        <xdr:spPr bwMode="auto">
          <a:xfrm>
            <a:off x="7191375" y="16573500"/>
            <a:ext cx="895350" cy="866775"/>
          </a:xfrm>
          <a:prstGeom prst="rect">
            <a:avLst/>
          </a:prstGeom>
          <a:noFill/>
        </xdr:spPr>
      </xdr:pic>
    </xdr:grpSp>
    <xdr:clientData/>
  </xdr:twoCellAnchor>
  <xdr:oneCellAnchor>
    <xdr:from>
      <xdr:col>37</xdr:col>
      <xdr:colOff>105833</xdr:colOff>
      <xdr:row>86</xdr:row>
      <xdr:rowOff>19050</xdr:rowOff>
    </xdr:from>
    <xdr:ext cx="828675" cy="447675"/>
    <xdr:sp macro="" textlink="">
      <xdr:nvSpPr>
        <xdr:cNvPr id="438" name="Rectangle 83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rrowheads="1"/>
        </xdr:cNvSpPr>
      </xdr:nvSpPr>
      <xdr:spPr bwMode="auto">
        <a:xfrm>
          <a:off x="12678833" y="15278100"/>
          <a:ext cx="828675" cy="4476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ENDING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41</xdr:col>
      <xdr:colOff>657225</xdr:colOff>
      <xdr:row>40</xdr:row>
      <xdr:rowOff>82549</xdr:rowOff>
    </xdr:from>
    <xdr:to>
      <xdr:col>44</xdr:col>
      <xdr:colOff>190500</xdr:colOff>
      <xdr:row>48</xdr:row>
      <xdr:rowOff>67724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6690975" y="10883899"/>
          <a:ext cx="1768475" cy="1293275"/>
          <a:chOff x="16021050" y="10795100"/>
          <a:chExt cx="1800225" cy="1474150"/>
        </a:xfrm>
      </xdr:grpSpPr>
      <xdr:pic>
        <xdr:nvPicPr>
          <xdr:cNvPr id="441" name="Picture 5" descr="Weather Icon">
            <a:extLst>
              <a:ext uri="{FF2B5EF4-FFF2-40B4-BE49-F238E27FC236}">
                <a16:creationId xmlns:a16="http://schemas.microsoft.com/office/drawing/2014/main" id="{00000000-0008-0000-0000-0000B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 t="2564" b="1709"/>
          <a:stretch>
            <a:fillRect/>
          </a:stretch>
        </xdr:blipFill>
        <xdr:spPr bwMode="auto">
          <a:xfrm>
            <a:off x="16021050" y="10795100"/>
            <a:ext cx="1485900" cy="1474150"/>
          </a:xfrm>
          <a:prstGeom prst="rect">
            <a:avLst/>
          </a:prstGeom>
          <a:noFill/>
        </xdr:spPr>
      </xdr:pic>
      <xdr:pic>
        <xdr:nvPicPr>
          <xdr:cNvPr id="296" name="Picture 17" descr="Weather Icon">
            <a:extLst>
              <a:ext uri="{FF2B5EF4-FFF2-40B4-BE49-F238E27FC236}">
                <a16:creationId xmlns:a16="http://schemas.microsoft.com/office/drawing/2014/main" id="{00000000-0008-0000-0000-00002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 l="2564" t="5769" r="3846" b="19872"/>
          <a:stretch>
            <a:fillRect/>
          </a:stretch>
        </xdr:blipFill>
        <xdr:spPr bwMode="auto">
          <a:xfrm>
            <a:off x="16163925" y="10929403"/>
            <a:ext cx="1657350" cy="1324056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93662</xdr:colOff>
      <xdr:row>15</xdr:row>
      <xdr:rowOff>28576</xdr:rowOff>
    </xdr:from>
    <xdr:to>
      <xdr:col>4</xdr:col>
      <xdr:colOff>470355</xdr:colOff>
      <xdr:row>16</xdr:row>
      <xdr:rowOff>15026</xdr:rowOff>
    </xdr:to>
    <xdr:grpSp>
      <xdr:nvGrpSpPr>
        <xdr:cNvPr id="243" name="Group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GrpSpPr/>
      </xdr:nvGrpSpPr>
      <xdr:grpSpPr>
        <a:xfrm>
          <a:off x="341312" y="3660776"/>
          <a:ext cx="1145043" cy="443650"/>
          <a:chOff x="150283" y="3611033"/>
          <a:chExt cx="1133473" cy="447677"/>
        </a:xfrm>
      </xdr:grpSpPr>
      <xdr:pic>
        <xdr:nvPicPr>
          <xdr:cNvPr id="264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0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1016449">
            <a:off x="252093" y="3608537"/>
            <a:ext cx="1036883" cy="28438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321" name="Picture 21" descr="File:U.S. Bullion Depository.jpg">
            <a:extLst>
              <a:ext uri="{FF2B5EF4-FFF2-40B4-BE49-F238E27FC236}">
                <a16:creationId xmlns:a16="http://schemas.microsoft.com/office/drawing/2014/main" id="{00000000-0008-0000-0000-00004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150283" y="3734861"/>
            <a:ext cx="952498" cy="315209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42</xdr:col>
      <xdr:colOff>161925</xdr:colOff>
      <xdr:row>53</xdr:row>
      <xdr:rowOff>47625</xdr:rowOff>
    </xdr:from>
    <xdr:to>
      <xdr:col>43</xdr:col>
      <xdr:colOff>400051</xdr:colOff>
      <xdr:row>57</xdr:row>
      <xdr:rowOff>59494</xdr:rowOff>
    </xdr:to>
    <xdr:pic>
      <xdr:nvPicPr>
        <xdr:cNvPr id="445" name="Picture 12" descr="Weather Icon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bg2">
              <a:shade val="45000"/>
              <a:satMod val="135000"/>
            </a:schemeClr>
            <a:prstClr val="white"/>
          </a:duotone>
        </a:blip>
        <a:srcRect t="19355" b="15054"/>
        <a:stretch>
          <a:fillRect/>
        </a:stretch>
      </xdr:blipFill>
      <xdr:spPr bwMode="auto">
        <a:xfrm>
          <a:off x="16402050" y="13039725"/>
          <a:ext cx="838201" cy="659569"/>
        </a:xfrm>
        <a:prstGeom prst="rect">
          <a:avLst/>
        </a:prstGeom>
        <a:noFill/>
      </xdr:spPr>
    </xdr:pic>
    <xdr:clientData/>
  </xdr:twoCellAnchor>
  <xdr:twoCellAnchor>
    <xdr:from>
      <xdr:col>19</xdr:col>
      <xdr:colOff>84364</xdr:colOff>
      <xdr:row>21</xdr:row>
      <xdr:rowOff>72571</xdr:rowOff>
    </xdr:from>
    <xdr:to>
      <xdr:col>21</xdr:col>
      <xdr:colOff>181203</xdr:colOff>
      <xdr:row>24</xdr:row>
      <xdr:rowOff>103618</xdr:rowOff>
    </xdr:to>
    <xdr:grpSp>
      <xdr:nvGrpSpPr>
        <xdr:cNvPr id="372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6758214" y="5647871"/>
          <a:ext cx="865189" cy="1364547"/>
          <a:chOff x="7705725" y="11065461"/>
          <a:chExt cx="1343025" cy="1898065"/>
        </a:xfrm>
      </xdr:grpSpPr>
      <xdr:pic>
        <xdr:nvPicPr>
          <xdr:cNvPr id="373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374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155350</xdr:colOff>
      <xdr:row>12</xdr:row>
      <xdr:rowOff>129268</xdr:rowOff>
    </xdr:from>
    <xdr:to>
      <xdr:col>7</xdr:col>
      <xdr:colOff>211666</xdr:colOff>
      <xdr:row>15</xdr:row>
      <xdr:rowOff>207425</xdr:rowOff>
    </xdr:to>
    <xdr:grpSp>
      <xdr:nvGrpSpPr>
        <xdr:cNvPr id="247" name="Group 246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752250" y="2745468"/>
          <a:ext cx="1732716" cy="1094157"/>
          <a:chOff x="2910416" y="9937749"/>
          <a:chExt cx="1703917" cy="1088563"/>
        </a:xfrm>
      </xdr:grpSpPr>
      <xdr:pic>
        <xdr:nvPicPr>
          <xdr:cNvPr id="252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20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22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12</xdr:col>
      <xdr:colOff>139700</xdr:colOff>
      <xdr:row>20</xdr:row>
      <xdr:rowOff>79602</xdr:rowOff>
    </xdr:from>
    <xdr:to>
      <xdr:col>14</xdr:col>
      <xdr:colOff>396423</xdr:colOff>
      <xdr:row>24</xdr:row>
      <xdr:rowOff>52363</xdr:rowOff>
    </xdr:to>
    <xdr:grpSp>
      <xdr:nvGrpSpPr>
        <xdr:cNvPr id="359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4229100" y="5477102"/>
          <a:ext cx="1025073" cy="1484061"/>
          <a:chOff x="7705725" y="11065461"/>
          <a:chExt cx="1343025" cy="1898065"/>
        </a:xfrm>
      </xdr:grpSpPr>
      <xdr:pic>
        <xdr:nvPicPr>
          <xdr:cNvPr id="360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366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26</xdr:col>
      <xdr:colOff>273050</xdr:colOff>
      <xdr:row>21</xdr:row>
      <xdr:rowOff>82549</xdr:rowOff>
    </xdr:from>
    <xdr:to>
      <xdr:col>28</xdr:col>
      <xdr:colOff>343582</xdr:colOff>
      <xdr:row>24</xdr:row>
      <xdr:rowOff>195692</xdr:rowOff>
    </xdr:to>
    <xdr:grpSp>
      <xdr:nvGrpSpPr>
        <xdr:cNvPr id="387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9531350" y="5657849"/>
          <a:ext cx="838882" cy="1446643"/>
          <a:chOff x="7705725" y="11065461"/>
          <a:chExt cx="1343025" cy="1898065"/>
        </a:xfrm>
      </xdr:grpSpPr>
      <xdr:pic>
        <xdr:nvPicPr>
          <xdr:cNvPr id="394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395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24</xdr:col>
      <xdr:colOff>38100</xdr:colOff>
      <xdr:row>13</xdr:row>
      <xdr:rowOff>48986</xdr:rowOff>
    </xdr:from>
    <xdr:to>
      <xdr:col>28</xdr:col>
      <xdr:colOff>94417</xdr:colOff>
      <xdr:row>15</xdr:row>
      <xdr:rowOff>266843</xdr:rowOff>
    </xdr:to>
    <xdr:grpSp>
      <xdr:nvGrpSpPr>
        <xdr:cNvPr id="392" name="Group 39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8388350" y="2804886"/>
          <a:ext cx="1732717" cy="1094157"/>
          <a:chOff x="2910416" y="9937749"/>
          <a:chExt cx="1703917" cy="1088563"/>
        </a:xfrm>
      </xdr:grpSpPr>
      <xdr:pic>
        <xdr:nvPicPr>
          <xdr:cNvPr id="393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403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404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270783</xdr:colOff>
      <xdr:row>21</xdr:row>
      <xdr:rowOff>22452</xdr:rowOff>
    </xdr:from>
    <xdr:to>
      <xdr:col>7</xdr:col>
      <xdr:colOff>371022</xdr:colOff>
      <xdr:row>24</xdr:row>
      <xdr:rowOff>53499</xdr:rowOff>
    </xdr:to>
    <xdr:grpSp>
      <xdr:nvGrpSpPr>
        <xdr:cNvPr id="405" name="Group 35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pSpPr>
          <a:grpSpLocks noChangeAspect="1"/>
        </xdr:cNvGrpSpPr>
      </xdr:nvGrpSpPr>
      <xdr:grpSpPr>
        <a:xfrm>
          <a:off x="1775733" y="5597752"/>
          <a:ext cx="868589" cy="1364547"/>
          <a:chOff x="7705725" y="11065461"/>
          <a:chExt cx="1343025" cy="1898065"/>
        </a:xfrm>
      </xdr:grpSpPr>
      <xdr:pic>
        <xdr:nvPicPr>
          <xdr:cNvPr id="406" name="Picture 12" descr="Weather Icon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407" name="Picture 16" descr="Weather Icon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63500</xdr:colOff>
      <xdr:row>21</xdr:row>
      <xdr:rowOff>63500</xdr:rowOff>
    </xdr:from>
    <xdr:to>
      <xdr:col>7</xdr:col>
      <xdr:colOff>44450</xdr:colOff>
      <xdr:row>23</xdr:row>
      <xdr:rowOff>196850</xdr:rowOff>
    </xdr:to>
    <xdr:grpSp>
      <xdr:nvGrpSpPr>
        <xdr:cNvPr id="410" name="Group 409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GrpSpPr/>
      </xdr:nvGrpSpPr>
      <xdr:grpSpPr>
        <a:xfrm>
          <a:off x="660400" y="5638800"/>
          <a:ext cx="1657350" cy="1009650"/>
          <a:chOff x="4938836" y="10022416"/>
          <a:chExt cx="1707497" cy="1112298"/>
        </a:xfrm>
      </xdr:grpSpPr>
      <xdr:pic>
        <xdr:nvPicPr>
          <xdr:cNvPr id="414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4938836" y="10022416"/>
            <a:ext cx="1707497" cy="1112298"/>
          </a:xfrm>
          <a:prstGeom prst="rect">
            <a:avLst/>
          </a:prstGeom>
          <a:noFill/>
        </xdr:spPr>
      </xdr:pic>
      <xdr:pic>
        <xdr:nvPicPr>
          <xdr:cNvPr id="415" name="Picture 12" descr="Weather Icon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5005917" y="10276418"/>
            <a:ext cx="674029" cy="81632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16</xdr:col>
      <xdr:colOff>152400</xdr:colOff>
      <xdr:row>20</xdr:row>
      <xdr:rowOff>133350</xdr:rowOff>
    </xdr:from>
    <xdr:to>
      <xdr:col>21</xdr:col>
      <xdr:colOff>145001</xdr:colOff>
      <xdr:row>23</xdr:row>
      <xdr:rowOff>81491</xdr:rowOff>
    </xdr:to>
    <xdr:grpSp>
      <xdr:nvGrpSpPr>
        <xdr:cNvPr id="449" name="Group 44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GrpSpPr>
          <a:grpSpLocks noChangeAspect="1"/>
        </xdr:cNvGrpSpPr>
      </xdr:nvGrpSpPr>
      <xdr:grpSpPr>
        <a:xfrm>
          <a:off x="5568950" y="5530850"/>
          <a:ext cx="2018251" cy="1002241"/>
          <a:chOff x="5979583" y="14467417"/>
          <a:chExt cx="2137835" cy="1066800"/>
        </a:xfrm>
      </xdr:grpSpPr>
      <xdr:pic>
        <xdr:nvPicPr>
          <xdr:cNvPr id="450" name="Picture 5" descr="Weather Icon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451" name="Picture 12" descr="Weather Icon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23</xdr:col>
      <xdr:colOff>171450</xdr:colOff>
      <xdr:row>20</xdr:row>
      <xdr:rowOff>146050</xdr:rowOff>
    </xdr:from>
    <xdr:to>
      <xdr:col>28</xdr:col>
      <xdr:colOff>164051</xdr:colOff>
      <xdr:row>23</xdr:row>
      <xdr:rowOff>94191</xdr:rowOff>
    </xdr:to>
    <xdr:grpSp>
      <xdr:nvGrpSpPr>
        <xdr:cNvPr id="452" name="Group 45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GrpSpPr>
          <a:grpSpLocks noChangeAspect="1"/>
        </xdr:cNvGrpSpPr>
      </xdr:nvGrpSpPr>
      <xdr:grpSpPr>
        <a:xfrm>
          <a:off x="8172450" y="5543550"/>
          <a:ext cx="2018251" cy="1002241"/>
          <a:chOff x="5979583" y="14467417"/>
          <a:chExt cx="2137835" cy="1066800"/>
        </a:xfrm>
      </xdr:grpSpPr>
      <xdr:pic>
        <xdr:nvPicPr>
          <xdr:cNvPr id="453" name="Picture 5" descr="Weather Icon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454" name="Picture 12" descr="Weather Icon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10</xdr:col>
      <xdr:colOff>69850</xdr:colOff>
      <xdr:row>21</xdr:row>
      <xdr:rowOff>19050</xdr:rowOff>
    </xdr:from>
    <xdr:to>
      <xdr:col>14</xdr:col>
      <xdr:colOff>50800</xdr:colOff>
      <xdr:row>23</xdr:row>
      <xdr:rowOff>152400</xdr:rowOff>
    </xdr:to>
    <xdr:grpSp>
      <xdr:nvGrpSpPr>
        <xdr:cNvPr id="328" name="Group 32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GrpSpPr/>
      </xdr:nvGrpSpPr>
      <xdr:grpSpPr>
        <a:xfrm>
          <a:off x="3251200" y="5594350"/>
          <a:ext cx="1657350" cy="1009650"/>
          <a:chOff x="4938836" y="10022416"/>
          <a:chExt cx="1707497" cy="1112298"/>
        </a:xfrm>
      </xdr:grpSpPr>
      <xdr:pic>
        <xdr:nvPicPr>
          <xdr:cNvPr id="329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4938836" y="10022416"/>
            <a:ext cx="1707497" cy="1112298"/>
          </a:xfrm>
          <a:prstGeom prst="rect">
            <a:avLst/>
          </a:prstGeom>
          <a:noFill/>
        </xdr:spPr>
      </xdr:pic>
      <xdr:pic>
        <xdr:nvPicPr>
          <xdr:cNvPr id="338" name="Picture 12" descr="Weather Icon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5005917" y="10276418"/>
            <a:ext cx="674029" cy="81632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31</xdr:col>
      <xdr:colOff>101600</xdr:colOff>
      <xdr:row>21</xdr:row>
      <xdr:rowOff>12700</xdr:rowOff>
    </xdr:from>
    <xdr:to>
      <xdr:col>35</xdr:col>
      <xdr:colOff>81266</xdr:colOff>
      <xdr:row>23</xdr:row>
      <xdr:rowOff>196841</xdr:rowOff>
    </xdr:to>
    <xdr:pic>
      <xdr:nvPicPr>
        <xdr:cNvPr id="339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11036300" y="558800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31</xdr:col>
      <xdr:colOff>152400</xdr:colOff>
      <xdr:row>12</xdr:row>
      <xdr:rowOff>101600</xdr:rowOff>
    </xdr:from>
    <xdr:to>
      <xdr:col>35</xdr:col>
      <xdr:colOff>132066</xdr:colOff>
      <xdr:row>15</xdr:row>
      <xdr:rowOff>146041</xdr:rowOff>
    </xdr:to>
    <xdr:pic>
      <xdr:nvPicPr>
        <xdr:cNvPr id="340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11087100" y="271780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10</xdr:col>
      <xdr:colOff>279400</xdr:colOff>
      <xdr:row>13</xdr:row>
      <xdr:rowOff>31750</xdr:rowOff>
    </xdr:from>
    <xdr:to>
      <xdr:col>14</xdr:col>
      <xdr:colOff>259066</xdr:colOff>
      <xdr:row>15</xdr:row>
      <xdr:rowOff>215891</xdr:rowOff>
    </xdr:to>
    <xdr:pic>
      <xdr:nvPicPr>
        <xdr:cNvPr id="341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3460750" y="2787650"/>
          <a:ext cx="1656066" cy="1060441"/>
        </a:xfrm>
        <a:prstGeom prst="rect">
          <a:avLst/>
        </a:prstGeom>
        <a:noFill/>
      </xdr:spPr>
    </xdr:pic>
    <xdr:clientData/>
  </xdr:twoCellAnchor>
  <xdr:twoCellAnchor>
    <xdr:from>
      <xdr:col>17</xdr:col>
      <xdr:colOff>31750</xdr:colOff>
      <xdr:row>13</xdr:row>
      <xdr:rowOff>31750</xdr:rowOff>
    </xdr:from>
    <xdr:to>
      <xdr:col>21</xdr:col>
      <xdr:colOff>88067</xdr:colOff>
      <xdr:row>15</xdr:row>
      <xdr:rowOff>249607</xdr:rowOff>
    </xdr:to>
    <xdr:grpSp>
      <xdr:nvGrpSpPr>
        <xdr:cNvPr id="342" name="Group 34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/>
      </xdr:nvGrpSpPr>
      <xdr:grpSpPr>
        <a:xfrm>
          <a:off x="5797550" y="2787650"/>
          <a:ext cx="1732717" cy="1094157"/>
          <a:chOff x="2910416" y="9937749"/>
          <a:chExt cx="1703917" cy="1088563"/>
        </a:xfrm>
      </xdr:grpSpPr>
      <xdr:pic>
        <xdr:nvPicPr>
          <xdr:cNvPr id="343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44" name="Picture 12" descr="Weather Icon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46" name="Picture 12" descr="Weather Icon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378030</xdr:colOff>
      <xdr:row>45</xdr:row>
      <xdr:rowOff>59584</xdr:rowOff>
    </xdr:from>
    <xdr:ext cx="1136648" cy="371474"/>
    <xdr:sp macro="" textlink="">
      <xdr:nvSpPr>
        <xdr:cNvPr id="2" name="Rectangle 7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2790929" y="12989265"/>
          <a:ext cx="1136648" cy="371474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SNOW/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HEAVY SNOW</a:t>
          </a:r>
        </a:p>
      </xdr:txBody>
    </xdr:sp>
    <xdr:clientData/>
  </xdr:oneCellAnchor>
  <xdr:oneCellAnchor>
    <xdr:from>
      <xdr:col>1</xdr:col>
      <xdr:colOff>0</xdr:colOff>
      <xdr:row>46</xdr:row>
      <xdr:rowOff>4234</xdr:rowOff>
    </xdr:from>
    <xdr:ext cx="839260" cy="262466"/>
    <xdr:sp macro="" textlink="">
      <xdr:nvSpPr>
        <xdr:cNvPr id="3" name="Rectangle 7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60798" y="13096043"/>
          <a:ext cx="839260" cy="2624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27</xdr:col>
      <xdr:colOff>343215</xdr:colOff>
      <xdr:row>45</xdr:row>
      <xdr:rowOff>21775</xdr:rowOff>
    </xdr:from>
    <xdr:ext cx="906992" cy="378883"/>
    <xdr:sp macro="" textlink="">
      <xdr:nvSpPr>
        <xdr:cNvPr id="4" name="Rectangle 7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7041114" y="12941323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RAIN/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34</xdr:col>
      <xdr:colOff>297752</xdr:colOff>
      <xdr:row>35</xdr:row>
      <xdr:rowOff>13580</xdr:rowOff>
    </xdr:from>
    <xdr:ext cx="686191" cy="244655"/>
    <xdr:sp macro="" textlink="">
      <xdr:nvSpPr>
        <xdr:cNvPr id="5" name="Rectangle 7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8738523" y="11311851"/>
          <a:ext cx="686191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26</xdr:col>
      <xdr:colOff>171869</xdr:colOff>
      <xdr:row>36</xdr:row>
      <xdr:rowOff>75742</xdr:rowOff>
    </xdr:from>
    <xdr:ext cx="686191" cy="338666"/>
    <xdr:sp macro="" textlink="">
      <xdr:nvSpPr>
        <xdr:cNvPr id="6" name="Rectangle 7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7032009" y="10146557"/>
          <a:ext cx="686191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12</xdr:col>
      <xdr:colOff>224215</xdr:colOff>
      <xdr:row>34</xdr:row>
      <xdr:rowOff>144428</xdr:rowOff>
    </xdr:from>
    <xdr:ext cx="686191" cy="338667"/>
    <xdr:sp macro="" textlink="">
      <xdr:nvSpPr>
        <xdr:cNvPr id="7" name="Rectangle 8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3051316" y="11280572"/>
          <a:ext cx="686191" cy="33866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9</xdr:col>
      <xdr:colOff>146634</xdr:colOff>
      <xdr:row>45</xdr:row>
      <xdr:rowOff>152581</xdr:rowOff>
    </xdr:from>
    <xdr:ext cx="1173693" cy="357717"/>
    <xdr:sp macro="" textlink="">
      <xdr:nvSpPr>
        <xdr:cNvPr id="8" name="Rectangle 8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2193496" y="13072129"/>
          <a:ext cx="1173693" cy="35771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 SCT RAIN SHOWERS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</xdr:col>
      <xdr:colOff>218017</xdr:colOff>
      <xdr:row>35</xdr:row>
      <xdr:rowOff>4233</xdr:rowOff>
    </xdr:from>
    <xdr:ext cx="606425" cy="231775"/>
    <xdr:sp macro="" textlink="">
      <xdr:nvSpPr>
        <xdr:cNvPr id="9" name="Rectangle 8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294217" y="11167533"/>
          <a:ext cx="606425" cy="23177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SUNNY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41</xdr:col>
      <xdr:colOff>81514</xdr:colOff>
      <xdr:row>45</xdr:row>
      <xdr:rowOff>87685</xdr:rowOff>
    </xdr:from>
    <xdr:ext cx="617007" cy="354541"/>
    <xdr:sp macro="" textlink="">
      <xdr:nvSpPr>
        <xdr:cNvPr id="10" name="Rectangle 8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10336088" y="13017366"/>
          <a:ext cx="617007" cy="3545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&amp;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SNOW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121235</xdr:colOff>
      <xdr:row>34</xdr:row>
      <xdr:rowOff>123216</xdr:rowOff>
    </xdr:from>
    <xdr:ext cx="652990" cy="392642"/>
    <xdr:sp macro="" textlink="">
      <xdr:nvSpPr>
        <xdr:cNvPr id="11" name="Rectangle 8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519586" y="11269493"/>
          <a:ext cx="652990" cy="39264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90478" tIns="44445" rIns="90478" bIns="44445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MOSTLY SUNNY</a:t>
          </a:r>
        </a:p>
      </xdr:txBody>
    </xdr:sp>
    <xdr:clientData/>
  </xdr:oneCellAnchor>
  <xdr:oneCellAnchor>
    <xdr:from>
      <xdr:col>3</xdr:col>
      <xdr:colOff>174964</xdr:colOff>
      <xdr:row>52</xdr:row>
      <xdr:rowOff>79068</xdr:rowOff>
    </xdr:from>
    <xdr:ext cx="445747" cy="244655"/>
    <xdr:sp macro="" textlink="">
      <xdr:nvSpPr>
        <xdr:cNvPr id="12" name="Rectangle 326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722145" y="14133509"/>
          <a:ext cx="445747" cy="24465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FOG</a:t>
          </a:r>
        </a:p>
      </xdr:txBody>
    </xdr:sp>
    <xdr:clientData/>
  </xdr:oneCellAnchor>
  <xdr:oneCellAnchor>
    <xdr:from>
      <xdr:col>23</xdr:col>
      <xdr:colOff>85996</xdr:colOff>
      <xdr:row>45</xdr:row>
      <xdr:rowOff>11913</xdr:rowOff>
    </xdr:from>
    <xdr:ext cx="898525" cy="248707"/>
    <xdr:sp macro="" textlink="">
      <xdr:nvSpPr>
        <xdr:cNvPr id="13" name="Rectangle 7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5618602" y="12931461"/>
          <a:ext cx="898525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SPRINKLES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19</xdr:col>
      <xdr:colOff>138582</xdr:colOff>
      <xdr:row>36</xdr:row>
      <xdr:rowOff>82647</xdr:rowOff>
    </xdr:from>
    <xdr:ext cx="888994" cy="497416"/>
    <xdr:sp macro="" textlink="">
      <xdr:nvSpPr>
        <xdr:cNvPr id="14" name="Rectangle 8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5147234" y="10153462"/>
          <a:ext cx="888994" cy="49741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PARTLY TO MOSTLY</a:t>
          </a:r>
        </a:p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CLOUDY</a:t>
          </a:r>
        </a:p>
      </xdr:txBody>
    </xdr:sp>
    <xdr:clientData/>
  </xdr:oneCellAnchor>
  <xdr:oneCellAnchor>
    <xdr:from>
      <xdr:col>34</xdr:col>
      <xdr:colOff>222836</xdr:colOff>
      <xdr:row>45</xdr:row>
      <xdr:rowOff>97367</xdr:rowOff>
    </xdr:from>
    <xdr:ext cx="906992" cy="378883"/>
    <xdr:sp macro="" textlink="">
      <xdr:nvSpPr>
        <xdr:cNvPr id="15" name="Rectangle 7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8663607" y="13016915"/>
          <a:ext cx="906992" cy="3788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RAIN / HEAVY RAIN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43</xdr:col>
      <xdr:colOff>147647</xdr:colOff>
      <xdr:row>34</xdr:row>
      <xdr:rowOff>160597</xdr:rowOff>
    </xdr:from>
    <xdr:ext cx="697442" cy="302682"/>
    <xdr:sp macro="" textlink="">
      <xdr:nvSpPr>
        <xdr:cNvPr id="16" name="Rectangle 7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0807541" y="11296741"/>
          <a:ext cx="697442" cy="30268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ctr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DUST/ SMOKE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48</xdr:col>
      <xdr:colOff>276985</xdr:colOff>
      <xdr:row>35</xdr:row>
      <xdr:rowOff>11643</xdr:rowOff>
    </xdr:from>
    <xdr:ext cx="659342" cy="274108"/>
    <xdr:sp macro="" textlink="">
      <xdr:nvSpPr>
        <xdr:cNvPr id="17" name="Rectangle 7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2274432" y="11309914"/>
          <a:ext cx="659342" cy="274108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HAZE </a:t>
          </a: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46</xdr:col>
      <xdr:colOff>167465</xdr:colOff>
      <xdr:row>45</xdr:row>
      <xdr:rowOff>48842</xdr:rowOff>
    </xdr:from>
    <xdr:ext cx="936196" cy="235245"/>
    <xdr:sp macro="" textlink="">
      <xdr:nvSpPr>
        <xdr:cNvPr id="18" name="Rectangle 7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1668396" y="12978523"/>
          <a:ext cx="936196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LIGHT SNOW</a:t>
          </a:r>
        </a:p>
      </xdr:txBody>
    </xdr:sp>
    <xdr:clientData/>
  </xdr:oneCellAnchor>
  <xdr:oneCellAnchor>
    <xdr:from>
      <xdr:col>5</xdr:col>
      <xdr:colOff>3668</xdr:colOff>
      <xdr:row>45</xdr:row>
      <xdr:rowOff>156634</xdr:rowOff>
    </xdr:from>
    <xdr:ext cx="890059" cy="338666"/>
    <xdr:sp macro="" textlink="">
      <xdr:nvSpPr>
        <xdr:cNvPr id="19" name="Rectangle 7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1087897" y="13086315"/>
          <a:ext cx="890059" cy="338666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ISOLD /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SCT</a:t>
          </a:r>
          <a:r>
            <a:rPr lang="en-US" sz="9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T'STORMS</a:t>
          </a: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2666</xdr:colOff>
      <xdr:row>51</xdr:row>
      <xdr:rowOff>45099</xdr:rowOff>
    </xdr:from>
    <xdr:ext cx="955560" cy="235245"/>
    <xdr:sp macro="" textlink="">
      <xdr:nvSpPr>
        <xdr:cNvPr id="20" name="Rectangle 326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3159829" y="15006841"/>
          <a:ext cx="955560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PATCHY FOG</a:t>
          </a:r>
        </a:p>
      </xdr:txBody>
    </xdr:sp>
    <xdr:clientData/>
  </xdr:oneCellAnchor>
  <xdr:oneCellAnchor>
    <xdr:from>
      <xdr:col>17</xdr:col>
      <xdr:colOff>40600</xdr:colOff>
      <xdr:row>45</xdr:row>
      <xdr:rowOff>7252</xdr:rowOff>
    </xdr:from>
    <xdr:ext cx="717550" cy="248707"/>
    <xdr:sp macro="" textlink="">
      <xdr:nvSpPr>
        <xdr:cNvPr id="21" name="Rectangle 7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4073526" y="12926800"/>
          <a:ext cx="717550" cy="248707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square" lIns="101589" tIns="50794" rIns="101589" bIns="50794" anchor="t" upright="1">
          <a:no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DRIZZLE</a:t>
          </a:r>
        </a:p>
      </xdr:txBody>
    </xdr:sp>
    <xdr:clientData/>
  </xdr:oneCellAnchor>
  <xdr:twoCellAnchor editAs="oneCell">
    <xdr:from>
      <xdr:col>45</xdr:col>
      <xdr:colOff>53510</xdr:colOff>
      <xdr:row>1</xdr:row>
      <xdr:rowOff>9525</xdr:rowOff>
    </xdr:from>
    <xdr:to>
      <xdr:col>49</xdr:col>
      <xdr:colOff>2060</xdr:colOff>
      <xdr:row>3</xdr:row>
      <xdr:rowOff>340712</xdr:rowOff>
    </xdr:to>
    <xdr:pic>
      <xdr:nvPicPr>
        <xdr:cNvPr id="145" name="Picture 144" descr="Slide1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232" t="940" r="13028" b="1269"/>
        <a:stretch>
          <a:fillRect/>
        </a:stretch>
      </xdr:blipFill>
      <xdr:spPr>
        <a:xfrm>
          <a:off x="11847386" y="63036"/>
          <a:ext cx="1114239" cy="1133856"/>
        </a:xfrm>
        <a:prstGeom prst="rect">
          <a:avLst/>
        </a:prstGeom>
        <a:ln w="19050">
          <a:solidFill>
            <a:schemeClr val="tx1"/>
          </a:solidFill>
        </a:ln>
        <a:effectLst/>
      </xdr:spPr>
    </xdr:pic>
    <xdr:clientData/>
  </xdr:twoCellAnchor>
  <xdr:twoCellAnchor>
    <xdr:from>
      <xdr:col>4</xdr:col>
      <xdr:colOff>253439</xdr:colOff>
      <xdr:row>3</xdr:row>
      <xdr:rowOff>7969</xdr:rowOff>
    </xdr:from>
    <xdr:to>
      <xdr:col>8</xdr:col>
      <xdr:colOff>53511</xdr:colOff>
      <xdr:row>3</xdr:row>
      <xdr:rowOff>349030</xdr:rowOff>
    </xdr:to>
    <xdr:grpSp>
      <xdr:nvGrpSpPr>
        <xdr:cNvPr id="200" name="Group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pSpPr/>
      </xdr:nvGrpSpPr>
      <xdr:grpSpPr>
        <a:xfrm>
          <a:off x="1159372" y="871569"/>
          <a:ext cx="731406" cy="341061"/>
          <a:chOff x="1216641" y="864149"/>
          <a:chExt cx="752572" cy="341061"/>
        </a:xfrm>
      </xdr:grpSpPr>
      <xdr:grpSp>
        <xdr:nvGrpSpPr>
          <xdr:cNvPr id="198" name="Group 197">
            <a:extLst>
              <a:ext uri="{FF2B5EF4-FFF2-40B4-BE49-F238E27FC236}">
                <a16:creationId xmlns:a16="http://schemas.microsoft.com/office/drawing/2014/main" id="{00000000-0008-0000-0100-0000C6000000}"/>
              </a:ext>
            </a:extLst>
          </xdr:cNvPr>
          <xdr:cNvGrpSpPr/>
        </xdr:nvGrpSpPr>
        <xdr:grpSpPr>
          <a:xfrm>
            <a:off x="1216641" y="866881"/>
            <a:ext cx="752572" cy="338329"/>
            <a:chOff x="1216641" y="866881"/>
            <a:chExt cx="752572" cy="338329"/>
          </a:xfrm>
        </xdr:grpSpPr>
        <xdr:sp macro="" textlink="">
          <xdr:nvSpPr>
            <xdr:cNvPr id="148" name="Rectangle 147">
              <a:extLst>
                <a:ext uri="{FF2B5EF4-FFF2-40B4-BE49-F238E27FC236}">
                  <a16:creationId xmlns:a16="http://schemas.microsoft.com/office/drawing/2014/main" id="{00000000-0008-0000-0100-000094000000}"/>
                </a:ext>
              </a:extLst>
            </xdr:cNvPr>
            <xdr:cNvSpPr/>
          </xdr:nvSpPr>
          <xdr:spPr bwMode="auto">
            <a:xfrm>
              <a:off x="1216641" y="866882"/>
              <a:ext cx="752572" cy="338328"/>
            </a:xfrm>
            <a:prstGeom prst="rect">
              <a:avLst/>
            </a:prstGeom>
            <a:solidFill>
              <a:schemeClr val="tx1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pic>
          <xdr:nvPicPr>
            <xdr:cNvPr id="147" name="Picture 9" descr="http://www.bumperstickerz.com/images/1000319-00-00-00-00_lg.png">
              <a:extLst>
                <a:ext uri="{FF2B5EF4-FFF2-40B4-BE49-F238E27FC236}">
                  <a16:creationId xmlns:a16="http://schemas.microsoft.com/office/drawing/2014/main" id="{00000000-0008-0000-0100-000093000000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2" cstate="print"/>
            <a:srcRect l="1266" t="1645" r="1921" b="2632"/>
            <a:stretch>
              <a:fillRect/>
            </a:stretch>
          </xdr:blipFill>
          <xdr:spPr bwMode="auto">
            <a:xfrm>
              <a:off x="1230638" y="866881"/>
              <a:ext cx="342592" cy="336955"/>
            </a:xfrm>
            <a:prstGeom prst="rect">
              <a:avLst/>
            </a:prstGeom>
            <a:noFill/>
          </xdr:spPr>
        </xdr:pic>
      </xdr:grpSp>
      <xdr:pic>
        <xdr:nvPicPr>
          <xdr:cNvPr id="149" name="fullSizedImage" descr="Air Force Logo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20000"/>
          </a:blip>
          <a:srcRect l="15366" t="3819" r="15854" b="6597"/>
          <a:stretch>
            <a:fillRect/>
          </a:stretch>
        </xdr:blipFill>
        <xdr:spPr bwMode="auto">
          <a:xfrm>
            <a:off x="1600038" y="864149"/>
            <a:ext cx="348658" cy="338328"/>
          </a:xfrm>
          <a:prstGeom prst="rect">
            <a:avLst/>
          </a:prstGeom>
          <a:noFill/>
          <a:ln cap="rnd">
            <a:noFill/>
          </a:ln>
        </xdr:spPr>
      </xdr:pic>
    </xdr:grpSp>
    <xdr:clientData/>
  </xdr:twoCellAnchor>
  <xdr:oneCellAnchor>
    <xdr:from>
      <xdr:col>7</xdr:col>
      <xdr:colOff>38867</xdr:colOff>
      <xdr:row>1</xdr:row>
      <xdr:rowOff>94845</xdr:rowOff>
    </xdr:from>
    <xdr:ext cx="5494195" cy="622205"/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/>
      </xdr:nvSpPr>
      <xdr:spPr>
        <a:xfrm>
          <a:off x="1901058" y="148356"/>
          <a:ext cx="5494195" cy="62220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40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7-Day Weather</a:t>
          </a:r>
          <a:r>
            <a:rPr lang="en-US" sz="40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Outlook</a:t>
          </a:r>
        </a:p>
      </xdr:txBody>
    </xdr:sp>
    <xdr:clientData/>
  </xdr:oneCellAnchor>
  <xdr:oneCellAnchor>
    <xdr:from>
      <xdr:col>29</xdr:col>
      <xdr:colOff>136272</xdr:colOff>
      <xdr:row>2</xdr:row>
      <xdr:rowOff>26804</xdr:rowOff>
    </xdr:from>
    <xdr:ext cx="3705225" cy="381000"/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>
          <a:off x="7595738" y="176635"/>
          <a:ext cx="3705225" cy="38100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20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29</xdr:col>
      <xdr:colOff>168149</xdr:colOff>
      <xdr:row>2</xdr:row>
      <xdr:rowOff>285869</xdr:rowOff>
    </xdr:from>
    <xdr:ext cx="3609974" cy="288924"/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>
          <a:off x="7627615" y="435700"/>
          <a:ext cx="3609974" cy="28892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4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4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Weather Squadron</a:t>
          </a:r>
          <a:endParaRPr lang="en-US" sz="14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62836</xdr:colOff>
      <xdr:row>12</xdr:row>
      <xdr:rowOff>74085</xdr:rowOff>
    </xdr:from>
    <xdr:to>
      <xdr:col>4</xdr:col>
      <xdr:colOff>183485</xdr:colOff>
      <xdr:row>13</xdr:row>
      <xdr:rowOff>47267</xdr:rowOff>
    </xdr:to>
    <xdr:grpSp>
      <xdr:nvGrpSpPr>
        <xdr:cNvPr id="157" name="Group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pSpPr/>
      </xdr:nvGrpSpPr>
      <xdr:grpSpPr>
        <a:xfrm>
          <a:off x="105169" y="3367618"/>
          <a:ext cx="984249" cy="430382"/>
          <a:chOff x="275166" y="3196169"/>
          <a:chExt cx="956732" cy="428265"/>
        </a:xfrm>
      </xdr:grpSpPr>
      <xdr:pic>
        <xdr:nvPicPr>
          <xdr:cNvPr id="15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5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8</xdr:col>
      <xdr:colOff>77772</xdr:colOff>
      <xdr:row>12</xdr:row>
      <xdr:rowOff>67853</xdr:rowOff>
    </xdr:from>
    <xdr:to>
      <xdr:col>11</xdr:col>
      <xdr:colOff>198420</xdr:colOff>
      <xdr:row>13</xdr:row>
      <xdr:rowOff>41035</xdr:rowOff>
    </xdr:to>
    <xdr:grpSp>
      <xdr:nvGrpSpPr>
        <xdr:cNvPr id="158" name="Group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pSpPr/>
      </xdr:nvGrpSpPr>
      <xdr:grpSpPr>
        <a:xfrm>
          <a:off x="1915039" y="3361386"/>
          <a:ext cx="1009648" cy="430382"/>
          <a:chOff x="275166" y="3196169"/>
          <a:chExt cx="956732" cy="428265"/>
        </a:xfrm>
      </xdr:grpSpPr>
      <xdr:pic>
        <xdr:nvPicPr>
          <xdr:cNvPr id="15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43</xdr:col>
      <xdr:colOff>50018</xdr:colOff>
      <xdr:row>20</xdr:row>
      <xdr:rowOff>61385</xdr:rowOff>
    </xdr:from>
    <xdr:to>
      <xdr:col>46</xdr:col>
      <xdr:colOff>170666</xdr:colOff>
      <xdr:row>21</xdr:row>
      <xdr:rowOff>34567</xdr:rowOff>
    </xdr:to>
    <xdr:grpSp>
      <xdr:nvGrpSpPr>
        <xdr:cNvPr id="161" name="Group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pSpPr/>
      </xdr:nvGrpSpPr>
      <xdr:grpSpPr>
        <a:xfrm>
          <a:off x="10988951" y="6089652"/>
          <a:ext cx="1009648" cy="430382"/>
          <a:chOff x="275166" y="3196169"/>
          <a:chExt cx="956732" cy="428265"/>
        </a:xfrm>
      </xdr:grpSpPr>
      <xdr:pic>
        <xdr:nvPicPr>
          <xdr:cNvPr id="16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43</xdr:col>
      <xdr:colOff>76224</xdr:colOff>
      <xdr:row>12</xdr:row>
      <xdr:rowOff>65738</xdr:rowOff>
    </xdr:from>
    <xdr:to>
      <xdr:col>46</xdr:col>
      <xdr:colOff>196872</xdr:colOff>
      <xdr:row>13</xdr:row>
      <xdr:rowOff>38920</xdr:rowOff>
    </xdr:to>
    <xdr:grpSp>
      <xdr:nvGrpSpPr>
        <xdr:cNvPr id="164" name="Group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pSpPr/>
      </xdr:nvGrpSpPr>
      <xdr:grpSpPr>
        <a:xfrm>
          <a:off x="11015157" y="3359271"/>
          <a:ext cx="1009648" cy="430382"/>
          <a:chOff x="275166" y="3196169"/>
          <a:chExt cx="956732" cy="428265"/>
        </a:xfrm>
      </xdr:grpSpPr>
      <xdr:pic>
        <xdr:nvPicPr>
          <xdr:cNvPr id="16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15</xdr:col>
      <xdr:colOff>58603</xdr:colOff>
      <xdr:row>12</xdr:row>
      <xdr:rowOff>59268</xdr:rowOff>
    </xdr:from>
    <xdr:to>
      <xdr:col>18</xdr:col>
      <xdr:colOff>179252</xdr:colOff>
      <xdr:row>13</xdr:row>
      <xdr:rowOff>32450</xdr:rowOff>
    </xdr:to>
    <xdr:grpSp>
      <xdr:nvGrpSpPr>
        <xdr:cNvPr id="167" name="Group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pSpPr/>
      </xdr:nvGrpSpPr>
      <xdr:grpSpPr>
        <a:xfrm>
          <a:off x="3716203" y="3352801"/>
          <a:ext cx="1009649" cy="430382"/>
          <a:chOff x="275166" y="3196169"/>
          <a:chExt cx="956732" cy="428265"/>
        </a:xfrm>
      </xdr:grpSpPr>
      <xdr:pic>
        <xdr:nvPicPr>
          <xdr:cNvPr id="168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6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22</xdr:col>
      <xdr:colOff>62836</xdr:colOff>
      <xdr:row>12</xdr:row>
      <xdr:rowOff>74086</xdr:rowOff>
    </xdr:from>
    <xdr:to>
      <xdr:col>25</xdr:col>
      <xdr:colOff>183485</xdr:colOff>
      <xdr:row>13</xdr:row>
      <xdr:rowOff>47268</xdr:rowOff>
    </xdr:to>
    <xdr:grpSp>
      <xdr:nvGrpSpPr>
        <xdr:cNvPr id="170" name="Group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pSpPr/>
      </xdr:nvGrpSpPr>
      <xdr:grpSpPr>
        <a:xfrm>
          <a:off x="5540769" y="3367619"/>
          <a:ext cx="1009649" cy="430382"/>
          <a:chOff x="275166" y="3196169"/>
          <a:chExt cx="956732" cy="428265"/>
        </a:xfrm>
      </xdr:grpSpPr>
      <xdr:pic>
        <xdr:nvPicPr>
          <xdr:cNvPr id="171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56368</xdr:colOff>
      <xdr:row>12</xdr:row>
      <xdr:rowOff>67735</xdr:rowOff>
    </xdr:from>
    <xdr:to>
      <xdr:col>32</xdr:col>
      <xdr:colOff>177017</xdr:colOff>
      <xdr:row>13</xdr:row>
      <xdr:rowOff>40917</xdr:rowOff>
    </xdr:to>
    <xdr:grpSp>
      <xdr:nvGrpSpPr>
        <xdr:cNvPr id="173" name="Group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pSpPr/>
      </xdr:nvGrpSpPr>
      <xdr:grpSpPr>
        <a:xfrm>
          <a:off x="7354635" y="3361268"/>
          <a:ext cx="1009649" cy="430382"/>
          <a:chOff x="275166" y="3196169"/>
          <a:chExt cx="956732" cy="428265"/>
        </a:xfrm>
      </xdr:grpSpPr>
      <xdr:pic>
        <xdr:nvPicPr>
          <xdr:cNvPr id="17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A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36</xdr:col>
      <xdr:colOff>60720</xdr:colOff>
      <xdr:row>12</xdr:row>
      <xdr:rowOff>71969</xdr:rowOff>
    </xdr:from>
    <xdr:to>
      <xdr:col>39</xdr:col>
      <xdr:colOff>181368</xdr:colOff>
      <xdr:row>13</xdr:row>
      <xdr:rowOff>45151</xdr:rowOff>
    </xdr:to>
    <xdr:grpSp>
      <xdr:nvGrpSpPr>
        <xdr:cNvPr id="176" name="Group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pSpPr/>
      </xdr:nvGrpSpPr>
      <xdr:grpSpPr>
        <a:xfrm>
          <a:off x="9179320" y="3365502"/>
          <a:ext cx="1009648" cy="430382"/>
          <a:chOff x="275166" y="3196169"/>
          <a:chExt cx="956732" cy="428265"/>
        </a:xfrm>
      </xdr:grpSpPr>
      <xdr:pic>
        <xdr:nvPicPr>
          <xdr:cNvPr id="177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78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</xdr:col>
      <xdr:colOff>64953</xdr:colOff>
      <xdr:row>20</xdr:row>
      <xdr:rowOff>65619</xdr:rowOff>
    </xdr:from>
    <xdr:to>
      <xdr:col>4</xdr:col>
      <xdr:colOff>185602</xdr:colOff>
      <xdr:row>21</xdr:row>
      <xdr:rowOff>38801</xdr:rowOff>
    </xdr:to>
    <xdr:grpSp>
      <xdr:nvGrpSpPr>
        <xdr:cNvPr id="179" name="Group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pSpPr/>
      </xdr:nvGrpSpPr>
      <xdr:grpSpPr>
        <a:xfrm>
          <a:off x="107286" y="6093886"/>
          <a:ext cx="984249" cy="430382"/>
          <a:chOff x="275166" y="3196169"/>
          <a:chExt cx="956732" cy="428265"/>
        </a:xfrm>
      </xdr:grpSpPr>
      <xdr:pic>
        <xdr:nvPicPr>
          <xdr:cNvPr id="18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1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8</xdr:col>
      <xdr:colOff>58604</xdr:colOff>
      <xdr:row>20</xdr:row>
      <xdr:rowOff>69851</xdr:rowOff>
    </xdr:from>
    <xdr:to>
      <xdr:col>11</xdr:col>
      <xdr:colOff>179252</xdr:colOff>
      <xdr:row>21</xdr:row>
      <xdr:rowOff>43033</xdr:rowOff>
    </xdr:to>
    <xdr:grpSp>
      <xdr:nvGrpSpPr>
        <xdr:cNvPr id="182" name="Group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pSpPr/>
      </xdr:nvGrpSpPr>
      <xdr:grpSpPr>
        <a:xfrm>
          <a:off x="1895871" y="6098118"/>
          <a:ext cx="1009648" cy="430382"/>
          <a:chOff x="275166" y="3196169"/>
          <a:chExt cx="956732" cy="428265"/>
        </a:xfrm>
      </xdr:grpSpPr>
      <xdr:pic>
        <xdr:nvPicPr>
          <xdr:cNvPr id="18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4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15</xdr:col>
      <xdr:colOff>62837</xdr:colOff>
      <xdr:row>20</xdr:row>
      <xdr:rowOff>74085</xdr:rowOff>
    </xdr:from>
    <xdr:to>
      <xdr:col>18</xdr:col>
      <xdr:colOff>183486</xdr:colOff>
      <xdr:row>21</xdr:row>
      <xdr:rowOff>47267</xdr:rowOff>
    </xdr:to>
    <xdr:grpSp>
      <xdr:nvGrpSpPr>
        <xdr:cNvPr id="185" name="Group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pSpPr/>
      </xdr:nvGrpSpPr>
      <xdr:grpSpPr>
        <a:xfrm>
          <a:off x="3720437" y="6102352"/>
          <a:ext cx="1009649" cy="430382"/>
          <a:chOff x="275166" y="3196169"/>
          <a:chExt cx="956732" cy="428265"/>
        </a:xfrm>
      </xdr:grpSpPr>
      <xdr:pic>
        <xdr:nvPicPr>
          <xdr:cNvPr id="18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87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22</xdr:col>
      <xdr:colOff>67639</xdr:colOff>
      <xdr:row>20</xdr:row>
      <xdr:rowOff>67735</xdr:rowOff>
    </xdr:from>
    <xdr:to>
      <xdr:col>25</xdr:col>
      <xdr:colOff>188288</xdr:colOff>
      <xdr:row>21</xdr:row>
      <xdr:rowOff>40917</xdr:rowOff>
    </xdr:to>
    <xdr:grpSp>
      <xdr:nvGrpSpPr>
        <xdr:cNvPr id="188" name="Group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pSpPr/>
      </xdr:nvGrpSpPr>
      <xdr:grpSpPr>
        <a:xfrm>
          <a:off x="5545572" y="6096002"/>
          <a:ext cx="1009649" cy="430382"/>
          <a:chOff x="275166" y="3196169"/>
          <a:chExt cx="956732" cy="428265"/>
        </a:xfrm>
      </xdr:grpSpPr>
      <xdr:pic>
        <xdr:nvPicPr>
          <xdr:cNvPr id="189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0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B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29</xdr:col>
      <xdr:colOff>71421</xdr:colOff>
      <xdr:row>20</xdr:row>
      <xdr:rowOff>71968</xdr:rowOff>
    </xdr:from>
    <xdr:to>
      <xdr:col>32</xdr:col>
      <xdr:colOff>192070</xdr:colOff>
      <xdr:row>21</xdr:row>
      <xdr:rowOff>45150</xdr:rowOff>
    </xdr:to>
    <xdr:grpSp>
      <xdr:nvGrpSpPr>
        <xdr:cNvPr id="191" name="Group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pSpPr/>
      </xdr:nvGrpSpPr>
      <xdr:grpSpPr>
        <a:xfrm>
          <a:off x="7369688" y="6100235"/>
          <a:ext cx="1009649" cy="430382"/>
          <a:chOff x="275166" y="3196169"/>
          <a:chExt cx="956732" cy="428265"/>
        </a:xfrm>
      </xdr:grpSpPr>
      <xdr:pic>
        <xdr:nvPicPr>
          <xdr:cNvPr id="192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3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36</xdr:col>
      <xdr:colOff>75536</xdr:colOff>
      <xdr:row>20</xdr:row>
      <xdr:rowOff>55034</xdr:rowOff>
    </xdr:from>
    <xdr:to>
      <xdr:col>39</xdr:col>
      <xdr:colOff>196184</xdr:colOff>
      <xdr:row>21</xdr:row>
      <xdr:rowOff>28216</xdr:rowOff>
    </xdr:to>
    <xdr:grpSp>
      <xdr:nvGrpSpPr>
        <xdr:cNvPr id="194" name="Group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pSpPr/>
      </xdr:nvGrpSpPr>
      <xdr:grpSpPr>
        <a:xfrm>
          <a:off x="9194136" y="6083301"/>
          <a:ext cx="1009648" cy="430382"/>
          <a:chOff x="275166" y="3196169"/>
          <a:chExt cx="956732" cy="428265"/>
        </a:xfrm>
      </xdr:grpSpPr>
      <xdr:pic>
        <xdr:nvPicPr>
          <xdr:cNvPr id="195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76F7B"/>
              </a:clrFrom>
              <a:clrTo>
                <a:srgbClr val="576F7B">
                  <a:alpha val="0"/>
                </a:srgbClr>
              </a:clrTo>
            </a:clrChange>
            <a:lum bright="100000" contrast="-100000"/>
          </a:blip>
          <a:srcRect l="4000" t="13776" r="4750" b="39966"/>
          <a:stretch>
            <a:fillRect/>
          </a:stretch>
        </xdr:blipFill>
        <xdr:spPr bwMode="auto">
          <a:xfrm rot="10800000">
            <a:off x="463495" y="3196169"/>
            <a:ext cx="768403" cy="275164"/>
          </a:xfrm>
          <a:prstGeom prst="rect">
            <a:avLst/>
          </a:prstGeom>
          <a:noFill/>
          <a:effectLst>
            <a:outerShdw blurRad="38100" dist="406400" dir="6600000" sx="94000" sy="94000" kx="800400" algn="b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 prstMaterial="clear"/>
        </xdr:spPr>
      </xdr:pic>
      <xdr:pic>
        <xdr:nvPicPr>
          <xdr:cNvPr id="196" name="Picture 21" descr="File:U.S. Bullion Depository.jpg">
            <a:extLst>
              <a:ext uri="{FF2B5EF4-FFF2-40B4-BE49-F238E27FC236}">
                <a16:creationId xmlns:a16="http://schemas.microsoft.com/office/drawing/2014/main" id="{00000000-0008-0000-0100-0000C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556C74"/>
              </a:clrFrom>
              <a:clrTo>
                <a:srgbClr val="556C74">
                  <a:alpha val="0"/>
                </a:srgbClr>
              </a:clrTo>
            </a:clrChange>
            <a:lum bright="10000" contrast="20000"/>
          </a:blip>
          <a:srcRect l="4000" t="13776" r="4750" b="39966"/>
          <a:stretch>
            <a:fillRect/>
          </a:stretch>
        </xdr:blipFill>
        <xdr:spPr bwMode="auto">
          <a:xfrm>
            <a:off x="275166" y="3370147"/>
            <a:ext cx="768403" cy="254287"/>
          </a:xfrm>
          <a:prstGeom prst="rect">
            <a:avLst/>
          </a:prstGeom>
          <a:noFill/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>
    <xdr:from>
      <xdr:col>5</xdr:col>
      <xdr:colOff>190500</xdr:colOff>
      <xdr:row>27</xdr:row>
      <xdr:rowOff>842474</xdr:rowOff>
    </xdr:from>
    <xdr:to>
      <xdr:col>10</xdr:col>
      <xdr:colOff>264064</xdr:colOff>
      <xdr:row>33</xdr:row>
      <xdr:rowOff>55000</xdr:rowOff>
    </xdr:to>
    <xdr:pic>
      <xdr:nvPicPr>
        <xdr:cNvPr id="74" name="Picture 3" descr="http://geoipweather.com/img/icons/93x93/34.pn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487" b="18452"/>
        <a:stretch>
          <a:fillRect/>
        </a:stretch>
      </xdr:blipFill>
      <xdr:spPr bwMode="auto">
        <a:xfrm>
          <a:off x="1460500" y="8652974"/>
          <a:ext cx="1301231" cy="9164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10583</xdr:colOff>
      <xdr:row>27</xdr:row>
      <xdr:rowOff>778159</xdr:rowOff>
    </xdr:from>
    <xdr:to>
      <xdr:col>4</xdr:col>
      <xdr:colOff>222250</xdr:colOff>
      <xdr:row>33</xdr:row>
      <xdr:rowOff>57274</xdr:rowOff>
    </xdr:to>
    <xdr:pic>
      <xdr:nvPicPr>
        <xdr:cNvPr id="75" name="Picture 5" descr="Weather Icon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2564" b="1709"/>
        <a:stretch>
          <a:fillRect/>
        </a:stretch>
      </xdr:blipFill>
      <xdr:spPr bwMode="auto">
        <a:xfrm>
          <a:off x="63500" y="8588659"/>
          <a:ext cx="1079500" cy="983032"/>
        </a:xfrm>
        <a:prstGeom prst="rect">
          <a:avLst/>
        </a:prstGeom>
        <a:noFill/>
      </xdr:spPr>
    </xdr:pic>
    <xdr:clientData/>
  </xdr:twoCellAnchor>
  <xdr:twoCellAnchor>
    <xdr:from>
      <xdr:col>29</xdr:col>
      <xdr:colOff>74916</xdr:colOff>
      <xdr:row>38</xdr:row>
      <xdr:rowOff>66191</xdr:rowOff>
    </xdr:from>
    <xdr:to>
      <xdr:col>33</xdr:col>
      <xdr:colOff>192526</xdr:colOff>
      <xdr:row>44</xdr:row>
      <xdr:rowOff>91197</xdr:rowOff>
    </xdr:to>
    <xdr:pic>
      <xdr:nvPicPr>
        <xdr:cNvPr id="76" name="Picture 6" descr="Weather Icon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34382" y="10458073"/>
          <a:ext cx="1369773" cy="988208"/>
        </a:xfrm>
        <a:prstGeom prst="rect">
          <a:avLst/>
        </a:prstGeom>
        <a:noFill/>
      </xdr:spPr>
    </xdr:pic>
    <xdr:clientData/>
  </xdr:twoCellAnchor>
  <xdr:twoCellAnchor>
    <xdr:from>
      <xdr:col>45</xdr:col>
      <xdr:colOff>243191</xdr:colOff>
      <xdr:row>37</xdr:row>
      <xdr:rowOff>95006</xdr:rowOff>
    </xdr:from>
    <xdr:to>
      <xdr:col>50</xdr:col>
      <xdr:colOff>374920</xdr:colOff>
      <xdr:row>43</xdr:row>
      <xdr:rowOff>152193</xdr:rowOff>
    </xdr:to>
    <xdr:pic>
      <xdr:nvPicPr>
        <xdr:cNvPr id="78" name="Picture 9" descr="Weather Icon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89468" y="11717533"/>
          <a:ext cx="1398351" cy="102995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60</xdr:row>
      <xdr:rowOff>102100</xdr:rowOff>
    </xdr:from>
    <xdr:to>
      <xdr:col>4</xdr:col>
      <xdr:colOff>105784</xdr:colOff>
      <xdr:row>64</xdr:row>
      <xdr:rowOff>114501</xdr:rowOff>
    </xdr:to>
    <xdr:pic>
      <xdr:nvPicPr>
        <xdr:cNvPr id="79" name="Picture 12" descr="Weather Icon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9355" b="15054"/>
        <a:stretch>
          <a:fillRect/>
        </a:stretch>
      </xdr:blipFill>
      <xdr:spPr bwMode="auto">
        <a:xfrm>
          <a:off x="0" y="15494095"/>
          <a:ext cx="1007619" cy="660911"/>
        </a:xfrm>
        <a:prstGeom prst="rect">
          <a:avLst/>
        </a:prstGeom>
        <a:noFill/>
      </xdr:spPr>
    </xdr:pic>
    <xdr:clientData/>
  </xdr:twoCellAnchor>
  <xdr:twoCellAnchor>
    <xdr:from>
      <xdr:col>39</xdr:col>
      <xdr:colOff>222925</xdr:colOff>
      <xdr:row>37</xdr:row>
      <xdr:rowOff>45370</xdr:rowOff>
    </xdr:from>
    <xdr:to>
      <xdr:col>45</xdr:col>
      <xdr:colOff>172260</xdr:colOff>
      <xdr:row>44</xdr:row>
      <xdr:rowOff>130238</xdr:rowOff>
    </xdr:to>
    <xdr:pic>
      <xdr:nvPicPr>
        <xdr:cNvPr id="80" name="Picture 13" descr="Weather Icon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10053" y="11667897"/>
          <a:ext cx="1408484" cy="1219761"/>
        </a:xfrm>
        <a:prstGeom prst="rect">
          <a:avLst/>
        </a:prstGeom>
        <a:noFill/>
      </xdr:spPr>
    </xdr:pic>
    <xdr:clientData/>
  </xdr:twoCellAnchor>
  <xdr:twoCellAnchor>
    <xdr:from>
      <xdr:col>34</xdr:col>
      <xdr:colOff>117724</xdr:colOff>
      <xdr:row>37</xdr:row>
      <xdr:rowOff>22571</xdr:rowOff>
    </xdr:from>
    <xdr:to>
      <xdr:col>39</xdr:col>
      <xdr:colOff>192528</xdr:colOff>
      <xdr:row>45</xdr:row>
      <xdr:rowOff>11345</xdr:rowOff>
    </xdr:to>
    <xdr:pic>
      <xdr:nvPicPr>
        <xdr:cNvPr id="81" name="Picture 14" descr="Weather Icon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07612" y="10253919"/>
          <a:ext cx="1294860" cy="1273044"/>
        </a:xfrm>
        <a:prstGeom prst="rect">
          <a:avLst/>
        </a:prstGeom>
        <a:noFill/>
      </xdr:spPr>
    </xdr:pic>
    <xdr:clientData/>
  </xdr:twoCellAnchor>
  <xdr:twoCellAnchor>
    <xdr:from>
      <xdr:col>41</xdr:col>
      <xdr:colOff>146879</xdr:colOff>
      <xdr:row>28</xdr:row>
      <xdr:rowOff>75458</xdr:rowOff>
    </xdr:from>
    <xdr:to>
      <xdr:col>46</xdr:col>
      <xdr:colOff>172260</xdr:colOff>
      <xdr:row>35</xdr:row>
      <xdr:rowOff>57213</xdr:rowOff>
    </xdr:to>
    <xdr:pic>
      <xdr:nvPicPr>
        <xdr:cNvPr id="82" name="Picture 15" descr="Weather Icon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376" t="5376" r="6452" b="17204"/>
        <a:stretch>
          <a:fillRect/>
        </a:stretch>
      </xdr:blipFill>
      <xdr:spPr bwMode="auto">
        <a:xfrm>
          <a:off x="10401453" y="10238836"/>
          <a:ext cx="1271738" cy="1116648"/>
        </a:xfrm>
        <a:prstGeom prst="rect">
          <a:avLst/>
        </a:prstGeom>
        <a:noFill/>
      </xdr:spPr>
    </xdr:pic>
    <xdr:clientData/>
  </xdr:twoCellAnchor>
  <xdr:twoCellAnchor>
    <xdr:from>
      <xdr:col>48</xdr:col>
      <xdr:colOff>31750</xdr:colOff>
      <xdr:row>38</xdr:row>
      <xdr:rowOff>42333</xdr:rowOff>
    </xdr:from>
    <xdr:to>
      <xdr:col>53</xdr:col>
      <xdr:colOff>412750</xdr:colOff>
      <xdr:row>44</xdr:row>
      <xdr:rowOff>103132</xdr:rowOff>
    </xdr:to>
    <xdr:pic>
      <xdr:nvPicPr>
        <xdr:cNvPr id="84" name="Picture 18" descr="Weather Icon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25917" y="10350500"/>
          <a:ext cx="1492250" cy="10132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50664</xdr:colOff>
      <xdr:row>48</xdr:row>
      <xdr:rowOff>151994</xdr:rowOff>
    </xdr:from>
    <xdr:to>
      <xdr:col>8</xdr:col>
      <xdr:colOff>0</xdr:colOff>
      <xdr:row>52</xdr:row>
      <xdr:rowOff>60798</xdr:rowOff>
    </xdr:to>
    <xdr:grpSp>
      <xdr:nvGrpSpPr>
        <xdr:cNvPr id="85" name="Group 27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>
          <a:grpSpLocks noChangeAspect="1"/>
        </xdr:cNvGrpSpPr>
      </xdr:nvGrpSpPr>
      <xdr:grpSpPr>
        <a:xfrm>
          <a:off x="92997" y="12360927"/>
          <a:ext cx="1744270" cy="586138"/>
          <a:chOff x="2718199" y="12550256"/>
          <a:chExt cx="2701685" cy="784744"/>
        </a:xfrm>
      </xdr:grpSpPr>
      <xdr:pic>
        <xdr:nvPicPr>
          <xdr:cNvPr id="131" name="Picture 12" descr="Weather Icon">
            <a:extLst>
              <a:ext uri="{FF2B5EF4-FFF2-40B4-BE49-F238E27FC236}">
                <a16:creationId xmlns:a16="http://schemas.microsoft.com/office/drawing/2014/main" id="{00000000-0008-0000-0100-00008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7318" t="19355" r="8871" b="15054"/>
          <a:stretch>
            <a:fillRect/>
          </a:stretch>
        </xdr:blipFill>
        <xdr:spPr bwMode="auto">
          <a:xfrm>
            <a:off x="2721631" y="12639675"/>
            <a:ext cx="2698253" cy="695325"/>
          </a:xfrm>
          <a:prstGeom prst="rect">
            <a:avLst/>
          </a:prstGeom>
          <a:noFill/>
        </xdr:spPr>
      </xdr:pic>
      <xdr:pic>
        <xdr:nvPicPr>
          <xdr:cNvPr id="132" name="Picture 12" descr="Weather Icon">
            <a:extLst>
              <a:ext uri="{FF2B5EF4-FFF2-40B4-BE49-F238E27FC236}">
                <a16:creationId xmlns:a16="http://schemas.microsoft.com/office/drawing/2014/main" id="{00000000-0008-0000-0100-00008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10000" contrast="-30000"/>
          </a:blip>
          <a:srcRect l="9298" t="19355" r="8716" b="13340"/>
          <a:stretch>
            <a:fillRect/>
          </a:stretch>
        </xdr:blipFill>
        <xdr:spPr bwMode="auto">
          <a:xfrm rot="10800000">
            <a:off x="2718199" y="12550256"/>
            <a:ext cx="2701683" cy="65139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218580</xdr:colOff>
      <xdr:row>61</xdr:row>
      <xdr:rowOff>20351</xdr:rowOff>
    </xdr:from>
    <xdr:to>
      <xdr:col>13</xdr:col>
      <xdr:colOff>293070</xdr:colOff>
      <xdr:row>65</xdr:row>
      <xdr:rowOff>95944</xdr:rowOff>
    </xdr:to>
    <xdr:grpSp>
      <xdr:nvGrpSpPr>
        <xdr:cNvPr id="86" name="Group 27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 noChangeAspect="1"/>
        </xdr:cNvGrpSpPr>
      </xdr:nvGrpSpPr>
      <xdr:grpSpPr>
        <a:xfrm>
          <a:off x="1471647" y="14456018"/>
          <a:ext cx="2150516" cy="752926"/>
          <a:chOff x="8772525" y="9658349"/>
          <a:chExt cx="2276475" cy="724104"/>
        </a:xfrm>
      </xdr:grpSpPr>
      <xdr:pic>
        <xdr:nvPicPr>
          <xdr:cNvPr id="128" name="Picture 12" descr="Weather Icon">
            <a:extLst>
              <a:ext uri="{FF2B5EF4-FFF2-40B4-BE49-F238E27FC236}">
                <a16:creationId xmlns:a16="http://schemas.microsoft.com/office/drawing/2014/main" id="{00000000-0008-0000-0100-00008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40000" contrast="-40000"/>
          </a:blip>
          <a:srcRect t="19355" b="15054"/>
          <a:stretch>
            <a:fillRect/>
          </a:stretch>
        </xdr:blipFill>
        <xdr:spPr bwMode="auto">
          <a:xfrm rot="10800000">
            <a:off x="8772525" y="9725024"/>
            <a:ext cx="2276475" cy="609802"/>
          </a:xfrm>
          <a:prstGeom prst="rect">
            <a:avLst/>
          </a:prstGeom>
          <a:noFill/>
        </xdr:spPr>
      </xdr:pic>
      <xdr:pic>
        <xdr:nvPicPr>
          <xdr:cNvPr id="129" name="Picture 12" descr="Weather Icon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9115426" y="9658349"/>
            <a:ext cx="895350" cy="562177"/>
          </a:xfrm>
          <a:prstGeom prst="rect">
            <a:avLst/>
          </a:prstGeom>
          <a:noFill/>
        </xdr:spPr>
      </xdr:pic>
      <xdr:pic>
        <xdr:nvPicPr>
          <xdr:cNvPr id="130" name="Picture 12" descr="Weather Icon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/>
          </a:blip>
          <a:srcRect t="19355" b="15054"/>
          <a:stretch>
            <a:fillRect/>
          </a:stretch>
        </xdr:blipFill>
        <xdr:spPr bwMode="auto">
          <a:xfrm>
            <a:off x="8810625" y="9848850"/>
            <a:ext cx="2200275" cy="533603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23</xdr:col>
      <xdr:colOff>42809</xdr:colOff>
      <xdr:row>39</xdr:row>
      <xdr:rowOff>101342</xdr:rowOff>
    </xdr:from>
    <xdr:to>
      <xdr:col>27</xdr:col>
      <xdr:colOff>121597</xdr:colOff>
      <xdr:row>44</xdr:row>
      <xdr:rowOff>25330</xdr:rowOff>
    </xdr:to>
    <xdr:pic>
      <xdr:nvPicPr>
        <xdr:cNvPr id="89" name="Picture 20" descr="Weather Icon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14663" y="10653758"/>
          <a:ext cx="1245333" cy="726656"/>
        </a:xfrm>
        <a:prstGeom prst="rect">
          <a:avLst/>
        </a:prstGeom>
        <a:noFill/>
      </xdr:spPr>
    </xdr:pic>
    <xdr:clientData/>
  </xdr:twoCellAnchor>
  <xdr:twoCellAnchor>
    <xdr:from>
      <xdr:col>48</xdr:col>
      <xdr:colOff>18938</xdr:colOff>
      <xdr:row>28</xdr:row>
      <xdr:rowOff>121595</xdr:rowOff>
    </xdr:from>
    <xdr:to>
      <xdr:col>51</xdr:col>
      <xdr:colOff>229618</xdr:colOff>
      <xdr:row>34</xdr:row>
      <xdr:rowOff>129356</xdr:rowOff>
    </xdr:to>
    <xdr:pic>
      <xdr:nvPicPr>
        <xdr:cNvPr id="91" name="Picture 17" descr="Weather Icon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564" t="5769" r="3846" b="19872"/>
        <a:stretch>
          <a:fillRect/>
        </a:stretch>
      </xdr:blipFill>
      <xdr:spPr bwMode="auto">
        <a:xfrm>
          <a:off x="12016385" y="10284973"/>
          <a:ext cx="1234111" cy="980527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164134</xdr:colOff>
      <xdr:row>61</xdr:row>
      <xdr:rowOff>67901</xdr:rowOff>
    </xdr:from>
    <xdr:to>
      <xdr:col>20</xdr:col>
      <xdr:colOff>310364</xdr:colOff>
      <xdr:row>65</xdr:row>
      <xdr:rowOff>147204</xdr:rowOff>
    </xdr:to>
    <xdr:grpSp>
      <xdr:nvGrpSpPr>
        <xdr:cNvPr id="92" name="Group 296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821734" y="14503568"/>
          <a:ext cx="1615197" cy="756636"/>
          <a:chOff x="3838577" y="11113994"/>
          <a:chExt cx="1409700" cy="687480"/>
        </a:xfrm>
      </xdr:grpSpPr>
      <xdr:pic>
        <xdr:nvPicPr>
          <xdr:cNvPr id="116" name="Picture 6" descr="Weather Icon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3917175" y="11161618"/>
            <a:ext cx="573512" cy="629399"/>
          </a:xfrm>
          <a:prstGeom prst="rect">
            <a:avLst/>
          </a:prstGeom>
          <a:noFill/>
        </xdr:spPr>
      </xdr:pic>
      <xdr:pic>
        <xdr:nvPicPr>
          <xdr:cNvPr id="117" name="Picture 6" descr="Weather Icon">
            <a:extLst>
              <a:ext uri="{FF2B5EF4-FFF2-40B4-BE49-F238E27FC236}">
                <a16:creationId xmlns:a16="http://schemas.microsoft.com/office/drawing/2014/main" id="{00000000-0008-0000-01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4239776" y="11113994"/>
            <a:ext cx="573512" cy="639389"/>
          </a:xfrm>
          <a:prstGeom prst="rect">
            <a:avLst/>
          </a:prstGeom>
          <a:noFill/>
        </xdr:spPr>
      </xdr:pic>
      <xdr:pic>
        <xdr:nvPicPr>
          <xdr:cNvPr id="118" name="Picture 6" descr="Weather Icon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b="28885"/>
          <a:stretch>
            <a:fillRect/>
          </a:stretch>
        </xdr:blipFill>
        <xdr:spPr bwMode="auto">
          <a:xfrm>
            <a:off x="4589260" y="11162085"/>
            <a:ext cx="573512" cy="639389"/>
          </a:xfrm>
          <a:prstGeom prst="rect">
            <a:avLst/>
          </a:prstGeom>
          <a:noFill/>
        </xdr:spPr>
      </xdr:pic>
      <xdr:pic>
        <xdr:nvPicPr>
          <xdr:cNvPr id="119" name="Picture 12" descr="Weather Icon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3838577" y="11372817"/>
            <a:ext cx="1409700" cy="30217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31300</xdr:colOff>
      <xdr:row>36</xdr:row>
      <xdr:rowOff>74083</xdr:rowOff>
    </xdr:from>
    <xdr:to>
      <xdr:col>4</xdr:col>
      <xdr:colOff>306917</xdr:colOff>
      <xdr:row>45</xdr:row>
      <xdr:rowOff>81064</xdr:rowOff>
    </xdr:to>
    <xdr:grpSp>
      <xdr:nvGrpSpPr>
        <xdr:cNvPr id="93" name="Group 35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pSpPr>
          <a:grpSpLocks noChangeAspect="1"/>
        </xdr:cNvGrpSpPr>
      </xdr:nvGrpSpPr>
      <xdr:grpSpPr>
        <a:xfrm>
          <a:off x="73633" y="10251016"/>
          <a:ext cx="1139217" cy="1530981"/>
          <a:chOff x="7705725" y="11065461"/>
          <a:chExt cx="1343025" cy="1898065"/>
        </a:xfrm>
      </xdr:grpSpPr>
      <xdr:pic>
        <xdr:nvPicPr>
          <xdr:cNvPr id="114" name="Picture 12" descr="Weather Icon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115" name="Picture 16" descr="Weather Icon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52916</xdr:colOff>
      <xdr:row>65</xdr:row>
      <xdr:rowOff>157892</xdr:rowOff>
    </xdr:from>
    <xdr:to>
      <xdr:col>4</xdr:col>
      <xdr:colOff>36906</xdr:colOff>
      <xdr:row>71</xdr:row>
      <xdr:rowOff>55076</xdr:rowOff>
    </xdr:to>
    <xdr:pic>
      <xdr:nvPicPr>
        <xdr:cNvPr id="94" name="Picture 1" descr="Weather Icon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916" y="1636052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111687</xdr:colOff>
      <xdr:row>65</xdr:row>
      <xdr:rowOff>157892</xdr:rowOff>
    </xdr:from>
    <xdr:to>
      <xdr:col>9</xdr:col>
      <xdr:colOff>36996</xdr:colOff>
      <xdr:row>71</xdr:row>
      <xdr:rowOff>55076</xdr:rowOff>
    </xdr:to>
    <xdr:pic>
      <xdr:nvPicPr>
        <xdr:cNvPr id="95" name="Picture 2" descr="Weather Icon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5916" y="1636052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144113</xdr:colOff>
      <xdr:row>65</xdr:row>
      <xdr:rowOff>157892</xdr:rowOff>
    </xdr:from>
    <xdr:to>
      <xdr:col>13</xdr:col>
      <xdr:colOff>178768</xdr:colOff>
      <xdr:row>71</xdr:row>
      <xdr:rowOff>55076</xdr:rowOff>
    </xdr:to>
    <xdr:pic>
      <xdr:nvPicPr>
        <xdr:cNvPr id="96" name="Picture 3" descr="Weather Icon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34166" y="1636052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15</xdr:col>
      <xdr:colOff>30623</xdr:colOff>
      <xdr:row>66</xdr:row>
      <xdr:rowOff>154514</xdr:rowOff>
    </xdr:from>
    <xdr:to>
      <xdr:col>18</xdr:col>
      <xdr:colOff>77528</xdr:colOff>
      <xdr:row>72</xdr:row>
      <xdr:rowOff>51698</xdr:rowOff>
    </xdr:to>
    <xdr:pic>
      <xdr:nvPicPr>
        <xdr:cNvPr id="97" name="Picture 4" descr="Weather Icon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77166" y="1651927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19</xdr:col>
      <xdr:colOff>245443</xdr:colOff>
      <xdr:row>66</xdr:row>
      <xdr:rowOff>154514</xdr:rowOff>
    </xdr:from>
    <xdr:to>
      <xdr:col>23</xdr:col>
      <xdr:colOff>168635</xdr:colOff>
      <xdr:row>72</xdr:row>
      <xdr:rowOff>51698</xdr:rowOff>
    </xdr:to>
    <xdr:pic>
      <xdr:nvPicPr>
        <xdr:cNvPr id="98" name="Picture 5" descr="Weather Icon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15416" y="16519275"/>
          <a:ext cx="885825" cy="869950"/>
        </a:xfrm>
        <a:prstGeom prst="rect">
          <a:avLst/>
        </a:prstGeom>
        <a:noFill/>
      </xdr:spPr>
    </xdr:pic>
    <xdr:clientData/>
  </xdr:twoCellAnchor>
  <xdr:twoCellAnchor>
    <xdr:from>
      <xdr:col>24</xdr:col>
      <xdr:colOff>182618</xdr:colOff>
      <xdr:row>67</xdr:row>
      <xdr:rowOff>151137</xdr:rowOff>
    </xdr:from>
    <xdr:to>
      <xdr:col>27</xdr:col>
      <xdr:colOff>148459</xdr:colOff>
      <xdr:row>73</xdr:row>
      <xdr:rowOff>48321</xdr:rowOff>
    </xdr:to>
    <xdr:pic>
      <xdr:nvPicPr>
        <xdr:cNvPr id="99" name="Picture 6" descr="Weather Icon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58416" y="16678025"/>
          <a:ext cx="887942" cy="869950"/>
        </a:xfrm>
        <a:prstGeom prst="rect">
          <a:avLst/>
        </a:prstGeom>
        <a:noFill/>
      </xdr:spPr>
    </xdr:pic>
    <xdr:clientData/>
  </xdr:twoCellAnchor>
  <xdr:twoCellAnchor>
    <xdr:from>
      <xdr:col>33</xdr:col>
      <xdr:colOff>51186</xdr:colOff>
      <xdr:row>29</xdr:row>
      <xdr:rowOff>104969</xdr:rowOff>
    </xdr:from>
    <xdr:to>
      <xdr:col>39</xdr:col>
      <xdr:colOff>338666</xdr:colOff>
      <xdr:row>33</xdr:row>
      <xdr:rowOff>129087</xdr:rowOff>
    </xdr:to>
    <xdr:pic>
      <xdr:nvPicPr>
        <xdr:cNvPr id="101" name="Picture 12" descr="Weather Icon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8687186" y="8984386"/>
          <a:ext cx="1779730" cy="659118"/>
        </a:xfrm>
        <a:prstGeom prst="rect">
          <a:avLst/>
        </a:prstGeom>
        <a:noFill/>
      </xdr:spPr>
    </xdr:pic>
    <xdr:clientData/>
  </xdr:twoCellAnchor>
  <xdr:twoCellAnchor>
    <xdr:from>
      <xdr:col>15</xdr:col>
      <xdr:colOff>229231</xdr:colOff>
      <xdr:row>39</xdr:row>
      <xdr:rowOff>91196</xdr:rowOff>
    </xdr:from>
    <xdr:to>
      <xdr:col>22</xdr:col>
      <xdr:colOff>81065</xdr:colOff>
      <xdr:row>43</xdr:row>
      <xdr:rowOff>63808</xdr:rowOff>
    </xdr:to>
    <xdr:grpSp>
      <xdr:nvGrpSpPr>
        <xdr:cNvPr id="102" name="Group 207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pSpPr/>
      </xdr:nvGrpSpPr>
      <xdr:grpSpPr>
        <a:xfrm>
          <a:off x="3886831" y="10776129"/>
          <a:ext cx="1672167" cy="649946"/>
          <a:chOff x="4032250" y="14562667"/>
          <a:chExt cx="1608667" cy="632564"/>
        </a:xfrm>
      </xdr:grpSpPr>
      <xdr:grpSp>
        <xdr:nvGrpSpPr>
          <xdr:cNvPr id="103" name="Group 206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GrpSpPr/>
        </xdr:nvGrpSpPr>
        <xdr:grpSpPr>
          <a:xfrm>
            <a:off x="4146729" y="14700250"/>
            <a:ext cx="1311055" cy="494981"/>
            <a:chOff x="4146729" y="14700250"/>
            <a:chExt cx="1311055" cy="494981"/>
          </a:xfrm>
        </xdr:grpSpPr>
        <xdr:pic>
          <xdr:nvPicPr>
            <xdr:cNvPr id="105" name="Picture 6" descr="Weather Icon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22857" b="28885"/>
            <a:stretch>
              <a:fillRect/>
            </a:stretch>
          </xdr:blipFill>
          <xdr:spPr bwMode="auto">
            <a:xfrm>
              <a:off x="4146729" y="14732000"/>
              <a:ext cx="603651" cy="452160"/>
            </a:xfrm>
            <a:prstGeom prst="rect">
              <a:avLst/>
            </a:prstGeom>
            <a:noFill/>
          </xdr:spPr>
        </xdr:pic>
        <xdr:pic>
          <xdr:nvPicPr>
            <xdr:cNvPr id="106" name="Picture 6" descr="Weather Icon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26685" b="28885"/>
            <a:stretch>
              <a:fillRect/>
            </a:stretch>
          </xdr:blipFill>
          <xdr:spPr bwMode="auto">
            <a:xfrm>
              <a:off x="4486283" y="14721417"/>
              <a:ext cx="603651" cy="422902"/>
            </a:xfrm>
            <a:prstGeom prst="rect">
              <a:avLst/>
            </a:prstGeom>
            <a:noFill/>
          </xdr:spPr>
        </xdr:pic>
        <xdr:pic>
          <xdr:nvPicPr>
            <xdr:cNvPr id="107" name="Picture 6" descr="Weather Icon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t="19112" b="28885"/>
            <a:stretch>
              <a:fillRect/>
            </a:stretch>
          </xdr:blipFill>
          <xdr:spPr bwMode="auto">
            <a:xfrm>
              <a:off x="4854133" y="14700250"/>
              <a:ext cx="603651" cy="494981"/>
            </a:xfrm>
            <a:prstGeom prst="rect">
              <a:avLst/>
            </a:prstGeom>
            <a:noFill/>
          </xdr:spPr>
        </xdr:pic>
      </xdr:grpSp>
      <xdr:pic>
        <xdr:nvPicPr>
          <xdr:cNvPr id="104" name="Picture 12" descr="Weather Icon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-20000" contrast="-10000"/>
          </a:blip>
          <a:srcRect t="19355" b="15054"/>
          <a:stretch>
            <a:fillRect/>
          </a:stretch>
        </xdr:blipFill>
        <xdr:spPr bwMode="auto">
          <a:xfrm>
            <a:off x="4032250" y="14562667"/>
            <a:ext cx="1608667" cy="509242"/>
          </a:xfrm>
          <a:prstGeom prst="rect">
            <a:avLst/>
          </a:prstGeom>
          <a:noFill/>
        </xdr:spPr>
      </xdr:pic>
    </xdr:grpSp>
    <xdr:clientData/>
  </xdr:twoCellAnchor>
  <xdr:oneCellAnchor>
    <xdr:from>
      <xdr:col>19</xdr:col>
      <xdr:colOff>138330</xdr:colOff>
      <xdr:row>51</xdr:row>
      <xdr:rowOff>137840</xdr:rowOff>
    </xdr:from>
    <xdr:ext cx="589883" cy="235245"/>
    <xdr:sp macro="" textlink="">
      <xdr:nvSpPr>
        <xdr:cNvPr id="136" name="Rectangle 326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rrowheads="1"/>
        </xdr:cNvSpPr>
      </xdr:nvSpPr>
      <xdr:spPr bwMode="auto">
        <a:xfrm>
          <a:off x="5146982" y="15099582"/>
          <a:ext cx="589883" cy="23524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101589" tIns="50794" rIns="101589" bIns="50794" anchor="t" upright="1">
          <a:spAutoFit/>
        </a:bodyPr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WINDY</a:t>
          </a:r>
        </a:p>
      </xdr:txBody>
    </xdr:sp>
    <xdr:clientData/>
  </xdr:oneCellAnchor>
  <xdr:twoCellAnchor>
    <xdr:from>
      <xdr:col>5</xdr:col>
      <xdr:colOff>0</xdr:colOff>
      <xdr:row>36</xdr:row>
      <xdr:rowOff>95250</xdr:rowOff>
    </xdr:from>
    <xdr:to>
      <xdr:col>9</xdr:col>
      <xdr:colOff>118129</xdr:colOff>
      <xdr:row>45</xdr:row>
      <xdr:rowOff>91197</xdr:rowOff>
    </xdr:to>
    <xdr:grpSp>
      <xdr:nvGrpSpPr>
        <xdr:cNvPr id="212" name="Group 28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pSpPr>
          <a:grpSpLocks noChangeAspect="1"/>
        </xdr:cNvGrpSpPr>
      </xdr:nvGrpSpPr>
      <xdr:grpSpPr>
        <a:xfrm>
          <a:off x="1253067" y="10272183"/>
          <a:ext cx="1049462" cy="1519947"/>
          <a:chOff x="7362825" y="10753724"/>
          <a:chExt cx="1295403" cy="1571626"/>
        </a:xfrm>
      </xdr:grpSpPr>
      <xdr:pic>
        <xdr:nvPicPr>
          <xdr:cNvPr id="213" name="Picture 12" descr="Weather Icon">
            <a:extLst>
              <a:ext uri="{FF2B5EF4-FFF2-40B4-BE49-F238E27FC236}">
                <a16:creationId xmlns:a16="http://schemas.microsoft.com/office/drawing/2014/main" id="{00000000-0008-0000-0100-0000D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30000"/>
          </a:blip>
          <a:srcRect t="19355" b="15054"/>
          <a:stretch>
            <a:fillRect/>
          </a:stretch>
        </xdr:blipFill>
        <xdr:spPr bwMode="auto">
          <a:xfrm rot="10800000">
            <a:off x="7639052" y="10753724"/>
            <a:ext cx="1019176" cy="1009651"/>
          </a:xfrm>
          <a:prstGeom prst="rect">
            <a:avLst/>
          </a:prstGeom>
          <a:noFill/>
        </xdr:spPr>
      </xdr:pic>
      <xdr:pic>
        <xdr:nvPicPr>
          <xdr:cNvPr id="214" name="Picture 8" descr="Weather Icon">
            <a:extLst>
              <a:ext uri="{FF2B5EF4-FFF2-40B4-BE49-F238E27FC236}">
                <a16:creationId xmlns:a16="http://schemas.microsoft.com/office/drawing/2014/main" id="{00000000-0008-0000-0100-0000D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7362825" y="11027588"/>
            <a:ext cx="1209678" cy="1297762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9</xdr:col>
      <xdr:colOff>233058</xdr:colOff>
      <xdr:row>37</xdr:row>
      <xdr:rowOff>111462</xdr:rowOff>
    </xdr:from>
    <xdr:to>
      <xdr:col>15</xdr:col>
      <xdr:colOff>73775</xdr:colOff>
      <xdr:row>45</xdr:row>
      <xdr:rowOff>10131</xdr:rowOff>
    </xdr:to>
    <xdr:pic>
      <xdr:nvPicPr>
        <xdr:cNvPr id="216" name="Picture 10" descr="Weather Icon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2148" b="3030"/>
        <a:stretch>
          <a:fillRect/>
        </a:stretch>
      </xdr:blipFill>
      <xdr:spPr bwMode="auto">
        <a:xfrm>
          <a:off x="2279920" y="11733989"/>
          <a:ext cx="1357819" cy="1195691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107023</xdr:colOff>
      <xdr:row>49</xdr:row>
      <xdr:rowOff>64213</xdr:rowOff>
    </xdr:from>
    <xdr:to>
      <xdr:col>17</xdr:col>
      <xdr:colOff>174887</xdr:colOff>
      <xdr:row>50</xdr:row>
      <xdr:rowOff>54877</xdr:rowOff>
    </xdr:to>
    <xdr:grpSp>
      <xdr:nvGrpSpPr>
        <xdr:cNvPr id="224" name="Group 288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pSpPr>
          <a:grpSpLocks noChangeAspect="1"/>
        </xdr:cNvGrpSpPr>
      </xdr:nvGrpSpPr>
      <xdr:grpSpPr>
        <a:xfrm>
          <a:off x="2833290" y="12442480"/>
          <a:ext cx="1617264" cy="159997"/>
          <a:chOff x="2514601" y="13315950"/>
          <a:chExt cx="2771773" cy="180975"/>
        </a:xfrm>
      </xdr:grpSpPr>
      <xdr:grpSp>
        <xdr:nvGrpSpPr>
          <xdr:cNvPr id="225" name="Group 177">
            <a:extLst>
              <a:ext uri="{FF2B5EF4-FFF2-40B4-BE49-F238E27FC236}">
                <a16:creationId xmlns:a16="http://schemas.microsoft.com/office/drawing/2014/main" id="{00000000-0008-0000-0100-0000E1000000}"/>
              </a:ext>
            </a:extLst>
          </xdr:cNvPr>
          <xdr:cNvGrpSpPr/>
        </xdr:nvGrpSpPr>
        <xdr:grpSpPr>
          <a:xfrm>
            <a:off x="2514601" y="13315950"/>
            <a:ext cx="1790700" cy="171449"/>
            <a:chOff x="2600325" y="13325475"/>
            <a:chExt cx="2647950" cy="314325"/>
          </a:xfrm>
        </xdr:grpSpPr>
        <xdr:pic>
          <xdr:nvPicPr>
            <xdr:cNvPr id="229" name="Picture 12" descr="Weather Icon">
              <a:extLst>
                <a:ext uri="{FF2B5EF4-FFF2-40B4-BE49-F238E27FC236}">
                  <a16:creationId xmlns:a16="http://schemas.microsoft.com/office/drawing/2014/main" id="{00000000-0008-0000-0100-0000E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30" name="Picture 12" descr="Weather Icon">
              <a:extLst>
                <a:ext uri="{FF2B5EF4-FFF2-40B4-BE49-F238E27FC236}">
                  <a16:creationId xmlns:a16="http://schemas.microsoft.com/office/drawing/2014/main" id="{00000000-0008-0000-0100-0000E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  <xdr:grpSp>
        <xdr:nvGrpSpPr>
          <xdr:cNvPr id="226" name="Group 178">
            <a:extLst>
              <a:ext uri="{FF2B5EF4-FFF2-40B4-BE49-F238E27FC236}">
                <a16:creationId xmlns:a16="http://schemas.microsoft.com/office/drawing/2014/main" id="{00000000-0008-0000-0100-0000E2000000}"/>
              </a:ext>
            </a:extLst>
          </xdr:cNvPr>
          <xdr:cNvGrpSpPr/>
        </xdr:nvGrpSpPr>
        <xdr:grpSpPr>
          <a:xfrm rot="10800000">
            <a:off x="4543425" y="13344525"/>
            <a:ext cx="742949" cy="152400"/>
            <a:chOff x="2600325" y="13325475"/>
            <a:chExt cx="2647950" cy="314325"/>
          </a:xfrm>
        </xdr:grpSpPr>
        <xdr:pic>
          <xdr:nvPicPr>
            <xdr:cNvPr id="227" name="Picture 12" descr="Weather Icon">
              <a:extLst>
                <a:ext uri="{FF2B5EF4-FFF2-40B4-BE49-F238E27FC236}">
                  <a16:creationId xmlns:a16="http://schemas.microsoft.com/office/drawing/2014/main" id="{00000000-0008-0000-0100-0000E3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2059" t="9471" r="470" b="34820"/>
            <a:stretch>
              <a:fillRect/>
            </a:stretch>
          </xdr:blipFill>
          <xdr:spPr bwMode="auto">
            <a:xfrm>
              <a:off x="2600325" y="13344525"/>
              <a:ext cx="2647950" cy="295275"/>
            </a:xfrm>
            <a:prstGeom prst="rect">
              <a:avLst/>
            </a:prstGeom>
            <a:noFill/>
          </xdr:spPr>
        </xdr:pic>
        <xdr:pic>
          <xdr:nvPicPr>
            <xdr:cNvPr id="228" name="Picture 12" descr="Weather Icon">
              <a:extLst>
                <a:ext uri="{FF2B5EF4-FFF2-40B4-BE49-F238E27FC236}">
                  <a16:creationId xmlns:a16="http://schemas.microsoft.com/office/drawing/2014/main" id="{00000000-0008-0000-0100-0000E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lum bright="10000" contrast="-30000"/>
            </a:blip>
            <a:srcRect l="3455" t="43109" r="4219" b="15320"/>
            <a:stretch>
              <a:fillRect/>
            </a:stretch>
          </xdr:blipFill>
          <xdr:spPr bwMode="auto">
            <a:xfrm rot="10800000">
              <a:off x="2676524" y="13325475"/>
              <a:ext cx="2552700" cy="200024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>
    <xdr:from>
      <xdr:col>18</xdr:col>
      <xdr:colOff>288960</xdr:colOff>
      <xdr:row>48</xdr:row>
      <xdr:rowOff>21404</xdr:rowOff>
    </xdr:from>
    <xdr:to>
      <xdr:col>23</xdr:col>
      <xdr:colOff>42808</xdr:colOff>
      <xdr:row>50</xdr:row>
      <xdr:rowOff>101157</xdr:rowOff>
    </xdr:to>
    <xdr:grpSp>
      <xdr:nvGrpSpPr>
        <xdr:cNvPr id="238" name="Group 195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pSpPr/>
      </xdr:nvGrpSpPr>
      <xdr:grpSpPr>
        <a:xfrm>
          <a:off x="4835560" y="12230337"/>
          <a:ext cx="1032315" cy="418420"/>
          <a:chOff x="4974167" y="13292667"/>
          <a:chExt cx="1167530" cy="508260"/>
        </a:xfrm>
      </xdr:grpSpPr>
      <xdr:grpSp>
        <xdr:nvGrpSpPr>
          <xdr:cNvPr id="239" name="Group 186">
            <a:extLst>
              <a:ext uri="{FF2B5EF4-FFF2-40B4-BE49-F238E27FC236}">
                <a16:creationId xmlns:a16="http://schemas.microsoft.com/office/drawing/2014/main" id="{00000000-0008-0000-0100-0000EF000000}"/>
              </a:ext>
            </a:extLst>
          </xdr:cNvPr>
          <xdr:cNvGrpSpPr/>
        </xdr:nvGrpSpPr>
        <xdr:grpSpPr>
          <a:xfrm>
            <a:off x="4974167" y="13366749"/>
            <a:ext cx="1121825" cy="434178"/>
            <a:chOff x="7866980" y="13557248"/>
            <a:chExt cx="1234679" cy="434178"/>
          </a:xfrm>
        </xdr:grpSpPr>
        <xdr:sp macro="" textlink="">
          <xdr:nvSpPr>
            <xdr:cNvPr id="241" name="Freeform 240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SpPr/>
          </xdr:nvSpPr>
          <xdr:spPr bwMode="auto">
            <a:xfrm rot="12056348">
              <a:off x="8128962" y="13777219"/>
              <a:ext cx="941508" cy="214207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2" name="Freeform 241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/>
          </xdr:nvSpPr>
          <xdr:spPr bwMode="auto">
            <a:xfrm>
              <a:off x="8104718" y="13694838"/>
              <a:ext cx="973666" cy="5080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3" name="Freeform 242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/>
          </xdr:nvSpPr>
          <xdr:spPr bwMode="auto">
            <a:xfrm rot="21256648" flipV="1">
              <a:off x="7866980" y="13749472"/>
              <a:ext cx="999296" cy="101269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587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sp macro="" textlink="">
          <xdr:nvSpPr>
            <xdr:cNvPr id="244" name="Freeform 243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SpPr/>
          </xdr:nvSpPr>
          <xdr:spPr bwMode="auto">
            <a:xfrm>
              <a:off x="8191493" y="13557248"/>
              <a:ext cx="910166" cy="158750"/>
            </a:xfrm>
            <a:custGeom>
              <a:avLst/>
              <a:gdLst>
                <a:gd name="connsiteX0" fmla="*/ 0 w 687916"/>
                <a:gd name="connsiteY0" fmla="*/ 127000 h 127000"/>
                <a:gd name="connsiteX1" fmla="*/ 338666 w 687916"/>
                <a:gd name="connsiteY1" fmla="*/ 95250 h 127000"/>
                <a:gd name="connsiteX2" fmla="*/ 624416 w 687916"/>
                <a:gd name="connsiteY2" fmla="*/ 21166 h 127000"/>
                <a:gd name="connsiteX3" fmla="*/ 687916 w 687916"/>
                <a:gd name="connsiteY3" fmla="*/ 0 h 127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87916" h="127000">
                  <a:moveTo>
                    <a:pt x="0" y="127000"/>
                  </a:moveTo>
                  <a:cubicBezTo>
                    <a:pt x="117298" y="119944"/>
                    <a:pt x="234597" y="112889"/>
                    <a:pt x="338666" y="95250"/>
                  </a:cubicBezTo>
                  <a:cubicBezTo>
                    <a:pt x="442735" y="77611"/>
                    <a:pt x="566208" y="37041"/>
                    <a:pt x="624416" y="21166"/>
                  </a:cubicBezTo>
                  <a:cubicBezTo>
                    <a:pt x="682624" y="5291"/>
                    <a:pt x="685270" y="2645"/>
                    <a:pt x="687916" y="0"/>
                  </a:cubicBezTo>
                </a:path>
              </a:pathLst>
            </a:custGeom>
            <a:solidFill>
              <a:srgbClr val="FFFFFF"/>
            </a:solidFill>
            <a:ln w="1270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</xdr:grpSp>
      <xdr:pic>
        <xdr:nvPicPr>
          <xdr:cNvPr id="240" name="Picture 8" descr="http://cdn1.iconfinder.com/data/icons/iconsland-weather/PNG/256x256/Wind_Flag_Storm.png">
            <a:extLst>
              <a:ext uri="{FF2B5EF4-FFF2-40B4-BE49-F238E27FC236}">
                <a16:creationId xmlns:a16="http://schemas.microsoft.com/office/drawing/2014/main" id="{00000000-0008-0000-0100-0000F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5630333" y="13292667"/>
            <a:ext cx="511364" cy="50270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</xdr:col>
      <xdr:colOff>64212</xdr:colOff>
      <xdr:row>72</xdr:row>
      <xdr:rowOff>128427</xdr:rowOff>
    </xdr:from>
    <xdr:to>
      <xdr:col>8</xdr:col>
      <xdr:colOff>146272</xdr:colOff>
      <xdr:row>77</xdr:row>
      <xdr:rowOff>146408</xdr:rowOff>
    </xdr:to>
    <xdr:pic>
      <xdr:nvPicPr>
        <xdr:cNvPr id="245" name="Picture 7" descr="Weather Icon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20427" b="20387"/>
        <a:stretch>
          <a:fillRect/>
        </a:stretch>
      </xdr:blipFill>
      <xdr:spPr bwMode="auto">
        <a:xfrm>
          <a:off x="481600" y="18215225"/>
          <a:ext cx="1569672" cy="820649"/>
        </a:xfrm>
        <a:prstGeom prst="rect">
          <a:avLst/>
        </a:prstGeom>
        <a:noFill/>
      </xdr:spPr>
    </xdr:pic>
    <xdr:clientData/>
  </xdr:twoCellAnchor>
  <xdr:twoCellAnchor>
    <xdr:from>
      <xdr:col>23</xdr:col>
      <xdr:colOff>232833</xdr:colOff>
      <xdr:row>31</xdr:row>
      <xdr:rowOff>152983</xdr:rowOff>
    </xdr:from>
    <xdr:to>
      <xdr:col>30</xdr:col>
      <xdr:colOff>49710</xdr:colOff>
      <xdr:row>37</xdr:row>
      <xdr:rowOff>28843</xdr:rowOff>
    </xdr:to>
    <xdr:pic>
      <xdr:nvPicPr>
        <xdr:cNvPr id="246" name="Picture 11" descr="Weather Icon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6148916" y="9349900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212000</xdr:colOff>
      <xdr:row>31</xdr:row>
      <xdr:rowOff>21166</xdr:rowOff>
    </xdr:from>
    <xdr:to>
      <xdr:col>23</xdr:col>
      <xdr:colOff>875</xdr:colOff>
      <xdr:row>36</xdr:row>
      <xdr:rowOff>151789</xdr:rowOff>
    </xdr:to>
    <xdr:grpSp>
      <xdr:nvGrpSpPr>
        <xdr:cNvPr id="247" name="Group 272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pSpPr>
          <a:grpSpLocks noChangeAspect="1"/>
        </xdr:cNvGrpSpPr>
      </xdr:nvGrpSpPr>
      <xdr:grpSpPr>
        <a:xfrm>
          <a:off x="4216733" y="9351433"/>
          <a:ext cx="1609209" cy="977289"/>
          <a:chOff x="0" y="10601381"/>
          <a:chExt cx="1600200" cy="1009594"/>
        </a:xfrm>
      </xdr:grpSpPr>
      <xdr:pic>
        <xdr:nvPicPr>
          <xdr:cNvPr id="248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0" y="10601381"/>
            <a:ext cx="1600200" cy="1009594"/>
          </a:xfrm>
          <a:prstGeom prst="rect">
            <a:avLst/>
          </a:prstGeom>
          <a:noFill/>
        </xdr:spPr>
      </xdr:pic>
      <xdr:pic>
        <xdr:nvPicPr>
          <xdr:cNvPr id="249" name="Picture 12" descr="Weather Icon"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123826" y="10915647"/>
            <a:ext cx="590549" cy="657225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10581</xdr:colOff>
      <xdr:row>1</xdr:row>
      <xdr:rowOff>10582</xdr:rowOff>
    </xdr:from>
    <xdr:to>
      <xdr:col>4</xdr:col>
      <xdr:colOff>272668</xdr:colOff>
      <xdr:row>3</xdr:row>
      <xdr:rowOff>342472</xdr:rowOff>
    </xdr:to>
    <xdr:pic>
      <xdr:nvPicPr>
        <xdr:cNvPr id="146" name="Picture 145" descr="afg_021220_032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lum contrast="12000"/>
        </a:blip>
        <a:srcRect/>
        <a:stretch>
          <a:fillRect/>
        </a:stretch>
      </xdr:blipFill>
      <xdr:spPr bwMode="auto">
        <a:xfrm>
          <a:off x="64092" y="64093"/>
          <a:ext cx="1139909" cy="1134559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>
    <xdr:from>
      <xdr:col>41</xdr:col>
      <xdr:colOff>226470</xdr:colOff>
      <xdr:row>3</xdr:row>
      <xdr:rowOff>2403</xdr:rowOff>
    </xdr:from>
    <xdr:to>
      <xdr:col>45</xdr:col>
      <xdr:colOff>26542</xdr:colOff>
      <xdr:row>3</xdr:row>
      <xdr:rowOff>352792</xdr:rowOff>
    </xdr:to>
    <xdr:grpSp>
      <xdr:nvGrpSpPr>
        <xdr:cNvPr id="298" name="Group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pSpPr/>
      </xdr:nvGrpSpPr>
      <xdr:grpSpPr>
        <a:xfrm>
          <a:off x="10852137" y="866003"/>
          <a:ext cx="731405" cy="350389"/>
          <a:chOff x="11057144" y="861316"/>
          <a:chExt cx="752572" cy="347656"/>
        </a:xfrm>
      </xdr:grpSpPr>
      <xdr:grpSp>
        <xdr:nvGrpSpPr>
          <xdr:cNvPr id="296" name="Group 295">
            <a:extLst>
              <a:ext uri="{FF2B5EF4-FFF2-40B4-BE49-F238E27FC236}">
                <a16:creationId xmlns:a16="http://schemas.microsoft.com/office/drawing/2014/main" id="{00000000-0008-0000-0100-000028010000}"/>
              </a:ext>
            </a:extLst>
          </xdr:cNvPr>
          <xdr:cNvGrpSpPr/>
        </xdr:nvGrpSpPr>
        <xdr:grpSpPr>
          <a:xfrm>
            <a:off x="11057144" y="861316"/>
            <a:ext cx="752572" cy="347656"/>
            <a:chOff x="13604279" y="1514154"/>
            <a:chExt cx="752572" cy="347656"/>
          </a:xfrm>
        </xdr:grpSpPr>
        <xdr:sp macro="" textlink="">
          <xdr:nvSpPr>
            <xdr:cNvPr id="274" name="Rectangle 273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SpPr/>
          </xdr:nvSpPr>
          <xdr:spPr bwMode="auto">
            <a:xfrm>
              <a:off x="13604279" y="1514154"/>
              <a:ext cx="752572" cy="347472"/>
            </a:xfrm>
            <a:prstGeom prst="rect">
              <a:avLst/>
            </a:prstGeom>
            <a:solidFill>
              <a:schemeClr val="tx1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en-US" sz="1100"/>
            </a:p>
          </xdr:txBody>
        </xdr:sp>
        <xdr:pic>
          <xdr:nvPicPr>
            <xdr:cNvPr id="275" name="Picture 9" descr="http://www.bumperstickerz.com/images/1000319-00-00-00-00_lg.png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2" cstate="print"/>
            <a:srcRect l="1266" t="1645" r="1921" b="2632"/>
            <a:stretch>
              <a:fillRect/>
            </a:stretch>
          </xdr:blipFill>
          <xdr:spPr bwMode="auto">
            <a:xfrm>
              <a:off x="14014258" y="1524855"/>
              <a:ext cx="342592" cy="336955"/>
            </a:xfrm>
            <a:prstGeom prst="rect">
              <a:avLst/>
            </a:prstGeom>
            <a:noFill/>
          </xdr:spPr>
        </xdr:pic>
      </xdr:grpSp>
      <xdr:pic>
        <xdr:nvPicPr>
          <xdr:cNvPr id="273" name="fullSizedImage" descr="Air Force Logo">
            <a:extLst>
              <a:ext uri="{FF2B5EF4-FFF2-40B4-BE49-F238E27FC236}">
                <a16:creationId xmlns:a16="http://schemas.microsoft.com/office/drawing/2014/main" id="{00000000-0008-0000-0100-00001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20000"/>
          </a:blip>
          <a:srcRect l="15366" t="3819" r="15854" b="6597"/>
          <a:stretch>
            <a:fillRect/>
          </a:stretch>
        </xdr:blipFill>
        <xdr:spPr bwMode="auto">
          <a:xfrm>
            <a:off x="11076664" y="858583"/>
            <a:ext cx="348658" cy="338328"/>
          </a:xfrm>
          <a:prstGeom prst="rect">
            <a:avLst/>
          </a:prstGeom>
          <a:noFill/>
          <a:ln cap="rnd">
            <a:noFill/>
          </a:ln>
        </xdr:spPr>
      </xdr:pic>
    </xdr:grpSp>
    <xdr:clientData/>
  </xdr:twoCellAnchor>
  <xdr:twoCellAnchor>
    <xdr:from>
      <xdr:col>11</xdr:col>
      <xdr:colOff>202748</xdr:colOff>
      <xdr:row>27</xdr:row>
      <xdr:rowOff>814916</xdr:rowOff>
    </xdr:from>
    <xdr:to>
      <xdr:col>17</xdr:col>
      <xdr:colOff>169332</xdr:colOff>
      <xdr:row>33</xdr:row>
      <xdr:rowOff>93848</xdr:rowOff>
    </xdr:to>
    <xdr:grpSp>
      <xdr:nvGrpSpPr>
        <xdr:cNvPr id="223" name="Group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pSpPr/>
      </xdr:nvGrpSpPr>
      <xdr:grpSpPr>
        <a:xfrm>
          <a:off x="2929015" y="8722783"/>
          <a:ext cx="1515984" cy="1039998"/>
          <a:chOff x="2910416" y="9937749"/>
          <a:chExt cx="1703917" cy="1088563"/>
        </a:xfrm>
      </xdr:grpSpPr>
      <xdr:pic>
        <xdr:nvPicPr>
          <xdr:cNvPr id="25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56" name="Picture 12" descr="Weather Icon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57" name="Picture 12" descr="Weather Icon">
            <a:extLst>
              <a:ext uri="{FF2B5EF4-FFF2-40B4-BE49-F238E27FC236}">
                <a16:creationId xmlns:a16="http://schemas.microsoft.com/office/drawing/2014/main" id="{00000000-0008-0000-0100-00000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26</xdr:col>
      <xdr:colOff>232834</xdr:colOff>
      <xdr:row>27</xdr:row>
      <xdr:rowOff>836083</xdr:rowOff>
    </xdr:from>
    <xdr:to>
      <xdr:col>33</xdr:col>
      <xdr:colOff>160534</xdr:colOff>
      <xdr:row>33</xdr:row>
      <xdr:rowOff>157109</xdr:rowOff>
    </xdr:to>
    <xdr:grpSp>
      <xdr:nvGrpSpPr>
        <xdr:cNvPr id="197" name="Grou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pSpPr/>
      </xdr:nvGrpSpPr>
      <xdr:grpSpPr>
        <a:xfrm>
          <a:off x="6946901" y="8743950"/>
          <a:ext cx="1748033" cy="1082092"/>
          <a:chOff x="5979583" y="14467417"/>
          <a:chExt cx="2137835" cy="1066800"/>
        </a:xfrm>
      </xdr:grpSpPr>
      <xdr:pic>
        <xdr:nvPicPr>
          <xdr:cNvPr id="201" name="Picture 5" descr="Weather Icon">
            <a:extLst>
              <a:ext uri="{FF2B5EF4-FFF2-40B4-BE49-F238E27FC236}">
                <a16:creationId xmlns:a16="http://schemas.microsoft.com/office/drawing/2014/main" id="{00000000-0008-0000-0100-0000C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t="2564" b="1709"/>
          <a:stretch>
            <a:fillRect/>
          </a:stretch>
        </xdr:blipFill>
        <xdr:spPr bwMode="auto">
          <a:xfrm>
            <a:off x="5979583" y="14467417"/>
            <a:ext cx="1114424" cy="1066800"/>
          </a:xfrm>
          <a:prstGeom prst="rect">
            <a:avLst/>
          </a:prstGeom>
          <a:noFill/>
        </xdr:spPr>
      </xdr:pic>
      <xdr:pic>
        <xdr:nvPicPr>
          <xdr:cNvPr id="202" name="Picture 12" descr="Weather Icon">
            <a:extLst>
              <a:ext uri="{FF2B5EF4-FFF2-40B4-BE49-F238E27FC236}">
                <a16:creationId xmlns:a16="http://schemas.microsoft.com/office/drawing/2014/main" id="{00000000-0008-0000-0100-0000C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contrast="-30000"/>
          </a:blip>
          <a:srcRect t="19355" b="15054"/>
          <a:stretch>
            <a:fillRect/>
          </a:stretch>
        </xdr:blipFill>
        <xdr:spPr bwMode="auto">
          <a:xfrm>
            <a:off x="6148920" y="14689667"/>
            <a:ext cx="1852083" cy="8302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19</xdr:col>
      <xdr:colOff>84667</xdr:colOff>
      <xdr:row>27</xdr:row>
      <xdr:rowOff>898563</xdr:rowOff>
    </xdr:from>
    <xdr:to>
      <xdr:col>25</xdr:col>
      <xdr:colOff>178380</xdr:colOff>
      <xdr:row>33</xdr:row>
      <xdr:rowOff>17983</xdr:rowOff>
    </xdr:to>
    <xdr:pic>
      <xdr:nvPicPr>
        <xdr:cNvPr id="232" name="Picture 7" descr="Weather Icon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20427" b="20387"/>
        <a:stretch>
          <a:fillRect/>
        </a:stretch>
      </xdr:blipFill>
      <xdr:spPr bwMode="auto">
        <a:xfrm>
          <a:off x="5037667" y="8709063"/>
          <a:ext cx="1585963" cy="823337"/>
        </a:xfrm>
        <a:prstGeom prst="rect">
          <a:avLst/>
        </a:prstGeom>
        <a:noFill/>
      </xdr:spPr>
    </xdr:pic>
    <xdr:clientData/>
  </xdr:twoCellAnchor>
  <xdr:twoCellAnchor>
    <xdr:from>
      <xdr:col>29</xdr:col>
      <xdr:colOff>126999</xdr:colOff>
      <xdr:row>17</xdr:row>
      <xdr:rowOff>116417</xdr:rowOff>
    </xdr:from>
    <xdr:to>
      <xdr:col>34</xdr:col>
      <xdr:colOff>157083</xdr:colOff>
      <xdr:row>20</xdr:row>
      <xdr:rowOff>19766</xdr:rowOff>
    </xdr:to>
    <xdr:grpSp>
      <xdr:nvGrpSpPr>
        <xdr:cNvPr id="304" name="Group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pSpPr/>
      </xdr:nvGrpSpPr>
      <xdr:grpSpPr>
        <a:xfrm>
          <a:off x="7425266" y="5052484"/>
          <a:ext cx="1537150" cy="995549"/>
          <a:chOff x="2910416" y="9937749"/>
          <a:chExt cx="1703917" cy="1088563"/>
        </a:xfrm>
      </xdr:grpSpPr>
      <xdr:pic>
        <xdr:nvPicPr>
          <xdr:cNvPr id="305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06" name="Picture 12" descr="Weather Icon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07" name="Picture 12" descr="Weather Icon">
            <a:extLst>
              <a:ext uri="{FF2B5EF4-FFF2-40B4-BE49-F238E27FC236}">
                <a16:creationId xmlns:a16="http://schemas.microsoft.com/office/drawing/2014/main" id="{00000000-0008-0000-0100-00003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43</xdr:col>
      <xdr:colOff>127000</xdr:colOff>
      <xdr:row>9</xdr:row>
      <xdr:rowOff>116416</xdr:rowOff>
    </xdr:from>
    <xdr:to>
      <xdr:col>48</xdr:col>
      <xdr:colOff>157084</xdr:colOff>
      <xdr:row>12</xdr:row>
      <xdr:rowOff>51515</xdr:rowOff>
    </xdr:to>
    <xdr:grpSp>
      <xdr:nvGrpSpPr>
        <xdr:cNvPr id="308" name="Group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pSpPr/>
      </xdr:nvGrpSpPr>
      <xdr:grpSpPr>
        <a:xfrm>
          <a:off x="11065933" y="2360083"/>
          <a:ext cx="1537151" cy="984965"/>
          <a:chOff x="2910416" y="9937749"/>
          <a:chExt cx="1703917" cy="1088563"/>
        </a:xfrm>
      </xdr:grpSpPr>
      <xdr:pic>
        <xdr:nvPicPr>
          <xdr:cNvPr id="316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3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317" name="Picture 12" descr="Weather Icon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318" name="Picture 12" descr="Weather Icon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22</xdr:col>
      <xdr:colOff>158750</xdr:colOff>
      <xdr:row>17</xdr:row>
      <xdr:rowOff>84667</xdr:rowOff>
    </xdr:from>
    <xdr:to>
      <xdr:col>27</xdr:col>
      <xdr:colOff>188834</xdr:colOff>
      <xdr:row>19</xdr:row>
      <xdr:rowOff>443099</xdr:rowOff>
    </xdr:to>
    <xdr:grpSp>
      <xdr:nvGrpSpPr>
        <xdr:cNvPr id="261" name="Group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pSpPr/>
      </xdr:nvGrpSpPr>
      <xdr:grpSpPr>
        <a:xfrm>
          <a:off x="5636683" y="5020734"/>
          <a:ext cx="1537151" cy="993432"/>
          <a:chOff x="2910416" y="9937749"/>
          <a:chExt cx="1703917" cy="1088563"/>
        </a:xfrm>
      </xdr:grpSpPr>
      <xdr:pic>
        <xdr:nvPicPr>
          <xdr:cNvPr id="262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63" name="Picture 12" descr="Weather Icon">
            <a:extLst>
              <a:ext uri="{FF2B5EF4-FFF2-40B4-BE49-F238E27FC236}">
                <a16:creationId xmlns:a16="http://schemas.microsoft.com/office/drawing/2014/main" id="{00000000-0008-0000-0100-00000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65" name="Picture 12" descr="Weather Icon">
            <a:extLst>
              <a:ext uri="{FF2B5EF4-FFF2-40B4-BE49-F238E27FC236}">
                <a16:creationId xmlns:a16="http://schemas.microsoft.com/office/drawing/2014/main" id="{00000000-0008-0000-0100-00000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36</xdr:col>
      <xdr:colOff>137583</xdr:colOff>
      <xdr:row>17</xdr:row>
      <xdr:rowOff>127000</xdr:rowOff>
    </xdr:from>
    <xdr:to>
      <xdr:col>41</xdr:col>
      <xdr:colOff>167667</xdr:colOff>
      <xdr:row>20</xdr:row>
      <xdr:rowOff>30349</xdr:rowOff>
    </xdr:to>
    <xdr:grpSp>
      <xdr:nvGrpSpPr>
        <xdr:cNvPr id="266" name="Group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pSpPr/>
      </xdr:nvGrpSpPr>
      <xdr:grpSpPr>
        <a:xfrm>
          <a:off x="9256183" y="5063067"/>
          <a:ext cx="1537151" cy="995549"/>
          <a:chOff x="2910416" y="9937749"/>
          <a:chExt cx="1703917" cy="1088563"/>
        </a:xfrm>
      </xdr:grpSpPr>
      <xdr:pic>
        <xdr:nvPicPr>
          <xdr:cNvPr id="267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68" name="Picture 12" descr="Weather Icon">
            <a:extLst>
              <a:ext uri="{FF2B5EF4-FFF2-40B4-BE49-F238E27FC236}">
                <a16:creationId xmlns:a16="http://schemas.microsoft.com/office/drawing/2014/main" id="{00000000-0008-0000-0100-00000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69" name="Picture 12" descr="Weather Icon">
            <a:extLst>
              <a:ext uri="{FF2B5EF4-FFF2-40B4-BE49-F238E27FC236}">
                <a16:creationId xmlns:a16="http://schemas.microsoft.com/office/drawing/2014/main" id="{00000000-0008-0000-0100-00000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29</xdr:col>
      <xdr:colOff>184151</xdr:colOff>
      <xdr:row>9</xdr:row>
      <xdr:rowOff>99484</xdr:rowOff>
    </xdr:from>
    <xdr:to>
      <xdr:col>34</xdr:col>
      <xdr:colOff>214235</xdr:colOff>
      <xdr:row>12</xdr:row>
      <xdr:rowOff>34583</xdr:rowOff>
    </xdr:to>
    <xdr:grpSp>
      <xdr:nvGrpSpPr>
        <xdr:cNvPr id="222" name="Group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pSpPr/>
      </xdr:nvGrpSpPr>
      <xdr:grpSpPr>
        <a:xfrm>
          <a:off x="7482418" y="2343151"/>
          <a:ext cx="1537150" cy="984965"/>
          <a:chOff x="2910416" y="9937749"/>
          <a:chExt cx="1703917" cy="1088563"/>
        </a:xfrm>
      </xdr:grpSpPr>
      <xdr:pic>
        <xdr:nvPicPr>
          <xdr:cNvPr id="231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E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33" name="Picture 12" descr="Weather Icon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36" name="Picture 12" descr="Weather Icon">
            <a:extLst>
              <a:ext uri="{FF2B5EF4-FFF2-40B4-BE49-F238E27FC236}">
                <a16:creationId xmlns:a16="http://schemas.microsoft.com/office/drawing/2014/main" id="{00000000-0008-0000-0100-0000E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36</xdr:col>
      <xdr:colOff>103717</xdr:colOff>
      <xdr:row>9</xdr:row>
      <xdr:rowOff>124882</xdr:rowOff>
    </xdr:from>
    <xdr:to>
      <xdr:col>41</xdr:col>
      <xdr:colOff>133801</xdr:colOff>
      <xdr:row>12</xdr:row>
      <xdr:rowOff>59981</xdr:rowOff>
    </xdr:to>
    <xdr:grpSp>
      <xdr:nvGrpSpPr>
        <xdr:cNvPr id="237" name="Group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pSpPr/>
      </xdr:nvGrpSpPr>
      <xdr:grpSpPr>
        <a:xfrm>
          <a:off x="9222317" y="2368549"/>
          <a:ext cx="1537151" cy="984965"/>
          <a:chOff x="2910416" y="9937749"/>
          <a:chExt cx="1703917" cy="1088563"/>
        </a:xfrm>
      </xdr:grpSpPr>
      <xdr:pic>
        <xdr:nvPicPr>
          <xdr:cNvPr id="250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F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53" name="Picture 12" descr="Weather Icon">
            <a:extLst>
              <a:ext uri="{FF2B5EF4-FFF2-40B4-BE49-F238E27FC236}">
                <a16:creationId xmlns:a16="http://schemas.microsoft.com/office/drawing/2014/main" id="{00000000-0008-0000-0100-0000F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54" name="Picture 12" descr="Weather Icon">
            <a:extLst>
              <a:ext uri="{FF2B5EF4-FFF2-40B4-BE49-F238E27FC236}">
                <a16:creationId xmlns:a16="http://schemas.microsoft.com/office/drawing/2014/main" id="{00000000-0008-0000-0100-0000F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43</xdr:col>
      <xdr:colOff>139700</xdr:colOff>
      <xdr:row>17</xdr:row>
      <xdr:rowOff>160867</xdr:rowOff>
    </xdr:from>
    <xdr:to>
      <xdr:col>48</xdr:col>
      <xdr:colOff>169784</xdr:colOff>
      <xdr:row>20</xdr:row>
      <xdr:rowOff>64216</xdr:rowOff>
    </xdr:to>
    <xdr:grpSp>
      <xdr:nvGrpSpPr>
        <xdr:cNvPr id="259" name="Group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pSpPr/>
      </xdr:nvGrpSpPr>
      <xdr:grpSpPr>
        <a:xfrm>
          <a:off x="11078633" y="5096934"/>
          <a:ext cx="1537151" cy="995549"/>
          <a:chOff x="2910416" y="9937749"/>
          <a:chExt cx="1703917" cy="1088563"/>
        </a:xfrm>
      </xdr:grpSpPr>
      <xdr:pic>
        <xdr:nvPicPr>
          <xdr:cNvPr id="264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0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72" name="Picture 12" descr="Weather Icon">
            <a:extLst>
              <a:ext uri="{FF2B5EF4-FFF2-40B4-BE49-F238E27FC236}">
                <a16:creationId xmlns:a16="http://schemas.microsoft.com/office/drawing/2014/main" id="{00000000-0008-0000-0100-00001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76" name="Picture 12" descr="Weather Icon">
            <a:extLst>
              <a:ext uri="{FF2B5EF4-FFF2-40B4-BE49-F238E27FC236}">
                <a16:creationId xmlns:a16="http://schemas.microsoft.com/office/drawing/2014/main" id="{00000000-0008-0000-0100-00001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63500</xdr:colOff>
      <xdr:row>18</xdr:row>
      <xdr:rowOff>127001</xdr:rowOff>
    </xdr:from>
    <xdr:to>
      <xdr:col>6</xdr:col>
      <xdr:colOff>229627</xdr:colOff>
      <xdr:row>20</xdr:row>
      <xdr:rowOff>45194</xdr:rowOff>
    </xdr:to>
    <xdr:pic>
      <xdr:nvPicPr>
        <xdr:cNvPr id="217" name="Picture 11" descr="Weather Icon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116417" y="5185834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8</xdr:col>
      <xdr:colOff>84667</xdr:colOff>
      <xdr:row>18</xdr:row>
      <xdr:rowOff>10584</xdr:rowOff>
    </xdr:from>
    <xdr:to>
      <xdr:col>13</xdr:col>
      <xdr:colOff>201625</xdr:colOff>
      <xdr:row>20</xdr:row>
      <xdr:rowOff>24790</xdr:rowOff>
    </xdr:to>
    <xdr:grpSp>
      <xdr:nvGrpSpPr>
        <xdr:cNvPr id="271" name="Group 27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pSpPr>
          <a:grpSpLocks noChangeAspect="1"/>
        </xdr:cNvGrpSpPr>
      </xdr:nvGrpSpPr>
      <xdr:grpSpPr>
        <a:xfrm>
          <a:off x="1921934" y="5124451"/>
          <a:ext cx="1624024" cy="928606"/>
          <a:chOff x="0" y="10601381"/>
          <a:chExt cx="1600200" cy="1009594"/>
        </a:xfrm>
      </xdr:grpSpPr>
      <xdr:pic>
        <xdr:nvPicPr>
          <xdr:cNvPr id="277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8456" b="18452"/>
          <a:stretch>
            <a:fillRect/>
          </a:stretch>
        </xdr:blipFill>
        <xdr:spPr bwMode="auto">
          <a:xfrm>
            <a:off x="0" y="10601381"/>
            <a:ext cx="1600200" cy="1009594"/>
          </a:xfrm>
          <a:prstGeom prst="rect">
            <a:avLst/>
          </a:prstGeom>
          <a:noFill/>
        </xdr:spPr>
      </xdr:pic>
      <xdr:pic>
        <xdr:nvPicPr>
          <xdr:cNvPr id="278" name="Picture 12" descr="Weather Icon">
            <a:extLst>
              <a:ext uri="{FF2B5EF4-FFF2-40B4-BE49-F238E27FC236}">
                <a16:creationId xmlns:a16="http://schemas.microsoft.com/office/drawing/2014/main" id="{00000000-0008-0000-0100-00001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t="19355" b="15054"/>
          <a:stretch>
            <a:fillRect/>
          </a:stretch>
        </xdr:blipFill>
        <xdr:spPr bwMode="auto">
          <a:xfrm>
            <a:off x="123826" y="10915647"/>
            <a:ext cx="590549" cy="657225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15</xdr:col>
      <xdr:colOff>148168</xdr:colOff>
      <xdr:row>10</xdr:row>
      <xdr:rowOff>21166</xdr:rowOff>
    </xdr:from>
    <xdr:to>
      <xdr:col>21</xdr:col>
      <xdr:colOff>17962</xdr:colOff>
      <xdr:row>11</xdr:row>
      <xdr:rowOff>394442</xdr:rowOff>
    </xdr:to>
    <xdr:pic>
      <xdr:nvPicPr>
        <xdr:cNvPr id="203" name="Picture 11" descr="Weather Icon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3862918" y="2381249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22</xdr:col>
      <xdr:colOff>105833</xdr:colOff>
      <xdr:row>10</xdr:row>
      <xdr:rowOff>31750</xdr:rowOff>
    </xdr:from>
    <xdr:to>
      <xdr:col>27</xdr:col>
      <xdr:colOff>250793</xdr:colOff>
      <xdr:row>11</xdr:row>
      <xdr:rowOff>405026</xdr:rowOff>
    </xdr:to>
    <xdr:pic>
      <xdr:nvPicPr>
        <xdr:cNvPr id="204" name="Picture 11" descr="Weather Icon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5662083" y="2391833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116417</xdr:colOff>
      <xdr:row>18</xdr:row>
      <xdr:rowOff>42334</xdr:rowOff>
    </xdr:from>
    <xdr:to>
      <xdr:col>20</xdr:col>
      <xdr:colOff>261377</xdr:colOff>
      <xdr:row>19</xdr:row>
      <xdr:rowOff>415610</xdr:rowOff>
    </xdr:to>
    <xdr:pic>
      <xdr:nvPicPr>
        <xdr:cNvPr id="205" name="Picture 11" descr="Weather Icon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8793" b="16364"/>
        <a:stretch>
          <a:fillRect/>
        </a:stretch>
      </xdr:blipFill>
      <xdr:spPr bwMode="auto">
        <a:xfrm>
          <a:off x="3831167" y="5101167"/>
          <a:ext cx="1658377" cy="828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52917</xdr:colOff>
      <xdr:row>10</xdr:row>
      <xdr:rowOff>201084</xdr:rowOff>
    </xdr:from>
    <xdr:to>
      <xdr:col>8</xdr:col>
      <xdr:colOff>12314</xdr:colOff>
      <xdr:row>11</xdr:row>
      <xdr:rowOff>405118</xdr:rowOff>
    </xdr:to>
    <xdr:pic>
      <xdr:nvPicPr>
        <xdr:cNvPr id="206" name="Picture 12" descr="Weather Icon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0000" contrast="-30000"/>
        </a:blip>
        <a:srcRect t="19355" b="15054"/>
        <a:stretch>
          <a:fillRect/>
        </a:stretch>
      </xdr:blipFill>
      <xdr:spPr bwMode="auto">
        <a:xfrm>
          <a:off x="105834" y="2561167"/>
          <a:ext cx="1779730" cy="65911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127000</xdr:colOff>
      <xdr:row>9</xdr:row>
      <xdr:rowOff>95249</xdr:rowOff>
    </xdr:from>
    <xdr:to>
      <xdr:col>13</xdr:col>
      <xdr:colOff>157084</xdr:colOff>
      <xdr:row>12</xdr:row>
      <xdr:rowOff>30348</xdr:rowOff>
    </xdr:to>
    <xdr:grpSp>
      <xdr:nvGrpSpPr>
        <xdr:cNvPr id="209" name="Group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pSpPr/>
      </xdr:nvGrpSpPr>
      <xdr:grpSpPr>
        <a:xfrm>
          <a:off x="1964267" y="2338916"/>
          <a:ext cx="1537150" cy="984965"/>
          <a:chOff x="2910416" y="9937749"/>
          <a:chExt cx="1703917" cy="1088563"/>
        </a:xfrm>
      </xdr:grpSpPr>
      <xdr:pic>
        <xdr:nvPicPr>
          <xdr:cNvPr id="210" name="Picture 3" descr="http://geoipweather.com/img/icons/93x93/34.png">
            <a:extLst>
              <a:ext uri="{FF2B5EF4-FFF2-40B4-BE49-F238E27FC236}">
                <a16:creationId xmlns:a16="http://schemas.microsoft.com/office/drawing/2014/main" id="{00000000-0008-0000-0100-0000D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t="15487" b="18452"/>
          <a:stretch>
            <a:fillRect/>
          </a:stretch>
        </xdr:blipFill>
        <xdr:spPr bwMode="auto">
          <a:xfrm flipH="1">
            <a:off x="2910416" y="9937749"/>
            <a:ext cx="1661584" cy="1088563"/>
          </a:xfrm>
          <a:prstGeom prst="rect">
            <a:avLst/>
          </a:prstGeom>
          <a:noFill/>
        </xdr:spPr>
      </xdr:pic>
      <xdr:pic>
        <xdr:nvPicPr>
          <xdr:cNvPr id="211" name="Picture 12" descr="Weather Icon">
            <a:extLst>
              <a:ext uri="{FF2B5EF4-FFF2-40B4-BE49-F238E27FC236}">
                <a16:creationId xmlns:a16="http://schemas.microsoft.com/office/drawing/2014/main" id="{00000000-0008-0000-01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 flipH="1">
            <a:off x="3989916" y="10371666"/>
            <a:ext cx="624417" cy="438660"/>
          </a:xfrm>
          <a:prstGeom prst="rect">
            <a:avLst/>
          </a:prstGeom>
          <a:noFill/>
        </xdr:spPr>
      </xdr:pic>
      <xdr:pic>
        <xdr:nvPicPr>
          <xdr:cNvPr id="218" name="Picture 12" descr="Weather Icon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30000" contrast="-40000"/>
          </a:blip>
          <a:srcRect t="19355" b="15054"/>
          <a:stretch>
            <a:fillRect/>
          </a:stretch>
        </xdr:blipFill>
        <xdr:spPr bwMode="auto">
          <a:xfrm>
            <a:off x="4159251" y="10382250"/>
            <a:ext cx="338666" cy="38574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52918</xdr:colOff>
      <xdr:row>10</xdr:row>
      <xdr:rowOff>31751</xdr:rowOff>
    </xdr:from>
    <xdr:to>
      <xdr:col>8</xdr:col>
      <xdr:colOff>451</xdr:colOff>
      <xdr:row>13</xdr:row>
      <xdr:rowOff>102232</xdr:rowOff>
    </xdr:to>
    <xdr:grpSp>
      <xdr:nvGrpSpPr>
        <xdr:cNvPr id="219" name="Group 359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GrpSpPr>
          <a:grpSpLocks noChangeAspect="1"/>
        </xdr:cNvGrpSpPr>
      </xdr:nvGrpSpPr>
      <xdr:grpSpPr>
        <a:xfrm>
          <a:off x="713318" y="2410884"/>
          <a:ext cx="1124400" cy="1442081"/>
          <a:chOff x="7705725" y="11065461"/>
          <a:chExt cx="1343025" cy="1898065"/>
        </a:xfrm>
      </xdr:grpSpPr>
      <xdr:pic>
        <xdr:nvPicPr>
          <xdr:cNvPr id="220" name="Picture 12" descr="Weather Icon">
            <a:extLst>
              <a:ext uri="{FF2B5EF4-FFF2-40B4-BE49-F238E27FC236}">
                <a16:creationId xmlns:a16="http://schemas.microsoft.com/office/drawing/2014/main" id="{00000000-0008-0000-0100-0000D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lum bright="20000" contrast="-40000"/>
          </a:blip>
          <a:srcRect t="19355" b="15054"/>
          <a:stretch>
            <a:fillRect/>
          </a:stretch>
        </xdr:blipFill>
        <xdr:spPr bwMode="auto">
          <a:xfrm rot="10800000">
            <a:off x="7867650" y="11065461"/>
            <a:ext cx="1181100" cy="996874"/>
          </a:xfrm>
          <a:prstGeom prst="rect">
            <a:avLst/>
          </a:prstGeom>
          <a:noFill/>
        </xdr:spPr>
      </xdr:pic>
      <xdr:pic>
        <xdr:nvPicPr>
          <xdr:cNvPr id="221" name="Picture 16" descr="Weather Icon">
            <a:extLst>
              <a:ext uri="{FF2B5EF4-FFF2-40B4-BE49-F238E27FC236}">
                <a16:creationId xmlns:a16="http://schemas.microsoft.com/office/drawing/2014/main" id="{00000000-0008-0000-0100-0000D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7705725" y="11325225"/>
            <a:ext cx="1200150" cy="1638301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147205</xdr:colOff>
      <xdr:row>1</xdr:row>
      <xdr:rowOff>8659</xdr:rowOff>
    </xdr:from>
    <xdr:ext cx="4303565" cy="42429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44682" y="8659"/>
          <a:ext cx="4303565" cy="42429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27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28</xdr:col>
      <xdr:colOff>29432</xdr:colOff>
      <xdr:row>1</xdr:row>
      <xdr:rowOff>47624</xdr:rowOff>
    </xdr:from>
    <xdr:ext cx="3152775" cy="22224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424046" y="47624"/>
          <a:ext cx="3152775" cy="22224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17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28</xdr:col>
      <xdr:colOff>20772</xdr:colOff>
      <xdr:row>1</xdr:row>
      <xdr:rowOff>177511</xdr:rowOff>
    </xdr:from>
    <xdr:ext cx="3162302" cy="257175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516697" y="244186"/>
          <a:ext cx="3162302" cy="25717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3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3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3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12</xdr:col>
      <xdr:colOff>180975</xdr:colOff>
      <xdr:row>42</xdr:row>
      <xdr:rowOff>9525</xdr:rowOff>
    </xdr:from>
    <xdr:to>
      <xdr:col>13</xdr:col>
      <xdr:colOff>63246</xdr:colOff>
      <xdr:row>54</xdr:row>
      <xdr:rowOff>112395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>
          <a:off x="238125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42</xdr:row>
      <xdr:rowOff>9525</xdr:rowOff>
    </xdr:from>
    <xdr:to>
      <xdr:col>25</xdr:col>
      <xdr:colOff>63246</xdr:colOff>
      <xdr:row>54</xdr:row>
      <xdr:rowOff>112395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48006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42</xdr:row>
      <xdr:rowOff>9525</xdr:rowOff>
    </xdr:from>
    <xdr:to>
      <xdr:col>37</xdr:col>
      <xdr:colOff>63246</xdr:colOff>
      <xdr:row>54</xdr:row>
      <xdr:rowOff>112395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72009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19053</xdr:colOff>
      <xdr:row>1</xdr:row>
      <xdr:rowOff>19918</xdr:rowOff>
    </xdr:from>
    <xdr:to>
      <xdr:col>4</xdr:col>
      <xdr:colOff>90873</xdr:colOff>
      <xdr:row>2</xdr:row>
      <xdr:rowOff>240898</xdr:rowOff>
    </xdr:to>
    <xdr:pic>
      <xdr:nvPicPr>
        <xdr:cNvPr id="13" name="Picture 12" descr="afg_021220_03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19053" y="19918"/>
          <a:ext cx="671895" cy="640080"/>
        </a:xfrm>
        <a:prstGeom prst="rect">
          <a:avLst/>
        </a:prstGeom>
        <a:noFill/>
        <a:ln w="1587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42</xdr:row>
      <xdr:rowOff>9525</xdr:rowOff>
    </xdr:from>
    <xdr:to>
      <xdr:col>13</xdr:col>
      <xdr:colOff>63246</xdr:colOff>
      <xdr:row>54</xdr:row>
      <xdr:rowOff>112395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238125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42</xdr:row>
      <xdr:rowOff>9525</xdr:rowOff>
    </xdr:from>
    <xdr:to>
      <xdr:col>25</xdr:col>
      <xdr:colOff>63246</xdr:colOff>
      <xdr:row>54</xdr:row>
      <xdr:rowOff>112395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48006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42</xdr:row>
      <xdr:rowOff>9525</xdr:rowOff>
    </xdr:from>
    <xdr:to>
      <xdr:col>37</xdr:col>
      <xdr:colOff>63246</xdr:colOff>
      <xdr:row>54</xdr:row>
      <xdr:rowOff>112395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 bwMode="auto">
        <a:xfrm>
          <a:off x="7200900" y="6134100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19</xdr:col>
      <xdr:colOff>76199</xdr:colOff>
      <xdr:row>11</xdr:row>
      <xdr:rowOff>47625</xdr:rowOff>
    </xdr:from>
    <xdr:to>
      <xdr:col>21</xdr:col>
      <xdr:colOff>142875</xdr:colOff>
      <xdr:row>15</xdr:row>
      <xdr:rowOff>76200</xdr:rowOff>
    </xdr:to>
    <xdr:sp macro="" textlink="">
      <xdr:nvSpPr>
        <xdr:cNvPr id="21" name="Text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676649" y="1543050"/>
          <a:ext cx="466726" cy="4095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KFTK</a:t>
          </a:r>
          <a:r>
            <a:rPr lang="en-US" sz="1100" b="1" baseline="0">
              <a:solidFill>
                <a:schemeClr val="bg1"/>
              </a:solidFill>
            </a:rPr>
            <a:t> </a:t>
          </a:r>
        </a:p>
        <a:p>
          <a:pPr algn="ctr"/>
          <a:r>
            <a:rPr lang="en-US" sz="900" b="1" baseline="0">
              <a:solidFill>
                <a:schemeClr val="bg1"/>
              </a:solidFill>
            </a:rPr>
            <a:t>current</a:t>
          </a:r>
          <a:endParaRPr lang="en-US" sz="500" b="1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123824</xdr:colOff>
      <xdr:row>14</xdr:row>
      <xdr:rowOff>0</xdr:rowOff>
    </xdr:from>
    <xdr:to>
      <xdr:col>40</xdr:col>
      <xdr:colOff>104775</xdr:colOff>
      <xdr:row>15</xdr:row>
      <xdr:rowOff>85725</xdr:rowOff>
    </xdr:to>
    <xdr:sp macro="" textlink="">
      <xdr:nvSpPr>
        <xdr:cNvPr id="22" name="TextBox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7343774" y="1781175"/>
          <a:ext cx="581026" cy="1809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NHC</a:t>
          </a:r>
          <a:endParaRPr lang="en-US" sz="500" b="1">
            <a:solidFill>
              <a:schemeClr val="bg1"/>
            </a:solidFill>
          </a:endParaRPr>
        </a:p>
      </xdr:txBody>
    </xdr:sp>
    <xdr:clientData/>
  </xdr:twoCellAnchor>
  <xdr:oneCellAnchor>
    <xdr:from>
      <xdr:col>6</xdr:col>
      <xdr:colOff>19053</xdr:colOff>
      <xdr:row>201</xdr:row>
      <xdr:rowOff>95250</xdr:rowOff>
    </xdr:from>
    <xdr:ext cx="4391021" cy="361950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019178" y="95250"/>
          <a:ext cx="4391021" cy="36195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8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Mission Execution</a:t>
          </a:r>
          <a:r>
            <a:rPr lang="en-US" sz="28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Forecast</a:t>
          </a:r>
        </a:p>
      </xdr:txBody>
    </xdr:sp>
    <xdr:clientData/>
  </xdr:oneCellAnchor>
  <xdr:oneCellAnchor>
    <xdr:from>
      <xdr:col>29</xdr:col>
      <xdr:colOff>161925</xdr:colOff>
      <xdr:row>201</xdr:row>
      <xdr:rowOff>66674</xdr:rowOff>
    </xdr:from>
    <xdr:ext cx="3152775" cy="22224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781675" y="66674"/>
          <a:ext cx="3152775" cy="22224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b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US" sz="16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Fort Knox Weather Operations</a:t>
          </a:r>
        </a:p>
      </xdr:txBody>
    </xdr:sp>
    <xdr:clientData/>
  </xdr:oneCellAnchor>
  <xdr:oneCellAnchor>
    <xdr:from>
      <xdr:col>29</xdr:col>
      <xdr:colOff>66675</xdr:colOff>
      <xdr:row>201</xdr:row>
      <xdr:rowOff>152400</xdr:rowOff>
    </xdr:from>
    <xdr:ext cx="3162302" cy="257175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686425" y="152400"/>
          <a:ext cx="3162302" cy="257175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200" b="1" cap="none" spc="5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OL-B</a:t>
          </a:r>
          <a:r>
            <a:rPr lang="en-US" sz="1200" b="1" cap="none" spc="50" baseline="0">
              <a:ln w="11430"/>
              <a:solidFill>
                <a:schemeClr val="tx2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, 3rd Combat Weather Squadron</a:t>
          </a:r>
          <a:endParaRPr lang="en-US" sz="1200" b="1" cap="none" spc="50">
            <a:ln w="11430"/>
            <a:solidFill>
              <a:schemeClr val="tx2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19052</xdr:colOff>
      <xdr:row>201</xdr:row>
      <xdr:rowOff>19052</xdr:rowOff>
    </xdr:from>
    <xdr:to>
      <xdr:col>4</xdr:col>
      <xdr:colOff>104507</xdr:colOff>
      <xdr:row>202</xdr:row>
      <xdr:rowOff>240032</xdr:rowOff>
    </xdr:to>
    <xdr:pic>
      <xdr:nvPicPr>
        <xdr:cNvPr id="24" name="Picture 23" descr="afg_021220_03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19052" y="19052"/>
          <a:ext cx="685530" cy="640080"/>
        </a:xfrm>
        <a:prstGeom prst="rect">
          <a:avLst/>
        </a:prstGeom>
        <a:noFill/>
        <a:ln w="1587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242</xdr:row>
      <xdr:rowOff>9525</xdr:rowOff>
    </xdr:from>
    <xdr:to>
      <xdr:col>13</xdr:col>
      <xdr:colOff>63246</xdr:colOff>
      <xdr:row>254</xdr:row>
      <xdr:rowOff>112395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 bwMode="auto">
        <a:xfrm>
          <a:off x="238125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180975</xdr:colOff>
      <xdr:row>242</xdr:row>
      <xdr:rowOff>9525</xdr:rowOff>
    </xdr:from>
    <xdr:to>
      <xdr:col>25</xdr:col>
      <xdr:colOff>63246</xdr:colOff>
      <xdr:row>254</xdr:row>
      <xdr:rowOff>112395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 bwMode="auto">
        <a:xfrm>
          <a:off x="480060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36</xdr:col>
      <xdr:colOff>180975</xdr:colOff>
      <xdr:row>242</xdr:row>
      <xdr:rowOff>9525</xdr:rowOff>
    </xdr:from>
    <xdr:to>
      <xdr:col>37</xdr:col>
      <xdr:colOff>63246</xdr:colOff>
      <xdr:row>254</xdr:row>
      <xdr:rowOff>112395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 bwMode="auto">
        <a:xfrm>
          <a:off x="7200900" y="6143625"/>
          <a:ext cx="82296" cy="1598295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17317</xdr:colOff>
          <xdr:row>32</xdr:row>
          <xdr:rowOff>1</xdr:rowOff>
        </xdr:from>
        <xdr:to>
          <xdr:col>37</xdr:col>
          <xdr:colOff>51955</xdr:colOff>
          <xdr:row>33</xdr:row>
          <xdr:rowOff>21268</xdr:rowOff>
        </xdr:to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5233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407726" y="4615296"/>
              <a:ext cx="831274" cy="237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</xdr:colOff>
          <xdr:row>232</xdr:row>
          <xdr:rowOff>0</xdr:rowOff>
        </xdr:from>
        <xdr:to>
          <xdr:col>37</xdr:col>
          <xdr:colOff>34639</xdr:colOff>
          <xdr:row>233</xdr:row>
          <xdr:rowOff>21267</xdr:rowOff>
        </xdr:to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ACFT" spid="_x0000_s75233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390410" y="36454773"/>
              <a:ext cx="831274" cy="237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31</xdr:col>
      <xdr:colOff>57150</xdr:colOff>
      <xdr:row>54</xdr:row>
      <xdr:rowOff>104775</xdr:rowOff>
    </xdr:from>
    <xdr:to>
      <xdr:col>37</xdr:col>
      <xdr:colOff>9526</xdr:colOff>
      <xdr:row>55</xdr:row>
      <xdr:rowOff>142875</xdr:rowOff>
    </xdr:to>
    <xdr:sp macro="" textlink="">
      <xdr:nvSpPr>
        <xdr:cNvPr id="31" name="TextBox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6124575" y="8134350"/>
          <a:ext cx="1152526" cy="1524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Ft. Knox Weather </a:t>
          </a:r>
        </a:p>
      </xdr:txBody>
    </xdr:sp>
    <xdr:clientData/>
  </xdr:twoCellAnchor>
  <xdr:twoCellAnchor>
    <xdr:from>
      <xdr:col>43</xdr:col>
      <xdr:colOff>9525</xdr:colOff>
      <xdr:row>54</xdr:row>
      <xdr:rowOff>95251</xdr:rowOff>
    </xdr:from>
    <xdr:to>
      <xdr:col>47</xdr:col>
      <xdr:colOff>180975</xdr:colOff>
      <xdr:row>55</xdr:row>
      <xdr:rowOff>142875</xdr:rowOff>
    </xdr:to>
    <xdr:sp macro="" textlink="">
      <xdr:nvSpPr>
        <xdr:cNvPr id="35" name="Text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8505825" y="7791451"/>
          <a:ext cx="971550" cy="16192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Product</a:t>
          </a:r>
          <a:r>
            <a:rPr lang="en-US" sz="1100" b="1" baseline="0">
              <a:solidFill>
                <a:schemeClr val="bg1"/>
              </a:solidFill>
            </a:rPr>
            <a:t> Survey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45</xdr:col>
      <xdr:colOff>177800</xdr:colOff>
      <xdr:row>1</xdr:row>
      <xdr:rowOff>12700</xdr:rowOff>
    </xdr:from>
    <xdr:to>
      <xdr:col>48</xdr:col>
      <xdr:colOff>199846</xdr:colOff>
      <xdr:row>2</xdr:row>
      <xdr:rowOff>242824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9467850" y="76200"/>
          <a:ext cx="650696" cy="64922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45</xdr:col>
      <xdr:colOff>177800</xdr:colOff>
      <xdr:row>201</xdr:row>
      <xdr:rowOff>12700</xdr:rowOff>
    </xdr:from>
    <xdr:to>
      <xdr:col>48</xdr:col>
      <xdr:colOff>199846</xdr:colOff>
      <xdr:row>202</xdr:row>
      <xdr:rowOff>242824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1107" r="13123" b="1218"/>
        <a:stretch/>
      </xdr:blipFill>
      <xdr:spPr>
        <a:xfrm>
          <a:off x="9467850" y="27940000"/>
          <a:ext cx="650696" cy="64922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98136</xdr:colOff>
      <xdr:row>64</xdr:row>
      <xdr:rowOff>207817</xdr:rowOff>
    </xdr:from>
    <xdr:to>
      <xdr:col>26</xdr:col>
      <xdr:colOff>0</xdr:colOff>
      <xdr:row>67</xdr:row>
      <xdr:rowOff>28862</xdr:rowOff>
    </xdr:to>
    <xdr:sp macro="" textlink="">
      <xdr:nvSpPr>
        <xdr:cNvPr id="6" name="Right Bracke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5334000" y="13854544"/>
          <a:ext cx="109682" cy="444500"/>
        </a:xfrm>
        <a:prstGeom prst="rightBracket">
          <a:avLst>
            <a:gd name="adj" fmla="val 78296"/>
          </a:avLst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76200" sx="104000" sy="104000" algn="l" rotWithShape="0">
            <a:prstClr val="black">
              <a:alpha val="70000"/>
            </a:prst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32</xdr:col>
      <xdr:colOff>114298</xdr:colOff>
      <xdr:row>35</xdr:row>
      <xdr:rowOff>0</xdr:rowOff>
    </xdr:from>
    <xdr:to>
      <xdr:col>33</xdr:col>
      <xdr:colOff>173751</xdr:colOff>
      <xdr:row>37</xdr:row>
      <xdr:rowOff>73025</xdr:rowOff>
    </xdr:to>
    <xdr:pic>
      <xdr:nvPicPr>
        <xdr:cNvPr id="2" name="Picture 35" descr="http://t1.gstatic.com/images?q=tbn:ANd9GcReTHzf0Uoot8eSrSn90Zs9E76NwNo2apisGur3udQYNR_CbHpKwIkYO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610348" y="6096000"/>
          <a:ext cx="269003" cy="428625"/>
        </a:xfrm>
        <a:prstGeom prst="rect">
          <a:avLst/>
        </a:prstGeom>
        <a:noFill/>
      </xdr:spPr>
    </xdr:pic>
    <xdr:clientData/>
  </xdr:twoCellAnchor>
  <xdr:twoCellAnchor>
    <xdr:from>
      <xdr:col>15</xdr:col>
      <xdr:colOff>85724</xdr:colOff>
      <xdr:row>12</xdr:row>
      <xdr:rowOff>142873</xdr:rowOff>
    </xdr:from>
    <xdr:to>
      <xdr:col>26</xdr:col>
      <xdr:colOff>142875</xdr:colOff>
      <xdr:row>24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124199" y="2209798"/>
          <a:ext cx="2257426" cy="216217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Delete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old TAF data (from yellow &amp; white highlighted cells), then: </a:t>
          </a:r>
        </a:p>
        <a:p>
          <a:r>
            <a:rPr lang="en-US" sz="13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the new TAF in this cell.</a:t>
          </a:r>
        </a:p>
        <a:p>
          <a:endParaRPr lang="en-US" sz="1100" b="1" baseline="0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6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25</xdr:col>
      <xdr:colOff>104775</xdr:colOff>
      <xdr:row>11</xdr:row>
      <xdr:rowOff>142877</xdr:rowOff>
    </xdr:from>
    <xdr:to>
      <xdr:col>28</xdr:col>
      <xdr:colOff>171450</xdr:colOff>
      <xdr:row>15</xdr:row>
      <xdr:rowOff>114300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 bwMode="auto">
        <a:xfrm flipV="1">
          <a:off x="5133975" y="1866902"/>
          <a:ext cx="695325" cy="733423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20</xdr:col>
      <xdr:colOff>85725</xdr:colOff>
      <xdr:row>9</xdr:row>
      <xdr:rowOff>152400</xdr:rowOff>
    </xdr:from>
    <xdr:to>
      <xdr:col>26</xdr:col>
      <xdr:colOff>123826</xdr:colOff>
      <xdr:row>12</xdr:row>
      <xdr:rowOff>38100</xdr:rowOff>
    </xdr:to>
    <xdr:sp macro="" textlink="">
      <xdr:nvSpPr>
        <xdr:cNvPr id="7" name="TextBox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067175" y="1466850"/>
          <a:ext cx="1295401" cy="4857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TAF </a:t>
          </a:r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ADDS</a:t>
          </a:r>
          <a:endParaRPr lang="en-US" sz="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28575</xdr:colOff>
      <xdr:row>72</xdr:row>
      <xdr:rowOff>114299</xdr:rowOff>
    </xdr:from>
    <xdr:to>
      <xdr:col>19</xdr:col>
      <xdr:colOff>85724</xdr:colOff>
      <xdr:row>76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124075" y="15106649"/>
          <a:ext cx="1943099" cy="847726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model data: CNTRL-A (select all),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cells.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200025</xdr:colOff>
      <xdr:row>29</xdr:row>
      <xdr:rowOff>152400</xdr:rowOff>
    </xdr:from>
    <xdr:to>
      <xdr:col>31</xdr:col>
      <xdr:colOff>152401</xdr:colOff>
      <xdr:row>31</xdr:row>
      <xdr:rowOff>66294</xdr:rowOff>
    </xdr:to>
    <xdr:sp macro="" textlink="">
      <xdr:nvSpPr>
        <xdr:cNvPr id="10" name="Text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276975" y="5276850"/>
          <a:ext cx="371476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HF</a:t>
          </a:r>
          <a:endParaRPr lang="en-US" sz="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32</xdr:col>
      <xdr:colOff>9525</xdr:colOff>
      <xdr:row>29</xdr:row>
      <xdr:rowOff>152402</xdr:rowOff>
    </xdr:from>
    <xdr:to>
      <xdr:col>33</xdr:col>
      <xdr:colOff>171451</xdr:colOff>
      <xdr:row>31</xdr:row>
      <xdr:rowOff>66296</xdr:rowOff>
    </xdr:to>
    <xdr:sp macro="" textlink="">
      <xdr:nvSpPr>
        <xdr:cNvPr id="11" name="Text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6715125" y="5276852"/>
          <a:ext cx="371476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UHF</a:t>
          </a:r>
          <a:endParaRPr lang="en-US" sz="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171449</xdr:colOff>
      <xdr:row>32</xdr:row>
      <xdr:rowOff>152401</xdr:rowOff>
    </xdr:from>
    <xdr:to>
      <xdr:col>31</xdr:col>
      <xdr:colOff>127253</xdr:colOff>
      <xdr:row>34</xdr:row>
      <xdr:rowOff>66295</xdr:rowOff>
    </xdr:to>
    <xdr:sp macro="" textlink="">
      <xdr:nvSpPr>
        <xdr:cNvPr id="12" name="TextBox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6248399" y="5762626"/>
          <a:ext cx="374904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GPS</a:t>
          </a:r>
        </a:p>
      </xdr:txBody>
    </xdr:sp>
    <xdr:clientData/>
  </xdr:twoCellAnchor>
  <xdr:twoCellAnchor>
    <xdr:from>
      <xdr:col>29</xdr:col>
      <xdr:colOff>171449</xdr:colOff>
      <xdr:row>35</xdr:row>
      <xdr:rowOff>142876</xdr:rowOff>
    </xdr:from>
    <xdr:to>
      <xdr:col>31</xdr:col>
      <xdr:colOff>127253</xdr:colOff>
      <xdr:row>37</xdr:row>
      <xdr:rowOff>56770</xdr:rowOff>
    </xdr:to>
    <xdr:sp macro="" textlink="">
      <xdr:nvSpPr>
        <xdr:cNvPr id="13" name="TextBox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6248399" y="6238876"/>
          <a:ext cx="374904" cy="23774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RAD</a:t>
          </a:r>
        </a:p>
      </xdr:txBody>
    </xdr:sp>
    <xdr:clientData/>
  </xdr:twoCellAnchor>
  <xdr:twoCellAnchor>
    <xdr:from>
      <xdr:col>47</xdr:col>
      <xdr:colOff>104775</xdr:colOff>
      <xdr:row>34</xdr:row>
      <xdr:rowOff>76201</xdr:rowOff>
    </xdr:from>
    <xdr:to>
      <xdr:col>49</xdr:col>
      <xdr:colOff>142875</xdr:colOff>
      <xdr:row>36</xdr:row>
      <xdr:rowOff>47625</xdr:rowOff>
    </xdr:to>
    <xdr:sp macro="" textlink="">
      <xdr:nvSpPr>
        <xdr:cNvPr id="1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858125" y="5524501"/>
          <a:ext cx="457200" cy="295274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NHC</a:t>
          </a:r>
        </a:p>
      </xdr:txBody>
    </xdr:sp>
    <xdr:clientData/>
  </xdr:twoCellAnchor>
  <xdr:twoCellAnchor>
    <xdr:from>
      <xdr:col>2</xdr:col>
      <xdr:colOff>85725</xdr:colOff>
      <xdr:row>64</xdr:row>
      <xdr:rowOff>47625</xdr:rowOff>
    </xdr:from>
    <xdr:to>
      <xdr:col>9</xdr:col>
      <xdr:colOff>95250</xdr:colOff>
      <xdr:row>66</xdr:row>
      <xdr:rowOff>57150</xdr:rowOff>
    </xdr:to>
    <xdr:sp macro="" textlink="">
      <xdr:nvSpPr>
        <xdr:cNvPr id="16" name="TextBox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295275" y="11525250"/>
          <a:ext cx="1476375" cy="4095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LAMP</a:t>
          </a:r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data 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NWS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28575</xdr:colOff>
      <xdr:row>217</xdr:row>
      <xdr:rowOff>85725</xdr:rowOff>
    </xdr:from>
    <xdr:to>
      <xdr:col>14</xdr:col>
      <xdr:colOff>133350</xdr:colOff>
      <xdr:row>220</xdr:row>
      <xdr:rowOff>95250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238125" y="21688425"/>
          <a:ext cx="2828925" cy="7524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flight level winds and temperatures, there are two options available: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manual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input, or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model 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input. You can also input both, then decide which data to use.</a:t>
          </a:r>
        </a:p>
      </xdr:txBody>
    </xdr:sp>
    <xdr:clientData/>
  </xdr:twoCellAnchor>
  <xdr:twoCellAnchor>
    <xdr:from>
      <xdr:col>1</xdr:col>
      <xdr:colOff>28575</xdr:colOff>
      <xdr:row>220</xdr:row>
      <xdr:rowOff>238125</xdr:rowOff>
    </xdr:from>
    <xdr:to>
      <xdr:col>14</xdr:col>
      <xdr:colOff>133350</xdr:colOff>
      <xdr:row>227</xdr:row>
      <xdr:rowOff>152400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238125" y="22583775"/>
          <a:ext cx="2828925" cy="16478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Manual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input: enter data in the cells highlighted in yellow. Levels may be "skipped", as long as the 2 highest and/or 2 lowest levels are both not skipped. Data for a "skipped" level will be interpolated/ extrapolated from the appropriate level(s) immediately above and/or below. If using manual input, final output of manual data is shown in the far</a:t>
          </a:r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right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section ("USING").</a:t>
          </a:r>
        </a:p>
      </xdr:txBody>
    </xdr:sp>
    <xdr:clientData/>
  </xdr:twoCellAnchor>
  <xdr:twoCellAnchor>
    <xdr:from>
      <xdr:col>1</xdr:col>
      <xdr:colOff>28575</xdr:colOff>
      <xdr:row>228</xdr:row>
      <xdr:rowOff>28577</xdr:rowOff>
    </xdr:from>
    <xdr:to>
      <xdr:col>14</xdr:col>
      <xdr:colOff>133350</xdr:colOff>
      <xdr:row>237</xdr:row>
      <xdr:rowOff>47625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285750" y="24488777"/>
          <a:ext cx="2828925" cy="196214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Model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input: Click on one of the AFWEBS links (it may ask for your PIN). Then: select all (CNTRL-A), copy (CNTRL-C). Then </a:t>
          </a:r>
          <a:r>
            <a:rPr lang="en-US" sz="105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 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 (see instructions there). Data automatically fills in the appropriate cells. Verify that the valid time is appropriate. </a:t>
          </a:r>
        </a:p>
        <a:p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    To use the model data in the MEF, select "MODEL" (drop-down) under</a:t>
          </a:r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"Use:"</a:t>
          </a:r>
          <a:r>
            <a:rPr lang="en-US" sz="105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, otherwise manual input data will be used.</a:t>
          </a:r>
        </a:p>
      </xdr:txBody>
    </xdr:sp>
    <xdr:clientData/>
  </xdr:twoCellAnchor>
  <xdr:twoCellAnchor>
    <xdr:from>
      <xdr:col>1</xdr:col>
      <xdr:colOff>0</xdr:colOff>
      <xdr:row>288</xdr:row>
      <xdr:rowOff>38100</xdr:rowOff>
    </xdr:from>
    <xdr:to>
      <xdr:col>18</xdr:col>
      <xdr:colOff>142876</xdr:colOff>
      <xdr:row>293</xdr:row>
      <xdr:rowOff>219075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238125" y="27746325"/>
          <a:ext cx="3543301" cy="11620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Create up to 4 blocks. Each block can depict conditions for a time period and/or geographic area(s). At least 2 blocks are recommended. Start with "Block 1", (don't skip blocks). Entering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 "Area" name determines block to be used. Enter TEMPO conditions on right-hand side (and vaild times) as needed. </a:t>
          </a:r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data in yellow cells.</a:t>
          </a:r>
        </a:p>
      </xdr:txBody>
    </xdr:sp>
    <xdr:clientData/>
  </xdr:twoCellAnchor>
  <xdr:twoCellAnchor>
    <xdr:from>
      <xdr:col>1</xdr:col>
      <xdr:colOff>0</xdr:colOff>
      <xdr:row>294</xdr:row>
      <xdr:rowOff>123825</xdr:rowOff>
    </xdr:from>
    <xdr:to>
      <xdr:col>18</xdr:col>
      <xdr:colOff>152400</xdr:colOff>
      <xdr:row>298</xdr:row>
      <xdr:rowOff>114300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238125" y="29041725"/>
          <a:ext cx="3552825" cy="8477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surface or flight-level winds (KTS). For SFC winds, enter data in cells with the blue highlight.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</a:t>
          </a:r>
        </a:p>
        <a:p>
          <a:endParaRPr lang="en-US" sz="1000" b="1" baseline="0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6600CC"/>
              </a:solidFill>
              <a:latin typeface="Arial" pitchFamily="34" charset="0"/>
              <a:cs typeface="Arial" pitchFamily="34" charset="0"/>
            </a:rPr>
            <a:t>For FL winds, enter data in purple-highlighted cells. First cell is the flight level (100's feet).</a:t>
          </a:r>
        </a:p>
      </xdr:txBody>
    </xdr:sp>
    <xdr:clientData/>
  </xdr:twoCellAnchor>
  <xdr:twoCellAnchor>
    <xdr:from>
      <xdr:col>1</xdr:col>
      <xdr:colOff>0</xdr:colOff>
      <xdr:row>299</xdr:row>
      <xdr:rowOff>95251</xdr:rowOff>
    </xdr:from>
    <xdr:to>
      <xdr:col>18</xdr:col>
      <xdr:colOff>180975</xdr:colOff>
      <xdr:row>302</xdr:row>
      <xdr:rowOff>66675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38125" y="30022801"/>
          <a:ext cx="3581400" cy="5619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visibility (statute miles) for predominant (mandatory) and tempo (if needed). Weather/precip as needed.</a:t>
          </a:r>
        </a:p>
      </xdr:txBody>
    </xdr:sp>
    <xdr:clientData/>
  </xdr:twoCellAnchor>
  <xdr:twoCellAnchor>
    <xdr:from>
      <xdr:col>1</xdr:col>
      <xdr:colOff>0</xdr:colOff>
      <xdr:row>303</xdr:row>
      <xdr:rowOff>9525</xdr:rowOff>
    </xdr:from>
    <xdr:to>
      <xdr:col>18</xdr:col>
      <xdr:colOff>171449</xdr:colOff>
      <xdr:row>308</xdr:row>
      <xdr:rowOff>104774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38125" y="30737175"/>
          <a:ext cx="3571874" cy="9905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up to 4 predominant / 2 TEMPO layers of clouds (outside of thunderstorms): coverage (use drop-down menu), bases, tops (3 digits). Or "NONE". </a:t>
          </a: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Note: although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up to 6 cloud layers can be selected, only 4 will be displayed (in the black box).</a:t>
          </a:r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309</xdr:row>
      <xdr:rowOff>47623</xdr:rowOff>
    </xdr:from>
    <xdr:to>
      <xdr:col>18</xdr:col>
      <xdr:colOff>161925</xdr:colOff>
      <xdr:row>317</xdr:row>
      <xdr:rowOff>123824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238125" y="31870648"/>
          <a:ext cx="3562350" cy="15621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up to 3 predominant / 2 TEMPO hazards.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Choices are: TS, TURB, ICING, or LLWS (use drop-down menus). For TS, select coverage (drop-down) and enter max tops. For ICING and TURB, select severity (drop-down) and enter layer heights. For LLWS, no severity or heights need to be entered.</a:t>
          </a: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NOTE:</a:t>
          </a:r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Although 5 hazards may be selected, only 3 will be displayed (in the black box). Predominant takes precedence.</a:t>
          </a:r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  <a:p>
          <a:endParaRPr lang="en-US" sz="10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85724</xdr:colOff>
      <xdr:row>67</xdr:row>
      <xdr:rowOff>28576</xdr:rowOff>
    </xdr:from>
    <xdr:to>
      <xdr:col>12</xdr:col>
      <xdr:colOff>95249</xdr:colOff>
      <xdr:row>69</xdr:row>
      <xdr:rowOff>40006</xdr:rowOff>
    </xdr:to>
    <xdr:sp macro="" textlink="">
      <xdr:nvSpPr>
        <xdr:cNvPr id="25" name="TextBox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923924" y="12106276"/>
          <a:ext cx="1476375" cy="41148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NAM </a:t>
          </a:r>
        </a:p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15 OWS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9525</xdr:colOff>
      <xdr:row>423</xdr:row>
      <xdr:rowOff>171449</xdr:rowOff>
    </xdr:from>
    <xdr:to>
      <xdr:col>17</xdr:col>
      <xdr:colOff>1905</xdr:colOff>
      <xdr:row>429</xdr:row>
      <xdr:rowOff>114300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428625" y="31480124"/>
          <a:ext cx="2926080" cy="116205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All data entered in this area will automatically fill into the "MEF", "5-day" and "Gold Standard" worksheets. The only editing other than on this worksheet will be to the weather graphics on the "5-day", and Wednesdays, the "Gold Standard", worksheets.</a:t>
          </a:r>
        </a:p>
      </xdr:txBody>
    </xdr:sp>
    <xdr:clientData/>
  </xdr:twoCellAnchor>
  <xdr:twoCellAnchor>
    <xdr:from>
      <xdr:col>3</xdr:col>
      <xdr:colOff>9525</xdr:colOff>
      <xdr:row>430</xdr:row>
      <xdr:rowOff>9526</xdr:rowOff>
    </xdr:from>
    <xdr:to>
      <xdr:col>17</xdr:col>
      <xdr:colOff>0</xdr:colOff>
      <xdr:row>447</xdr:row>
      <xdr:rowOff>47625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428625" y="32766001"/>
          <a:ext cx="2924175" cy="6953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Font sizes and cell sizes are identical to the corresponding sizes on the MEF and 5-day worksheets. If the data fits in the cells on this worksheet, it will fit in the others as well.</a:t>
          </a:r>
        </a:p>
      </xdr:txBody>
    </xdr:sp>
    <xdr:clientData/>
  </xdr:twoCellAnchor>
  <xdr:twoCellAnchor>
    <xdr:from>
      <xdr:col>7</xdr:col>
      <xdr:colOff>209549</xdr:colOff>
      <xdr:row>447</xdr:row>
      <xdr:rowOff>209550</xdr:rowOff>
    </xdr:from>
    <xdr:to>
      <xdr:col>21</xdr:col>
      <xdr:colOff>19049</xdr:colOff>
      <xdr:row>450</xdr:row>
      <xdr:rowOff>76200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676399" y="35128200"/>
          <a:ext cx="2781300" cy="5810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all 5 days (Wed., 8-days), enter expected high &amp; low temperatures (time of day is optional, "LATE PM", eg.).</a:t>
          </a:r>
        </a:p>
      </xdr:txBody>
    </xdr:sp>
    <xdr:clientData/>
  </xdr:twoCellAnchor>
  <xdr:twoCellAnchor>
    <xdr:from>
      <xdr:col>7</xdr:col>
      <xdr:colOff>209548</xdr:colOff>
      <xdr:row>450</xdr:row>
      <xdr:rowOff>190500</xdr:rowOff>
    </xdr:from>
    <xdr:to>
      <xdr:col>21</xdr:col>
      <xdr:colOff>19048</xdr:colOff>
      <xdr:row>455</xdr:row>
      <xdr:rowOff>209550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676398" y="35823525"/>
          <a:ext cx="2781300" cy="11620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days 2-5, also enter AM &amp; PM min vis/wx, min ceiling. Enter forecast winds for times 0800L &amp;1600L (Wed., enter winds for days 2-8). Winds will automatically convert to plain language / mph on the "5-day" and "Gold Standard" worksheets.</a:t>
          </a:r>
        </a:p>
      </xdr:txBody>
    </xdr:sp>
    <xdr:clientData/>
  </xdr:twoCellAnchor>
  <xdr:twoCellAnchor>
    <xdr:from>
      <xdr:col>8</xdr:col>
      <xdr:colOff>0</xdr:colOff>
      <xdr:row>457</xdr:row>
      <xdr:rowOff>200025</xdr:rowOff>
    </xdr:from>
    <xdr:to>
      <xdr:col>21</xdr:col>
      <xdr:colOff>19050</xdr:colOff>
      <xdr:row>460</xdr:row>
      <xdr:rowOff>200025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1676400" y="37614225"/>
          <a:ext cx="2781300" cy="8382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all 5 (Wed., 8) days,  enter a plain language forecast (for both AM &amp; PM). </a:t>
          </a:r>
          <a:r>
            <a:rPr lang="en-US" sz="10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Reminder: edit the weather graphics on the 5-day (Wed, also "Gold Standard") worksheets. </a:t>
          </a:r>
        </a:p>
      </xdr:txBody>
    </xdr:sp>
    <xdr:clientData/>
  </xdr:twoCellAnchor>
  <xdr:twoCellAnchor>
    <xdr:from>
      <xdr:col>8</xdr:col>
      <xdr:colOff>0</xdr:colOff>
      <xdr:row>462</xdr:row>
      <xdr:rowOff>66675</xdr:rowOff>
    </xdr:from>
    <xdr:to>
      <xdr:col>21</xdr:col>
      <xdr:colOff>19050</xdr:colOff>
      <xdr:row>463</xdr:row>
      <xdr:rowOff>276224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676400" y="38938200"/>
          <a:ext cx="2781300" cy="59054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0000FF"/>
              </a:solidFill>
              <a:latin typeface="Arial" pitchFamily="34" charset="0"/>
              <a:cs typeface="Arial" pitchFamily="34" charset="0"/>
            </a:rPr>
            <a:t>Enter a 2-3 sentence plain-language description/explanation of upcoming weather for the next couple of days.</a:t>
          </a:r>
        </a:p>
      </xdr:txBody>
    </xdr:sp>
    <xdr:clientData/>
  </xdr:twoCellAnchor>
  <xdr:twoCellAnchor>
    <xdr:from>
      <xdr:col>14</xdr:col>
      <xdr:colOff>161925</xdr:colOff>
      <xdr:row>80</xdr:row>
      <xdr:rowOff>114298</xdr:rowOff>
    </xdr:from>
    <xdr:to>
      <xdr:col>25</xdr:col>
      <xdr:colOff>0</xdr:colOff>
      <xdr:row>86</xdr:row>
      <xdr:rowOff>19049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3095625" y="16706848"/>
          <a:ext cx="2143125" cy="11049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69</xdr:row>
      <xdr:rowOff>123822</xdr:rowOff>
    </xdr:from>
    <xdr:to>
      <xdr:col>8</xdr:col>
      <xdr:colOff>47625</xdr:colOff>
      <xdr:row>74</xdr:row>
      <xdr:rowOff>101600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38100" y="14754222"/>
          <a:ext cx="1724025" cy="102552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For LAMP and NAM data, select highlighted data in examples below,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cells.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76199</xdr:colOff>
      <xdr:row>77</xdr:row>
      <xdr:rowOff>47625</xdr:rowOff>
    </xdr:from>
    <xdr:to>
      <xdr:col>12</xdr:col>
      <xdr:colOff>157639</xdr:colOff>
      <xdr:row>86</xdr:row>
      <xdr:rowOff>19050</xdr:rowOff>
    </xdr:to>
    <xdr:pic>
      <xdr:nvPicPr>
        <xdr:cNvPr id="5160" name="Picture 40">
          <a:extLst>
            <a:ext uri="{FF2B5EF4-FFF2-40B4-BE49-F238E27FC236}">
              <a16:creationId xmlns:a16="http://schemas.microsoft.com/office/drawing/2014/main" id="{00000000-0008-0000-0300-00002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154" t="16486" r="39396" b="29483"/>
        <a:stretch>
          <a:fillRect/>
        </a:stretch>
      </xdr:blipFill>
      <xdr:spPr bwMode="auto">
        <a:xfrm>
          <a:off x="76199" y="13811250"/>
          <a:ext cx="2643665" cy="1771650"/>
        </a:xfrm>
        <a:prstGeom prst="rect">
          <a:avLst/>
        </a:prstGeom>
        <a:noFill/>
        <a:ln w="25400">
          <a:solidFill>
            <a:srgbClr val="6600CC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171450</xdr:colOff>
      <xdr:row>217</xdr:row>
      <xdr:rowOff>142874</xdr:rowOff>
    </xdr:from>
    <xdr:to>
      <xdr:col>24</xdr:col>
      <xdr:colOff>142874</xdr:colOff>
      <xdr:row>221</xdr:row>
      <xdr:rowOff>28575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3314700" y="21745574"/>
          <a:ext cx="1857374" cy="876301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model data: CNTRL-A (select all), CNTRL-C (copy), then: </a:t>
          </a:r>
        </a:p>
        <a:p>
          <a:r>
            <a:rPr lang="en-US" sz="105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5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cell.</a:t>
          </a:r>
          <a:endParaRPr lang="en-US" sz="12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180975</xdr:colOff>
      <xdr:row>222</xdr:row>
      <xdr:rowOff>0</xdr:rowOff>
    </xdr:from>
    <xdr:to>
      <xdr:col>26</xdr:col>
      <xdr:colOff>19050</xdr:colOff>
      <xdr:row>226</xdr:row>
      <xdr:rowOff>133350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3324225" y="22840950"/>
          <a:ext cx="2143125" cy="11239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 b="1" baseline="0">
              <a:solidFill>
                <a:srgbClr val="FE8002"/>
              </a:solidFill>
              <a:latin typeface="Arial" pitchFamily="34" charset="0"/>
              <a:cs typeface="Arial" pitchFamily="34" charset="0"/>
            </a:rPr>
            <a:t>CAUTION:</a:t>
          </a:r>
        </a:p>
        <a:p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If the yellow turns to white (disappears) after you paste, you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did not 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paste correctly...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"undo"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and then </a:t>
          </a:r>
          <a:r>
            <a:rPr lang="en-US" sz="11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  <a:r>
            <a:rPr lang="en-US" sz="11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45</xdr:row>
      <xdr:rowOff>47625</xdr:rowOff>
    </xdr:from>
    <xdr:to>
      <xdr:col>18</xdr:col>
      <xdr:colOff>15239</xdr:colOff>
      <xdr:row>45</xdr:row>
      <xdr:rowOff>276225</xdr:rowOff>
    </xdr:to>
    <xdr:sp macro="" textlink="">
      <xdr:nvSpPr>
        <xdr:cNvPr id="37" name="TextBox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2324099" y="7877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High</a:t>
          </a:r>
        </a:p>
      </xdr:txBody>
    </xdr:sp>
    <xdr:clientData/>
  </xdr:twoCellAnchor>
  <xdr:twoCellAnchor>
    <xdr:from>
      <xdr:col>11</xdr:col>
      <xdr:colOff>19049</xdr:colOff>
      <xdr:row>48</xdr:row>
      <xdr:rowOff>47625</xdr:rowOff>
    </xdr:from>
    <xdr:to>
      <xdr:col>18</xdr:col>
      <xdr:colOff>15239</xdr:colOff>
      <xdr:row>48</xdr:row>
      <xdr:rowOff>276225</xdr:rowOff>
    </xdr:to>
    <xdr:sp macro="" textlink="">
      <xdr:nvSpPr>
        <xdr:cNvPr id="38" name="TextBox 3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2324099" y="8791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Bermuda</a:t>
          </a:r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High</a:t>
          </a:r>
        </a:p>
      </xdr:txBody>
    </xdr:sp>
    <xdr:clientData/>
  </xdr:twoCellAnchor>
  <xdr:twoCellAnchor>
    <xdr:from>
      <xdr:col>11</xdr:col>
      <xdr:colOff>19049</xdr:colOff>
      <xdr:row>46</xdr:row>
      <xdr:rowOff>47625</xdr:rowOff>
    </xdr:from>
    <xdr:to>
      <xdr:col>18</xdr:col>
      <xdr:colOff>15239</xdr:colOff>
      <xdr:row>46</xdr:row>
      <xdr:rowOff>276225</xdr:rowOff>
    </xdr:to>
    <xdr:sp macro="" textlink="">
      <xdr:nvSpPr>
        <xdr:cNvPr id="39" name="TextBox 3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2324099" y="8181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Low-Meridional</a:t>
          </a:r>
        </a:p>
      </xdr:txBody>
    </xdr:sp>
    <xdr:clientData/>
  </xdr:twoCellAnchor>
  <xdr:twoCellAnchor>
    <xdr:from>
      <xdr:col>11</xdr:col>
      <xdr:colOff>19049</xdr:colOff>
      <xdr:row>47</xdr:row>
      <xdr:rowOff>47625</xdr:rowOff>
    </xdr:from>
    <xdr:to>
      <xdr:col>18</xdr:col>
      <xdr:colOff>15239</xdr:colOff>
      <xdr:row>47</xdr:row>
      <xdr:rowOff>276225</xdr:rowOff>
    </xdr:to>
    <xdr:sp macro="" textlink="">
      <xdr:nvSpPr>
        <xdr:cNvPr id="40" name="TextBox 3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2324099" y="8486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Alberta Low-Zonal</a:t>
          </a:r>
        </a:p>
      </xdr:txBody>
    </xdr:sp>
    <xdr:clientData/>
  </xdr:twoCellAnchor>
  <xdr:twoCellAnchor>
    <xdr:from>
      <xdr:col>11</xdr:col>
      <xdr:colOff>28574</xdr:colOff>
      <xdr:row>49</xdr:row>
      <xdr:rowOff>47625</xdr:rowOff>
    </xdr:from>
    <xdr:to>
      <xdr:col>18</xdr:col>
      <xdr:colOff>24764</xdr:colOff>
      <xdr:row>49</xdr:row>
      <xdr:rowOff>276225</xdr:rowOff>
    </xdr:to>
    <xdr:sp macro="" textlink="">
      <xdr:nvSpPr>
        <xdr:cNvPr id="41" name="TextBox 4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333624" y="9096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Colorado Low</a:t>
          </a:r>
        </a:p>
      </xdr:txBody>
    </xdr:sp>
    <xdr:clientData/>
  </xdr:twoCellAnchor>
  <xdr:twoCellAnchor>
    <xdr:from>
      <xdr:col>11</xdr:col>
      <xdr:colOff>19049</xdr:colOff>
      <xdr:row>50</xdr:row>
      <xdr:rowOff>47625</xdr:rowOff>
    </xdr:from>
    <xdr:to>
      <xdr:col>18</xdr:col>
      <xdr:colOff>15239</xdr:colOff>
      <xdr:row>50</xdr:row>
      <xdr:rowOff>276225</xdr:rowOff>
    </xdr:to>
    <xdr:sp macro="" textlink="">
      <xdr:nvSpPr>
        <xdr:cNvPr id="42" name="TextBox 4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2324099" y="9401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Gulf Low (East)</a:t>
          </a:r>
        </a:p>
      </xdr:txBody>
    </xdr:sp>
    <xdr:clientData/>
  </xdr:twoCellAnchor>
  <xdr:twoCellAnchor>
    <xdr:from>
      <xdr:col>11</xdr:col>
      <xdr:colOff>19049</xdr:colOff>
      <xdr:row>51</xdr:row>
      <xdr:rowOff>47625</xdr:rowOff>
    </xdr:from>
    <xdr:to>
      <xdr:col>18</xdr:col>
      <xdr:colOff>15239</xdr:colOff>
      <xdr:row>51</xdr:row>
      <xdr:rowOff>276225</xdr:rowOff>
    </xdr:to>
    <xdr:sp macro="" textlink="">
      <xdr:nvSpPr>
        <xdr:cNvPr id="43" name="TextBox 4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2324099" y="9705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Gulf Low (West)</a:t>
          </a:r>
        </a:p>
      </xdr:txBody>
    </xdr:sp>
    <xdr:clientData/>
  </xdr:twoCellAnchor>
  <xdr:twoCellAnchor>
    <xdr:from>
      <xdr:col>11</xdr:col>
      <xdr:colOff>19049</xdr:colOff>
      <xdr:row>52</xdr:row>
      <xdr:rowOff>47625</xdr:rowOff>
    </xdr:from>
    <xdr:to>
      <xdr:col>18</xdr:col>
      <xdr:colOff>15239</xdr:colOff>
      <xdr:row>52</xdr:row>
      <xdr:rowOff>276225</xdr:rowOff>
    </xdr:to>
    <xdr:sp macro="" textlink="">
      <xdr:nvSpPr>
        <xdr:cNvPr id="44" name="TextBox 4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2324099" y="10010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Hatteras Low</a:t>
          </a:r>
        </a:p>
      </xdr:txBody>
    </xdr:sp>
    <xdr:clientData/>
  </xdr:twoCellAnchor>
  <xdr:twoCellAnchor>
    <xdr:from>
      <xdr:col>11</xdr:col>
      <xdr:colOff>19049</xdr:colOff>
      <xdr:row>53</xdr:row>
      <xdr:rowOff>47625</xdr:rowOff>
    </xdr:from>
    <xdr:to>
      <xdr:col>18</xdr:col>
      <xdr:colOff>15239</xdr:colOff>
      <xdr:row>53</xdr:row>
      <xdr:rowOff>276225</xdr:rowOff>
    </xdr:to>
    <xdr:sp macro="" textlink="">
      <xdr:nvSpPr>
        <xdr:cNvPr id="45" name="TextBox 4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2324099" y="10315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Hudson Low</a:t>
          </a:r>
        </a:p>
      </xdr:txBody>
    </xdr:sp>
    <xdr:clientData/>
  </xdr:twoCellAnchor>
  <xdr:twoCellAnchor>
    <xdr:from>
      <xdr:col>11</xdr:col>
      <xdr:colOff>19049</xdr:colOff>
      <xdr:row>54</xdr:row>
      <xdr:rowOff>47625</xdr:rowOff>
    </xdr:from>
    <xdr:to>
      <xdr:col>18</xdr:col>
      <xdr:colOff>15239</xdr:colOff>
      <xdr:row>54</xdr:row>
      <xdr:rowOff>276225</xdr:rowOff>
    </xdr:to>
    <xdr:sp macro="" textlink="">
      <xdr:nvSpPr>
        <xdr:cNvPr id="46" name="TextBox 4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2324099" y="10620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 Pacific High</a:t>
          </a:r>
        </a:p>
      </xdr:txBody>
    </xdr:sp>
    <xdr:clientData/>
  </xdr:twoCellAnchor>
  <xdr:twoCellAnchor>
    <xdr:from>
      <xdr:col>11</xdr:col>
      <xdr:colOff>19049</xdr:colOff>
      <xdr:row>55</xdr:row>
      <xdr:rowOff>47625</xdr:rowOff>
    </xdr:from>
    <xdr:to>
      <xdr:col>18</xdr:col>
      <xdr:colOff>15239</xdr:colOff>
      <xdr:row>55</xdr:row>
      <xdr:rowOff>276225</xdr:rowOff>
    </xdr:to>
    <xdr:sp macro="" textlink="">
      <xdr:nvSpPr>
        <xdr:cNvPr id="47" name="TextBox 4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2324099" y="10925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 Pacific Low</a:t>
          </a:r>
        </a:p>
      </xdr:txBody>
    </xdr:sp>
    <xdr:clientData/>
  </xdr:twoCellAnchor>
  <xdr:twoCellAnchor>
    <xdr:from>
      <xdr:col>11</xdr:col>
      <xdr:colOff>9524</xdr:colOff>
      <xdr:row>56</xdr:row>
      <xdr:rowOff>47625</xdr:rowOff>
    </xdr:from>
    <xdr:to>
      <xdr:col>18</xdr:col>
      <xdr:colOff>5714</xdr:colOff>
      <xdr:row>56</xdr:row>
      <xdr:rowOff>276225</xdr:rowOff>
    </xdr:to>
    <xdr:sp macro="" textlink="">
      <xdr:nvSpPr>
        <xdr:cNvPr id="48" name="TextBox 4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2314574" y="11229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Northern Rocky Mtn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Low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57</xdr:row>
      <xdr:rowOff>47625</xdr:rowOff>
    </xdr:from>
    <xdr:to>
      <xdr:col>18</xdr:col>
      <xdr:colOff>15239</xdr:colOff>
      <xdr:row>57</xdr:row>
      <xdr:rowOff>276225</xdr:rowOff>
    </xdr:to>
    <xdr:sp macro="" textlink="">
      <xdr:nvSpPr>
        <xdr:cNvPr id="49" name="TextBox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2324099" y="11534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Rocky Mtn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High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19049</xdr:colOff>
      <xdr:row>58</xdr:row>
      <xdr:rowOff>47625</xdr:rowOff>
    </xdr:from>
    <xdr:to>
      <xdr:col>18</xdr:col>
      <xdr:colOff>15239</xdr:colOff>
      <xdr:row>58</xdr:row>
      <xdr:rowOff>276225</xdr:rowOff>
    </xdr:to>
    <xdr:sp macro="" textlink="">
      <xdr:nvSpPr>
        <xdr:cNvPr id="50" name="TextBox 4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2324099" y="11839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South Pacific Low</a:t>
          </a:r>
        </a:p>
      </xdr:txBody>
    </xdr:sp>
    <xdr:clientData/>
  </xdr:twoCellAnchor>
  <xdr:twoCellAnchor>
    <xdr:from>
      <xdr:col>11</xdr:col>
      <xdr:colOff>19049</xdr:colOff>
      <xdr:row>59</xdr:row>
      <xdr:rowOff>47625</xdr:rowOff>
    </xdr:from>
    <xdr:to>
      <xdr:col>18</xdr:col>
      <xdr:colOff>15239</xdr:colOff>
      <xdr:row>59</xdr:row>
      <xdr:rowOff>276225</xdr:rowOff>
    </xdr:to>
    <xdr:sp macro="" textlink="">
      <xdr:nvSpPr>
        <xdr:cNvPr id="51" name="TextBox 5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2324099" y="12144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Texas Low</a:t>
          </a:r>
        </a:p>
      </xdr:txBody>
    </xdr:sp>
    <xdr:clientData/>
  </xdr:twoCellAnchor>
  <xdr:twoCellAnchor>
    <xdr:from>
      <xdr:col>11</xdr:col>
      <xdr:colOff>19049</xdr:colOff>
      <xdr:row>60</xdr:row>
      <xdr:rowOff>47625</xdr:rowOff>
    </xdr:from>
    <xdr:to>
      <xdr:col>18</xdr:col>
      <xdr:colOff>15239</xdr:colOff>
      <xdr:row>60</xdr:row>
      <xdr:rowOff>276225</xdr:rowOff>
    </xdr:to>
    <xdr:sp macro="" textlink="">
      <xdr:nvSpPr>
        <xdr:cNvPr id="52" name="TextBox 5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2324099" y="12449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Tropical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Systems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20</xdr:col>
      <xdr:colOff>19049</xdr:colOff>
      <xdr:row>45</xdr:row>
      <xdr:rowOff>47625</xdr:rowOff>
    </xdr:from>
    <xdr:to>
      <xdr:col>27</xdr:col>
      <xdr:colOff>198119</xdr:colOff>
      <xdr:row>45</xdr:row>
      <xdr:rowOff>276225</xdr:rowOff>
    </xdr:to>
    <xdr:sp macro="" textlink="">
      <xdr:nvSpPr>
        <xdr:cNvPr id="53" name="TextBox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4210049" y="7877175"/>
          <a:ext cx="164592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Ceilings,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t'storms, snow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114299</xdr:colOff>
      <xdr:row>45</xdr:row>
      <xdr:rowOff>47625</xdr:rowOff>
    </xdr:from>
    <xdr:to>
      <xdr:col>9</xdr:col>
      <xdr:colOff>110489</xdr:colOff>
      <xdr:row>45</xdr:row>
      <xdr:rowOff>276225</xdr:rowOff>
    </xdr:to>
    <xdr:sp macro="" textlink="">
      <xdr:nvSpPr>
        <xdr:cNvPr id="54" name="TextBox 5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533399" y="7877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Turbulence</a:t>
          </a:r>
        </a:p>
      </xdr:txBody>
    </xdr:sp>
    <xdr:clientData/>
  </xdr:twoCellAnchor>
  <xdr:twoCellAnchor>
    <xdr:from>
      <xdr:col>2</xdr:col>
      <xdr:colOff>114299</xdr:colOff>
      <xdr:row>46</xdr:row>
      <xdr:rowOff>47625</xdr:rowOff>
    </xdr:from>
    <xdr:to>
      <xdr:col>9</xdr:col>
      <xdr:colOff>110489</xdr:colOff>
      <xdr:row>46</xdr:row>
      <xdr:rowOff>276225</xdr:rowOff>
    </xdr:to>
    <xdr:sp macro="" textlink="">
      <xdr:nvSpPr>
        <xdr:cNvPr id="55" name="TextBox 5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33399" y="8181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Icing</a:t>
          </a:r>
        </a:p>
      </xdr:txBody>
    </xdr:sp>
    <xdr:clientData/>
  </xdr:twoCellAnchor>
  <xdr:twoCellAnchor>
    <xdr:from>
      <xdr:col>2</xdr:col>
      <xdr:colOff>114299</xdr:colOff>
      <xdr:row>47</xdr:row>
      <xdr:rowOff>47625</xdr:rowOff>
    </xdr:from>
    <xdr:to>
      <xdr:col>9</xdr:col>
      <xdr:colOff>110489</xdr:colOff>
      <xdr:row>47</xdr:row>
      <xdr:rowOff>276225</xdr:rowOff>
    </xdr:to>
    <xdr:sp macro="" textlink="">
      <xdr:nvSpPr>
        <xdr:cNvPr id="56" name="TextBox 5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533399" y="8486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Thunderstorms</a:t>
          </a:r>
        </a:p>
      </xdr:txBody>
    </xdr:sp>
    <xdr:clientData/>
  </xdr:twoCellAnchor>
  <xdr:twoCellAnchor>
    <xdr:from>
      <xdr:col>2</xdr:col>
      <xdr:colOff>114299</xdr:colOff>
      <xdr:row>48</xdr:row>
      <xdr:rowOff>47625</xdr:rowOff>
    </xdr:from>
    <xdr:to>
      <xdr:col>9</xdr:col>
      <xdr:colOff>110489</xdr:colOff>
      <xdr:row>48</xdr:row>
      <xdr:rowOff>276225</xdr:rowOff>
    </xdr:to>
    <xdr:sp macro="" textlink="">
      <xdr:nvSpPr>
        <xdr:cNvPr id="57" name="TextBox 5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533399" y="87915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Low-level wind shear</a:t>
          </a:r>
        </a:p>
      </xdr:txBody>
    </xdr:sp>
    <xdr:clientData/>
  </xdr:twoCellAnchor>
  <xdr:twoCellAnchor>
    <xdr:from>
      <xdr:col>2</xdr:col>
      <xdr:colOff>114299</xdr:colOff>
      <xdr:row>49</xdr:row>
      <xdr:rowOff>47625</xdr:rowOff>
    </xdr:from>
    <xdr:to>
      <xdr:col>9</xdr:col>
      <xdr:colOff>110489</xdr:colOff>
      <xdr:row>49</xdr:row>
      <xdr:rowOff>276225</xdr:rowOff>
    </xdr:to>
    <xdr:sp macro="" textlink="">
      <xdr:nvSpPr>
        <xdr:cNvPr id="58" name="TextBox 5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533399" y="90963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Non-convective winds</a:t>
          </a:r>
        </a:p>
      </xdr:txBody>
    </xdr:sp>
    <xdr:clientData/>
  </xdr:twoCellAnchor>
  <xdr:twoCellAnchor>
    <xdr:from>
      <xdr:col>2</xdr:col>
      <xdr:colOff>114299</xdr:colOff>
      <xdr:row>50</xdr:row>
      <xdr:rowOff>47625</xdr:rowOff>
    </xdr:from>
    <xdr:to>
      <xdr:col>9</xdr:col>
      <xdr:colOff>110489</xdr:colOff>
      <xdr:row>50</xdr:row>
      <xdr:rowOff>276225</xdr:rowOff>
    </xdr:to>
    <xdr:sp macro="" textlink="">
      <xdr:nvSpPr>
        <xdr:cNvPr id="59" name="TextBox 5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533399" y="94011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Rain vs. snow</a:t>
          </a:r>
        </a:p>
      </xdr:txBody>
    </xdr:sp>
    <xdr:clientData/>
  </xdr:twoCellAnchor>
  <xdr:twoCellAnchor>
    <xdr:from>
      <xdr:col>2</xdr:col>
      <xdr:colOff>114299</xdr:colOff>
      <xdr:row>51</xdr:row>
      <xdr:rowOff>47625</xdr:rowOff>
    </xdr:from>
    <xdr:to>
      <xdr:col>9</xdr:col>
      <xdr:colOff>110489</xdr:colOff>
      <xdr:row>51</xdr:row>
      <xdr:rowOff>276225</xdr:rowOff>
    </xdr:to>
    <xdr:sp macro="" textlink="">
      <xdr:nvSpPr>
        <xdr:cNvPr id="60" name="TextBox 5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533399" y="97059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Freezing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precipitation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114299</xdr:colOff>
      <xdr:row>52</xdr:row>
      <xdr:rowOff>47625</xdr:rowOff>
    </xdr:from>
    <xdr:to>
      <xdr:col>9</xdr:col>
      <xdr:colOff>110489</xdr:colOff>
      <xdr:row>52</xdr:row>
      <xdr:rowOff>276225</xdr:rowOff>
    </xdr:to>
    <xdr:sp macro="" textlink="">
      <xdr:nvSpPr>
        <xdr:cNvPr id="61" name="TextBox 6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533399" y="10010775"/>
          <a:ext cx="1463040" cy="2286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9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Freezing</a:t>
          </a:r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drizzle vs. snow</a:t>
          </a:r>
          <a:endParaRPr lang="en-US" sz="9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19050</xdr:colOff>
      <xdr:row>66</xdr:row>
      <xdr:rowOff>66675</xdr:rowOff>
    </xdr:from>
    <xdr:to>
      <xdr:col>3</xdr:col>
      <xdr:colOff>38100</xdr:colOff>
      <xdr:row>69</xdr:row>
      <xdr:rowOff>123825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CxnSpPr/>
      </xdr:nvCxnSpPr>
      <xdr:spPr bwMode="auto">
        <a:xfrm flipV="1">
          <a:off x="647700" y="13858875"/>
          <a:ext cx="19050" cy="657225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3</xdr:col>
      <xdr:colOff>38100</xdr:colOff>
      <xdr:row>68</xdr:row>
      <xdr:rowOff>0</xdr:rowOff>
    </xdr:from>
    <xdr:to>
      <xdr:col>5</xdr:col>
      <xdr:colOff>38100</xdr:colOff>
      <xdr:row>69</xdr:row>
      <xdr:rowOff>123825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CxnSpPr/>
      </xdr:nvCxnSpPr>
      <xdr:spPr bwMode="auto">
        <a:xfrm flipV="1">
          <a:off x="666750" y="14192250"/>
          <a:ext cx="419100" cy="323850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12</xdr:col>
      <xdr:colOff>66675</xdr:colOff>
      <xdr:row>321</xdr:row>
      <xdr:rowOff>9525</xdr:rowOff>
    </xdr:from>
    <xdr:to>
      <xdr:col>19</xdr:col>
      <xdr:colOff>0</xdr:colOff>
      <xdr:row>323</xdr:row>
      <xdr:rowOff>19050</xdr:rowOff>
    </xdr:to>
    <xdr:sp macro="" textlink="">
      <xdr:nvSpPr>
        <xdr:cNvPr id="65" name="TextBox 64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2625725" y="34191575"/>
          <a:ext cx="1400175" cy="473075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MOS</a:t>
          </a:r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data </a:t>
          </a:r>
          <a:r>
            <a:rPr lang="en-US" sz="10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1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NWS</a:t>
          </a:r>
          <a:endParaRPr lang="en-US" sz="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95251</xdr:colOff>
      <xdr:row>322</xdr:row>
      <xdr:rowOff>25400</xdr:rowOff>
    </xdr:from>
    <xdr:to>
      <xdr:col>12</xdr:col>
      <xdr:colOff>69850</xdr:colOff>
      <xdr:row>324</xdr:row>
      <xdr:rowOff>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CxnSpPr/>
      </xdr:nvCxnSpPr>
      <xdr:spPr bwMode="auto">
        <a:xfrm flipH="1" flipV="1">
          <a:off x="2438401" y="34397950"/>
          <a:ext cx="184149" cy="400050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 editAs="oneCell">
    <xdr:from>
      <xdr:col>0</xdr:col>
      <xdr:colOff>219075</xdr:colOff>
      <xdr:row>86</xdr:row>
      <xdr:rowOff>114300</xdr:rowOff>
    </xdr:from>
    <xdr:to>
      <xdr:col>27</xdr:col>
      <xdr:colOff>7144</xdr:colOff>
      <xdr:row>99</xdr:row>
      <xdr:rowOff>114300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" t="10986" r="33418" b="49891"/>
        <a:stretch/>
      </xdr:blipFill>
      <xdr:spPr>
        <a:xfrm>
          <a:off x="219075" y="18040350"/>
          <a:ext cx="5531644" cy="2600325"/>
        </a:xfrm>
        <a:prstGeom prst="rect">
          <a:avLst/>
        </a:prstGeom>
        <a:ln w="25400">
          <a:solidFill>
            <a:srgbClr val="6600CC"/>
          </a:solidFill>
        </a:ln>
      </xdr:spPr>
    </xdr:pic>
    <xdr:clientData/>
  </xdr:twoCellAnchor>
  <xdr:twoCellAnchor>
    <xdr:from>
      <xdr:col>4</xdr:col>
      <xdr:colOff>28575</xdr:colOff>
      <xdr:row>214</xdr:row>
      <xdr:rowOff>1</xdr:rowOff>
    </xdr:from>
    <xdr:to>
      <xdr:col>13</xdr:col>
      <xdr:colOff>114301</xdr:colOff>
      <xdr:row>215</xdr:row>
      <xdr:rowOff>120016</xdr:rowOff>
    </xdr:to>
    <xdr:sp macro="" textlink="">
      <xdr:nvSpPr>
        <xdr:cNvPr id="70" name="TextBox 6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914400" y="21107401"/>
          <a:ext cx="1971676" cy="32004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GALWEM 12-HR </a:t>
          </a:r>
        </a:p>
        <a:p>
          <a:pPr algn="ctr"/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</a:t>
          </a:r>
          <a:r>
            <a:rPr lang="en-US" sz="8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AFWEBS</a:t>
          </a:r>
          <a:endParaRPr lang="en-US" sz="7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28575</xdr:colOff>
      <xdr:row>215</xdr:row>
      <xdr:rowOff>152400</xdr:rowOff>
    </xdr:from>
    <xdr:to>
      <xdr:col>13</xdr:col>
      <xdr:colOff>114301</xdr:colOff>
      <xdr:row>217</xdr:row>
      <xdr:rowOff>43815</xdr:rowOff>
    </xdr:to>
    <xdr:sp macro="" textlink="">
      <xdr:nvSpPr>
        <xdr:cNvPr id="72" name="TextBox 7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914400" y="21459825"/>
          <a:ext cx="1971676" cy="32004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KFTK GALWEM 15-HR</a:t>
          </a:r>
        </a:p>
        <a:p>
          <a:pPr algn="ctr"/>
          <a:r>
            <a:rPr lang="en-U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AFWEBS</a:t>
          </a:r>
          <a:endParaRPr lang="en-US" sz="4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85725</xdr:colOff>
      <xdr:row>70</xdr:row>
      <xdr:rowOff>57150</xdr:rowOff>
    </xdr:from>
    <xdr:to>
      <xdr:col>15</xdr:col>
      <xdr:colOff>133350</xdr:colOff>
      <xdr:row>72</xdr:row>
      <xdr:rowOff>38100</xdr:rowOff>
    </xdr:to>
    <xdr:sp macro="" textlink="">
      <xdr:nvSpPr>
        <xdr:cNvPr id="74" name="TextBox 7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1809750" y="14782800"/>
          <a:ext cx="1514475" cy="38100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GALWEM FOUS</a:t>
          </a:r>
        </a:p>
        <a:p>
          <a:pPr algn="ctr"/>
          <a:r>
            <a:rPr lang="en-US" sz="9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from AFW-WEBS</a:t>
          </a:r>
          <a:endParaRPr lang="en-US" sz="5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27</xdr:col>
      <xdr:colOff>0</xdr:colOff>
      <xdr:row>320</xdr:row>
      <xdr:rowOff>247650</xdr:rowOff>
    </xdr:from>
    <xdr:to>
      <xdr:col>66</xdr:col>
      <xdr:colOff>0</xdr:colOff>
      <xdr:row>322</xdr:row>
      <xdr:rowOff>28575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438775" y="34051875"/>
          <a:ext cx="78581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gradFill flip="none" rotWithShape="1">
                <a:gsLst>
                  <a:gs pos="0">
                    <a:srgbClr val="FFFF99"/>
                  </a:gs>
                  <a:gs pos="100000">
                    <a:srgbClr val="FFFA00"/>
                  </a:gs>
                  <a:gs pos="100000">
                    <a:schemeClr val="accent1">
                      <a:lumMod val="45000"/>
                      <a:lumOff val="55000"/>
                    </a:schemeClr>
                  </a:gs>
                  <a:gs pos="100000">
                    <a:srgbClr val="FDF103"/>
                  </a:gs>
                </a:gsLst>
                <a:lin ang="16200000" scaled="1"/>
                <a:tileRect/>
              </a:gradFill>
              <a:latin typeface="Arial Black" panose="020B0A04020102020204" pitchFamily="34" charset="0"/>
            </a:rPr>
            <a:t>M E F     V A L I D     P E R I O D</a:t>
          </a:r>
        </a:p>
      </xdr:txBody>
    </xdr:sp>
    <xdr:clientData/>
  </xdr:twoCellAnchor>
  <xdr:twoCellAnchor>
    <xdr:from>
      <xdr:col>11</xdr:col>
      <xdr:colOff>1</xdr:colOff>
      <xdr:row>324</xdr:row>
      <xdr:rowOff>50800</xdr:rowOff>
    </xdr:from>
    <xdr:to>
      <xdr:col>18</xdr:col>
      <xdr:colOff>127001</xdr:colOff>
      <xdr:row>331</xdr:row>
      <xdr:rowOff>63500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343151" y="34848800"/>
          <a:ext cx="1593850" cy="11938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Select highlighted data in the example, CNTRL-C (copy), then: </a:t>
          </a:r>
        </a:p>
        <a:p>
          <a:r>
            <a:rPr lang="en-US" sz="1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"Paste Special...", "text"</a:t>
          </a:r>
        </a:p>
        <a:p>
          <a:r>
            <a:rPr lang="en-US" sz="1000" b="1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in the bright yellow cell.</a:t>
          </a:r>
          <a:endParaRPr lang="en-US" sz="1100" b="1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31749</xdr:colOff>
      <xdr:row>324</xdr:row>
      <xdr:rowOff>160398</xdr:rowOff>
    </xdr:from>
    <xdr:to>
      <xdr:col>10</xdr:col>
      <xdr:colOff>139700</xdr:colOff>
      <xdr:row>347</xdr:row>
      <xdr:rowOff>127000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16956" t="20873" r="25514" b="15572"/>
        <a:stretch/>
      </xdr:blipFill>
      <xdr:spPr>
        <a:xfrm>
          <a:off x="31749" y="34958398"/>
          <a:ext cx="2241551" cy="3509902"/>
        </a:xfrm>
        <a:prstGeom prst="rect">
          <a:avLst/>
        </a:prstGeom>
        <a:ln w="25400">
          <a:solidFill>
            <a:srgbClr val="6600CC"/>
          </a:solidFill>
        </a:ln>
      </xdr:spPr>
    </xdr:pic>
    <xdr:clientData/>
  </xdr:twoCellAnchor>
  <xdr:twoCellAnchor>
    <xdr:from>
      <xdr:col>19</xdr:col>
      <xdr:colOff>195693</xdr:colOff>
      <xdr:row>64</xdr:row>
      <xdr:rowOff>202044</xdr:rowOff>
    </xdr:from>
    <xdr:to>
      <xdr:col>26</xdr:col>
      <xdr:colOff>16740</xdr:colOff>
      <xdr:row>67</xdr:row>
      <xdr:rowOff>0</xdr:rowOff>
    </xdr:to>
    <xdr:sp macro="" textlink="">
      <xdr:nvSpPr>
        <xdr:cNvPr id="5161" name="Rounded Rectangle 5160">
          <a:extLst>
            <a:ext uri="{FF2B5EF4-FFF2-40B4-BE49-F238E27FC236}">
              <a16:creationId xmlns:a16="http://schemas.microsoft.com/office/drawing/2014/main" id="{00000000-0008-0000-0300-000029140000}"/>
            </a:ext>
          </a:extLst>
        </xdr:cNvPr>
        <xdr:cNvSpPr/>
      </xdr:nvSpPr>
      <xdr:spPr bwMode="auto">
        <a:xfrm>
          <a:off x="4215243" y="13784694"/>
          <a:ext cx="1287897" cy="426606"/>
        </a:xfrm>
        <a:prstGeom prst="roundRect">
          <a:avLst/>
        </a:prstGeom>
        <a:noFill/>
        <a:ln w="76200" cap="flat" cmpd="sng" algn="ctr">
          <a:gradFill>
            <a:gsLst>
              <a:gs pos="4000">
                <a:srgbClr val="DEBDFF"/>
              </a:gs>
              <a:gs pos="0">
                <a:srgbClr val="26004C"/>
              </a:gs>
              <a:gs pos="91000">
                <a:srgbClr val="4F009D"/>
              </a:gs>
              <a:gs pos="12000">
                <a:srgbClr val="9021FF"/>
              </a:gs>
              <a:gs pos="100000">
                <a:srgbClr val="26004C"/>
              </a:gs>
            </a:gsLst>
            <a:lin ang="5400000" scaled="1"/>
          </a:gradFill>
          <a:prstDash val="solid"/>
          <a:round/>
          <a:headEnd type="none" w="med" len="med"/>
          <a:tailEnd type="none" w="med" len="med"/>
        </a:ln>
        <a:effectLst>
          <a:outerShdw blurRad="63500" sx="101000" sy="101000" algn="ctr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523874</xdr:colOff>
      <xdr:row>2</xdr:row>
      <xdr:rowOff>28576</xdr:rowOff>
    </xdr:from>
    <xdr:to>
      <xdr:col>17</xdr:col>
      <xdr:colOff>323849</xdr:colOff>
      <xdr:row>4</xdr:row>
      <xdr:rowOff>9526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353799" y="219076"/>
          <a:ext cx="1019175" cy="36195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Solar/Lunar</a:t>
          </a:r>
        </a:p>
      </xdr:txBody>
    </xdr:sp>
    <xdr:clientData/>
  </xdr:twoCellAnchor>
  <xdr:twoCellAnchor>
    <xdr:from>
      <xdr:col>15</xdr:col>
      <xdr:colOff>542925</xdr:colOff>
      <xdr:row>6</xdr:row>
      <xdr:rowOff>85726</xdr:rowOff>
    </xdr:from>
    <xdr:to>
      <xdr:col>17</xdr:col>
      <xdr:colOff>371475</xdr:colOff>
      <xdr:row>8</xdr:row>
      <xdr:rowOff>57151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372850" y="1038226"/>
          <a:ext cx="1047750" cy="361950"/>
        </a:xfrm>
        <a:prstGeom prst="roundRect">
          <a:avLst/>
        </a:prstGeom>
        <a:solidFill>
          <a:srgbClr val="6600CC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Moon</a:t>
          </a:r>
          <a:r>
            <a:rPr lang="en-US" sz="13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Illum.</a:t>
          </a:r>
          <a:endParaRPr lang="en-US" sz="13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25</xdr:col>
      <xdr:colOff>200025</xdr:colOff>
      <xdr:row>3</xdr:row>
      <xdr:rowOff>180975</xdr:rowOff>
    </xdr:from>
    <xdr:to>
      <xdr:col>25</xdr:col>
      <xdr:colOff>209550</xdr:colOff>
      <xdr:row>5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 bwMode="auto">
        <a:xfrm flipH="1">
          <a:off x="15601950" y="561975"/>
          <a:ext cx="9525" cy="352425"/>
        </a:xfrm>
        <a:prstGeom prst="straightConnector1">
          <a:avLst/>
        </a:prstGeom>
        <a:solidFill>
          <a:srgbClr val="FFFFFF"/>
        </a:solidFill>
        <a:ln w="31750" cap="flat" cmpd="sng" algn="ctr">
          <a:solidFill>
            <a:srgbClr val="6600CC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16617</xdr:colOff>
      <xdr:row>20</xdr:row>
      <xdr:rowOff>197039</xdr:rowOff>
    </xdr:from>
    <xdr:to>
      <xdr:col>23</xdr:col>
      <xdr:colOff>600677</xdr:colOff>
      <xdr:row>22</xdr:row>
      <xdr:rowOff>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8549">
          <a:off x="15685242" y="3997514"/>
          <a:ext cx="584060" cy="220712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71</xdr:row>
      <xdr:rowOff>9525</xdr:rowOff>
    </xdr:from>
    <xdr:to>
      <xdr:col>24</xdr:col>
      <xdr:colOff>3005</xdr:colOff>
      <xdr:row>71</xdr:row>
      <xdr:rowOff>209549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150" y="13773150"/>
          <a:ext cx="631655" cy="200024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62</xdr:row>
      <xdr:rowOff>13786</xdr:rowOff>
    </xdr:from>
    <xdr:to>
      <xdr:col>24</xdr:col>
      <xdr:colOff>3117</xdr:colOff>
      <xdr:row>62</xdr:row>
      <xdr:rowOff>214954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93" t="67746" r="5667" b="12898"/>
        <a:stretch/>
      </xdr:blipFill>
      <xdr:spPr>
        <a:xfrm>
          <a:off x="15678150" y="12043861"/>
          <a:ext cx="631767" cy="201168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38101</xdr:colOff>
      <xdr:row>53</xdr:row>
      <xdr:rowOff>167448</xdr:rowOff>
    </xdr:from>
    <xdr:to>
      <xdr:col>24</xdr:col>
      <xdr:colOff>9526</xdr:colOff>
      <xdr:row>54</xdr:row>
      <xdr:rowOff>206310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726" y="10483023"/>
          <a:ext cx="628650" cy="21031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7559</xdr:rowOff>
    </xdr:from>
    <xdr:to>
      <xdr:col>23</xdr:col>
      <xdr:colOff>638174</xdr:colOff>
      <xdr:row>12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1" t="70326" r="13359" b="5103"/>
        <a:stretch/>
      </xdr:blipFill>
      <xdr:spPr>
        <a:xfrm>
          <a:off x="15668625" y="2055434"/>
          <a:ext cx="647699" cy="211516"/>
        </a:xfrm>
        <a:prstGeom prst="rect">
          <a:avLst/>
        </a:prstGeom>
      </xdr:spPr>
    </xdr:pic>
    <xdr:clientData/>
  </xdr:twoCellAnchor>
  <xdr:twoCellAnchor editAs="oneCell">
    <xdr:from>
      <xdr:col>23</xdr:col>
      <xdr:colOff>29634</xdr:colOff>
      <xdr:row>32</xdr:row>
      <xdr:rowOff>108080</xdr:rowOff>
    </xdr:from>
    <xdr:to>
      <xdr:col>23</xdr:col>
      <xdr:colOff>625616</xdr:colOff>
      <xdr:row>34</xdr:row>
      <xdr:rowOff>48067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8" t="30770" r="19565" b="16722"/>
        <a:stretch/>
      </xdr:blipFill>
      <xdr:spPr>
        <a:xfrm rot="938380">
          <a:off x="15698259" y="6385055"/>
          <a:ext cx="595982" cy="330512"/>
        </a:xfrm>
        <a:prstGeom prst="rect">
          <a:avLst/>
        </a:prstGeom>
      </xdr:spPr>
    </xdr:pic>
    <xdr:clientData/>
  </xdr:twoCellAnchor>
  <xdr:twoCellAnchor editAs="oneCell">
    <xdr:from>
      <xdr:col>23</xdr:col>
      <xdr:colOff>6351</xdr:colOff>
      <xdr:row>79</xdr:row>
      <xdr:rowOff>12700</xdr:rowOff>
    </xdr:from>
    <xdr:to>
      <xdr:col>24</xdr:col>
      <xdr:colOff>0</xdr:colOff>
      <xdr:row>79</xdr:row>
      <xdr:rowOff>209548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3" t="25501" r="14303" b="28233"/>
        <a:stretch/>
      </xdr:blipFill>
      <xdr:spPr>
        <a:xfrm>
          <a:off x="16205201" y="15532100"/>
          <a:ext cx="666749" cy="196848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45</xdr:row>
      <xdr:rowOff>162432</xdr:rowOff>
    </xdr:from>
    <xdr:to>
      <xdr:col>23</xdr:col>
      <xdr:colOff>635000</xdr:colOff>
      <xdr:row>47</xdr:row>
      <xdr:rowOff>2146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1" t="28730" r="19887" b="44406"/>
        <a:stretch/>
      </xdr:blipFill>
      <xdr:spPr>
        <a:xfrm>
          <a:off x="16135350" y="9046082"/>
          <a:ext cx="641350" cy="220714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89</xdr:row>
      <xdr:rowOff>146050</xdr:rowOff>
    </xdr:from>
    <xdr:to>
      <xdr:col>24</xdr:col>
      <xdr:colOff>5655</xdr:colOff>
      <xdr:row>90</xdr:row>
      <xdr:rowOff>210296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4" t="26461" r="4372" b="49141"/>
        <a:stretch/>
      </xdr:blipFill>
      <xdr:spPr>
        <a:xfrm rot="21308828">
          <a:off x="16116300" y="17887950"/>
          <a:ext cx="659705" cy="229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7" tint="0.39997558519241921"/>
    <pageSetUpPr fitToPage="1"/>
  </sheetPr>
  <dimension ref="B1:CR163"/>
  <sheetViews>
    <sheetView showGridLines="0" topLeftCell="A7" zoomScaleNormal="100" workbookViewId="0">
      <selection activeCell="Q15" sqref="Q15:V16"/>
    </sheetView>
  </sheetViews>
  <sheetFormatPr defaultColWidth="9" defaultRowHeight="12.5"/>
  <cols>
    <col min="1" max="1" width="2.54296875" style="215" customWidth="1"/>
    <col min="2" max="2" width="1" style="215" customWidth="1"/>
    <col min="3" max="3" width="5" style="215" customWidth="1"/>
    <col min="4" max="4" width="6" style="215" customWidth="1"/>
    <col min="5" max="5" width="7" style="215" customWidth="1"/>
    <col min="6" max="6" width="5" style="215" customWidth="1"/>
    <col min="7" max="7" width="6" style="215" customWidth="1"/>
    <col min="8" max="8" width="7" style="215" customWidth="1"/>
    <col min="9" max="9" width="1" style="215" customWidth="1"/>
    <col min="10" max="10" width="5" style="215" customWidth="1"/>
    <col min="11" max="11" width="6" style="215" customWidth="1"/>
    <col min="12" max="12" width="7" style="215" customWidth="1"/>
    <col min="13" max="13" width="5" style="215" customWidth="1"/>
    <col min="14" max="14" width="6" style="215" customWidth="1"/>
    <col min="15" max="15" width="7" style="215" customWidth="1"/>
    <col min="16" max="16" width="1" style="215" customWidth="1"/>
    <col min="17" max="17" width="5" style="215" customWidth="1"/>
    <col min="18" max="18" width="6" style="215" customWidth="1"/>
    <col min="19" max="19" width="7" style="215" customWidth="1"/>
    <col min="20" max="20" width="5" style="215" customWidth="1"/>
    <col min="21" max="21" width="6" style="215" customWidth="1"/>
    <col min="22" max="22" width="7" style="215" customWidth="1"/>
    <col min="23" max="23" width="1" style="215" customWidth="1"/>
    <col min="24" max="24" width="5" style="215" customWidth="1"/>
    <col min="25" max="25" width="6" style="215" customWidth="1"/>
    <col min="26" max="26" width="7" style="215" customWidth="1"/>
    <col min="27" max="27" width="5" style="215" customWidth="1"/>
    <col min="28" max="28" width="6" style="215" customWidth="1"/>
    <col min="29" max="29" width="7" style="215" customWidth="1"/>
    <col min="30" max="30" width="1" style="215" customWidth="1"/>
    <col min="31" max="31" width="5" style="215" customWidth="1"/>
    <col min="32" max="32" width="6" style="215" customWidth="1"/>
    <col min="33" max="33" width="7" style="215" customWidth="1"/>
    <col min="34" max="34" width="5" style="215" customWidth="1"/>
    <col min="35" max="35" width="6" style="215" customWidth="1"/>
    <col min="36" max="36" width="7" style="215" customWidth="1"/>
    <col min="37" max="37" width="1" style="215" customWidth="1"/>
    <col min="38" max="38" width="14" style="1451" bestFit="1" customWidth="1"/>
    <col min="39" max="41" width="9" style="215"/>
    <col min="42" max="42" width="14" style="215" bestFit="1" customWidth="1"/>
    <col min="43" max="45" width="9" style="215"/>
    <col min="46" max="46" width="9" style="1449" customWidth="1"/>
    <col min="47" max="47" width="14" style="1449" customWidth="1"/>
    <col min="48" max="48" width="9" style="1449"/>
    <col min="49" max="49" width="4.54296875" style="215" customWidth="1"/>
    <col min="50" max="53" width="3.54296875" style="215" customWidth="1"/>
    <col min="54" max="55" width="4.54296875" style="215" customWidth="1"/>
    <col min="56" max="59" width="3.54296875" style="215" customWidth="1"/>
    <col min="60" max="61" width="4.54296875" style="215" customWidth="1"/>
    <col min="62" max="65" width="3.54296875" style="215" customWidth="1"/>
    <col min="66" max="67" width="4.54296875" style="215" customWidth="1"/>
    <col min="68" max="77" width="3.54296875" style="215" customWidth="1"/>
    <col min="78" max="79" width="4.54296875" style="215" customWidth="1"/>
    <col min="80" max="83" width="3.54296875" style="215" customWidth="1"/>
    <col min="84" max="85" width="4.54296875" style="215" customWidth="1"/>
    <col min="86" max="89" width="3.54296875" style="215" customWidth="1"/>
    <col min="90" max="91" width="4.54296875" style="215" customWidth="1"/>
    <col min="92" max="95" width="3.54296875" style="215" customWidth="1"/>
    <col min="96" max="96" width="4.54296875" style="215" customWidth="1"/>
    <col min="97" max="16384" width="9" style="215"/>
  </cols>
  <sheetData>
    <row r="1" spans="2:48" s="1448" customFormat="1" ht="10.5" thickBot="1">
      <c r="B1" s="1448">
        <v>0.66999999999999993</v>
      </c>
      <c r="AL1" s="1451"/>
      <c r="AO1" s="1448">
        <v>166.6</v>
      </c>
      <c r="AT1" s="1449"/>
      <c r="AU1" s="1449"/>
      <c r="AV1" s="1449"/>
    </row>
    <row r="2" spans="2:48" ht="8.25" customHeight="1" thickBot="1">
      <c r="B2" s="1479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  <c r="Y2" s="1480"/>
      <c r="Z2" s="1480"/>
      <c r="AA2" s="1480"/>
      <c r="AB2" s="1480"/>
      <c r="AC2" s="1480"/>
      <c r="AD2" s="1480"/>
      <c r="AE2" s="1480"/>
      <c r="AF2" s="1480"/>
      <c r="AG2" s="1480"/>
      <c r="AH2" s="1480"/>
      <c r="AI2" s="1480"/>
      <c r="AJ2" s="1480"/>
      <c r="AK2" s="1481"/>
    </row>
    <row r="3" spans="2:48" ht="8.25" customHeight="1">
      <c r="B3" s="1482"/>
      <c r="C3" s="217"/>
      <c r="D3" s="218"/>
      <c r="E3" s="219"/>
      <c r="F3" s="2281"/>
      <c r="G3" s="2282"/>
      <c r="H3" s="2282"/>
      <c r="I3" s="2282"/>
      <c r="J3" s="2282"/>
      <c r="K3" s="2282"/>
      <c r="L3" s="2282"/>
      <c r="M3" s="2282"/>
      <c r="N3" s="2282"/>
      <c r="O3" s="2282"/>
      <c r="P3" s="2282"/>
      <c r="Q3" s="2282"/>
      <c r="R3" s="2282"/>
      <c r="S3" s="2282"/>
      <c r="T3" s="2282"/>
      <c r="U3" s="2282"/>
      <c r="V3" s="2282"/>
      <c r="W3" s="2282"/>
      <c r="X3" s="2282"/>
      <c r="Y3" s="2282"/>
      <c r="Z3" s="2282"/>
      <c r="AA3" s="2282"/>
      <c r="AB3" s="2282"/>
      <c r="AC3" s="2282"/>
      <c r="AD3" s="2282"/>
      <c r="AE3" s="2282"/>
      <c r="AF3" s="2282"/>
      <c r="AG3" s="220"/>
      <c r="AH3" s="220"/>
      <c r="AI3" s="221"/>
      <c r="AJ3" s="222"/>
      <c r="AK3" s="231"/>
    </row>
    <row r="4" spans="2:48" ht="46.5" customHeight="1">
      <c r="B4" s="1482"/>
      <c r="C4" s="224"/>
      <c r="D4" s="225"/>
      <c r="E4" s="225"/>
      <c r="F4" s="226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8"/>
      <c r="AK4" s="231"/>
      <c r="AP4" s="1509"/>
    </row>
    <row r="5" spans="2:48" ht="15" customHeight="1">
      <c r="B5" s="1482"/>
      <c r="C5" s="229"/>
      <c r="D5" s="230"/>
      <c r="E5" s="230"/>
      <c r="F5" s="2283">
        <f>F7</f>
        <v>44748</v>
      </c>
      <c r="G5" s="2284"/>
      <c r="H5" s="2284"/>
      <c r="I5" s="2284"/>
      <c r="J5" s="2284"/>
      <c r="K5" s="2284"/>
      <c r="L5" s="2285"/>
      <c r="M5" s="2302" t="s">
        <v>0</v>
      </c>
      <c r="N5" s="2303"/>
      <c r="O5" s="2303"/>
      <c r="P5" s="2303"/>
      <c r="Q5" s="2303"/>
      <c r="R5" s="2304"/>
      <c r="S5" s="2309" t="str">
        <f>Worksheet!AQ6</f>
        <v>WBGT</v>
      </c>
      <c r="T5" s="2310"/>
      <c r="U5" s="2310"/>
      <c r="V5" s="2310"/>
      <c r="W5" s="2310"/>
      <c r="X5" s="2310"/>
      <c r="Y5" s="2310"/>
      <c r="Z5" s="2310"/>
      <c r="AA5" s="2310"/>
      <c r="AB5" s="2310"/>
      <c r="AC5" s="2310"/>
      <c r="AD5" s="2310"/>
      <c r="AE5" s="2310"/>
      <c r="AF5" s="2311"/>
      <c r="AG5" s="230"/>
      <c r="AH5" s="230"/>
      <c r="AI5" s="230"/>
      <c r="AJ5" s="231"/>
      <c r="AK5" s="231"/>
    </row>
    <row r="6" spans="2:48" ht="30" customHeight="1">
      <c r="B6" s="1482"/>
      <c r="C6" s="229"/>
      <c r="D6" s="230"/>
      <c r="E6" s="230"/>
      <c r="F6" s="2286"/>
      <c r="G6" s="2287"/>
      <c r="H6" s="2287"/>
      <c r="I6" s="2287"/>
      <c r="J6" s="2287"/>
      <c r="K6" s="2287"/>
      <c r="L6" s="2288"/>
      <c r="M6" s="2289" t="str">
        <f>Worksheet!AB463</f>
        <v xml:space="preserve">A weak frontal boundary will move into the Ohio Valley, bringing increased chances of showers and thunderstorms through the week.  </v>
      </c>
      <c r="N6" s="2290"/>
      <c r="O6" s="2290"/>
      <c r="P6" s="2290"/>
      <c r="Q6" s="2290"/>
      <c r="R6" s="2290"/>
      <c r="S6" s="2291"/>
      <c r="T6" s="2291"/>
      <c r="U6" s="2291"/>
      <c r="V6" s="2291"/>
      <c r="W6" s="2291"/>
      <c r="X6" s="2291"/>
      <c r="Y6" s="2291"/>
      <c r="Z6" s="2291"/>
      <c r="AA6" s="2291"/>
      <c r="AB6" s="2291"/>
      <c r="AC6" s="2291"/>
      <c r="AD6" s="2291"/>
      <c r="AE6" s="2292"/>
      <c r="AF6" s="2312"/>
      <c r="AG6" s="230"/>
      <c r="AH6" s="230"/>
      <c r="AI6" s="230"/>
      <c r="AJ6" s="231"/>
      <c r="AK6" s="231"/>
    </row>
    <row r="7" spans="2:48" ht="30" customHeight="1">
      <c r="B7" s="1482"/>
      <c r="C7" s="232"/>
      <c r="D7" s="233"/>
      <c r="E7" s="234"/>
      <c r="F7" s="2305">
        <f>Worksheet!Q6</f>
        <v>44748</v>
      </c>
      <c r="G7" s="2305"/>
      <c r="H7" s="2305"/>
      <c r="I7" s="2305"/>
      <c r="J7" s="2305"/>
      <c r="K7" s="2305"/>
      <c r="L7" s="2305"/>
      <c r="M7" s="2293"/>
      <c r="N7" s="2294"/>
      <c r="O7" s="2294"/>
      <c r="P7" s="2294"/>
      <c r="Q7" s="2294"/>
      <c r="R7" s="2294"/>
      <c r="S7" s="2294"/>
      <c r="T7" s="2294"/>
      <c r="U7" s="2294"/>
      <c r="V7" s="2294"/>
      <c r="W7" s="2294"/>
      <c r="X7" s="2294"/>
      <c r="Y7" s="2294"/>
      <c r="Z7" s="2294"/>
      <c r="AA7" s="2294"/>
      <c r="AB7" s="2294"/>
      <c r="AC7" s="2294"/>
      <c r="AD7" s="2294"/>
      <c r="AE7" s="2295"/>
      <c r="AF7" s="2307"/>
      <c r="AG7" s="235"/>
      <c r="AH7" s="235"/>
      <c r="AI7" s="235"/>
      <c r="AJ7" s="236"/>
      <c r="AK7" s="236"/>
    </row>
    <row r="8" spans="2:48" ht="6" customHeight="1" thickBot="1">
      <c r="B8" s="1482"/>
      <c r="C8" s="237"/>
      <c r="D8" s="238"/>
      <c r="E8" s="239"/>
      <c r="F8" s="2306"/>
      <c r="G8" s="2306"/>
      <c r="H8" s="2306"/>
      <c r="I8" s="2306"/>
      <c r="J8" s="2306"/>
      <c r="K8" s="2306"/>
      <c r="L8" s="2306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308"/>
      <c r="AG8" s="241"/>
      <c r="AH8" s="241"/>
      <c r="AI8" s="241"/>
      <c r="AJ8" s="242"/>
      <c r="AK8" s="236"/>
    </row>
    <row r="9" spans="2:48" ht="6" customHeight="1" thickBot="1">
      <c r="B9" s="1482"/>
      <c r="C9" s="243"/>
      <c r="D9" s="244"/>
      <c r="E9" s="244"/>
      <c r="F9" s="244"/>
      <c r="G9" s="244"/>
      <c r="H9" s="244"/>
      <c r="I9" s="244"/>
      <c r="J9" s="244"/>
      <c r="K9" s="244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6"/>
      <c r="AH9" s="246"/>
      <c r="AI9" s="246"/>
      <c r="AJ9" s="243"/>
      <c r="AK9" s="231"/>
    </row>
    <row r="10" spans="2:48" ht="9" customHeight="1">
      <c r="B10" s="1482"/>
      <c r="C10" s="2296">
        <f>F7</f>
        <v>44748</v>
      </c>
      <c r="D10" s="2297"/>
      <c r="E10" s="2297"/>
      <c r="F10" s="2297"/>
      <c r="G10" s="2297"/>
      <c r="H10" s="2298"/>
      <c r="I10" s="247"/>
      <c r="J10" s="2296">
        <f>C10+1</f>
        <v>44749</v>
      </c>
      <c r="K10" s="2297"/>
      <c r="L10" s="2297"/>
      <c r="M10" s="2297"/>
      <c r="N10" s="2297"/>
      <c r="O10" s="2298"/>
      <c r="P10" s="248"/>
      <c r="Q10" s="2296">
        <f>J10+1</f>
        <v>44750</v>
      </c>
      <c r="R10" s="2297"/>
      <c r="S10" s="2297"/>
      <c r="T10" s="2297"/>
      <c r="U10" s="2297"/>
      <c r="V10" s="2298"/>
      <c r="W10" s="249"/>
      <c r="X10" s="2296">
        <f>Q10+1</f>
        <v>44751</v>
      </c>
      <c r="Y10" s="2297"/>
      <c r="Z10" s="2297"/>
      <c r="AA10" s="2297"/>
      <c r="AB10" s="2297"/>
      <c r="AC10" s="2298"/>
      <c r="AD10" s="249"/>
      <c r="AE10" s="2296">
        <f>X10+1</f>
        <v>44752</v>
      </c>
      <c r="AF10" s="2297"/>
      <c r="AG10" s="2297"/>
      <c r="AH10" s="2297"/>
      <c r="AI10" s="2297"/>
      <c r="AJ10" s="2298"/>
      <c r="AK10" s="231"/>
    </row>
    <row r="11" spans="2:48" s="252" customFormat="1" ht="17.25" customHeight="1">
      <c r="B11" s="1483"/>
      <c r="C11" s="2299"/>
      <c r="D11" s="2300"/>
      <c r="E11" s="2300"/>
      <c r="F11" s="2300"/>
      <c r="G11" s="2300"/>
      <c r="H11" s="2301"/>
      <c r="I11" s="247"/>
      <c r="J11" s="2299"/>
      <c r="K11" s="2300"/>
      <c r="L11" s="2300"/>
      <c r="M11" s="2300"/>
      <c r="N11" s="2300"/>
      <c r="O11" s="2301"/>
      <c r="P11" s="248"/>
      <c r="Q11" s="2299"/>
      <c r="R11" s="2300"/>
      <c r="S11" s="2300"/>
      <c r="T11" s="2300"/>
      <c r="U11" s="2300"/>
      <c r="V11" s="2301"/>
      <c r="W11" s="249"/>
      <c r="X11" s="2299"/>
      <c r="Y11" s="2300"/>
      <c r="Z11" s="2300"/>
      <c r="AA11" s="2300"/>
      <c r="AB11" s="2300"/>
      <c r="AC11" s="2301"/>
      <c r="AD11" s="249"/>
      <c r="AE11" s="2299"/>
      <c r="AF11" s="2300"/>
      <c r="AG11" s="2300"/>
      <c r="AH11" s="2300"/>
      <c r="AI11" s="2300"/>
      <c r="AJ11" s="2301"/>
      <c r="AK11" s="1484"/>
      <c r="AL11" s="1451"/>
      <c r="AT11" s="1451"/>
      <c r="AU11" s="1451"/>
      <c r="AV11" s="1451"/>
    </row>
    <row r="12" spans="2:48" ht="20.25" customHeight="1">
      <c r="B12" s="1482"/>
      <c r="C12" s="2274" t="s">
        <v>1</v>
      </c>
      <c r="D12" s="2275"/>
      <c r="E12" s="2276">
        <f>Worksheet!AM453</f>
        <v>95</v>
      </c>
      <c r="F12" s="2276"/>
      <c r="G12" s="2277">
        <f>Worksheet!AT453</f>
        <v>73</v>
      </c>
      <c r="H12" s="2278"/>
      <c r="I12" s="253"/>
      <c r="J12" s="2274" t="s">
        <v>1</v>
      </c>
      <c r="K12" s="2275"/>
      <c r="L12" s="2276">
        <f>Worksheet!BJ457</f>
        <v>94</v>
      </c>
      <c r="M12" s="2276"/>
      <c r="N12" s="2277">
        <f>Worksheet!BP457</f>
        <v>74</v>
      </c>
      <c r="O12" s="2278"/>
      <c r="P12" s="253"/>
      <c r="Q12" s="2274" t="s">
        <v>1</v>
      </c>
      <c r="R12" s="2275"/>
      <c r="S12" s="2276">
        <f>Worksheet!CK457</f>
        <v>91</v>
      </c>
      <c r="T12" s="2276"/>
      <c r="U12" s="2277">
        <f>Worksheet!CQ457</f>
        <v>74</v>
      </c>
      <c r="V12" s="2278"/>
      <c r="W12" s="254"/>
      <c r="X12" s="2274" t="s">
        <v>1</v>
      </c>
      <c r="Y12" s="2275"/>
      <c r="Z12" s="2276">
        <f>Worksheet!DL457</f>
        <v>83</v>
      </c>
      <c r="AA12" s="2276"/>
      <c r="AB12" s="2277">
        <f>Worksheet!DR457</f>
        <v>69</v>
      </c>
      <c r="AC12" s="2278"/>
      <c r="AD12" s="254"/>
      <c r="AE12" s="2274" t="s">
        <v>1</v>
      </c>
      <c r="AF12" s="2275"/>
      <c r="AG12" s="2276">
        <f>Worksheet!EM457</f>
        <v>86</v>
      </c>
      <c r="AH12" s="2276"/>
      <c r="AI12" s="2277">
        <f>Worksheet!ES457</f>
        <v>62</v>
      </c>
      <c r="AJ12" s="2278"/>
      <c r="AK12" s="231"/>
    </row>
    <row r="13" spans="2:48" ht="11.25" customHeight="1" thickBot="1">
      <c r="B13" s="1482"/>
      <c r="C13" s="2279"/>
      <c r="D13" s="2280"/>
      <c r="E13" s="2313" t="str">
        <f>IF(ISBLANK(Worksheet!AM455),"",Worksheet!AM455)</f>
        <v/>
      </c>
      <c r="F13" s="2313"/>
      <c r="G13" s="2269" t="str">
        <f>IF(ISBLANK(Worksheet!AT455),"",Worksheet!AT455)</f>
        <v/>
      </c>
      <c r="H13" s="2270"/>
      <c r="I13" s="255"/>
      <c r="J13" s="2279"/>
      <c r="K13" s="2280"/>
      <c r="L13" s="2268" t="str">
        <f>IF(ISBLANK(Worksheet!BJ458),"",Worksheet!BJ458)</f>
        <v/>
      </c>
      <c r="M13" s="2268"/>
      <c r="N13" s="2269" t="str">
        <f>IF(ISBLANK(Worksheet!BP458),"",Worksheet!BP458)</f>
        <v/>
      </c>
      <c r="O13" s="2270"/>
      <c r="P13" s="256"/>
      <c r="Q13" s="2202"/>
      <c r="R13" s="2203"/>
      <c r="S13" s="2268" t="str">
        <f>IF(ISBLANK(Worksheet!CK458),"",Worksheet!CK458)</f>
        <v/>
      </c>
      <c r="T13" s="2268"/>
      <c r="U13" s="2269" t="str">
        <f>IF(ISBLANK(Worksheet!CQ458),"",Worksheet!CQ458)</f>
        <v/>
      </c>
      <c r="V13" s="2270"/>
      <c r="W13" s="257"/>
      <c r="X13" s="2202"/>
      <c r="Y13" s="2203"/>
      <c r="Z13" s="2268" t="str">
        <f>IF(ISBLANK(Worksheet!DL458),"",Worksheet!DL458)</f>
        <v/>
      </c>
      <c r="AA13" s="2268"/>
      <c r="AB13" s="2269" t="str">
        <f>IF(ISBLANK(Worksheet!DR458),"",Worksheet!DR458)</f>
        <v/>
      </c>
      <c r="AC13" s="2270"/>
      <c r="AD13" s="257"/>
      <c r="AE13" s="2202"/>
      <c r="AF13" s="2203"/>
      <c r="AG13" s="2268" t="str">
        <f>IF(ISBLANK(Worksheet!EM458),"",Worksheet!EM458)</f>
        <v/>
      </c>
      <c r="AH13" s="2268"/>
      <c r="AI13" s="2269" t="str">
        <f>IF(ISBLANK(Worksheet!ES458),"",Worksheet!ES458)</f>
        <v/>
      </c>
      <c r="AJ13" s="2270"/>
      <c r="AK13" s="231"/>
    </row>
    <row r="14" spans="2:48" ht="33" customHeight="1">
      <c r="B14" s="1483"/>
      <c r="C14" s="2271" t="s">
        <v>2</v>
      </c>
      <c r="D14" s="2272"/>
      <c r="E14" s="2272"/>
      <c r="F14" s="2272"/>
      <c r="G14" s="2272"/>
      <c r="H14" s="2273"/>
      <c r="I14" s="1490"/>
      <c r="J14" s="2271" t="s">
        <v>2</v>
      </c>
      <c r="K14" s="2272"/>
      <c r="L14" s="2272"/>
      <c r="M14" s="2272"/>
      <c r="N14" s="2272"/>
      <c r="O14" s="2273"/>
      <c r="P14" s="1490"/>
      <c r="Q14" s="2271" t="s">
        <v>2</v>
      </c>
      <c r="R14" s="2272"/>
      <c r="S14" s="2272"/>
      <c r="T14" s="2272"/>
      <c r="U14" s="2272"/>
      <c r="V14" s="2273"/>
      <c r="W14" s="1491"/>
      <c r="X14" s="2271" t="s">
        <v>2</v>
      </c>
      <c r="Y14" s="2272"/>
      <c r="Z14" s="2272"/>
      <c r="AA14" s="2272"/>
      <c r="AB14" s="2272"/>
      <c r="AC14" s="2273"/>
      <c r="AD14" s="1491"/>
      <c r="AE14" s="2271" t="s">
        <v>2</v>
      </c>
      <c r="AF14" s="2272"/>
      <c r="AG14" s="2272"/>
      <c r="AH14" s="2272"/>
      <c r="AI14" s="2272"/>
      <c r="AJ14" s="2273"/>
      <c r="AK14" s="231"/>
    </row>
    <row r="15" spans="2:48" ht="36" customHeight="1">
      <c r="B15" s="1482"/>
      <c r="C15" s="2253"/>
      <c r="D15" s="2254"/>
      <c r="E15" s="2254"/>
      <c r="F15" s="2254"/>
      <c r="G15" s="2254"/>
      <c r="H15" s="2255"/>
      <c r="I15" s="258"/>
      <c r="J15" s="2253"/>
      <c r="K15" s="2254"/>
      <c r="L15" s="2254"/>
      <c r="M15" s="2254"/>
      <c r="N15" s="2254"/>
      <c r="O15" s="2255"/>
      <c r="P15" s="258"/>
      <c r="Q15" s="2253"/>
      <c r="R15" s="2254"/>
      <c r="S15" s="2254"/>
      <c r="T15" s="2254"/>
      <c r="U15" s="2254"/>
      <c r="V15" s="2255"/>
      <c r="W15" s="259"/>
      <c r="X15" s="2253"/>
      <c r="Y15" s="2254"/>
      <c r="Z15" s="2254"/>
      <c r="AA15" s="2254"/>
      <c r="AB15" s="2254"/>
      <c r="AC15" s="2255"/>
      <c r="AD15" s="259"/>
      <c r="AE15" s="2253"/>
      <c r="AF15" s="2254"/>
      <c r="AG15" s="2254"/>
      <c r="AH15" s="2254"/>
      <c r="AI15" s="2254"/>
      <c r="AJ15" s="2255"/>
      <c r="AK15" s="231"/>
    </row>
    <row r="16" spans="2:48" ht="36" customHeight="1">
      <c r="B16" s="1482"/>
      <c r="C16" s="2253"/>
      <c r="D16" s="2254"/>
      <c r="E16" s="2254"/>
      <c r="F16" s="2254"/>
      <c r="G16" s="2254"/>
      <c r="H16" s="2255"/>
      <c r="I16" s="258"/>
      <c r="J16" s="2253"/>
      <c r="K16" s="2254"/>
      <c r="L16" s="2254"/>
      <c r="M16" s="2254"/>
      <c r="N16" s="2254"/>
      <c r="O16" s="2255"/>
      <c r="P16" s="258"/>
      <c r="Q16" s="2253"/>
      <c r="R16" s="2254"/>
      <c r="S16" s="2254"/>
      <c r="T16" s="2254"/>
      <c r="U16" s="2254"/>
      <c r="V16" s="2255"/>
      <c r="W16" s="259"/>
      <c r="X16" s="2253"/>
      <c r="Y16" s="2254"/>
      <c r="Z16" s="2254"/>
      <c r="AA16" s="2254"/>
      <c r="AB16" s="2254"/>
      <c r="AC16" s="2255"/>
      <c r="AD16" s="259"/>
      <c r="AE16" s="2253"/>
      <c r="AF16" s="2254"/>
      <c r="AG16" s="2254"/>
      <c r="AH16" s="2254"/>
      <c r="AI16" s="2254"/>
      <c r="AJ16" s="2255"/>
      <c r="AK16" s="231"/>
    </row>
    <row r="17" spans="2:48" ht="38.25" customHeight="1">
      <c r="B17" s="1482"/>
      <c r="C17" s="2256" t="str">
        <f>IF(HOUR(Worksheet!AO2)&gt;11,"",CONCATENATE(Worksheet!AB460,IF(RIGHT(Worksheet!AB460,1)=".","",".")))</f>
        <v>PARTLY CLOUDY.</v>
      </c>
      <c r="D17" s="2257"/>
      <c r="E17" s="2257"/>
      <c r="F17" s="2257"/>
      <c r="G17" s="2257"/>
      <c r="H17" s="2258"/>
      <c r="I17" s="1574"/>
      <c r="J17" s="2256" t="str">
        <f>CONCATENATE(Worksheet!BC460,IF(RIGHT(Worksheet!BC460,1)=".","","."))</f>
        <v>MOSTLY SUNNY.</v>
      </c>
      <c r="K17" s="2257"/>
      <c r="L17" s="2257"/>
      <c r="M17" s="2257"/>
      <c r="N17" s="2257"/>
      <c r="O17" s="2258"/>
      <c r="P17" s="1574"/>
      <c r="Q17" s="2256" t="str">
        <f>CONCATENATE(Worksheet!CD460,IF(RIGHT(Worksheet!CD460,1)=".","","."))</f>
        <v>PARTLY CLOUDY.</v>
      </c>
      <c r="R17" s="2257"/>
      <c r="S17" s="2257"/>
      <c r="T17" s="2257"/>
      <c r="U17" s="2257"/>
      <c r="V17" s="2258"/>
      <c r="W17" s="1575"/>
      <c r="X17" s="2256" t="str">
        <f>CONCATENATE(Worksheet!DE460,IF(RIGHT(Worksheet!DE460,1)=".","","."))</f>
        <v>PARTLY CLOUDY.</v>
      </c>
      <c r="Y17" s="2257"/>
      <c r="Z17" s="2257"/>
      <c r="AA17" s="2257"/>
      <c r="AB17" s="2257"/>
      <c r="AC17" s="2258"/>
      <c r="AD17" s="1575"/>
      <c r="AE17" s="2256" t="str">
        <f>CONCATENATE(Worksheet!EF460,IF(RIGHT(Worksheet!EF460,1)=".","","."))</f>
        <v>MOSTLY SUNNY.</v>
      </c>
      <c r="AF17" s="2257"/>
      <c r="AG17" s="2257"/>
      <c r="AH17" s="2257"/>
      <c r="AI17" s="2257"/>
      <c r="AJ17" s="2258"/>
      <c r="AK17" s="231"/>
    </row>
    <row r="18" spans="2:48" ht="46.5" customHeight="1">
      <c r="B18" s="1482"/>
      <c r="C18" s="2256"/>
      <c r="D18" s="2257"/>
      <c r="E18" s="2257"/>
      <c r="F18" s="2257"/>
      <c r="G18" s="2257"/>
      <c r="H18" s="2258"/>
      <c r="I18" s="1574"/>
      <c r="J18" s="2256"/>
      <c r="K18" s="2257"/>
      <c r="L18" s="2257"/>
      <c r="M18" s="2257"/>
      <c r="N18" s="2257"/>
      <c r="O18" s="2258"/>
      <c r="P18" s="1574"/>
      <c r="Q18" s="2256"/>
      <c r="R18" s="2257"/>
      <c r="S18" s="2257"/>
      <c r="T18" s="2257"/>
      <c r="U18" s="2257"/>
      <c r="V18" s="2258"/>
      <c r="W18" s="1575"/>
      <c r="X18" s="2256"/>
      <c r="Y18" s="2257"/>
      <c r="Z18" s="2257"/>
      <c r="AA18" s="2257"/>
      <c r="AB18" s="2257"/>
      <c r="AC18" s="2258"/>
      <c r="AD18" s="1575"/>
      <c r="AE18" s="2256"/>
      <c r="AF18" s="2257"/>
      <c r="AG18" s="2257"/>
      <c r="AH18" s="2257"/>
      <c r="AI18" s="2257"/>
      <c r="AJ18" s="2258"/>
      <c r="AK18" s="231"/>
    </row>
    <row r="19" spans="2:48" ht="4.5" customHeight="1">
      <c r="B19" s="1482"/>
      <c r="C19" s="2244" t="str">
        <f>IF(OR(Worksheet!X6="C",Worksheet!X6="D"),"",calc!F1&amp;" WINDS")</f>
        <v>SOUTHWEST WINDS</v>
      </c>
      <c r="D19" s="2245"/>
      <c r="E19" s="2245"/>
      <c r="F19" s="2245"/>
      <c r="G19" s="2245"/>
      <c r="H19" s="2246"/>
      <c r="I19" s="1505"/>
      <c r="J19" s="2244" t="str">
        <f>IF(Worksheet!BH454="VRB","VARIABLE WINDS AT",CONCATENATE(LOOKUP(Worksheet!BH454,calc!F28:F64,calc!G28:G64)," WINDS"))</f>
        <v>SOUTHWEST WINDS</v>
      </c>
      <c r="K19" s="2245"/>
      <c r="L19" s="2245"/>
      <c r="M19" s="2245"/>
      <c r="N19" s="2245"/>
      <c r="O19" s="2246"/>
      <c r="P19" s="1505"/>
      <c r="Q19" s="2259" t="str">
        <f>IF(Worksheet!CI454="VRB","VARIABLE WINDS AT",CONCATENATE(LOOKUP(Worksheet!CI454,calc!F28:F64,calc!G28:G64)," WINDS"))</f>
        <v>SOUTHWEST WINDS</v>
      </c>
      <c r="R19" s="2260"/>
      <c r="S19" s="2260"/>
      <c r="T19" s="2260"/>
      <c r="U19" s="2260"/>
      <c r="V19" s="2261"/>
      <c r="W19" s="1506"/>
      <c r="X19" s="2244" t="str">
        <f>IF(Worksheet!DJ454="VRB","VARIABLE WINDS AT",CONCATENATE(LOOKUP(Worksheet!DJ454,calc!F28:F64,calc!G28:G64)," WINDS"))</f>
        <v>NORTHEAST WINDS</v>
      </c>
      <c r="Y19" s="2245"/>
      <c r="Z19" s="2245"/>
      <c r="AA19" s="2245"/>
      <c r="AB19" s="2245"/>
      <c r="AC19" s="2246"/>
      <c r="AD19" s="1506"/>
      <c r="AE19" s="2244" t="str">
        <f>IF(Worksheet!EK454="VRB","VARIABLE WINDS AT",CONCATENATE(LOOKUP(Worksheet!EK454,calc!F28:F64,calc!G28:G64)," WINDS"))</f>
        <v>NORTHEAST WINDS</v>
      </c>
      <c r="AF19" s="2245"/>
      <c r="AG19" s="2245"/>
      <c r="AH19" s="2245"/>
      <c r="AI19" s="2245"/>
      <c r="AJ19" s="2246"/>
      <c r="AK19" s="231"/>
    </row>
    <row r="20" spans="2:48" ht="14.25" customHeight="1">
      <c r="B20" s="1482"/>
      <c r="C20" s="2244"/>
      <c r="D20" s="2245"/>
      <c r="E20" s="2245"/>
      <c r="F20" s="2245"/>
      <c r="G20" s="2245"/>
      <c r="H20" s="2246"/>
      <c r="I20" s="1505"/>
      <c r="J20" s="2244"/>
      <c r="K20" s="2245"/>
      <c r="L20" s="2245"/>
      <c r="M20" s="2245"/>
      <c r="N20" s="2245"/>
      <c r="O20" s="2246"/>
      <c r="P20" s="1505"/>
      <c r="Q20" s="2259"/>
      <c r="R20" s="2260"/>
      <c r="S20" s="2260"/>
      <c r="T20" s="2260"/>
      <c r="U20" s="2260"/>
      <c r="V20" s="2261"/>
      <c r="W20" s="1506"/>
      <c r="X20" s="2244"/>
      <c r="Y20" s="2245"/>
      <c r="Z20" s="2245"/>
      <c r="AA20" s="2245"/>
      <c r="AB20" s="2245"/>
      <c r="AC20" s="2246"/>
      <c r="AD20" s="1506"/>
      <c r="AE20" s="2244"/>
      <c r="AF20" s="2245"/>
      <c r="AG20" s="2245"/>
      <c r="AH20" s="2245"/>
      <c r="AI20" s="2245"/>
      <c r="AJ20" s="2246"/>
      <c r="AK20" s="231"/>
    </row>
    <row r="21" spans="2:48" s="1306" customFormat="1" ht="14.25" customHeight="1" thickBot="1">
      <c r="B21" s="1485"/>
      <c r="C21" s="2250" t="str">
        <f ca="1">IF(OR(Worksheet!X6="C",Worksheet!X6="D"),"",calc!G2&amp;IF(calc!H3&lt;&gt;0," GUST "&amp;calc!H3,"")&amp;" MPH")</f>
        <v>6 - 14 MPH</v>
      </c>
      <c r="D21" s="2251"/>
      <c r="E21" s="2251"/>
      <c r="F21" s="2251"/>
      <c r="G21" s="2251"/>
      <c r="H21" s="2252"/>
      <c r="I21" s="1507"/>
      <c r="J21" s="2250" t="str">
        <f>IF(Worksheet!BL454&gt;0,CONCATENATE(TEXT(IF(Worksheet!BJ454*1.15-4&lt;1,1,Worksheet!BJ454*1.15-4),"0")," - ",TEXT(Worksheet!BJ454*1.15+4,"0")," GUST ",TEXT(Worksheet!BL454*1.15,"0")," MPH"),CONCATENATE(TEXT(IF(Worksheet!BJ454*1.15-4&lt;1,1,Worksheet!BJ454*1.15-4),"0")," - ",TEXT(Worksheet!BJ454*1.15+4,"0")," MPH"))</f>
        <v>1 - 9 MPH</v>
      </c>
      <c r="K21" s="2251"/>
      <c r="L21" s="2251"/>
      <c r="M21" s="2251"/>
      <c r="N21" s="2251"/>
      <c r="O21" s="2252"/>
      <c r="P21" s="1507"/>
      <c r="Q21" s="2250" t="str">
        <f>IF(Worksheet!CM454&gt;0,CONCATENATE(TEXT(IF(Worksheet!CK454*1.15-4&lt;1,1,Worksheet!CK454*1.15-4),"0")," - ",TEXT(Worksheet!CK454*1.15+4,"0")," GUST ",TEXT(Worksheet!CM454*1.15,"0")," MPH"),CONCATENATE(TEXT(IF(Worksheet!CK454*1.15-4&lt;1,1,Worksheet!CK454*1.15-4),"0")," - ",TEXT(Worksheet!CK454*1.15+4,"0")," MPH"))</f>
        <v>4 - 12 MPH</v>
      </c>
      <c r="R21" s="2251"/>
      <c r="S21" s="2251"/>
      <c r="T21" s="2251"/>
      <c r="U21" s="2251"/>
      <c r="V21" s="2252"/>
      <c r="W21" s="1508"/>
      <c r="X21" s="2250" t="str">
        <f>IF(Worksheet!DN454&gt;0,CONCATENATE(TEXT(IF(Worksheet!DL454*1.15-4&lt;1,1,Worksheet!DL454*1.15-4),"0")," - ",TEXT(Worksheet!DL454*1.15+4,"0")," GUST ",TEXT(Worksheet!DN454*1.15,"0")," MPH"),CONCATENATE(TEXT(IF(Worksheet!DL454*1.15-4&lt;1,1,Worksheet!DL454*1.15-4),"0")," - ",TEXT(Worksheet!DL454*1.15+4,"0")," MPH"))</f>
        <v>2 - 10 MPH</v>
      </c>
      <c r="Y21" s="2251"/>
      <c r="Z21" s="2251"/>
      <c r="AA21" s="2251"/>
      <c r="AB21" s="2251"/>
      <c r="AC21" s="2252"/>
      <c r="AD21" s="1508"/>
      <c r="AE21" s="2250" t="str">
        <f>IF(Worksheet!EO454&gt;0,CONCATENATE(TEXT(IF(Worksheet!EM454*1.15-4&lt;1,1,Worksheet!EM454*1.15-4),"0")," - ",TEXT(Worksheet!EM454*1.15+4,"0")," GUST ",TEXT(Worksheet!EO454*1.15,"0")," MPH"),CONCATENATE(TEXT(IF(Worksheet!EM454*1.15-4&lt;1,1,Worksheet!EM454*1.15-4),"0")," - ",TEXT(Worksheet!EM454*1.15+4,"0")," MPH"))</f>
        <v>4 - 12 MPH</v>
      </c>
      <c r="AF21" s="2251"/>
      <c r="AG21" s="2251"/>
      <c r="AH21" s="2251"/>
      <c r="AI21" s="2251"/>
      <c r="AJ21" s="2252"/>
      <c r="AK21" s="1486"/>
      <c r="AL21" s="1451"/>
      <c r="AT21" s="1452"/>
      <c r="AU21" s="1452"/>
      <c r="AV21" s="1452"/>
    </row>
    <row r="22" spans="2:48" ht="33" customHeight="1">
      <c r="B22" s="1482"/>
      <c r="C22" s="2262" t="s">
        <v>3</v>
      </c>
      <c r="D22" s="2263"/>
      <c r="E22" s="2263"/>
      <c r="F22" s="2263"/>
      <c r="G22" s="2263"/>
      <c r="H22" s="2264"/>
      <c r="I22" s="1490"/>
      <c r="J22" s="2262" t="s">
        <v>3</v>
      </c>
      <c r="K22" s="2263"/>
      <c r="L22" s="2263"/>
      <c r="M22" s="2263"/>
      <c r="N22" s="2263"/>
      <c r="O22" s="2264"/>
      <c r="P22" s="1490"/>
      <c r="Q22" s="2262" t="s">
        <v>3</v>
      </c>
      <c r="R22" s="2263"/>
      <c r="S22" s="2263"/>
      <c r="T22" s="2263"/>
      <c r="U22" s="2263"/>
      <c r="V22" s="2264"/>
      <c r="W22" s="1491"/>
      <c r="X22" s="2262" t="s">
        <v>3</v>
      </c>
      <c r="Y22" s="2263"/>
      <c r="Z22" s="2263"/>
      <c r="AA22" s="2263"/>
      <c r="AB22" s="2263"/>
      <c r="AC22" s="2264"/>
      <c r="AD22" s="1491"/>
      <c r="AE22" s="2262" t="s">
        <v>3</v>
      </c>
      <c r="AF22" s="2263"/>
      <c r="AG22" s="2263"/>
      <c r="AH22" s="2263"/>
      <c r="AI22" s="2263"/>
      <c r="AJ22" s="2264"/>
      <c r="AK22" s="231"/>
    </row>
    <row r="23" spans="2:48" ht="36" customHeight="1">
      <c r="B23" s="1482"/>
      <c r="C23" s="2253"/>
      <c r="D23" s="2254"/>
      <c r="E23" s="2254"/>
      <c r="F23" s="2254"/>
      <c r="G23" s="2254"/>
      <c r="H23" s="2255"/>
      <c r="I23" s="258"/>
      <c r="J23" s="2253"/>
      <c r="K23" s="2254"/>
      <c r="L23" s="2254"/>
      <c r="M23" s="2254"/>
      <c r="N23" s="2254"/>
      <c r="O23" s="2255"/>
      <c r="P23" s="258"/>
      <c r="Q23" s="2253"/>
      <c r="R23" s="2254"/>
      <c r="S23" s="2254"/>
      <c r="T23" s="2254"/>
      <c r="U23" s="2254"/>
      <c r="V23" s="2255"/>
      <c r="W23" s="259"/>
      <c r="X23" s="2253"/>
      <c r="Y23" s="2254"/>
      <c r="Z23" s="2254"/>
      <c r="AA23" s="2254"/>
      <c r="AB23" s="2254"/>
      <c r="AC23" s="2255"/>
      <c r="AD23" s="259"/>
      <c r="AE23" s="2253"/>
      <c r="AF23" s="2254"/>
      <c r="AG23" s="2254"/>
      <c r="AH23" s="2254"/>
      <c r="AI23" s="2254"/>
      <c r="AJ23" s="2255"/>
      <c r="AK23" s="231"/>
    </row>
    <row r="24" spans="2:48" ht="36" customHeight="1">
      <c r="B24" s="1482"/>
      <c r="C24" s="2253"/>
      <c r="D24" s="2254"/>
      <c r="E24" s="2254"/>
      <c r="F24" s="2254"/>
      <c r="G24" s="2254"/>
      <c r="H24" s="2255"/>
      <c r="I24" s="258"/>
      <c r="J24" s="2253"/>
      <c r="K24" s="2254"/>
      <c r="L24" s="2254"/>
      <c r="M24" s="2254"/>
      <c r="N24" s="2254"/>
      <c r="O24" s="2255"/>
      <c r="P24" s="258"/>
      <c r="Q24" s="2253"/>
      <c r="R24" s="2254"/>
      <c r="S24" s="2254"/>
      <c r="T24" s="2254"/>
      <c r="U24" s="2254"/>
      <c r="V24" s="2255"/>
      <c r="W24" s="259"/>
      <c r="X24" s="2253"/>
      <c r="Y24" s="2254"/>
      <c r="Z24" s="2254"/>
      <c r="AA24" s="2254"/>
      <c r="AB24" s="2254"/>
      <c r="AC24" s="2255"/>
      <c r="AD24" s="259"/>
      <c r="AE24" s="2253"/>
      <c r="AF24" s="2254"/>
      <c r="AG24" s="2254"/>
      <c r="AH24" s="2254"/>
      <c r="AI24" s="2254"/>
      <c r="AJ24" s="2255"/>
      <c r="AK24" s="231"/>
    </row>
    <row r="25" spans="2:48" ht="38.25" customHeight="1">
      <c r="B25" s="1482"/>
      <c r="C25" s="2265" t="str">
        <f>CONCATENATE(Worksheet!AO460,IF(RIGHT(Worksheet!AO460,1)=".","","."))</f>
        <v>PARTLY TO MOSTLY CLOUDY WITH A CHANCE OF SHOWERS AND T'STORMS.</v>
      </c>
      <c r="D25" s="2266"/>
      <c r="E25" s="2266"/>
      <c r="F25" s="2266"/>
      <c r="G25" s="2266"/>
      <c r="H25" s="2267"/>
      <c r="I25" s="1574"/>
      <c r="J25" s="2265" t="str">
        <f>CONCATENATE(Worksheet!BP460,IF(RIGHT(Worksheet!BP460,1)=".","","."))</f>
        <v>PARTLY TO MOSTLY CLOUDY, SHOWERS &amp; T'STORMS LIKELY.</v>
      </c>
      <c r="K25" s="2266"/>
      <c r="L25" s="2266"/>
      <c r="M25" s="2266"/>
      <c r="N25" s="2266"/>
      <c r="O25" s="2267"/>
      <c r="P25" s="1574"/>
      <c r="Q25" s="2265" t="str">
        <f>CONCATENATE(Worksheet!CQ460,IF(RIGHT(Worksheet!CQ460,1)=".","","."))</f>
        <v>MOSTLY CLOUDY WITH A SLIGHT CHANCE OF SHOWERS &amp; T'STORMS.</v>
      </c>
      <c r="R25" s="2266"/>
      <c r="S25" s="2266"/>
      <c r="T25" s="2266"/>
      <c r="U25" s="2266"/>
      <c r="V25" s="2267"/>
      <c r="W25" s="1575"/>
      <c r="X25" s="2265" t="str">
        <f>CONCATENATE(Worksheet!DR460,IF(RIGHT(Worksheet!DR460,1)=".","","."))</f>
        <v>MOSTLY CLOUDY WITH A CHANCE OF SHOWERS &amp; T'STORMS.</v>
      </c>
      <c r="Y25" s="2266"/>
      <c r="Z25" s="2266"/>
      <c r="AA25" s="2266"/>
      <c r="AB25" s="2266"/>
      <c r="AC25" s="2267"/>
      <c r="AD25" s="1575"/>
      <c r="AE25" s="2265" t="str">
        <f>CONCATENATE(Worksheet!ES460,IF(RIGHT(Worksheet!ES460,1)=".","","."))</f>
        <v>MOSTLY SUNNY.</v>
      </c>
      <c r="AF25" s="2266"/>
      <c r="AG25" s="2266"/>
      <c r="AH25" s="2266"/>
      <c r="AI25" s="2266"/>
      <c r="AJ25" s="2267"/>
      <c r="AK25" s="231"/>
    </row>
    <row r="26" spans="2:48" ht="46.5" customHeight="1">
      <c r="B26" s="1482"/>
      <c r="C26" s="2265"/>
      <c r="D26" s="2266"/>
      <c r="E26" s="2266"/>
      <c r="F26" s="2266"/>
      <c r="G26" s="2266"/>
      <c r="H26" s="2267"/>
      <c r="I26" s="1574"/>
      <c r="J26" s="2265"/>
      <c r="K26" s="2266"/>
      <c r="L26" s="2266"/>
      <c r="M26" s="2266"/>
      <c r="N26" s="2266"/>
      <c r="O26" s="2267"/>
      <c r="P26" s="1574"/>
      <c r="Q26" s="2265"/>
      <c r="R26" s="2266"/>
      <c r="S26" s="2266"/>
      <c r="T26" s="2266"/>
      <c r="U26" s="2266"/>
      <c r="V26" s="2267"/>
      <c r="W26" s="1575"/>
      <c r="X26" s="2265"/>
      <c r="Y26" s="2266"/>
      <c r="Z26" s="2266"/>
      <c r="AA26" s="2266"/>
      <c r="AB26" s="2266"/>
      <c r="AC26" s="2267"/>
      <c r="AD26" s="1575"/>
      <c r="AE26" s="2265"/>
      <c r="AF26" s="2266"/>
      <c r="AG26" s="2266"/>
      <c r="AH26" s="2266"/>
      <c r="AI26" s="2266"/>
      <c r="AJ26" s="2267"/>
      <c r="AK26" s="231"/>
    </row>
    <row r="27" spans="2:48" ht="4.5" customHeight="1">
      <c r="B27" s="1482"/>
      <c r="C27" s="2244" t="str">
        <f>calc!E1&amp;" WINDS"</f>
        <v>SOUTHWEST WINDS</v>
      </c>
      <c r="D27" s="2245"/>
      <c r="E27" s="2245"/>
      <c r="F27" s="2245"/>
      <c r="G27" s="2245"/>
      <c r="H27" s="2246"/>
      <c r="I27" s="1505"/>
      <c r="J27" s="2244" t="str">
        <f>IF(Worksheet!BU454="VRB","VARIABLE WINDS AT",CONCATENATE(LOOKUP(Worksheet!BU454,calc!F28:F64,calc!G28:G64)," WINDS"))</f>
        <v>WEST WINDS</v>
      </c>
      <c r="K27" s="2245"/>
      <c r="L27" s="2245"/>
      <c r="M27" s="2245"/>
      <c r="N27" s="2245"/>
      <c r="O27" s="2246"/>
      <c r="P27" s="1505"/>
      <c r="Q27" s="2244" t="str">
        <f>IF(Worksheet!CV454="VRB","VARIABLE WINDS AT",CONCATENATE(LOOKUP(Worksheet!CV454,calc!F28:F64,calc!G28:G64)," WINDS"))</f>
        <v>WEST WINDS</v>
      </c>
      <c r="R27" s="2245"/>
      <c r="S27" s="2245"/>
      <c r="T27" s="2245"/>
      <c r="U27" s="2245"/>
      <c r="V27" s="2246"/>
      <c r="W27" s="1506"/>
      <c r="X27" s="2244" t="str">
        <f>IF(Worksheet!DW454="VRB","VARIABLE WINDS AT",CONCATENATE(LOOKUP(Worksheet!DW454,calc!F28:F64,calc!G28:G64)," WINDS"))</f>
        <v>NORTHEAST WINDS</v>
      </c>
      <c r="Y27" s="2245"/>
      <c r="Z27" s="2245"/>
      <c r="AA27" s="2245"/>
      <c r="AB27" s="2245"/>
      <c r="AC27" s="2246"/>
      <c r="AD27" s="1506"/>
      <c r="AE27" s="2244" t="str">
        <f>IF(Worksheet!EX454="VRB","VARIABLE WINDS AT",CONCATENATE(LOOKUP(Worksheet!EX454,calc!F28:F64,calc!G28:G64)," WINDS"))</f>
        <v>NORTHEAST WINDS</v>
      </c>
      <c r="AF27" s="2245"/>
      <c r="AG27" s="2245"/>
      <c r="AH27" s="2245"/>
      <c r="AI27" s="2245"/>
      <c r="AJ27" s="2246"/>
      <c r="AK27" s="231"/>
    </row>
    <row r="28" spans="2:48" ht="14.25" customHeight="1">
      <c r="B28" s="1482"/>
      <c r="C28" s="2244"/>
      <c r="D28" s="2245"/>
      <c r="E28" s="2245"/>
      <c r="F28" s="2245"/>
      <c r="G28" s="2245"/>
      <c r="H28" s="2246"/>
      <c r="I28" s="1505"/>
      <c r="J28" s="2244"/>
      <c r="K28" s="2245"/>
      <c r="L28" s="2245"/>
      <c r="M28" s="2245"/>
      <c r="N28" s="2245"/>
      <c r="O28" s="2246"/>
      <c r="P28" s="1505"/>
      <c r="Q28" s="2244"/>
      <c r="R28" s="2245"/>
      <c r="S28" s="2245"/>
      <c r="T28" s="2245"/>
      <c r="U28" s="2245"/>
      <c r="V28" s="2246"/>
      <c r="W28" s="1506"/>
      <c r="X28" s="2244"/>
      <c r="Y28" s="2245"/>
      <c r="Z28" s="2245"/>
      <c r="AA28" s="2245"/>
      <c r="AB28" s="2245"/>
      <c r="AC28" s="2246"/>
      <c r="AD28" s="1506"/>
      <c r="AE28" s="2244"/>
      <c r="AF28" s="2245"/>
      <c r="AG28" s="2245"/>
      <c r="AH28" s="2245"/>
      <c r="AI28" s="2245"/>
      <c r="AJ28" s="2246"/>
      <c r="AK28" s="231"/>
    </row>
    <row r="29" spans="2:48" s="1306" customFormat="1" ht="14.25" customHeight="1" thickBot="1">
      <c r="B29" s="1485"/>
      <c r="C29" s="2250" t="str">
        <f ca="1">calc!D2&amp;IF(calc!D1&lt;&gt;0," GUST "&amp;calc!D1,"")&amp;" MPH"</f>
        <v>8 - 16 GUST 23 MPH</v>
      </c>
      <c r="D29" s="2251"/>
      <c r="E29" s="2251"/>
      <c r="F29" s="2251"/>
      <c r="G29" s="2251"/>
      <c r="H29" s="2252"/>
      <c r="I29" s="1507"/>
      <c r="J29" s="2250" t="str">
        <f>IF(Worksheet!BY454&gt;0,CONCATENATE(TEXT(IF(Worksheet!BW454*1.15-4&lt;1,1,Worksheet!BW454*1.15-4),"0")," - ",TEXT(Worksheet!BW454*1.15+4,"0")," GUST ",TEXT(Worksheet!BY454*1.15,"0")," MPH"),CONCATENATE(TEXT(IF(Worksheet!BW454*1.15-4&lt;1,1,Worksheet!BW454*1.15-4),"0")," - ",TEXT(Worksheet!BW454*1.15+4,"0")," MPH"))</f>
        <v>8 - 16 GUST 17 MPH</v>
      </c>
      <c r="K29" s="2251"/>
      <c r="L29" s="2251"/>
      <c r="M29" s="2251"/>
      <c r="N29" s="2251"/>
      <c r="O29" s="2252"/>
      <c r="P29" s="1507"/>
      <c r="Q29" s="2250" t="str">
        <f>IF(Worksheet!CZ454&gt;0,CONCATENATE(TEXT(IF(Worksheet!CX454*1.15-4&lt;1,1,Worksheet!CX454*1.15-4),"0")," - ",TEXT(Worksheet!CX454*1.15+4,"0")," GUST ",TEXT(Worksheet!CZ454*1.15,"0")," MPH"),CONCATENATE(TEXT(IF(Worksheet!CX454*1.15-4&lt;1,1,Worksheet!CX454*1.15-4),"0")," - ",TEXT(Worksheet!CX454*1.15+4,"0")," MPH"))</f>
        <v>10 - 18 GUST 23 MPH</v>
      </c>
      <c r="R29" s="2251"/>
      <c r="S29" s="2251"/>
      <c r="T29" s="2251"/>
      <c r="U29" s="2251"/>
      <c r="V29" s="2252"/>
      <c r="W29" s="1508"/>
      <c r="X29" s="2250" t="str">
        <f>IF(Worksheet!EA454&gt;0,CONCATENATE(TEXT(IF(Worksheet!DY454*1.15-4&lt;1,1,Worksheet!DY454*1.15-4),"0")," - ",TEXT(Worksheet!DY454*1.15+4,"0")," GUST ",TEXT(Worksheet!EA454*1.15,"0")," MPH"),CONCATENATE(TEXT(IF(Worksheet!DY454*1.15-4&lt;1,1,Worksheet!DY454*1.15-4),"0")," - ",TEXT(Worksheet!DY454*1.15+4,"0")," MPH"))</f>
        <v>8 - 16 GUST 17 MPH</v>
      </c>
      <c r="Y29" s="2251"/>
      <c r="Z29" s="2251"/>
      <c r="AA29" s="2251"/>
      <c r="AB29" s="2251"/>
      <c r="AC29" s="2252"/>
      <c r="AD29" s="1508"/>
      <c r="AE29" s="2250" t="str">
        <f>IF(Worksheet!FB454&gt;0,CONCATENATE(TEXT(IF(Worksheet!EZ454*1.15-4&lt;1,1,Worksheet!EZ454*1.15-4),"0")," - ",TEXT(Worksheet!EZ454*1.15+4,"0")," GUST ",TEXT(Worksheet!FB454*1.15,"0")," MPH"),CONCATENATE(TEXT(IF(Worksheet!EZ454*1.15-4&lt;1,1,Worksheet!EZ454*1.15-4),"0")," - ",TEXT(Worksheet!EZ454*1.15+4,"0")," MPH"))</f>
        <v>4 - 12 MPH</v>
      </c>
      <c r="AF29" s="2251"/>
      <c r="AG29" s="2251"/>
      <c r="AH29" s="2251"/>
      <c r="AI29" s="2251"/>
      <c r="AJ29" s="2252"/>
      <c r="AK29" s="1486"/>
      <c r="AL29" s="1451"/>
      <c r="AT29" s="1452"/>
      <c r="AU29" s="1452"/>
      <c r="AV29" s="1452"/>
    </row>
    <row r="30" spans="2:48" ht="7.5" customHeight="1">
      <c r="B30" s="1482"/>
      <c r="C30" s="2233"/>
      <c r="D30" s="2234"/>
      <c r="E30" s="2234"/>
      <c r="F30" s="2234"/>
      <c r="G30" s="1903"/>
      <c r="H30" s="260"/>
      <c r="I30" s="261"/>
      <c r="J30" s="2235"/>
      <c r="K30" s="2236"/>
      <c r="L30" s="2236"/>
      <c r="M30" s="2237"/>
      <c r="N30" s="2237"/>
      <c r="O30" s="262"/>
      <c r="P30" s="263"/>
      <c r="Q30" s="2238"/>
      <c r="R30" s="2239"/>
      <c r="S30" s="2239"/>
      <c r="T30" s="2247"/>
      <c r="U30" s="2247"/>
      <c r="V30" s="262"/>
      <c r="W30" s="264"/>
      <c r="X30" s="2238"/>
      <c r="Y30" s="2239"/>
      <c r="Z30" s="2239"/>
      <c r="AA30" s="2247"/>
      <c r="AB30" s="2247"/>
      <c r="AC30" s="262"/>
      <c r="AD30" s="264"/>
      <c r="AE30" s="2238"/>
      <c r="AF30" s="2239"/>
      <c r="AG30" s="2239"/>
      <c r="AH30" s="2247"/>
      <c r="AI30" s="2247"/>
      <c r="AJ30" s="262"/>
      <c r="AK30" s="231"/>
    </row>
    <row r="31" spans="2:48" s="252" customFormat="1" ht="26.25" customHeight="1">
      <c r="B31" s="1483"/>
      <c r="C31" s="2241" t="str">
        <f>IF(Worksheet!AQ6="Wind Chill","MIN WIND CHILL TEMPERATURE:",IF(Worksheet!AQ6="WBGT","MAX WET-BULB GLOBE TEMPERATURE:"))</f>
        <v>MAX WET-BULB GLOBE TEMPERATURE:</v>
      </c>
      <c r="D31" s="2209"/>
      <c r="E31" s="2209"/>
      <c r="F31" s="2242"/>
      <c r="G31" s="265">
        <f>MEF!AG32</f>
        <v>92.659264043406395</v>
      </c>
      <c r="H31" s="266"/>
      <c r="I31" s="267"/>
      <c r="J31" s="2241" t="str">
        <f>IF(Worksheet!AQ6="Wind Chill","MORNING                      WIND CHILL:",IF(Worksheet!AQ6="WBGT","WBGT CATEGORY:"))</f>
        <v>WBGT CATEGORY:</v>
      </c>
      <c r="K31" s="2209"/>
      <c r="L31" s="2242"/>
      <c r="M31" s="2248" t="str">
        <f>IF(Worksheet!AQ6="Wind Chill",IF(Worksheet!BJ454=0,(IF(Worksheet!BW457="",Worksheet!BP457,Worksheet!BW457)),IF((IF(Worksheet!BW457="",Worksheet!BP457,Worksheet!BW457))&lt;56,35.74+(0.6215*(IF(Worksheet!BW457="",Worksheet!BP457,Worksheet!BW457)))-(35.75*(Worksheet!BJ454^0.16))+(0.4275*(IF(Worksheet!BW457="",Worksheet!BP457,Worksheet!BW457))*(Worksheet!BJ454^0.16)),"NA")),IF(Worksheet!AQ6="WBGT",IF(L12&gt;89,"BLACK",IF(AND(L12&lt;90,L12&gt;87),"RED",IF(AND(L12&lt;88,L12&gt;84),"YELLOW",IF(AND(L12&lt;85,L12&gt;81),"GREEN",IF(AND(L12&lt;82,L12&gt;77),"WHITE","(NONE)")))))))</f>
        <v>BLACK</v>
      </c>
      <c r="N31" s="2249"/>
      <c r="O31" s="268"/>
      <c r="P31" s="269"/>
      <c r="Q31" s="2241" t="str">
        <f>IF(Worksheet!AQ6="Wind Chill","MORNING                      WIND CHILL:",IF(Worksheet!AQ6="WBGT","WBGT CATEGORY:"))</f>
        <v>WBGT CATEGORY:</v>
      </c>
      <c r="R31" s="2209"/>
      <c r="S31" s="2242"/>
      <c r="T31" s="2248" t="str">
        <f>IF(Worksheet!AQ6="Wind Chill",IF(Worksheet!CK454=0,(IF(Worksheet!CX457="",Worksheet!CQ457,Worksheet!CX457)),IF((IF(Worksheet!CX457="",Worksheet!CQ457,Worksheet!CX457))&lt;56,35.74+(0.6215*(IF(Worksheet!CX457="",Worksheet!CQ457,Worksheet!CX457)))-(35.75*(Worksheet!CK454^0.16))+(0.4275*(IF(Worksheet!CX457="",Worksheet!CQ457,(IF(Worksheet!CX457="",Worksheet!CQ457,Worksheet!CX457))))*(Worksheet!CK454^0.16)),"NA")),IF(Worksheet!AQ6="WBGT",IF(S12&gt;89,"BLACK",IF(AND(S12&lt;90,S12&gt;87),"RED",IF(AND(S12&lt;88,S12&gt;84),"YELLOW",IF(AND(S12&lt;85,S12&gt;81),"GREEN",IF(AND(S12&lt;82,S12&gt;77),"WHITE","(NONE)")))))))</f>
        <v>BLACK</v>
      </c>
      <c r="U31" s="2249"/>
      <c r="V31" s="268"/>
      <c r="W31" s="270"/>
      <c r="X31" s="2241" t="str">
        <f>IF(Worksheet!AQ6="Wind Chill","MORNING                      WIND CHILL:",IF(Worksheet!AQ6="WBGT","WBGT CATEGORY:"))</f>
        <v>WBGT CATEGORY:</v>
      </c>
      <c r="Y31" s="2209"/>
      <c r="Z31" s="2242"/>
      <c r="AA31" s="2248" t="str">
        <f>IF(Worksheet!AQ6="Wind Chill",IF(Worksheet!DL454=0,(IF(Worksheet!DY457="",Worksheet!DR457,Worksheet!DY457)),IF((IF(Worksheet!DY457="",Worksheet!DR457,Worksheet!DY457))&lt;56,35.74+(0.6215*(IF(Worksheet!DY457="",Worksheet!DR457,Worksheet!DY457)))-(35.75*(Worksheet!DL454^0.16))+(0.4275*(IF(Worksheet!DY457="",Worksheet!DR457,Worksheet!DY457))*(Worksheet!DL454^0.16)),"NA")),IF(Worksheet!AQ6="WBGT",IF(Z12&gt;89,"BLACK",IF(AND(Z12&lt;90,Z12&gt;87),"RED",IF(AND(Z12&lt;88,Z12&gt;84),"YELLOW",IF(AND(Z12&lt;85,Z12&gt;81),"GREEN",IF(AND(Z12&lt;82,Z12&gt;77),"WHITE","(NONE)")))))))</f>
        <v>GREEN</v>
      </c>
      <c r="AB31" s="2249"/>
      <c r="AC31" s="268"/>
      <c r="AD31" s="270"/>
      <c r="AE31" s="2241" t="str">
        <f>IF(Worksheet!AQ6="Wind Chill","MORNING                      WIND CHILL:",IF(Worksheet!AQ6="WBGT","WBGT CATEGORY:"))</f>
        <v>WBGT CATEGORY:</v>
      </c>
      <c r="AF31" s="2209"/>
      <c r="AG31" s="2242"/>
      <c r="AH31" s="2248" t="str">
        <f>IF(Worksheet!AQ6="Wind Chill",IF(Worksheet!EM454=0,(IF(Worksheet!EZ457="",Worksheet!ES457,Worksheet!EZ457)),IF((IF(Worksheet!EZ457="",Worksheet!ES457,Worksheet!EZ457))&lt;56,35.74+(0.6215*(IF(Worksheet!EZ457="",Worksheet!ES457,Worksheet!EZ457)))-(35.75*(Worksheet!EM454^0.16))+(0.4275*(IF(Worksheet!EZ457="",Worksheet!ES457,Worksheet!EZ457))*(Worksheet!EM454^0.16)),"NA")),IF(Worksheet!AQ6="WBGT",IF(AG12&gt;89,"BLACK",IF(AND(AG12&lt;90,AG12&gt;87),"RED",IF(AND(AG12&lt;88,AG12&gt;84),"YELLOW",IF(AND(AG12&lt;85,AG12&gt;81),"GREEN",IF(AND(AG12&lt;82,AG12&gt;77),"WHITE","(NONE)")))))))</f>
        <v>YELLOW</v>
      </c>
      <c r="AI31" s="2249"/>
      <c r="AJ31" s="268"/>
      <c r="AK31" s="1484"/>
      <c r="AL31" s="1451"/>
      <c r="AT31" s="1451"/>
      <c r="AU31" s="1451"/>
      <c r="AV31" s="1451"/>
    </row>
    <row r="32" spans="2:48" ht="7.5" customHeight="1" thickBot="1">
      <c r="B32" s="1482"/>
      <c r="C32" s="2207"/>
      <c r="D32" s="2208"/>
      <c r="E32" s="2209"/>
      <c r="F32" s="2209"/>
      <c r="G32" s="1902"/>
      <c r="H32" s="1844"/>
      <c r="I32" s="261"/>
      <c r="J32" s="2210"/>
      <c r="K32" s="2211"/>
      <c r="L32" s="2211"/>
      <c r="M32" s="2240"/>
      <c r="N32" s="2240"/>
      <c r="O32" s="271"/>
      <c r="P32" s="263"/>
      <c r="Q32" s="2220"/>
      <c r="R32" s="2221"/>
      <c r="S32" s="2221"/>
      <c r="T32" s="2222"/>
      <c r="U32" s="2222"/>
      <c r="V32" s="272"/>
      <c r="W32" s="264"/>
      <c r="X32" s="2220"/>
      <c r="Y32" s="2221"/>
      <c r="Z32" s="2221"/>
      <c r="AA32" s="2222"/>
      <c r="AB32" s="2222"/>
      <c r="AC32" s="271"/>
      <c r="AD32" s="264"/>
      <c r="AE32" s="2220"/>
      <c r="AF32" s="2221"/>
      <c r="AG32" s="2221"/>
      <c r="AH32" s="2222"/>
      <c r="AI32" s="2222"/>
      <c r="AJ32" s="272"/>
      <c r="AK32" s="231"/>
    </row>
    <row r="33" spans="2:43" ht="18" customHeight="1">
      <c r="B33" s="1482"/>
      <c r="C33" s="2229" t="s">
        <v>4</v>
      </c>
      <c r="D33" s="2230"/>
      <c r="E33" s="2231" t="s">
        <v>5</v>
      </c>
      <c r="F33" s="2231"/>
      <c r="G33" s="2223" t="s">
        <v>6</v>
      </c>
      <c r="H33" s="2224"/>
      <c r="I33" s="273"/>
      <c r="J33" s="2229" t="s">
        <v>4</v>
      </c>
      <c r="K33" s="2230"/>
      <c r="L33" s="2231" t="s">
        <v>5</v>
      </c>
      <c r="M33" s="2231"/>
      <c r="N33" s="2223" t="s">
        <v>6</v>
      </c>
      <c r="O33" s="2224"/>
      <c r="P33" s="273"/>
      <c r="Q33" s="2229" t="s">
        <v>4</v>
      </c>
      <c r="R33" s="2230"/>
      <c r="S33" s="2231" t="s">
        <v>5</v>
      </c>
      <c r="T33" s="2231"/>
      <c r="U33" s="2223" t="s">
        <v>6</v>
      </c>
      <c r="V33" s="2224"/>
      <c r="W33" s="274"/>
      <c r="X33" s="2229" t="s">
        <v>4</v>
      </c>
      <c r="Y33" s="2230"/>
      <c r="Z33" s="2231" t="s">
        <v>5</v>
      </c>
      <c r="AA33" s="2231"/>
      <c r="AB33" s="2223" t="s">
        <v>6</v>
      </c>
      <c r="AC33" s="2224"/>
      <c r="AD33" s="274"/>
      <c r="AE33" s="2229" t="s">
        <v>4</v>
      </c>
      <c r="AF33" s="2230"/>
      <c r="AG33" s="2231" t="s">
        <v>5</v>
      </c>
      <c r="AH33" s="2231"/>
      <c r="AI33" s="2223" t="s">
        <v>6</v>
      </c>
      <c r="AJ33" s="2224"/>
      <c r="AK33" s="231"/>
    </row>
    <row r="34" spans="2:43" ht="18" customHeight="1">
      <c r="B34" s="1482"/>
      <c r="C34" s="2204" t="s">
        <v>7</v>
      </c>
      <c r="D34" s="2205"/>
      <c r="E34" s="2232" t="str">
        <f>TEXT(LOOKUP(C10,Climo!$A$4:$A$377,Climo!$B$4:$B$377),"0 °F")</f>
        <v>86 °F</v>
      </c>
      <c r="F34" s="2232"/>
      <c r="G34" s="2225" t="str">
        <f>TEXT(LOOKUP(C10,Climo!$A$4:$A$377,Climo!$C$4:$C$377),"0 °F")</f>
        <v>67 °F</v>
      </c>
      <c r="H34" s="2226"/>
      <c r="I34" s="1498"/>
      <c r="J34" s="2204" t="s">
        <v>7</v>
      </c>
      <c r="K34" s="2205"/>
      <c r="L34" s="2232" t="str">
        <f>TEXT(LOOKUP(J10,Climo!$A$4:$A$377,Climo!$B$4:$B$377),"0 °F")</f>
        <v>86 °F</v>
      </c>
      <c r="M34" s="2232"/>
      <c r="N34" s="2225" t="str">
        <f>TEXT(LOOKUP(J10,Climo!$A$4:$A$377,Climo!$C$4:$C$377),"0 °F")</f>
        <v>67 °F</v>
      </c>
      <c r="O34" s="2226"/>
      <c r="P34" s="1498"/>
      <c r="Q34" s="2204" t="s">
        <v>7</v>
      </c>
      <c r="R34" s="2205"/>
      <c r="S34" s="2232" t="str">
        <f>TEXT(LOOKUP(Q10,Climo!$A$4:$A$377,Climo!$B$4:$B$377),"0 °F")</f>
        <v>87 °F</v>
      </c>
      <c r="T34" s="2232"/>
      <c r="U34" s="2225" t="str">
        <f>TEXT(LOOKUP(Q10,Climo!$A$4:$A$377,Climo!$C$4:$C$377),"0 °F")</f>
        <v>67 °F</v>
      </c>
      <c r="V34" s="2226"/>
      <c r="W34" s="1499"/>
      <c r="X34" s="2204" t="s">
        <v>7</v>
      </c>
      <c r="Y34" s="2205"/>
      <c r="Z34" s="2232" t="str">
        <f>TEXT(LOOKUP(X10,Climo!$A$4:$A$377,Climo!$B$4:$B$377),"0 °F")</f>
        <v>87 °F</v>
      </c>
      <c r="AA34" s="2232"/>
      <c r="AB34" s="2225" t="str">
        <f>TEXT(LOOKUP(X10,Climo!$A$4:$A$377,Climo!$C$4:$C$377),"0 °F")</f>
        <v>67 °F</v>
      </c>
      <c r="AC34" s="2226"/>
      <c r="AD34" s="1499"/>
      <c r="AE34" s="2204" t="s">
        <v>7</v>
      </c>
      <c r="AF34" s="2205"/>
      <c r="AG34" s="2232" t="str">
        <f>TEXT(LOOKUP(AE10,Climo!$A$4:$A$377,Climo!$B$4:$B$377),"0 °F")</f>
        <v>87 °F</v>
      </c>
      <c r="AH34" s="2232"/>
      <c r="AI34" s="2225" t="str">
        <f>TEXT(LOOKUP(AE10,Climo!$A$4:$A$377,Climo!$C$4:$C$377),"0 °F")</f>
        <v>67 °F</v>
      </c>
      <c r="AJ34" s="2226"/>
      <c r="AK34" s="231"/>
    </row>
    <row r="35" spans="2:43" ht="18" customHeight="1">
      <c r="B35" s="1482"/>
      <c r="C35" s="2204" t="s">
        <v>8</v>
      </c>
      <c r="D35" s="2205"/>
      <c r="E35" s="2243" t="str">
        <f>TEXT(LOOKUP(C10,Climo!$A$4:$A$377,Climo!$F$4:$F$377),"0 °F")</f>
        <v>101 °F</v>
      </c>
      <c r="F35" s="2243"/>
      <c r="G35" s="2227" t="str">
        <f>TEXT(LOOKUP(C10,Climo!$A$4:$A$377,Climo!$G$4:$G$377),"0 °F")</f>
        <v>54 °F</v>
      </c>
      <c r="H35" s="2228"/>
      <c r="I35" s="1498"/>
      <c r="J35" s="2204" t="s">
        <v>8</v>
      </c>
      <c r="K35" s="2205"/>
      <c r="L35" s="2243" t="str">
        <f>TEXT(LOOKUP(J10,Climo!$A$4:$A$377,Climo!$F$4:$F$377),"0 °F")</f>
        <v>103 °F</v>
      </c>
      <c r="M35" s="2243"/>
      <c r="N35" s="2227" t="str">
        <f>TEXT(LOOKUP(J10,Climo!$A$4:$A$377,Climo!$G$4:$G$377),"0 °F")</f>
        <v>53 °F</v>
      </c>
      <c r="O35" s="2228"/>
      <c r="P35" s="1498"/>
      <c r="Q35" s="2204" t="s">
        <v>8</v>
      </c>
      <c r="R35" s="2205"/>
      <c r="S35" s="2243" t="str">
        <f>TEXT(LOOKUP(Q10,Climo!$A$4:$A$377,Climo!$F$4:$F$377),"0 °F")</f>
        <v>104 °F</v>
      </c>
      <c r="T35" s="2243"/>
      <c r="U35" s="2227" t="str">
        <f>TEXT(LOOKUP(Q10,Climo!$A$4:$A$377,Climo!$G$4:$G$377),"0 °F")</f>
        <v>54 °F</v>
      </c>
      <c r="V35" s="2228"/>
      <c r="W35" s="1499"/>
      <c r="X35" s="2204" t="s">
        <v>8</v>
      </c>
      <c r="Y35" s="2205"/>
      <c r="Z35" s="2243" t="str">
        <f>TEXT(LOOKUP(X10,Climo!$A$4:$A$377,Climo!$F$4:$F$377),"0 °F")</f>
        <v>104 °F</v>
      </c>
      <c r="AA35" s="2243"/>
      <c r="AB35" s="2227" t="str">
        <f>TEXT(LOOKUP(X10,Climo!$A$4:$A$377,Climo!$G$4:$G$377),"0 °F")</f>
        <v>57 °F</v>
      </c>
      <c r="AC35" s="2228"/>
      <c r="AD35" s="1499"/>
      <c r="AE35" s="2204" t="s">
        <v>8</v>
      </c>
      <c r="AF35" s="2205"/>
      <c r="AG35" s="2243" t="str">
        <f>TEXT(LOOKUP(AE10,Climo!$A$4:$A$377,Climo!$F$4:$F$377),"0 °F")</f>
        <v>101 °F</v>
      </c>
      <c r="AH35" s="2243"/>
      <c r="AI35" s="2227" t="str">
        <f>TEXT(LOOKUP(AE10,Climo!$A$4:$A$377,Climo!$G$4:$G$377),"0 °F")</f>
        <v>54 °F</v>
      </c>
      <c r="AJ35" s="2228"/>
      <c r="AK35" s="231"/>
    </row>
    <row r="36" spans="2:43" ht="28.5" customHeight="1">
      <c r="B36" s="1482"/>
      <c r="C36" s="1845"/>
      <c r="D36" s="1846"/>
      <c r="E36" s="1846"/>
      <c r="F36" s="1847"/>
      <c r="G36" s="1847"/>
      <c r="H36" s="1848"/>
      <c r="I36" s="1498"/>
      <c r="J36" s="1845"/>
      <c r="K36" s="1846"/>
      <c r="L36" s="1846"/>
      <c r="M36" s="1847"/>
      <c r="N36" s="1847"/>
      <c r="O36" s="1848"/>
      <c r="P36" s="1498"/>
      <c r="Q36" s="1845"/>
      <c r="R36" s="1846"/>
      <c r="S36" s="1846"/>
      <c r="T36" s="1847"/>
      <c r="U36" s="1847"/>
      <c r="V36" s="1848"/>
      <c r="W36" s="1499"/>
      <c r="X36" s="1845"/>
      <c r="Y36" s="1846"/>
      <c r="Z36" s="1846"/>
      <c r="AA36" s="1847"/>
      <c r="AB36" s="1847"/>
      <c r="AC36" s="1848"/>
      <c r="AD36" s="1499"/>
      <c r="AE36" s="1845"/>
      <c r="AF36" s="1846"/>
      <c r="AG36" s="1846"/>
      <c r="AH36" s="1847"/>
      <c r="AI36" s="1847"/>
      <c r="AJ36" s="1848"/>
      <c r="AK36" s="231"/>
    </row>
    <row r="37" spans="2:43" ht="16.5" customHeight="1">
      <c r="B37" s="1482"/>
      <c r="C37" s="2214" t="s">
        <v>9</v>
      </c>
      <c r="D37" s="2215"/>
      <c r="E37" s="1496">
        <f>LOOKUP(C10,'Light Data '!$A$3:$A$381,'Light Data '!$B$3:$B$381)</f>
        <v>44748.220833333333</v>
      </c>
      <c r="F37" s="2206"/>
      <c r="G37" s="2206"/>
      <c r="H37" s="1497"/>
      <c r="I37" s="1501"/>
      <c r="J37" s="2214" t="s">
        <v>9</v>
      </c>
      <c r="K37" s="2215"/>
      <c r="L37" s="1496">
        <f>LOOKUP(J10,'Light Data '!$A$3:$A$381,'Light Data '!$B$3:$B$381)</f>
        <v>44749.22152777778</v>
      </c>
      <c r="M37" s="2206"/>
      <c r="N37" s="2206"/>
      <c r="O37" s="1497"/>
      <c r="P37" s="1501"/>
      <c r="Q37" s="2214" t="s">
        <v>9</v>
      </c>
      <c r="R37" s="2215"/>
      <c r="S37" s="1496">
        <f>LOOKUP(Q10,'Light Data '!$A$3:$A$381,'Light Data '!$B$3:$B$381)</f>
        <v>44750.22152777778</v>
      </c>
      <c r="T37" s="2206"/>
      <c r="U37" s="2206"/>
      <c r="V37" s="1497"/>
      <c r="W37" s="1502"/>
      <c r="X37" s="2214" t="s">
        <v>9</v>
      </c>
      <c r="Y37" s="2215"/>
      <c r="Z37" s="1496">
        <f>LOOKUP(X10,'Light Data '!$A$3:$A$381,'Light Data '!$B$3:$B$381)</f>
        <v>44751.222222222226</v>
      </c>
      <c r="AA37" s="2206"/>
      <c r="AB37" s="2206"/>
      <c r="AC37" s="1497"/>
      <c r="AD37" s="1502"/>
      <c r="AE37" s="2214" t="s">
        <v>9</v>
      </c>
      <c r="AF37" s="2215"/>
      <c r="AG37" s="1496">
        <f>LOOKUP(AE10,'Light Data '!$A$3:$A$381,'Light Data '!$B$3:$B$381)</f>
        <v>44752.222916666666</v>
      </c>
      <c r="AH37" s="2206"/>
      <c r="AI37" s="2206"/>
      <c r="AJ37" s="1497"/>
      <c r="AK37" s="231"/>
    </row>
    <row r="38" spans="2:43" ht="16.5" customHeight="1">
      <c r="B38" s="1482"/>
      <c r="C38" s="2218" t="s">
        <v>10</v>
      </c>
      <c r="D38" s="2219"/>
      <c r="E38" s="1503">
        <f>LOOKUP(C10,'Light Data '!$A$3:$A$381,'Light Data '!$C$3:$C$381)</f>
        <v>44748.269444444442</v>
      </c>
      <c r="F38" s="2378" t="s">
        <v>11</v>
      </c>
      <c r="G38" s="2378"/>
      <c r="H38" s="1500">
        <f>LOOKUP(C10,'Light Data '!$A$3:$A$381,'Light Data '!$F$3:$F$381)</f>
        <v>44748.563888888886</v>
      </c>
      <c r="I38" s="275"/>
      <c r="J38" s="2218" t="s">
        <v>10</v>
      </c>
      <c r="K38" s="2219"/>
      <c r="L38" s="1503">
        <f>LOOKUP(J10,'Light Data '!$A$3:$A$381,'Light Data '!$C$3:$C$381)</f>
        <v>44749.269444444442</v>
      </c>
      <c r="M38" s="2378" t="s">
        <v>11</v>
      </c>
      <c r="N38" s="2378"/>
      <c r="O38" s="1500">
        <f>LOOKUP(J10,'Light Data '!$A$3:$A$381,'Light Data '!$F$3:$F$381)</f>
        <v>44749.609027777777</v>
      </c>
      <c r="P38" s="275"/>
      <c r="Q38" s="2218" t="s">
        <v>10</v>
      </c>
      <c r="R38" s="2219"/>
      <c r="S38" s="1503">
        <f>LOOKUP(Q10,'Light Data '!$A$3:$A$381,'Light Data '!$C$3:$C$381)</f>
        <v>44750.270138888889</v>
      </c>
      <c r="T38" s="2378" t="s">
        <v>11</v>
      </c>
      <c r="U38" s="2378"/>
      <c r="V38" s="1500">
        <f>LOOKUP(Q10,'Light Data '!$A$3:$A$381,'Light Data '!$F$3:$F$381)</f>
        <v>44750.65625</v>
      </c>
      <c r="W38" s="276"/>
      <c r="X38" s="2218" t="s">
        <v>10</v>
      </c>
      <c r="Y38" s="2219"/>
      <c r="Z38" s="1503">
        <f>LOOKUP(X10,'Light Data '!$A$3:$A$381,'Light Data '!$C$3:$C$381)</f>
        <v>44751.270138888889</v>
      </c>
      <c r="AA38" s="2378" t="s">
        <v>11</v>
      </c>
      <c r="AB38" s="2378"/>
      <c r="AC38" s="1500">
        <f>LOOKUP(X10,'Light Data '!$A$3:$A$381,'Light Data '!$F$3:$F$381)</f>
        <v>44751.706944444442</v>
      </c>
      <c r="AD38" s="276"/>
      <c r="AE38" s="2218" t="s">
        <v>10</v>
      </c>
      <c r="AF38" s="2219"/>
      <c r="AG38" s="1503">
        <f>LOOKUP(AE10,'Light Data '!$A$3:$A$381,'Light Data '!$C$3:$C$381)</f>
        <v>44752.270833333336</v>
      </c>
      <c r="AH38" s="2378" t="s">
        <v>11</v>
      </c>
      <c r="AI38" s="2378"/>
      <c r="AJ38" s="1500">
        <f>LOOKUP(AE10,'Light Data '!$A$3:$A$381,'Light Data '!$F$3:$F$381)</f>
        <v>44752.759027777778</v>
      </c>
      <c r="AK38" s="231"/>
    </row>
    <row r="39" spans="2:43" ht="16.5" customHeight="1">
      <c r="B39" s="1482"/>
      <c r="C39" s="2216" t="s">
        <v>12</v>
      </c>
      <c r="D39" s="2217"/>
      <c r="E39" s="1504">
        <f>LOOKUP(C10,'Light Data '!$A$3:$A$381,'Light Data '!$D$3:$D$381)</f>
        <v>44748.881249999999</v>
      </c>
      <c r="F39" s="2379" t="s">
        <v>13</v>
      </c>
      <c r="G39" s="2379"/>
      <c r="H39" s="1587">
        <f>LOOKUP(C10,'Light Data '!$A$3:$A$381,'Light Data '!$G$3:$G$381)</f>
        <v>44748.049999999996</v>
      </c>
      <c r="I39" s="1492"/>
      <c r="J39" s="2216" t="s">
        <v>12</v>
      </c>
      <c r="K39" s="2217"/>
      <c r="L39" s="1504">
        <f>LOOKUP(J10,'Light Data '!$A$3:$A$381,'Light Data '!$D$3:$D$381)</f>
        <v>44749.881249999999</v>
      </c>
      <c r="M39" s="2379" t="s">
        <v>13</v>
      </c>
      <c r="N39" s="2379"/>
      <c r="O39" s="1587">
        <f>LOOKUP(J10,'Light Data '!$A$3:$A$381,'Light Data '!$G$3:$G$381)</f>
        <v>44749.066666666666</v>
      </c>
      <c r="P39" s="1492"/>
      <c r="Q39" s="2216" t="s">
        <v>12</v>
      </c>
      <c r="R39" s="2217"/>
      <c r="S39" s="1504">
        <f>LOOKUP(Q10,'Light Data '!$A$3:$A$381,'Light Data '!$D$3:$D$381)</f>
        <v>44750.881249999999</v>
      </c>
      <c r="T39" s="2379" t="s">
        <v>13</v>
      </c>
      <c r="U39" s="2379"/>
      <c r="V39" s="1587">
        <f>LOOKUP(Q10,'Light Data '!$A$3:$A$381,'Light Data '!$G$3:$G$381)</f>
        <v>44750.085416666669</v>
      </c>
      <c r="W39" s="1493"/>
      <c r="X39" s="2216" t="s">
        <v>12</v>
      </c>
      <c r="Y39" s="2217"/>
      <c r="Z39" s="1504">
        <f>LOOKUP(X10,'Light Data '!$A$3:$A$381,'Light Data '!$D$3:$D$381)</f>
        <v>44751.881249999999</v>
      </c>
      <c r="AA39" s="2379" t="s">
        <v>13</v>
      </c>
      <c r="AB39" s="2379"/>
      <c r="AC39" s="1587">
        <f>LOOKUP(X10,'Light Data '!$A$3:$A$381,'Light Data '!$G$3:$G$381)</f>
        <v>44751.106250000004</v>
      </c>
      <c r="AD39" s="1493"/>
      <c r="AE39" s="2216" t="s">
        <v>12</v>
      </c>
      <c r="AF39" s="2217"/>
      <c r="AG39" s="1504">
        <f>LOOKUP(AE10,'Light Data '!$A$3:$A$381,'Light Data '!$D$3:$D$381)</f>
        <v>44752.880555555559</v>
      </c>
      <c r="AH39" s="2379" t="s">
        <v>13</v>
      </c>
      <c r="AI39" s="2379"/>
      <c r="AJ39" s="1587">
        <f>LOOKUP(AE10,'Light Data '!$A$3:$A$381,'Light Data '!$G$3:$G$381)</f>
        <v>44752.131249999999</v>
      </c>
      <c r="AK39" s="231"/>
    </row>
    <row r="40" spans="2:43" ht="16.5" customHeight="1" thickBot="1">
      <c r="B40" s="1482"/>
      <c r="C40" s="2212" t="s">
        <v>14</v>
      </c>
      <c r="D40" s="2213"/>
      <c r="E40" s="1849">
        <f>LOOKUP(C10,'Light Data '!$A$3:$A$381,'Light Data '!$E$3:$E$381)</f>
        <v>44748.929861111108</v>
      </c>
      <c r="F40" s="2380" t="s">
        <v>15</v>
      </c>
      <c r="G40" s="2380"/>
      <c r="H40" s="1850">
        <f>LOOKUP(C10,'Light Data '!$A$3:$A$381,'Light Data '!$H$3:$H$381)</f>
        <v>41</v>
      </c>
      <c r="I40" s="1494"/>
      <c r="J40" s="2212" t="s">
        <v>14</v>
      </c>
      <c r="K40" s="2213"/>
      <c r="L40" s="1849">
        <f>LOOKUP(J10,'Light Data '!$A$3:$A$381,'Light Data '!$E$3:$E$381)</f>
        <v>44749.929861111108</v>
      </c>
      <c r="M40" s="2380" t="s">
        <v>15</v>
      </c>
      <c r="N40" s="2380"/>
      <c r="O40" s="1850">
        <f>LOOKUP(J10,'Light Data '!$A$3:$A$381,'Light Data '!$H$3:$H$381)</f>
        <v>51</v>
      </c>
      <c r="P40" s="1495"/>
      <c r="Q40" s="2212" t="s">
        <v>14</v>
      </c>
      <c r="R40" s="2213"/>
      <c r="S40" s="1849">
        <f>LOOKUP(Q10,'Light Data '!$A$3:$A$381,'Light Data '!$E$3:$E$381)</f>
        <v>44750.929166666661</v>
      </c>
      <c r="T40" s="2380" t="s">
        <v>15</v>
      </c>
      <c r="U40" s="2380"/>
      <c r="V40" s="1850">
        <f>LOOKUP(Q10,'Light Data '!$A$3:$A$381,'Light Data '!$H$3:$H$381)</f>
        <v>62</v>
      </c>
      <c r="W40" s="1495"/>
      <c r="X40" s="2212" t="s">
        <v>14</v>
      </c>
      <c r="Y40" s="2213"/>
      <c r="Z40" s="1849">
        <f>LOOKUP(X10,'Light Data '!$A$3:$A$381,'Light Data '!$E$3:$E$381)</f>
        <v>44751.929166666661</v>
      </c>
      <c r="AA40" s="2380" t="s">
        <v>15</v>
      </c>
      <c r="AB40" s="2380"/>
      <c r="AC40" s="1850">
        <f>LOOKUP(X10,'Light Data '!$A$3:$A$381,'Light Data '!$H$3:$H$381)</f>
        <v>73</v>
      </c>
      <c r="AD40" s="1495"/>
      <c r="AE40" s="2212" t="s">
        <v>14</v>
      </c>
      <c r="AF40" s="2213"/>
      <c r="AG40" s="1849">
        <f>LOOKUP(AE10,'Light Data '!$A$3:$A$381,'Light Data '!$E$3:$E$381)</f>
        <v>44752.929166666661</v>
      </c>
      <c r="AH40" s="2380" t="s">
        <v>15</v>
      </c>
      <c r="AI40" s="2380"/>
      <c r="AJ40" s="1850">
        <f>LOOKUP(AE10,'Light Data '!$A$3:$A$381,'Light Data '!$H$3:$H$381)</f>
        <v>82</v>
      </c>
      <c r="AK40" s="231"/>
    </row>
    <row r="41" spans="2:43" ht="8.25" customHeight="1" thickBot="1">
      <c r="B41" s="1487"/>
      <c r="C41" s="1488"/>
      <c r="D41" s="1488"/>
      <c r="E41" s="1488"/>
      <c r="F41" s="1488"/>
      <c r="G41" s="1488"/>
      <c r="H41" s="1488"/>
      <c r="I41" s="1488"/>
      <c r="J41" s="1488"/>
      <c r="K41" s="1488"/>
      <c r="L41" s="1488"/>
      <c r="M41" s="1488"/>
      <c r="N41" s="1488"/>
      <c r="O41" s="1488"/>
      <c r="P41" s="1488"/>
      <c r="Q41" s="1488"/>
      <c r="R41" s="1488"/>
      <c r="S41" s="1488"/>
      <c r="T41" s="1488"/>
      <c r="U41" s="1488"/>
      <c r="V41" s="1488"/>
      <c r="W41" s="1488"/>
      <c r="X41" s="1488"/>
      <c r="Y41" s="1488"/>
      <c r="Z41" s="1488"/>
      <c r="AA41" s="1488"/>
      <c r="AB41" s="1488"/>
      <c r="AC41" s="1488"/>
      <c r="AD41" s="1488"/>
      <c r="AE41" s="1488"/>
      <c r="AF41" s="1488"/>
      <c r="AG41" s="1488"/>
      <c r="AH41" s="1488"/>
      <c r="AI41" s="1488"/>
      <c r="AJ41" s="1488"/>
      <c r="AK41" s="1489"/>
      <c r="AL41" s="1453"/>
      <c r="AM41" s="279"/>
      <c r="AN41" s="279"/>
      <c r="AO41" s="279"/>
      <c r="AP41" s="279"/>
      <c r="AQ41" s="279"/>
    </row>
    <row r="42" spans="2:43" ht="20.25" customHeight="1"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1453"/>
      <c r="AM42" s="279"/>
      <c r="AN42" s="279"/>
      <c r="AO42" s="279"/>
      <c r="AP42" s="279"/>
      <c r="AQ42" s="279"/>
    </row>
    <row r="43" spans="2:43">
      <c r="C43" s="280"/>
      <c r="D43" s="280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1453"/>
      <c r="AM43" s="281"/>
      <c r="AN43" s="281"/>
      <c r="AO43" s="281"/>
      <c r="AP43" s="281"/>
      <c r="AQ43" s="280"/>
    </row>
    <row r="44" spans="2:43">
      <c r="C44" s="280"/>
      <c r="D44" s="280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1453"/>
      <c r="AM44" s="281"/>
      <c r="AN44" s="281"/>
      <c r="AO44" s="281"/>
      <c r="AP44" s="281"/>
      <c r="AQ44" s="280"/>
    </row>
    <row r="45" spans="2:43">
      <c r="C45" s="280"/>
      <c r="D45" s="280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1453"/>
      <c r="AM45" s="281"/>
      <c r="AN45" s="281"/>
      <c r="AO45" s="281"/>
      <c r="AP45" s="281"/>
      <c r="AQ45" s="280"/>
    </row>
    <row r="46" spans="2:43">
      <c r="C46" s="280"/>
      <c r="D46" s="280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1453"/>
      <c r="AM46" s="281"/>
      <c r="AN46" s="281"/>
      <c r="AO46" s="281"/>
      <c r="AP46" s="281"/>
      <c r="AQ46" s="280"/>
    </row>
    <row r="47" spans="2:43">
      <c r="C47" s="280"/>
      <c r="D47" s="280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1453"/>
      <c r="AM47" s="281"/>
      <c r="AN47" s="281"/>
      <c r="AO47" s="281"/>
      <c r="AP47" s="281"/>
      <c r="AQ47" s="280"/>
    </row>
    <row r="48" spans="2:43">
      <c r="C48" s="280"/>
      <c r="D48" s="280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1453"/>
      <c r="AM48" s="281"/>
      <c r="AN48" s="281"/>
      <c r="AO48" s="281"/>
      <c r="AP48" s="281"/>
      <c r="AQ48" s="280"/>
    </row>
    <row r="49" spans="3:43">
      <c r="C49" s="280"/>
      <c r="D49" s="280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1453"/>
      <c r="AM49" s="281"/>
      <c r="AN49" s="281"/>
      <c r="AO49" s="281"/>
      <c r="AP49" s="281"/>
      <c r="AQ49" s="280"/>
    </row>
    <row r="50" spans="3:43">
      <c r="C50" s="280"/>
      <c r="D50" s="280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1453"/>
      <c r="AM50" s="281"/>
      <c r="AN50" s="281"/>
      <c r="AO50" s="281"/>
      <c r="AP50" s="281"/>
      <c r="AQ50" s="280"/>
    </row>
    <row r="51" spans="3:43" ht="13">
      <c r="C51" s="280"/>
      <c r="D51" s="280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2"/>
      <c r="AL51" s="1453"/>
      <c r="AM51" s="281"/>
      <c r="AN51" s="281"/>
      <c r="AO51" s="281"/>
      <c r="AP51" s="281"/>
      <c r="AQ51" s="280"/>
    </row>
    <row r="52" spans="3:43" ht="13">
      <c r="C52" s="280"/>
      <c r="D52" s="280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2"/>
      <c r="AF52" s="281"/>
      <c r="AG52" s="281"/>
      <c r="AH52" s="281"/>
      <c r="AI52" s="281"/>
      <c r="AJ52" s="281"/>
      <c r="AK52" s="281"/>
      <c r="AL52" s="1453"/>
      <c r="AM52" s="281"/>
      <c r="AN52" s="281"/>
      <c r="AO52" s="281"/>
      <c r="AP52" s="281"/>
      <c r="AQ52" s="280"/>
    </row>
    <row r="53" spans="3:43" ht="13">
      <c r="C53" s="280"/>
      <c r="D53" s="280"/>
      <c r="E53" s="281"/>
      <c r="F53" s="281"/>
      <c r="G53" s="281"/>
      <c r="H53" s="281"/>
      <c r="I53" s="281"/>
      <c r="J53" s="281"/>
      <c r="K53" s="282"/>
      <c r="L53" s="281"/>
      <c r="M53" s="281"/>
      <c r="N53" s="281"/>
      <c r="O53" s="281"/>
      <c r="P53" s="281"/>
      <c r="Q53" s="283"/>
      <c r="R53" s="281"/>
      <c r="S53" s="281"/>
      <c r="T53" s="281"/>
      <c r="U53" s="281"/>
      <c r="V53" s="281"/>
      <c r="W53" s="281"/>
      <c r="X53" s="281"/>
      <c r="Y53" s="281"/>
      <c r="Z53" s="281"/>
      <c r="AA53" s="282"/>
      <c r="AB53" s="282"/>
      <c r="AC53" s="281"/>
      <c r="AD53" s="281"/>
      <c r="AE53" s="281"/>
      <c r="AF53" s="282"/>
      <c r="AG53" s="281"/>
      <c r="AH53" s="282"/>
      <c r="AI53" s="282"/>
      <c r="AJ53" s="281"/>
      <c r="AK53" s="281"/>
      <c r="AL53" s="1453"/>
      <c r="AM53" s="281"/>
      <c r="AN53" s="281"/>
      <c r="AO53" s="281"/>
      <c r="AP53" s="281"/>
      <c r="AQ53" s="280"/>
    </row>
    <row r="54" spans="3:43" ht="13">
      <c r="C54" s="280"/>
      <c r="D54" s="280"/>
      <c r="E54" s="281"/>
      <c r="F54" s="281"/>
      <c r="G54" s="281"/>
      <c r="H54" s="281"/>
      <c r="I54" s="281"/>
      <c r="J54" s="281"/>
      <c r="K54" s="281"/>
      <c r="L54" s="281"/>
      <c r="M54" s="282"/>
      <c r="N54" s="281"/>
      <c r="O54" s="281"/>
      <c r="P54" s="281"/>
      <c r="Q54" s="281"/>
      <c r="R54" s="281"/>
      <c r="S54" s="281"/>
      <c r="T54" s="282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1453"/>
      <c r="AM54" s="281"/>
      <c r="AN54" s="281"/>
      <c r="AO54" s="281"/>
      <c r="AP54" s="281"/>
      <c r="AQ54" s="280"/>
    </row>
    <row r="55" spans="3:43" ht="13">
      <c r="C55" s="280"/>
      <c r="D55" s="280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2"/>
      <c r="W55" s="282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1453"/>
      <c r="AM55" s="281"/>
      <c r="AN55" s="281"/>
      <c r="AO55" s="281"/>
      <c r="AP55" s="281"/>
      <c r="AQ55" s="280"/>
    </row>
    <row r="56" spans="3:43" ht="13">
      <c r="C56" s="280"/>
      <c r="D56" s="280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59"/>
      <c r="P56" s="59"/>
      <c r="Q56" s="281"/>
      <c r="R56" s="281"/>
      <c r="S56" s="281"/>
      <c r="T56" s="281"/>
      <c r="U56" s="281"/>
      <c r="V56" s="282"/>
      <c r="W56" s="282"/>
      <c r="X56" s="281"/>
      <c r="Y56" s="281"/>
      <c r="Z56" s="282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1453"/>
      <c r="AM56" s="281"/>
      <c r="AN56" s="281"/>
      <c r="AO56" s="281"/>
      <c r="AP56" s="281"/>
      <c r="AQ56" s="280"/>
    </row>
    <row r="57" spans="3:43" ht="13">
      <c r="C57" s="280"/>
      <c r="D57" s="280"/>
      <c r="E57" s="281"/>
      <c r="F57" s="281"/>
      <c r="G57" s="281"/>
      <c r="H57" s="281"/>
      <c r="I57" s="281"/>
      <c r="J57" s="281"/>
      <c r="K57" s="281"/>
      <c r="L57" s="281"/>
      <c r="M57" s="282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1453"/>
      <c r="AM57" s="281"/>
      <c r="AN57" s="281"/>
      <c r="AO57" s="281"/>
      <c r="AP57" s="281"/>
      <c r="AQ57" s="280"/>
    </row>
    <row r="58" spans="3:43">
      <c r="C58" s="280"/>
      <c r="D58" s="280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1453"/>
      <c r="AM58" s="281"/>
      <c r="AN58" s="281"/>
      <c r="AO58" s="281"/>
      <c r="AP58" s="281"/>
      <c r="AQ58" s="280"/>
    </row>
    <row r="59" spans="3:43">
      <c r="C59" s="280"/>
      <c r="D59" s="280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1453"/>
      <c r="AM59" s="281"/>
      <c r="AN59" s="281"/>
      <c r="AO59" s="281"/>
      <c r="AP59" s="281"/>
      <c r="AQ59" s="280"/>
    </row>
    <row r="60" spans="3:43">
      <c r="C60" s="280"/>
      <c r="D60" s="280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1453"/>
      <c r="AM60" s="281"/>
      <c r="AN60" s="281"/>
      <c r="AO60" s="281"/>
      <c r="AP60" s="281"/>
      <c r="AQ60" s="280"/>
    </row>
    <row r="61" spans="3:43">
      <c r="C61" s="280"/>
      <c r="D61" s="280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1453"/>
      <c r="AM61" s="281"/>
      <c r="AN61" s="281"/>
      <c r="AO61" s="281"/>
      <c r="AP61" s="281"/>
      <c r="AQ61" s="280"/>
    </row>
    <row r="62" spans="3:43">
      <c r="C62" s="280"/>
      <c r="D62" s="280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1453"/>
      <c r="AM62" s="281"/>
      <c r="AN62" s="281"/>
      <c r="AO62" s="281"/>
      <c r="AP62" s="281"/>
      <c r="AQ62" s="280"/>
    </row>
    <row r="63" spans="3:43">
      <c r="C63" s="280"/>
      <c r="D63" s="280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1453"/>
      <c r="AM63" s="281"/>
      <c r="AN63" s="281"/>
      <c r="AO63" s="281"/>
      <c r="AP63" s="281"/>
      <c r="AQ63" s="280"/>
    </row>
    <row r="64" spans="3:43">
      <c r="C64" s="280"/>
      <c r="D64" s="280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1453"/>
      <c r="AM64" s="281"/>
      <c r="AN64" s="281"/>
      <c r="AO64" s="281"/>
      <c r="AP64" s="281"/>
      <c r="AQ64" s="280"/>
    </row>
    <row r="65" spans="3:43" ht="13">
      <c r="C65" s="280"/>
      <c r="D65" s="280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53"/>
      <c r="U65" s="284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1453"/>
      <c r="AM65" s="281"/>
      <c r="AN65" s="281"/>
      <c r="AO65" s="281"/>
      <c r="AP65" s="281"/>
      <c r="AQ65" s="280"/>
    </row>
    <row r="66" spans="3:43">
      <c r="C66" s="280"/>
      <c r="D66" s="280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1453"/>
      <c r="AM66" s="281"/>
      <c r="AN66" s="281"/>
      <c r="AO66" s="281"/>
      <c r="AP66" s="281"/>
      <c r="AQ66" s="280"/>
    </row>
    <row r="67" spans="3:43">
      <c r="C67" s="280"/>
      <c r="D67" s="280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1453"/>
      <c r="AM67" s="281"/>
      <c r="AN67" s="281"/>
      <c r="AO67" s="281"/>
      <c r="AP67" s="281"/>
      <c r="AQ67" s="280"/>
    </row>
    <row r="68" spans="3:43" hidden="1">
      <c r="C68" s="280"/>
      <c r="D68" s="280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1446"/>
      <c r="Y68" s="1446"/>
      <c r="Z68" s="1446"/>
      <c r="AA68" s="1446"/>
      <c r="AB68" s="1446"/>
      <c r="AC68" s="1446"/>
      <c r="AD68" s="281"/>
      <c r="AE68" s="281"/>
      <c r="AF68" s="281"/>
      <c r="AG68" s="281"/>
      <c r="AH68" s="281"/>
      <c r="AI68" s="281"/>
      <c r="AJ68" s="281"/>
      <c r="AK68" s="281"/>
      <c r="AL68" s="1453"/>
      <c r="AM68" s="281"/>
      <c r="AN68" s="281"/>
      <c r="AO68" s="281"/>
      <c r="AP68" s="281"/>
      <c r="AQ68" s="280"/>
    </row>
    <row r="69" spans="3:43" hidden="1">
      <c r="C69" s="280"/>
      <c r="D69" s="280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1539"/>
      <c r="R69" s="1538" t="s">
        <v>16</v>
      </c>
      <c r="S69" s="1540"/>
      <c r="T69" s="1540"/>
      <c r="U69" s="1540"/>
      <c r="V69" s="1540"/>
      <c r="W69" s="1541"/>
      <c r="X69" s="153"/>
      <c r="Y69" s="2160" t="s">
        <v>17</v>
      </c>
      <c r="Z69" s="2161"/>
      <c r="AA69" s="2161"/>
      <c r="AB69" s="2161"/>
      <c r="AC69" s="2161"/>
      <c r="AD69" s="2162"/>
      <c r="AE69" s="281"/>
      <c r="AF69" s="281"/>
      <c r="AG69" s="281"/>
      <c r="AH69" s="281"/>
      <c r="AI69" s="281"/>
      <c r="AJ69" s="281"/>
      <c r="AK69" s="281"/>
      <c r="AL69" s="1453"/>
      <c r="AM69" s="281"/>
      <c r="AN69" s="281"/>
      <c r="AO69" s="281"/>
      <c r="AP69" s="281"/>
      <c r="AQ69" s="280"/>
    </row>
    <row r="70" spans="3:43" hidden="1">
      <c r="C70" s="280"/>
      <c r="D70" s="280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1542"/>
      <c r="R70" s="153" t="str">
        <f>MEF!Q70</f>
        <v>C12</v>
      </c>
      <c r="S70" s="153" t="str">
        <f>MEF!R70</f>
        <v>H60</v>
      </c>
      <c r="T70" s="153" t="str">
        <f>MEF!S70</f>
        <v>H6</v>
      </c>
      <c r="U70" s="153" t="str">
        <f>MEF!T70</f>
        <v>GR</v>
      </c>
      <c r="V70" s="153" t="str">
        <f>MEF!U70</f>
        <v>H-60 MED</v>
      </c>
      <c r="W70" s="1543"/>
      <c r="X70" s="202"/>
      <c r="Y70" s="1194"/>
      <c r="Z70" s="153"/>
      <c r="AA70" s="153"/>
      <c r="AB70" s="2163" t="str">
        <f>MEF!AP8</f>
        <v>H-60</v>
      </c>
      <c r="AC70" s="2163"/>
      <c r="AD70" s="1443"/>
      <c r="AE70" s="281"/>
      <c r="AF70" s="281"/>
      <c r="AG70" s="281"/>
      <c r="AH70" s="281"/>
      <c r="AI70" s="281"/>
      <c r="AJ70" s="281"/>
      <c r="AK70" s="281"/>
      <c r="AL70" s="1453"/>
      <c r="AM70" s="281"/>
      <c r="AN70" s="281"/>
      <c r="AO70" s="281"/>
      <c r="AP70" s="281"/>
      <c r="AQ70" s="280"/>
    </row>
    <row r="71" spans="3:43" hidden="1">
      <c r="C71" s="280"/>
      <c r="D71" s="280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1151"/>
      <c r="R71" s="153"/>
      <c r="S71" s="153"/>
      <c r="T71" s="153"/>
      <c r="U71" s="153"/>
      <c r="V71" s="153"/>
      <c r="W71" s="1146"/>
      <c r="X71" s="62"/>
      <c r="Y71" s="2164" t="s">
        <v>18</v>
      </c>
      <c r="Z71" s="2165"/>
      <c r="AA71" s="2165"/>
      <c r="AB71" s="2166" t="str">
        <f>IF($AP$14="","",$AP$14)</f>
        <v/>
      </c>
      <c r="AC71" s="2166"/>
      <c r="AD71" s="1444"/>
      <c r="AE71" s="281"/>
      <c r="AF71" s="281"/>
      <c r="AG71" s="281"/>
      <c r="AH71" s="281"/>
      <c r="AI71" s="281"/>
      <c r="AJ71" s="281"/>
      <c r="AK71" s="281"/>
      <c r="AL71" s="1453"/>
      <c r="AM71" s="281"/>
      <c r="AN71" s="281"/>
      <c r="AO71" s="281"/>
      <c r="AP71" s="281"/>
      <c r="AQ71" s="280"/>
    </row>
    <row r="72" spans="3:43" hidden="1">
      <c r="C72" s="280"/>
      <c r="D72" s="280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1194"/>
      <c r="R72" s="153" t="str">
        <f>MEF!Q71</f>
        <v>G</v>
      </c>
      <c r="S72" s="153" t="str">
        <f>MEF!R71</f>
        <v>G</v>
      </c>
      <c r="T72" s="153" t="str">
        <f>MEF!S71</f>
        <v>G</v>
      </c>
      <c r="U72" s="153" t="str">
        <f>MEF!T71</f>
        <v>Y</v>
      </c>
      <c r="V72" s="153" t="str">
        <f>MEF!U71</f>
        <v>G</v>
      </c>
      <c r="W72" s="1544">
        <f>MEF!V70</f>
        <v>0</v>
      </c>
      <c r="X72" s="62"/>
      <c r="Y72" s="1198">
        <v>1</v>
      </c>
      <c r="Z72" s="62">
        <f>Worksheet!Y291</f>
        <v>1</v>
      </c>
      <c r="AA72" s="200"/>
      <c r="AB72" s="2167" t="str">
        <f>MEF!AA71</f>
        <v>Y</v>
      </c>
      <c r="AC72" s="2167"/>
      <c r="AD72" s="1445"/>
      <c r="AE72" s="281"/>
      <c r="AF72" s="281"/>
      <c r="AG72" s="281"/>
      <c r="AH72" s="281"/>
      <c r="AI72" s="281"/>
      <c r="AJ72" s="281"/>
      <c r="AK72" s="281"/>
      <c r="AL72" s="1453"/>
      <c r="AM72" s="281"/>
      <c r="AN72" s="281"/>
      <c r="AO72" s="281"/>
      <c r="AP72" s="281"/>
      <c r="AQ72" s="280"/>
    </row>
    <row r="73" spans="3:43" hidden="1">
      <c r="C73" s="280"/>
      <c r="D73" s="280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1151"/>
      <c r="R73" s="153" t="str">
        <f>MEF!Q72</f>
        <v>G</v>
      </c>
      <c r="S73" s="153" t="str">
        <f>MEF!R72</f>
        <v>G</v>
      </c>
      <c r="T73" s="153" t="str">
        <f>MEF!S72</f>
        <v>G</v>
      </c>
      <c r="U73" s="153" t="str">
        <f>MEF!T72</f>
        <v>Y</v>
      </c>
      <c r="V73" s="153" t="str">
        <f>MEF!U72</f>
        <v>G</v>
      </c>
      <c r="W73" s="1146"/>
      <c r="X73" s="62"/>
      <c r="Y73" s="1198">
        <v>2</v>
      </c>
      <c r="Z73" s="200"/>
      <c r="AA73" s="200"/>
      <c r="AB73" s="2168" t="str">
        <f>MEF!AA72</f>
        <v>R</v>
      </c>
      <c r="AC73" s="2168"/>
      <c r="AD73" s="1445"/>
      <c r="AE73" s="281"/>
      <c r="AF73" s="281"/>
      <c r="AG73" s="281"/>
      <c r="AH73" s="281"/>
      <c r="AI73" s="281"/>
      <c r="AJ73" s="281"/>
      <c r="AK73" s="281"/>
      <c r="AL73" s="1453"/>
      <c r="AM73" s="281"/>
      <c r="AN73" s="281"/>
      <c r="AO73" s="281"/>
      <c r="AP73" s="281"/>
      <c r="AQ73" s="280"/>
    </row>
    <row r="74" spans="3:43" hidden="1">
      <c r="C74" s="280"/>
      <c r="D74" s="280"/>
      <c r="E74" s="281"/>
      <c r="F74" s="281"/>
      <c r="G74" s="281"/>
      <c r="H74" s="281"/>
      <c r="I74" s="281"/>
      <c r="J74" s="281"/>
      <c r="K74" s="53"/>
      <c r="L74" s="281"/>
      <c r="M74" s="281"/>
      <c r="N74" s="281"/>
      <c r="O74" s="281"/>
      <c r="P74" s="281"/>
      <c r="Q74" s="1151"/>
      <c r="R74" s="153" t="str">
        <f>MEF!Q73</f>
        <v>G</v>
      </c>
      <c r="S74" s="153" t="str">
        <f>MEF!R73</f>
        <v>G</v>
      </c>
      <c r="T74" s="153" t="str">
        <f>MEF!S73</f>
        <v>G</v>
      </c>
      <c r="U74" s="153" t="str">
        <f>MEF!T73</f>
        <v>R</v>
      </c>
      <c r="V74" s="153" t="str">
        <f>MEF!U73</f>
        <v>G</v>
      </c>
      <c r="W74" s="1146"/>
      <c r="X74" s="62"/>
      <c r="Y74" s="1198">
        <v>3</v>
      </c>
      <c r="Z74" s="200"/>
      <c r="AA74" s="200"/>
      <c r="AB74" s="2168" t="str">
        <f>MEF!AA73</f>
        <v>R</v>
      </c>
      <c r="AC74" s="2168"/>
      <c r="AD74" s="1445"/>
      <c r="AE74" s="281"/>
      <c r="AF74" s="281"/>
      <c r="AG74" s="281"/>
      <c r="AH74" s="281"/>
      <c r="AI74" s="281"/>
      <c r="AJ74" s="281"/>
      <c r="AK74" s="281"/>
      <c r="AL74" s="1453"/>
      <c r="AM74" s="281"/>
      <c r="AN74" s="281"/>
      <c r="AO74" s="281"/>
      <c r="AP74" s="281"/>
      <c r="AQ74" s="280"/>
    </row>
    <row r="75" spans="3:43" hidden="1"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1151"/>
      <c r="R75" s="153" t="str">
        <f>MEF!Q74</f>
        <v>G</v>
      </c>
      <c r="S75" s="153" t="str">
        <f>MEF!R74</f>
        <v>Y</v>
      </c>
      <c r="T75" s="153" t="str">
        <f>MEF!S74</f>
        <v>G</v>
      </c>
      <c r="U75" s="153" t="str">
        <f>MEF!T74</f>
        <v>R</v>
      </c>
      <c r="V75" s="153" t="str">
        <f>MEF!U74</f>
        <v>G</v>
      </c>
      <c r="W75" s="1146"/>
      <c r="X75" s="200"/>
      <c r="Y75" s="1198">
        <v>4</v>
      </c>
      <c r="Z75" s="200"/>
      <c r="AA75" s="200"/>
      <c r="AB75" s="2168" t="str">
        <f>MEF!AA74</f>
        <v>R</v>
      </c>
      <c r="AC75" s="2168"/>
      <c r="AD75" s="1445"/>
      <c r="AE75" s="279"/>
      <c r="AF75" s="279"/>
      <c r="AG75" s="279"/>
      <c r="AH75" s="279"/>
      <c r="AI75" s="279"/>
      <c r="AJ75" s="279"/>
      <c r="AK75" s="279"/>
      <c r="AL75" s="1453"/>
      <c r="AM75" s="279"/>
      <c r="AN75" s="279"/>
      <c r="AO75" s="279"/>
      <c r="AP75" s="279"/>
      <c r="AQ75" s="279"/>
    </row>
    <row r="76" spans="3:43" hidden="1"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1151"/>
      <c r="R76" s="153" t="str">
        <f>MEF!Q75</f>
        <v>G</v>
      </c>
      <c r="S76" s="153" t="str">
        <f>MEF!R75</f>
        <v>Y</v>
      </c>
      <c r="T76" s="153" t="str">
        <f>MEF!S75</f>
        <v>G</v>
      </c>
      <c r="U76" s="153" t="str">
        <f>MEF!T75</f>
        <v>R</v>
      </c>
      <c r="V76" s="153" t="str">
        <f>MEF!U75</f>
        <v>G</v>
      </c>
      <c r="W76" s="1146"/>
      <c r="X76" s="263"/>
      <c r="Y76" s="1195"/>
      <c r="Z76" s="1196"/>
      <c r="AA76" s="1196"/>
      <c r="AB76" s="1196"/>
      <c r="AC76" s="1196"/>
      <c r="AD76" s="1197"/>
      <c r="AE76" s="279"/>
      <c r="AF76" s="279"/>
      <c r="AG76" s="279"/>
      <c r="AH76" s="279"/>
      <c r="AI76" s="279"/>
      <c r="AJ76" s="279"/>
      <c r="AK76" s="279"/>
      <c r="AL76" s="1453"/>
      <c r="AM76" s="279"/>
      <c r="AN76" s="279"/>
      <c r="AO76" s="279"/>
      <c r="AP76" s="279"/>
      <c r="AQ76" s="279"/>
    </row>
    <row r="77" spans="3:43" hidden="1"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1151"/>
      <c r="R77" s="153" t="str">
        <f>MEF!Q76</f>
        <v>G</v>
      </c>
      <c r="S77" s="153" t="str">
        <f>MEF!R76</f>
        <v>Y</v>
      </c>
      <c r="T77" s="153" t="str">
        <f>MEF!S76</f>
        <v>G</v>
      </c>
      <c r="U77" s="153" t="str">
        <f>MEF!T76</f>
        <v>R</v>
      </c>
      <c r="V77" s="153" t="str">
        <f>MEF!U76</f>
        <v>Y</v>
      </c>
      <c r="W77" s="1146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1453"/>
      <c r="AM77" s="279"/>
      <c r="AN77" s="279"/>
      <c r="AO77" s="279"/>
      <c r="AP77" s="279"/>
      <c r="AQ77" s="279"/>
    </row>
    <row r="78" spans="3:43" hidden="1"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1151"/>
      <c r="R78" s="153" t="str">
        <f>MEF!Q77</f>
        <v>G</v>
      </c>
      <c r="S78" s="153" t="str">
        <f>MEF!R77</f>
        <v>Y</v>
      </c>
      <c r="T78" s="153" t="str">
        <f>MEF!S77</f>
        <v>G</v>
      </c>
      <c r="U78" s="153" t="str">
        <f>MEF!T77</f>
        <v>R</v>
      </c>
      <c r="V78" s="153" t="str">
        <f>MEF!U77</f>
        <v>Y</v>
      </c>
      <c r="W78" s="1146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1453"/>
      <c r="AM78" s="279"/>
      <c r="AN78" s="279"/>
      <c r="AO78" s="279"/>
      <c r="AP78" s="279"/>
      <c r="AQ78" s="279"/>
    </row>
    <row r="79" spans="3:43" hidden="1">
      <c r="C79" s="279"/>
      <c r="D79" s="279"/>
      <c r="E79" s="279"/>
      <c r="F79" s="279"/>
      <c r="G79" s="279"/>
      <c r="H79" s="53"/>
      <c r="I79" s="53"/>
      <c r="J79" s="279"/>
      <c r="K79" s="279"/>
      <c r="L79" s="279"/>
      <c r="M79" s="279"/>
      <c r="N79" s="279"/>
      <c r="O79" s="279"/>
      <c r="P79" s="279"/>
      <c r="Q79" s="1151"/>
      <c r="R79" s="153" t="str">
        <f>MEF!Q78</f>
        <v>R</v>
      </c>
      <c r="S79" s="153" t="str">
        <f>MEF!R78</f>
        <v>R</v>
      </c>
      <c r="T79" s="153" t="str">
        <f>MEF!S78</f>
        <v>R</v>
      </c>
      <c r="U79" s="153" t="str">
        <f>MEF!T78</f>
        <v>R</v>
      </c>
      <c r="V79" s="153" t="str">
        <f>MEF!U78</f>
        <v>R</v>
      </c>
      <c r="W79" s="1146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1453"/>
      <c r="AM79" s="279"/>
      <c r="AN79" s="279"/>
      <c r="AO79" s="279"/>
      <c r="AP79" s="279"/>
      <c r="AQ79" s="279"/>
    </row>
    <row r="80" spans="3:43" hidden="1">
      <c r="C80" s="279"/>
      <c r="D80" s="279"/>
      <c r="E80" s="286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1151"/>
      <c r="R80" s="153" t="str">
        <f>MEF!Q79</f>
        <v>R</v>
      </c>
      <c r="S80" s="153" t="str">
        <f>MEF!R79</f>
        <v>R</v>
      </c>
      <c r="T80" s="153" t="str">
        <f>MEF!S79</f>
        <v>R</v>
      </c>
      <c r="U80" s="153" t="str">
        <f>MEF!T79</f>
        <v>R</v>
      </c>
      <c r="V80" s="153" t="str">
        <f>MEF!U79</f>
        <v>R</v>
      </c>
      <c r="W80" s="1146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1453"/>
      <c r="AM80" s="279"/>
      <c r="AN80" s="279"/>
      <c r="AO80" s="279"/>
      <c r="AP80" s="279"/>
      <c r="AQ80" s="279"/>
    </row>
    <row r="81" spans="3:43" hidden="1"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1151"/>
      <c r="R81" s="153" t="str">
        <f>MEF!Q80</f>
        <v>R</v>
      </c>
      <c r="S81" s="153" t="str">
        <f>MEF!R80</f>
        <v>R</v>
      </c>
      <c r="T81" s="153" t="str">
        <f>MEF!S80</f>
        <v>R</v>
      </c>
      <c r="U81" s="153" t="str">
        <f>MEF!T80</f>
        <v>R</v>
      </c>
      <c r="V81" s="153" t="str">
        <f>MEF!U80</f>
        <v>R</v>
      </c>
      <c r="W81" s="1146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1453"/>
      <c r="AM81" s="279"/>
      <c r="AN81" s="279"/>
      <c r="AO81" s="279"/>
      <c r="AP81" s="279"/>
      <c r="AQ81" s="279"/>
    </row>
    <row r="82" spans="3:43" ht="13" hidden="1">
      <c r="C82" s="284"/>
      <c r="F82" s="284"/>
      <c r="J82" s="284"/>
      <c r="Q82" s="1151"/>
      <c r="R82" s="153" t="str">
        <f>MEF!Q81</f>
        <v>R</v>
      </c>
      <c r="S82" s="153" t="str">
        <f>MEF!R81</f>
        <v>R</v>
      </c>
      <c r="T82" s="153" t="str">
        <f>MEF!S81</f>
        <v>R</v>
      </c>
      <c r="U82" s="153" t="str">
        <f>MEF!T81</f>
        <v>Y</v>
      </c>
      <c r="V82" s="153" t="str">
        <f>MEF!U81</f>
        <v>R</v>
      </c>
      <c r="W82" s="1146"/>
    </row>
    <row r="83" spans="3:43" ht="13" hidden="1">
      <c r="M83" s="284"/>
      <c r="Q83" s="1151"/>
      <c r="R83" s="153" t="str">
        <f>MEF!Q82</f>
        <v>R</v>
      </c>
      <c r="S83" s="153" t="str">
        <f>MEF!R82</f>
        <v>R</v>
      </c>
      <c r="T83" s="153" t="str">
        <f>MEF!S82</f>
        <v>R</v>
      </c>
      <c r="U83" s="153" t="str">
        <f>MEF!T82</f>
        <v>Y</v>
      </c>
      <c r="V83" s="153" t="str">
        <f>MEF!U82</f>
        <v>R</v>
      </c>
      <c r="W83" s="1146"/>
    </row>
    <row r="84" spans="3:43" hidden="1">
      <c r="Q84" s="1151"/>
      <c r="R84" s="153" t="str">
        <f>MEF!Q83</f>
        <v>R</v>
      </c>
      <c r="S84" s="153" t="str">
        <f>MEF!R83</f>
        <v>R</v>
      </c>
      <c r="T84" s="153" t="str">
        <f>MEF!S83</f>
        <v>R</v>
      </c>
      <c r="U84" s="153" t="str">
        <f>MEF!T83</f>
        <v>Y</v>
      </c>
      <c r="V84" s="153" t="str">
        <f>MEF!U83</f>
        <v>R</v>
      </c>
      <c r="W84" s="1146"/>
    </row>
    <row r="85" spans="3:43" hidden="1">
      <c r="Q85" s="1195"/>
      <c r="R85" s="1537"/>
      <c r="S85" s="1537"/>
      <c r="T85" s="1537"/>
      <c r="U85" s="1537"/>
      <c r="V85" s="1537"/>
      <c r="W85" s="1197"/>
    </row>
    <row r="86" spans="3:43" hidden="1">
      <c r="R86" s="53"/>
    </row>
    <row r="87" spans="3:43">
      <c r="R87" s="53"/>
    </row>
    <row r="88" spans="3:43">
      <c r="R88" s="53"/>
    </row>
    <row r="89" spans="3:43">
      <c r="R89" s="53"/>
    </row>
    <row r="90" spans="3:43">
      <c r="R90" s="53"/>
    </row>
    <row r="91" spans="3:43">
      <c r="R91" s="53"/>
    </row>
    <row r="92" spans="3:43">
      <c r="C92" s="215" t="str">
        <f>Worksheet!AH4</f>
        <v>A:</v>
      </c>
      <c r="R92" s="53"/>
    </row>
    <row r="93" spans="3:43">
      <c r="R93" s="53"/>
    </row>
    <row r="94" spans="3:43">
      <c r="R94" s="53"/>
    </row>
    <row r="95" spans="3:43">
      <c r="R95" s="53"/>
    </row>
    <row r="96" spans="3:43">
      <c r="R96" s="53"/>
    </row>
    <row r="97" spans="18:38">
      <c r="R97" s="53"/>
    </row>
    <row r="98" spans="18:38">
      <c r="R98" s="53"/>
    </row>
    <row r="99" spans="18:38">
      <c r="R99" s="53"/>
    </row>
    <row r="100" spans="18:38">
      <c r="R100" s="53"/>
    </row>
    <row r="101" spans="18:38">
      <c r="R101" s="53"/>
    </row>
    <row r="112" spans="18:38" s="1449" customFormat="1" ht="9.5" thickBot="1">
      <c r="AL112" s="1451"/>
    </row>
    <row r="113" spans="3:96" s="1354" customFormat="1" ht="42" customHeight="1">
      <c r="C113" s="1344"/>
      <c r="D113" s="1360"/>
      <c r="E113" s="1360"/>
      <c r="F113" s="1360"/>
      <c r="G113" s="1360"/>
      <c r="H113" s="1360"/>
      <c r="I113" s="1360"/>
      <c r="J113" s="1360"/>
      <c r="K113" s="1360"/>
      <c r="L113" s="1360"/>
      <c r="M113" s="1360"/>
      <c r="N113" s="1360"/>
      <c r="O113" s="1360"/>
      <c r="P113" s="1360"/>
      <c r="Q113" s="1360"/>
      <c r="R113" s="1360"/>
      <c r="S113" s="1360"/>
      <c r="T113" s="1360"/>
      <c r="U113" s="1360"/>
      <c r="V113" s="1360"/>
      <c r="W113" s="1360"/>
      <c r="X113" s="1360"/>
      <c r="Y113" s="1360"/>
      <c r="Z113" s="1360"/>
      <c r="AA113" s="1360"/>
      <c r="AB113" s="1360"/>
      <c r="AC113" s="1360"/>
      <c r="AD113" s="1360"/>
      <c r="AE113" s="1360"/>
      <c r="AF113" s="1360"/>
      <c r="AG113" s="1360"/>
      <c r="AH113" s="1360"/>
      <c r="AI113" s="1360"/>
      <c r="AJ113" s="1360"/>
      <c r="AK113" s="1360"/>
      <c r="AL113" s="1459"/>
      <c r="AM113" s="1360"/>
      <c r="AN113" s="1360"/>
      <c r="AO113" s="1360"/>
      <c r="AP113" s="1360"/>
      <c r="AQ113" s="1360"/>
      <c r="AT113" s="1462"/>
      <c r="AU113" s="1462"/>
      <c r="AV113" s="1463"/>
      <c r="AW113" s="2169"/>
      <c r="AX113" s="2170"/>
      <c r="AY113" s="2170"/>
      <c r="AZ113" s="2170"/>
      <c r="BA113" s="2170"/>
      <c r="BB113" s="2170"/>
      <c r="BC113" s="2170"/>
      <c r="BD113" s="2170"/>
      <c r="BE113" s="2170"/>
      <c r="BF113" s="2170"/>
      <c r="BG113" s="2170"/>
      <c r="BH113" s="2170"/>
      <c r="BI113" s="2170"/>
      <c r="BJ113" s="2170"/>
      <c r="BK113" s="2170"/>
      <c r="BL113" s="2170"/>
      <c r="BM113" s="2170"/>
      <c r="BN113" s="2170"/>
      <c r="BO113" s="2170"/>
      <c r="BP113" s="2170"/>
      <c r="BQ113" s="2170"/>
      <c r="BR113" s="2170"/>
      <c r="BS113" s="2170"/>
      <c r="BT113" s="2170"/>
      <c r="BU113" s="2170"/>
      <c r="BV113" s="2170"/>
      <c r="BW113" s="2170"/>
      <c r="BX113" s="2170"/>
      <c r="BY113" s="2170"/>
      <c r="BZ113" s="2170"/>
      <c r="CA113" s="2170"/>
      <c r="CB113" s="2170"/>
      <c r="CC113" s="2170"/>
      <c r="CD113" s="2170"/>
      <c r="CE113" s="2170"/>
      <c r="CF113" s="2170"/>
      <c r="CG113" s="2170"/>
      <c r="CH113" s="2170"/>
      <c r="CI113" s="2170"/>
      <c r="CJ113" s="2170"/>
      <c r="CK113" s="2170"/>
      <c r="CL113" s="2170"/>
      <c r="CM113" s="2170"/>
      <c r="CN113" s="2170"/>
      <c r="CO113" s="2170"/>
      <c r="CP113" s="2170"/>
      <c r="CQ113" s="2170"/>
      <c r="CR113" s="2171"/>
    </row>
    <row r="114" spans="3:96" s="1354" customFormat="1" ht="28.5" customHeight="1">
      <c r="F114" s="1352"/>
      <c r="G114" s="1361"/>
      <c r="H114" s="1361"/>
      <c r="I114" s="1361"/>
      <c r="J114" s="1361"/>
      <c r="K114" s="1361"/>
      <c r="L114" s="1361"/>
      <c r="M114" s="1361"/>
      <c r="N114" s="1361"/>
      <c r="O114" s="1361"/>
      <c r="P114" s="1361"/>
      <c r="Q114" s="1361"/>
      <c r="R114" s="1361"/>
      <c r="S114" s="1362"/>
      <c r="T114" s="1362"/>
      <c r="U114" s="1363"/>
      <c r="V114" s="1363"/>
      <c r="W114" s="1363"/>
      <c r="X114" s="1363"/>
      <c r="Y114" s="1363"/>
      <c r="Z114" s="1363"/>
      <c r="AA114" s="1363"/>
      <c r="AB114" s="1363"/>
      <c r="AC114" s="1363"/>
      <c r="AD114" s="1363"/>
      <c r="AE114" s="1363"/>
      <c r="AF114" s="1363"/>
      <c r="AG114" s="1353"/>
      <c r="AH114" s="1364"/>
      <c r="AI114" s="1364"/>
      <c r="AJ114" s="1365"/>
      <c r="AK114" s="1365"/>
      <c r="AL114" s="1454"/>
      <c r="AM114" s="1366"/>
      <c r="AN114" s="1366"/>
      <c r="AO114" s="1366"/>
      <c r="AP114" s="1366"/>
      <c r="AQ114" s="1366"/>
      <c r="AT114" s="1462"/>
      <c r="AU114" s="1462"/>
      <c r="AV114" s="1463"/>
      <c r="AW114" s="2198">
        <f>MEF!F3</f>
        <v>44748</v>
      </c>
      <c r="AX114" s="2199"/>
      <c r="AY114" s="2199"/>
      <c r="AZ114" s="2199"/>
      <c r="BA114" s="2199"/>
      <c r="BB114" s="2199"/>
      <c r="BC114" s="2199"/>
      <c r="BD114" s="2199"/>
      <c r="BE114" s="2199"/>
      <c r="BF114" s="2199"/>
      <c r="BG114" s="2199"/>
      <c r="BH114" s="2199"/>
      <c r="BI114" s="2199"/>
      <c r="BJ114" s="2199"/>
      <c r="BK114" s="2199"/>
      <c r="BL114" s="2200" t="s">
        <v>19</v>
      </c>
      <c r="BM114" s="2200"/>
      <c r="BN114" s="2201" t="str">
        <f>MEF!T3</f>
        <v>6/0900L (6/1300Z)  to  6/2100L (7/0100Z)</v>
      </c>
      <c r="BO114" s="2201"/>
      <c r="BP114" s="2201"/>
      <c r="BQ114" s="2201"/>
      <c r="BR114" s="2201"/>
      <c r="BS114" s="2201"/>
      <c r="BT114" s="2201"/>
      <c r="BU114" s="2201"/>
      <c r="BV114" s="2201"/>
      <c r="BW114" s="2201"/>
      <c r="BX114" s="2201"/>
      <c r="BY114" s="2201"/>
      <c r="BZ114" s="2201"/>
      <c r="CA114" s="2201"/>
      <c r="CB114" s="2189" t="s">
        <v>20</v>
      </c>
      <c r="CC114" s="2189"/>
      <c r="CD114" s="2197" t="str">
        <f>MEF!AI3</f>
        <v>6B</v>
      </c>
      <c r="CE114" s="2197"/>
      <c r="CF114" s="1578" t="str">
        <f>MEF!AL3</f>
        <v/>
      </c>
      <c r="CG114" s="1579"/>
      <c r="CH114" s="1579"/>
      <c r="CI114" s="1579"/>
      <c r="CJ114" s="1579"/>
      <c r="CK114" s="1579"/>
      <c r="CL114" s="1579"/>
      <c r="CM114" s="1579"/>
      <c r="CN114" s="1514"/>
      <c r="CO114" s="1515"/>
      <c r="CP114" s="1515"/>
      <c r="CQ114" s="1515"/>
      <c r="CR114" s="1516"/>
    </row>
    <row r="115" spans="3:96" s="1354" customFormat="1" ht="20.25" customHeight="1">
      <c r="C115" s="1367"/>
      <c r="D115" s="1367"/>
      <c r="E115" s="1367"/>
      <c r="F115" s="1367"/>
      <c r="G115" s="1367"/>
      <c r="H115" s="1367"/>
      <c r="I115" s="1367"/>
      <c r="J115" s="1367"/>
      <c r="K115" s="1367"/>
      <c r="L115" s="1367"/>
      <c r="M115" s="1367"/>
      <c r="N115" s="1367"/>
      <c r="O115" s="1367"/>
      <c r="P115" s="1367"/>
      <c r="Q115" s="1367"/>
      <c r="R115" s="1367"/>
      <c r="S115" s="1367"/>
      <c r="T115" s="1367"/>
      <c r="U115" s="1368"/>
      <c r="V115" s="1368"/>
      <c r="W115" s="1368"/>
      <c r="X115" s="1369"/>
      <c r="Y115" s="1369"/>
      <c r="Z115" s="1369"/>
      <c r="AA115" s="1369"/>
      <c r="AB115" s="1369"/>
      <c r="AC115" s="1369"/>
      <c r="AD115" s="1369"/>
      <c r="AE115" s="1369"/>
      <c r="AF115" s="1369"/>
      <c r="AG115" s="1369"/>
      <c r="AH115" s="1369"/>
      <c r="AI115" s="1369"/>
      <c r="AJ115" s="1369"/>
      <c r="AK115" s="1369"/>
      <c r="AL115" s="1455"/>
      <c r="AM115" s="1369"/>
      <c r="AN115" s="1369"/>
      <c r="AO115" s="1369"/>
      <c r="AP115" s="1369"/>
      <c r="AQ115" s="1369"/>
      <c r="AT115" s="1462"/>
      <c r="AU115" s="1462"/>
      <c r="AV115" s="1463"/>
      <c r="AW115" s="2183" t="s">
        <v>131</v>
      </c>
      <c r="AX115" s="2184"/>
      <c r="AY115" s="2184"/>
      <c r="AZ115" s="2184"/>
      <c r="BA115" s="2184"/>
      <c r="BB115" s="2184"/>
      <c r="BC115" s="2184"/>
      <c r="BD115" s="2184"/>
      <c r="BE115" s="2184"/>
      <c r="BF115" s="2184"/>
      <c r="BG115" s="2184"/>
      <c r="BH115" s="2184"/>
      <c r="BI115" s="2184"/>
      <c r="BJ115" s="2184"/>
      <c r="BK115" s="2184"/>
      <c r="BL115" s="2184"/>
      <c r="BM115" s="2184"/>
      <c r="BN115" s="2184"/>
      <c r="BO115" s="2184"/>
      <c r="BP115" s="2184"/>
      <c r="BQ115" s="2184"/>
      <c r="BR115" s="2184"/>
      <c r="BS115" s="2317" t="s">
        <v>21</v>
      </c>
      <c r="BT115" s="2318"/>
      <c r="BU115" s="2318"/>
      <c r="BV115" s="2318"/>
      <c r="BW115" s="2318"/>
      <c r="BX115" s="2318"/>
      <c r="BY115" s="2318"/>
      <c r="BZ115" s="2318"/>
      <c r="CA115" s="2318"/>
      <c r="CB115" s="2318"/>
      <c r="CC115" s="2318"/>
      <c r="CD115" s="2319"/>
      <c r="CE115" s="2192" t="s">
        <v>22</v>
      </c>
      <c r="CF115" s="2193"/>
      <c r="CG115" s="2193"/>
      <c r="CH115" s="2193"/>
      <c r="CI115" s="2192" t="s">
        <v>23</v>
      </c>
      <c r="CJ115" s="2193"/>
      <c r="CK115" s="2193"/>
      <c r="CL115" s="2196"/>
      <c r="CM115" s="1510"/>
      <c r="CN115" s="1510"/>
      <c r="CO115" s="1511"/>
      <c r="CP115" s="2190"/>
      <c r="CQ115" s="2144"/>
      <c r="CR115" s="2191"/>
    </row>
    <row r="116" spans="3:96" s="1354" customFormat="1" ht="13.5" customHeight="1">
      <c r="C116" s="1370"/>
      <c r="D116" s="1370"/>
      <c r="E116" s="1370"/>
      <c r="F116" s="1370"/>
      <c r="G116" s="1370"/>
      <c r="H116" s="1370"/>
      <c r="I116" s="1370"/>
      <c r="J116" s="1370"/>
      <c r="K116" s="1370"/>
      <c r="L116" s="1370"/>
      <c r="M116" s="1370"/>
      <c r="N116" s="1370"/>
      <c r="O116" s="1370"/>
      <c r="P116" s="1370"/>
      <c r="Q116" s="1370"/>
      <c r="R116" s="1370"/>
      <c r="S116" s="1370"/>
      <c r="T116" s="1370"/>
      <c r="U116" s="1371"/>
      <c r="V116" s="1371"/>
      <c r="W116" s="1371"/>
      <c r="X116" s="1345"/>
      <c r="Y116" s="1345"/>
      <c r="Z116" s="1345"/>
      <c r="AA116" s="1345"/>
      <c r="AB116" s="1345"/>
      <c r="AC116" s="1345"/>
      <c r="AD116" s="1345"/>
      <c r="AE116" s="1345"/>
      <c r="AF116" s="1345"/>
      <c r="AG116" s="1345"/>
      <c r="AH116" s="1372"/>
      <c r="AI116" s="1372"/>
      <c r="AJ116" s="1372"/>
      <c r="AK116" s="1372"/>
      <c r="AL116" s="1457"/>
      <c r="AM116" s="1373"/>
      <c r="AN116" s="1373"/>
      <c r="AO116" s="1373"/>
      <c r="AP116" s="1373"/>
      <c r="AQ116" s="1374"/>
      <c r="AT116" s="1462"/>
      <c r="AU116" s="1462"/>
      <c r="AV116" s="1463"/>
      <c r="AW116" s="2185" t="str">
        <f>MEF!B5</f>
        <v/>
      </c>
      <c r="AX116" s="2186"/>
      <c r="AY116" s="2186"/>
      <c r="AZ116" s="2186"/>
      <c r="BA116" s="2186"/>
      <c r="BB116" s="2186"/>
      <c r="BC116" s="2186"/>
      <c r="BD116" s="2186"/>
      <c r="BE116" s="2186"/>
      <c r="BF116" s="2186"/>
      <c r="BG116" s="2186"/>
      <c r="BH116" s="2186"/>
      <c r="BI116" s="2186"/>
      <c r="BJ116" s="2186"/>
      <c r="BK116" s="2186"/>
      <c r="BL116" s="2186"/>
      <c r="BM116" s="2186"/>
      <c r="BN116" s="2186"/>
      <c r="BO116" s="2186"/>
      <c r="BP116" s="2186"/>
      <c r="BQ116" s="2186"/>
      <c r="BR116" s="2186"/>
      <c r="BS116" s="1565"/>
      <c r="BT116" s="1566"/>
      <c r="BU116" s="1566"/>
      <c r="BV116" s="1566"/>
      <c r="BW116" s="1566"/>
      <c r="BX116" s="1566"/>
      <c r="BY116" s="1566"/>
      <c r="BZ116" s="1566"/>
      <c r="CA116" s="1566"/>
      <c r="CB116" s="1566"/>
      <c r="CC116" s="1566"/>
      <c r="CD116" s="1567"/>
      <c r="CE116" s="2194" t="s">
        <v>24</v>
      </c>
      <c r="CF116" s="2195"/>
      <c r="CG116" s="2195"/>
      <c r="CH116" s="2195"/>
      <c r="CI116" s="2356" t="s">
        <v>25</v>
      </c>
      <c r="CJ116" s="2357"/>
      <c r="CK116" s="2357"/>
      <c r="CL116" s="2358"/>
      <c r="CM116" s="1521"/>
      <c r="CN116" s="1521"/>
      <c r="CO116" s="1522"/>
      <c r="CP116" s="1512"/>
      <c r="CR116" s="1513"/>
    </row>
    <row r="117" spans="3:96" s="1354" customFormat="1" ht="13.5" customHeight="1">
      <c r="C117" s="1370"/>
      <c r="D117" s="1370"/>
      <c r="E117" s="1370"/>
      <c r="F117" s="1370"/>
      <c r="G117" s="1370"/>
      <c r="H117" s="1370"/>
      <c r="I117" s="1370"/>
      <c r="J117" s="1370"/>
      <c r="K117" s="1370"/>
      <c r="L117" s="1370"/>
      <c r="M117" s="1370"/>
      <c r="N117" s="1370"/>
      <c r="O117" s="1370"/>
      <c r="P117" s="1370"/>
      <c r="Q117" s="1370"/>
      <c r="R117" s="1370"/>
      <c r="S117" s="1370"/>
      <c r="T117" s="1370"/>
      <c r="U117" s="1371"/>
      <c r="V117" s="1371"/>
      <c r="W117" s="1371"/>
      <c r="X117" s="1346"/>
      <c r="Y117" s="1346"/>
      <c r="Z117" s="1346"/>
      <c r="AA117" s="1347"/>
      <c r="AB117" s="1347"/>
      <c r="AC117" s="1347"/>
      <c r="AD117" s="1347"/>
      <c r="AE117" s="1347"/>
      <c r="AF117" s="1347"/>
      <c r="AG117" s="1345"/>
      <c r="AH117" s="1372"/>
      <c r="AI117" s="1372"/>
      <c r="AJ117" s="1372"/>
      <c r="AK117" s="1372"/>
      <c r="AL117" s="1457"/>
      <c r="AM117" s="1373"/>
      <c r="AN117" s="1373"/>
      <c r="AO117" s="1373"/>
      <c r="AP117" s="1373"/>
      <c r="AQ117" s="1374"/>
      <c r="AT117" s="1462"/>
      <c r="AU117" s="1462"/>
      <c r="AV117" s="1463"/>
      <c r="AW117" s="2185" t="str">
        <f>MEF!B6</f>
        <v/>
      </c>
      <c r="AX117" s="2186"/>
      <c r="AY117" s="2186"/>
      <c r="AZ117" s="2186"/>
      <c r="BA117" s="2186"/>
      <c r="BB117" s="2186"/>
      <c r="BC117" s="2186"/>
      <c r="BD117" s="2186"/>
      <c r="BE117" s="2186"/>
      <c r="BF117" s="2186"/>
      <c r="BG117" s="2186"/>
      <c r="BH117" s="2186"/>
      <c r="BI117" s="2186"/>
      <c r="BJ117" s="2186"/>
      <c r="BK117" s="2186"/>
      <c r="BL117" s="2186"/>
      <c r="BM117" s="2186"/>
      <c r="BN117" s="2186"/>
      <c r="BO117" s="2186"/>
      <c r="BP117" s="2186"/>
      <c r="BQ117" s="2186"/>
      <c r="BR117" s="2186"/>
      <c r="BS117" s="2177"/>
      <c r="BT117" s="2178"/>
      <c r="BU117" s="2178"/>
      <c r="BV117" s="2178"/>
      <c r="BW117" s="2178"/>
      <c r="BX117" s="2179"/>
      <c r="BY117" s="2365"/>
      <c r="BZ117" s="2366"/>
      <c r="CA117" s="2366"/>
      <c r="CB117" s="2366"/>
      <c r="CC117" s="2366"/>
      <c r="CD117" s="2367"/>
      <c r="CE117" s="2173" t="str">
        <f>MEF!AG7</f>
        <v>No impact.</v>
      </c>
      <c r="CF117" s="2174"/>
      <c r="CG117" s="2174"/>
      <c r="CH117" s="2174"/>
      <c r="CI117" s="2356"/>
      <c r="CJ117" s="2357"/>
      <c r="CK117" s="2357"/>
      <c r="CL117" s="2358"/>
      <c r="CM117" s="1521"/>
      <c r="CN117" s="1521"/>
      <c r="CO117" s="1522"/>
      <c r="CP117" s="1520"/>
      <c r="CQ117" s="1521"/>
      <c r="CR117" s="1523"/>
    </row>
    <row r="118" spans="3:96" s="1354" customFormat="1" ht="13.5" customHeight="1">
      <c r="C118" s="1375"/>
      <c r="D118" s="1375"/>
      <c r="E118" s="1375"/>
      <c r="F118" s="1375"/>
      <c r="G118" s="1375"/>
      <c r="H118" s="1375"/>
      <c r="I118" s="1375"/>
      <c r="J118" s="1375"/>
      <c r="K118" s="1375"/>
      <c r="L118" s="1375"/>
      <c r="M118" s="1375"/>
      <c r="N118" s="1375"/>
      <c r="O118" s="1375"/>
      <c r="P118" s="1375"/>
      <c r="Q118" s="1375"/>
      <c r="R118" s="1375"/>
      <c r="S118" s="1375"/>
      <c r="T118" s="1375"/>
      <c r="U118" s="1371"/>
      <c r="V118" s="1371"/>
      <c r="W118" s="1371"/>
      <c r="X118" s="1376"/>
      <c r="Y118" s="1376"/>
      <c r="Z118" s="1376"/>
      <c r="AA118" s="1377"/>
      <c r="AB118" s="1377"/>
      <c r="AC118" s="1378"/>
      <c r="AD118" s="1378"/>
      <c r="AE118" s="1378"/>
      <c r="AF118" s="1378"/>
      <c r="AG118" s="1378"/>
      <c r="AH118" s="1379"/>
      <c r="AI118" s="1379"/>
      <c r="AJ118" s="1379"/>
      <c r="AK118" s="1379"/>
      <c r="AL118" s="1460"/>
      <c r="AM118" s="1373"/>
      <c r="AN118" s="1373"/>
      <c r="AO118" s="1373"/>
      <c r="AP118" s="1373"/>
      <c r="AQ118" s="1374"/>
      <c r="AT118" s="1462"/>
      <c r="AU118" s="1462"/>
      <c r="AV118" s="1463"/>
      <c r="AW118" s="2187" t="str">
        <f>MEF!B7</f>
        <v/>
      </c>
      <c r="AX118" s="2188"/>
      <c r="AY118" s="2188"/>
      <c r="AZ118" s="2188"/>
      <c r="BA118" s="2188"/>
      <c r="BB118" s="2188"/>
      <c r="BC118" s="2188"/>
      <c r="BD118" s="2188"/>
      <c r="BE118" s="2188"/>
      <c r="BF118" s="2188"/>
      <c r="BG118" s="2188"/>
      <c r="BH118" s="2188"/>
      <c r="BI118" s="2188"/>
      <c r="BJ118" s="2188"/>
      <c r="BK118" s="2188"/>
      <c r="BL118" s="2188"/>
      <c r="BM118" s="2188"/>
      <c r="BN118" s="2188"/>
      <c r="BO118" s="2188"/>
      <c r="BP118" s="2188"/>
      <c r="BQ118" s="2188"/>
      <c r="BR118" s="2188"/>
      <c r="BS118" s="2180"/>
      <c r="BT118" s="2181"/>
      <c r="BU118" s="2181"/>
      <c r="BV118" s="2181"/>
      <c r="BW118" s="2181"/>
      <c r="BX118" s="2182"/>
      <c r="BY118" s="2365"/>
      <c r="BZ118" s="2366"/>
      <c r="CA118" s="2366"/>
      <c r="CB118" s="2366"/>
      <c r="CC118" s="2366"/>
      <c r="CD118" s="2367"/>
      <c r="CE118" s="2173"/>
      <c r="CF118" s="2174"/>
      <c r="CG118" s="2174"/>
      <c r="CH118" s="2174"/>
      <c r="CI118" s="2356"/>
      <c r="CJ118" s="2357"/>
      <c r="CK118" s="2357"/>
      <c r="CL118" s="2358"/>
      <c r="CM118" s="1521"/>
      <c r="CN118" s="2344"/>
      <c r="CO118" s="2344"/>
      <c r="CP118" s="2344"/>
      <c r="CQ118" s="2344"/>
      <c r="CR118" s="2345"/>
    </row>
    <row r="119" spans="3:96" s="1354" customFormat="1" ht="13.5" customHeight="1">
      <c r="C119" s="1375"/>
      <c r="D119" s="1375"/>
      <c r="E119" s="1375"/>
      <c r="F119" s="1375"/>
      <c r="G119" s="1375"/>
      <c r="H119" s="1375"/>
      <c r="I119" s="1375"/>
      <c r="J119" s="1375"/>
      <c r="K119" s="1375"/>
      <c r="L119" s="1375"/>
      <c r="M119" s="1375"/>
      <c r="N119" s="1375"/>
      <c r="O119" s="1375"/>
      <c r="P119" s="1375"/>
      <c r="Q119" s="1375"/>
      <c r="R119" s="1375"/>
      <c r="S119" s="1375"/>
      <c r="T119" s="1375"/>
      <c r="U119" s="1380"/>
      <c r="V119" s="1380"/>
      <c r="W119" s="1380"/>
      <c r="X119" s="1376"/>
      <c r="Y119" s="1376"/>
      <c r="Z119" s="1376"/>
      <c r="AA119" s="1377"/>
      <c r="AB119" s="1377"/>
      <c r="AC119" s="1381"/>
      <c r="AD119" s="1381"/>
      <c r="AE119" s="1381"/>
      <c r="AF119" s="1382"/>
      <c r="AG119" s="1382"/>
      <c r="AH119" s="1379"/>
      <c r="AI119" s="1379"/>
      <c r="AJ119" s="1379"/>
      <c r="AK119" s="1379"/>
      <c r="AL119" s="1460"/>
      <c r="AM119" s="1383"/>
      <c r="AN119" s="1383"/>
      <c r="AO119" s="1383"/>
      <c r="AP119" s="1383"/>
      <c r="AQ119" s="1384"/>
      <c r="AT119" s="1462"/>
      <c r="AU119" s="1462"/>
      <c r="AV119" s="1463"/>
      <c r="AW119" s="2187" t="str">
        <f>MEF!B8</f>
        <v xml:space="preserve"> KFTK 0611/0717 22008KT 9999 BKN250 QNH2990INS </v>
      </c>
      <c r="AX119" s="2188"/>
      <c r="AY119" s="2188"/>
      <c r="AZ119" s="2188"/>
      <c r="BA119" s="2188"/>
      <c r="BB119" s="2188"/>
      <c r="BC119" s="2188"/>
      <c r="BD119" s="2188"/>
      <c r="BE119" s="2188"/>
      <c r="BF119" s="2188"/>
      <c r="BG119" s="2188"/>
      <c r="BH119" s="2188"/>
      <c r="BI119" s="2188"/>
      <c r="BJ119" s="2188"/>
      <c r="BK119" s="2188"/>
      <c r="BL119" s="2188"/>
      <c r="BM119" s="2188"/>
      <c r="BN119" s="2188"/>
      <c r="BO119" s="2188"/>
      <c r="BP119" s="2188"/>
      <c r="BQ119" s="2188"/>
      <c r="BR119" s="2188"/>
      <c r="BS119" s="2370" t="s">
        <v>9</v>
      </c>
      <c r="BT119" s="2371"/>
      <c r="BU119" s="2371"/>
      <c r="BV119" s="2372">
        <f>MEF!Z7</f>
        <v>44748.220833333333</v>
      </c>
      <c r="BW119" s="2372"/>
      <c r="BX119" s="2373"/>
      <c r="BY119" s="2365"/>
      <c r="BZ119" s="2366"/>
      <c r="CA119" s="2366"/>
      <c r="CB119" s="2366"/>
      <c r="CC119" s="2366"/>
      <c r="CD119" s="2367"/>
      <c r="CE119" s="2175"/>
      <c r="CF119" s="2176"/>
      <c r="CG119" s="2176"/>
      <c r="CH119" s="2176"/>
      <c r="CI119" s="1519"/>
      <c r="CJ119" s="1524"/>
      <c r="CK119" s="1517"/>
      <c r="CL119" s="1518"/>
      <c r="CM119" s="2314" t="s">
        <v>26</v>
      </c>
      <c r="CN119" s="2315"/>
      <c r="CO119" s="2315"/>
      <c r="CP119" s="2315"/>
      <c r="CQ119" s="2315"/>
      <c r="CR119" s="2316"/>
    </row>
    <row r="120" spans="3:96" s="1354" customFormat="1" ht="13.5" customHeight="1">
      <c r="C120" s="1375"/>
      <c r="D120" s="1375"/>
      <c r="E120" s="1375"/>
      <c r="F120" s="1375"/>
      <c r="G120" s="1375"/>
      <c r="H120" s="1375"/>
      <c r="I120" s="1375"/>
      <c r="J120" s="1375"/>
      <c r="K120" s="1375"/>
      <c r="L120" s="1375"/>
      <c r="M120" s="1375"/>
      <c r="N120" s="1375"/>
      <c r="O120" s="1375"/>
      <c r="P120" s="1375"/>
      <c r="Q120" s="1375"/>
      <c r="R120" s="1375"/>
      <c r="S120" s="1375"/>
      <c r="T120" s="1375"/>
      <c r="U120" s="1380"/>
      <c r="V120" s="1380"/>
      <c r="W120" s="1380"/>
      <c r="X120" s="1376"/>
      <c r="Y120" s="1376"/>
      <c r="Z120" s="1376"/>
      <c r="AA120" s="1377"/>
      <c r="AB120" s="1377"/>
      <c r="AC120" s="1381"/>
      <c r="AD120" s="1381"/>
      <c r="AE120" s="1381"/>
      <c r="AF120" s="1382"/>
      <c r="AG120" s="1382"/>
      <c r="AH120" s="1372"/>
      <c r="AI120" s="1372"/>
      <c r="AJ120" s="1372"/>
      <c r="AK120" s="1372"/>
      <c r="AL120" s="1457"/>
      <c r="AM120" s="1383"/>
      <c r="AN120" s="1383"/>
      <c r="AO120" s="1383"/>
      <c r="AP120" s="1383"/>
      <c r="AQ120" s="1384"/>
      <c r="AT120" s="1462"/>
      <c r="AU120" s="1462"/>
      <c r="AV120" s="1463"/>
      <c r="AW120" s="2187" t="str">
        <f>MEF!B9</f>
        <v xml:space="preserve">   BECMG 0614/0615 24010KT 9999 SCT040 BKN250 QNH2988INS </v>
      </c>
      <c r="AX120" s="2188"/>
      <c r="AY120" s="2188"/>
      <c r="AZ120" s="2188"/>
      <c r="BA120" s="2188"/>
      <c r="BB120" s="2188"/>
      <c r="BC120" s="2188"/>
      <c r="BD120" s="2188"/>
      <c r="BE120" s="2188"/>
      <c r="BF120" s="2188"/>
      <c r="BG120" s="2188"/>
      <c r="BH120" s="2188"/>
      <c r="BI120" s="2188"/>
      <c r="BJ120" s="2188"/>
      <c r="BK120" s="2188"/>
      <c r="BL120" s="2188"/>
      <c r="BM120" s="2188"/>
      <c r="BN120" s="2188"/>
      <c r="BO120" s="2188"/>
      <c r="BP120" s="2188"/>
      <c r="BQ120" s="2188"/>
      <c r="BR120" s="2188"/>
      <c r="BS120" s="2370"/>
      <c r="BT120" s="2371"/>
      <c r="BU120" s="2371"/>
      <c r="BV120" s="2372"/>
      <c r="BW120" s="2372"/>
      <c r="BX120" s="2373"/>
      <c r="BY120" s="2359" t="s">
        <v>11</v>
      </c>
      <c r="BZ120" s="2360"/>
      <c r="CA120" s="2360"/>
      <c r="CB120" s="2361">
        <f>MEF!AE8</f>
        <v>44748.563888888886</v>
      </c>
      <c r="CC120" s="2361"/>
      <c r="CD120" s="2362"/>
      <c r="CE120" s="2352" t="s">
        <v>27</v>
      </c>
      <c r="CF120" s="2353"/>
      <c r="CG120" s="2353"/>
      <c r="CH120" s="2353"/>
      <c r="CI120" s="2320" t="str">
        <f>IF(Worksheet!CV143="","None.",Worksheet!CV143)</f>
        <v>None.</v>
      </c>
      <c r="CJ120" s="2321"/>
      <c r="CK120" s="2321"/>
      <c r="CL120" s="2322"/>
      <c r="CM120" s="2314"/>
      <c r="CN120" s="2315"/>
      <c r="CO120" s="2315"/>
      <c r="CP120" s="2315"/>
      <c r="CQ120" s="2315"/>
      <c r="CR120" s="2316"/>
    </row>
    <row r="121" spans="3:96" s="1354" customFormat="1" ht="13.5" customHeight="1">
      <c r="C121" s="1375"/>
      <c r="D121" s="1375"/>
      <c r="E121" s="1375"/>
      <c r="F121" s="1375"/>
      <c r="G121" s="1375"/>
      <c r="H121" s="1375"/>
      <c r="I121" s="1375"/>
      <c r="J121" s="1375"/>
      <c r="K121" s="1375"/>
      <c r="L121" s="1375"/>
      <c r="M121" s="1375"/>
      <c r="N121" s="1375"/>
      <c r="O121" s="1375"/>
      <c r="P121" s="1375"/>
      <c r="Q121" s="1375"/>
      <c r="R121" s="1375"/>
      <c r="S121" s="1375"/>
      <c r="T121" s="1375"/>
      <c r="U121" s="1380"/>
      <c r="V121" s="1380"/>
      <c r="W121" s="1380"/>
      <c r="X121" s="1376"/>
      <c r="Y121" s="1376"/>
      <c r="Z121" s="1376"/>
      <c r="AA121" s="1377"/>
      <c r="AB121" s="1377"/>
      <c r="AC121" s="1381"/>
      <c r="AD121" s="1381"/>
      <c r="AE121" s="1381"/>
      <c r="AF121" s="1382"/>
      <c r="AG121" s="1382"/>
      <c r="AH121" s="1372"/>
      <c r="AI121" s="1372"/>
      <c r="AJ121" s="1372"/>
      <c r="AK121" s="1372"/>
      <c r="AL121" s="1457"/>
      <c r="AM121" s="1383"/>
      <c r="AN121" s="1383"/>
      <c r="AO121" s="1383"/>
      <c r="AP121" s="1383"/>
      <c r="AQ121" s="1384"/>
      <c r="AT121" s="1462"/>
      <c r="AU121" s="1462"/>
      <c r="AV121" s="1463"/>
      <c r="AW121" s="2187" t="str">
        <f>MEF!B10</f>
        <v xml:space="preserve">   TEMPO 0620/0702 29012G20KT 4800 -TSRA BKN040CB </v>
      </c>
      <c r="AX121" s="2188"/>
      <c r="AY121" s="2188"/>
      <c r="AZ121" s="2188"/>
      <c r="BA121" s="2188"/>
      <c r="BB121" s="2188"/>
      <c r="BC121" s="2188"/>
      <c r="BD121" s="2188"/>
      <c r="BE121" s="2188"/>
      <c r="BF121" s="2188"/>
      <c r="BG121" s="2188"/>
      <c r="BH121" s="2188"/>
      <c r="BI121" s="2188"/>
      <c r="BJ121" s="2188"/>
      <c r="BK121" s="2188"/>
      <c r="BL121" s="2188"/>
      <c r="BM121" s="2188"/>
      <c r="BN121" s="2188"/>
      <c r="BO121" s="2188"/>
      <c r="BP121" s="2188"/>
      <c r="BQ121" s="2188"/>
      <c r="BR121" s="2188"/>
      <c r="BS121" s="2374" t="s">
        <v>10</v>
      </c>
      <c r="BT121" s="2375"/>
      <c r="BU121" s="2375"/>
      <c r="BV121" s="2376">
        <f>MEF!Z9</f>
        <v>44748.269444444442</v>
      </c>
      <c r="BW121" s="2376"/>
      <c r="BX121" s="2377"/>
      <c r="BY121" s="2359"/>
      <c r="BZ121" s="2360"/>
      <c r="CA121" s="2360"/>
      <c r="CB121" s="2361"/>
      <c r="CC121" s="2361"/>
      <c r="CD121" s="2362"/>
      <c r="CE121" s="2173" t="str">
        <f>MEF!AG11</f>
        <v>No impact.</v>
      </c>
      <c r="CF121" s="2174"/>
      <c r="CG121" s="2174"/>
      <c r="CH121" s="2174"/>
      <c r="CI121" s="2320"/>
      <c r="CJ121" s="2321"/>
      <c r="CK121" s="2321"/>
      <c r="CL121" s="2322"/>
      <c r="CM121" s="2335" t="s">
        <v>28</v>
      </c>
      <c r="CN121" s="2336"/>
      <c r="CO121" s="2336"/>
      <c r="CP121" s="2335" t="s">
        <v>29</v>
      </c>
      <c r="CQ121" s="2336"/>
      <c r="CR121" s="2340"/>
    </row>
    <row r="122" spans="3:96" s="1354" customFormat="1" ht="13.5" customHeight="1">
      <c r="C122" s="1375"/>
      <c r="D122" s="1375"/>
      <c r="E122" s="1375"/>
      <c r="F122" s="1375"/>
      <c r="G122" s="1375"/>
      <c r="H122" s="1375"/>
      <c r="I122" s="1375"/>
      <c r="J122" s="1375"/>
      <c r="K122" s="1375"/>
      <c r="L122" s="1375"/>
      <c r="M122" s="1375"/>
      <c r="N122" s="1375"/>
      <c r="O122" s="1375"/>
      <c r="P122" s="1375"/>
      <c r="Q122" s="1375"/>
      <c r="R122" s="1375"/>
      <c r="S122" s="1375"/>
      <c r="T122" s="1375"/>
      <c r="U122" s="1380"/>
      <c r="V122" s="1380"/>
      <c r="W122" s="1380"/>
      <c r="X122" s="1376"/>
      <c r="Y122" s="1376"/>
      <c r="Z122" s="1376"/>
      <c r="AA122" s="1377"/>
      <c r="AB122" s="1377"/>
      <c r="AC122" s="1381"/>
      <c r="AD122" s="1381"/>
      <c r="AE122" s="1381"/>
      <c r="AF122" s="1382"/>
      <c r="AG122" s="1382"/>
      <c r="AH122" s="1379"/>
      <c r="AI122" s="1379"/>
      <c r="AJ122" s="1379"/>
      <c r="AK122" s="1379"/>
      <c r="AL122" s="1460"/>
      <c r="AM122" s="1383"/>
      <c r="AN122" s="1383"/>
      <c r="AO122" s="1383"/>
      <c r="AP122" s="1383"/>
      <c r="AQ122" s="1374"/>
      <c r="AT122" s="1462"/>
      <c r="AU122" s="1462"/>
      <c r="AV122" s="1463"/>
      <c r="AW122" s="2187" t="str">
        <f>MEF!B11</f>
        <v xml:space="preserve">   BECMG 0707/0708 VRB03KT 4800 BR SCT250 QNH2985INS </v>
      </c>
      <c r="AX122" s="2188"/>
      <c r="AY122" s="2188"/>
      <c r="AZ122" s="2188"/>
      <c r="BA122" s="2188"/>
      <c r="BB122" s="2188"/>
      <c r="BC122" s="2188"/>
      <c r="BD122" s="2188"/>
      <c r="BE122" s="2188"/>
      <c r="BF122" s="2188"/>
      <c r="BG122" s="2188"/>
      <c r="BH122" s="2188"/>
      <c r="BI122" s="2188"/>
      <c r="BJ122" s="2188"/>
      <c r="BK122" s="2188"/>
      <c r="BL122" s="2188"/>
      <c r="BM122" s="2188"/>
      <c r="BN122" s="2188"/>
      <c r="BO122" s="2188"/>
      <c r="BP122" s="2188"/>
      <c r="BQ122" s="2188"/>
      <c r="BR122" s="2188"/>
      <c r="BS122" s="2374"/>
      <c r="BT122" s="2375"/>
      <c r="BU122" s="2375"/>
      <c r="BV122" s="2376"/>
      <c r="BW122" s="2376"/>
      <c r="BX122" s="2377"/>
      <c r="BY122" s="2363" t="s">
        <v>13</v>
      </c>
      <c r="BZ122" s="2364"/>
      <c r="CA122" s="2364"/>
      <c r="CB122" s="2348">
        <f>MEF!AE10</f>
        <v>44748.049999999996</v>
      </c>
      <c r="CC122" s="2348"/>
      <c r="CD122" s="2349"/>
      <c r="CE122" s="2173"/>
      <c r="CF122" s="2174"/>
      <c r="CG122" s="2174"/>
      <c r="CH122" s="2174"/>
      <c r="CI122" s="2320"/>
      <c r="CJ122" s="2321"/>
      <c r="CK122" s="2321"/>
      <c r="CL122" s="2322"/>
      <c r="CM122" s="2337" t="str">
        <f>IF(MEF!AP8="GR'ND OPS","GROUND",MEF!AP8)</f>
        <v>H-60</v>
      </c>
      <c r="CN122" s="2338"/>
      <c r="CO122" s="2339"/>
      <c r="CP122" s="2341" t="str">
        <f>INDEX(MLT!B4:C183,MATCH(IF(CM122="GROUND","GR'ND OPS",CM122),MLT!B4:B183,0),2)</f>
        <v>II</v>
      </c>
      <c r="CQ122" s="2342"/>
      <c r="CR122" s="2343"/>
    </row>
    <row r="123" spans="3:96" s="1354" customFormat="1" ht="13.5" customHeight="1">
      <c r="C123" s="1375"/>
      <c r="D123" s="1375"/>
      <c r="E123" s="1375"/>
      <c r="F123" s="1375"/>
      <c r="G123" s="1375"/>
      <c r="H123" s="1375"/>
      <c r="I123" s="1375"/>
      <c r="J123" s="1375"/>
      <c r="K123" s="1375"/>
      <c r="L123" s="1375"/>
      <c r="M123" s="1375"/>
      <c r="N123" s="1375"/>
      <c r="O123" s="1375"/>
      <c r="P123" s="1375"/>
      <c r="Q123" s="1375"/>
      <c r="R123" s="1375"/>
      <c r="S123" s="1375"/>
      <c r="T123" s="1375"/>
      <c r="U123" s="1385"/>
      <c r="V123" s="1385"/>
      <c r="W123" s="1385"/>
      <c r="X123" s="1376"/>
      <c r="Y123" s="1376"/>
      <c r="Z123" s="1376"/>
      <c r="AA123" s="1377"/>
      <c r="AB123" s="1377"/>
      <c r="AC123" s="1381"/>
      <c r="AD123" s="1381"/>
      <c r="AE123" s="1381"/>
      <c r="AF123" s="1386"/>
      <c r="AG123" s="1386"/>
      <c r="AH123" s="1379"/>
      <c r="AI123" s="1379"/>
      <c r="AJ123" s="1379"/>
      <c r="AK123" s="1379"/>
      <c r="AL123" s="1460"/>
      <c r="AM123" s="1383"/>
      <c r="AN123" s="1383"/>
      <c r="AO123" s="1383"/>
      <c r="AP123" s="1383"/>
      <c r="AQ123" s="1374"/>
      <c r="AT123" s="1462"/>
      <c r="AU123" s="1462"/>
      <c r="AV123" s="1463"/>
      <c r="AW123" s="2187" t="str">
        <f>MEF!B12</f>
        <v xml:space="preserve">   BECMG 0713/0714 19006KT 9999 NSW SCT250 QNH2988INS </v>
      </c>
      <c r="AX123" s="2188"/>
      <c r="AY123" s="2188"/>
      <c r="AZ123" s="2188"/>
      <c r="BA123" s="2188"/>
      <c r="BB123" s="2188"/>
      <c r="BC123" s="2188"/>
      <c r="BD123" s="2188"/>
      <c r="BE123" s="2188"/>
      <c r="BF123" s="2188"/>
      <c r="BG123" s="2188"/>
      <c r="BH123" s="2188"/>
      <c r="BI123" s="2188"/>
      <c r="BJ123" s="2188"/>
      <c r="BK123" s="2188"/>
      <c r="BL123" s="2188"/>
      <c r="BM123" s="2188"/>
      <c r="BN123" s="2188"/>
      <c r="BO123" s="2188"/>
      <c r="BP123" s="2188"/>
      <c r="BQ123" s="2188"/>
      <c r="BR123" s="2188"/>
      <c r="BS123" s="2374" t="s">
        <v>12</v>
      </c>
      <c r="BT123" s="2375"/>
      <c r="BU123" s="2375"/>
      <c r="BV123" s="2376">
        <f>MEF!Z11</f>
        <v>44748.881249999999</v>
      </c>
      <c r="BW123" s="2376"/>
      <c r="BX123" s="2377"/>
      <c r="BY123" s="1568"/>
      <c r="BZ123" s="1569"/>
      <c r="CA123" s="1569"/>
      <c r="CB123" s="1570"/>
      <c r="CC123" s="1570"/>
      <c r="CD123" s="1571"/>
      <c r="CE123" s="2175"/>
      <c r="CF123" s="2176"/>
      <c r="CG123" s="2176"/>
      <c r="CH123" s="2176"/>
      <c r="CI123" s="2320"/>
      <c r="CJ123" s="2321"/>
      <c r="CK123" s="2321"/>
      <c r="CL123" s="2322"/>
      <c r="CM123" s="2337"/>
      <c r="CN123" s="2338"/>
      <c r="CO123" s="2339"/>
      <c r="CP123" s="2341"/>
      <c r="CQ123" s="2342"/>
      <c r="CR123" s="2343"/>
    </row>
    <row r="124" spans="3:96" s="1354" customFormat="1" ht="13.5" customHeight="1">
      <c r="C124" s="1375"/>
      <c r="D124" s="1375"/>
      <c r="E124" s="1375"/>
      <c r="F124" s="1375"/>
      <c r="G124" s="1375"/>
      <c r="H124" s="1375"/>
      <c r="I124" s="1375"/>
      <c r="J124" s="1375"/>
      <c r="K124" s="1375"/>
      <c r="L124" s="1375"/>
      <c r="M124" s="1375"/>
      <c r="N124" s="1375"/>
      <c r="O124" s="1375"/>
      <c r="P124" s="1375"/>
      <c r="Q124" s="1375"/>
      <c r="R124" s="1375"/>
      <c r="S124" s="1375"/>
      <c r="T124" s="1375"/>
      <c r="U124" s="1385"/>
      <c r="V124" s="1385"/>
      <c r="W124" s="1385"/>
      <c r="X124" s="1376"/>
      <c r="Y124" s="1376"/>
      <c r="Z124" s="1376"/>
      <c r="AA124" s="1377"/>
      <c r="AB124" s="1377"/>
      <c r="AC124" s="1381"/>
      <c r="AD124" s="1381"/>
      <c r="AE124" s="1381"/>
      <c r="AF124" s="1386"/>
      <c r="AG124" s="1386"/>
      <c r="AH124" s="1387"/>
      <c r="AI124" s="1387"/>
      <c r="AJ124" s="1387"/>
      <c r="AK124" s="1387"/>
      <c r="AL124" s="1457"/>
      <c r="AM124" s="1388"/>
      <c r="AN124" s="1388"/>
      <c r="AO124" s="1388"/>
      <c r="AP124" s="1388"/>
      <c r="AQ124" s="1374"/>
      <c r="AT124" s="1462"/>
      <c r="AU124" s="1462"/>
      <c r="AV124" s="1463"/>
      <c r="AW124" s="2187" t="str">
        <f>MEF!B13</f>
        <v xml:space="preserve">       TX37/0621Z TN24/0711Z</v>
      </c>
      <c r="AX124" s="2188"/>
      <c r="AY124" s="2188"/>
      <c r="AZ124" s="2188"/>
      <c r="BA124" s="2188"/>
      <c r="BB124" s="2188"/>
      <c r="BC124" s="2188"/>
      <c r="BD124" s="2188"/>
      <c r="BE124" s="2188"/>
      <c r="BF124" s="2188"/>
      <c r="BG124" s="2188"/>
      <c r="BH124" s="2188"/>
      <c r="BI124" s="2188"/>
      <c r="BJ124" s="2188"/>
      <c r="BK124" s="2188"/>
      <c r="BL124" s="2188"/>
      <c r="BM124" s="2188"/>
      <c r="BN124" s="2188"/>
      <c r="BO124" s="2188"/>
      <c r="BP124" s="2188"/>
      <c r="BQ124" s="2188"/>
      <c r="BR124" s="2188"/>
      <c r="BS124" s="2374"/>
      <c r="BT124" s="2375"/>
      <c r="BU124" s="2375"/>
      <c r="BV124" s="2376"/>
      <c r="BW124" s="2376"/>
      <c r="BX124" s="2377"/>
      <c r="BY124" s="2363" t="s">
        <v>30</v>
      </c>
      <c r="BZ124" s="2364"/>
      <c r="CA124" s="2364"/>
      <c r="CB124" s="2350">
        <f>MEF!AE12</f>
        <v>51</v>
      </c>
      <c r="CC124" s="2350"/>
      <c r="CD124" s="2351"/>
      <c r="CE124" s="2354" t="s">
        <v>31</v>
      </c>
      <c r="CF124" s="2355"/>
      <c r="CG124" s="2355"/>
      <c r="CH124" s="2355"/>
      <c r="CI124" s="2320"/>
      <c r="CJ124" s="2321"/>
      <c r="CK124" s="2321"/>
      <c r="CL124" s="2322"/>
      <c r="CM124" s="2326" t="s">
        <v>32</v>
      </c>
      <c r="CN124" s="2327"/>
      <c r="CO124" s="2327"/>
      <c r="CP124" s="2327"/>
      <c r="CQ124" s="2327"/>
      <c r="CR124" s="2328"/>
    </row>
    <row r="125" spans="3:96" s="1354" customFormat="1" ht="13.5" customHeight="1">
      <c r="C125" s="1375"/>
      <c r="D125" s="1375"/>
      <c r="E125" s="1375"/>
      <c r="F125" s="1375"/>
      <c r="G125" s="1375"/>
      <c r="H125" s="1375"/>
      <c r="I125" s="1375"/>
      <c r="J125" s="1375"/>
      <c r="K125" s="1375"/>
      <c r="L125" s="1375"/>
      <c r="M125" s="1375"/>
      <c r="N125" s="1375"/>
      <c r="O125" s="1375"/>
      <c r="P125" s="1375"/>
      <c r="Q125" s="1375"/>
      <c r="R125" s="1375"/>
      <c r="S125" s="1375"/>
      <c r="T125" s="1375"/>
      <c r="U125" s="1385"/>
      <c r="V125" s="1385"/>
      <c r="W125" s="1385"/>
      <c r="X125" s="1376"/>
      <c r="Y125" s="1376"/>
      <c r="Z125" s="1376"/>
      <c r="AA125" s="1377"/>
      <c r="AB125" s="1377"/>
      <c r="AC125" s="1389"/>
      <c r="AD125" s="1389"/>
      <c r="AE125" s="1389"/>
      <c r="AF125" s="1389"/>
      <c r="AG125" s="1389"/>
      <c r="AH125" s="1387"/>
      <c r="AI125" s="1387"/>
      <c r="AJ125" s="1387"/>
      <c r="AK125" s="1387"/>
      <c r="AL125" s="1457"/>
      <c r="AM125" s="1388"/>
      <c r="AN125" s="1388"/>
      <c r="AO125" s="1388"/>
      <c r="AP125" s="1388"/>
      <c r="AQ125" s="1390"/>
      <c r="AT125" s="1462"/>
      <c r="AU125" s="1462"/>
      <c r="AV125" s="1463"/>
      <c r="AW125" s="2187" t="str">
        <f>MEF!B14</f>
        <v xml:space="preserve">   </v>
      </c>
      <c r="AX125" s="2188"/>
      <c r="AY125" s="2188"/>
      <c r="AZ125" s="2188"/>
      <c r="BA125" s="2188"/>
      <c r="BB125" s="2188"/>
      <c r="BC125" s="2188"/>
      <c r="BD125" s="2188"/>
      <c r="BE125" s="2188"/>
      <c r="BF125" s="2188"/>
      <c r="BG125" s="2188"/>
      <c r="BH125" s="2188"/>
      <c r="BI125" s="2188"/>
      <c r="BJ125" s="2188"/>
      <c r="BK125" s="2188"/>
      <c r="BL125" s="2188"/>
      <c r="BM125" s="2188"/>
      <c r="BN125" s="2188"/>
      <c r="BO125" s="2188"/>
      <c r="BP125" s="2188"/>
      <c r="BQ125" s="2188"/>
      <c r="BR125" s="2188"/>
      <c r="BS125" s="2374" t="s">
        <v>14</v>
      </c>
      <c r="BT125" s="2375"/>
      <c r="BU125" s="2375"/>
      <c r="BV125" s="2376">
        <f>MEF!Z13</f>
        <v>44748.929861111108</v>
      </c>
      <c r="BW125" s="2376"/>
      <c r="BX125" s="2376"/>
      <c r="BY125" s="1531"/>
      <c r="BZ125" s="1531"/>
      <c r="CA125" s="2346" t="str">
        <f>MEF!AB14</f>
        <v xml:space="preserve">(TONIGHT) </v>
      </c>
      <c r="CB125" s="2346"/>
      <c r="CC125" s="2346"/>
      <c r="CD125" s="2347"/>
      <c r="CE125" s="2173" t="str">
        <f>MEF!AG15</f>
        <v>No impact.</v>
      </c>
      <c r="CF125" s="2174"/>
      <c r="CG125" s="2174"/>
      <c r="CH125" s="2174"/>
      <c r="CI125" s="2320"/>
      <c r="CJ125" s="2321"/>
      <c r="CK125" s="2321"/>
      <c r="CL125" s="2322"/>
      <c r="CM125" s="2329" t="str">
        <f>IF(MEF!AP14="","",MEF!AP14)</f>
        <v>MEDEVAC</v>
      </c>
      <c r="CN125" s="2330"/>
      <c r="CO125" s="2330"/>
      <c r="CP125" s="2330"/>
      <c r="CQ125" s="2330"/>
      <c r="CR125" s="2331"/>
    </row>
    <row r="126" spans="3:96" s="1354" customFormat="1" ht="13.5" customHeight="1">
      <c r="C126" s="1375"/>
      <c r="D126" s="1375"/>
      <c r="E126" s="1375"/>
      <c r="F126" s="1375"/>
      <c r="G126" s="1375"/>
      <c r="H126" s="1375"/>
      <c r="I126" s="1375"/>
      <c r="J126" s="1375"/>
      <c r="K126" s="1375"/>
      <c r="L126" s="1375"/>
      <c r="M126" s="1375"/>
      <c r="N126" s="1375"/>
      <c r="O126" s="1375"/>
      <c r="P126" s="1375"/>
      <c r="Q126" s="1375"/>
      <c r="R126" s="1375"/>
      <c r="S126" s="1375"/>
      <c r="T126" s="1375"/>
      <c r="U126" s="1385"/>
      <c r="V126" s="1385"/>
      <c r="W126" s="1385"/>
      <c r="X126" s="1345"/>
      <c r="Y126" s="1345"/>
      <c r="Z126" s="1345"/>
      <c r="AA126" s="1345"/>
      <c r="AB126" s="1345"/>
      <c r="AC126" s="1348"/>
      <c r="AD126" s="1348"/>
      <c r="AE126" s="1348"/>
      <c r="AF126" s="1348"/>
      <c r="AG126" s="1348"/>
      <c r="AH126" s="1391"/>
      <c r="AI126" s="1391"/>
      <c r="AJ126" s="1391"/>
      <c r="AK126" s="1391"/>
      <c r="AL126" s="1461"/>
      <c r="AM126" s="1392"/>
      <c r="AN126" s="1392"/>
      <c r="AO126" s="1392"/>
      <c r="AP126" s="1392"/>
      <c r="AQ126" s="1390"/>
      <c r="AT126" s="1462"/>
      <c r="AU126" s="1462"/>
      <c r="AV126" s="1463"/>
      <c r="AW126" s="2187" t="str">
        <f>MEF!B15</f>
        <v xml:space="preserve">   </v>
      </c>
      <c r="AX126" s="2188"/>
      <c r="AY126" s="2188"/>
      <c r="AZ126" s="2188"/>
      <c r="BA126" s="2188"/>
      <c r="BB126" s="2188"/>
      <c r="BC126" s="2188"/>
      <c r="BD126" s="2188"/>
      <c r="BE126" s="2188"/>
      <c r="BF126" s="2188"/>
      <c r="BG126" s="2188"/>
      <c r="BH126" s="2188"/>
      <c r="BI126" s="2188"/>
      <c r="BJ126" s="2188"/>
      <c r="BK126" s="2188"/>
      <c r="BL126" s="2188"/>
      <c r="BM126" s="2188"/>
      <c r="BN126" s="2188"/>
      <c r="BO126" s="2188"/>
      <c r="BP126" s="2188"/>
      <c r="BQ126" s="2188"/>
      <c r="BR126" s="2188"/>
      <c r="BS126" s="2374"/>
      <c r="BT126" s="2375"/>
      <c r="BU126" s="2375"/>
      <c r="BV126" s="2376"/>
      <c r="BW126" s="2376"/>
      <c r="BX126" s="2376"/>
      <c r="BY126" s="1531"/>
      <c r="BZ126" s="1531"/>
      <c r="CA126" s="1532"/>
      <c r="CB126" s="1532"/>
      <c r="CC126" s="1532"/>
      <c r="CD126" s="1533"/>
      <c r="CE126" s="2173"/>
      <c r="CF126" s="2174"/>
      <c r="CG126" s="2174"/>
      <c r="CH126" s="2174"/>
      <c r="CI126" s="2320"/>
      <c r="CJ126" s="2321"/>
      <c r="CK126" s="2321"/>
      <c r="CL126" s="2322"/>
      <c r="CM126" s="2329"/>
      <c r="CN126" s="2330"/>
      <c r="CO126" s="2330"/>
      <c r="CP126" s="2330"/>
      <c r="CQ126" s="2330"/>
      <c r="CR126" s="2331"/>
    </row>
    <row r="127" spans="3:96" s="1354" customFormat="1" ht="13.5" customHeight="1">
      <c r="C127" s="1375"/>
      <c r="D127" s="1375"/>
      <c r="E127" s="1375"/>
      <c r="F127" s="1375"/>
      <c r="G127" s="1375"/>
      <c r="H127" s="1375"/>
      <c r="I127" s="1375"/>
      <c r="J127" s="1375"/>
      <c r="K127" s="1375"/>
      <c r="L127" s="1375"/>
      <c r="M127" s="1375"/>
      <c r="N127" s="1375"/>
      <c r="O127" s="1375"/>
      <c r="P127" s="1375"/>
      <c r="Q127" s="1375"/>
      <c r="R127" s="1375"/>
      <c r="S127" s="1375"/>
      <c r="T127" s="1375"/>
      <c r="U127" s="1385"/>
      <c r="V127" s="1385"/>
      <c r="W127" s="1385"/>
      <c r="X127" s="1345"/>
      <c r="Y127" s="1345"/>
      <c r="Z127" s="1345"/>
      <c r="AA127" s="1345"/>
      <c r="AB127" s="1345"/>
      <c r="AC127" s="1348"/>
      <c r="AD127" s="1348"/>
      <c r="AE127" s="1348"/>
      <c r="AF127" s="1348"/>
      <c r="AG127" s="1348"/>
      <c r="AH127" s="1391"/>
      <c r="AI127" s="1391"/>
      <c r="AJ127" s="1391"/>
      <c r="AK127" s="1391"/>
      <c r="AL127" s="1461"/>
      <c r="AM127" s="1392"/>
      <c r="AN127" s="1392"/>
      <c r="AO127" s="1392"/>
      <c r="AP127" s="1392"/>
      <c r="AQ127" s="1390"/>
      <c r="AT127" s="1462"/>
      <c r="AU127" s="1462"/>
      <c r="AV127" s="1463"/>
      <c r="AW127" s="2368" t="str">
        <f>MEF!B16</f>
        <v xml:space="preserve">   </v>
      </c>
      <c r="AX127" s="2369"/>
      <c r="AY127" s="2369"/>
      <c r="AZ127" s="2369"/>
      <c r="BA127" s="2369"/>
      <c r="BB127" s="2369"/>
      <c r="BC127" s="2369"/>
      <c r="BD127" s="2369"/>
      <c r="BE127" s="2369"/>
      <c r="BF127" s="2369"/>
      <c r="BG127" s="2369"/>
      <c r="BH127" s="2369"/>
      <c r="BI127" s="2369"/>
      <c r="BJ127" s="2369"/>
      <c r="BK127" s="2369"/>
      <c r="BL127" s="2369"/>
      <c r="BM127" s="2369"/>
      <c r="BN127" s="2369"/>
      <c r="BO127" s="2369"/>
      <c r="BP127" s="2369"/>
      <c r="BQ127" s="2369"/>
      <c r="BR127" s="2369"/>
      <c r="BS127" s="1572"/>
      <c r="BT127" s="1573"/>
      <c r="BU127" s="1573"/>
      <c r="BV127" s="1545"/>
      <c r="BW127" s="1546"/>
      <c r="BX127" s="1546"/>
      <c r="BY127" s="1534"/>
      <c r="BZ127" s="1534"/>
      <c r="CA127" s="1535"/>
      <c r="CB127" s="1535"/>
      <c r="CC127" s="1535"/>
      <c r="CD127" s="1536"/>
      <c r="CE127" s="2175"/>
      <c r="CF127" s="2176"/>
      <c r="CG127" s="2176"/>
      <c r="CH127" s="2176"/>
      <c r="CI127" s="2323"/>
      <c r="CJ127" s="2324"/>
      <c r="CK127" s="2324"/>
      <c r="CL127" s="2325"/>
      <c r="CM127" s="2332"/>
      <c r="CN127" s="2333"/>
      <c r="CO127" s="2333"/>
      <c r="CP127" s="2333"/>
      <c r="CQ127" s="2333"/>
      <c r="CR127" s="2334"/>
    </row>
    <row r="128" spans="3:96" s="1354" customFormat="1" ht="20.25" customHeight="1">
      <c r="C128" s="1393"/>
      <c r="D128" s="1393"/>
      <c r="E128" s="1393"/>
      <c r="F128" s="1393"/>
      <c r="G128" s="1393"/>
      <c r="H128" s="1393"/>
      <c r="I128" s="1393"/>
      <c r="J128" s="1393"/>
      <c r="K128" s="1393"/>
      <c r="L128" s="1393"/>
      <c r="M128" s="1393"/>
      <c r="N128" s="1393"/>
      <c r="O128" s="1393"/>
      <c r="P128" s="1393"/>
      <c r="Q128" s="1393"/>
      <c r="R128" s="1393"/>
      <c r="S128" s="1393"/>
      <c r="T128" s="1393"/>
      <c r="U128" s="1393"/>
      <c r="V128" s="1393"/>
      <c r="W128" s="1393"/>
      <c r="X128" s="1394"/>
      <c r="Y128" s="1394"/>
      <c r="Z128" s="1394"/>
      <c r="AA128" s="1394"/>
      <c r="AB128" s="1394"/>
      <c r="AC128" s="1394"/>
      <c r="AD128" s="1394"/>
      <c r="AE128" s="1394"/>
      <c r="AF128" s="1394"/>
      <c r="AG128" s="1394"/>
      <c r="AH128" s="1362"/>
      <c r="AI128" s="1362"/>
      <c r="AJ128" s="1362"/>
      <c r="AK128" s="1362"/>
      <c r="AL128" s="1454"/>
      <c r="AM128" s="1362"/>
      <c r="AN128" s="1362"/>
      <c r="AO128" s="1362"/>
      <c r="AP128" s="1362"/>
      <c r="AQ128" s="1362"/>
      <c r="AT128" s="1462"/>
      <c r="AU128" s="1462"/>
      <c r="AV128" s="1463"/>
      <c r="AW128" s="2156" t="s">
        <v>33</v>
      </c>
      <c r="AX128" s="2157"/>
      <c r="AY128" s="2157"/>
      <c r="AZ128" s="2157"/>
      <c r="BA128" s="2157"/>
      <c r="BB128" s="2157"/>
      <c r="BC128" s="2157"/>
      <c r="BD128" s="2157"/>
      <c r="BE128" s="2157"/>
      <c r="BF128" s="2157"/>
      <c r="BG128" s="2157"/>
      <c r="BH128" s="2157"/>
      <c r="BI128" s="2157"/>
      <c r="BJ128" s="2157"/>
      <c r="BK128" s="2157"/>
      <c r="BL128" s="2157"/>
      <c r="BM128" s="2157"/>
      <c r="BN128" s="2157"/>
      <c r="BO128" s="2157"/>
      <c r="BP128" s="2157"/>
      <c r="BQ128" s="2157"/>
      <c r="BR128" s="2108" t="s">
        <v>34</v>
      </c>
      <c r="BS128" s="2109"/>
      <c r="BT128" s="2109"/>
      <c r="BU128" s="2109"/>
      <c r="BV128" s="2109"/>
      <c r="BW128" s="2109"/>
      <c r="BX128" s="2109"/>
      <c r="BY128" s="2109"/>
      <c r="BZ128" s="2158"/>
      <c r="CA128" s="2159"/>
      <c r="CB128" s="2109" t="s">
        <v>35</v>
      </c>
      <c r="CC128" s="2109"/>
      <c r="CD128" s="2109"/>
      <c r="CE128" s="2109"/>
      <c r="CF128" s="2109"/>
      <c r="CG128" s="2109"/>
      <c r="CH128" s="2108" t="s">
        <v>36</v>
      </c>
      <c r="CI128" s="2109"/>
      <c r="CJ128" s="2109"/>
      <c r="CK128" s="2109"/>
      <c r="CL128" s="2109"/>
      <c r="CM128" s="2109"/>
      <c r="CN128" s="2109"/>
      <c r="CO128" s="2109"/>
      <c r="CP128" s="2109"/>
      <c r="CQ128" s="2109"/>
      <c r="CR128" s="2110"/>
    </row>
    <row r="129" spans="3:96" s="1354" customFormat="1" ht="20.25" customHeight="1" thickBot="1">
      <c r="C129" s="1371"/>
      <c r="D129" s="1371"/>
      <c r="E129" s="1371"/>
      <c r="F129" s="1371"/>
      <c r="G129" s="1371"/>
      <c r="H129" s="1371"/>
      <c r="I129" s="1371"/>
      <c r="J129" s="1371"/>
      <c r="K129" s="1371"/>
      <c r="L129" s="1371"/>
      <c r="M129" s="1371"/>
      <c r="N129" s="1371"/>
      <c r="O129" s="1371"/>
      <c r="P129" s="1371"/>
      <c r="Q129" s="1371"/>
      <c r="R129" s="1371"/>
      <c r="S129" s="1371"/>
      <c r="T129" s="1371"/>
      <c r="U129" s="1371"/>
      <c r="V129" s="1371"/>
      <c r="W129" s="1371"/>
      <c r="X129" s="1371"/>
      <c r="Y129" s="1371"/>
      <c r="Z129" s="1395"/>
      <c r="AA129" s="1395"/>
      <c r="AB129" s="1371"/>
      <c r="AC129" s="1371"/>
      <c r="AD129" s="1396"/>
      <c r="AE129" s="1396"/>
      <c r="AF129" s="1397"/>
      <c r="AG129" s="1397"/>
      <c r="AH129" s="1395"/>
      <c r="AI129" s="1395"/>
      <c r="AJ129" s="1395"/>
      <c r="AK129" s="1395"/>
      <c r="AL129" s="1455"/>
      <c r="AM129" s="1395"/>
      <c r="AN129" s="1398"/>
      <c r="AO129" s="1398"/>
      <c r="AP129" s="1398"/>
      <c r="AQ129" s="1398"/>
      <c r="AT129" s="1462"/>
      <c r="AU129" s="1462"/>
      <c r="AV129" s="1463"/>
      <c r="AW129" s="2111" t="s">
        <v>37</v>
      </c>
      <c r="AX129" s="2112"/>
      <c r="AY129" s="2112"/>
      <c r="AZ129" s="2112"/>
      <c r="BA129" s="2115" t="s">
        <v>38</v>
      </c>
      <c r="BB129" s="2116"/>
      <c r="BC129" s="2116"/>
      <c r="BD129" s="2117"/>
      <c r="BE129" s="2115" t="s">
        <v>39</v>
      </c>
      <c r="BF129" s="2117"/>
      <c r="BG129" s="2115" t="s">
        <v>40</v>
      </c>
      <c r="BH129" s="2117"/>
      <c r="BI129" s="2121" t="str">
        <f>MEF!N18</f>
        <v>MOON ANGLE</v>
      </c>
      <c r="BJ129" s="2122"/>
      <c r="BK129" s="2115" t="s">
        <v>41</v>
      </c>
      <c r="BL129" s="2116"/>
      <c r="BM129" s="2117"/>
      <c r="BN129" s="2125" t="s">
        <v>42</v>
      </c>
      <c r="BO129" s="2126"/>
      <c r="BP129" s="2125" t="s">
        <v>43</v>
      </c>
      <c r="BQ129" s="2127"/>
      <c r="BR129" s="2115" t="str">
        <f>MEF!W18</f>
        <v>C-12</v>
      </c>
      <c r="BS129" s="2117"/>
      <c r="BT129" s="2130" t="str">
        <f>MEF!Y18</f>
        <v>H-60</v>
      </c>
      <c r="BU129" s="2131"/>
      <c r="BV129" s="2134" t="str">
        <f>MEF!AA18</f>
        <v>H-6</v>
      </c>
      <c r="BW129" s="2135"/>
      <c r="BX129" s="2138" t="str">
        <f>MEF!AC18</f>
        <v>GR'ND OPS</v>
      </c>
      <c r="BY129" s="2139"/>
      <c r="BZ129" s="2142" t="str">
        <f>MEF!AE18</f>
        <v>H-60 MED</v>
      </c>
      <c r="CA129" s="2142"/>
      <c r="CB129" s="2144" t="s">
        <v>44</v>
      </c>
      <c r="CC129" s="2144"/>
      <c r="CD129" s="2144"/>
      <c r="CE129" s="2144"/>
      <c r="CF129" s="2144"/>
      <c r="CG129" s="2144"/>
      <c r="CH129" s="2145" t="s">
        <v>45</v>
      </c>
      <c r="CI129" s="2146"/>
      <c r="CJ129" s="2146"/>
      <c r="CK129" s="2146" t="s">
        <v>46</v>
      </c>
      <c r="CL129" s="2146"/>
      <c r="CM129" s="2146"/>
      <c r="CN129" s="2146"/>
      <c r="CO129" s="2146"/>
      <c r="CP129" s="2146"/>
      <c r="CQ129" s="2146"/>
      <c r="CR129" s="2172"/>
    </row>
    <row r="130" spans="3:96" s="1354" customFormat="1" ht="17.25" customHeight="1" thickTop="1" thickBot="1">
      <c r="C130" s="1371"/>
      <c r="D130" s="1371"/>
      <c r="E130" s="1371"/>
      <c r="F130" s="1371"/>
      <c r="G130" s="1371"/>
      <c r="H130" s="1371"/>
      <c r="I130" s="1371"/>
      <c r="J130" s="1371"/>
      <c r="K130" s="1371"/>
      <c r="L130" s="1371"/>
      <c r="M130" s="1371"/>
      <c r="N130" s="1371"/>
      <c r="O130" s="1371"/>
      <c r="P130" s="1371"/>
      <c r="Q130" s="1371"/>
      <c r="R130" s="1371"/>
      <c r="S130" s="1371"/>
      <c r="T130" s="1399"/>
      <c r="U130" s="1399"/>
      <c r="V130" s="1399"/>
      <c r="W130" s="1399"/>
      <c r="X130" s="1371"/>
      <c r="Y130" s="1371"/>
      <c r="Z130" s="1395"/>
      <c r="AA130" s="1395"/>
      <c r="AB130" s="1371"/>
      <c r="AC130" s="1371"/>
      <c r="AD130" s="1396"/>
      <c r="AE130" s="1396"/>
      <c r="AF130" s="1397"/>
      <c r="AG130" s="1397"/>
      <c r="AH130" s="1400"/>
      <c r="AI130" s="1400"/>
      <c r="AJ130" s="1400"/>
      <c r="AK130" s="1401"/>
      <c r="AL130" s="1456"/>
      <c r="AM130" s="1401"/>
      <c r="AN130" s="1402"/>
      <c r="AO130" s="1402"/>
      <c r="AP130" s="1402"/>
      <c r="AQ130" s="1403"/>
      <c r="AT130" s="1462"/>
      <c r="AU130" s="1462"/>
      <c r="AV130" s="1463"/>
      <c r="AW130" s="2113"/>
      <c r="AX130" s="2114"/>
      <c r="AY130" s="2114"/>
      <c r="AZ130" s="2114"/>
      <c r="BA130" s="2118"/>
      <c r="BB130" s="2119"/>
      <c r="BC130" s="2119"/>
      <c r="BD130" s="2120"/>
      <c r="BE130" s="2118"/>
      <c r="BF130" s="2120"/>
      <c r="BG130" s="2118"/>
      <c r="BH130" s="2120"/>
      <c r="BI130" s="2123"/>
      <c r="BJ130" s="2124"/>
      <c r="BK130" s="2118"/>
      <c r="BL130" s="2119"/>
      <c r="BM130" s="2120"/>
      <c r="BN130" s="2147" t="str">
        <f>MEF!S19</f>
        <v>(KFTK)</v>
      </c>
      <c r="BO130" s="2148"/>
      <c r="BP130" s="2147" t="str">
        <f>MEF!U19</f>
        <v>(KFTK)</v>
      </c>
      <c r="BQ130" s="2149"/>
      <c r="BR130" s="2128"/>
      <c r="BS130" s="2129"/>
      <c r="BT130" s="2132"/>
      <c r="BU130" s="2133"/>
      <c r="BV130" s="2136"/>
      <c r="BW130" s="2137"/>
      <c r="BX130" s="2140"/>
      <c r="BY130" s="2141"/>
      <c r="BZ130" s="2143"/>
      <c r="CA130" s="2143"/>
      <c r="CB130" s="2150">
        <f>MAX(BA131:BA143)</f>
        <v>36.666666666666671</v>
      </c>
      <c r="CC130" s="2150"/>
      <c r="CD130" s="2150"/>
      <c r="CE130" s="2151">
        <f>MAX(BC131:BC143)</f>
        <v>98</v>
      </c>
      <c r="CF130" s="2151"/>
      <c r="CG130" s="2151"/>
      <c r="CH130" s="2152">
        <v>200</v>
      </c>
      <c r="CI130" s="2153"/>
      <c r="CJ130" s="2153"/>
      <c r="CK130" s="2154" t="str">
        <f>MEF!AP19</f>
        <v xml:space="preserve">   28020   /   -18</v>
      </c>
      <c r="CL130" s="2154"/>
      <c r="CM130" s="2154"/>
      <c r="CN130" s="2154"/>
      <c r="CO130" s="2154"/>
      <c r="CP130" s="2154"/>
      <c r="CQ130" s="2154"/>
      <c r="CR130" s="2155"/>
    </row>
    <row r="131" spans="3:96" s="1354" customFormat="1" ht="17.25" customHeight="1" thickBot="1">
      <c r="C131" s="1404"/>
      <c r="D131" s="1404"/>
      <c r="E131" s="1405"/>
      <c r="F131" s="1405"/>
      <c r="G131" s="1406"/>
      <c r="H131" s="1406"/>
      <c r="I131" s="1407"/>
      <c r="J131" s="1407"/>
      <c r="K131" s="1408"/>
      <c r="L131" s="1408"/>
      <c r="M131" s="1409"/>
      <c r="N131" s="1409"/>
      <c r="O131" s="1410"/>
      <c r="P131" s="1410"/>
      <c r="Q131" s="1411"/>
      <c r="R131" s="1411"/>
      <c r="S131" s="1411"/>
      <c r="T131" s="1412"/>
      <c r="U131" s="1412"/>
      <c r="V131" s="1412"/>
      <c r="W131" s="1412"/>
      <c r="X131" s="1357"/>
      <c r="Y131" s="1357"/>
      <c r="Z131" s="1357"/>
      <c r="AA131" s="1357"/>
      <c r="AB131" s="1357"/>
      <c r="AC131" s="1357"/>
      <c r="AD131" s="1357"/>
      <c r="AE131" s="1357"/>
      <c r="AF131" s="1357"/>
      <c r="AG131" s="1357"/>
      <c r="AH131" s="1413"/>
      <c r="AI131" s="1413"/>
      <c r="AJ131" s="1413"/>
      <c r="AK131" s="1413"/>
      <c r="AL131" s="1455"/>
      <c r="AM131" s="1413"/>
      <c r="AN131" s="1402"/>
      <c r="AO131" s="1402"/>
      <c r="AP131" s="1402"/>
      <c r="AQ131" s="1403"/>
      <c r="AT131" s="1462"/>
      <c r="AU131" s="1462"/>
      <c r="AV131" s="1463"/>
      <c r="AW131" s="2092">
        <f>MEF!B20</f>
        <v>44748.375</v>
      </c>
      <c r="AX131" s="2093"/>
      <c r="AY131" s="2094">
        <f>MEF!D20</f>
        <v>44748.541666666664</v>
      </c>
      <c r="AZ131" s="2094"/>
      <c r="BA131" s="2095">
        <f>MEF!F20</f>
        <v>28.888888888888889</v>
      </c>
      <c r="BB131" s="2096">
        <f>5/9*(BC131-32)</f>
        <v>28.888888888888889</v>
      </c>
      <c r="BC131" s="2097">
        <f>MEF!H20</f>
        <v>84</v>
      </c>
      <c r="BD131" s="2098"/>
      <c r="BE131" s="2099">
        <f>MEF!J20</f>
        <v>77</v>
      </c>
      <c r="BF131" s="2100"/>
      <c r="BG131" s="2101">
        <f>MEF!L20</f>
        <v>0.79616826474071245</v>
      </c>
      <c r="BH131" s="2102">
        <f>(6.11*10^(7.5*(5/9*(BG131-32))/(237.7+(5/9*(BG131-32)))))/(6.11*10^(7.5*BE131/(237.7+BE131)))</f>
        <v>3.7576380069745748E-3</v>
      </c>
      <c r="BI131" s="1638" t="str">
        <f>MEF!N20</f>
        <v>(&lt;0)</v>
      </c>
      <c r="BJ131" s="1634" t="str">
        <f>MEF!O20</f>
        <v>°</v>
      </c>
      <c r="BK131" s="2103">
        <f>MEF!P20</f>
        <v>29.95</v>
      </c>
      <c r="BL131" s="2104"/>
      <c r="BM131" s="2105"/>
      <c r="BN131" s="2106">
        <f>MEF!S20</f>
        <v>728.19027356060712</v>
      </c>
      <c r="BO131" s="2107" t="str">
        <f>IF(BM131&gt;0,((288.16/0.0065)*(1-(BM131/29.921)^(1/5.2561))+756/3.280833)*3.280833,"")</f>
        <v/>
      </c>
      <c r="BP131" s="2090">
        <f>MEF!U20</f>
        <v>2567.8749492252741</v>
      </c>
      <c r="BQ131" s="2091" t="e">
        <f>(BP131+(120*(BI131-(15-(0.00198*BP131)))))</f>
        <v>#VALUE!</v>
      </c>
      <c r="BR131" s="2011"/>
      <c r="BS131" s="2011"/>
      <c r="BT131" s="2011"/>
      <c r="BU131" s="2011"/>
      <c r="BV131" s="2011"/>
      <c r="BW131" s="2011"/>
      <c r="BX131" s="2011"/>
      <c r="BY131" s="2011"/>
      <c r="BZ131" s="2012"/>
      <c r="CA131" s="2013"/>
      <c r="CB131" s="2076" t="s">
        <v>47</v>
      </c>
      <c r="CC131" s="2076"/>
      <c r="CD131" s="2076"/>
      <c r="CE131" s="2076"/>
      <c r="CF131" s="2076"/>
      <c r="CG131" s="2076"/>
      <c r="CH131" s="2051">
        <v>180</v>
      </c>
      <c r="CI131" s="2052"/>
      <c r="CJ131" s="2052"/>
      <c r="CK131" s="2053" t="str">
        <f>MEF!AP20</f>
        <v xml:space="preserve">    30020   /   -16</v>
      </c>
      <c r="CL131" s="2053"/>
      <c r="CM131" s="2053"/>
      <c r="CN131" s="2053"/>
      <c r="CO131" s="2053"/>
      <c r="CP131" s="2053"/>
      <c r="CQ131" s="2053"/>
      <c r="CR131" s="2054"/>
    </row>
    <row r="132" spans="3:96" s="1354" customFormat="1" ht="17.25" customHeight="1" thickBot="1">
      <c r="C132" s="1404"/>
      <c r="D132" s="1404"/>
      <c r="E132" s="1405"/>
      <c r="F132" s="1405"/>
      <c r="G132" s="1406"/>
      <c r="H132" s="1406"/>
      <c r="I132" s="1407"/>
      <c r="J132" s="1407"/>
      <c r="K132" s="1408"/>
      <c r="L132" s="1408"/>
      <c r="M132" s="1409"/>
      <c r="N132" s="1409"/>
      <c r="O132" s="1410"/>
      <c r="P132" s="1410"/>
      <c r="Q132" s="1411"/>
      <c r="R132" s="1411"/>
      <c r="S132" s="1411"/>
      <c r="T132" s="1412"/>
      <c r="U132" s="1412"/>
      <c r="V132" s="1412"/>
      <c r="W132" s="1412"/>
      <c r="X132" s="1357"/>
      <c r="Y132" s="1357"/>
      <c r="Z132" s="1357"/>
      <c r="AA132" s="1357"/>
      <c r="AB132" s="1357"/>
      <c r="AC132" s="1357"/>
      <c r="AD132" s="1357"/>
      <c r="AE132" s="1357"/>
      <c r="AF132" s="1357"/>
      <c r="AG132" s="1357"/>
      <c r="AH132" s="1414"/>
      <c r="AI132" s="1414"/>
      <c r="AJ132" s="1414"/>
      <c r="AK132" s="1415"/>
      <c r="AL132" s="1456"/>
      <c r="AM132" s="1415"/>
      <c r="AN132" s="1402"/>
      <c r="AO132" s="1402"/>
      <c r="AP132" s="1402"/>
      <c r="AQ132" s="1403"/>
      <c r="AT132" s="1462"/>
      <c r="AU132" s="1462"/>
      <c r="AV132" s="1463"/>
      <c r="AW132" s="2017">
        <f>MEF!B21</f>
        <v>44748.416666666657</v>
      </c>
      <c r="AX132" s="2018"/>
      <c r="AY132" s="2019">
        <f>MEF!D21</f>
        <v>44748.583333333328</v>
      </c>
      <c r="AZ132" s="2019"/>
      <c r="BA132" s="2021">
        <f>MEF!F21</f>
        <v>30.555555555555557</v>
      </c>
      <c r="BB132" s="2022">
        <f t="shared" ref="BB132:BB143" si="0">5/9*(BC132-32)</f>
        <v>30.555555555555557</v>
      </c>
      <c r="BC132" s="2077">
        <f>MEF!H21</f>
        <v>87</v>
      </c>
      <c r="BD132" s="2078"/>
      <c r="BE132" s="2025">
        <f>MEF!J21</f>
        <v>76</v>
      </c>
      <c r="BF132" s="2026"/>
      <c r="BG132" s="2079">
        <f>MEF!L21</f>
        <v>0.69996301599580435</v>
      </c>
      <c r="BH132" s="2028">
        <f t="shared" ref="BH132:BH143" si="1">(6.11*10^(7.5*(5/9*(BG132-32))/(237.7+(5/9*(BG132-32)))))/(6.11*10^(7.5*BE132/(237.7+BE132)))</f>
        <v>3.8995159893690733E-3</v>
      </c>
      <c r="BI132" s="1639" t="str">
        <f>MEF!N21</f>
        <v>(&lt;0)</v>
      </c>
      <c r="BJ132" s="1635" t="str">
        <f>MEF!O21</f>
        <v>°</v>
      </c>
      <c r="BK132" s="2029">
        <f>MEF!P21</f>
        <v>29.96</v>
      </c>
      <c r="BL132" s="2030"/>
      <c r="BM132" s="2031"/>
      <c r="BN132" s="2032">
        <f>MEF!S21</f>
        <v>718.95041420270934</v>
      </c>
      <c r="BO132" s="2033" t="str">
        <f t="shared" ref="BO132:BO143" si="2">IF(BM132&gt;0,((288.16/0.0065)*(1-(BM132/29.921)^(1/5.2561))+756/3.280833)*3.280833,"")</f>
        <v/>
      </c>
      <c r="BP132" s="2074">
        <f>MEF!U21</f>
        <v>2756.4396992839402</v>
      </c>
      <c r="BQ132" s="2009" t="e">
        <f t="shared" ref="BQ132:BQ143" si="3">(BP132+(120*(BI132-(15-(0.00198*BP132)))))</f>
        <v>#VALUE!</v>
      </c>
      <c r="BR132" s="2011"/>
      <c r="BS132" s="2011"/>
      <c r="BT132" s="2011"/>
      <c r="BU132" s="2011"/>
      <c r="BV132" s="2011"/>
      <c r="BW132" s="2011"/>
      <c r="BX132" s="2011"/>
      <c r="BY132" s="2011"/>
      <c r="BZ132" s="2012"/>
      <c r="CA132" s="2013"/>
      <c r="CB132" s="2088">
        <f>MIN(BA131:BA143)</f>
        <v>28.888888888888889</v>
      </c>
      <c r="CC132" s="2088"/>
      <c r="CD132" s="2088"/>
      <c r="CE132" s="2089">
        <f>MIN(BC131:BC143)</f>
        <v>84</v>
      </c>
      <c r="CF132" s="2089"/>
      <c r="CG132" s="2089"/>
      <c r="CH132" s="2056">
        <v>150</v>
      </c>
      <c r="CI132" s="2057"/>
      <c r="CJ132" s="2057"/>
      <c r="CK132" s="2053" t="str">
        <f>MEF!AP21</f>
        <v xml:space="preserve">     32020   /   -12</v>
      </c>
      <c r="CL132" s="2053"/>
      <c r="CM132" s="2053"/>
      <c r="CN132" s="2053"/>
      <c r="CO132" s="2053"/>
      <c r="CP132" s="2053"/>
      <c r="CQ132" s="2053"/>
      <c r="CR132" s="2054"/>
    </row>
    <row r="133" spans="3:96" s="1354" customFormat="1" ht="17.25" customHeight="1" thickBot="1">
      <c r="C133" s="1404"/>
      <c r="D133" s="1404"/>
      <c r="E133" s="1405"/>
      <c r="F133" s="1405"/>
      <c r="G133" s="1406"/>
      <c r="H133" s="1406"/>
      <c r="I133" s="1407"/>
      <c r="J133" s="1407"/>
      <c r="K133" s="1408"/>
      <c r="L133" s="1408"/>
      <c r="M133" s="1409"/>
      <c r="N133" s="1409"/>
      <c r="O133" s="1410"/>
      <c r="P133" s="1410"/>
      <c r="Q133" s="1411"/>
      <c r="R133" s="1411"/>
      <c r="S133" s="1411"/>
      <c r="T133" s="1412"/>
      <c r="U133" s="1412"/>
      <c r="V133" s="1412"/>
      <c r="W133" s="1412"/>
      <c r="X133" s="1357"/>
      <c r="Y133" s="1357"/>
      <c r="Z133" s="1357"/>
      <c r="AA133" s="1357"/>
      <c r="AB133" s="1357"/>
      <c r="AC133" s="1357"/>
      <c r="AD133" s="1357"/>
      <c r="AE133" s="1357"/>
      <c r="AF133" s="1357"/>
      <c r="AG133" s="1357"/>
      <c r="AH133" s="1413"/>
      <c r="AI133" s="1413"/>
      <c r="AJ133" s="1413"/>
      <c r="AK133" s="1413"/>
      <c r="AL133" s="1455"/>
      <c r="AM133" s="1413"/>
      <c r="AN133" s="1402"/>
      <c r="AO133" s="1402"/>
      <c r="AP133" s="1402"/>
      <c r="AQ133" s="1403"/>
      <c r="AT133" s="1462"/>
      <c r="AU133" s="1462"/>
      <c r="AV133" s="1463"/>
      <c r="AW133" s="2058">
        <f>MEF!B22</f>
        <v>44748.458333333328</v>
      </c>
      <c r="AX133" s="2059"/>
      <c r="AY133" s="2060">
        <f>MEF!D22</f>
        <v>44748.625</v>
      </c>
      <c r="AZ133" s="2060"/>
      <c r="BA133" s="2061">
        <f>MEF!F22</f>
        <v>32.222222222222221</v>
      </c>
      <c r="BB133" s="2062">
        <f t="shared" si="0"/>
        <v>32.222222222222221</v>
      </c>
      <c r="BC133" s="2081">
        <f>MEF!H22</f>
        <v>90</v>
      </c>
      <c r="BD133" s="2082"/>
      <c r="BE133" s="2065">
        <f>MEF!J22</f>
        <v>76</v>
      </c>
      <c r="BF133" s="2066"/>
      <c r="BG133" s="2083">
        <f>MEF!L22</f>
        <v>0.63685467359437997</v>
      </c>
      <c r="BH133" s="2068">
        <f t="shared" si="1"/>
        <v>3.8879686032827544E-3</v>
      </c>
      <c r="BI133" s="1640" t="str">
        <f>MEF!N22</f>
        <v>(&lt;0)</v>
      </c>
      <c r="BJ133" s="1636" t="str">
        <f>MEF!O22</f>
        <v>°</v>
      </c>
      <c r="BK133" s="2069">
        <f>MEF!P22</f>
        <v>29.96</v>
      </c>
      <c r="BL133" s="2070"/>
      <c r="BM133" s="2071"/>
      <c r="BN133" s="2072">
        <f>MEF!S22</f>
        <v>718.95041420270934</v>
      </c>
      <c r="BO133" s="2073" t="str">
        <f t="shared" si="2"/>
        <v/>
      </c>
      <c r="BP133" s="2084">
        <f>MEF!U22</f>
        <v>2956.4396992839397</v>
      </c>
      <c r="BQ133" s="2075" t="e">
        <f t="shared" si="3"/>
        <v>#VALUE!</v>
      </c>
      <c r="BR133" s="2011"/>
      <c r="BS133" s="2011"/>
      <c r="BT133" s="2011"/>
      <c r="BU133" s="2011"/>
      <c r="BV133" s="2011"/>
      <c r="BW133" s="2011"/>
      <c r="BX133" s="2011"/>
      <c r="BY133" s="2011"/>
      <c r="BZ133" s="2012"/>
      <c r="CA133" s="2013"/>
      <c r="CB133" s="2076" t="s">
        <v>48</v>
      </c>
      <c r="CC133" s="2076"/>
      <c r="CD133" s="2076"/>
      <c r="CE133" s="2076" t="s">
        <v>49</v>
      </c>
      <c r="CF133" s="2076"/>
      <c r="CG133" s="2076"/>
      <c r="CH133" s="2051">
        <v>140</v>
      </c>
      <c r="CI133" s="2052"/>
      <c r="CJ133" s="2052"/>
      <c r="CK133" s="2053" t="str">
        <f>MEF!AP22</f>
        <v xml:space="preserve">      32020   /   -08</v>
      </c>
      <c r="CL133" s="2053"/>
      <c r="CM133" s="2053"/>
      <c r="CN133" s="2053"/>
      <c r="CO133" s="2053"/>
      <c r="CP133" s="2053"/>
      <c r="CQ133" s="2053"/>
      <c r="CR133" s="2054"/>
    </row>
    <row r="134" spans="3:96" s="1354" customFormat="1" ht="17.25" customHeight="1" thickBot="1">
      <c r="C134" s="1404"/>
      <c r="D134" s="1404"/>
      <c r="E134" s="1405"/>
      <c r="F134" s="1405"/>
      <c r="G134" s="1406"/>
      <c r="H134" s="1406"/>
      <c r="I134" s="1407"/>
      <c r="J134" s="1407"/>
      <c r="K134" s="1408"/>
      <c r="L134" s="1408"/>
      <c r="M134" s="1409"/>
      <c r="N134" s="1409"/>
      <c r="O134" s="1410"/>
      <c r="P134" s="1410"/>
      <c r="Q134" s="1411"/>
      <c r="R134" s="1411"/>
      <c r="S134" s="1411"/>
      <c r="T134" s="1412"/>
      <c r="U134" s="1412"/>
      <c r="V134" s="1412"/>
      <c r="W134" s="1412"/>
      <c r="X134" s="1357"/>
      <c r="Y134" s="1357"/>
      <c r="Z134" s="1357"/>
      <c r="AA134" s="1357"/>
      <c r="AB134" s="1357"/>
      <c r="AC134" s="1357"/>
      <c r="AD134" s="1357"/>
      <c r="AE134" s="1357"/>
      <c r="AF134" s="1357"/>
      <c r="AG134" s="1357"/>
      <c r="AH134" s="1416"/>
      <c r="AI134" s="1416"/>
      <c r="AJ134" s="1416"/>
      <c r="AK134" s="1416"/>
      <c r="AL134" s="1454"/>
      <c r="AM134" s="1416"/>
      <c r="AN134" s="1402"/>
      <c r="AO134" s="1402"/>
      <c r="AP134" s="1402"/>
      <c r="AQ134" s="1403"/>
      <c r="AT134" s="1462"/>
      <c r="AU134" s="1462"/>
      <c r="AV134" s="1463"/>
      <c r="AW134" s="2017">
        <f>MEF!B23</f>
        <v>44748.499999999993</v>
      </c>
      <c r="AX134" s="2018"/>
      <c r="AY134" s="2019">
        <f>MEF!D23</f>
        <v>44748.666666666664</v>
      </c>
      <c r="AZ134" s="2019"/>
      <c r="BA134" s="2021">
        <f>MEF!F23</f>
        <v>33.333333333333336</v>
      </c>
      <c r="BB134" s="2022">
        <f t="shared" si="0"/>
        <v>33.333333333333336</v>
      </c>
      <c r="BC134" s="2077">
        <f>MEF!H23</f>
        <v>92</v>
      </c>
      <c r="BD134" s="2078"/>
      <c r="BE134" s="2025">
        <f>MEF!J23</f>
        <v>75</v>
      </c>
      <c r="BF134" s="2026"/>
      <c r="BG134" s="2079">
        <f>MEF!L23</f>
        <v>0.57879022943352076</v>
      </c>
      <c r="BH134" s="2028">
        <f t="shared" si="1"/>
        <v>4.0430700520465703E-3</v>
      </c>
      <c r="BI134" s="1639" t="str">
        <f>MEF!N23</f>
        <v>(&lt;0)</v>
      </c>
      <c r="BJ134" s="1635" t="str">
        <f>MEF!O23</f>
        <v>°</v>
      </c>
      <c r="BK134" s="2029">
        <f>MEF!P23</f>
        <v>29.95</v>
      </c>
      <c r="BL134" s="2030"/>
      <c r="BM134" s="2031"/>
      <c r="BN134" s="2032">
        <f>MEF!S23</f>
        <v>728.19027356060712</v>
      </c>
      <c r="BO134" s="2033" t="str">
        <f t="shared" si="2"/>
        <v/>
      </c>
      <c r="BP134" s="2074">
        <f>MEF!U23</f>
        <v>3101.2082825586076</v>
      </c>
      <c r="BQ134" s="2009" t="e">
        <f t="shared" si="3"/>
        <v>#VALUE!</v>
      </c>
      <c r="BR134" s="2011"/>
      <c r="BS134" s="2011"/>
      <c r="BT134" s="2011"/>
      <c r="BU134" s="2011"/>
      <c r="BV134" s="2011"/>
      <c r="BW134" s="2011"/>
      <c r="BX134" s="2011"/>
      <c r="BY134" s="2011"/>
      <c r="BZ134" s="2012"/>
      <c r="CA134" s="2013"/>
      <c r="CB134" s="2087">
        <f>MAX(BN131:BN143)</f>
        <v>774.42707774380006</v>
      </c>
      <c r="CC134" s="2087"/>
      <c r="CD134" s="2087"/>
      <c r="CE134" s="2087">
        <f>MAX(BP131:BP143)</f>
        <v>3546.9802221844188</v>
      </c>
      <c r="CF134" s="2087"/>
      <c r="CG134" s="2087"/>
      <c r="CH134" s="2056">
        <v>120</v>
      </c>
      <c r="CI134" s="2057"/>
      <c r="CJ134" s="2057"/>
      <c r="CK134" s="2053" t="str">
        <f>MEF!AP23</f>
        <v xml:space="preserve">       31015   /   -01</v>
      </c>
      <c r="CL134" s="2053"/>
      <c r="CM134" s="2053"/>
      <c r="CN134" s="2053"/>
      <c r="CO134" s="2053"/>
      <c r="CP134" s="2053"/>
      <c r="CQ134" s="2053"/>
      <c r="CR134" s="2054"/>
    </row>
    <row r="135" spans="3:96" s="1354" customFormat="1" ht="17.25" customHeight="1" thickBot="1">
      <c r="C135" s="1404"/>
      <c r="D135" s="1404"/>
      <c r="E135" s="1405"/>
      <c r="F135" s="1405"/>
      <c r="G135" s="1406"/>
      <c r="H135" s="1406"/>
      <c r="I135" s="1407"/>
      <c r="J135" s="1407"/>
      <c r="K135" s="1408"/>
      <c r="L135" s="1408"/>
      <c r="M135" s="1409"/>
      <c r="N135" s="1409"/>
      <c r="O135" s="1410"/>
      <c r="P135" s="1410"/>
      <c r="Q135" s="1411"/>
      <c r="R135" s="1411"/>
      <c r="S135" s="1411"/>
      <c r="T135" s="1412"/>
      <c r="U135" s="1412"/>
      <c r="V135" s="1412"/>
      <c r="W135" s="1412"/>
      <c r="X135" s="1357"/>
      <c r="Y135" s="1357"/>
      <c r="Z135" s="1357"/>
      <c r="AA135" s="1357"/>
      <c r="AB135" s="1357"/>
      <c r="AC135" s="1357"/>
      <c r="AD135" s="1357"/>
      <c r="AE135" s="1357"/>
      <c r="AF135" s="1357"/>
      <c r="AG135" s="1357"/>
      <c r="AH135" s="1413"/>
      <c r="AI135" s="1413"/>
      <c r="AJ135" s="1413"/>
      <c r="AK135" s="1413"/>
      <c r="AL135" s="1455"/>
      <c r="AM135" s="1413"/>
      <c r="AN135" s="1402"/>
      <c r="AO135" s="1402"/>
      <c r="AP135" s="1402"/>
      <c r="AQ135" s="1403"/>
      <c r="AT135" s="1462"/>
      <c r="AU135" s="1462"/>
      <c r="AV135" s="1463"/>
      <c r="AW135" s="2058">
        <f>MEF!B24</f>
        <v>44748.541666666657</v>
      </c>
      <c r="AX135" s="2059"/>
      <c r="AY135" s="2060">
        <f>MEF!D24</f>
        <v>44748.708333333328</v>
      </c>
      <c r="AZ135" s="2060"/>
      <c r="BA135" s="2061">
        <f>MEF!F24</f>
        <v>34.444444444444443</v>
      </c>
      <c r="BB135" s="2062">
        <f t="shared" si="0"/>
        <v>34.444444444444443</v>
      </c>
      <c r="BC135" s="2081">
        <f>MEF!H24</f>
        <v>94</v>
      </c>
      <c r="BD135" s="2082"/>
      <c r="BE135" s="2065">
        <f>MEF!J24</f>
        <v>75</v>
      </c>
      <c r="BF135" s="2066"/>
      <c r="BG135" s="2083">
        <f>MEF!L24</f>
        <v>0.54408424981317505</v>
      </c>
      <c r="BH135" s="2068">
        <f t="shared" si="1"/>
        <v>4.0364779236785409E-3</v>
      </c>
      <c r="BI135" s="1640" t="str">
        <f>MEF!N24</f>
        <v>(&lt;0)</v>
      </c>
      <c r="BJ135" s="1636" t="str">
        <f>MEF!O24</f>
        <v>°</v>
      </c>
      <c r="BK135" s="2069">
        <f>MEF!P24</f>
        <v>29.95</v>
      </c>
      <c r="BL135" s="2070"/>
      <c r="BM135" s="2071"/>
      <c r="BN135" s="2072">
        <f>MEF!S24</f>
        <v>728.19027356060712</v>
      </c>
      <c r="BO135" s="2073" t="str">
        <f t="shared" si="2"/>
        <v/>
      </c>
      <c r="BP135" s="2084">
        <f>MEF!U24</f>
        <v>3234.5416158919406</v>
      </c>
      <c r="BQ135" s="2075" t="e">
        <f t="shared" si="3"/>
        <v>#VALUE!</v>
      </c>
      <c r="BR135" s="2011"/>
      <c r="BS135" s="2011"/>
      <c r="BT135" s="2011"/>
      <c r="BU135" s="2011"/>
      <c r="BV135" s="2011"/>
      <c r="BW135" s="2011"/>
      <c r="BX135" s="2011"/>
      <c r="BY135" s="2011"/>
      <c r="BZ135" s="2012"/>
      <c r="CA135" s="2013"/>
      <c r="CB135" s="2076" t="s">
        <v>50</v>
      </c>
      <c r="CC135" s="2076"/>
      <c r="CD135" s="2076"/>
      <c r="CE135" s="2076"/>
      <c r="CF135" s="2076"/>
      <c r="CG135" s="2076"/>
      <c r="CH135" s="2051">
        <v>100</v>
      </c>
      <c r="CI135" s="2052"/>
      <c r="CJ135" s="2052"/>
      <c r="CK135" s="2053" t="str">
        <f>MEF!AP24</f>
        <v xml:space="preserve">        31015   /   +06</v>
      </c>
      <c r="CL135" s="2053"/>
      <c r="CM135" s="2053"/>
      <c r="CN135" s="2053"/>
      <c r="CO135" s="2053"/>
      <c r="CP135" s="2053"/>
      <c r="CQ135" s="2053"/>
      <c r="CR135" s="2054"/>
    </row>
    <row r="136" spans="3:96" s="1354" customFormat="1" ht="17.25" customHeight="1" thickBot="1">
      <c r="C136" s="1404"/>
      <c r="D136" s="1404"/>
      <c r="E136" s="1405"/>
      <c r="F136" s="1405"/>
      <c r="G136" s="1406"/>
      <c r="H136" s="1406"/>
      <c r="I136" s="1407"/>
      <c r="J136" s="1407"/>
      <c r="K136" s="1408"/>
      <c r="L136" s="1408"/>
      <c r="M136" s="1409"/>
      <c r="N136" s="1409"/>
      <c r="O136" s="1410"/>
      <c r="P136" s="1410"/>
      <c r="Q136" s="1411"/>
      <c r="R136" s="1411"/>
      <c r="S136" s="1411"/>
      <c r="T136" s="1412"/>
      <c r="U136" s="1412"/>
      <c r="V136" s="1412"/>
      <c r="W136" s="1412"/>
      <c r="X136" s="1357"/>
      <c r="Y136" s="1357"/>
      <c r="Z136" s="1357"/>
      <c r="AA136" s="1357"/>
      <c r="AB136" s="1357"/>
      <c r="AC136" s="1357"/>
      <c r="AD136" s="1357"/>
      <c r="AE136" s="1357"/>
      <c r="AF136" s="1357"/>
      <c r="AG136" s="1357"/>
      <c r="AH136" s="1417"/>
      <c r="AI136" s="1417"/>
      <c r="AJ136" s="1417"/>
      <c r="AK136" s="1417"/>
      <c r="AL136" s="1454"/>
      <c r="AM136" s="1417"/>
      <c r="AN136" s="1402"/>
      <c r="AO136" s="1402"/>
      <c r="AP136" s="1402"/>
      <c r="AQ136" s="1403"/>
      <c r="AT136" s="1462"/>
      <c r="AU136" s="1462"/>
      <c r="AV136" s="1463"/>
      <c r="AW136" s="2017">
        <f>MEF!B25</f>
        <v>44748.583333333328</v>
      </c>
      <c r="AX136" s="2018"/>
      <c r="AY136" s="2019">
        <f>MEF!D25</f>
        <v>44748.75</v>
      </c>
      <c r="AZ136" s="2019"/>
      <c r="BA136" s="2021">
        <f>MEF!F25</f>
        <v>35</v>
      </c>
      <c r="BB136" s="2022">
        <f t="shared" si="0"/>
        <v>35</v>
      </c>
      <c r="BC136" s="2077">
        <f>MEF!H25</f>
        <v>95</v>
      </c>
      <c r="BD136" s="2078"/>
      <c r="BE136" s="2025">
        <f>MEF!J25</f>
        <v>74</v>
      </c>
      <c r="BF136" s="2026"/>
      <c r="BG136" s="2079">
        <f>MEF!L25</f>
        <v>0.51028899654400484</v>
      </c>
      <c r="BH136" s="2028">
        <f t="shared" si="1"/>
        <v>4.2034209282428093E-3</v>
      </c>
      <c r="BI136" s="1639" t="str">
        <f>MEF!N25</f>
        <v>(6)</v>
      </c>
      <c r="BJ136" s="1635" t="str">
        <f>MEF!O25</f>
        <v>°</v>
      </c>
      <c r="BK136" s="2029">
        <f>MEF!P25</f>
        <v>29.94</v>
      </c>
      <c r="BL136" s="2030"/>
      <c r="BM136" s="2031"/>
      <c r="BN136" s="2032">
        <f>MEF!S25</f>
        <v>737.43263139606995</v>
      </c>
      <c r="BO136" s="2033" t="str">
        <f t="shared" si="2"/>
        <v/>
      </c>
      <c r="BP136" s="2074">
        <f>MEF!U25</f>
        <v>3312.6466246157765</v>
      </c>
      <c r="BQ136" s="2009">
        <f t="shared" si="3"/>
        <v>1579.7314626244852</v>
      </c>
      <c r="BR136" s="2011"/>
      <c r="BS136" s="2011"/>
      <c r="BT136" s="2011"/>
      <c r="BU136" s="2011"/>
      <c r="BV136" s="2011"/>
      <c r="BW136" s="2011"/>
      <c r="BX136" s="2011"/>
      <c r="BY136" s="2011"/>
      <c r="BZ136" s="2012"/>
      <c r="CA136" s="2013"/>
      <c r="CB136" s="2086">
        <f>MIN(BK131:BK143)</f>
        <v>29.9</v>
      </c>
      <c r="CC136" s="2086"/>
      <c r="CD136" s="2086"/>
      <c r="CE136" s="2086"/>
      <c r="CF136" s="2086"/>
      <c r="CG136" s="2086"/>
      <c r="CH136" s="2056">
        <v>90</v>
      </c>
      <c r="CI136" s="2057"/>
      <c r="CJ136" s="2057"/>
      <c r="CK136" s="2053" t="str">
        <f>MEF!AP25</f>
        <v xml:space="preserve">         31015   /   +10</v>
      </c>
      <c r="CL136" s="2053"/>
      <c r="CM136" s="2053"/>
      <c r="CN136" s="2053"/>
      <c r="CO136" s="2053"/>
      <c r="CP136" s="2053"/>
      <c r="CQ136" s="2053"/>
      <c r="CR136" s="2054"/>
    </row>
    <row r="137" spans="3:96" s="1354" customFormat="1" ht="17.25" customHeight="1" thickBot="1">
      <c r="C137" s="1404"/>
      <c r="D137" s="1404"/>
      <c r="E137" s="1405"/>
      <c r="F137" s="1405"/>
      <c r="G137" s="1406"/>
      <c r="H137" s="1406"/>
      <c r="I137" s="1407"/>
      <c r="J137" s="1407"/>
      <c r="K137" s="1408"/>
      <c r="L137" s="1408"/>
      <c r="M137" s="1409"/>
      <c r="N137" s="1409"/>
      <c r="O137" s="1410"/>
      <c r="P137" s="1410"/>
      <c r="Q137" s="1411"/>
      <c r="R137" s="1411"/>
      <c r="S137" s="1411"/>
      <c r="T137" s="1412"/>
      <c r="U137" s="1412"/>
      <c r="V137" s="1412"/>
      <c r="W137" s="1412"/>
      <c r="X137" s="1357"/>
      <c r="Y137" s="1357"/>
      <c r="Z137" s="1357"/>
      <c r="AA137" s="1357"/>
      <c r="AB137" s="1357"/>
      <c r="AC137" s="1357"/>
      <c r="AD137" s="1357"/>
      <c r="AE137" s="1357"/>
      <c r="AF137" s="1357"/>
      <c r="AG137" s="1357"/>
      <c r="AH137" s="1413"/>
      <c r="AI137" s="1413"/>
      <c r="AJ137" s="1413"/>
      <c r="AK137" s="1413"/>
      <c r="AL137" s="1455"/>
      <c r="AM137" s="1413"/>
      <c r="AN137" s="1402"/>
      <c r="AO137" s="1402"/>
      <c r="AP137" s="1402"/>
      <c r="AQ137" s="1403"/>
      <c r="AT137" s="1462"/>
      <c r="AU137" s="1462"/>
      <c r="AV137" s="1463"/>
      <c r="AW137" s="2058">
        <f>MEF!B26</f>
        <v>44748.624999999993</v>
      </c>
      <c r="AX137" s="2059"/>
      <c r="AY137" s="2060">
        <f>MEF!D26</f>
        <v>44748.791666666664</v>
      </c>
      <c r="AZ137" s="2060"/>
      <c r="BA137" s="2061">
        <f>MEF!F26</f>
        <v>36.111111111111114</v>
      </c>
      <c r="BB137" s="2062">
        <f t="shared" si="0"/>
        <v>36.111111111111114</v>
      </c>
      <c r="BC137" s="2081">
        <f>MEF!H26</f>
        <v>97</v>
      </c>
      <c r="BD137" s="2082"/>
      <c r="BE137" s="2065">
        <f>MEF!J26</f>
        <v>74</v>
      </c>
      <c r="BF137" s="2066"/>
      <c r="BG137" s="2083">
        <f>MEF!L26</f>
        <v>0.48005142428918723</v>
      </c>
      <c r="BH137" s="2068">
        <f t="shared" si="1"/>
        <v>4.1974471293463322E-3</v>
      </c>
      <c r="BI137" s="1640" t="str">
        <f>MEF!N26</f>
        <v>(18)</v>
      </c>
      <c r="BJ137" s="1636" t="str">
        <f>MEF!O26</f>
        <v>°</v>
      </c>
      <c r="BK137" s="2069">
        <f>MEF!P26</f>
        <v>29.93</v>
      </c>
      <c r="BL137" s="2070"/>
      <c r="BM137" s="2071"/>
      <c r="BN137" s="2072">
        <f>MEF!S26</f>
        <v>746.67748921956763</v>
      </c>
      <c r="BO137" s="2073" t="str">
        <f t="shared" si="2"/>
        <v/>
      </c>
      <c r="BP137" s="2084">
        <f>MEF!U26</f>
        <v>3457.4213939914707</v>
      </c>
      <c r="BQ137" s="2075">
        <f t="shared" si="3"/>
        <v>318.90471720384403</v>
      </c>
      <c r="BR137" s="2011"/>
      <c r="BS137" s="2011"/>
      <c r="BT137" s="2011"/>
      <c r="BU137" s="2011"/>
      <c r="BV137" s="2011"/>
      <c r="BW137" s="2011"/>
      <c r="BX137" s="2011"/>
      <c r="BY137" s="2011"/>
      <c r="BZ137" s="2012"/>
      <c r="CA137" s="2013"/>
      <c r="CB137" s="2076" t="s">
        <v>51</v>
      </c>
      <c r="CC137" s="2076"/>
      <c r="CD137" s="2076"/>
      <c r="CE137" s="2076"/>
      <c r="CF137" s="2076"/>
      <c r="CG137" s="2076"/>
      <c r="CH137" s="2051">
        <v>80</v>
      </c>
      <c r="CI137" s="2052"/>
      <c r="CJ137" s="2052"/>
      <c r="CK137" s="2053" t="str">
        <f>MEF!AP26</f>
        <v xml:space="preserve">          30015   /   +13</v>
      </c>
      <c r="CL137" s="2053"/>
      <c r="CM137" s="2053"/>
      <c r="CN137" s="2053"/>
      <c r="CO137" s="2053"/>
      <c r="CP137" s="2053"/>
      <c r="CQ137" s="2053"/>
      <c r="CR137" s="2054"/>
    </row>
    <row r="138" spans="3:96" s="1354" customFormat="1" ht="17.25" customHeight="1" thickBot="1">
      <c r="C138" s="1404"/>
      <c r="D138" s="1404"/>
      <c r="E138" s="1405"/>
      <c r="F138" s="1405"/>
      <c r="G138" s="1406"/>
      <c r="H138" s="1406"/>
      <c r="I138" s="1407"/>
      <c r="J138" s="1407"/>
      <c r="K138" s="1408"/>
      <c r="L138" s="1408"/>
      <c r="M138" s="1409"/>
      <c r="N138" s="1409"/>
      <c r="O138" s="1410"/>
      <c r="P138" s="1410"/>
      <c r="Q138" s="1411"/>
      <c r="R138" s="1411"/>
      <c r="S138" s="1411"/>
      <c r="T138" s="1412"/>
      <c r="U138" s="1412"/>
      <c r="V138" s="1412"/>
      <c r="W138" s="1412"/>
      <c r="X138" s="1357"/>
      <c r="Y138" s="1357"/>
      <c r="Z138" s="1357"/>
      <c r="AA138" s="1357"/>
      <c r="AB138" s="1357"/>
      <c r="AC138" s="1357"/>
      <c r="AD138" s="1357"/>
      <c r="AE138" s="1357"/>
      <c r="AF138" s="1357"/>
      <c r="AG138" s="1357"/>
      <c r="AH138" s="1418"/>
      <c r="AI138" s="1418"/>
      <c r="AJ138" s="1418"/>
      <c r="AK138" s="1418"/>
      <c r="AL138" s="1455"/>
      <c r="AM138" s="1418"/>
      <c r="AN138" s="1402"/>
      <c r="AO138" s="1402"/>
      <c r="AP138" s="1402"/>
      <c r="AQ138" s="1403"/>
      <c r="AT138" s="1462"/>
      <c r="AU138" s="1462"/>
      <c r="AV138" s="1463"/>
      <c r="AW138" s="2017">
        <f>MEF!B27</f>
        <v>44748.666666666657</v>
      </c>
      <c r="AX138" s="2018"/>
      <c r="AY138" s="2019">
        <f>MEF!D27</f>
        <v>44748.833333333328</v>
      </c>
      <c r="AZ138" s="2019"/>
      <c r="BA138" s="2021">
        <f>MEF!F27</f>
        <v>36.666666666666671</v>
      </c>
      <c r="BB138" s="2022">
        <f t="shared" si="0"/>
        <v>36.666666666666671</v>
      </c>
      <c r="BC138" s="2077">
        <f>MEF!H27</f>
        <v>98</v>
      </c>
      <c r="BD138" s="2078"/>
      <c r="BE138" s="2025">
        <f>MEF!J27</f>
        <v>73</v>
      </c>
      <c r="BF138" s="2026"/>
      <c r="BG138" s="2079">
        <f>MEF!L27</f>
        <v>0.4503371222797285</v>
      </c>
      <c r="BH138" s="2028">
        <f t="shared" si="1"/>
        <v>4.3730699956889985E-3</v>
      </c>
      <c r="BI138" s="1639" t="str">
        <f>MEF!N27</f>
        <v>(29)</v>
      </c>
      <c r="BJ138" s="1635" t="str">
        <f>MEF!O27</f>
        <v>°</v>
      </c>
      <c r="BK138" s="2029">
        <f>MEF!P27</f>
        <v>29.92</v>
      </c>
      <c r="BL138" s="2030"/>
      <c r="BM138" s="2031"/>
      <c r="BN138" s="2032">
        <f>MEF!S27</f>
        <v>755.92484854294287</v>
      </c>
      <c r="BO138" s="2033" t="str">
        <f t="shared" si="2"/>
        <v/>
      </c>
      <c r="BP138" s="2074">
        <f>MEF!U27</f>
        <v>3535.5325925567472</v>
      </c>
      <c r="BQ138" s="2009">
        <f t="shared" si="3"/>
        <v>-904.4248634517694</v>
      </c>
      <c r="BR138" s="2011"/>
      <c r="BS138" s="2011"/>
      <c r="BT138" s="2011"/>
      <c r="BU138" s="2011"/>
      <c r="BV138" s="2011"/>
      <c r="BW138" s="2011"/>
      <c r="BX138" s="2011"/>
      <c r="BY138" s="2011"/>
      <c r="BZ138" s="2012"/>
      <c r="CA138" s="2013"/>
      <c r="CB138" s="2085" t="s">
        <v>52</v>
      </c>
      <c r="CC138" s="2085"/>
      <c r="CD138" s="2085"/>
      <c r="CE138" s="2085" t="s">
        <v>53</v>
      </c>
      <c r="CF138" s="2085"/>
      <c r="CG138" s="2085"/>
      <c r="CH138" s="2056">
        <v>70</v>
      </c>
      <c r="CI138" s="2057"/>
      <c r="CJ138" s="2057"/>
      <c r="CK138" s="2053" t="str">
        <f>MEF!AP27</f>
        <v xml:space="preserve">           30020   /   +18</v>
      </c>
      <c r="CL138" s="2053"/>
      <c r="CM138" s="2053"/>
      <c r="CN138" s="2053"/>
      <c r="CO138" s="2053"/>
      <c r="CP138" s="2053"/>
      <c r="CQ138" s="2053"/>
      <c r="CR138" s="2054"/>
    </row>
    <row r="139" spans="3:96" s="1354" customFormat="1" ht="17.25" customHeight="1" thickBot="1">
      <c r="C139" s="1404"/>
      <c r="D139" s="1404"/>
      <c r="E139" s="1405"/>
      <c r="F139" s="1405"/>
      <c r="G139" s="1406"/>
      <c r="H139" s="1406"/>
      <c r="I139" s="1407"/>
      <c r="J139" s="1407"/>
      <c r="K139" s="1408"/>
      <c r="L139" s="1408"/>
      <c r="M139" s="1409"/>
      <c r="N139" s="1409"/>
      <c r="O139" s="1410"/>
      <c r="P139" s="1410"/>
      <c r="Q139" s="1411"/>
      <c r="R139" s="1411"/>
      <c r="S139" s="1411"/>
      <c r="T139" s="1412"/>
      <c r="U139" s="1412"/>
      <c r="V139" s="1412"/>
      <c r="W139" s="1412"/>
      <c r="X139" s="1357"/>
      <c r="Y139" s="1357"/>
      <c r="Z139" s="1357"/>
      <c r="AA139" s="1357"/>
      <c r="AB139" s="1357"/>
      <c r="AC139" s="1357"/>
      <c r="AD139" s="1357"/>
      <c r="AE139" s="1357"/>
      <c r="AF139" s="1357"/>
      <c r="AG139" s="1357"/>
      <c r="AH139" s="1419"/>
      <c r="AI139" s="1419"/>
      <c r="AJ139" s="1419"/>
      <c r="AK139" s="1419"/>
      <c r="AL139" s="1454"/>
      <c r="AM139" s="1419"/>
      <c r="AN139" s="1402"/>
      <c r="AO139" s="1402"/>
      <c r="AP139" s="1402"/>
      <c r="AQ139" s="1403"/>
      <c r="AT139" s="1462"/>
      <c r="AU139" s="1462"/>
      <c r="AV139" s="1463"/>
      <c r="AW139" s="2058">
        <f>MEF!B28</f>
        <v>44748.708333333328</v>
      </c>
      <c r="AX139" s="2059"/>
      <c r="AY139" s="2060">
        <f>MEF!D28</f>
        <v>44748.875</v>
      </c>
      <c r="AZ139" s="2060"/>
      <c r="BA139" s="2061">
        <f>MEF!F28</f>
        <v>36.666666666666671</v>
      </c>
      <c r="BB139" s="2062">
        <f t="shared" si="0"/>
        <v>36.666666666666671</v>
      </c>
      <c r="BC139" s="2081">
        <f>MEF!H28</f>
        <v>98</v>
      </c>
      <c r="BD139" s="2082"/>
      <c r="BE139" s="2065">
        <f>MEF!J28</f>
        <v>73</v>
      </c>
      <c r="BF139" s="2066"/>
      <c r="BG139" s="2083">
        <f>MEF!L28</f>
        <v>0.4503371222797285</v>
      </c>
      <c r="BH139" s="2068">
        <f t="shared" si="1"/>
        <v>4.3730699956889985E-3</v>
      </c>
      <c r="BI139" s="1640" t="str">
        <f>MEF!N28</f>
        <v>(38)</v>
      </c>
      <c r="BJ139" s="1636" t="str">
        <f>MEF!O28</f>
        <v>°</v>
      </c>
      <c r="BK139" s="2069">
        <f>MEF!P28</f>
        <v>29.91</v>
      </c>
      <c r="BL139" s="2070"/>
      <c r="BM139" s="2071"/>
      <c r="BN139" s="2072">
        <f>MEF!S28</f>
        <v>765.17471087945876</v>
      </c>
      <c r="BO139" s="2073" t="str">
        <f t="shared" si="2"/>
        <v/>
      </c>
      <c r="BP139" s="2084">
        <f>MEF!U28</f>
        <v>3546.9802221844188</v>
      </c>
      <c r="BQ139" s="2075">
        <f t="shared" si="3"/>
        <v>-1970.2572770245629</v>
      </c>
      <c r="BR139" s="2011"/>
      <c r="BS139" s="2011"/>
      <c r="BT139" s="2011"/>
      <c r="BU139" s="2011"/>
      <c r="BV139" s="2011"/>
      <c r="BW139" s="2011"/>
      <c r="BX139" s="2011"/>
      <c r="BY139" s="2011"/>
      <c r="BZ139" s="2012"/>
      <c r="CA139" s="2013"/>
      <c r="CB139" s="2080">
        <f>MAX(BG131:BG143)</f>
        <v>0.79616826474071245</v>
      </c>
      <c r="CC139" s="2080"/>
      <c r="CD139" s="2080"/>
      <c r="CE139" s="2080">
        <f>MIN(BG131:BG143)</f>
        <v>0.4503371222797285</v>
      </c>
      <c r="CF139" s="2080"/>
      <c r="CG139" s="2080"/>
      <c r="CH139" s="2051">
        <v>60</v>
      </c>
      <c r="CI139" s="2052"/>
      <c r="CJ139" s="2052"/>
      <c r="CK139" s="2053" t="str">
        <f>MEF!AP28</f>
        <v xml:space="preserve">            29020   /   +22</v>
      </c>
      <c r="CL139" s="2053"/>
      <c r="CM139" s="2053"/>
      <c r="CN139" s="2053"/>
      <c r="CO139" s="2053"/>
      <c r="CP139" s="2053"/>
      <c r="CQ139" s="2053"/>
      <c r="CR139" s="2054"/>
    </row>
    <row r="140" spans="3:96" s="1354" customFormat="1" ht="17.25" customHeight="1" thickBot="1">
      <c r="C140" s="1404"/>
      <c r="D140" s="1404"/>
      <c r="E140" s="1405"/>
      <c r="F140" s="1405"/>
      <c r="G140" s="1406"/>
      <c r="H140" s="1406"/>
      <c r="I140" s="1407"/>
      <c r="J140" s="1407"/>
      <c r="K140" s="1408"/>
      <c r="L140" s="1408"/>
      <c r="M140" s="1409"/>
      <c r="N140" s="1409"/>
      <c r="O140" s="1410"/>
      <c r="P140" s="1410"/>
      <c r="Q140" s="1411"/>
      <c r="R140" s="1411"/>
      <c r="S140" s="1411"/>
      <c r="T140" s="1412"/>
      <c r="U140" s="1412"/>
      <c r="V140" s="1412"/>
      <c r="W140" s="1412"/>
      <c r="X140" s="1357"/>
      <c r="Y140" s="1357"/>
      <c r="Z140" s="1357"/>
      <c r="AA140" s="1357"/>
      <c r="AB140" s="1357"/>
      <c r="AC140" s="1357"/>
      <c r="AD140" s="1357"/>
      <c r="AE140" s="1357"/>
      <c r="AF140" s="1357"/>
      <c r="AG140" s="1357"/>
      <c r="AH140" s="1413"/>
      <c r="AI140" s="1413"/>
      <c r="AJ140" s="1413"/>
      <c r="AK140" s="1413"/>
      <c r="AL140" s="1455"/>
      <c r="AM140" s="1413"/>
      <c r="AN140" s="1402"/>
      <c r="AO140" s="1402"/>
      <c r="AP140" s="1402"/>
      <c r="AQ140" s="1403"/>
      <c r="AT140" s="1462"/>
      <c r="AU140" s="1462"/>
      <c r="AV140" s="1463"/>
      <c r="AW140" s="2017">
        <f>MEF!B29</f>
        <v>44748.749999999993</v>
      </c>
      <c r="AX140" s="2018"/>
      <c r="AY140" s="2019">
        <f>MEF!D29</f>
        <v>44748.916666666664</v>
      </c>
      <c r="AZ140" s="2019"/>
      <c r="BA140" s="2021">
        <f>MEF!F29</f>
        <v>36.111111111111114</v>
      </c>
      <c r="BB140" s="2022">
        <f t="shared" si="0"/>
        <v>36.111111111111114</v>
      </c>
      <c r="BC140" s="2077">
        <f>MEF!H29</f>
        <v>97</v>
      </c>
      <c r="BD140" s="2078"/>
      <c r="BE140" s="2025">
        <f>MEF!J29</f>
        <v>73</v>
      </c>
      <c r="BF140" s="2026"/>
      <c r="BG140" s="2079">
        <f>MEF!L29</f>
        <v>0.46421737778362049</v>
      </c>
      <c r="BH140" s="2028">
        <f t="shared" si="1"/>
        <v>4.3759263910199504E-3</v>
      </c>
      <c r="BI140" s="1639" t="str">
        <f>MEF!N29</f>
        <v>(45)</v>
      </c>
      <c r="BJ140" s="1635" t="str">
        <f>MEF!O29</f>
        <v>°</v>
      </c>
      <c r="BK140" s="2029">
        <f>MEF!P29</f>
        <v>29.9</v>
      </c>
      <c r="BL140" s="2030"/>
      <c r="BM140" s="2031"/>
      <c r="BN140" s="2032">
        <f>MEF!S29</f>
        <v>774.42707774380006</v>
      </c>
      <c r="BO140" s="2033" t="str">
        <f t="shared" si="2"/>
        <v/>
      </c>
      <c r="BP140" s="2074">
        <f>MEF!U29</f>
        <v>3491.7642847490606</v>
      </c>
      <c r="BQ140" s="2009">
        <f t="shared" si="3"/>
        <v>-2878.5925211945623</v>
      </c>
      <c r="BR140" s="2011"/>
      <c r="BS140" s="2011"/>
      <c r="BT140" s="2011"/>
      <c r="BU140" s="2011"/>
      <c r="BV140" s="2011"/>
      <c r="BW140" s="2011"/>
      <c r="BX140" s="2011"/>
      <c r="BY140" s="2011"/>
      <c r="BZ140" s="2012"/>
      <c r="CA140" s="2013"/>
      <c r="CB140" s="2076" t="s">
        <v>54</v>
      </c>
      <c r="CC140" s="2076"/>
      <c r="CD140" s="2076"/>
      <c r="CE140" s="2076"/>
      <c r="CF140" s="2076"/>
      <c r="CG140" s="2076"/>
      <c r="CH140" s="2056">
        <v>50</v>
      </c>
      <c r="CI140" s="2057"/>
      <c r="CJ140" s="2057"/>
      <c r="CK140" s="2053" t="str">
        <f>MEF!AP29</f>
        <v xml:space="preserve">             29020   /   +24</v>
      </c>
      <c r="CL140" s="2053"/>
      <c r="CM140" s="2053"/>
      <c r="CN140" s="2053"/>
      <c r="CO140" s="2053"/>
      <c r="CP140" s="2053"/>
      <c r="CQ140" s="2053"/>
      <c r="CR140" s="2054"/>
    </row>
    <row r="141" spans="3:96" s="1354" customFormat="1" ht="17.25" customHeight="1" thickBot="1">
      <c r="C141" s="1404"/>
      <c r="D141" s="1404"/>
      <c r="E141" s="1405"/>
      <c r="F141" s="1405"/>
      <c r="G141" s="1406"/>
      <c r="H141" s="1406"/>
      <c r="I141" s="1420"/>
      <c r="J141" s="1420"/>
      <c r="K141" s="1408"/>
      <c r="L141" s="1408"/>
      <c r="M141" s="1409"/>
      <c r="N141" s="1409"/>
      <c r="O141" s="1410"/>
      <c r="P141" s="1410"/>
      <c r="Q141" s="1411"/>
      <c r="R141" s="1411"/>
      <c r="S141" s="1411"/>
      <c r="T141" s="1412"/>
      <c r="U141" s="1412"/>
      <c r="V141" s="1412"/>
      <c r="W141" s="1412"/>
      <c r="X141" s="1357"/>
      <c r="Y141" s="1357"/>
      <c r="Z141" s="1357"/>
      <c r="AA141" s="1357"/>
      <c r="AB141" s="1357"/>
      <c r="AC141" s="1357"/>
      <c r="AD141" s="1357"/>
      <c r="AE141" s="1357"/>
      <c r="AF141" s="1357"/>
      <c r="AG141" s="1357"/>
      <c r="AH141" s="1421"/>
      <c r="AI141" s="1421"/>
      <c r="AJ141" s="1421"/>
      <c r="AK141" s="1421"/>
      <c r="AL141" s="1454"/>
      <c r="AM141" s="1421"/>
      <c r="AN141" s="1402"/>
      <c r="AO141" s="1402"/>
      <c r="AP141" s="1402"/>
      <c r="AQ141" s="1403"/>
      <c r="AT141" s="1462"/>
      <c r="AU141" s="1462"/>
      <c r="AV141" s="1463"/>
      <c r="AW141" s="2058">
        <f>MEF!B30</f>
        <v>44748.791666666657</v>
      </c>
      <c r="AX141" s="2059"/>
      <c r="AY141" s="2060">
        <f>MEF!D30</f>
        <v>44748.958333333328</v>
      </c>
      <c r="AZ141" s="2060"/>
      <c r="BA141" s="2061">
        <f>MEF!F30</f>
        <v>35</v>
      </c>
      <c r="BB141" s="2062">
        <f t="shared" si="0"/>
        <v>35</v>
      </c>
      <c r="BC141" s="2063">
        <f>MEF!H30</f>
        <v>95</v>
      </c>
      <c r="BD141" s="2064"/>
      <c r="BE141" s="2065">
        <f>MEF!J30</f>
        <v>74</v>
      </c>
      <c r="BF141" s="2066"/>
      <c r="BG141" s="2067">
        <f>MEF!L30</f>
        <v>0.51028899654400484</v>
      </c>
      <c r="BH141" s="2068">
        <f t="shared" si="1"/>
        <v>4.2034209282428093E-3</v>
      </c>
      <c r="BI141" s="1640" t="str">
        <f>MEF!N30</f>
        <v>(48)</v>
      </c>
      <c r="BJ141" s="1636" t="str">
        <f>MEF!O30</f>
        <v>°</v>
      </c>
      <c r="BK141" s="2069">
        <f>MEF!P30</f>
        <v>29.9</v>
      </c>
      <c r="BL141" s="2070"/>
      <c r="BM141" s="2071"/>
      <c r="BN141" s="2072">
        <f>MEF!S30</f>
        <v>774.42707774380006</v>
      </c>
      <c r="BO141" s="2073" t="str">
        <f t="shared" si="2"/>
        <v/>
      </c>
      <c r="BP141" s="2075">
        <f>MEF!U30</f>
        <v>3358.4309514157267</v>
      </c>
      <c r="BQ141" s="2075">
        <f t="shared" si="3"/>
        <v>-3403.6058545278966</v>
      </c>
      <c r="BR141" s="2011"/>
      <c r="BS141" s="2011"/>
      <c r="BT141" s="2011"/>
      <c r="BU141" s="2011"/>
      <c r="BV141" s="2011"/>
      <c r="BW141" s="2011"/>
      <c r="BX141" s="2011"/>
      <c r="BY141" s="2011"/>
      <c r="BZ141" s="2012"/>
      <c r="CA141" s="2013"/>
      <c r="CB141" s="2050" t="str">
        <f>MEF!AG30</f>
        <v>110</v>
      </c>
      <c r="CC141" s="2050"/>
      <c r="CD141" s="2050"/>
      <c r="CE141" s="2050"/>
      <c r="CF141" s="2050"/>
      <c r="CG141" s="2050"/>
      <c r="CH141" s="2051">
        <v>40</v>
      </c>
      <c r="CI141" s="2052"/>
      <c r="CJ141" s="2052"/>
      <c r="CK141" s="2053" t="str">
        <f>MEF!AP30</f>
        <v xml:space="preserve">              28015   /   +25</v>
      </c>
      <c r="CL141" s="2053"/>
      <c r="CM141" s="2053"/>
      <c r="CN141" s="2053"/>
      <c r="CO141" s="2053"/>
      <c r="CP141" s="2053"/>
      <c r="CQ141" s="2053"/>
      <c r="CR141" s="2054"/>
    </row>
    <row r="142" spans="3:96" s="1354" customFormat="1" ht="17.25" customHeight="1" thickBot="1">
      <c r="C142" s="1404"/>
      <c r="D142" s="1404"/>
      <c r="E142" s="1405"/>
      <c r="F142" s="1405"/>
      <c r="G142" s="1406"/>
      <c r="H142" s="1406"/>
      <c r="I142" s="1420"/>
      <c r="J142" s="1420"/>
      <c r="K142" s="1408"/>
      <c r="L142" s="1408"/>
      <c r="M142" s="1409"/>
      <c r="N142" s="1409"/>
      <c r="O142" s="1410"/>
      <c r="P142" s="1410"/>
      <c r="Q142" s="1411"/>
      <c r="R142" s="1411"/>
      <c r="S142" s="1411"/>
      <c r="T142" s="1412"/>
      <c r="U142" s="1412"/>
      <c r="V142" s="1412"/>
      <c r="W142" s="1412"/>
      <c r="X142" s="1357"/>
      <c r="Y142" s="1357"/>
      <c r="Z142" s="1357"/>
      <c r="AA142" s="1357"/>
      <c r="AB142" s="1357"/>
      <c r="AC142" s="1357"/>
      <c r="AD142" s="1357"/>
      <c r="AE142" s="1357"/>
      <c r="AF142" s="1357"/>
      <c r="AG142" s="1357"/>
      <c r="AH142" s="1422"/>
      <c r="AI142" s="1422"/>
      <c r="AJ142" s="1422"/>
      <c r="AK142" s="1422"/>
      <c r="AL142" s="1455"/>
      <c r="AM142" s="1422"/>
      <c r="AN142" s="1402"/>
      <c r="AO142" s="1402"/>
      <c r="AP142" s="1402"/>
      <c r="AQ142" s="1403"/>
      <c r="AT142" s="1462"/>
      <c r="AU142" s="1462"/>
      <c r="AV142" s="1463"/>
      <c r="AW142" s="2017">
        <f>MEF!B31</f>
        <v>44748.833333333328</v>
      </c>
      <c r="AX142" s="2018"/>
      <c r="AY142" s="2019">
        <f>MEF!D31</f>
        <v>44749</v>
      </c>
      <c r="AZ142" s="2020"/>
      <c r="BA142" s="2021">
        <f>MEF!F31</f>
        <v>32.222222222222221</v>
      </c>
      <c r="BB142" s="2022">
        <f t="shared" si="0"/>
        <v>32.222222222222221</v>
      </c>
      <c r="BC142" s="2023">
        <f>MEF!H31</f>
        <v>90</v>
      </c>
      <c r="BD142" s="2024"/>
      <c r="BE142" s="2025">
        <f>MEF!J31</f>
        <v>74</v>
      </c>
      <c r="BF142" s="2026"/>
      <c r="BG142" s="2027">
        <f>MEF!L31</f>
        <v>0.59578947092021739</v>
      </c>
      <c r="BH142" s="2028">
        <f t="shared" si="1"/>
        <v>4.2203536769401294E-3</v>
      </c>
      <c r="BI142" s="1639" t="str">
        <f>MEF!N31</f>
        <v>(49)</v>
      </c>
      <c r="BJ142" s="1635" t="str">
        <f>MEF!O31</f>
        <v>°</v>
      </c>
      <c r="BK142" s="2029">
        <f>MEF!P31</f>
        <v>29.91</v>
      </c>
      <c r="BL142" s="2030"/>
      <c r="BM142" s="2031"/>
      <c r="BN142" s="2032">
        <f>MEF!S31</f>
        <v>765.17471087945876</v>
      </c>
      <c r="BO142" s="2033" t="str">
        <f t="shared" si="2"/>
        <v/>
      </c>
      <c r="BP142" s="2009">
        <f>MEF!U31</f>
        <v>3013.6468888510849</v>
      </c>
      <c r="BQ142" s="2009">
        <f t="shared" si="3"/>
        <v>-3950.3106103578971</v>
      </c>
      <c r="BR142" s="2011"/>
      <c r="BS142" s="2011"/>
      <c r="BT142" s="2011"/>
      <c r="BU142" s="2011"/>
      <c r="BV142" s="2011"/>
      <c r="BW142" s="2011"/>
      <c r="BX142" s="2011"/>
      <c r="BY142" s="2011"/>
      <c r="BZ142" s="2012"/>
      <c r="CA142" s="2013"/>
      <c r="CB142" s="2055" t="str">
        <f>MEF!AG31</f>
        <v>Max WBGT</v>
      </c>
      <c r="CC142" s="2055"/>
      <c r="CD142" s="2055"/>
      <c r="CE142" s="2055"/>
      <c r="CF142" s="2055"/>
      <c r="CG142" s="2055"/>
      <c r="CH142" s="2056">
        <v>30</v>
      </c>
      <c r="CI142" s="2057"/>
      <c r="CJ142" s="2057"/>
      <c r="CK142" s="2053" t="str">
        <f>MEF!AP31</f>
        <v xml:space="preserve">               28015   /   +27</v>
      </c>
      <c r="CL142" s="2053"/>
      <c r="CM142" s="2053"/>
      <c r="CN142" s="2053"/>
      <c r="CO142" s="2053"/>
      <c r="CP142" s="2053"/>
      <c r="CQ142" s="2053"/>
      <c r="CR142" s="2054"/>
    </row>
    <row r="143" spans="3:96" s="1354" customFormat="1" ht="17.25" customHeight="1" thickBot="1">
      <c r="C143" s="1404"/>
      <c r="D143" s="1404"/>
      <c r="E143" s="1405"/>
      <c r="F143" s="1405"/>
      <c r="G143" s="1406"/>
      <c r="H143" s="1406"/>
      <c r="I143" s="1420"/>
      <c r="J143" s="1420"/>
      <c r="K143" s="1408"/>
      <c r="L143" s="1408"/>
      <c r="M143" s="1409"/>
      <c r="N143" s="1409"/>
      <c r="O143" s="1410"/>
      <c r="P143" s="1410"/>
      <c r="Q143" s="1411"/>
      <c r="R143" s="1411"/>
      <c r="S143" s="1411"/>
      <c r="T143" s="1412"/>
      <c r="U143" s="1412"/>
      <c r="V143" s="1412"/>
      <c r="W143" s="1412"/>
      <c r="X143" s="1357"/>
      <c r="Y143" s="1357"/>
      <c r="Z143" s="1357"/>
      <c r="AA143" s="1357"/>
      <c r="AB143" s="1357"/>
      <c r="AC143" s="1357"/>
      <c r="AD143" s="1357"/>
      <c r="AE143" s="1357"/>
      <c r="AF143" s="1357"/>
      <c r="AG143" s="1357"/>
      <c r="AH143" s="1423"/>
      <c r="AI143" s="1423"/>
      <c r="AJ143" s="1423"/>
      <c r="AK143" s="1423"/>
      <c r="AL143" s="1454"/>
      <c r="AM143" s="1423"/>
      <c r="AN143" s="1402"/>
      <c r="AO143" s="1402"/>
      <c r="AP143" s="1402"/>
      <c r="AQ143" s="1403"/>
      <c r="AT143" s="1462"/>
      <c r="AU143" s="1462"/>
      <c r="AV143" s="1463"/>
      <c r="AW143" s="2034">
        <f>MEF!B32</f>
        <v>44748.874999999993</v>
      </c>
      <c r="AX143" s="2035"/>
      <c r="AY143" s="2036">
        <f>MEF!D32</f>
        <v>44749.041666666664</v>
      </c>
      <c r="AZ143" s="2036"/>
      <c r="BA143" s="2037">
        <f>MEF!F32</f>
        <v>31.111111111111114</v>
      </c>
      <c r="BB143" s="2038">
        <f t="shared" si="0"/>
        <v>31.111111111111114</v>
      </c>
      <c r="BC143" s="2039">
        <f>MEF!H32</f>
        <v>88</v>
      </c>
      <c r="BD143" s="2040"/>
      <c r="BE143" s="2041">
        <f>MEF!J32</f>
        <v>74</v>
      </c>
      <c r="BF143" s="2042"/>
      <c r="BG143" s="2043">
        <f>MEF!L32</f>
        <v>0.63444326022348041</v>
      </c>
      <c r="BH143" s="2044">
        <f t="shared" si="1"/>
        <v>4.2280287460311535E-3</v>
      </c>
      <c r="BI143" s="1641" t="str">
        <f>MEF!N32</f>
        <v>(46)</v>
      </c>
      <c r="BJ143" s="1637" t="str">
        <f>MEF!O32</f>
        <v>°</v>
      </c>
      <c r="BK143" s="2045">
        <f>MEF!P32</f>
        <v>29.92</v>
      </c>
      <c r="BL143" s="2046"/>
      <c r="BM143" s="2047"/>
      <c r="BN143" s="2048">
        <f>MEF!S32</f>
        <v>755.92484854294287</v>
      </c>
      <c r="BO143" s="2049" t="str">
        <f t="shared" si="2"/>
        <v/>
      </c>
      <c r="BP143" s="2010">
        <f>MEF!U32</f>
        <v>2868.8659258900802</v>
      </c>
      <c r="BQ143" s="2010">
        <f t="shared" si="3"/>
        <v>-3769.4915301184369</v>
      </c>
      <c r="BR143" s="2011"/>
      <c r="BS143" s="2011"/>
      <c r="BT143" s="2011"/>
      <c r="BU143" s="2011"/>
      <c r="BV143" s="2011"/>
      <c r="BW143" s="2011"/>
      <c r="BX143" s="2011"/>
      <c r="BY143" s="2011"/>
      <c r="BZ143" s="2012"/>
      <c r="CA143" s="2013"/>
      <c r="CB143" s="2014">
        <f>MEF!AG32</f>
        <v>92.659264043406395</v>
      </c>
      <c r="CC143" s="2014"/>
      <c r="CD143" s="2014"/>
      <c r="CE143" s="2014"/>
      <c r="CF143" s="2014"/>
      <c r="CG143" s="2014"/>
      <c r="CH143" s="2015">
        <v>20</v>
      </c>
      <c r="CI143" s="2016"/>
      <c r="CJ143" s="2016"/>
      <c r="CK143" s="2002" t="str">
        <f>MEF!AP32</f>
        <v xml:space="preserve">                27015   /   +28</v>
      </c>
      <c r="CL143" s="2002"/>
      <c r="CM143" s="2002"/>
      <c r="CN143" s="2002"/>
      <c r="CO143" s="2002"/>
      <c r="CP143" s="2002"/>
      <c r="CQ143" s="2002"/>
      <c r="CR143" s="2003"/>
    </row>
    <row r="144" spans="3:96" s="1354" customFormat="1" ht="20.25" customHeight="1" thickBot="1">
      <c r="C144" s="1282"/>
      <c r="D144" s="1282"/>
      <c r="E144" s="1282"/>
      <c r="F144" s="1282"/>
      <c r="G144" s="1282"/>
      <c r="H144" s="1282"/>
      <c r="I144" s="1282"/>
      <c r="J144" s="1282"/>
      <c r="K144" s="1282"/>
      <c r="L144" s="1282"/>
      <c r="M144" s="1282"/>
      <c r="N144" s="1282"/>
      <c r="O144" s="1282"/>
      <c r="P144" s="1282"/>
      <c r="Q144" s="1282"/>
      <c r="R144" s="1282"/>
      <c r="S144" s="1282"/>
      <c r="T144" s="1282"/>
      <c r="U144" s="1282"/>
      <c r="V144" s="1282"/>
      <c r="W144" s="1282"/>
      <c r="X144" s="1282"/>
      <c r="Y144" s="1282"/>
      <c r="Z144" s="1282"/>
      <c r="AA144" s="1282"/>
      <c r="AB144" s="1282"/>
      <c r="AC144" s="1282"/>
      <c r="AD144" s="1282"/>
      <c r="AE144" s="1282"/>
      <c r="AF144" s="1282"/>
      <c r="AG144" s="1282"/>
      <c r="AH144" s="1282"/>
      <c r="AI144" s="1282"/>
      <c r="AJ144" s="1282"/>
      <c r="AK144" s="1282"/>
      <c r="AL144" s="1454"/>
      <c r="AM144" s="1424"/>
      <c r="AN144" s="1424"/>
      <c r="AO144" s="1424"/>
      <c r="AP144" s="1424"/>
      <c r="AQ144" s="1424"/>
      <c r="AT144" s="1462"/>
      <c r="AU144" s="1462"/>
      <c r="AV144" s="1463"/>
      <c r="AW144" s="1558" t="s">
        <v>55</v>
      </c>
      <c r="AX144" s="1278"/>
      <c r="AY144" s="1278"/>
      <c r="AZ144" s="1278"/>
      <c r="BA144" s="1278"/>
      <c r="BB144" s="1278"/>
      <c r="BC144" s="1278"/>
      <c r="BD144" s="1278"/>
      <c r="BE144" s="1278"/>
      <c r="BF144" s="1278"/>
      <c r="BG144" s="1278"/>
      <c r="BH144" s="1278"/>
      <c r="BI144" s="1278"/>
      <c r="BJ144" s="1278"/>
      <c r="BK144" s="1278"/>
      <c r="BL144" s="1278"/>
      <c r="BM144" s="1278"/>
      <c r="BN144" s="1278"/>
      <c r="BO144" s="1278"/>
      <c r="BP144" s="1278"/>
      <c r="BQ144" s="1278"/>
      <c r="BR144" s="1278"/>
      <c r="BS144" s="1278"/>
      <c r="BT144" s="1278"/>
      <c r="BU144" s="1278"/>
      <c r="BV144" s="1278"/>
      <c r="BW144" s="1278"/>
      <c r="BX144" s="1278"/>
      <c r="BY144" s="1278"/>
      <c r="BZ144" s="1278"/>
      <c r="CA144" s="1278"/>
      <c r="CB144" s="1278"/>
      <c r="CC144" s="2004"/>
      <c r="CD144" s="2004"/>
      <c r="CE144" s="2004"/>
      <c r="CF144" s="2004"/>
      <c r="CG144" s="2005" t="str">
        <f>IF(CM125="",CONCATENATE("( ",CM122," ) "," Go / No Go "),CONCATENATE("( ",CM122," , ",CM125," ) "," Go / No Go "))</f>
        <v xml:space="preserve">( H-60 , MEDEVAC )  Go / No Go </v>
      </c>
      <c r="CH144" s="2005"/>
      <c r="CI144" s="2005"/>
      <c r="CJ144" s="2005"/>
      <c r="CK144" s="2005"/>
      <c r="CL144" s="2005"/>
      <c r="CM144" s="2005"/>
      <c r="CN144" s="2005"/>
      <c r="CO144" s="2005"/>
      <c r="CP144" s="2005"/>
      <c r="CQ144" s="2005"/>
      <c r="CR144" s="2006"/>
    </row>
    <row r="145" spans="3:96" s="1354" customFormat="1" ht="18" customHeight="1" thickBot="1">
      <c r="C145" s="1425"/>
      <c r="D145" s="1425"/>
      <c r="E145" s="1425"/>
      <c r="F145" s="1425"/>
      <c r="G145" s="1425"/>
      <c r="H145" s="1425"/>
      <c r="I145" s="1425"/>
      <c r="J145" s="1425"/>
      <c r="K145" s="1426"/>
      <c r="L145" s="1426"/>
      <c r="M145" s="1426"/>
      <c r="N145" s="1426"/>
      <c r="O145" s="1426"/>
      <c r="P145" s="1426"/>
      <c r="Q145" s="1426"/>
      <c r="R145" s="1426"/>
      <c r="S145" s="1426"/>
      <c r="T145" s="1426"/>
      <c r="U145" s="1426"/>
      <c r="V145" s="1426"/>
      <c r="W145" s="1426"/>
      <c r="X145" s="1426"/>
      <c r="Y145" s="1426"/>
      <c r="Z145" s="1426"/>
      <c r="AA145" s="1426"/>
      <c r="AB145" s="1426"/>
      <c r="AC145" s="1426"/>
      <c r="AD145" s="1426"/>
      <c r="AE145" s="1426"/>
      <c r="AF145" s="1426"/>
      <c r="AG145" s="1426"/>
      <c r="AH145" s="1426"/>
      <c r="AI145" s="1426"/>
      <c r="AJ145" s="1358"/>
      <c r="AK145" s="1358"/>
      <c r="AL145" s="1457"/>
      <c r="AM145" s="1358"/>
      <c r="AN145" s="1358"/>
      <c r="AO145" s="1358"/>
      <c r="AP145" s="1358"/>
      <c r="AQ145" s="1358"/>
      <c r="AT145" s="1462"/>
      <c r="AU145" s="1462"/>
      <c r="AV145" s="1463"/>
      <c r="AW145" s="1985" t="str">
        <f>MEF!B34</f>
        <v/>
      </c>
      <c r="AX145" s="1986"/>
      <c r="AY145" s="1986"/>
      <c r="AZ145" s="1986"/>
      <c r="BA145" s="1986"/>
      <c r="BB145" s="1986"/>
      <c r="BC145" s="1986"/>
      <c r="BD145" s="1986"/>
      <c r="BE145" s="1986"/>
      <c r="BF145" s="1979" t="str">
        <f>MEF!K34</f>
        <v/>
      </c>
      <c r="BG145" s="1979"/>
      <c r="BH145" s="1979"/>
      <c r="BI145" s="1979"/>
      <c r="BJ145" s="1979"/>
      <c r="BK145" s="1979"/>
      <c r="BL145" s="1979"/>
      <c r="BM145" s="1979"/>
      <c r="BN145" s="1979"/>
      <c r="BO145" s="1979"/>
      <c r="BP145" s="1979"/>
      <c r="BQ145" s="2007" t="str">
        <f>MEF!V34</f>
        <v/>
      </c>
      <c r="BR145" s="2007"/>
      <c r="BS145" s="2007"/>
      <c r="BT145" s="2007"/>
      <c r="BU145" s="2007"/>
      <c r="BV145" s="2007"/>
      <c r="BW145" s="2007"/>
      <c r="BX145" s="2007"/>
      <c r="BY145" s="2007"/>
      <c r="BZ145" s="2007"/>
      <c r="CA145" s="2007"/>
      <c r="CB145" s="2007"/>
      <c r="CC145" s="2007"/>
      <c r="CD145" s="2008" t="str">
        <f>MEF!AI34</f>
        <v/>
      </c>
      <c r="CE145" s="2008"/>
      <c r="CF145" s="2008"/>
      <c r="CG145" s="2008"/>
      <c r="CH145" s="2008"/>
      <c r="CI145" s="2008"/>
      <c r="CJ145" s="2008"/>
      <c r="CK145" s="2008"/>
      <c r="CL145" s="2008"/>
      <c r="CM145" s="2008"/>
      <c r="CN145" s="2008"/>
      <c r="CO145" s="2008"/>
      <c r="CP145" s="2008"/>
      <c r="CQ145" s="164"/>
      <c r="CR145" s="165"/>
    </row>
    <row r="146" spans="3:96" s="1354" customFormat="1" ht="18" customHeight="1" thickBot="1">
      <c r="C146" s="1427"/>
      <c r="D146" s="1427"/>
      <c r="E146" s="1427"/>
      <c r="F146" s="1427"/>
      <c r="G146" s="1427"/>
      <c r="H146" s="1427"/>
      <c r="I146" s="1427"/>
      <c r="J146" s="1427"/>
      <c r="K146" s="1359"/>
      <c r="L146" s="1359"/>
      <c r="M146" s="1359"/>
      <c r="N146" s="1359"/>
      <c r="O146" s="1359"/>
      <c r="P146" s="1359"/>
      <c r="Q146" s="1359"/>
      <c r="R146" s="1359"/>
      <c r="S146" s="1359"/>
      <c r="T146" s="1359"/>
      <c r="U146" s="1359"/>
      <c r="V146" s="1359"/>
      <c r="W146" s="1359"/>
      <c r="X146" s="1359"/>
      <c r="Y146" s="1359"/>
      <c r="Z146" s="1359"/>
      <c r="AA146" s="1359"/>
      <c r="AB146" s="1359"/>
      <c r="AC146" s="1359"/>
      <c r="AD146" s="1359"/>
      <c r="AE146" s="1359"/>
      <c r="AF146" s="1359"/>
      <c r="AG146" s="1359"/>
      <c r="AH146" s="1359"/>
      <c r="AI146" s="1359"/>
      <c r="AJ146" s="1356"/>
      <c r="AK146" s="1356"/>
      <c r="AL146" s="1457"/>
      <c r="AM146" s="1356"/>
      <c r="AN146" s="1356"/>
      <c r="AO146" s="1356"/>
      <c r="AP146" s="1356"/>
      <c r="AQ146" s="1356"/>
      <c r="AT146" s="1462"/>
      <c r="AU146" s="1462"/>
      <c r="AV146" s="1463"/>
      <c r="AW146" s="1983" t="str">
        <f>MEF!B35</f>
        <v/>
      </c>
      <c r="AX146" s="1984"/>
      <c r="AY146" s="1984"/>
      <c r="AZ146" s="1984"/>
      <c r="BA146" s="1984"/>
      <c r="BB146" s="1984"/>
      <c r="BC146" s="1984"/>
      <c r="BD146" s="1984"/>
      <c r="BE146" s="1984"/>
      <c r="BF146" s="1977" t="str">
        <f>MEF!K35</f>
        <v/>
      </c>
      <c r="BG146" s="1977"/>
      <c r="BH146" s="1977"/>
      <c r="BI146" s="1977"/>
      <c r="BJ146" s="1977"/>
      <c r="BK146" s="1977"/>
      <c r="BL146" s="1977"/>
      <c r="BM146" s="1977"/>
      <c r="BN146" s="1977"/>
      <c r="BO146" s="1977"/>
      <c r="BP146" s="1977"/>
      <c r="BQ146" s="1977" t="str">
        <f>MEF!V35</f>
        <v/>
      </c>
      <c r="BR146" s="1977"/>
      <c r="BS146" s="1977"/>
      <c r="BT146" s="1977"/>
      <c r="BU146" s="1977"/>
      <c r="BV146" s="1977"/>
      <c r="BW146" s="1977"/>
      <c r="BX146" s="1977"/>
      <c r="BY146" s="1977"/>
      <c r="BZ146" s="1977"/>
      <c r="CA146" s="1977"/>
      <c r="CB146" s="1977"/>
      <c r="CC146" s="1977"/>
      <c r="CD146" s="1978" t="str">
        <f>MEF!AI35</f>
        <v/>
      </c>
      <c r="CE146" s="1978"/>
      <c r="CF146" s="1978"/>
      <c r="CG146" s="1978"/>
      <c r="CH146" s="1978"/>
      <c r="CI146" s="1978"/>
      <c r="CJ146" s="1978"/>
      <c r="CK146" s="1978"/>
      <c r="CL146" s="1978"/>
      <c r="CM146" s="1978"/>
      <c r="CN146" s="1978"/>
      <c r="CO146" s="1978"/>
      <c r="CP146" s="1978"/>
      <c r="CQ146" s="166"/>
      <c r="CR146" s="167"/>
    </row>
    <row r="147" spans="3:96" s="1354" customFormat="1" ht="18" customHeight="1" thickBot="1">
      <c r="C147" s="1425"/>
      <c r="D147" s="1425"/>
      <c r="E147" s="1425"/>
      <c r="F147" s="1425"/>
      <c r="G147" s="1425"/>
      <c r="H147" s="1425"/>
      <c r="I147" s="1425"/>
      <c r="J147" s="1425"/>
      <c r="K147" s="1426"/>
      <c r="L147" s="1426"/>
      <c r="M147" s="1426"/>
      <c r="N147" s="1426"/>
      <c r="O147" s="1426"/>
      <c r="P147" s="1426"/>
      <c r="Q147" s="1426"/>
      <c r="R147" s="1426"/>
      <c r="S147" s="1426"/>
      <c r="T147" s="1426"/>
      <c r="U147" s="1426"/>
      <c r="V147" s="1426"/>
      <c r="W147" s="1426"/>
      <c r="X147" s="1426"/>
      <c r="Y147" s="1426"/>
      <c r="Z147" s="1426"/>
      <c r="AA147" s="1426"/>
      <c r="AB147" s="1426"/>
      <c r="AC147" s="1426"/>
      <c r="AD147" s="1426"/>
      <c r="AE147" s="1426"/>
      <c r="AF147" s="1426"/>
      <c r="AG147" s="1426"/>
      <c r="AH147" s="1426"/>
      <c r="AI147" s="1426"/>
      <c r="AJ147" s="1358"/>
      <c r="AK147" s="1358"/>
      <c r="AL147" s="1457"/>
      <c r="AM147" s="1358"/>
      <c r="AN147" s="1358"/>
      <c r="AO147" s="1358"/>
      <c r="AP147" s="1358"/>
      <c r="AQ147" s="1358"/>
      <c r="AT147" s="1462"/>
      <c r="AU147" s="1462"/>
      <c r="AV147" s="1463"/>
      <c r="AW147" s="1985" t="str">
        <f>MEF!B36</f>
        <v/>
      </c>
      <c r="AX147" s="1986"/>
      <c r="AY147" s="1986"/>
      <c r="AZ147" s="1986"/>
      <c r="BA147" s="1986"/>
      <c r="BB147" s="1986"/>
      <c r="BC147" s="1986"/>
      <c r="BD147" s="1986"/>
      <c r="BE147" s="1986"/>
      <c r="BF147" s="1979" t="str">
        <f>MEF!K36</f>
        <v/>
      </c>
      <c r="BG147" s="1979"/>
      <c r="BH147" s="1979"/>
      <c r="BI147" s="1979"/>
      <c r="BJ147" s="1979"/>
      <c r="BK147" s="1979"/>
      <c r="BL147" s="1979"/>
      <c r="BM147" s="1979"/>
      <c r="BN147" s="1979"/>
      <c r="BO147" s="1979"/>
      <c r="BP147" s="1979"/>
      <c r="BQ147" s="1979" t="str">
        <f>MEF!V36</f>
        <v/>
      </c>
      <c r="BR147" s="1979"/>
      <c r="BS147" s="1979"/>
      <c r="BT147" s="1979"/>
      <c r="BU147" s="1979"/>
      <c r="BV147" s="1979"/>
      <c r="BW147" s="1979"/>
      <c r="BX147" s="1979"/>
      <c r="BY147" s="1979"/>
      <c r="BZ147" s="1979"/>
      <c r="CA147" s="1979"/>
      <c r="CB147" s="1979"/>
      <c r="CC147" s="1979"/>
      <c r="CD147" s="1980" t="str">
        <f>MEF!AI36</f>
        <v/>
      </c>
      <c r="CE147" s="1980"/>
      <c r="CF147" s="1980"/>
      <c r="CG147" s="1980"/>
      <c r="CH147" s="1980"/>
      <c r="CI147" s="1980"/>
      <c r="CJ147" s="1980"/>
      <c r="CK147" s="1980"/>
      <c r="CL147" s="1980"/>
      <c r="CM147" s="1980"/>
      <c r="CN147" s="1980"/>
      <c r="CO147" s="1980"/>
      <c r="CP147" s="1980"/>
      <c r="CQ147" s="168"/>
      <c r="CR147" s="169"/>
    </row>
    <row r="148" spans="3:96" s="1354" customFormat="1" ht="18" customHeight="1" thickBot="1">
      <c r="C148" s="1427"/>
      <c r="D148" s="1427"/>
      <c r="E148" s="1427"/>
      <c r="F148" s="1427"/>
      <c r="G148" s="1427"/>
      <c r="H148" s="1427"/>
      <c r="I148" s="1427"/>
      <c r="J148" s="1427"/>
      <c r="K148" s="1359"/>
      <c r="L148" s="1359"/>
      <c r="M148" s="1359"/>
      <c r="N148" s="1359"/>
      <c r="O148" s="1359"/>
      <c r="P148" s="1359"/>
      <c r="Q148" s="1359"/>
      <c r="R148" s="1359"/>
      <c r="S148" s="1359"/>
      <c r="T148" s="1359"/>
      <c r="U148" s="1359"/>
      <c r="V148" s="1359"/>
      <c r="W148" s="1359"/>
      <c r="X148" s="1359"/>
      <c r="Y148" s="1359"/>
      <c r="Z148" s="1359"/>
      <c r="AA148" s="1359"/>
      <c r="AB148" s="1359"/>
      <c r="AC148" s="1359"/>
      <c r="AD148" s="1359"/>
      <c r="AE148" s="1359"/>
      <c r="AF148" s="1359"/>
      <c r="AG148" s="1359"/>
      <c r="AH148" s="1359"/>
      <c r="AI148" s="1359"/>
      <c r="AJ148" s="1356"/>
      <c r="AK148" s="1356"/>
      <c r="AL148" s="1457"/>
      <c r="AM148" s="1356"/>
      <c r="AN148" s="1356"/>
      <c r="AO148" s="1356"/>
      <c r="AP148" s="1356"/>
      <c r="AQ148" s="1356"/>
      <c r="AT148" s="1462"/>
      <c r="AU148" s="1462"/>
      <c r="AV148" s="1463"/>
      <c r="AW148" s="1983" t="str">
        <f>MEF!B37</f>
        <v>FT KNOX LFA, ALL AREAS</v>
      </c>
      <c r="AX148" s="1984"/>
      <c r="AY148" s="1984"/>
      <c r="AZ148" s="1984"/>
      <c r="BA148" s="1984"/>
      <c r="BB148" s="1984"/>
      <c r="BC148" s="1984"/>
      <c r="BD148" s="1984"/>
      <c r="BE148" s="1984"/>
      <c r="BF148" s="1977" t="str">
        <f>MEF!K37</f>
        <v>Winds: 24010KT  TEMPO: 29012G20KT</v>
      </c>
      <c r="BG148" s="1977"/>
      <c r="BH148" s="1977"/>
      <c r="BI148" s="1977"/>
      <c r="BJ148" s="1977"/>
      <c r="BK148" s="1977"/>
      <c r="BL148" s="1977"/>
      <c r="BM148" s="1977"/>
      <c r="BN148" s="1977"/>
      <c r="BO148" s="1977"/>
      <c r="BP148" s="1977"/>
      <c r="BQ148" s="1977" t="str">
        <f>MEF!V37</f>
        <v>Vis/WX: 7SM    TEMPO: 3SM TSRA</v>
      </c>
      <c r="BR148" s="1977"/>
      <c r="BS148" s="1977"/>
      <c r="BT148" s="1977"/>
      <c r="BU148" s="1977"/>
      <c r="BV148" s="1977"/>
      <c r="BW148" s="1977"/>
      <c r="BX148" s="1977"/>
      <c r="BY148" s="1977"/>
      <c r="BZ148" s="1977"/>
      <c r="CA148" s="1977"/>
      <c r="CB148" s="1977"/>
      <c r="CC148" s="1977"/>
      <c r="CD148" s="1978" t="str">
        <f>MEF!AI37</f>
        <v>Hazards:  TEMPO: ISOLD TS 350</v>
      </c>
      <c r="CE148" s="1978"/>
      <c r="CF148" s="1978"/>
      <c r="CG148" s="1978"/>
      <c r="CH148" s="1978"/>
      <c r="CI148" s="1978"/>
      <c r="CJ148" s="1978"/>
      <c r="CK148" s="1978"/>
      <c r="CL148" s="1978"/>
      <c r="CM148" s="1978"/>
      <c r="CN148" s="1978"/>
      <c r="CO148" s="1978"/>
      <c r="CP148" s="1978"/>
      <c r="CQ148" s="166"/>
      <c r="CR148" s="1262"/>
    </row>
    <row r="149" spans="3:96" s="1354" customFormat="1" ht="18" customHeight="1" thickBot="1">
      <c r="C149" s="1425"/>
      <c r="D149" s="1425"/>
      <c r="E149" s="1425"/>
      <c r="F149" s="1425"/>
      <c r="G149" s="1425"/>
      <c r="H149" s="1425"/>
      <c r="I149" s="1425"/>
      <c r="J149" s="1425"/>
      <c r="K149" s="1426"/>
      <c r="L149" s="1426"/>
      <c r="M149" s="1426"/>
      <c r="N149" s="1426"/>
      <c r="O149" s="1426"/>
      <c r="P149" s="1426"/>
      <c r="Q149" s="1426"/>
      <c r="R149" s="1426"/>
      <c r="S149" s="1426"/>
      <c r="T149" s="1426"/>
      <c r="U149" s="1426"/>
      <c r="V149" s="1426"/>
      <c r="W149" s="1426"/>
      <c r="X149" s="1426"/>
      <c r="Y149" s="1426"/>
      <c r="Z149" s="1426"/>
      <c r="AA149" s="1426"/>
      <c r="AB149" s="1426"/>
      <c r="AC149" s="1426"/>
      <c r="AD149" s="1426"/>
      <c r="AE149" s="1426"/>
      <c r="AF149" s="1426"/>
      <c r="AG149" s="1426"/>
      <c r="AH149" s="1426"/>
      <c r="AI149" s="1426"/>
      <c r="AJ149" s="1358"/>
      <c r="AK149" s="1358"/>
      <c r="AL149" s="1457"/>
      <c r="AM149" s="1358"/>
      <c r="AN149" s="1358"/>
      <c r="AO149" s="1358"/>
      <c r="AP149" s="1358"/>
      <c r="AQ149" s="1358"/>
      <c r="AT149" s="1462"/>
      <c r="AU149" s="1462"/>
      <c r="AV149" s="1463"/>
      <c r="AW149" s="1985" t="str">
        <f>MEF!B38</f>
        <v>Valid:  09 - 21L (TEMPO 16 - 21L)</v>
      </c>
      <c r="AX149" s="1986"/>
      <c r="AY149" s="1986"/>
      <c r="AZ149" s="1986"/>
      <c r="BA149" s="1986"/>
      <c r="BB149" s="1986"/>
      <c r="BC149" s="1986"/>
      <c r="BD149" s="1986"/>
      <c r="BE149" s="1986"/>
      <c r="BF149" s="1979" t="str">
        <f>MEF!K38</f>
        <v>Sky:  SCT 040/050   BKN LYRD 250/280</v>
      </c>
      <c r="BG149" s="1979"/>
      <c r="BH149" s="1979"/>
      <c r="BI149" s="1979"/>
      <c r="BJ149" s="1979"/>
      <c r="BK149" s="1979"/>
      <c r="BL149" s="1979"/>
      <c r="BM149" s="1979"/>
      <c r="BN149" s="1979"/>
      <c r="BO149" s="1979"/>
      <c r="BP149" s="1979"/>
      <c r="BQ149" s="1979" t="str">
        <f>MEF!V38</f>
        <v xml:space="preserve">TEMPO:  BKN 040/000   </v>
      </c>
      <c r="BR149" s="1979"/>
      <c r="BS149" s="1979"/>
      <c r="BT149" s="1979"/>
      <c r="BU149" s="1979"/>
      <c r="BV149" s="1979"/>
      <c r="BW149" s="1979"/>
      <c r="BX149" s="1979"/>
      <c r="BY149" s="1979"/>
      <c r="BZ149" s="1979"/>
      <c r="CA149" s="1979"/>
      <c r="CB149" s="1979"/>
      <c r="CC149" s="1979"/>
      <c r="CD149" s="1980" t="str">
        <f>MEF!AI38</f>
        <v xml:space="preserve"> </v>
      </c>
      <c r="CE149" s="1980"/>
      <c r="CF149" s="1980"/>
      <c r="CG149" s="1980"/>
      <c r="CH149" s="1980"/>
      <c r="CI149" s="1980"/>
      <c r="CJ149" s="1980"/>
      <c r="CK149" s="1980"/>
      <c r="CL149" s="1980"/>
      <c r="CM149" s="1980"/>
      <c r="CN149" s="1980"/>
      <c r="CO149" s="1980"/>
      <c r="CP149" s="1980"/>
      <c r="CQ149" s="170"/>
      <c r="CR149" s="171"/>
    </row>
    <row r="150" spans="3:96" s="1354" customFormat="1" ht="18" customHeight="1" thickBot="1">
      <c r="C150" s="1427"/>
      <c r="D150" s="1427"/>
      <c r="E150" s="1427"/>
      <c r="F150" s="1427"/>
      <c r="G150" s="1427"/>
      <c r="H150" s="1427"/>
      <c r="I150" s="1427"/>
      <c r="J150" s="1427"/>
      <c r="K150" s="1359"/>
      <c r="L150" s="1359"/>
      <c r="M150" s="1359"/>
      <c r="N150" s="1359"/>
      <c r="O150" s="1359"/>
      <c r="P150" s="1359"/>
      <c r="Q150" s="1359"/>
      <c r="R150" s="1359"/>
      <c r="S150" s="1359"/>
      <c r="T150" s="1359"/>
      <c r="U150" s="1359"/>
      <c r="V150" s="1359"/>
      <c r="W150" s="1359"/>
      <c r="X150" s="1359"/>
      <c r="Y150" s="1359"/>
      <c r="Z150" s="1359"/>
      <c r="AA150" s="1359"/>
      <c r="AB150" s="1359"/>
      <c r="AC150" s="1359"/>
      <c r="AD150" s="1359"/>
      <c r="AE150" s="1359"/>
      <c r="AF150" s="1359"/>
      <c r="AG150" s="1359"/>
      <c r="AH150" s="1359"/>
      <c r="AI150" s="1359"/>
      <c r="AJ150" s="1356"/>
      <c r="AK150" s="1356"/>
      <c r="AL150" s="1457"/>
      <c r="AM150" s="1356"/>
      <c r="AN150" s="1356"/>
      <c r="AO150" s="1356"/>
      <c r="AP150" s="1356"/>
      <c r="AQ150" s="1356"/>
      <c r="AT150" s="1462"/>
      <c r="AU150" s="1462"/>
      <c r="AV150" s="1463"/>
      <c r="AW150" s="1983" t="str">
        <f>MEF!B39</f>
        <v/>
      </c>
      <c r="AX150" s="1984"/>
      <c r="AY150" s="1984"/>
      <c r="AZ150" s="1984"/>
      <c r="BA150" s="1984"/>
      <c r="BB150" s="1984"/>
      <c r="BC150" s="1984"/>
      <c r="BD150" s="1984"/>
      <c r="BE150" s="1984"/>
      <c r="BF150" s="1977" t="str">
        <f>MEF!K39</f>
        <v/>
      </c>
      <c r="BG150" s="1977"/>
      <c r="BH150" s="1977"/>
      <c r="BI150" s="1977"/>
      <c r="BJ150" s="1977"/>
      <c r="BK150" s="1977"/>
      <c r="BL150" s="1977"/>
      <c r="BM150" s="1977"/>
      <c r="BN150" s="1977"/>
      <c r="BO150" s="1977"/>
      <c r="BP150" s="1977"/>
      <c r="BQ150" s="1977" t="str">
        <f>MEF!V39</f>
        <v/>
      </c>
      <c r="BR150" s="1977"/>
      <c r="BS150" s="1977"/>
      <c r="BT150" s="1977"/>
      <c r="BU150" s="1977"/>
      <c r="BV150" s="1977"/>
      <c r="BW150" s="1977"/>
      <c r="BX150" s="1977"/>
      <c r="BY150" s="1977"/>
      <c r="BZ150" s="1977"/>
      <c r="CA150" s="1977"/>
      <c r="CB150" s="1977"/>
      <c r="CC150" s="1977"/>
      <c r="CD150" s="1978" t="str">
        <f>MEF!AI39</f>
        <v/>
      </c>
      <c r="CE150" s="1978"/>
      <c r="CF150" s="1978"/>
      <c r="CG150" s="1978"/>
      <c r="CH150" s="1978"/>
      <c r="CI150" s="1978"/>
      <c r="CJ150" s="1978"/>
      <c r="CK150" s="1978"/>
      <c r="CL150" s="1978"/>
      <c r="CM150" s="1978"/>
      <c r="CN150" s="1978"/>
      <c r="CO150" s="1978"/>
      <c r="CP150" s="1978"/>
      <c r="CQ150" s="172"/>
      <c r="CR150" s="173"/>
    </row>
    <row r="151" spans="3:96" s="1354" customFormat="1" ht="18" customHeight="1" thickBot="1">
      <c r="C151" s="1425"/>
      <c r="D151" s="1425"/>
      <c r="E151" s="1425"/>
      <c r="F151" s="1425"/>
      <c r="G151" s="1425"/>
      <c r="H151" s="1425"/>
      <c r="I151" s="1425"/>
      <c r="J151" s="1425"/>
      <c r="K151" s="1426"/>
      <c r="L151" s="1426"/>
      <c r="M151" s="1426"/>
      <c r="N151" s="1426"/>
      <c r="O151" s="1426"/>
      <c r="P151" s="1426"/>
      <c r="Q151" s="1426"/>
      <c r="R151" s="1426"/>
      <c r="S151" s="1426"/>
      <c r="T151" s="1426"/>
      <c r="U151" s="1426"/>
      <c r="V151" s="1426"/>
      <c r="W151" s="1426"/>
      <c r="X151" s="1426"/>
      <c r="Y151" s="1426"/>
      <c r="Z151" s="1426"/>
      <c r="AA151" s="1426"/>
      <c r="AB151" s="1426"/>
      <c r="AC151" s="1426"/>
      <c r="AD151" s="1426"/>
      <c r="AE151" s="1426"/>
      <c r="AF151" s="1426"/>
      <c r="AG151" s="1426"/>
      <c r="AH151" s="1426"/>
      <c r="AI151" s="1426"/>
      <c r="AJ151" s="1358"/>
      <c r="AK151" s="1358"/>
      <c r="AL151" s="1457"/>
      <c r="AM151" s="1358"/>
      <c r="AN151" s="1358"/>
      <c r="AO151" s="1358"/>
      <c r="AP151" s="1358"/>
      <c r="AQ151" s="1358"/>
      <c r="AT151" s="1462"/>
      <c r="AU151" s="1462"/>
      <c r="AV151" s="1463"/>
      <c r="AW151" s="1985" t="str">
        <f>MEF!B40</f>
        <v/>
      </c>
      <c r="AX151" s="1986"/>
      <c r="AY151" s="1986"/>
      <c r="AZ151" s="1986"/>
      <c r="BA151" s="1986"/>
      <c r="BB151" s="1986"/>
      <c r="BC151" s="1986"/>
      <c r="BD151" s="1986"/>
      <c r="BE151" s="1986"/>
      <c r="BF151" s="1979" t="str">
        <f>MEF!K40</f>
        <v/>
      </c>
      <c r="BG151" s="1979"/>
      <c r="BH151" s="1979"/>
      <c r="BI151" s="1979"/>
      <c r="BJ151" s="1979"/>
      <c r="BK151" s="1979"/>
      <c r="BL151" s="1979"/>
      <c r="BM151" s="1979"/>
      <c r="BN151" s="1979"/>
      <c r="BO151" s="1979"/>
      <c r="BP151" s="1979"/>
      <c r="BQ151" s="1979" t="str">
        <f>MEF!V40</f>
        <v/>
      </c>
      <c r="BR151" s="1979"/>
      <c r="BS151" s="1979"/>
      <c r="BT151" s="1979"/>
      <c r="BU151" s="1979"/>
      <c r="BV151" s="1979"/>
      <c r="BW151" s="1979"/>
      <c r="BX151" s="1979"/>
      <c r="BY151" s="1979"/>
      <c r="BZ151" s="1979"/>
      <c r="CA151" s="1979"/>
      <c r="CB151" s="1979"/>
      <c r="CC151" s="1979"/>
      <c r="CD151" s="1980" t="str">
        <f>MEF!AI40</f>
        <v/>
      </c>
      <c r="CE151" s="1980"/>
      <c r="CF151" s="1980"/>
      <c r="CG151" s="1980"/>
      <c r="CH151" s="1980"/>
      <c r="CI151" s="1980"/>
      <c r="CJ151" s="1980"/>
      <c r="CK151" s="1980"/>
      <c r="CL151" s="1980"/>
      <c r="CM151" s="1980"/>
      <c r="CN151" s="1980"/>
      <c r="CO151" s="1980"/>
      <c r="CP151" s="1980"/>
      <c r="CQ151" s="170"/>
      <c r="CR151" s="171"/>
    </row>
    <row r="152" spans="3:96" s="1354" customFormat="1" ht="18" customHeight="1" thickBot="1">
      <c r="C152" s="1427"/>
      <c r="D152" s="1427"/>
      <c r="E152" s="1427"/>
      <c r="F152" s="1427"/>
      <c r="G152" s="1427"/>
      <c r="H152" s="1427"/>
      <c r="I152" s="1427"/>
      <c r="J152" s="1427"/>
      <c r="K152" s="1359"/>
      <c r="L152" s="1359"/>
      <c r="M152" s="1359"/>
      <c r="N152" s="1359"/>
      <c r="O152" s="1359"/>
      <c r="P152" s="1359"/>
      <c r="Q152" s="1359"/>
      <c r="R152" s="1359"/>
      <c r="S152" s="1359"/>
      <c r="T152" s="1359"/>
      <c r="U152" s="1359"/>
      <c r="V152" s="1359"/>
      <c r="W152" s="1359"/>
      <c r="X152" s="1359"/>
      <c r="Y152" s="1359"/>
      <c r="Z152" s="1359"/>
      <c r="AA152" s="1359"/>
      <c r="AB152" s="1359"/>
      <c r="AC152" s="1359"/>
      <c r="AD152" s="1359"/>
      <c r="AE152" s="1359"/>
      <c r="AF152" s="1359"/>
      <c r="AG152" s="1359"/>
      <c r="AH152" s="1359"/>
      <c r="AI152" s="1359"/>
      <c r="AJ152" s="1356"/>
      <c r="AK152" s="1356"/>
      <c r="AL152" s="1457"/>
      <c r="AM152" s="1356"/>
      <c r="AN152" s="1356"/>
      <c r="AO152" s="1356"/>
      <c r="AP152" s="1356"/>
      <c r="AQ152" s="1356"/>
      <c r="AT152" s="1462"/>
      <c r="AU152" s="1462"/>
      <c r="AV152" s="1463"/>
      <c r="AW152" s="1983" t="str">
        <f>MEF!B41</f>
        <v/>
      </c>
      <c r="AX152" s="1984"/>
      <c r="AY152" s="1984"/>
      <c r="AZ152" s="1984"/>
      <c r="BA152" s="1984"/>
      <c r="BB152" s="1984"/>
      <c r="BC152" s="1984"/>
      <c r="BD152" s="1984"/>
      <c r="BE152" s="1984"/>
      <c r="BF152" s="1977" t="str">
        <f>MEF!K41</f>
        <v/>
      </c>
      <c r="BG152" s="1977"/>
      <c r="BH152" s="1977"/>
      <c r="BI152" s="1977"/>
      <c r="BJ152" s="1977"/>
      <c r="BK152" s="1977"/>
      <c r="BL152" s="1977"/>
      <c r="BM152" s="1977"/>
      <c r="BN152" s="1977"/>
      <c r="BO152" s="1977"/>
      <c r="BP152" s="1977"/>
      <c r="BQ152" s="1981" t="str">
        <f>MEF!V41</f>
        <v/>
      </c>
      <c r="BR152" s="1981"/>
      <c r="BS152" s="1981"/>
      <c r="BT152" s="1981"/>
      <c r="BU152" s="1981"/>
      <c r="BV152" s="1981"/>
      <c r="BW152" s="1981"/>
      <c r="BX152" s="1981"/>
      <c r="BY152" s="1981"/>
      <c r="BZ152" s="1981"/>
      <c r="CA152" s="1981"/>
      <c r="CB152" s="1981"/>
      <c r="CC152" s="1981"/>
      <c r="CD152" s="1982" t="str">
        <f>MEF!AI41</f>
        <v/>
      </c>
      <c r="CE152" s="1982"/>
      <c r="CF152" s="1982"/>
      <c r="CG152" s="1982"/>
      <c r="CH152" s="1982"/>
      <c r="CI152" s="1982"/>
      <c r="CJ152" s="1982"/>
      <c r="CK152" s="1982"/>
      <c r="CL152" s="1982"/>
      <c r="CM152" s="1982"/>
      <c r="CN152" s="1982"/>
      <c r="CO152" s="1982"/>
      <c r="CP152" s="1982"/>
      <c r="CQ152" s="174"/>
      <c r="CR152" s="175"/>
    </row>
    <row r="153" spans="3:96" s="1354" customFormat="1" ht="20.25" customHeight="1">
      <c r="C153" s="1394"/>
      <c r="D153" s="1394"/>
      <c r="E153" s="1394"/>
      <c r="F153" s="1394"/>
      <c r="G153" s="1394"/>
      <c r="H153" s="1394"/>
      <c r="I153" s="1394"/>
      <c r="J153" s="1394"/>
      <c r="K153" s="1394"/>
      <c r="L153" s="1394"/>
      <c r="M153" s="1394"/>
      <c r="N153" s="1394"/>
      <c r="O153" s="1394"/>
      <c r="P153" s="1394"/>
      <c r="Q153" s="1394"/>
      <c r="R153" s="1394"/>
      <c r="S153" s="1394"/>
      <c r="T153" s="1394"/>
      <c r="U153" s="1394"/>
      <c r="V153" s="1394"/>
      <c r="W153" s="1394"/>
      <c r="X153" s="1394"/>
      <c r="Y153" s="1394"/>
      <c r="Z153" s="1394"/>
      <c r="AA153" s="1394"/>
      <c r="AB153" s="1394"/>
      <c r="AC153" s="1394"/>
      <c r="AD153" s="1394"/>
      <c r="AE153" s="1394"/>
      <c r="AF153" s="1394"/>
      <c r="AG153" s="1394"/>
      <c r="AH153" s="1394"/>
      <c r="AI153" s="1394"/>
      <c r="AJ153" s="1394"/>
      <c r="AK153" s="1394"/>
      <c r="AL153" s="1454"/>
      <c r="AM153" s="1394"/>
      <c r="AN153" s="1394"/>
      <c r="AO153" s="1394"/>
      <c r="AP153" s="1394"/>
      <c r="AQ153" s="1394"/>
      <c r="AT153" s="1462"/>
      <c r="AU153" s="1462"/>
      <c r="AV153" s="1463"/>
      <c r="AW153" s="1987" t="s">
        <v>56</v>
      </c>
      <c r="AX153" s="1988"/>
      <c r="AY153" s="1988"/>
      <c r="AZ153" s="1988"/>
      <c r="BA153" s="1988"/>
      <c r="BB153" s="1988"/>
      <c r="BC153" s="1988"/>
      <c r="BD153" s="1988"/>
      <c r="BE153" s="1988"/>
      <c r="BF153" s="1988"/>
      <c r="BG153" s="1988"/>
      <c r="BH153" s="1988"/>
      <c r="BI153" s="1988"/>
      <c r="BJ153" s="1988"/>
      <c r="BK153" s="1988"/>
      <c r="BL153" s="1988"/>
      <c r="BM153" s="1988"/>
      <c r="BN153" s="1988"/>
      <c r="BO153" s="1988"/>
      <c r="BP153" s="1988"/>
      <c r="BQ153" s="1988"/>
      <c r="BR153" s="1988"/>
      <c r="BS153" s="1988"/>
      <c r="BT153" s="1988"/>
      <c r="BU153" s="1988"/>
      <c r="BV153" s="1988"/>
      <c r="BW153" s="1988"/>
      <c r="BX153" s="1988"/>
      <c r="BY153" s="1988"/>
      <c r="BZ153" s="1988"/>
      <c r="CA153" s="1988"/>
      <c r="CB153" s="1988"/>
      <c r="CC153" s="1988"/>
      <c r="CD153" s="1988"/>
      <c r="CE153" s="1988"/>
      <c r="CF153" s="1988"/>
      <c r="CG153" s="1988"/>
      <c r="CH153" s="1988"/>
      <c r="CI153" s="1988"/>
      <c r="CJ153" s="1988"/>
      <c r="CK153" s="1988"/>
      <c r="CL153" s="1988"/>
      <c r="CM153" s="1988"/>
      <c r="CN153" s="1988"/>
      <c r="CO153" s="1988"/>
      <c r="CP153" s="1988"/>
      <c r="CQ153" s="1988"/>
      <c r="CR153" s="1989"/>
    </row>
    <row r="154" spans="3:96" s="1354" customFormat="1" ht="18" customHeight="1">
      <c r="C154" s="1428"/>
      <c r="D154" s="1428"/>
      <c r="E154" s="1428"/>
      <c r="F154" s="1428"/>
      <c r="G154" s="1428"/>
      <c r="H154" s="1428"/>
      <c r="I154" s="1428"/>
      <c r="J154" s="1428"/>
      <c r="K154" s="1428"/>
      <c r="L154" s="1428"/>
      <c r="M154" s="1428"/>
      <c r="N154" s="1428"/>
      <c r="O154" s="1428"/>
      <c r="P154" s="1428"/>
      <c r="Q154" s="1428"/>
      <c r="R154" s="1428"/>
      <c r="S154" s="1428"/>
      <c r="T154" s="1428"/>
      <c r="U154" s="1428"/>
      <c r="V154" s="1428"/>
      <c r="W154" s="1428"/>
      <c r="X154" s="1428"/>
      <c r="Y154" s="1428"/>
      <c r="Z154" s="1428"/>
      <c r="AA154" s="1428"/>
      <c r="AB154" s="1428"/>
      <c r="AC154" s="1428"/>
      <c r="AD154" s="1428"/>
      <c r="AE154" s="1428"/>
      <c r="AF154" s="1428"/>
      <c r="AG154" s="1428"/>
      <c r="AH154" s="1428"/>
      <c r="AI154" s="1428"/>
      <c r="AJ154" s="1428"/>
      <c r="AK154" s="1428"/>
      <c r="AL154" s="1460"/>
      <c r="AM154" s="1428"/>
      <c r="AN154" s="1428"/>
      <c r="AO154" s="1428"/>
      <c r="AP154" s="1428"/>
      <c r="AQ154" s="1428"/>
      <c r="AT154" s="1462"/>
      <c r="AU154" s="1462"/>
      <c r="AV154" s="1463"/>
      <c r="AW154" s="1990">
        <f>AW114+1</f>
        <v>44749</v>
      </c>
      <c r="AX154" s="1991"/>
      <c r="AY154" s="1991"/>
      <c r="AZ154" s="1991"/>
      <c r="BA154" s="1991"/>
      <c r="BB154" s="1991"/>
      <c r="BC154" s="1991"/>
      <c r="BD154" s="1991"/>
      <c r="BE154" s="1991"/>
      <c r="BF154" s="1991"/>
      <c r="BG154" s="1991"/>
      <c r="BH154" s="1992"/>
      <c r="BI154" s="1990">
        <f>AW154+1</f>
        <v>44750</v>
      </c>
      <c r="BJ154" s="1991"/>
      <c r="BK154" s="1991"/>
      <c r="BL154" s="1991"/>
      <c r="BM154" s="1991"/>
      <c r="BN154" s="1991"/>
      <c r="BO154" s="1991"/>
      <c r="BP154" s="1991"/>
      <c r="BQ154" s="1991"/>
      <c r="BR154" s="1991"/>
      <c r="BS154" s="1991"/>
      <c r="BT154" s="1992"/>
      <c r="BU154" s="1990">
        <f>BI154+1</f>
        <v>44751</v>
      </c>
      <c r="BV154" s="1991"/>
      <c r="BW154" s="1991"/>
      <c r="BX154" s="1991"/>
      <c r="BY154" s="1991"/>
      <c r="BZ154" s="1991"/>
      <c r="CA154" s="1991"/>
      <c r="CB154" s="1991"/>
      <c r="CC154" s="1991"/>
      <c r="CD154" s="1991"/>
      <c r="CE154" s="1991"/>
      <c r="CF154" s="1992"/>
      <c r="CG154" s="1993">
        <f>BU154+1</f>
        <v>44752</v>
      </c>
      <c r="CH154" s="1991"/>
      <c r="CI154" s="1991"/>
      <c r="CJ154" s="1991"/>
      <c r="CK154" s="1991"/>
      <c r="CL154" s="1991"/>
      <c r="CM154" s="1991"/>
      <c r="CN154" s="1991"/>
      <c r="CO154" s="1991"/>
      <c r="CP154" s="1991"/>
      <c r="CQ154" s="1991"/>
      <c r="CR154" s="1994"/>
    </row>
    <row r="155" spans="3:96" s="1354" customFormat="1" ht="14.25" customHeight="1">
      <c r="C155" s="1429"/>
      <c r="D155" s="1429"/>
      <c r="E155" s="1429"/>
      <c r="F155" s="1429"/>
      <c r="G155" s="1429"/>
      <c r="H155" s="1429"/>
      <c r="I155" s="1429"/>
      <c r="J155" s="1429"/>
      <c r="K155" s="1429"/>
      <c r="L155" s="1429"/>
      <c r="M155" s="1429"/>
      <c r="N155" s="1429"/>
      <c r="O155" s="1429"/>
      <c r="P155" s="1429"/>
      <c r="Q155" s="1429"/>
      <c r="R155" s="1429"/>
      <c r="S155" s="1429"/>
      <c r="T155" s="1429"/>
      <c r="U155" s="1429"/>
      <c r="V155" s="1429"/>
      <c r="W155" s="1429"/>
      <c r="X155" s="1429"/>
      <c r="Y155" s="1429"/>
      <c r="Z155" s="1429"/>
      <c r="AA155" s="1429"/>
      <c r="AB155" s="1429"/>
      <c r="AC155" s="1429"/>
      <c r="AD155" s="1429"/>
      <c r="AE155" s="1429"/>
      <c r="AF155" s="1429"/>
      <c r="AG155" s="1429"/>
      <c r="AH155" s="1429"/>
      <c r="AI155" s="1429"/>
      <c r="AJ155" s="1429"/>
      <c r="AK155" s="1429"/>
      <c r="AL155" s="1460"/>
      <c r="AM155" s="1429"/>
      <c r="AN155" s="1429"/>
      <c r="AO155" s="1429"/>
      <c r="AP155" s="1429"/>
      <c r="AQ155" s="1429"/>
      <c r="AT155" s="1462"/>
      <c r="AU155" s="1462"/>
      <c r="AV155" s="1463"/>
      <c r="AW155" s="1995" t="s">
        <v>57</v>
      </c>
      <c r="AX155" s="1996"/>
      <c r="AY155" s="1996"/>
      <c r="AZ155" s="1996"/>
      <c r="BA155" s="1996"/>
      <c r="BB155" s="1997"/>
      <c r="BC155" s="1998" t="s">
        <v>58</v>
      </c>
      <c r="BD155" s="1996"/>
      <c r="BE155" s="1996"/>
      <c r="BF155" s="1996"/>
      <c r="BG155" s="1996"/>
      <c r="BH155" s="1999"/>
      <c r="BI155" s="2000" t="s">
        <v>57</v>
      </c>
      <c r="BJ155" s="1996"/>
      <c r="BK155" s="1996"/>
      <c r="BL155" s="1996"/>
      <c r="BM155" s="1996"/>
      <c r="BN155" s="1997"/>
      <c r="BO155" s="1998" t="s">
        <v>58</v>
      </c>
      <c r="BP155" s="1996"/>
      <c r="BQ155" s="1996"/>
      <c r="BR155" s="1996"/>
      <c r="BS155" s="1996"/>
      <c r="BT155" s="1999"/>
      <c r="BU155" s="2000" t="s">
        <v>57</v>
      </c>
      <c r="BV155" s="1996"/>
      <c r="BW155" s="1996"/>
      <c r="BX155" s="1996"/>
      <c r="BY155" s="1996"/>
      <c r="BZ155" s="1997"/>
      <c r="CA155" s="1998" t="s">
        <v>58</v>
      </c>
      <c r="CB155" s="1996"/>
      <c r="CC155" s="1996"/>
      <c r="CD155" s="1996"/>
      <c r="CE155" s="1996"/>
      <c r="CF155" s="1999"/>
      <c r="CG155" s="2000" t="s">
        <v>57</v>
      </c>
      <c r="CH155" s="1996"/>
      <c r="CI155" s="1996"/>
      <c r="CJ155" s="1996"/>
      <c r="CK155" s="1996"/>
      <c r="CL155" s="1997"/>
      <c r="CM155" s="1998" t="s">
        <v>58</v>
      </c>
      <c r="CN155" s="1996"/>
      <c r="CO155" s="1996"/>
      <c r="CP155" s="1996"/>
      <c r="CQ155" s="1996"/>
      <c r="CR155" s="2001"/>
    </row>
    <row r="156" spans="3:96" s="1354" customFormat="1" ht="14.25" customHeight="1">
      <c r="C156" s="1430"/>
      <c r="D156" s="1430"/>
      <c r="E156" s="1430"/>
      <c r="F156" s="1431"/>
      <c r="G156" s="1431"/>
      <c r="H156" s="1431"/>
      <c r="I156" s="1430"/>
      <c r="J156" s="1430"/>
      <c r="K156" s="1430"/>
      <c r="L156" s="1421"/>
      <c r="M156" s="1421"/>
      <c r="N156" s="1421"/>
      <c r="O156" s="1430"/>
      <c r="P156" s="1430"/>
      <c r="Q156" s="1430"/>
      <c r="R156" s="1431"/>
      <c r="S156" s="1431"/>
      <c r="T156" s="1431"/>
      <c r="U156" s="1430"/>
      <c r="V156" s="1430"/>
      <c r="W156" s="1430"/>
      <c r="X156" s="1431"/>
      <c r="Y156" s="1431"/>
      <c r="Z156" s="1431"/>
      <c r="AA156" s="1430"/>
      <c r="AB156" s="1430"/>
      <c r="AC156" s="1430"/>
      <c r="AD156" s="1431"/>
      <c r="AE156" s="1431"/>
      <c r="AF156" s="1431"/>
      <c r="AG156" s="1430"/>
      <c r="AH156" s="1430"/>
      <c r="AI156" s="1430"/>
      <c r="AJ156" s="1431"/>
      <c r="AK156" s="1431"/>
      <c r="AL156" s="1454"/>
      <c r="AM156" s="1430"/>
      <c r="AN156" s="1430"/>
      <c r="AO156" s="1430"/>
      <c r="AP156" s="1431"/>
      <c r="AQ156" s="1431"/>
      <c r="AT156" s="1462"/>
      <c r="AU156" s="1462"/>
      <c r="AV156" s="1463"/>
      <c r="AW156" s="1962" t="s">
        <v>59</v>
      </c>
      <c r="AX156" s="1963"/>
      <c r="AY156" s="1963"/>
      <c r="AZ156" s="1971" t="str">
        <f>MEF!E45</f>
        <v xml:space="preserve">7 </v>
      </c>
      <c r="BA156" s="1971"/>
      <c r="BB156" s="1973"/>
      <c r="BC156" s="1974" t="s">
        <v>59</v>
      </c>
      <c r="BD156" s="1963"/>
      <c r="BE156" s="1963"/>
      <c r="BF156" s="1963" t="str">
        <f>MEF!K45</f>
        <v>2 TSRA</v>
      </c>
      <c r="BG156" s="1963"/>
      <c r="BH156" s="1975"/>
      <c r="BI156" s="1968" t="s">
        <v>60</v>
      </c>
      <c r="BJ156" s="1963"/>
      <c r="BK156" s="1963"/>
      <c r="BL156" s="1971" t="str">
        <f>MEF!Q45</f>
        <v xml:space="preserve">7 </v>
      </c>
      <c r="BM156" s="1971"/>
      <c r="BN156" s="1973"/>
      <c r="BO156" s="1974" t="s">
        <v>59</v>
      </c>
      <c r="BP156" s="1963"/>
      <c r="BQ156" s="1963"/>
      <c r="BR156" s="1971" t="str">
        <f>MEF!W45</f>
        <v>3 TSRA</v>
      </c>
      <c r="BS156" s="1971"/>
      <c r="BT156" s="1972"/>
      <c r="BU156" s="1968" t="s">
        <v>60</v>
      </c>
      <c r="BV156" s="1963"/>
      <c r="BW156" s="1963"/>
      <c r="BX156" s="1971" t="str">
        <f>MEF!AC45</f>
        <v xml:space="preserve">7 </v>
      </c>
      <c r="BY156" s="1971"/>
      <c r="BZ156" s="1973"/>
      <c r="CA156" s="1974" t="s">
        <v>59</v>
      </c>
      <c r="CB156" s="1963"/>
      <c r="CC156" s="1963"/>
      <c r="CD156" s="1971" t="str">
        <f>MEF!AI45</f>
        <v>4 TSRA</v>
      </c>
      <c r="CE156" s="1971"/>
      <c r="CF156" s="1972"/>
      <c r="CG156" s="1968" t="s">
        <v>60</v>
      </c>
      <c r="CH156" s="1963"/>
      <c r="CI156" s="1963"/>
      <c r="CJ156" s="1971" t="str">
        <f>MEF!AO45</f>
        <v xml:space="preserve">7 </v>
      </c>
      <c r="CK156" s="1971"/>
      <c r="CL156" s="1973"/>
      <c r="CM156" s="1974" t="s">
        <v>59</v>
      </c>
      <c r="CN156" s="1963"/>
      <c r="CO156" s="1963"/>
      <c r="CP156" s="1971" t="str">
        <f>MEF!AU45</f>
        <v xml:space="preserve">7 </v>
      </c>
      <c r="CQ156" s="1971"/>
      <c r="CR156" s="1976"/>
    </row>
    <row r="157" spans="3:96" s="1354" customFormat="1" ht="14.25" customHeight="1">
      <c r="C157" s="1430"/>
      <c r="D157" s="1430"/>
      <c r="E157" s="1430"/>
      <c r="F157" s="1432"/>
      <c r="G157" s="1432"/>
      <c r="H157" s="1432"/>
      <c r="I157" s="1433"/>
      <c r="J157" s="1433"/>
      <c r="K157" s="1433"/>
      <c r="L157" s="1432"/>
      <c r="M157" s="1432"/>
      <c r="N157" s="1432"/>
      <c r="O157" s="1430"/>
      <c r="P157" s="1430"/>
      <c r="Q157" s="1430"/>
      <c r="R157" s="1432"/>
      <c r="S157" s="1432"/>
      <c r="T157" s="1432"/>
      <c r="U157" s="1433"/>
      <c r="V157" s="1433"/>
      <c r="W157" s="1433"/>
      <c r="X157" s="1432"/>
      <c r="Y157" s="1432"/>
      <c r="Z157" s="1432"/>
      <c r="AA157" s="1430"/>
      <c r="AB157" s="1430"/>
      <c r="AC157" s="1430"/>
      <c r="AD157" s="1432"/>
      <c r="AE157" s="1432"/>
      <c r="AF157" s="1432"/>
      <c r="AG157" s="1433"/>
      <c r="AH157" s="1433"/>
      <c r="AI157" s="1433"/>
      <c r="AJ157" s="1432"/>
      <c r="AK157" s="1432"/>
      <c r="AL157" s="1454"/>
      <c r="AM157" s="1430"/>
      <c r="AN157" s="1430"/>
      <c r="AO157" s="1430"/>
      <c r="AP157" s="1432"/>
      <c r="AQ157" s="1432"/>
      <c r="AT157" s="1462"/>
      <c r="AU157" s="1462"/>
      <c r="AV157" s="1463"/>
      <c r="AW157" s="1962" t="s">
        <v>61</v>
      </c>
      <c r="AX157" s="1963"/>
      <c r="AY157" s="1963"/>
      <c r="AZ157" s="1964" t="str">
        <f>MEF!E46</f>
        <v>NONE</v>
      </c>
      <c r="BA157" s="1964"/>
      <c r="BB157" s="1965"/>
      <c r="BC157" s="1966" t="s">
        <v>61</v>
      </c>
      <c r="BD157" s="1964"/>
      <c r="BE157" s="1964"/>
      <c r="BF157" s="1964">
        <f>MEF!K46</f>
        <v>30</v>
      </c>
      <c r="BG157" s="1964"/>
      <c r="BH157" s="1967"/>
      <c r="BI157" s="1968" t="s">
        <v>62</v>
      </c>
      <c r="BJ157" s="1963"/>
      <c r="BK157" s="1963"/>
      <c r="BL157" s="1964" t="str">
        <f>MEF!Q46</f>
        <v>NONE</v>
      </c>
      <c r="BM157" s="1964"/>
      <c r="BN157" s="1965"/>
      <c r="BO157" s="1966" t="s">
        <v>61</v>
      </c>
      <c r="BP157" s="1964"/>
      <c r="BQ157" s="1964"/>
      <c r="BR157" s="1964">
        <f>MEF!W46</f>
        <v>40</v>
      </c>
      <c r="BS157" s="1964"/>
      <c r="BT157" s="1967"/>
      <c r="BU157" s="1968" t="s">
        <v>62</v>
      </c>
      <c r="BV157" s="1963"/>
      <c r="BW157" s="1963"/>
      <c r="BX157" s="1964" t="str">
        <f>MEF!AC46</f>
        <v>NONE</v>
      </c>
      <c r="BY157" s="1964"/>
      <c r="BZ157" s="1965"/>
      <c r="CA157" s="1966" t="s">
        <v>61</v>
      </c>
      <c r="CB157" s="1964"/>
      <c r="CC157" s="1964"/>
      <c r="CD157" s="1964">
        <f>MEF!AI46</f>
        <v>40</v>
      </c>
      <c r="CE157" s="1964"/>
      <c r="CF157" s="1967"/>
      <c r="CG157" s="1968" t="s">
        <v>62</v>
      </c>
      <c r="CH157" s="1963"/>
      <c r="CI157" s="1963"/>
      <c r="CJ157" s="1964" t="str">
        <f>MEF!AO46</f>
        <v>NONE</v>
      </c>
      <c r="CK157" s="1964"/>
      <c r="CL157" s="1965"/>
      <c r="CM157" s="1966" t="s">
        <v>61</v>
      </c>
      <c r="CN157" s="1964"/>
      <c r="CO157" s="1964"/>
      <c r="CP157" s="1964" t="str">
        <f>MEF!AU46</f>
        <v>NONE</v>
      </c>
      <c r="CQ157" s="1964"/>
      <c r="CR157" s="1969"/>
    </row>
    <row r="158" spans="3:96" s="1354" customFormat="1" ht="14.25" customHeight="1">
      <c r="C158" s="1430"/>
      <c r="D158" s="1430"/>
      <c r="E158" s="1421"/>
      <c r="F158" s="1421"/>
      <c r="G158" s="1421"/>
      <c r="H158" s="1421"/>
      <c r="I158" s="1430"/>
      <c r="J158" s="1430"/>
      <c r="K158" s="1421"/>
      <c r="L158" s="1421"/>
      <c r="M158" s="1421"/>
      <c r="N158" s="1421"/>
      <c r="O158" s="1430"/>
      <c r="P158" s="1430"/>
      <c r="Q158" s="1421"/>
      <c r="R158" s="1421"/>
      <c r="S158" s="1421"/>
      <c r="T158" s="1421"/>
      <c r="U158" s="1430"/>
      <c r="V158" s="1430"/>
      <c r="W158" s="1421"/>
      <c r="X158" s="1421"/>
      <c r="Y158" s="1421"/>
      <c r="Z158" s="1421"/>
      <c r="AA158" s="1430"/>
      <c r="AB158" s="1430"/>
      <c r="AC158" s="1421"/>
      <c r="AD158" s="1421"/>
      <c r="AE158" s="1421"/>
      <c r="AF158" s="1421"/>
      <c r="AG158" s="1430"/>
      <c r="AH158" s="1430"/>
      <c r="AI158" s="1421"/>
      <c r="AJ158" s="1421"/>
      <c r="AK158" s="1421"/>
      <c r="AL158" s="1454"/>
      <c r="AM158" s="1430"/>
      <c r="AN158" s="1430"/>
      <c r="AO158" s="1421"/>
      <c r="AP158" s="1421"/>
      <c r="AQ158" s="1421"/>
      <c r="AT158" s="1462"/>
      <c r="AU158" s="1462"/>
      <c r="AV158" s="1463"/>
      <c r="AW158" s="1961" t="s">
        <v>63</v>
      </c>
      <c r="AX158" s="1950"/>
      <c r="AY158" s="1950" t="str">
        <f>MEF!D47</f>
        <v>23004KT</v>
      </c>
      <c r="AZ158" s="1950"/>
      <c r="BA158" s="1950"/>
      <c r="BB158" s="1951"/>
      <c r="BC158" s="1952" t="s">
        <v>63</v>
      </c>
      <c r="BD158" s="1950"/>
      <c r="BE158" s="1950" t="str">
        <f>MEF!J47</f>
        <v>25010G15KT</v>
      </c>
      <c r="BF158" s="1950"/>
      <c r="BG158" s="1950"/>
      <c r="BH158" s="1953"/>
      <c r="BI158" s="1954" t="s">
        <v>64</v>
      </c>
      <c r="BJ158" s="1950"/>
      <c r="BK158" s="1950" t="str">
        <f>MEF!P47</f>
        <v>22007KT</v>
      </c>
      <c r="BL158" s="1950"/>
      <c r="BM158" s="1950"/>
      <c r="BN158" s="1951"/>
      <c r="BO158" s="1952" t="s">
        <v>63</v>
      </c>
      <c r="BP158" s="1950"/>
      <c r="BQ158" s="1950" t="str">
        <f>MEF!V47</f>
        <v>26012G20KT</v>
      </c>
      <c r="BR158" s="1950"/>
      <c r="BS158" s="1950"/>
      <c r="BT158" s="1953"/>
      <c r="BU158" s="1954" t="s">
        <v>64</v>
      </c>
      <c r="BV158" s="1950"/>
      <c r="BW158" s="1950" t="str">
        <f>MEF!AB47</f>
        <v>04005KT</v>
      </c>
      <c r="BX158" s="1950"/>
      <c r="BY158" s="1950"/>
      <c r="BZ158" s="1951"/>
      <c r="CA158" s="1952" t="s">
        <v>63</v>
      </c>
      <c r="CB158" s="1950"/>
      <c r="CC158" s="1950" t="str">
        <f>MEF!AH47</f>
        <v>05010G15KT</v>
      </c>
      <c r="CD158" s="1950"/>
      <c r="CE158" s="1950"/>
      <c r="CF158" s="1953"/>
      <c r="CG158" s="1954" t="s">
        <v>64</v>
      </c>
      <c r="CH158" s="1950"/>
      <c r="CI158" s="1950" t="str">
        <f>MEF!AN47</f>
        <v>04007KT</v>
      </c>
      <c r="CJ158" s="1950"/>
      <c r="CK158" s="1950"/>
      <c r="CL158" s="1951"/>
      <c r="CM158" s="1952" t="s">
        <v>63</v>
      </c>
      <c r="CN158" s="1950"/>
      <c r="CO158" s="1950" t="str">
        <f>MEF!AT47</f>
        <v>04007KT</v>
      </c>
      <c r="CP158" s="1950"/>
      <c r="CQ158" s="1950"/>
      <c r="CR158" s="1955"/>
    </row>
    <row r="159" spans="3:96" s="1354" customFormat="1" ht="4.5" customHeight="1">
      <c r="C159" s="1349"/>
      <c r="D159" s="1349"/>
      <c r="E159" s="1350"/>
      <c r="F159" s="1350"/>
      <c r="G159" s="1350"/>
      <c r="H159" s="1350"/>
      <c r="I159" s="1349"/>
      <c r="J159" s="1349"/>
      <c r="K159" s="1350"/>
      <c r="L159" s="1350"/>
      <c r="M159" s="1350"/>
      <c r="N159" s="1350"/>
      <c r="O159" s="1349"/>
      <c r="P159" s="1349"/>
      <c r="Q159" s="1350"/>
      <c r="R159" s="1350"/>
      <c r="S159" s="1350"/>
      <c r="T159" s="1350"/>
      <c r="U159" s="1349"/>
      <c r="V159" s="1349"/>
      <c r="W159" s="1350"/>
      <c r="X159" s="1350"/>
      <c r="Y159" s="1350"/>
      <c r="Z159" s="1350"/>
      <c r="AA159" s="1349"/>
      <c r="AB159" s="1349"/>
      <c r="AC159" s="1350"/>
      <c r="AD159" s="1350"/>
      <c r="AE159" s="1350"/>
      <c r="AF159" s="1350"/>
      <c r="AG159" s="1349"/>
      <c r="AH159" s="1349"/>
      <c r="AI159" s="1350"/>
      <c r="AJ159" s="1350"/>
      <c r="AK159" s="1350"/>
      <c r="AL159" s="1458"/>
      <c r="AM159" s="1349"/>
      <c r="AN159" s="1349"/>
      <c r="AO159" s="1350"/>
      <c r="AP159" s="1350"/>
      <c r="AQ159" s="1350"/>
      <c r="AT159" s="1462"/>
      <c r="AU159" s="1462"/>
      <c r="AV159" s="1463"/>
      <c r="AW159" s="177"/>
      <c r="AX159" s="178"/>
      <c r="AY159" s="1907"/>
      <c r="AZ159" s="1907"/>
      <c r="BA159" s="1907"/>
      <c r="BB159" s="1907"/>
      <c r="BC159" s="178"/>
      <c r="BD159" s="178"/>
      <c r="BE159" s="1907"/>
      <c r="BF159" s="1907"/>
      <c r="BG159" s="1907"/>
      <c r="BH159" s="1907"/>
      <c r="BI159" s="179"/>
      <c r="BJ159" s="178"/>
      <c r="BK159" s="1907"/>
      <c r="BL159" s="1907"/>
      <c r="BM159" s="1907"/>
      <c r="BN159" s="1907"/>
      <c r="BO159" s="178"/>
      <c r="BP159" s="178"/>
      <c r="BQ159" s="1907"/>
      <c r="BR159" s="1907"/>
      <c r="BS159" s="1907"/>
      <c r="BT159" s="1908"/>
      <c r="BU159" s="178"/>
      <c r="BV159" s="178"/>
      <c r="BW159" s="1907"/>
      <c r="BX159" s="1907"/>
      <c r="BY159" s="1907"/>
      <c r="BZ159" s="1907"/>
      <c r="CA159" s="178"/>
      <c r="CB159" s="178"/>
      <c r="CC159" s="1907"/>
      <c r="CD159" s="1907"/>
      <c r="CE159" s="1907"/>
      <c r="CF159" s="1907"/>
      <c r="CG159" s="179"/>
      <c r="CH159" s="178"/>
      <c r="CI159" s="1907"/>
      <c r="CJ159" s="1907"/>
      <c r="CK159" s="1907"/>
      <c r="CL159" s="1907"/>
      <c r="CM159" s="178"/>
      <c r="CN159" s="178"/>
      <c r="CO159" s="1907"/>
      <c r="CP159" s="1907"/>
      <c r="CQ159" s="1907"/>
      <c r="CR159" s="180"/>
    </row>
    <row r="160" spans="3:96" s="205" customFormat="1" ht="17.25" customHeight="1">
      <c r="C160" s="1434"/>
      <c r="D160" s="1435"/>
      <c r="E160" s="1436"/>
      <c r="F160" s="1436"/>
      <c r="G160" s="1437"/>
      <c r="H160" s="1438"/>
      <c r="I160" s="1439"/>
      <c r="J160" s="1440"/>
      <c r="K160" s="1349"/>
      <c r="L160" s="1441"/>
      <c r="M160" s="1441"/>
      <c r="N160" s="1434"/>
      <c r="O160" s="1434"/>
      <c r="P160" s="1435"/>
      <c r="Q160" s="1436"/>
      <c r="R160" s="1442"/>
      <c r="S160" s="1437"/>
      <c r="T160" s="1438"/>
      <c r="U160" s="1439"/>
      <c r="V160" s="1440"/>
      <c r="W160" s="1349"/>
      <c r="X160" s="1441"/>
      <c r="Y160" s="1441"/>
      <c r="Z160" s="1434"/>
      <c r="AA160" s="1434"/>
      <c r="AB160" s="1435"/>
      <c r="AC160" s="1436"/>
      <c r="AD160" s="1442"/>
      <c r="AE160" s="1437"/>
      <c r="AF160" s="1438"/>
      <c r="AG160" s="1439"/>
      <c r="AH160" s="1440"/>
      <c r="AI160" s="1349"/>
      <c r="AJ160" s="1441"/>
      <c r="AK160" s="1441"/>
      <c r="AL160" s="1458"/>
      <c r="AM160" s="1434"/>
      <c r="AN160" s="1435"/>
      <c r="AO160" s="1436"/>
      <c r="AP160" s="1442"/>
      <c r="AQ160" s="1437"/>
      <c r="AT160" s="1462"/>
      <c r="AU160" s="1462"/>
      <c r="AV160" s="1463"/>
      <c r="AW160" s="1970" t="s">
        <v>65</v>
      </c>
      <c r="AX160" s="1957"/>
      <c r="AY160" s="1957"/>
      <c r="AZ160" s="1559"/>
      <c r="BA160" s="1559"/>
      <c r="BB160" s="1560" t="str">
        <f>MEF!E49</f>
        <v>34C (94F)</v>
      </c>
      <c r="BC160" s="1559"/>
      <c r="BD160" s="1561" t="str">
        <f>MEF!F49</f>
        <v>23C (74F)</v>
      </c>
      <c r="BE160" s="1559"/>
      <c r="BF160" s="1559"/>
      <c r="BG160" s="1559"/>
      <c r="BH160" s="1562"/>
      <c r="BI160" s="1956" t="s">
        <v>66</v>
      </c>
      <c r="BJ160" s="1957"/>
      <c r="BK160" s="1957"/>
      <c r="BL160" s="1559"/>
      <c r="BM160" s="1559"/>
      <c r="BN160" s="1563" t="str">
        <f>MEF!Q49</f>
        <v>33C (91F)</v>
      </c>
      <c r="BO160" s="1559"/>
      <c r="BP160" s="1561" t="str">
        <f>MEF!R49</f>
        <v>23C (74F)</v>
      </c>
      <c r="BQ160" s="1559"/>
      <c r="BR160" s="1559"/>
      <c r="BS160" s="1559"/>
      <c r="BT160" s="1562"/>
      <c r="BU160" s="1956" t="s">
        <v>66</v>
      </c>
      <c r="BV160" s="1957"/>
      <c r="BW160" s="1957"/>
      <c r="BX160" s="1559"/>
      <c r="BY160" s="1559"/>
      <c r="BZ160" s="1563" t="str">
        <f>MEF!AC49</f>
        <v>28C (83F)</v>
      </c>
      <c r="CA160" s="1559"/>
      <c r="CB160" s="1561" t="str">
        <f>MEF!AD49</f>
        <v>21C (69F)</v>
      </c>
      <c r="CC160" s="1559"/>
      <c r="CD160" s="1559"/>
      <c r="CE160" s="1559"/>
      <c r="CF160" s="1562"/>
      <c r="CG160" s="1956" t="s">
        <v>66</v>
      </c>
      <c r="CH160" s="1957"/>
      <c r="CI160" s="1957"/>
      <c r="CJ160" s="1559"/>
      <c r="CK160" s="1559"/>
      <c r="CL160" s="1563" t="str">
        <f>MEF!AO49</f>
        <v>30C (86F)</v>
      </c>
      <c r="CM160" s="1559"/>
      <c r="CN160" s="1561" t="str">
        <f>MEF!AP49</f>
        <v>17C (62F)</v>
      </c>
      <c r="CO160" s="1559"/>
      <c r="CP160" s="1559"/>
      <c r="CQ160" s="1559"/>
      <c r="CR160" s="1564"/>
    </row>
    <row r="161" spans="3:96" s="1465" customFormat="1" ht="17.25" customHeight="1">
      <c r="C161" s="1466"/>
      <c r="D161" s="1467"/>
      <c r="E161" s="1467"/>
      <c r="F161" s="1467"/>
      <c r="G161" s="1467"/>
      <c r="H161" s="1467"/>
      <c r="I161" s="1466"/>
      <c r="J161" s="1466"/>
      <c r="K161" s="1468"/>
      <c r="L161" s="1468"/>
      <c r="M161" s="1467"/>
      <c r="N161" s="1467"/>
      <c r="O161" s="1466"/>
      <c r="P161" s="1466"/>
      <c r="Q161" s="1467"/>
      <c r="R161" s="1467"/>
      <c r="S161" s="1467"/>
      <c r="T161" s="1467"/>
      <c r="U161" s="1466"/>
      <c r="V161" s="1466"/>
      <c r="W161" s="1467"/>
      <c r="X161" s="1467"/>
      <c r="Y161" s="1467"/>
      <c r="Z161" s="1467"/>
      <c r="AA161" s="1466"/>
      <c r="AB161" s="1466"/>
      <c r="AC161" s="1467"/>
      <c r="AD161" s="1467"/>
      <c r="AE161" s="1467"/>
      <c r="AF161" s="1467"/>
      <c r="AG161" s="1466"/>
      <c r="AH161" s="1466"/>
      <c r="AI161" s="1467"/>
      <c r="AJ161" s="1467"/>
      <c r="AK161" s="1467"/>
      <c r="AL161" s="1450"/>
      <c r="AM161" s="1466"/>
      <c r="AN161" s="1466"/>
      <c r="AO161" s="1467"/>
      <c r="AP161" s="1467"/>
      <c r="AQ161" s="1467"/>
      <c r="AT161" s="1464"/>
      <c r="AU161" s="1464"/>
      <c r="AV161" s="1463"/>
      <c r="AW161" s="1469"/>
      <c r="AX161" s="1447"/>
      <c r="AY161" s="1447"/>
      <c r="AZ161" s="1447"/>
      <c r="BA161" s="1447"/>
      <c r="BB161" s="1447"/>
      <c r="BC161" s="1470"/>
      <c r="BD161" s="1577" t="str">
        <f>IF(Worksheet!AQ6="WBGT","Max Wet-bulb Globe:","Morning Wind Chill:")</f>
        <v>Max Wet-bulb Globe:</v>
      </c>
      <c r="BE161" s="1958" t="str">
        <f>MEF!K49</f>
        <v>BLACK</v>
      </c>
      <c r="BF161" s="1959"/>
      <c r="BG161" s="1960"/>
      <c r="BH161" s="1548"/>
      <c r="BI161" s="1549"/>
      <c r="BJ161" s="1547"/>
      <c r="BK161" s="1548"/>
      <c r="BL161" s="1548"/>
      <c r="BM161" s="1548"/>
      <c r="BN161" s="1548"/>
      <c r="BO161" s="1547"/>
      <c r="BP161" s="1577" t="str">
        <f>IF(Worksheet!AQ6="WBGT","Max Wet-bulb Globe:","Morning Wind Chill:")</f>
        <v>Max Wet-bulb Globe:</v>
      </c>
      <c r="BQ161" s="1958" t="str">
        <f>MEF!W49</f>
        <v>BLACK</v>
      </c>
      <c r="BR161" s="1959"/>
      <c r="BS161" s="1960"/>
      <c r="BT161" s="1550"/>
      <c r="BU161" s="1547"/>
      <c r="BV161" s="1547"/>
      <c r="BW161" s="1548"/>
      <c r="BX161" s="1548"/>
      <c r="BY161" s="1548"/>
      <c r="BZ161" s="1548"/>
      <c r="CA161" s="1547"/>
      <c r="CB161" s="1577" t="str">
        <f>IF(Worksheet!AQ6="WBGT","Max Wet-bulb Globe:","Morning Wind Chill:")</f>
        <v>Max Wet-bulb Globe:</v>
      </c>
      <c r="CC161" s="1958" t="str">
        <f>MEF!AI49</f>
        <v>GREEN</v>
      </c>
      <c r="CD161" s="1959"/>
      <c r="CE161" s="1960"/>
      <c r="CF161" s="1548"/>
      <c r="CG161" s="1549"/>
      <c r="CH161" s="1547"/>
      <c r="CI161" s="1548"/>
      <c r="CJ161" s="1548"/>
      <c r="CK161" s="1548"/>
      <c r="CL161" s="1548"/>
      <c r="CM161" s="1547"/>
      <c r="CN161" s="1577" t="str">
        <f>IF(Worksheet!AQ6="WBGT","Max Wet-bulb Globe:","Morning Wind Chill:")</f>
        <v>Max Wet-bulb Globe:</v>
      </c>
      <c r="CO161" s="1958" t="str">
        <f>MEF!AU49</f>
        <v>YELLOW</v>
      </c>
      <c r="CP161" s="1959"/>
      <c r="CQ161" s="1960"/>
      <c r="CR161" s="1551"/>
    </row>
    <row r="162" spans="3:96" s="1354" customFormat="1" ht="4.5" customHeight="1">
      <c r="C162" s="1349"/>
      <c r="D162" s="1351"/>
      <c r="E162" s="1350"/>
      <c r="F162" s="1350"/>
      <c r="G162" s="1350"/>
      <c r="H162" s="1350"/>
      <c r="I162" s="1349"/>
      <c r="J162" s="1349"/>
      <c r="K162" s="1355"/>
      <c r="L162" s="1355"/>
      <c r="M162" s="1350"/>
      <c r="N162" s="1350"/>
      <c r="O162" s="1349"/>
      <c r="P162" s="1349"/>
      <c r="Q162" s="1350"/>
      <c r="R162" s="1350"/>
      <c r="S162" s="1350"/>
      <c r="T162" s="1350"/>
      <c r="U162" s="1349"/>
      <c r="V162" s="1349"/>
      <c r="W162" s="1350"/>
      <c r="X162" s="1350"/>
      <c r="Y162" s="1350"/>
      <c r="Z162" s="1350"/>
      <c r="AA162" s="1349"/>
      <c r="AB162" s="1349"/>
      <c r="AC162" s="1350"/>
      <c r="AD162" s="1350"/>
      <c r="AE162" s="1350"/>
      <c r="AF162" s="1350"/>
      <c r="AG162" s="1349"/>
      <c r="AH162" s="1349"/>
      <c r="AI162" s="1350"/>
      <c r="AJ162" s="1350"/>
      <c r="AK162" s="1350"/>
      <c r="AL162" s="1458"/>
      <c r="AM162" s="1349"/>
      <c r="AN162" s="1349"/>
      <c r="AO162" s="1350"/>
      <c r="AP162" s="1350"/>
      <c r="AQ162" s="1350"/>
      <c r="AT162" s="1462"/>
      <c r="AU162" s="1462"/>
      <c r="AV162" s="1463"/>
      <c r="AW162" s="177"/>
      <c r="AX162" s="1906"/>
      <c r="AY162" s="1907"/>
      <c r="AZ162" s="1907"/>
      <c r="BA162" s="1907"/>
      <c r="BB162" s="1907"/>
      <c r="BC162" s="178"/>
      <c r="BD162" s="178"/>
      <c r="BE162" s="190"/>
      <c r="BF162" s="190"/>
      <c r="BG162" s="1907"/>
      <c r="BH162" s="1907"/>
      <c r="BI162" s="178"/>
      <c r="BJ162" s="178"/>
      <c r="BK162" s="1907"/>
      <c r="BL162" s="1907"/>
      <c r="BM162" s="1907"/>
      <c r="BN162" s="1907"/>
      <c r="BO162" s="178"/>
      <c r="BP162" s="178"/>
      <c r="BQ162" s="1907"/>
      <c r="BR162" s="1907"/>
      <c r="BS162" s="1907"/>
      <c r="BT162" s="1907"/>
      <c r="BU162" s="178"/>
      <c r="BV162" s="178"/>
      <c r="BW162" s="1907"/>
      <c r="BX162" s="1907"/>
      <c r="BY162" s="1907"/>
      <c r="BZ162" s="1907"/>
      <c r="CA162" s="178"/>
      <c r="CB162" s="178"/>
      <c r="CC162" s="1907"/>
      <c r="CD162" s="1907"/>
      <c r="CE162" s="1907"/>
      <c r="CF162" s="1907"/>
      <c r="CG162" s="178"/>
      <c r="CH162" s="178"/>
      <c r="CI162" s="1907"/>
      <c r="CJ162" s="1907"/>
      <c r="CK162" s="1907"/>
      <c r="CL162" s="1907"/>
      <c r="CM162" s="178"/>
      <c r="CN162" s="178"/>
      <c r="CO162" s="1907"/>
      <c r="CP162" s="1907"/>
      <c r="CQ162" s="1907"/>
      <c r="CR162" s="180"/>
    </row>
    <row r="163" spans="3:96" s="1477" customFormat="1" ht="20.25" customHeight="1" thickBot="1">
      <c r="C163" s="1471"/>
      <c r="D163" s="1471"/>
      <c r="E163" s="1471"/>
      <c r="F163" s="1471"/>
      <c r="G163" s="1471"/>
      <c r="H163" s="1471"/>
      <c r="I163" s="1471"/>
      <c r="J163" s="1472"/>
      <c r="K163" s="1471"/>
      <c r="L163" s="1471"/>
      <c r="M163" s="1472"/>
      <c r="N163" s="1473"/>
      <c r="O163" s="1473"/>
      <c r="P163" s="1473"/>
      <c r="Q163" s="1471"/>
      <c r="R163" s="1471"/>
      <c r="S163" s="1471"/>
      <c r="T163" s="1471"/>
      <c r="U163" s="1471"/>
      <c r="V163" s="1471"/>
      <c r="W163" s="1471"/>
      <c r="X163" s="1472"/>
      <c r="Y163" s="1471"/>
      <c r="Z163" s="1471"/>
      <c r="AA163" s="1472"/>
      <c r="AB163" s="1473"/>
      <c r="AC163" s="1472"/>
      <c r="AD163" s="1473"/>
      <c r="AE163" s="1471"/>
      <c r="AF163" s="1471"/>
      <c r="AG163" s="1471"/>
      <c r="AH163" s="1471"/>
      <c r="AI163" s="1471"/>
      <c r="AJ163" s="1471"/>
      <c r="AK163" s="1472"/>
      <c r="AL163" s="1474"/>
      <c r="AM163" s="1475"/>
      <c r="AN163" s="1476"/>
      <c r="AO163" s="1476"/>
      <c r="AP163" s="1476"/>
      <c r="AQ163" s="1476"/>
      <c r="AT163" s="1478"/>
      <c r="AU163" s="1478"/>
      <c r="AV163" s="1463"/>
      <c r="AW163" s="1552"/>
      <c r="AX163" s="1553" t="s">
        <v>67</v>
      </c>
      <c r="AY163" s="1553"/>
      <c r="AZ163" s="1553"/>
      <c r="BA163" s="1553"/>
      <c r="BB163" s="1553"/>
      <c r="BC163" s="1553"/>
      <c r="BD163" s="1554"/>
      <c r="BE163" s="1553"/>
      <c r="BF163" s="1553"/>
      <c r="BG163" s="1554" t="s">
        <v>68</v>
      </c>
      <c r="BH163" s="1555" t="s">
        <v>69</v>
      </c>
      <c r="BI163" s="1555"/>
      <c r="BJ163" s="1555"/>
      <c r="BK163" s="1553"/>
      <c r="BL163" s="1553"/>
      <c r="BM163" s="1553"/>
      <c r="BN163" s="1553"/>
      <c r="BO163" s="1553"/>
      <c r="BP163" s="1553"/>
      <c r="BQ163" s="1553"/>
      <c r="BR163" s="1554"/>
      <c r="BS163" s="1553"/>
      <c r="BT163" s="1553"/>
      <c r="BU163" s="1554"/>
      <c r="BV163" s="1555"/>
      <c r="BW163" s="1554" t="s">
        <v>70</v>
      </c>
      <c r="BX163" s="1555" t="s">
        <v>71</v>
      </c>
      <c r="BY163" s="1553"/>
      <c r="BZ163" s="1553"/>
      <c r="CA163" s="1553"/>
      <c r="CB163" s="1553"/>
      <c r="CC163" s="1553"/>
      <c r="CD163" s="1553"/>
      <c r="CE163" s="1554"/>
      <c r="CF163" s="1554" t="s">
        <v>72</v>
      </c>
      <c r="CG163" s="1555" t="s">
        <v>73</v>
      </c>
      <c r="CH163" s="1897"/>
      <c r="CI163" s="1897"/>
      <c r="CJ163" s="1897"/>
      <c r="CK163" s="1897"/>
      <c r="CL163" s="1897"/>
      <c r="CM163" s="1897"/>
      <c r="CN163" s="1897"/>
      <c r="CO163" s="1897"/>
      <c r="CP163" s="1897"/>
      <c r="CQ163" s="1556"/>
      <c r="CR163" s="1557"/>
    </row>
  </sheetData>
  <sheetProtection algorithmName="SHA-512" hashValue="5lU5cDimTgUaq7O0wIXAb9KWC/0d0XFndk40DHi2fTRNdnnGN6d4nLNz3w5VpDOULLws4edHbPpB6x1HHhgdag==" saltValue="K1pOpQrYSyL5J3QRT+5NUA==" spinCount="100000" sheet="1" scenarios="1"/>
  <mergeCells count="624">
    <mergeCell ref="AH38:AI38"/>
    <mergeCell ref="AH39:AI39"/>
    <mergeCell ref="AH40:AI40"/>
    <mergeCell ref="T38:U38"/>
    <mergeCell ref="T39:U39"/>
    <mergeCell ref="T40:U40"/>
    <mergeCell ref="X33:Y33"/>
    <mergeCell ref="Z33:AA33"/>
    <mergeCell ref="AB33:AC33"/>
    <mergeCell ref="Z34:AA34"/>
    <mergeCell ref="AB34:AC34"/>
    <mergeCell ref="Z35:AA35"/>
    <mergeCell ref="AB35:AC35"/>
    <mergeCell ref="AA38:AB38"/>
    <mergeCell ref="AA39:AB39"/>
    <mergeCell ref="AA40:AB40"/>
    <mergeCell ref="AG35:AH35"/>
    <mergeCell ref="AI35:AJ35"/>
    <mergeCell ref="F38:G38"/>
    <mergeCell ref="F39:G39"/>
    <mergeCell ref="F40:G40"/>
    <mergeCell ref="J33:K33"/>
    <mergeCell ref="L33:M33"/>
    <mergeCell ref="N33:O33"/>
    <mergeCell ref="L34:M34"/>
    <mergeCell ref="N34:O34"/>
    <mergeCell ref="L35:M35"/>
    <mergeCell ref="N35:O35"/>
    <mergeCell ref="M38:N38"/>
    <mergeCell ref="M39:N39"/>
    <mergeCell ref="M40:N40"/>
    <mergeCell ref="CB120:CD121"/>
    <mergeCell ref="BY122:CA122"/>
    <mergeCell ref="BY124:CA124"/>
    <mergeCell ref="BY117:CD119"/>
    <mergeCell ref="AW123:BR123"/>
    <mergeCell ref="AW124:BR124"/>
    <mergeCell ref="AW125:BR125"/>
    <mergeCell ref="AW126:BR126"/>
    <mergeCell ref="AW127:BR127"/>
    <mergeCell ref="BS119:BU120"/>
    <mergeCell ref="BV119:BX120"/>
    <mergeCell ref="BS121:BU122"/>
    <mergeCell ref="BV121:BX122"/>
    <mergeCell ref="BS123:BU124"/>
    <mergeCell ref="BV123:BX124"/>
    <mergeCell ref="BS125:BU126"/>
    <mergeCell ref="BV125:BX126"/>
    <mergeCell ref="AB75:AC75"/>
    <mergeCell ref="CM119:CR120"/>
    <mergeCell ref="BS115:CD115"/>
    <mergeCell ref="AW117:BR117"/>
    <mergeCell ref="CI120:CL127"/>
    <mergeCell ref="CM124:CR124"/>
    <mergeCell ref="CM125:CR127"/>
    <mergeCell ref="CM121:CO121"/>
    <mergeCell ref="CM122:CO123"/>
    <mergeCell ref="CP121:CR121"/>
    <mergeCell ref="CP122:CR123"/>
    <mergeCell ref="CN118:CR118"/>
    <mergeCell ref="AW120:BR120"/>
    <mergeCell ref="AW121:BR121"/>
    <mergeCell ref="CA125:CD125"/>
    <mergeCell ref="CB122:CD122"/>
    <mergeCell ref="CB124:CD124"/>
    <mergeCell ref="CE120:CH120"/>
    <mergeCell ref="CE121:CH123"/>
    <mergeCell ref="CE124:CH124"/>
    <mergeCell ref="CE125:CH127"/>
    <mergeCell ref="AW122:BR122"/>
    <mergeCell ref="CI116:CL118"/>
    <mergeCell ref="BY120:CA121"/>
    <mergeCell ref="AB13:AC13"/>
    <mergeCell ref="C15:H16"/>
    <mergeCell ref="J15:O16"/>
    <mergeCell ref="Q15:V16"/>
    <mergeCell ref="X15:AC16"/>
    <mergeCell ref="C21:H21"/>
    <mergeCell ref="J21:O21"/>
    <mergeCell ref="Q21:V21"/>
    <mergeCell ref="X21:AC21"/>
    <mergeCell ref="C13:D13"/>
    <mergeCell ref="Q13:R13"/>
    <mergeCell ref="X13:Y13"/>
    <mergeCell ref="G13:H13"/>
    <mergeCell ref="E13:F13"/>
    <mergeCell ref="G12:H12"/>
    <mergeCell ref="J12:K12"/>
    <mergeCell ref="L12:M12"/>
    <mergeCell ref="N12:O12"/>
    <mergeCell ref="F3:AF3"/>
    <mergeCell ref="F5:L6"/>
    <mergeCell ref="M6:AE7"/>
    <mergeCell ref="C10:H11"/>
    <mergeCell ref="J10:O11"/>
    <mergeCell ref="Q10:V11"/>
    <mergeCell ref="X10:AC11"/>
    <mergeCell ref="AE10:AJ11"/>
    <mergeCell ref="M5:R5"/>
    <mergeCell ref="F7:L8"/>
    <mergeCell ref="AF7:AF8"/>
    <mergeCell ref="S5:AE5"/>
    <mergeCell ref="AF5:AF6"/>
    <mergeCell ref="AG13:AH13"/>
    <mergeCell ref="AI13:AJ13"/>
    <mergeCell ref="C14:H14"/>
    <mergeCell ref="J14:O14"/>
    <mergeCell ref="Q14:V14"/>
    <mergeCell ref="X14:AC14"/>
    <mergeCell ref="AE14:AJ14"/>
    <mergeCell ref="AE12:AF12"/>
    <mergeCell ref="AG12:AH12"/>
    <mergeCell ref="AI12:AJ12"/>
    <mergeCell ref="L13:M13"/>
    <mergeCell ref="N13:O13"/>
    <mergeCell ref="S13:T13"/>
    <mergeCell ref="U13:V13"/>
    <mergeCell ref="Z13:AA13"/>
    <mergeCell ref="Q12:R12"/>
    <mergeCell ref="S12:T12"/>
    <mergeCell ref="U12:V12"/>
    <mergeCell ref="X12:Y12"/>
    <mergeCell ref="Z12:AA12"/>
    <mergeCell ref="AB12:AC12"/>
    <mergeCell ref="C12:D12"/>
    <mergeCell ref="E12:F12"/>
    <mergeCell ref="J13:K13"/>
    <mergeCell ref="AE21:AJ21"/>
    <mergeCell ref="C22:H22"/>
    <mergeCell ref="J22:O22"/>
    <mergeCell ref="Q22:V22"/>
    <mergeCell ref="X22:AC22"/>
    <mergeCell ref="AE22:AJ22"/>
    <mergeCell ref="C23:H24"/>
    <mergeCell ref="C25:H26"/>
    <mergeCell ref="J25:O26"/>
    <mergeCell ref="Q25:V26"/>
    <mergeCell ref="X25:AC26"/>
    <mergeCell ref="AE25:AJ26"/>
    <mergeCell ref="J23:O24"/>
    <mergeCell ref="Q23:V24"/>
    <mergeCell ref="X23:AC24"/>
    <mergeCell ref="AE23:AJ24"/>
    <mergeCell ref="AE15:AJ16"/>
    <mergeCell ref="C17:H18"/>
    <mergeCell ref="J17:O18"/>
    <mergeCell ref="Q17:V18"/>
    <mergeCell ref="X17:AC18"/>
    <mergeCell ref="AE17:AJ18"/>
    <mergeCell ref="C19:H20"/>
    <mergeCell ref="J19:O20"/>
    <mergeCell ref="Q19:V20"/>
    <mergeCell ref="X19:AC20"/>
    <mergeCell ref="AE19:AJ20"/>
    <mergeCell ref="C27:H28"/>
    <mergeCell ref="J27:O28"/>
    <mergeCell ref="Q27:V28"/>
    <mergeCell ref="X27:AC28"/>
    <mergeCell ref="AE27:AJ28"/>
    <mergeCell ref="AH30:AI30"/>
    <mergeCell ref="T31:U31"/>
    <mergeCell ref="X31:Z31"/>
    <mergeCell ref="AA31:AB31"/>
    <mergeCell ref="AE31:AG31"/>
    <mergeCell ref="J29:O29"/>
    <mergeCell ref="Q29:V29"/>
    <mergeCell ref="X29:AC29"/>
    <mergeCell ref="AE29:AJ29"/>
    <mergeCell ref="T30:U30"/>
    <mergeCell ref="X30:Z30"/>
    <mergeCell ref="M31:N31"/>
    <mergeCell ref="Q31:S31"/>
    <mergeCell ref="C29:H29"/>
    <mergeCell ref="AH31:AI31"/>
    <mergeCell ref="AA30:AB30"/>
    <mergeCell ref="AE30:AG30"/>
    <mergeCell ref="C35:D35"/>
    <mergeCell ref="C34:D34"/>
    <mergeCell ref="J34:K34"/>
    <mergeCell ref="C30:F30"/>
    <mergeCell ref="J30:L30"/>
    <mergeCell ref="M30:N30"/>
    <mergeCell ref="Q30:S30"/>
    <mergeCell ref="M32:N32"/>
    <mergeCell ref="C31:F31"/>
    <mergeCell ref="J31:L31"/>
    <mergeCell ref="Q32:S32"/>
    <mergeCell ref="C33:D33"/>
    <mergeCell ref="E33:F33"/>
    <mergeCell ref="E34:F34"/>
    <mergeCell ref="E35:F35"/>
    <mergeCell ref="G33:H33"/>
    <mergeCell ref="G34:H34"/>
    <mergeCell ref="G35:H35"/>
    <mergeCell ref="Q33:R33"/>
    <mergeCell ref="S33:T33"/>
    <mergeCell ref="S34:T34"/>
    <mergeCell ref="S35:T35"/>
    <mergeCell ref="C37:D37"/>
    <mergeCell ref="F37:G37"/>
    <mergeCell ref="J37:K37"/>
    <mergeCell ref="M37:N37"/>
    <mergeCell ref="Q37:R37"/>
    <mergeCell ref="T37:U37"/>
    <mergeCell ref="X37:Y37"/>
    <mergeCell ref="AE32:AG32"/>
    <mergeCell ref="AH32:AI32"/>
    <mergeCell ref="Q34:R34"/>
    <mergeCell ref="X35:Y35"/>
    <mergeCell ref="AE35:AF35"/>
    <mergeCell ref="X34:Y34"/>
    <mergeCell ref="T32:U32"/>
    <mergeCell ref="X32:Z32"/>
    <mergeCell ref="AA32:AB32"/>
    <mergeCell ref="U33:V33"/>
    <mergeCell ref="U34:V34"/>
    <mergeCell ref="U35:V35"/>
    <mergeCell ref="AE33:AF33"/>
    <mergeCell ref="AG33:AH33"/>
    <mergeCell ref="AI33:AJ33"/>
    <mergeCell ref="AG34:AH34"/>
    <mergeCell ref="AI34:AJ34"/>
    <mergeCell ref="AE13:AF13"/>
    <mergeCell ref="J35:K35"/>
    <mergeCell ref="Q35:R35"/>
    <mergeCell ref="AH37:AI37"/>
    <mergeCell ref="AE34:AF34"/>
    <mergeCell ref="C32:F32"/>
    <mergeCell ref="J32:L32"/>
    <mergeCell ref="J40:K40"/>
    <mergeCell ref="Q40:R40"/>
    <mergeCell ref="X40:Y40"/>
    <mergeCell ref="AE40:AF40"/>
    <mergeCell ref="AA37:AB37"/>
    <mergeCell ref="AE37:AF37"/>
    <mergeCell ref="C39:D39"/>
    <mergeCell ref="J39:K39"/>
    <mergeCell ref="Q39:R39"/>
    <mergeCell ref="X39:Y39"/>
    <mergeCell ref="AE39:AF39"/>
    <mergeCell ref="C40:D40"/>
    <mergeCell ref="C38:D38"/>
    <mergeCell ref="X38:Y38"/>
    <mergeCell ref="AE38:AF38"/>
    <mergeCell ref="J38:K38"/>
    <mergeCell ref="Q38:R38"/>
    <mergeCell ref="Y69:AD69"/>
    <mergeCell ref="AB70:AC70"/>
    <mergeCell ref="Y71:AA71"/>
    <mergeCell ref="AB71:AC71"/>
    <mergeCell ref="AB72:AC72"/>
    <mergeCell ref="AB73:AC73"/>
    <mergeCell ref="AB74:AC74"/>
    <mergeCell ref="AW113:CR113"/>
    <mergeCell ref="CK129:CR129"/>
    <mergeCell ref="CE117:CH119"/>
    <mergeCell ref="BS117:BX118"/>
    <mergeCell ref="AW115:BR115"/>
    <mergeCell ref="AW116:BR116"/>
    <mergeCell ref="AW118:BR118"/>
    <mergeCell ref="AW119:BR119"/>
    <mergeCell ref="CB114:CC114"/>
    <mergeCell ref="CP115:CR115"/>
    <mergeCell ref="CE115:CH115"/>
    <mergeCell ref="CE116:CH116"/>
    <mergeCell ref="CI115:CL115"/>
    <mergeCell ref="CD114:CE114"/>
    <mergeCell ref="AW114:BK114"/>
    <mergeCell ref="BL114:BM114"/>
    <mergeCell ref="BN114:CA114"/>
    <mergeCell ref="BN130:BO130"/>
    <mergeCell ref="BP130:BQ130"/>
    <mergeCell ref="CB130:CD130"/>
    <mergeCell ref="CE130:CG130"/>
    <mergeCell ref="CH130:CJ130"/>
    <mergeCell ref="CK130:CR130"/>
    <mergeCell ref="AW128:BQ128"/>
    <mergeCell ref="BR128:CA128"/>
    <mergeCell ref="CB128:CG128"/>
    <mergeCell ref="AW131:AX131"/>
    <mergeCell ref="AY131:AZ131"/>
    <mergeCell ref="BA131:BB131"/>
    <mergeCell ref="BC131:BD131"/>
    <mergeCell ref="BE131:BF131"/>
    <mergeCell ref="BG131:BH131"/>
    <mergeCell ref="BK131:BM131"/>
    <mergeCell ref="BN131:BO131"/>
    <mergeCell ref="CH128:CR128"/>
    <mergeCell ref="AW129:AZ130"/>
    <mergeCell ref="BA129:BD130"/>
    <mergeCell ref="BE129:BF130"/>
    <mergeCell ref="BG129:BH130"/>
    <mergeCell ref="BI129:BJ130"/>
    <mergeCell ref="BK129:BM130"/>
    <mergeCell ref="BN129:BO129"/>
    <mergeCell ref="BP129:BQ129"/>
    <mergeCell ref="BR129:BS130"/>
    <mergeCell ref="BT129:BU130"/>
    <mergeCell ref="BV129:BW130"/>
    <mergeCell ref="BX129:BY130"/>
    <mergeCell ref="BZ129:CA130"/>
    <mergeCell ref="CB129:CG129"/>
    <mergeCell ref="CH129:CJ129"/>
    <mergeCell ref="BP131:BQ131"/>
    <mergeCell ref="BR131:BS131"/>
    <mergeCell ref="BT131:BU131"/>
    <mergeCell ref="BV131:BW131"/>
    <mergeCell ref="BX131:BY131"/>
    <mergeCell ref="BZ131:CA131"/>
    <mergeCell ref="CB131:CG131"/>
    <mergeCell ref="CH131:CJ131"/>
    <mergeCell ref="CK131:CR131"/>
    <mergeCell ref="BZ132:CA132"/>
    <mergeCell ref="CB132:CD132"/>
    <mergeCell ref="CE132:CG132"/>
    <mergeCell ref="CH132:CJ132"/>
    <mergeCell ref="AW132:AX132"/>
    <mergeCell ref="AY132:AZ132"/>
    <mergeCell ref="BA132:BB132"/>
    <mergeCell ref="BC132:BD132"/>
    <mergeCell ref="BE132:BF132"/>
    <mergeCell ref="BG132:BH132"/>
    <mergeCell ref="BK132:BM132"/>
    <mergeCell ref="BN132:BO132"/>
    <mergeCell ref="CK132:CR132"/>
    <mergeCell ref="AW133:AX133"/>
    <mergeCell ref="AY133:AZ133"/>
    <mergeCell ref="BA133:BB133"/>
    <mergeCell ref="BC133:BD133"/>
    <mergeCell ref="BE133:BF133"/>
    <mergeCell ref="BG133:BH133"/>
    <mergeCell ref="BK133:BM133"/>
    <mergeCell ref="BN133:BO133"/>
    <mergeCell ref="BP133:BQ133"/>
    <mergeCell ref="BR133:BS133"/>
    <mergeCell ref="BT133:BU133"/>
    <mergeCell ref="BV133:BW133"/>
    <mergeCell ref="BX133:BY133"/>
    <mergeCell ref="BZ133:CA133"/>
    <mergeCell ref="CB133:CD133"/>
    <mergeCell ref="CE133:CG133"/>
    <mergeCell ref="CH133:CJ133"/>
    <mergeCell ref="CK133:CR133"/>
    <mergeCell ref="BP132:BQ132"/>
    <mergeCell ref="BR132:BS132"/>
    <mergeCell ref="BT132:BU132"/>
    <mergeCell ref="BV132:BW132"/>
    <mergeCell ref="BX132:BY132"/>
    <mergeCell ref="CB134:CD134"/>
    <mergeCell ref="CE134:CG134"/>
    <mergeCell ref="CH134:CJ134"/>
    <mergeCell ref="AW134:AX134"/>
    <mergeCell ref="AY134:AZ134"/>
    <mergeCell ref="BA134:BB134"/>
    <mergeCell ref="BC134:BD134"/>
    <mergeCell ref="BE134:BF134"/>
    <mergeCell ref="BG134:BH134"/>
    <mergeCell ref="BK134:BM134"/>
    <mergeCell ref="BN134:BO134"/>
    <mergeCell ref="CK134:CR134"/>
    <mergeCell ref="AW135:AX135"/>
    <mergeCell ref="AY135:AZ135"/>
    <mergeCell ref="BA135:BB135"/>
    <mergeCell ref="BC135:BD135"/>
    <mergeCell ref="BE135:BF135"/>
    <mergeCell ref="BG135:BH135"/>
    <mergeCell ref="BK135:BM135"/>
    <mergeCell ref="BN135:BO135"/>
    <mergeCell ref="BP135:BQ135"/>
    <mergeCell ref="BR135:BS135"/>
    <mergeCell ref="BT135:BU135"/>
    <mergeCell ref="BV135:BW135"/>
    <mergeCell ref="BX135:BY135"/>
    <mergeCell ref="BZ135:CA135"/>
    <mergeCell ref="CB135:CG135"/>
    <mergeCell ref="CH135:CJ135"/>
    <mergeCell ref="CK135:CR135"/>
    <mergeCell ref="BP134:BQ134"/>
    <mergeCell ref="BR134:BS134"/>
    <mergeCell ref="BT134:BU134"/>
    <mergeCell ref="BV134:BW134"/>
    <mergeCell ref="BX134:BY134"/>
    <mergeCell ref="BZ134:CA134"/>
    <mergeCell ref="BR136:BS136"/>
    <mergeCell ref="BT136:BU136"/>
    <mergeCell ref="BV136:BW136"/>
    <mergeCell ref="BX136:BY136"/>
    <mergeCell ref="BZ136:CA136"/>
    <mergeCell ref="CB136:CG136"/>
    <mergeCell ref="CH136:CJ136"/>
    <mergeCell ref="CK136:CR136"/>
    <mergeCell ref="AW136:AX136"/>
    <mergeCell ref="AY136:AZ136"/>
    <mergeCell ref="BA136:BB136"/>
    <mergeCell ref="BC136:BD136"/>
    <mergeCell ref="BE136:BF136"/>
    <mergeCell ref="BG136:BH136"/>
    <mergeCell ref="BK136:BM136"/>
    <mergeCell ref="BN136:BO136"/>
    <mergeCell ref="AW137:AX137"/>
    <mergeCell ref="AY137:AZ137"/>
    <mergeCell ref="BA137:BB137"/>
    <mergeCell ref="BC137:BD137"/>
    <mergeCell ref="BE137:BF137"/>
    <mergeCell ref="BG137:BH137"/>
    <mergeCell ref="BK137:BM137"/>
    <mergeCell ref="BN137:BO137"/>
    <mergeCell ref="BP136:BQ136"/>
    <mergeCell ref="BP137:BQ137"/>
    <mergeCell ref="BR137:BS137"/>
    <mergeCell ref="BT137:BU137"/>
    <mergeCell ref="BV137:BW137"/>
    <mergeCell ref="BX137:BY137"/>
    <mergeCell ref="BZ137:CA137"/>
    <mergeCell ref="CB137:CG137"/>
    <mergeCell ref="CH137:CJ137"/>
    <mergeCell ref="CK137:CR137"/>
    <mergeCell ref="BZ138:CA138"/>
    <mergeCell ref="CB138:CD138"/>
    <mergeCell ref="CE138:CG138"/>
    <mergeCell ref="CH138:CJ138"/>
    <mergeCell ref="AW138:AX138"/>
    <mergeCell ref="AY138:AZ138"/>
    <mergeCell ref="BA138:BB138"/>
    <mergeCell ref="BC138:BD138"/>
    <mergeCell ref="BE138:BF138"/>
    <mergeCell ref="BG138:BH138"/>
    <mergeCell ref="BK138:BM138"/>
    <mergeCell ref="BN138:BO138"/>
    <mergeCell ref="CK138:CR138"/>
    <mergeCell ref="BP138:BQ138"/>
    <mergeCell ref="BR138:BS138"/>
    <mergeCell ref="BT138:BU138"/>
    <mergeCell ref="BV138:BW138"/>
    <mergeCell ref="BX138:BY138"/>
    <mergeCell ref="AW139:AX139"/>
    <mergeCell ref="AY139:AZ139"/>
    <mergeCell ref="BA139:BB139"/>
    <mergeCell ref="BC139:BD139"/>
    <mergeCell ref="BE139:BF139"/>
    <mergeCell ref="BG139:BH139"/>
    <mergeCell ref="BK139:BM139"/>
    <mergeCell ref="BN139:BO139"/>
    <mergeCell ref="BP139:BQ139"/>
    <mergeCell ref="BR139:BS139"/>
    <mergeCell ref="BT139:BU139"/>
    <mergeCell ref="BV139:BW139"/>
    <mergeCell ref="BX139:BY139"/>
    <mergeCell ref="BZ139:CA139"/>
    <mergeCell ref="CB139:CD139"/>
    <mergeCell ref="CE139:CG139"/>
    <mergeCell ref="CH139:CJ139"/>
    <mergeCell ref="CK139:CR139"/>
    <mergeCell ref="BR140:BS140"/>
    <mergeCell ref="BT140:BU140"/>
    <mergeCell ref="BV140:BW140"/>
    <mergeCell ref="BX140:BY140"/>
    <mergeCell ref="BZ140:CA140"/>
    <mergeCell ref="CB140:CG140"/>
    <mergeCell ref="CH140:CJ140"/>
    <mergeCell ref="CK140:CR140"/>
    <mergeCell ref="AW140:AX140"/>
    <mergeCell ref="AY140:AZ140"/>
    <mergeCell ref="BA140:BB140"/>
    <mergeCell ref="BC140:BD140"/>
    <mergeCell ref="BE140:BF140"/>
    <mergeCell ref="BG140:BH140"/>
    <mergeCell ref="BK140:BM140"/>
    <mergeCell ref="BN140:BO140"/>
    <mergeCell ref="AW141:AX141"/>
    <mergeCell ref="AY141:AZ141"/>
    <mergeCell ref="BA141:BB141"/>
    <mergeCell ref="BC141:BD141"/>
    <mergeCell ref="BE141:BF141"/>
    <mergeCell ref="BG141:BH141"/>
    <mergeCell ref="BK141:BM141"/>
    <mergeCell ref="BN141:BO141"/>
    <mergeCell ref="BP140:BQ140"/>
    <mergeCell ref="BP141:BQ141"/>
    <mergeCell ref="BR141:BS141"/>
    <mergeCell ref="BT141:BU141"/>
    <mergeCell ref="BV141:BW141"/>
    <mergeCell ref="BX141:BY141"/>
    <mergeCell ref="BZ141:CA141"/>
    <mergeCell ref="CB141:CG141"/>
    <mergeCell ref="CH141:CJ141"/>
    <mergeCell ref="CK141:CR141"/>
    <mergeCell ref="BR142:BS142"/>
    <mergeCell ref="BT142:BU142"/>
    <mergeCell ref="BV142:BW142"/>
    <mergeCell ref="BX142:BY142"/>
    <mergeCell ref="BZ142:CA142"/>
    <mergeCell ref="CB142:CG142"/>
    <mergeCell ref="CH142:CJ142"/>
    <mergeCell ref="CK142:CR142"/>
    <mergeCell ref="AW142:AX142"/>
    <mergeCell ref="AY142:AZ142"/>
    <mergeCell ref="BA142:BB142"/>
    <mergeCell ref="BC142:BD142"/>
    <mergeCell ref="BE142:BF142"/>
    <mergeCell ref="BG142:BH142"/>
    <mergeCell ref="BK142:BM142"/>
    <mergeCell ref="BN142:BO142"/>
    <mergeCell ref="AW143:AX143"/>
    <mergeCell ref="AY143:AZ143"/>
    <mergeCell ref="BA143:BB143"/>
    <mergeCell ref="BC143:BD143"/>
    <mergeCell ref="BE143:BF143"/>
    <mergeCell ref="BG143:BH143"/>
    <mergeCell ref="BK143:BM143"/>
    <mergeCell ref="BN143:BO143"/>
    <mergeCell ref="BP142:BQ142"/>
    <mergeCell ref="BP143:BQ143"/>
    <mergeCell ref="BR143:BS143"/>
    <mergeCell ref="BT143:BU143"/>
    <mergeCell ref="BV143:BW143"/>
    <mergeCell ref="BX143:BY143"/>
    <mergeCell ref="BZ143:CA143"/>
    <mergeCell ref="CB143:CG143"/>
    <mergeCell ref="CH143:CJ143"/>
    <mergeCell ref="CK143:CR143"/>
    <mergeCell ref="CC144:CF144"/>
    <mergeCell ref="CG144:CR144"/>
    <mergeCell ref="BQ145:CC145"/>
    <mergeCell ref="CD145:CP145"/>
    <mergeCell ref="BQ146:CC146"/>
    <mergeCell ref="CD146:CP146"/>
    <mergeCell ref="AW145:BE145"/>
    <mergeCell ref="AW146:BE146"/>
    <mergeCell ref="BF145:BP145"/>
    <mergeCell ref="BF146:BP146"/>
    <mergeCell ref="BQ147:CC147"/>
    <mergeCell ref="CD147:CP147"/>
    <mergeCell ref="BQ148:CC148"/>
    <mergeCell ref="CD148:CP148"/>
    <mergeCell ref="BQ149:CC149"/>
    <mergeCell ref="CD149:CP149"/>
    <mergeCell ref="AW147:BE147"/>
    <mergeCell ref="AW148:BE148"/>
    <mergeCell ref="AW149:BE149"/>
    <mergeCell ref="BF147:BP147"/>
    <mergeCell ref="BF148:BP148"/>
    <mergeCell ref="BF149:BP149"/>
    <mergeCell ref="AW153:CR153"/>
    <mergeCell ref="AW154:BH154"/>
    <mergeCell ref="BI154:BT154"/>
    <mergeCell ref="BU154:CF154"/>
    <mergeCell ref="CG154:CR154"/>
    <mergeCell ref="AW155:BB155"/>
    <mergeCell ref="BC155:BH155"/>
    <mergeCell ref="BI155:BN155"/>
    <mergeCell ref="BO155:BT155"/>
    <mergeCell ref="BU155:BZ155"/>
    <mergeCell ref="CA155:CF155"/>
    <mergeCell ref="CG155:CL155"/>
    <mergeCell ref="CM155:CR155"/>
    <mergeCell ref="BQ150:CC150"/>
    <mergeCell ref="CD150:CP150"/>
    <mergeCell ref="BQ151:CC151"/>
    <mergeCell ref="CD151:CP151"/>
    <mergeCell ref="BQ152:CC152"/>
    <mergeCell ref="CD152:CP152"/>
    <mergeCell ref="AW150:BE150"/>
    <mergeCell ref="AW151:BE151"/>
    <mergeCell ref="AW152:BE152"/>
    <mergeCell ref="BF150:BP150"/>
    <mergeCell ref="BF151:BP151"/>
    <mergeCell ref="BF152:BP152"/>
    <mergeCell ref="CP157:CR157"/>
    <mergeCell ref="AW160:AY160"/>
    <mergeCell ref="BI160:BK160"/>
    <mergeCell ref="BU160:BW160"/>
    <mergeCell ref="BR156:BT156"/>
    <mergeCell ref="BU156:BW156"/>
    <mergeCell ref="AW156:AY156"/>
    <mergeCell ref="BR157:BT157"/>
    <mergeCell ref="BU157:BW157"/>
    <mergeCell ref="AZ156:BB156"/>
    <mergeCell ref="BC156:BE156"/>
    <mergeCell ref="BF156:BH156"/>
    <mergeCell ref="BI156:BK156"/>
    <mergeCell ref="BL156:BN156"/>
    <mergeCell ref="BO156:BQ156"/>
    <mergeCell ref="BX156:BZ156"/>
    <mergeCell ref="CA156:CC156"/>
    <mergeCell ref="CD156:CF156"/>
    <mergeCell ref="CG156:CI156"/>
    <mergeCell ref="CJ156:CL156"/>
    <mergeCell ref="CM156:CO156"/>
    <mergeCell ref="CP156:CR156"/>
    <mergeCell ref="BX157:BZ157"/>
    <mergeCell ref="CA157:CC157"/>
    <mergeCell ref="AW157:AY157"/>
    <mergeCell ref="AZ157:BB157"/>
    <mergeCell ref="BC157:BE157"/>
    <mergeCell ref="BF157:BH157"/>
    <mergeCell ref="BI157:BK157"/>
    <mergeCell ref="BL157:BN157"/>
    <mergeCell ref="BO157:BQ157"/>
    <mergeCell ref="CJ157:CL157"/>
    <mergeCell ref="CM157:CO157"/>
    <mergeCell ref="CD157:CF157"/>
    <mergeCell ref="CG157:CI157"/>
    <mergeCell ref="AW158:AX158"/>
    <mergeCell ref="AY158:BB158"/>
    <mergeCell ref="BC158:BD158"/>
    <mergeCell ref="BE158:BH158"/>
    <mergeCell ref="BI158:BJ158"/>
    <mergeCell ref="BK158:BN158"/>
    <mergeCell ref="BO158:BP158"/>
    <mergeCell ref="BQ158:BT158"/>
    <mergeCell ref="BU158:BV158"/>
    <mergeCell ref="BW158:BZ158"/>
    <mergeCell ref="CA158:CB158"/>
    <mergeCell ref="CC158:CF158"/>
    <mergeCell ref="CG158:CH158"/>
    <mergeCell ref="CI158:CL158"/>
    <mergeCell ref="CM158:CN158"/>
    <mergeCell ref="CO158:CR158"/>
    <mergeCell ref="CG160:CI160"/>
    <mergeCell ref="BE161:BG161"/>
    <mergeCell ref="BQ161:BS161"/>
    <mergeCell ref="CC161:CE161"/>
    <mergeCell ref="CO161:CQ161"/>
  </mergeCells>
  <conditionalFormatting sqref="I31">
    <cfRule type="cellIs" dxfId="4657" priority="2150" operator="greaterThan">
      <formula>89.4999</formula>
    </cfRule>
    <cfRule type="cellIs" dxfId="4656" priority="2151" operator="between">
      <formula>87.5</formula>
      <formula>89.4999</formula>
    </cfRule>
    <cfRule type="cellIs" dxfId="4655" priority="2152" operator="between">
      <formula>84.5</formula>
      <formula>87.4999</formula>
    </cfRule>
    <cfRule type="cellIs" dxfId="4654" priority="2153" operator="between">
      <formula>81.5</formula>
      <formula>84.4999</formula>
    </cfRule>
  </conditionalFormatting>
  <conditionalFormatting sqref="C32:H32 J32:O32 Q32:V32 X32:AC32 AE32:AJ32">
    <cfRule type="expression" dxfId="4653" priority="2076">
      <formula>$S$5="WBGT"</formula>
    </cfRule>
    <cfRule type="expression" dxfId="4652" priority="2095">
      <formula>$S$5="Wind Chill"</formula>
    </cfRule>
  </conditionalFormatting>
  <conditionalFormatting sqref="C31 H31 J31 O31 Q31 V31 X31 AC31 AE31 AJ31">
    <cfRule type="expression" dxfId="4651" priority="2094">
      <formula>$S$5="Wind Chill"</formula>
    </cfRule>
  </conditionalFormatting>
  <conditionalFormatting sqref="G31">
    <cfRule type="expression" dxfId="4650" priority="2098">
      <formula>AND($S$5="Wind Chill",$G$31&gt;32.499)</formula>
    </cfRule>
    <cfRule type="expression" dxfId="4649" priority="2099">
      <formula>AND($S$5="Wind Chill",$G$31&gt;14.4999,$G$31&lt;32.5)</formula>
    </cfRule>
    <cfRule type="expression" dxfId="4648" priority="2100">
      <formula>AND($S$5="Wind Chill",$G$31&gt;-0.5001,$G$31&lt;14.5)</formula>
    </cfRule>
    <cfRule type="expression" dxfId="4647" priority="2101">
      <formula>AND($S$5="Wind Chill",$G$31&lt;0.5)</formula>
    </cfRule>
  </conditionalFormatting>
  <conditionalFormatting sqref="M31">
    <cfRule type="cellIs" dxfId="4646" priority="2029" stopIfTrue="1" operator="equal">
      <formula>"(NONE)"</formula>
    </cfRule>
    <cfRule type="cellIs" dxfId="4645" priority="2057" stopIfTrue="1" operator="equal">
      <formula>"BLACK"</formula>
    </cfRule>
    <cfRule type="cellIs" dxfId="4644" priority="2058" stopIfTrue="1" operator="equal">
      <formula>"RED"</formula>
    </cfRule>
    <cfRule type="cellIs" dxfId="4643" priority="2059" stopIfTrue="1" operator="equal">
      <formula>"YELLOW"</formula>
    </cfRule>
    <cfRule type="cellIs" dxfId="4642" priority="2060" stopIfTrue="1" operator="equal">
      <formula>"GREEN"</formula>
    </cfRule>
    <cfRule type="cellIs" dxfId="4641" priority="2062" operator="greaterThan">
      <formula>32.4999</formula>
    </cfRule>
    <cfRule type="cellIs" dxfId="4640" priority="2063" operator="between">
      <formula>14.5</formula>
      <formula>32.4999</formula>
    </cfRule>
    <cfRule type="cellIs" dxfId="4639" priority="2064" operator="between">
      <formula>-0.4999</formula>
      <formula>14.4999</formula>
    </cfRule>
    <cfRule type="cellIs" dxfId="4638" priority="2065" operator="lessThan">
      <formula>0.4999</formula>
    </cfRule>
  </conditionalFormatting>
  <conditionalFormatting sqref="C30:H30 J30:O30 Q30:V30 X30:AC30 AE30:AJ30">
    <cfRule type="expression" dxfId="4637" priority="2077">
      <formula>$S$5="WBGT"</formula>
    </cfRule>
    <cfRule type="expression" dxfId="4636" priority="2096">
      <formula>$S$5="Wind Chill"</formula>
    </cfRule>
  </conditionalFormatting>
  <conditionalFormatting sqref="C31:F31 H31 J31 O31 Q31 V31 X31 AC31 AE31 AJ31">
    <cfRule type="expression" dxfId="4635" priority="2075">
      <formula>$S$5="WBGT"</formula>
    </cfRule>
  </conditionalFormatting>
  <conditionalFormatting sqref="G31">
    <cfRule type="expression" dxfId="4634" priority="2070">
      <formula>AND($S$5="WBGT",$G$31&gt;77.5,$G$31&lt;81.4999)</formula>
    </cfRule>
  </conditionalFormatting>
  <conditionalFormatting sqref="G31">
    <cfRule type="expression" dxfId="4633" priority="2066">
      <formula>AND($S$5="WBGT",$G$31&gt;89.499)</formula>
    </cfRule>
    <cfRule type="expression" dxfId="4632" priority="2067">
      <formula>AND($S$5="WBGT",$G$31&gt;87.5,$G$31&lt;89.499)</formula>
    </cfRule>
    <cfRule type="expression" dxfId="4631" priority="2068">
      <formula>AND($S$5="WBGT",$G$31&gt;84.5,$G$31&lt;87.499)</formula>
    </cfRule>
    <cfRule type="expression" dxfId="4630" priority="2069">
      <formula>AND($S$5="WBGT",$G$31&gt;81.5,$G$31&lt;84.499)</formula>
    </cfRule>
  </conditionalFormatting>
  <conditionalFormatting sqref="M31">
    <cfRule type="cellIs" dxfId="4629" priority="2061" stopIfTrue="1" operator="equal">
      <formula>"WHITE"</formula>
    </cfRule>
  </conditionalFormatting>
  <conditionalFormatting sqref="T31">
    <cfRule type="cellIs" dxfId="4628" priority="2020" stopIfTrue="1" operator="equal">
      <formula>"(NONE)"</formula>
    </cfRule>
    <cfRule type="cellIs" dxfId="4627" priority="2021" stopIfTrue="1" operator="equal">
      <formula>"BLACK"</formula>
    </cfRule>
    <cfRule type="cellIs" dxfId="4626" priority="2022" stopIfTrue="1" operator="equal">
      <formula>"RED"</formula>
    </cfRule>
    <cfRule type="cellIs" dxfId="4625" priority="2023" stopIfTrue="1" operator="equal">
      <formula>"YELLOW"</formula>
    </cfRule>
    <cfRule type="cellIs" dxfId="4624" priority="2024" stopIfTrue="1" operator="equal">
      <formula>"GREEN"</formula>
    </cfRule>
    <cfRule type="cellIs" dxfId="4623" priority="2025" operator="greaterThan">
      <formula>32.4999</formula>
    </cfRule>
    <cfRule type="cellIs" dxfId="4622" priority="2026" operator="between">
      <formula>14.5</formula>
      <formula>32.4999</formula>
    </cfRule>
    <cfRule type="cellIs" dxfId="4621" priority="2027" operator="between">
      <formula>-0.4999</formula>
      <formula>14.4999</formula>
    </cfRule>
    <cfRule type="cellIs" dxfId="4620" priority="2028" operator="lessThan">
      <formula>0.4999</formula>
    </cfRule>
  </conditionalFormatting>
  <conditionalFormatting sqref="T31">
    <cfRule type="cellIs" dxfId="4619" priority="2019" stopIfTrue="1" operator="equal">
      <formula>"WHITE"</formula>
    </cfRule>
  </conditionalFormatting>
  <conditionalFormatting sqref="AA31">
    <cfRule type="cellIs" dxfId="4618" priority="2010" stopIfTrue="1" operator="equal">
      <formula>"(NONE)"</formula>
    </cfRule>
    <cfRule type="cellIs" dxfId="4617" priority="2011" stopIfTrue="1" operator="equal">
      <formula>"BLACK"</formula>
    </cfRule>
    <cfRule type="cellIs" dxfId="4616" priority="2012" stopIfTrue="1" operator="equal">
      <formula>"RED"</formula>
    </cfRule>
    <cfRule type="cellIs" dxfId="4615" priority="2013" stopIfTrue="1" operator="equal">
      <formula>"YELLOW"</formula>
    </cfRule>
    <cfRule type="cellIs" dxfId="4614" priority="2014" stopIfTrue="1" operator="equal">
      <formula>"GREEN"</formula>
    </cfRule>
    <cfRule type="cellIs" dxfId="4613" priority="2015" operator="greaterThan">
      <formula>32.4999</formula>
    </cfRule>
    <cfRule type="cellIs" dxfId="4612" priority="2016" operator="between">
      <formula>14.5</formula>
      <formula>32.4999</formula>
    </cfRule>
    <cfRule type="cellIs" dxfId="4611" priority="2017" operator="between">
      <formula>-0.4999</formula>
      <formula>14.4999</formula>
    </cfRule>
    <cfRule type="cellIs" dxfId="4610" priority="2018" operator="lessThan">
      <formula>0.4999</formula>
    </cfRule>
  </conditionalFormatting>
  <conditionalFormatting sqref="AA31">
    <cfRule type="cellIs" dxfId="4609" priority="2009" stopIfTrue="1" operator="equal">
      <formula>"WHITE"</formula>
    </cfRule>
  </conditionalFormatting>
  <conditionalFormatting sqref="AH31">
    <cfRule type="cellIs" dxfId="4608" priority="2000" stopIfTrue="1" operator="equal">
      <formula>"(NONE)"</formula>
    </cfRule>
    <cfRule type="cellIs" dxfId="4607" priority="2001" stopIfTrue="1" operator="equal">
      <formula>"BLACK"</formula>
    </cfRule>
    <cfRule type="cellIs" dxfId="4606" priority="2002" stopIfTrue="1" operator="equal">
      <formula>"RED"</formula>
    </cfRule>
    <cfRule type="cellIs" dxfId="4605" priority="2003" stopIfTrue="1" operator="equal">
      <formula>"YELLOW"</formula>
    </cfRule>
    <cfRule type="cellIs" dxfId="4604" priority="2004" stopIfTrue="1" operator="equal">
      <formula>"GREEN"</formula>
    </cfRule>
    <cfRule type="cellIs" dxfId="4603" priority="2005" operator="greaterThan">
      <formula>32.4999</formula>
    </cfRule>
    <cfRule type="cellIs" dxfId="4602" priority="2006" operator="between">
      <formula>14.5</formula>
      <formula>32.4999</formula>
    </cfRule>
    <cfRule type="cellIs" dxfId="4601" priority="2007" operator="between">
      <formula>-0.4999</formula>
      <formula>14.4999</formula>
    </cfRule>
    <cfRule type="cellIs" dxfId="4600" priority="2008" operator="lessThan">
      <formula>0.4999</formula>
    </cfRule>
  </conditionalFormatting>
  <conditionalFormatting sqref="AH31">
    <cfRule type="cellIs" dxfId="4599" priority="1999" stopIfTrue="1" operator="equal">
      <formula>"WHITE"</formula>
    </cfRule>
  </conditionalFormatting>
  <conditionalFormatting sqref="BQ161 BE161 CC161 CO161">
    <cfRule type="cellIs" dxfId="4598" priority="1022" operator="greaterThan">
      <formula>32</formula>
    </cfRule>
    <cfRule type="cellIs" dxfId="4597" priority="1023" operator="between">
      <formula>15</formula>
      <formula>32</formula>
    </cfRule>
    <cfRule type="cellIs" dxfId="4596" priority="1024" operator="between">
      <formula>0</formula>
      <formula>15</formula>
    </cfRule>
    <cfRule type="cellIs" dxfId="4595" priority="1025" operator="lessThan">
      <formula>0</formula>
    </cfRule>
  </conditionalFormatting>
  <conditionalFormatting sqref="BQ161 BE161 CC161 CO161">
    <cfRule type="cellIs" dxfId="4594" priority="1021" operator="equal">
      <formula>"WHITE"</formula>
    </cfRule>
  </conditionalFormatting>
  <conditionalFormatting sqref="BQ161 BE161 CC161 CO161">
    <cfRule type="cellIs" dxfId="4593" priority="1017" operator="equal">
      <formula>"BLACK"</formula>
    </cfRule>
    <cfRule type="cellIs" dxfId="4592" priority="1018" operator="equal">
      <formula>"RED"</formula>
    </cfRule>
    <cfRule type="cellIs" dxfId="4591" priority="1019" operator="equal">
      <formula>"YELLOW"</formula>
    </cfRule>
    <cfRule type="cellIs" dxfId="4590" priority="1020" operator="equal">
      <formula>"GREEN"</formula>
    </cfRule>
  </conditionalFormatting>
  <conditionalFormatting sqref="BQ161 BE161 CC161 CO161">
    <cfRule type="cellIs" dxfId="4589" priority="1016" operator="equal">
      <formula>"(NONE)"</formula>
    </cfRule>
  </conditionalFormatting>
  <conditionalFormatting sqref="BR131">
    <cfRule type="expression" dxfId="4588" priority="1014">
      <formula>$R$72="Y"</formula>
    </cfRule>
    <cfRule type="expression" dxfId="4587" priority="1015">
      <formula>$R$72="R"</formula>
    </cfRule>
  </conditionalFormatting>
  <conditionalFormatting sqref="BR133">
    <cfRule type="expression" dxfId="4586" priority="1010">
      <formula>$R$74="Y"</formula>
    </cfRule>
    <cfRule type="expression" dxfId="4585" priority="1011">
      <formula>$R$74="R"</formula>
    </cfRule>
  </conditionalFormatting>
  <conditionalFormatting sqref="BR134">
    <cfRule type="expression" dxfId="4584" priority="1008">
      <formula>$R$75="Y"</formula>
    </cfRule>
    <cfRule type="expression" dxfId="4583" priority="1009">
      <formula>$R$75="R"</formula>
    </cfRule>
  </conditionalFormatting>
  <conditionalFormatting sqref="BR135">
    <cfRule type="expression" dxfId="4582" priority="1006">
      <formula>$R$76="Y"</formula>
    </cfRule>
    <cfRule type="expression" dxfId="4581" priority="1007">
      <formula>$R$76="R"</formula>
    </cfRule>
  </conditionalFormatting>
  <conditionalFormatting sqref="BR136">
    <cfRule type="expression" dxfId="4580" priority="1004">
      <formula>$R$77="Y"</formula>
    </cfRule>
    <cfRule type="expression" dxfId="4579" priority="1005">
      <formula>$R$77="R"</formula>
    </cfRule>
  </conditionalFormatting>
  <conditionalFormatting sqref="BR137">
    <cfRule type="expression" dxfId="4578" priority="1002">
      <formula>$R$78="Y"</formula>
    </cfRule>
    <cfRule type="expression" dxfId="4577" priority="1003">
      <formula>$R$78="R"</formula>
    </cfRule>
  </conditionalFormatting>
  <conditionalFormatting sqref="BR138">
    <cfRule type="expression" dxfId="4576" priority="1000">
      <formula>$R$79="Y"</formula>
    </cfRule>
    <cfRule type="expression" dxfId="4575" priority="1001">
      <formula>$R$79="R"</formula>
    </cfRule>
  </conditionalFormatting>
  <conditionalFormatting sqref="BR139">
    <cfRule type="expression" dxfId="4574" priority="998">
      <formula>$R$80="Y"</formula>
    </cfRule>
    <cfRule type="expression" dxfId="4573" priority="999">
      <formula>$R$80="R"</formula>
    </cfRule>
  </conditionalFormatting>
  <conditionalFormatting sqref="BR140">
    <cfRule type="expression" dxfId="4572" priority="996">
      <formula>$R$81="Y"</formula>
    </cfRule>
    <cfRule type="expression" dxfId="4571" priority="997">
      <formula>$R$81="R"</formula>
    </cfRule>
  </conditionalFormatting>
  <conditionalFormatting sqref="BR141">
    <cfRule type="expression" dxfId="4570" priority="994">
      <formula>$R$82="Y"</formula>
    </cfRule>
    <cfRule type="expression" dxfId="4569" priority="995">
      <formula>$R$82="R"</formula>
    </cfRule>
  </conditionalFormatting>
  <conditionalFormatting sqref="BR142">
    <cfRule type="expression" dxfId="4568" priority="992">
      <formula>$R$83="Y"</formula>
    </cfRule>
    <cfRule type="expression" dxfId="4567" priority="993">
      <formula>$R$83="R"</formula>
    </cfRule>
  </conditionalFormatting>
  <conditionalFormatting sqref="BT138">
    <cfRule type="expression" dxfId="4566" priority="987">
      <formula>$S$79="Y"</formula>
    </cfRule>
    <cfRule type="expression" dxfId="4565" priority="988">
      <formula>$S$79="R"</formula>
    </cfRule>
  </conditionalFormatting>
  <conditionalFormatting sqref="BT131">
    <cfRule type="expression" dxfId="4564" priority="985">
      <formula>$S$72="Y"</formula>
    </cfRule>
    <cfRule type="expression" dxfId="4563" priority="986">
      <formula>$S$72="R"</formula>
    </cfRule>
  </conditionalFormatting>
  <conditionalFormatting sqref="BT132">
    <cfRule type="expression" dxfId="4562" priority="983">
      <formula>$S$73="Y"</formula>
    </cfRule>
    <cfRule type="expression" dxfId="4561" priority="984">
      <formula>$S$73="R"</formula>
    </cfRule>
  </conditionalFormatting>
  <conditionalFormatting sqref="BT133">
    <cfRule type="expression" dxfId="4560" priority="981">
      <formula>$S$74="Y"</formula>
    </cfRule>
    <cfRule type="expression" dxfId="4559" priority="982">
      <formula>$S$74="R"</formula>
    </cfRule>
  </conditionalFormatting>
  <conditionalFormatting sqref="BT134">
    <cfRule type="expression" dxfId="4558" priority="979">
      <formula>$S$75="Y"</formula>
    </cfRule>
    <cfRule type="expression" dxfId="4557" priority="980">
      <formula>$S$75="R"</formula>
    </cfRule>
  </conditionalFormatting>
  <conditionalFormatting sqref="BT135">
    <cfRule type="expression" dxfId="4556" priority="977">
      <formula>$S$76="Y"</formula>
    </cfRule>
    <cfRule type="expression" dxfId="4555" priority="978">
      <formula>$S$76="R"</formula>
    </cfRule>
  </conditionalFormatting>
  <conditionalFormatting sqref="BT136">
    <cfRule type="expression" dxfId="4554" priority="975">
      <formula>$S$77="Y"</formula>
    </cfRule>
    <cfRule type="expression" dxfId="4553" priority="976">
      <formula>$S$77="R"</formula>
    </cfRule>
  </conditionalFormatting>
  <conditionalFormatting sqref="BT137">
    <cfRule type="expression" dxfId="4552" priority="973">
      <formula>$S$78="Y"</formula>
    </cfRule>
    <cfRule type="expression" dxfId="4551" priority="974">
      <formula>$S$78="R"</formula>
    </cfRule>
  </conditionalFormatting>
  <conditionalFormatting sqref="BT139">
    <cfRule type="expression" dxfId="4550" priority="971">
      <formula>$S$80="Y"</formula>
    </cfRule>
    <cfRule type="expression" dxfId="4549" priority="972">
      <formula>$S$80="R"</formula>
    </cfRule>
  </conditionalFormatting>
  <conditionalFormatting sqref="BT140">
    <cfRule type="expression" dxfId="4548" priority="969">
      <formula>$S$81="Y"</formula>
    </cfRule>
    <cfRule type="expression" dxfId="4547" priority="970">
      <formula>$S$81="R"</formula>
    </cfRule>
  </conditionalFormatting>
  <conditionalFormatting sqref="BT141">
    <cfRule type="expression" dxfId="4546" priority="967">
      <formula>$S$82="Y"</formula>
    </cfRule>
    <cfRule type="expression" dxfId="4545" priority="968">
      <formula>$S$82="R"</formula>
    </cfRule>
  </conditionalFormatting>
  <conditionalFormatting sqref="BT142">
    <cfRule type="expression" dxfId="4544" priority="965">
      <formula>$S$83="Y"</formula>
    </cfRule>
    <cfRule type="expression" dxfId="4543" priority="966">
      <formula>$S$83="R"</formula>
    </cfRule>
  </conditionalFormatting>
  <conditionalFormatting sqref="BV138">
    <cfRule type="expression" dxfId="4542" priority="961">
      <formula>$T$79="Y"</formula>
    </cfRule>
    <cfRule type="expression" dxfId="4541" priority="962">
      <formula>$T$79="R"</formula>
    </cfRule>
  </conditionalFormatting>
  <conditionalFormatting sqref="BV131">
    <cfRule type="expression" dxfId="4540" priority="959">
      <formula>$T$72="Y"</formula>
    </cfRule>
    <cfRule type="expression" dxfId="4539" priority="960">
      <formula>$T$72="R"</formula>
    </cfRule>
  </conditionalFormatting>
  <conditionalFormatting sqref="BV132">
    <cfRule type="expression" dxfId="4538" priority="957">
      <formula>$T$73="Y"</formula>
    </cfRule>
    <cfRule type="expression" dxfId="4537" priority="958">
      <formula>$T$73="R"</formula>
    </cfRule>
  </conditionalFormatting>
  <conditionalFormatting sqref="BV133">
    <cfRule type="expression" dxfId="4536" priority="955">
      <formula>$T$74="Y"</formula>
    </cfRule>
    <cfRule type="expression" dxfId="4535" priority="956">
      <formula>$T$74="R"</formula>
    </cfRule>
  </conditionalFormatting>
  <conditionalFormatting sqref="BV134">
    <cfRule type="expression" dxfId="4534" priority="953">
      <formula>$T$75="Y"</formula>
    </cfRule>
    <cfRule type="expression" dxfId="4533" priority="954">
      <formula>$T$75="R"</formula>
    </cfRule>
  </conditionalFormatting>
  <conditionalFormatting sqref="BV135">
    <cfRule type="expression" dxfId="4532" priority="951">
      <formula>$T$76="Y"</formula>
    </cfRule>
    <cfRule type="expression" dxfId="4531" priority="952">
      <formula>$T$76="R"</formula>
    </cfRule>
  </conditionalFormatting>
  <conditionalFormatting sqref="BV136">
    <cfRule type="expression" dxfId="4530" priority="949">
      <formula>$T$77="Y"</formula>
    </cfRule>
    <cfRule type="expression" dxfId="4529" priority="950">
      <formula>$T$77="R"</formula>
    </cfRule>
  </conditionalFormatting>
  <conditionalFormatting sqref="BV137">
    <cfRule type="expression" dxfId="4528" priority="947">
      <formula>$T$78="Y"</formula>
    </cfRule>
    <cfRule type="expression" dxfId="4527" priority="948">
      <formula>$T$78="R"</formula>
    </cfRule>
  </conditionalFormatting>
  <conditionalFormatting sqref="BV139">
    <cfRule type="expression" dxfId="4526" priority="945">
      <formula>$T$80="Y"</formula>
    </cfRule>
    <cfRule type="expression" dxfId="4525" priority="946">
      <formula>$T$80="R"</formula>
    </cfRule>
  </conditionalFormatting>
  <conditionalFormatting sqref="BV140">
    <cfRule type="expression" dxfId="4524" priority="943">
      <formula>$T$81="Y"</formula>
    </cfRule>
    <cfRule type="expression" dxfId="4523" priority="944">
      <formula>$T$81="R"</formula>
    </cfRule>
  </conditionalFormatting>
  <conditionalFormatting sqref="BV141">
    <cfRule type="expression" dxfId="4522" priority="941">
      <formula>$T$82="Y"</formula>
    </cfRule>
    <cfRule type="expression" dxfId="4521" priority="942">
      <formula>$T$82="R"</formula>
    </cfRule>
  </conditionalFormatting>
  <conditionalFormatting sqref="BV142">
    <cfRule type="expression" dxfId="4520" priority="939">
      <formula>$T$83="Y"</formula>
    </cfRule>
    <cfRule type="expression" dxfId="4519" priority="940">
      <formula>$T$83="R"</formula>
    </cfRule>
  </conditionalFormatting>
  <conditionalFormatting sqref="BR131:CA131">
    <cfRule type="expression" dxfId="4518" priority="151" stopIfTrue="1">
      <formula>OR(VALUE(MID($CF$114,15,2))&gt;HOUR($AW$131),VALUE(MID($CF$114,15,2))=HOUR($AW$13))</formula>
    </cfRule>
  </conditionalFormatting>
  <conditionalFormatting sqref="BR133:CA133">
    <cfRule type="expression" dxfId="4517" priority="141" stopIfTrue="1">
      <formula>OR(VALUE(MID($CF$114,15,2))&gt;HOUR($AW$133),VALUE(MID($CF$114,15,2))=HOUR($AW$133))</formula>
    </cfRule>
  </conditionalFormatting>
  <conditionalFormatting sqref="BR134:CA134">
    <cfRule type="expression" dxfId="4516" priority="132" stopIfTrue="1">
      <formula>OR(VALUE(MID($CF$114,15,2))&gt;HOUR($AW$134),VALUE(MID($CF$114,15,2))=HOUR($AW$134))</formula>
    </cfRule>
  </conditionalFormatting>
  <conditionalFormatting sqref="BR135:CA135">
    <cfRule type="expression" dxfId="4515" priority="131" stopIfTrue="1">
      <formula>OR(VALUE(MID($CF$114,15,2))&gt;HOUR($AW$135),VALUE(MID($CF$114,15,2))=HOUR($AW$135))</formula>
    </cfRule>
  </conditionalFormatting>
  <conditionalFormatting sqref="BR136:CA136">
    <cfRule type="expression" dxfId="4514" priority="129" stopIfTrue="1">
      <formula>OR(VALUE(MID($CF$114,15,2))&gt;HOUR($AW$136),VALUE(MID($CF$114,15,2))=HOUR($AW$136))</formula>
    </cfRule>
  </conditionalFormatting>
  <conditionalFormatting sqref="BR137:CA137">
    <cfRule type="expression" dxfId="4513" priority="127" stopIfTrue="1">
      <formula>OR(VALUE(MID($CF$114,15,2))&gt;HOUR($AW$137),VALUE(MID($CF$114,15,2))=HOUR($AW$137))</formula>
    </cfRule>
  </conditionalFormatting>
  <conditionalFormatting sqref="BR138:CA138">
    <cfRule type="expression" dxfId="4512" priority="136" stopIfTrue="1">
      <formula>OR(VALUE(MID($CF$114,15,2))&gt;HOUR($AW$138),VALUE(MID($CF$114,15,2))=HOUR($AW$138))</formula>
    </cfRule>
  </conditionalFormatting>
  <conditionalFormatting sqref="BR139:CA139">
    <cfRule type="expression" dxfId="4511" priority="125" stopIfTrue="1">
      <formula>OR(VALUE(MID($CF$114,15,2))&gt;HOUR($AW$139),VALUE(MID($CF$114,15,2))=HOUR($AW$139))</formula>
    </cfRule>
  </conditionalFormatting>
  <conditionalFormatting sqref="CK130">
    <cfRule type="expression" dxfId="4510" priority="709">
      <formula>VALUE(RIGHT($CK$130,3))&lt;-39</formula>
    </cfRule>
    <cfRule type="expression" dxfId="4509" priority="759">
      <formula>AND(VALUE(RIGHT($CK$130,3))&lt;-29,VALUE(RIGHT($CK$130,3))&gt;-40)</formula>
    </cfRule>
    <cfRule type="expression" dxfId="4508" priority="842">
      <formula>AND(VALUE(RIGHT($CK$130,3))&lt;-9,VALUE(RIGHT($CK$130,3))&gt;-20)</formula>
    </cfRule>
    <cfRule type="expression" dxfId="4507" priority="843">
      <formula>AND(VALUE(RIGHT($CK$130,3))&lt;-4,VALUE(RIGHT($CK$130,3))&gt;-10)</formula>
    </cfRule>
    <cfRule type="expression" dxfId="4506" priority="844">
      <formula>AND(VALUE(RIGHT($CK$130,3))&lt;1,VALUE(RIGHT($CK$130,3))&gt;-5)</formula>
    </cfRule>
    <cfRule type="expression" dxfId="4505" priority="845">
      <formula>AND(VALUE(RIGHT($CK$130,3))&gt;0,VALUE(RIGHT($CK$130,3))&lt;5)</formula>
    </cfRule>
    <cfRule type="expression" dxfId="4504" priority="846">
      <formula>AND(VALUE(RIGHT($CK$130,3))&gt;4,VALUE(RIGHT($CK$130,3))&lt;10)</formula>
    </cfRule>
    <cfRule type="expression" dxfId="4503" priority="847">
      <formula>AND(VALUE(RIGHT($CK$130,3))&gt;9,VALUE(RIGHT($CK$130,3))&lt;20)</formula>
    </cfRule>
    <cfRule type="expression" dxfId="4502" priority="848">
      <formula>VALUE(RIGHT($CK$130,3))&gt;19</formula>
    </cfRule>
  </conditionalFormatting>
  <conditionalFormatting sqref="CK130">
    <cfRule type="expression" dxfId="4501" priority="841">
      <formula>AND(VALUE(RIGHT($CK$130,3))&lt;-19,VALUE(RIGHT($CK$130,3))&gt;-30)</formula>
    </cfRule>
  </conditionalFormatting>
  <conditionalFormatting sqref="CK131">
    <cfRule type="expression" dxfId="4500" priority="710">
      <formula>VALUE(RIGHT($CK$131,3))&lt;-39</formula>
    </cfRule>
    <cfRule type="expression" dxfId="4499" priority="758">
      <formula>AND(VALUE(RIGHT($CK$131,3))&lt;-29,VALUE(RIGHT($CK$131,3))&gt;-40)</formula>
    </cfRule>
    <cfRule type="expression" dxfId="4498" priority="834">
      <formula>AND(VALUE(RIGHT($CK$131,3))&lt;-9,VALUE(RIGHT($CK$131,3))&gt;-20)</formula>
    </cfRule>
    <cfRule type="expression" dxfId="4497" priority="835">
      <formula>AND(VALUE(RIGHT($CK$131,3))&lt;-4,VALUE(RIGHT($CK$131,3))&gt;-10)</formula>
    </cfRule>
    <cfRule type="expression" dxfId="4496" priority="836">
      <formula>AND(VALUE(RIGHT($CK$131,3))&lt;1,VALUE(RIGHT($CK$131,3))&gt;-5)</formula>
    </cfRule>
    <cfRule type="expression" dxfId="4495" priority="837">
      <formula>AND(VALUE(RIGHT($CK$131,3))&gt;0,VALUE(RIGHT($CK$131,3))&lt;5)</formula>
    </cfRule>
    <cfRule type="expression" dxfId="4494" priority="838">
      <formula>AND(VALUE(RIGHT($CK$131,3))&gt;4,VALUE(RIGHT($CK$131,3))&lt;10)</formula>
    </cfRule>
    <cfRule type="expression" dxfId="4493" priority="839">
      <formula>AND(VALUE(RIGHT($CK$131,3))&gt;9,VALUE(RIGHT($CK$131,3))&lt;20)</formula>
    </cfRule>
    <cfRule type="expression" dxfId="4492" priority="840">
      <formula>VALUE(RIGHT($CK$131,3))&gt;19</formula>
    </cfRule>
  </conditionalFormatting>
  <conditionalFormatting sqref="CK131">
    <cfRule type="expression" dxfId="4491" priority="833">
      <formula>AND(VALUE(RIGHT($CK$131,3))&lt;-19,VALUE(RIGHT($CK$131,3))&gt;-30)</formula>
    </cfRule>
  </conditionalFormatting>
  <conditionalFormatting sqref="CK132">
    <cfRule type="expression" dxfId="4490" priority="711">
      <formula>VALUE(RIGHT($CK$132,3))&lt;-39</formula>
    </cfRule>
    <cfRule type="expression" dxfId="4489" priority="757">
      <formula>AND(VALUE(RIGHT($CK$132,3))&lt;-29,VALUE(RIGHT($CK$132,3))&gt;-40)</formula>
    </cfRule>
    <cfRule type="expression" dxfId="4488" priority="826">
      <formula>AND(VALUE(RIGHT($CK$132,3))&lt;-9,VALUE(RIGHT($CK$132,3))&gt;-20)</formula>
    </cfRule>
    <cfRule type="expression" dxfId="4487" priority="827">
      <formula>AND(VALUE(RIGHT($CK$132,3))&lt;-4,VALUE(RIGHT($CK$132,3))&gt;-10)</formula>
    </cfRule>
    <cfRule type="expression" dxfId="4486" priority="828">
      <formula>AND(VALUE(RIGHT($CK$132,3))&lt;1,VALUE(RIGHT($CK$132,3))&gt;-5)</formula>
    </cfRule>
    <cfRule type="expression" dxfId="4485" priority="829">
      <formula>AND(VALUE(RIGHT($CK$132,3))&gt;0,VALUE(RIGHT($CK$132,3))&lt;5)</formula>
    </cfRule>
    <cfRule type="expression" dxfId="4484" priority="830">
      <formula>AND(VALUE(RIGHT($CK$132,3))&gt;4,VALUE(RIGHT($CK$132,3))&lt;10)</formula>
    </cfRule>
    <cfRule type="expression" dxfId="4483" priority="831">
      <formula>AND(VALUE(RIGHT($CK$132,3))&gt;9,VALUE(RIGHT($CK$132,3))&lt;20)</formula>
    </cfRule>
    <cfRule type="expression" dxfId="4482" priority="832">
      <formula>VALUE(RIGHT($CK$132,3))&gt;19</formula>
    </cfRule>
  </conditionalFormatting>
  <conditionalFormatting sqref="CK132">
    <cfRule type="expression" dxfId="4481" priority="825">
      <formula>AND(VALUE(RIGHT($CK$132,3))&lt;-19,VALUE(RIGHT($CK$132,3))&gt;-30)</formula>
    </cfRule>
  </conditionalFormatting>
  <conditionalFormatting sqref="CK133">
    <cfRule type="expression" dxfId="4480" priority="712">
      <formula>VALUE(RIGHT($CK$133,3))&lt;-39</formula>
    </cfRule>
    <cfRule type="expression" dxfId="4479" priority="756">
      <formula>AND(VALUE(RIGHT($CK$133,3))&lt;-29,VALUE(RIGHT($CK$133,3))&gt;-40)</formula>
    </cfRule>
    <cfRule type="expression" dxfId="4478" priority="818">
      <formula>AND(VALUE(RIGHT($CK$133,3))&lt;-9,VALUE(RIGHT($CK$133,3))&gt;-20)</formula>
    </cfRule>
    <cfRule type="expression" dxfId="4477" priority="819">
      <formula>AND(VALUE(RIGHT($CK$133,3))&lt;-4,VALUE(RIGHT($CK$133,3))&gt;-10)</formula>
    </cfRule>
    <cfRule type="expression" dxfId="4476" priority="820">
      <formula>AND(VALUE(RIGHT($CK$133,3))&lt;1,VALUE(RIGHT($CK$133,3))&gt;-5)</formula>
    </cfRule>
    <cfRule type="expression" dxfId="4475" priority="821">
      <formula>AND(VALUE(RIGHT($CK$133,3))&gt;0,VALUE(RIGHT($CK$133,3))&lt;5)</formula>
    </cfRule>
    <cfRule type="expression" dxfId="4474" priority="822">
      <formula>AND(VALUE(RIGHT($CK$133,3))&gt;4,VALUE(RIGHT($CK$133,3))&lt;10)</formula>
    </cfRule>
    <cfRule type="expression" dxfId="4473" priority="823">
      <formula>AND(VALUE(RIGHT($CK$133,3))&gt;9,VALUE(RIGHT($CK$133,3))&lt;20)</formula>
    </cfRule>
    <cfRule type="expression" dxfId="4472" priority="824">
      <formula>VALUE(RIGHT($CK$133,3))&gt;19</formula>
    </cfRule>
  </conditionalFormatting>
  <conditionalFormatting sqref="CK133">
    <cfRule type="expression" dxfId="4471" priority="817">
      <formula>AND(VALUE(RIGHT($CK$133,3))&lt;-19,VALUE(RIGHT($CK$133,3))&gt;-30)</formula>
    </cfRule>
  </conditionalFormatting>
  <conditionalFormatting sqref="CK134">
    <cfRule type="expression" dxfId="4470" priority="713">
      <formula>VALUE(RIGHT($CK$134,3))&lt;-39</formula>
    </cfRule>
    <cfRule type="expression" dxfId="4469" priority="755">
      <formula>AND(VALUE(RIGHT($CK$134,3))&lt;-29,VALUE(RIGHT($CK$134,3))&gt;-40)</formula>
    </cfRule>
    <cfRule type="expression" dxfId="4468" priority="810">
      <formula>AND(VALUE(RIGHT($CK$134,3))&lt;-9,VALUE(RIGHT($CK$134,3))&gt;-20)</formula>
    </cfRule>
    <cfRule type="expression" dxfId="4467" priority="811">
      <formula>AND(VALUE(RIGHT($CK$134,3))&lt;-4,VALUE(RIGHT($CK$134,3))&gt;-10)</formula>
    </cfRule>
    <cfRule type="expression" dxfId="4466" priority="812">
      <formula>AND(VALUE(RIGHT($CK$134,3))&lt;1,VALUE(RIGHT($CK$134,3))&gt;-5)</formula>
    </cfRule>
    <cfRule type="expression" dxfId="4465" priority="813">
      <formula>AND(VALUE(RIGHT($CK$134,3))&gt;0,VALUE(RIGHT($CK$134,3))&lt;5)</formula>
    </cfRule>
    <cfRule type="expression" dxfId="4464" priority="814">
      <formula>AND(VALUE(RIGHT($CK$134,3))&gt;4,VALUE(RIGHT($CK$134,3))&lt;10)</formula>
    </cfRule>
    <cfRule type="expression" dxfId="4463" priority="815">
      <formula>AND(VALUE(RIGHT($CK$134,3))&gt;9,VALUE(RIGHT($CK$134,3))&lt;20)</formula>
    </cfRule>
    <cfRule type="expression" dxfId="4462" priority="816">
      <formula>VALUE(RIGHT($CK$134,3))&gt;19</formula>
    </cfRule>
  </conditionalFormatting>
  <conditionalFormatting sqref="CK134">
    <cfRule type="expression" dxfId="4461" priority="809">
      <formula>AND(VALUE(RIGHT($CK$134,3))&lt;-19,VALUE(RIGHT($CK$134,3))&gt;-30)</formula>
    </cfRule>
  </conditionalFormatting>
  <conditionalFormatting sqref="CK135">
    <cfRule type="expression" dxfId="4460" priority="714">
      <formula>VALUE(RIGHT($CK$135,3))&lt;-39</formula>
    </cfRule>
    <cfRule type="expression" dxfId="4459" priority="754">
      <formula>AND(VALUE(RIGHT($CK$135,3))&lt;-29,VALUE(RIGHT($CK$135,3))&gt;-40)</formula>
    </cfRule>
    <cfRule type="expression" dxfId="4458" priority="802">
      <formula>AND(VALUE(RIGHT($CK$135,3))&lt;-9,VALUE(RIGHT($CK$135,3))&gt;-20)</formula>
    </cfRule>
    <cfRule type="expression" dxfId="4457" priority="803">
      <formula>AND(VALUE(RIGHT($CK$135,3))&lt;-4,VALUE(RIGHT($CK$135,3))&gt;-10)</formula>
    </cfRule>
    <cfRule type="expression" dxfId="4456" priority="804">
      <formula>AND(VALUE(RIGHT($CK$135,3))&lt;1,VALUE(RIGHT($CK$135,3))&gt;-5)</formula>
    </cfRule>
    <cfRule type="expression" dxfId="4455" priority="805">
      <formula>AND(VALUE(RIGHT($CK$135,3))&gt;0,VALUE(RIGHT($CK$135,3))&lt;5)</formula>
    </cfRule>
    <cfRule type="expression" dxfId="4454" priority="806">
      <formula>AND(VALUE(RIGHT($CK$135,3))&gt;4,VALUE(RIGHT($CK$135,3))&lt;10)</formula>
    </cfRule>
    <cfRule type="expression" dxfId="4453" priority="807">
      <formula>AND(VALUE(RIGHT($CK$135,3))&gt;9,VALUE(RIGHT($CK$135,3))&lt;20)</formula>
    </cfRule>
    <cfRule type="expression" dxfId="4452" priority="808">
      <formula>VALUE(RIGHT($CK$135,3))&gt;19</formula>
    </cfRule>
  </conditionalFormatting>
  <conditionalFormatting sqref="CK135">
    <cfRule type="expression" dxfId="4451" priority="801">
      <formula>AND(VALUE(RIGHT($CK$135,3))&lt;-19,VALUE(RIGHT($CK$135,3))&gt;-30)</formula>
    </cfRule>
  </conditionalFormatting>
  <conditionalFormatting sqref="CK136">
    <cfRule type="expression" dxfId="4450" priority="715">
      <formula>VALUE(RIGHT($CK$136,3))&lt;-39</formula>
    </cfRule>
    <cfRule type="expression" dxfId="4449" priority="753">
      <formula>AND(VALUE(RIGHT($CK$136,3))&lt;-29,VALUE(RIGHT($CK$136,3))&gt;-40)</formula>
    </cfRule>
    <cfRule type="expression" dxfId="4448" priority="794">
      <formula>AND(VALUE(RIGHT($CK$136,3))&lt;-9,VALUE(RIGHT($CK$136,3))&gt;-20)</formula>
    </cfRule>
    <cfRule type="expression" dxfId="4447" priority="795">
      <formula>AND(VALUE(RIGHT($CK$136,3))&lt;-4,VALUE(RIGHT($CK$136,3))&gt;-10)</formula>
    </cfRule>
    <cfRule type="expression" dxfId="4446" priority="796">
      <formula>AND(VALUE(RIGHT($CK$136,3))&lt;1,VALUE(RIGHT($CK$136,3))&gt;-5)</formula>
    </cfRule>
    <cfRule type="expression" dxfId="4445" priority="797">
      <formula>AND(VALUE(RIGHT($CK$136,3))&gt;0,VALUE(RIGHT($CK$136,3))&lt;5)</formula>
    </cfRule>
    <cfRule type="expression" dxfId="4444" priority="798">
      <formula>AND(VALUE(RIGHT($CK$136,3))&gt;4,VALUE(RIGHT($CK$136,3))&lt;10)</formula>
    </cfRule>
    <cfRule type="expression" dxfId="4443" priority="799">
      <formula>AND(VALUE(RIGHT($CK$136,3))&gt;9,VALUE(RIGHT($CK$136,3))&lt;20)</formula>
    </cfRule>
    <cfRule type="expression" dxfId="4442" priority="800">
      <formula>VALUE(RIGHT($CK$136,3))&gt;19</formula>
    </cfRule>
  </conditionalFormatting>
  <conditionalFormatting sqref="CK136">
    <cfRule type="expression" dxfId="4441" priority="793">
      <formula>AND(VALUE(RIGHT($CK$136,3))&lt;-19,VALUE(RIGHT($CK$136,3))&gt;-30)</formula>
    </cfRule>
  </conditionalFormatting>
  <conditionalFormatting sqref="CK137">
    <cfRule type="expression" dxfId="4440" priority="716">
      <formula>VALUE(RIGHT($CK$137,3))&lt;-39</formula>
    </cfRule>
    <cfRule type="expression" dxfId="4439" priority="752">
      <formula>AND(VALUE(RIGHT($CK$137,3))&lt;-29,VALUE(RIGHT($CK$137,3))&gt;-40)</formula>
    </cfRule>
    <cfRule type="expression" dxfId="4438" priority="786">
      <formula>AND(VALUE(RIGHT($CK$137,3))&lt;-9,VALUE(RIGHT($CK$137,3))&gt;-20)</formula>
    </cfRule>
    <cfRule type="expression" dxfId="4437" priority="787">
      <formula>AND(VALUE(RIGHT($CK$137,3))&lt;-4,VALUE(RIGHT($CK$137,3))&gt;-10)</formula>
    </cfRule>
    <cfRule type="expression" dxfId="4436" priority="788">
      <formula>AND(VALUE(RIGHT($CK$137,3))&lt;1,VALUE(RIGHT($CK$137,3))&gt;-5)</formula>
    </cfRule>
    <cfRule type="expression" dxfId="4435" priority="789">
      <formula>AND(VALUE(RIGHT($CK$137,3))&gt;0,VALUE(RIGHT($CK$137,3))&lt;5)</formula>
    </cfRule>
    <cfRule type="expression" dxfId="4434" priority="790">
      <formula>AND(VALUE(RIGHT($CK$137,3))&gt;4,VALUE(RIGHT($CK$137,3))&lt;10)</formula>
    </cfRule>
    <cfRule type="expression" dxfId="4433" priority="791">
      <formula>AND(VALUE(RIGHT($CK$137,3))&gt;9,VALUE(RIGHT($CK$137,3))&lt;20)</formula>
    </cfRule>
    <cfRule type="expression" dxfId="4432" priority="792">
      <formula>VALUE(RIGHT($CK$137,3))&gt;19</formula>
    </cfRule>
  </conditionalFormatting>
  <conditionalFormatting sqref="CK137">
    <cfRule type="expression" dxfId="4431" priority="785">
      <formula>AND(VALUE(RIGHT($CK$137,3))&lt;-19,VALUE(RIGHT($CK$137,3))&gt;-30)</formula>
    </cfRule>
  </conditionalFormatting>
  <conditionalFormatting sqref="CK138">
    <cfRule type="expression" dxfId="4430" priority="717">
      <formula>VALUE(RIGHT($CK$138,3))&lt;-39</formula>
    </cfRule>
    <cfRule type="expression" dxfId="4429" priority="751">
      <formula>AND(VALUE(RIGHT($CK$138,3))&lt;-29,VALUE(RIGHT($CK$138,3))&gt;-40)</formula>
    </cfRule>
    <cfRule type="expression" dxfId="4428" priority="778">
      <formula>AND(VALUE(RIGHT($CK$138,3))&lt;-9,VALUE(RIGHT($CK$138,3))&gt;-20)</formula>
    </cfRule>
    <cfRule type="expression" dxfId="4427" priority="779">
      <formula>AND(VALUE(RIGHT($CK$138,3))&lt;-4,VALUE(RIGHT($CK$138,3))&gt;-10)</formula>
    </cfRule>
    <cfRule type="expression" dxfId="4426" priority="780">
      <formula>AND(VALUE(RIGHT($CK$138,3))&lt;1,VALUE(RIGHT($CK$138,3))&gt;-5)</formula>
    </cfRule>
    <cfRule type="expression" dxfId="4425" priority="781">
      <formula>AND(VALUE(RIGHT($CK$138,3))&gt;0,VALUE(RIGHT($CK$138,3))&lt;5)</formula>
    </cfRule>
    <cfRule type="expression" dxfId="4424" priority="782">
      <formula>AND(VALUE(RIGHT($CK$138,3))&gt;4,VALUE(RIGHT($CK$138,3))&lt;10)</formula>
    </cfRule>
    <cfRule type="expression" dxfId="4423" priority="783">
      <formula>AND(VALUE(RIGHT($CK$138,3))&gt;9,VALUE(RIGHT($CK$138,3))&lt;20)</formula>
    </cfRule>
    <cfRule type="expression" dxfId="4422" priority="784">
      <formula>VALUE(RIGHT($CK$138,3))&gt;19</formula>
    </cfRule>
  </conditionalFormatting>
  <conditionalFormatting sqref="CK138">
    <cfRule type="expression" dxfId="4421" priority="777">
      <formula>AND(VALUE(RIGHT($CK$138,3))&lt;-19,VALUE(RIGHT($CK$138,3))&gt;-30)</formula>
    </cfRule>
  </conditionalFormatting>
  <conditionalFormatting sqref="CK139">
    <cfRule type="expression" dxfId="4420" priority="718">
      <formula>VALUE(RIGHT($CK$139,3))&lt;-39</formula>
    </cfRule>
    <cfRule type="expression" dxfId="4419" priority="750">
      <formula>AND(VALUE(RIGHT($CK$139,3))&lt;-29,VALUE(RIGHT($CK$139,3))&gt;-40)</formula>
    </cfRule>
    <cfRule type="expression" dxfId="4418" priority="770">
      <formula>AND(VALUE(RIGHT($CK$139,3))&lt;-9,VALUE(RIGHT($CK$139,3))&gt;-20)</formula>
    </cfRule>
    <cfRule type="expression" dxfId="4417" priority="771">
      <formula>AND(VALUE(RIGHT($CK$139,3))&lt;-4,VALUE(RIGHT($CK$139,3))&gt;-10)</formula>
    </cfRule>
    <cfRule type="expression" dxfId="4416" priority="772">
      <formula>AND(VALUE(RIGHT($CK$139,3))&lt;1,VALUE(RIGHT($CK$139,3))&gt;-5)</formula>
    </cfRule>
    <cfRule type="expression" dxfId="4415" priority="773">
      <formula>AND(VALUE(RIGHT($CK$139,3))&gt;0,VALUE(RIGHT($CK$139,3))&lt;5)</formula>
    </cfRule>
    <cfRule type="expression" dxfId="4414" priority="774">
      <formula>AND(VALUE(RIGHT($CK$139,3))&gt;4,VALUE(RIGHT($CK$139,3))&lt;10)</formula>
    </cfRule>
    <cfRule type="expression" dxfId="4413" priority="775">
      <formula>AND(VALUE(RIGHT($CK$139,3))&gt;9,VALUE(RIGHT($CK$139,3))&lt;20)</formula>
    </cfRule>
    <cfRule type="expression" dxfId="4412" priority="776">
      <formula>VALUE(RIGHT($CK$139,3))&gt;19</formula>
    </cfRule>
  </conditionalFormatting>
  <conditionalFormatting sqref="CK139">
    <cfRule type="expression" dxfId="4411" priority="769">
      <formula>AND(VALUE(RIGHT($CK$139,3))&lt;-19,VALUE(RIGHT($CK$139,3))&gt;-30)</formula>
    </cfRule>
  </conditionalFormatting>
  <conditionalFormatting sqref="CK140">
    <cfRule type="expression" dxfId="4410" priority="719">
      <formula>VALUE(RIGHT($CK$140,3))&lt;-39</formula>
    </cfRule>
    <cfRule type="expression" dxfId="4409" priority="760">
      <formula>AND(VALUE(RIGHT($CK$140,3))&lt;-29,VALUE(RIGHT($CK$140,3))&gt;-40)</formula>
    </cfRule>
    <cfRule type="expression" dxfId="4408" priority="762">
      <formula>AND(VALUE(RIGHT($CK$140,3))&lt;-9,VALUE(RIGHT($CK$140,3))&gt;-20)</formula>
    </cfRule>
    <cfRule type="expression" dxfId="4407" priority="763">
      <formula>AND(VALUE(RIGHT($CK$140,3))&lt;-4,VALUE(RIGHT($CK$140,3))&gt;-10)</formula>
    </cfRule>
    <cfRule type="expression" dxfId="4406" priority="764">
      <formula>AND(VALUE(RIGHT($CK$140,3))&lt;1,VALUE(RIGHT($CK$140,3))&gt;-5)</formula>
    </cfRule>
    <cfRule type="expression" dxfId="4405" priority="765">
      <formula>AND(VALUE(RIGHT($CK$140,3))&gt;0,VALUE(RIGHT($CK$140,3))&lt;5)</formula>
    </cfRule>
    <cfRule type="expression" dxfId="4404" priority="766">
      <formula>AND(VALUE(RIGHT($CK$140,3))&gt;4,VALUE(RIGHT($CK$140,3))&lt;10)</formula>
    </cfRule>
    <cfRule type="expression" dxfId="4403" priority="767">
      <formula>AND(VALUE(RIGHT($CK$140,3))&gt;9,VALUE(RIGHT($CK$140,3))&lt;20)</formula>
    </cfRule>
    <cfRule type="expression" dxfId="4402" priority="768">
      <formula>VALUE(RIGHT($CK$140,3))&gt;19</formula>
    </cfRule>
  </conditionalFormatting>
  <conditionalFormatting sqref="CK140">
    <cfRule type="expression" dxfId="4401" priority="761">
      <formula>AND(VALUE(RIGHT($CK$140,3))&lt;-19,VALUE(RIGHT($CK$140,3))&gt;-30)</formula>
    </cfRule>
  </conditionalFormatting>
  <conditionalFormatting sqref="CK141">
    <cfRule type="expression" dxfId="4400" priority="720">
      <formula>VALUE(RIGHT($CK$141,3))&lt;-39</formula>
    </cfRule>
    <cfRule type="expression" dxfId="4399" priority="741">
      <formula>AND(VALUE(RIGHT($CK$141,3))&lt;-29,VALUE(RIGHT($CK$141,3))&gt;-40)</formula>
    </cfRule>
    <cfRule type="expression" dxfId="4398" priority="743">
      <formula>AND(VALUE(RIGHT($CK$141,3))&lt;-9,VALUE(RIGHT($CK$141,3))&gt;-20)</formula>
    </cfRule>
    <cfRule type="expression" dxfId="4397" priority="744">
      <formula>AND(VALUE(RIGHT($CK$141,3))&lt;-4,VALUE(RIGHT($CK$141,3))&gt;-10)</formula>
    </cfRule>
    <cfRule type="expression" dxfId="4396" priority="745">
      <formula>AND(VALUE(RIGHT($CK$141,3))&lt;1,VALUE(RIGHT($CK$141,3))&gt;-5)</formula>
    </cfRule>
    <cfRule type="expression" dxfId="4395" priority="746">
      <formula>AND(VALUE(RIGHT($CK$141,3))&gt;0,VALUE(RIGHT($CK$141,3))&lt;5)</formula>
    </cfRule>
    <cfRule type="expression" dxfId="4394" priority="747">
      <formula>AND(VALUE(RIGHT($CK$141,3))&gt;4,VALUE(RIGHT($CK$141,3))&lt;10)</formula>
    </cfRule>
    <cfRule type="expression" dxfId="4393" priority="748">
      <formula>AND(VALUE(RIGHT($CK$141,3))&gt;9,VALUE(RIGHT($CK$141,3))&lt;20)</formula>
    </cfRule>
    <cfRule type="expression" dxfId="4392" priority="749">
      <formula>VALUE(RIGHT($CK$141,3))&gt;19</formula>
    </cfRule>
  </conditionalFormatting>
  <conditionalFormatting sqref="CK141">
    <cfRule type="expression" dxfId="4391" priority="742">
      <formula>AND(VALUE(RIGHT($CK$141,3))&lt;-19,VALUE(RIGHT($CK$141,3))&gt;-30)</formula>
    </cfRule>
  </conditionalFormatting>
  <conditionalFormatting sqref="CK142">
    <cfRule type="expression" dxfId="4390" priority="721">
      <formula>VALUE(RIGHT($CK$142,3))&lt;-39</formula>
    </cfRule>
    <cfRule type="expression" dxfId="4389" priority="732">
      <formula>AND(VALUE(RIGHT($CK$142,3))&lt;-29,VALUE(RIGHT($CK$142,3))&gt;-40)</formula>
    </cfRule>
    <cfRule type="expression" dxfId="4388" priority="734">
      <formula>AND(VALUE(RIGHT($CK$142,3))&lt;-9,VALUE(RIGHT($CK$142,3))&gt;-20)</formula>
    </cfRule>
    <cfRule type="expression" dxfId="4387" priority="735">
      <formula>AND(VALUE(RIGHT($CK$142,3))&lt;-4,VALUE(RIGHT($CK$142,3))&gt;-10)</formula>
    </cfRule>
    <cfRule type="expression" dxfId="4386" priority="736">
      <formula>AND(VALUE(RIGHT($CK$142,3))&lt;1,VALUE(RIGHT($CK$142,3))&gt;-5)</formula>
    </cfRule>
    <cfRule type="expression" dxfId="4385" priority="737">
      <formula>AND(VALUE(RIGHT($CK$142,3))&gt;0,VALUE(RIGHT($CK$142,3))&lt;5)</formula>
    </cfRule>
    <cfRule type="expression" dxfId="4384" priority="738">
      <formula>AND(VALUE(RIGHT($CK$142,3))&gt;4,VALUE(RIGHT($CK$142,3))&lt;10)</formula>
    </cfRule>
    <cfRule type="expression" dxfId="4383" priority="739">
      <formula>AND(VALUE(RIGHT($CK$142,3))&gt;9,VALUE(RIGHT($CK$142,3))&lt;20)</formula>
    </cfRule>
    <cfRule type="expression" dxfId="4382" priority="740">
      <formula>VALUE(RIGHT($CK$142,3))&gt;19</formula>
    </cfRule>
  </conditionalFormatting>
  <conditionalFormatting sqref="CK142">
    <cfRule type="expression" dxfId="4381" priority="733">
      <formula>AND(VALUE(RIGHT($CK$142,3))&lt;-19,VALUE(RIGHT($CK$142,3))&gt;-30)</formula>
    </cfRule>
  </conditionalFormatting>
  <conditionalFormatting sqref="CK143">
    <cfRule type="expression" dxfId="4380" priority="722">
      <formula>VALUE(RIGHT($CK$143,3))&lt;-39</formula>
    </cfRule>
    <cfRule type="expression" dxfId="4379" priority="723">
      <formula>AND(VALUE(RIGHT($CK$143,3))&lt;-29,VALUE(RIGHT($CK$143,3))&gt;-40)</formula>
    </cfRule>
    <cfRule type="expression" dxfId="4378" priority="725">
      <formula>AND(VALUE(RIGHT($CK$143,3))&lt;-9,VALUE(RIGHT($CK$143,3))&gt;-20)</formula>
    </cfRule>
    <cfRule type="expression" dxfId="4377" priority="726">
      <formula>AND(VALUE(RIGHT($CK$143,3))&lt;-4,VALUE(RIGHT($CK$143,3))&gt;-10)</formula>
    </cfRule>
    <cfRule type="expression" dxfId="4376" priority="727">
      <formula>AND(VALUE(RIGHT($CK$143,3))&lt;1,VALUE(RIGHT($CK$143,3))&gt;-5)</formula>
    </cfRule>
    <cfRule type="expression" dxfId="4375" priority="728">
      <formula>AND(VALUE(RIGHT($CK$143,3))&gt;0,VALUE(RIGHT($CK$143,3))&lt;5)</formula>
    </cfRule>
    <cfRule type="expression" dxfId="4374" priority="729">
      <formula>AND(VALUE(RIGHT($CK$143,3))&gt;4,VALUE(RIGHT($CK$143,3))&lt;10)</formula>
    </cfRule>
    <cfRule type="expression" dxfId="4373" priority="730">
      <formula>AND(VALUE(RIGHT($CK$143,3))&gt;9,VALUE(RIGHT($CK$143,3))&lt;20)</formula>
    </cfRule>
    <cfRule type="expression" dxfId="4372" priority="731">
      <formula>VALUE(RIGHT($CK$143,3))&gt;19</formula>
    </cfRule>
  </conditionalFormatting>
  <conditionalFormatting sqref="CK143">
    <cfRule type="expression" dxfId="4371" priority="724">
      <formula>AND(VALUE(RIGHT($CK$143,3))&lt;-19,VALUE(RIGHT($CK$143,3))&gt;-30)</formula>
    </cfRule>
  </conditionalFormatting>
  <conditionalFormatting sqref="CQ152">
    <cfRule type="expression" dxfId="4370" priority="489">
      <formula>$Z$72=2</formula>
    </cfRule>
  </conditionalFormatting>
  <conditionalFormatting sqref="CD151:CP151">
    <cfRule type="expression" dxfId="4369" priority="488">
      <formula>OR($Z$72=3,$Z$72=4)</formula>
    </cfRule>
  </conditionalFormatting>
  <conditionalFormatting sqref="CD146:CP146">
    <cfRule type="expression" dxfId="4368" priority="487">
      <formula>OR($Z$72=3,$Z$72=4)</formula>
    </cfRule>
  </conditionalFormatting>
  <conditionalFormatting sqref="BF145:CR145">
    <cfRule type="expression" dxfId="4367" priority="486">
      <formula>$Z$72=1</formula>
    </cfRule>
  </conditionalFormatting>
  <conditionalFormatting sqref="BF146:CR146">
    <cfRule type="expression" dxfId="4366" priority="485">
      <formula>$Z$72=1</formula>
    </cfRule>
  </conditionalFormatting>
  <conditionalFormatting sqref="BF152:CR152">
    <cfRule type="expression" dxfId="4365" priority="484">
      <formula>$Z$72=1</formula>
    </cfRule>
  </conditionalFormatting>
  <conditionalFormatting sqref="CD149:CP149">
    <cfRule type="expression" dxfId="4364" priority="483">
      <formula>$Z$72=4</formula>
    </cfRule>
  </conditionalFormatting>
  <conditionalFormatting sqref="CD150:CP150">
    <cfRule type="expression" dxfId="4363" priority="482">
      <formula>$Z$72=4</formula>
    </cfRule>
  </conditionalFormatting>
  <conditionalFormatting sqref="CD151:CP151">
    <cfRule type="expression" dxfId="4362" priority="478">
      <formula>$Z$72=2</formula>
    </cfRule>
  </conditionalFormatting>
  <conditionalFormatting sqref="CD150:CP150">
    <cfRule type="expression" dxfId="4361" priority="477">
      <formula>$Z$72=2</formula>
    </cfRule>
  </conditionalFormatting>
  <conditionalFormatting sqref="CQ148:CQ149">
    <cfRule type="expression" dxfId="4360" priority="476">
      <formula>$Z$72=2</formula>
    </cfRule>
  </conditionalFormatting>
  <conditionalFormatting sqref="CQ150:CQ152">
    <cfRule type="expression" dxfId="4359" priority="475">
      <formula>$Z$72=1</formula>
    </cfRule>
  </conditionalFormatting>
  <conditionalFormatting sqref="BF145:BP145">
    <cfRule type="expression" dxfId="4358" priority="474">
      <formula>OR($Z$72=4,$Z$72=3)</formula>
    </cfRule>
  </conditionalFormatting>
  <conditionalFormatting sqref="BQ145:CC145">
    <cfRule type="expression" dxfId="4357" priority="473">
      <formula>OR($Z$72=3,$Z$72=4)</formula>
    </cfRule>
  </conditionalFormatting>
  <conditionalFormatting sqref="BQ146:CC146">
    <cfRule type="expression" dxfId="4356" priority="469">
      <formula>$Z$72=2</formula>
    </cfRule>
    <cfRule type="expression" dxfId="4355" priority="470">
      <formula>OR($Z$72=3,$Z$72=4)</formula>
    </cfRule>
  </conditionalFormatting>
  <conditionalFormatting sqref="CD145:CP145">
    <cfRule type="expression" dxfId="4354" priority="468">
      <formula>OR($Z$72=3,$Z$72=4)</formula>
    </cfRule>
  </conditionalFormatting>
  <conditionalFormatting sqref="BQ148:CC148">
    <cfRule type="expression" dxfId="4353" priority="462">
      <formula>OR($Z$72=1,$Z$72=3)</formula>
    </cfRule>
    <cfRule type="expression" dxfId="4352" priority="463">
      <formula>$Z$72=4</formula>
    </cfRule>
  </conditionalFormatting>
  <conditionalFormatting sqref="BQ147:CC147">
    <cfRule type="expression" dxfId="4351" priority="460">
      <formula>$Z$72=2</formula>
    </cfRule>
    <cfRule type="expression" dxfId="4350" priority="461">
      <formula>$Z$72=4</formula>
    </cfRule>
  </conditionalFormatting>
  <conditionalFormatting sqref="BQ149:CC149">
    <cfRule type="expression" dxfId="4349" priority="454">
      <formula>OR($Z$72=1,$Z$72=3)</formula>
    </cfRule>
    <cfRule type="expression" dxfId="4348" priority="455">
      <formula>$Z$72=4</formula>
    </cfRule>
  </conditionalFormatting>
  <conditionalFormatting sqref="BQ150:CC150">
    <cfRule type="expression" dxfId="4347" priority="452">
      <formula>$Z$72=2</formula>
    </cfRule>
    <cfRule type="expression" dxfId="4346" priority="453">
      <formula>$Z$72=4</formula>
    </cfRule>
  </conditionalFormatting>
  <conditionalFormatting sqref="BF152:BP152">
    <cfRule type="expression" dxfId="4345" priority="449">
      <formula>OR($Z$72=3,$Z$72=4)</formula>
    </cfRule>
  </conditionalFormatting>
  <conditionalFormatting sqref="BQ151:CC151">
    <cfRule type="expression" dxfId="4344" priority="447">
      <formula>$Z$72=2</formula>
    </cfRule>
    <cfRule type="expression" dxfId="4343" priority="448">
      <formula>OR($Z$72=3,$Z$72=4)</formula>
    </cfRule>
  </conditionalFormatting>
  <conditionalFormatting sqref="BQ152:CC152">
    <cfRule type="expression" dxfId="4342" priority="446">
      <formula>OR($Z$72=3,$Z$72=4)</formula>
    </cfRule>
  </conditionalFormatting>
  <conditionalFormatting sqref="CD152:CP152">
    <cfRule type="expression" dxfId="4341" priority="445">
      <formula>OR($Z$72=3,$Z$72=4)</formula>
    </cfRule>
  </conditionalFormatting>
  <conditionalFormatting sqref="BF148:CR148">
    <cfRule type="expression" dxfId="4340" priority="444">
      <formula>$Z$72=2</formula>
    </cfRule>
  </conditionalFormatting>
  <conditionalFormatting sqref="BF149:CR149">
    <cfRule type="expression" dxfId="4339" priority="443">
      <formula>$Z$72=2</formula>
    </cfRule>
  </conditionalFormatting>
  <conditionalFormatting sqref="BF150:CR150">
    <cfRule type="expression" dxfId="4338" priority="442">
      <formula>$Z$72=1</formula>
    </cfRule>
  </conditionalFormatting>
  <conditionalFormatting sqref="BF151:CR151">
    <cfRule type="expression" dxfId="4337" priority="441">
      <formula>$Z$72=1</formula>
    </cfRule>
  </conditionalFormatting>
  <conditionalFormatting sqref="BF147:CR147">
    <cfRule type="expression" dxfId="4336" priority="440">
      <formula>$Z$72=1</formula>
    </cfRule>
  </conditionalFormatting>
  <conditionalFormatting sqref="CD147:CP147">
    <cfRule type="expression" dxfId="4335" priority="439">
      <formula>$Z$72=4</formula>
    </cfRule>
  </conditionalFormatting>
  <conditionalFormatting sqref="CD148:CP148">
    <cfRule type="expression" dxfId="4334" priority="438">
      <formula>$Z$72=4</formula>
    </cfRule>
  </conditionalFormatting>
  <conditionalFormatting sqref="CD147:CP147">
    <cfRule type="expression" dxfId="4333" priority="437">
      <formula>$Z$72=2</formula>
    </cfRule>
  </conditionalFormatting>
  <conditionalFormatting sqref="CD146:CP146">
    <cfRule type="expression" dxfId="4332" priority="436">
      <formula>$Z$72=2</formula>
    </cfRule>
  </conditionalFormatting>
  <conditionalFormatting sqref="CD148:CP148">
    <cfRule type="expression" dxfId="4331" priority="435">
      <formula>OR($Z$72=1,$Z$72=3)</formula>
    </cfRule>
  </conditionalFormatting>
  <conditionalFormatting sqref="CD149:CP149">
    <cfRule type="expression" dxfId="4330" priority="434">
      <formula>OR($Z$72=1,$Z$72=3)</formula>
    </cfRule>
  </conditionalFormatting>
  <conditionalFormatting sqref="CQ145">
    <cfRule type="expression" dxfId="4329" priority="431">
      <formula>OR(AND($Z$72=3,$AB$72="R"),AND($Z$72=4,$AB$72="R"))</formula>
    </cfRule>
    <cfRule type="expression" dxfId="4328" priority="432">
      <formula>OR(AND($Z$72=3,$AB$72="Y"),AND($Z$72=4,$AB$72="Y"))</formula>
    </cfRule>
    <cfRule type="expression" dxfId="4327" priority="433">
      <formula>AND(OR($Z$72=3,$Z$72=4),$AB$72="G")</formula>
    </cfRule>
  </conditionalFormatting>
  <conditionalFormatting sqref="CQ147">
    <cfRule type="expression" dxfId="4326" priority="424">
      <formula>AND($Z$72=2,$AB$72="R")</formula>
    </cfRule>
    <cfRule type="expression" dxfId="4325" priority="425">
      <formula>AND($Z$72=4,$AB$73="R")</formula>
    </cfRule>
    <cfRule type="expression" dxfId="4324" priority="426">
      <formula>AND($Z$72=4,$AB$73="Y")</formula>
    </cfRule>
    <cfRule type="expression" dxfId="4323" priority="427">
      <formula>AND($Z$72=2,$AB$72="Y")</formula>
    </cfRule>
    <cfRule type="expression" dxfId="4322" priority="428">
      <formula>AND($Z$72=2,$AB$72="G")</formula>
    </cfRule>
    <cfRule type="expression" dxfId="4321" priority="429">
      <formula>$Z$72=3</formula>
    </cfRule>
    <cfRule type="expression" dxfId="4320" priority="430">
      <formula>AND($Z$72=4,$AB$73="G")</formula>
    </cfRule>
  </conditionalFormatting>
  <conditionalFormatting sqref="CQ149">
    <cfRule type="expression" dxfId="4319" priority="418">
      <formula>OR(AND($Z$72=1,$AB$72="R"),AND($Z$72=3,$AB$73="R"))</formula>
    </cfRule>
    <cfRule type="expression" dxfId="4318" priority="419">
      <formula>AND($Z$72=4,$AB$74="R")</formula>
    </cfRule>
    <cfRule type="expression" dxfId="4317" priority="420">
      <formula>AND($Z$72=4,$AB$74="Y")</formula>
    </cfRule>
    <cfRule type="expression" dxfId="4316" priority="421">
      <formula>OR(AND($Z$72=1,$AB$72="Y"),AND($Z$72=3,$AB$73="Y"))</formula>
    </cfRule>
    <cfRule type="expression" dxfId="4315" priority="422">
      <formula>OR(AND($Z$72=1,$AB$72="G"),AND($Z$72=3,$AB$73="G"))</formula>
    </cfRule>
    <cfRule type="expression" dxfId="4314" priority="423">
      <formula>AND($Z$72=4,$AB$74="G")</formula>
    </cfRule>
  </conditionalFormatting>
  <conditionalFormatting sqref="CQ151">
    <cfRule type="expression" dxfId="4313" priority="412">
      <formula>AND($Z$72=2,$AB$73="R")</formula>
    </cfRule>
    <cfRule type="expression" dxfId="4312" priority="413">
      <formula>OR(AND($Z$72=3,$AB$74="R"),AND($Z$72=4,$AB$75="R"))</formula>
    </cfRule>
    <cfRule type="expression" dxfId="4311" priority="414">
      <formula>OR(AND($Z$72=3,$AB$74="Y"),AND($Z$72=4,$AB$75="Y"))</formula>
    </cfRule>
    <cfRule type="expression" dxfId="4310" priority="415">
      <formula>AND($Z$72=2,$AB$73="Y")</formula>
    </cfRule>
    <cfRule type="expression" dxfId="4309" priority="416">
      <formula>AND($Z$72=2,$AB$73="G")</formula>
    </cfRule>
    <cfRule type="expression" dxfId="4308" priority="417">
      <formula>OR(AND($Z$72=3,$AB$74="G"),AND($Z$72=4,$AB$75="G"))</formula>
    </cfRule>
  </conditionalFormatting>
  <conditionalFormatting sqref="CR145">
    <cfRule type="expression" dxfId="4307" priority="409">
      <formula>OR(AND($Z$72=3,$AB$72="R"),AND($Z$72=4,$AB$72="R"))</formula>
    </cfRule>
    <cfRule type="expression" dxfId="4306" priority="410">
      <formula>OR(AND($Z$72=3,$AB$72="Y"),AND($Z$72=4,$AB$72="Y"))</formula>
    </cfRule>
    <cfRule type="expression" dxfId="4305" priority="411">
      <formula>AND(OR($Z$72=3,$Z$72=4),$AB$72="G")</formula>
    </cfRule>
  </conditionalFormatting>
  <conditionalFormatting sqref="CQ146">
    <cfRule type="expression" dxfId="4304" priority="403">
      <formula>AND($Z$72=2,$AB$72="R")</formula>
    </cfRule>
    <cfRule type="expression" dxfId="4303" priority="404">
      <formula>OR(AND($Z$72=3,$AB$72="R"),AND($Z$72=4,$AB$72="R"))</formula>
    </cfRule>
    <cfRule type="expression" dxfId="4302" priority="405">
      <formula>OR(AND($Z$72=3,$AB$72="Y"),AND($Z$72=4,$AB$72="Y"))</formula>
    </cfRule>
    <cfRule type="expression" dxfId="4301" priority="406">
      <formula>AND($Z$72=2,$AB$72="Y")</formula>
    </cfRule>
    <cfRule type="expression" dxfId="4300" priority="407">
      <formula>AND($Z$72=2,$AB$72="G")</formula>
    </cfRule>
    <cfRule type="expression" dxfId="4299" priority="408">
      <formula>AND(OR($Z$72=3,$Z$72=4),$AB$72="G")</formula>
    </cfRule>
  </conditionalFormatting>
  <conditionalFormatting sqref="CR146">
    <cfRule type="expression" dxfId="4298" priority="397">
      <formula>AND($Z$72=2,$AB$72="R")</formula>
    </cfRule>
    <cfRule type="expression" dxfId="4297" priority="398">
      <formula>OR(AND($Z$72=3,$AB$72="R"),AND($Z$72=4,$AB$72="R"))</formula>
    </cfRule>
    <cfRule type="expression" dxfId="4296" priority="399">
      <formula>OR(AND($Z$72=3,$AB$72="Y"),AND($Z$72=4,$AB$72="Y"))</formula>
    </cfRule>
    <cfRule type="expression" dxfId="4295" priority="400">
      <formula>AND($Z$72=2,$AB$72="Y")</formula>
    </cfRule>
    <cfRule type="expression" dxfId="4294" priority="401">
      <formula>AND($Z$72=2,$AB$72="G")</formula>
    </cfRule>
    <cfRule type="expression" dxfId="4293" priority="402">
      <formula>AND(OR($Z$72=3,$Z$72=4),$AB$72="G")</formula>
    </cfRule>
  </conditionalFormatting>
  <conditionalFormatting sqref="CR147">
    <cfRule type="expression" dxfId="4292" priority="391">
      <formula>AND($Z$72=2,$AB$72="R")</formula>
    </cfRule>
    <cfRule type="expression" dxfId="4291" priority="392">
      <formula>AND($Z$72=4,$AB$73="R")</formula>
    </cfRule>
    <cfRule type="expression" dxfId="4290" priority="393">
      <formula>AND($Z$72=4,$AB$73="Y")</formula>
    </cfRule>
    <cfRule type="expression" dxfId="4289" priority="394">
      <formula>AND($Z$72=2,$AB$72="Y")</formula>
    </cfRule>
    <cfRule type="expression" dxfId="4288" priority="395">
      <formula>AND($Z$72=2,$AB$72="G")</formula>
    </cfRule>
    <cfRule type="expression" dxfId="4287" priority="396">
      <formula>AND($Z$72=4,$AB$73="G")</formula>
    </cfRule>
  </conditionalFormatting>
  <conditionalFormatting sqref="CQ148">
    <cfRule type="expression" dxfId="4286" priority="385">
      <formula>OR(AND($Z$72=1,$AB$72="R"),AND($Z$72=3,$AB$73="R"))</formula>
    </cfRule>
    <cfRule type="expression" dxfId="4285" priority="386">
      <formula>AND($Z$72=4,$AB$73="R")</formula>
    </cfRule>
    <cfRule type="expression" dxfId="4284" priority="387">
      <formula>AND($Z$72=4,$AB$73="Y")</formula>
    </cfRule>
    <cfRule type="expression" dxfId="4283" priority="388">
      <formula>OR(AND($Z$72=1,$AB$72="Y"),AND($Z$72=3,$AB$73="Y"))</formula>
    </cfRule>
    <cfRule type="expression" dxfId="4282" priority="389">
      <formula>OR(AND($Z$72=1,$AB$72="G"),AND($Z$72=3,$AB$73="G"))</formula>
    </cfRule>
    <cfRule type="expression" dxfId="4281" priority="390">
      <formula>AND($Z$72=4,$AB$73="G")</formula>
    </cfRule>
  </conditionalFormatting>
  <conditionalFormatting sqref="CR148">
    <cfRule type="expression" dxfId="4280" priority="379">
      <formula>OR(AND($Z$72=1,$AB$72="R"),AND($Z$72=3,$AB$73="R"))</formula>
    </cfRule>
    <cfRule type="expression" dxfId="4279" priority="380">
      <formula>AND($Z$72=4,$AB$73="R")</formula>
    </cfRule>
    <cfRule type="expression" dxfId="4278" priority="381">
      <formula>AND($Z$72=4,$AB$73="Y")</formula>
    </cfRule>
    <cfRule type="expression" dxfId="4277" priority="382">
      <formula>OR(AND($Z$72=1,$AB$72="Y"),AND($Z$72=3,$AB$73="Y"))</formula>
    </cfRule>
    <cfRule type="expression" dxfId="4276" priority="383">
      <formula>OR(AND($Z$72=1,$AB$72="G"),AND($Z$72=3,$AB$73="G"))</formula>
    </cfRule>
    <cfRule type="expression" dxfId="4275" priority="384">
      <formula>AND($Z$72=4,$AB$73="G")</formula>
    </cfRule>
  </conditionalFormatting>
  <conditionalFormatting sqref="CR149">
    <cfRule type="expression" dxfId="4274" priority="327">
      <formula>OR(AND($Z$72=1,$AB$72="R"),AND($Z$72=3,$AB$73="R"))</formula>
    </cfRule>
    <cfRule type="expression" dxfId="4273" priority="374">
      <formula>AND($Z$72=4,$AB$74="R")</formula>
    </cfRule>
    <cfRule type="expression" dxfId="4272" priority="375">
      <formula>AND($Z$72=4,$AB$74="Y")</formula>
    </cfRule>
    <cfRule type="expression" dxfId="4271" priority="376">
      <formula>OR(AND($Z$72=1,$AB$72="Y"),AND($Z$72=3,$AB$73="Y"))</formula>
    </cfRule>
    <cfRule type="expression" dxfId="4270" priority="377">
      <formula>OR(AND($Z$72=1,$AB$72="G"),AND($Z$72=3,$AB$73="G"))</formula>
    </cfRule>
    <cfRule type="expression" dxfId="4269" priority="378">
      <formula>AND($Z$72=4,$AB$74="G")</formula>
    </cfRule>
  </conditionalFormatting>
  <conditionalFormatting sqref="CQ150">
    <cfRule type="expression" dxfId="4268" priority="367">
      <formula>AND($Z$72=2,$AB$73="R")</formula>
    </cfRule>
    <cfRule type="expression" dxfId="4267" priority="368">
      <formula>AND($Z$72=4,$AB$74="R")</formula>
    </cfRule>
    <cfRule type="expression" dxfId="4266" priority="369">
      <formula>AND($Z$72=4,$AB$74="Y")</formula>
    </cfRule>
    <cfRule type="expression" dxfId="4265" priority="370">
      <formula>AND($Z$72=2,$AB$73="Y")</formula>
    </cfRule>
    <cfRule type="expression" dxfId="4264" priority="371">
      <formula>AND($Z$72=2,$AB$73="G")</formula>
    </cfRule>
    <cfRule type="expression" dxfId="4263" priority="372">
      <formula>$Z$72=3</formula>
    </cfRule>
    <cfRule type="expression" dxfId="4262" priority="373">
      <formula>AND($Z$72=4,$AB$74="G")</formula>
    </cfRule>
  </conditionalFormatting>
  <conditionalFormatting sqref="CR150">
    <cfRule type="expression" dxfId="4261" priority="361">
      <formula>AND($Z$72=2,$AB$73="R")</formula>
    </cfRule>
    <cfRule type="expression" dxfId="4260" priority="362">
      <formula>AND($Z$72=4,$AB$74="R")</formula>
    </cfRule>
    <cfRule type="expression" dxfId="4259" priority="363">
      <formula>AND($Z$72=4,$AB$74="Y")</formula>
    </cfRule>
    <cfRule type="expression" dxfId="4258" priority="364">
      <formula>AND($Z$72=2,$AB$73="Y")</formula>
    </cfRule>
    <cfRule type="expression" dxfId="4257" priority="365">
      <formula>AND($Z$72=2,$AB$73="G")</formula>
    </cfRule>
    <cfRule type="expression" dxfId="4256" priority="366">
      <formula>AND($Z$72=4,$AB$74="G")</formula>
    </cfRule>
  </conditionalFormatting>
  <conditionalFormatting sqref="CR151">
    <cfRule type="expression" dxfId="4255" priority="355">
      <formula>AND($Z$72=2,$AB$73="R")</formula>
    </cfRule>
    <cfRule type="expression" dxfId="4254" priority="356">
      <formula>OR(AND($Z$72=3,$AB$74="R"),AND($Z$72=4,$AB$75="R"))</formula>
    </cfRule>
    <cfRule type="expression" dxfId="4253" priority="357">
      <formula>OR(AND($Z$72=3,$AB$74="Y"),AND($Z$72=4,$AB$75="Y"))</formula>
    </cfRule>
    <cfRule type="expression" dxfId="4252" priority="358">
      <formula>AND($Z$72=2,$AB$73="Y")</formula>
    </cfRule>
    <cfRule type="expression" dxfId="4251" priority="359">
      <formula>AND($Z$72=2,$AB$73="G")</formula>
    </cfRule>
    <cfRule type="expression" dxfId="4250" priority="360">
      <formula>OR(AND($Z$72=3,$AB$74="G"),AND($Z$72=4,$AB$75="G"))</formula>
    </cfRule>
  </conditionalFormatting>
  <conditionalFormatting sqref="CQ152">
    <cfRule type="expression" dxfId="4249" priority="352">
      <formula>OR(AND($Z$72=3,$AB$74="R"),AND($Z$72=4,$AB$75="R"))</formula>
    </cfRule>
    <cfRule type="expression" dxfId="4248" priority="353">
      <formula>OR(AND($Z$72=3,$AB$74="Y"),AND($Z$72=4,$AB$75="Y"))</formula>
    </cfRule>
    <cfRule type="expression" dxfId="4247" priority="354">
      <formula>OR(AND($Z$72=3,$AB$74="G"),AND($Z$72=4,$AB$75="G"))</formula>
    </cfRule>
  </conditionalFormatting>
  <conditionalFormatting sqref="CR152">
    <cfRule type="expression" dxfId="4246" priority="349">
      <formula>OR(AND($Z$72=3,$AB$74="R"),AND($Z$72=4,$AB$75="R"))</formula>
    </cfRule>
    <cfRule type="expression" dxfId="4245" priority="350">
      <formula>OR(AND($Z$72=3,$AB$74="Y"),AND($Z$72=4,$AB$75="Y"))</formula>
    </cfRule>
    <cfRule type="expression" dxfId="4244" priority="351">
      <formula>OR(AND($Z$72=3,$AB$74="G"),AND($Z$72=4,$AB$75="G"))</formula>
    </cfRule>
  </conditionalFormatting>
  <conditionalFormatting sqref="CQ145">
    <cfRule type="expression" dxfId="4243" priority="348">
      <formula>$Z$72=2</formula>
    </cfRule>
  </conditionalFormatting>
  <conditionalFormatting sqref="CQ145:CQ147">
    <cfRule type="expression" dxfId="4242" priority="347">
      <formula>$Z$72=1</formula>
    </cfRule>
  </conditionalFormatting>
  <conditionalFormatting sqref="AW152:BE152">
    <cfRule type="expression" dxfId="4241" priority="333">
      <formula>OR($Z$72=3,$Z$72=4)</formula>
    </cfRule>
    <cfRule type="expression" dxfId="4240" priority="479">
      <formula>$Z$72=1</formula>
    </cfRule>
  </conditionalFormatting>
  <conditionalFormatting sqref="AW148:BE148">
    <cfRule type="expression" dxfId="4239" priority="332">
      <formula>$Z$72=2</formula>
    </cfRule>
    <cfRule type="expression" dxfId="4238" priority="340">
      <formula>OR($Z$72=1,$Z$72=3)</formula>
    </cfRule>
    <cfRule type="expression" dxfId="4237" priority="341">
      <formula>$Z$72=4</formula>
    </cfRule>
  </conditionalFormatting>
  <conditionalFormatting sqref="AW149:BE149">
    <cfRule type="expression" dxfId="4236" priority="331">
      <formula>$Z$72=2</formula>
    </cfRule>
    <cfRule type="expression" dxfId="4235" priority="338">
      <formula>OR($Z$72=1,$Z$72=3)</formula>
    </cfRule>
    <cfRule type="expression" dxfId="4234" priority="339">
      <formula>$Z$72=4</formula>
    </cfRule>
  </conditionalFormatting>
  <conditionalFormatting sqref="AW145:BE145">
    <cfRule type="expression" dxfId="4233" priority="330">
      <formula>$Z$72=1</formula>
    </cfRule>
    <cfRule type="expression" dxfId="4232" priority="346">
      <formula>OR($Z$72=3,$Z$72=4)</formula>
    </cfRule>
  </conditionalFormatting>
  <conditionalFormatting sqref="AW151:BE151">
    <cfRule type="expression" dxfId="4231" priority="329">
      <formula>$Z$72=1</formula>
    </cfRule>
    <cfRule type="expression" dxfId="4230" priority="334">
      <formula>$Z$72=2</formula>
    </cfRule>
    <cfRule type="expression" dxfId="4229" priority="335">
      <formula>OR($Z$72=3,$Z$72=4)</formula>
    </cfRule>
  </conditionalFormatting>
  <conditionalFormatting sqref="AW147:BE147">
    <cfRule type="expression" dxfId="4228" priority="328">
      <formula>$Z$72=1</formula>
    </cfRule>
    <cfRule type="expression" dxfId="4227" priority="342">
      <formula>$Z$72=2</formula>
    </cfRule>
    <cfRule type="expression" dxfId="4226" priority="343">
      <formula>$Z$72=4</formula>
    </cfRule>
  </conditionalFormatting>
  <conditionalFormatting sqref="AW131:BQ131">
    <cfRule type="expression" dxfId="4225" priority="302" stopIfTrue="1">
      <formula>OR(VALUE(MID($CF$114,15,2))&gt;HOUR($AW131),VALUE(MID($CF$114,15,2))=HOUR($AW131))</formula>
    </cfRule>
  </conditionalFormatting>
  <conditionalFormatting sqref="AW132:BQ132">
    <cfRule type="expression" dxfId="4224" priority="288" stopIfTrue="1">
      <formula>OR(VALUE(MID($CF$114,15,2))&gt;HOUR($AW$132),VALUE(MID($CF$114,15,2))=HOUR($AW$132))</formula>
    </cfRule>
  </conditionalFormatting>
  <conditionalFormatting sqref="AW133:BQ133">
    <cfRule type="expression" dxfId="4223" priority="282" stopIfTrue="1">
      <formula>OR(VALUE(MID($CF$114,15,2))&gt;HOUR($AW$133),VALUE(MID($CF$114,15,2))=HOUR($AW$133))</formula>
    </cfRule>
  </conditionalFormatting>
  <conditionalFormatting sqref="AW134:BQ134">
    <cfRule type="expression" dxfId="4222" priority="276" stopIfTrue="1">
      <formula>OR(VALUE(MID($CF$114,15,2))&gt;HOUR($AW$134),VALUE(MID($CF$114,15,2))=HOUR($AW$134))</formula>
    </cfRule>
  </conditionalFormatting>
  <conditionalFormatting sqref="AW135:BQ135">
    <cfRule type="expression" dxfId="4221" priority="270" stopIfTrue="1">
      <formula>OR(VALUE(MID($CF$114,15,2))&gt;HOUR($AW$135),VALUE(MID($CF$114,15,2))=HOUR($AW$135))</formula>
    </cfRule>
  </conditionalFormatting>
  <conditionalFormatting sqref="AW136:BQ136">
    <cfRule type="expression" dxfId="4220" priority="264" stopIfTrue="1">
      <formula>OR(VALUE(MID($CF$114,15,2))&gt;HOUR($AW$136),VALUE(MID($CF$114,15,2))=HOUR($AW$136))</formula>
    </cfRule>
  </conditionalFormatting>
  <conditionalFormatting sqref="AW137:BQ137">
    <cfRule type="expression" dxfId="4219" priority="258" stopIfTrue="1">
      <formula>OR(VALUE(MID($CF$114,15,2))&gt;HOUR($AW$137),VALUE(MID($CF$114,15,2))=HOUR($AW$137))</formula>
    </cfRule>
  </conditionalFormatting>
  <conditionalFormatting sqref="AW138:BQ138">
    <cfRule type="expression" dxfId="4218" priority="252" stopIfTrue="1">
      <formula>OR(VALUE(MID($CF$114,15,2))&gt;HOUR($AW$138),VALUE(MID($CF$114,15,2))=HOUR($AW$138))</formula>
    </cfRule>
  </conditionalFormatting>
  <conditionalFormatting sqref="AW139:BQ139">
    <cfRule type="expression" dxfId="4217" priority="246" stopIfTrue="1">
      <formula>OR(VALUE(MID($CF$114,15,2))&gt;HOUR($AW$139),VALUE(MID($CF$114,15,2))=HOUR($AW$139))</formula>
    </cfRule>
  </conditionalFormatting>
  <conditionalFormatting sqref="BZ131:CA131">
    <cfRule type="expression" dxfId="4216" priority="114" stopIfTrue="1">
      <formula>$BZ$129=""</formula>
    </cfRule>
  </conditionalFormatting>
  <conditionalFormatting sqref="BZ132:CA132">
    <cfRule type="expression" dxfId="4215" priority="115" stopIfTrue="1">
      <formula>$BZ$129=""</formula>
    </cfRule>
  </conditionalFormatting>
  <conditionalFormatting sqref="BZ143:CA143">
    <cfRule type="expression" dxfId="4214" priority="202" stopIfTrue="1">
      <formula>$BZ$129=""</formula>
    </cfRule>
  </conditionalFormatting>
  <conditionalFormatting sqref="BR143">
    <cfRule type="expression" dxfId="4213" priority="5362">
      <formula>$R$84="Y"</formula>
    </cfRule>
    <cfRule type="expression" dxfId="4212" priority="5363">
      <formula>$R$84="R"</formula>
    </cfRule>
  </conditionalFormatting>
  <conditionalFormatting sqref="BT143">
    <cfRule type="expression" dxfId="4211" priority="5386">
      <formula>$S$84="Y"</formula>
    </cfRule>
    <cfRule type="expression" dxfId="4210" priority="5387">
      <formula>$S$84="R"</formula>
    </cfRule>
  </conditionalFormatting>
  <conditionalFormatting sqref="BV143">
    <cfRule type="expression" dxfId="4209" priority="5410">
      <formula>$T$84="Y"</formula>
    </cfRule>
    <cfRule type="expression" dxfId="4208" priority="5411">
      <formula>$T$84="R"</formula>
    </cfRule>
  </conditionalFormatting>
  <conditionalFormatting sqref="BZ131">
    <cfRule type="expression" dxfId="4207" priority="5468">
      <formula>$V$72="Y"</formula>
    </cfRule>
    <cfRule type="expression" dxfId="4206" priority="5469">
      <formula>$V$72="R"</formula>
    </cfRule>
  </conditionalFormatting>
  <conditionalFormatting sqref="BR129:BY130">
    <cfRule type="cellIs" dxfId="4205" priority="201" operator="equal">
      <formula>$CM$122</formula>
    </cfRule>
  </conditionalFormatting>
  <conditionalFormatting sqref="BZ132">
    <cfRule type="expression" dxfId="4204" priority="933">
      <formula>V73="Y"</formula>
    </cfRule>
    <cfRule type="expression" dxfId="4203" priority="934">
      <formula>V73="R"</formula>
    </cfRule>
  </conditionalFormatting>
  <conditionalFormatting sqref="BZ143">
    <cfRule type="expression" dxfId="4202" priority="913">
      <formula>$V$84="Y"</formula>
    </cfRule>
    <cfRule type="expression" dxfId="4201" priority="914">
      <formula>$V$84="R"</formula>
    </cfRule>
  </conditionalFormatting>
  <conditionalFormatting sqref="BZ133:CA133">
    <cfRule type="expression" dxfId="4200" priority="116" stopIfTrue="1">
      <formula>$BZ$129=""</formula>
    </cfRule>
  </conditionalFormatting>
  <conditionalFormatting sqref="BZ133">
    <cfRule type="expression" dxfId="4199" priority="191">
      <formula>V74="Y"</formula>
    </cfRule>
    <cfRule type="expression" dxfId="4198" priority="192">
      <formula>V74="R"</formula>
    </cfRule>
  </conditionalFormatting>
  <conditionalFormatting sqref="BZ134:CA134">
    <cfRule type="expression" dxfId="4197" priority="117" stopIfTrue="1">
      <formula>$BZ$129=""</formula>
    </cfRule>
  </conditionalFormatting>
  <conditionalFormatting sqref="BZ134">
    <cfRule type="expression" dxfId="4196" priority="187">
      <formula>V75="Y"</formula>
    </cfRule>
    <cfRule type="expression" dxfId="4195" priority="188">
      <formula>V75="R"</formula>
    </cfRule>
  </conditionalFormatting>
  <conditionalFormatting sqref="BZ135:CA135">
    <cfRule type="expression" dxfId="4194" priority="130" stopIfTrue="1">
      <formula>$BZ$129=""</formula>
    </cfRule>
  </conditionalFormatting>
  <conditionalFormatting sqref="BZ135">
    <cfRule type="expression" dxfId="4193" priority="183">
      <formula>V76="Y"</formula>
    </cfRule>
    <cfRule type="expression" dxfId="4192" priority="184">
      <formula>V76="R"</formula>
    </cfRule>
  </conditionalFormatting>
  <conditionalFormatting sqref="BZ136:CA136">
    <cfRule type="expression" dxfId="4191" priority="128" stopIfTrue="1">
      <formula>$BZ$129=""</formula>
    </cfRule>
  </conditionalFormatting>
  <conditionalFormatting sqref="BZ136">
    <cfRule type="expression" dxfId="4190" priority="179">
      <formula>V77="Y"</formula>
    </cfRule>
    <cfRule type="expression" dxfId="4189" priority="180">
      <formula>V77="R"</formula>
    </cfRule>
  </conditionalFormatting>
  <conditionalFormatting sqref="BZ137:CA137">
    <cfRule type="expression" dxfId="4188" priority="126" stopIfTrue="1">
      <formula>$BZ$129=""</formula>
    </cfRule>
  </conditionalFormatting>
  <conditionalFormatting sqref="BZ137">
    <cfRule type="expression" dxfId="4187" priority="175">
      <formula>V78="Y"</formula>
    </cfRule>
    <cfRule type="expression" dxfId="4186" priority="176">
      <formula>V78="R"</formula>
    </cfRule>
  </conditionalFormatting>
  <conditionalFormatting sqref="BZ138:CA138">
    <cfRule type="expression" dxfId="4185" priority="135" stopIfTrue="1">
      <formula>$BZ$129=""</formula>
    </cfRule>
  </conditionalFormatting>
  <conditionalFormatting sqref="BZ138">
    <cfRule type="expression" dxfId="4184" priority="171">
      <formula>V79="Y"</formula>
    </cfRule>
    <cfRule type="expression" dxfId="4183" priority="172">
      <formula>V79="R"</formula>
    </cfRule>
  </conditionalFormatting>
  <conditionalFormatting sqref="BZ139:CA139">
    <cfRule type="expression" dxfId="4182" priority="124" stopIfTrue="1">
      <formula>$BZ$129=""</formula>
    </cfRule>
  </conditionalFormatting>
  <conditionalFormatting sqref="BZ139">
    <cfRule type="expression" dxfId="4181" priority="167">
      <formula>V80="Y"</formula>
    </cfRule>
    <cfRule type="expression" dxfId="4180" priority="168">
      <formula>V80="R"</formula>
    </cfRule>
  </conditionalFormatting>
  <conditionalFormatting sqref="BZ140:CA140">
    <cfRule type="expression" dxfId="4179" priority="161" stopIfTrue="1">
      <formula>$BZ$129=""</formula>
    </cfRule>
  </conditionalFormatting>
  <conditionalFormatting sqref="BZ140">
    <cfRule type="expression" dxfId="4178" priority="163">
      <formula>V81="Y"</formula>
    </cfRule>
    <cfRule type="expression" dxfId="4177" priority="164">
      <formula>V81="R"</formula>
    </cfRule>
  </conditionalFormatting>
  <conditionalFormatting sqref="BZ141:CA141">
    <cfRule type="expression" dxfId="4176" priority="157" stopIfTrue="1">
      <formula>$BZ$129=""</formula>
    </cfRule>
  </conditionalFormatting>
  <conditionalFormatting sqref="BZ141">
    <cfRule type="expression" dxfId="4175" priority="159">
      <formula>V82="Y"</formula>
    </cfRule>
    <cfRule type="expression" dxfId="4174" priority="160">
      <formula>V82="R"</formula>
    </cfRule>
  </conditionalFormatting>
  <conditionalFormatting sqref="BZ142:CA142">
    <cfRule type="expression" dxfId="4173" priority="153" stopIfTrue="1">
      <formula>$BZ$129=""</formula>
    </cfRule>
  </conditionalFormatting>
  <conditionalFormatting sqref="BZ142">
    <cfRule type="expression" dxfId="4172" priority="155">
      <formula>V83="Y"</formula>
    </cfRule>
    <cfRule type="expression" dxfId="4171" priority="156">
      <formula>V83="R"</formula>
    </cfRule>
  </conditionalFormatting>
  <conditionalFormatting sqref="BX131">
    <cfRule type="expression" dxfId="4170" priority="204">
      <formula>$U$72="Y"</formula>
    </cfRule>
    <cfRule type="expression" dxfId="4169" priority="849">
      <formula>$U$72="R"</formula>
    </cfRule>
  </conditionalFormatting>
  <conditionalFormatting sqref="BX132">
    <cfRule type="expression" dxfId="4168" priority="203">
      <formula>$U$73="Y"</formula>
    </cfRule>
    <cfRule type="expression" dxfId="4167" priority="850">
      <formula>$U$73="R"</formula>
    </cfRule>
  </conditionalFormatting>
  <conditionalFormatting sqref="BX133">
    <cfRule type="expression" dxfId="4166" priority="142">
      <formula>$U$74="Y"</formula>
    </cfRule>
    <cfRule type="expression" dxfId="4165" priority="189">
      <formula>$U$74="R"</formula>
    </cfRule>
  </conditionalFormatting>
  <conditionalFormatting sqref="BX138">
    <cfRule type="expression" dxfId="4164" priority="169">
      <formula>$U$79="Y"</formula>
    </cfRule>
    <cfRule type="expression" dxfId="4163" priority="852">
      <formula>$U$79="R"</formula>
    </cfRule>
  </conditionalFormatting>
  <conditionalFormatting sqref="BX134">
    <cfRule type="expression" dxfId="4162" priority="133">
      <formula>$U$75="Y"</formula>
    </cfRule>
    <cfRule type="expression" dxfId="4161" priority="186">
      <formula>$U$75="R"</formula>
    </cfRule>
  </conditionalFormatting>
  <conditionalFormatting sqref="BX135">
    <cfRule type="expression" dxfId="4160" priority="181">
      <formula>$U$76="Y"</formula>
    </cfRule>
    <cfRule type="expression" dxfId="4159" priority="855">
      <formula>$U$76="R"</formula>
    </cfRule>
  </conditionalFormatting>
  <conditionalFormatting sqref="BX136">
    <cfRule type="expression" dxfId="4158" priority="177">
      <formula>$U$77="Y"</formula>
    </cfRule>
    <cfRule type="expression" dxfId="4157" priority="854">
      <formula>$U$77="R"</formula>
    </cfRule>
  </conditionalFormatting>
  <conditionalFormatting sqref="BX137">
    <cfRule type="expression" dxfId="4156" priority="173">
      <formula>$U$78="Y"</formula>
    </cfRule>
    <cfRule type="expression" dxfId="4155" priority="853">
      <formula>$U$78="R"</formula>
    </cfRule>
  </conditionalFormatting>
  <conditionalFormatting sqref="BX139">
    <cfRule type="expression" dxfId="4154" priority="165">
      <formula>$U$80="Y"</formula>
    </cfRule>
    <cfRule type="expression" dxfId="4153" priority="851">
      <formula>$U$80="R"</formula>
    </cfRule>
  </conditionalFormatting>
  <conditionalFormatting sqref="BX140">
    <cfRule type="expression" dxfId="4152" priority="122">
      <formula>$U$81="Y"</formula>
    </cfRule>
    <cfRule type="expression" dxfId="4151" priority="123">
      <formula>$U$81="R"</formula>
    </cfRule>
  </conditionalFormatting>
  <conditionalFormatting sqref="BX141">
    <cfRule type="expression" dxfId="4150" priority="120">
      <formula>$U$82="Y"</formula>
    </cfRule>
    <cfRule type="expression" dxfId="4149" priority="121">
      <formula>$U$82="R"</formula>
    </cfRule>
  </conditionalFormatting>
  <conditionalFormatting sqref="BX142">
    <cfRule type="expression" dxfId="4148" priority="118">
      <formula>$U$83="Y"</formula>
    </cfRule>
    <cfRule type="expression" dxfId="4147" priority="119">
      <formula>$U$83="R"</formula>
    </cfRule>
  </conditionalFormatting>
  <conditionalFormatting sqref="BX143">
    <cfRule type="expression" dxfId="4146" priority="138">
      <formula>$U$84="Y"</formula>
    </cfRule>
    <cfRule type="expression" dxfId="4145" priority="139">
      <formula>$U$84="R"</formula>
    </cfRule>
  </conditionalFormatting>
  <conditionalFormatting sqref="BR132">
    <cfRule type="expression" dxfId="4144" priority="106">
      <formula>$R$73="Y"</formula>
    </cfRule>
    <cfRule type="expression" dxfId="4143" priority="107">
      <formula>$R$73="R"</formula>
    </cfRule>
  </conditionalFormatting>
  <conditionalFormatting sqref="BR132:CA132">
    <cfRule type="expression" dxfId="4142" priority="105" stopIfTrue="1">
      <formula>OR(VALUE(MID($CF$114,15,2))&gt;HOUR($AW$132),VALUE(MID($CF$114,15,2))=HOUR($AW$132))</formula>
    </cfRule>
  </conditionalFormatting>
  <conditionalFormatting sqref="BI131:BJ131">
    <cfRule type="expression" dxfId="4141" priority="104">
      <formula>AND($BI$129="MOON ANGLE",$BI131&lt;30)</formula>
    </cfRule>
    <cfRule type="expression" dxfId="4140" priority="321">
      <formula>AND($BI$129="WBGT",$BI131&gt;89.499)</formula>
    </cfRule>
    <cfRule type="expression" dxfId="4139" priority="322">
      <formula>AND($BI$129="WBGT",$BI131&gt;87.4999,$BI131&lt;89.5)</formula>
    </cfRule>
    <cfRule type="expression" dxfId="4138" priority="323">
      <formula>AND($BI$129="WBGT",$BI131&gt;84.4999,$BI131&lt;87.5)</formula>
    </cfRule>
    <cfRule type="expression" dxfId="4137" priority="324">
      <formula>AND($BI$129="WBGT",$BI131&gt;81.4999,$BI131&lt;84.5)</formula>
    </cfRule>
    <cfRule type="expression" dxfId="4136" priority="325">
      <formula>AND($BI$129="WBGT",$BI131&gt;77.4999,$BI131&lt;81.5)</formula>
    </cfRule>
    <cfRule type="expression" dxfId="4135" priority="326">
      <formula>AND($BI$129="WBGT",$BI131&lt;77.5)</formula>
    </cfRule>
  </conditionalFormatting>
  <conditionalFormatting sqref="BI132:BJ132">
    <cfRule type="expression" dxfId="4134" priority="96">
      <formula>AND($BI$129="MOON ANGLE",$BI132&lt;30)</formula>
    </cfRule>
    <cfRule type="expression" dxfId="4133" priority="98">
      <formula>AND($BI$129="WBGT",$BI132&gt;89.499)</formula>
    </cfRule>
    <cfRule type="expression" dxfId="4132" priority="99">
      <formula>AND($BI$129="WBGT",$BI132&gt;87.4999,$BI132&lt;89.5)</formula>
    </cfRule>
    <cfRule type="expression" dxfId="4131" priority="100">
      <formula>AND($BI$129="WBGT",$BI132&gt;84.4999,$BI132&lt;87.5)</formula>
    </cfRule>
    <cfRule type="expression" dxfId="4130" priority="101">
      <formula>AND($BI$129="WBGT",$BI132&gt;81.4999,$BI132&lt;84.5)</formula>
    </cfRule>
    <cfRule type="expression" dxfId="4129" priority="102">
      <formula>AND($BI$129="WBGT",$BI132&gt;77.4999,$BI132&lt;81.5)</formula>
    </cfRule>
    <cfRule type="expression" dxfId="4128" priority="103">
      <formula>AND($BI$129="WBGT",$BI132&lt;77.5)</formula>
    </cfRule>
  </conditionalFormatting>
  <conditionalFormatting sqref="BI133:BJ133">
    <cfRule type="expression" dxfId="4127" priority="88">
      <formula>AND($BI$129="MOON ANGLE",$BI133&lt;30)</formula>
    </cfRule>
    <cfRule type="expression" dxfId="4126" priority="90">
      <formula>AND($BI$129="WBGT",$BI133&gt;89.499)</formula>
    </cfRule>
    <cfRule type="expression" dxfId="4125" priority="91">
      <formula>AND($BI$129="WBGT",$BI133&gt;87.4999,$BI133&lt;89.5)</formula>
    </cfRule>
    <cfRule type="expression" dxfId="4124" priority="92">
      <formula>AND($BI$129="WBGT",$BI133&gt;84.4999,$BI133&lt;87.5)</formula>
    </cfRule>
    <cfRule type="expression" dxfId="4123" priority="93">
      <formula>AND($BI$129="WBGT",$BI133&gt;81.4999,$BI133&lt;84.5)</formula>
    </cfRule>
    <cfRule type="expression" dxfId="4122" priority="94">
      <formula>AND($BI$129="WBGT",$BI133&gt;77.4999,$BI133&lt;81.5)</formula>
    </cfRule>
    <cfRule type="expression" dxfId="4121" priority="95">
      <formula>AND($BI$129="WBGT",$BI133&lt;77.5)</formula>
    </cfRule>
  </conditionalFormatting>
  <conditionalFormatting sqref="BI134:BJ134">
    <cfRule type="expression" dxfId="4120" priority="80">
      <formula>AND($BI$129="MOON ANGLE",$BI134&lt;30)</formula>
    </cfRule>
    <cfRule type="expression" dxfId="4119" priority="82">
      <formula>AND($BI$129="WBGT",$BI134&gt;89.499)</formula>
    </cfRule>
    <cfRule type="expression" dxfId="4118" priority="83">
      <formula>AND($BI$129="WBGT",$BI134&gt;87.4999,$BI134&lt;89.5)</formula>
    </cfRule>
    <cfRule type="expression" dxfId="4117" priority="84">
      <formula>AND($BI$129="WBGT",$BI134&gt;84.4999,$BI134&lt;87.5)</formula>
    </cfRule>
    <cfRule type="expression" dxfId="4116" priority="85">
      <formula>AND($BI$129="WBGT",$BI134&gt;81.4999,$BI134&lt;84.5)</formula>
    </cfRule>
    <cfRule type="expression" dxfId="4115" priority="86">
      <formula>AND($BI$129="WBGT",$BI134&gt;77.4999,$BI134&lt;81.5)</formula>
    </cfRule>
    <cfRule type="expression" dxfId="4114" priority="87">
      <formula>AND($BI$129="WBGT",$BI134&lt;77.5)</formula>
    </cfRule>
  </conditionalFormatting>
  <conditionalFormatting sqref="BI135:BJ135">
    <cfRule type="expression" dxfId="4113" priority="72">
      <formula>AND($BI$129="MOON ANGLE",$BI135&lt;30)</formula>
    </cfRule>
    <cfRule type="expression" dxfId="4112" priority="74">
      <formula>AND($BI$129="WBGT",$BI135&gt;89.499)</formula>
    </cfRule>
    <cfRule type="expression" dxfId="4111" priority="75">
      <formula>AND($BI$129="WBGT",$BI135&gt;87.4999,$BI135&lt;89.5)</formula>
    </cfRule>
    <cfRule type="expression" dxfId="4110" priority="76">
      <formula>AND($BI$129="WBGT",$BI135&gt;84.4999,$BI135&lt;87.5)</formula>
    </cfRule>
    <cfRule type="expression" dxfId="4109" priority="77">
      <formula>AND($BI$129="WBGT",$BI135&gt;81.4999,$BI135&lt;84.5)</formula>
    </cfRule>
    <cfRule type="expression" dxfId="4108" priority="78">
      <formula>AND($BI$129="WBGT",$BI135&gt;77.4999,$BI135&lt;81.5)</formula>
    </cfRule>
    <cfRule type="expression" dxfId="4107" priority="79">
      <formula>AND($BI$129="WBGT",$BI135&lt;77.5)</formula>
    </cfRule>
  </conditionalFormatting>
  <conditionalFormatting sqref="BI136:BJ136">
    <cfRule type="expression" dxfId="4106" priority="64">
      <formula>AND($BI$129="MOON ANGLE",$BI136&lt;30)</formula>
    </cfRule>
    <cfRule type="expression" dxfId="4105" priority="66">
      <formula>AND($BI$129="WBGT",$BI136&gt;89.499)</formula>
    </cfRule>
    <cfRule type="expression" dxfId="4104" priority="67">
      <formula>AND($BI$129="WBGT",$BI136&gt;87.4999,$BI136&lt;89.5)</formula>
    </cfRule>
    <cfRule type="expression" dxfId="4103" priority="68">
      <formula>AND($BI$129="WBGT",$BI136&gt;84.4999,$BI136&lt;87.5)</formula>
    </cfRule>
    <cfRule type="expression" dxfId="4102" priority="69">
      <formula>AND($BI$129="WBGT",$BI136&gt;81.4999,$BI136&lt;84.5)</formula>
    </cfRule>
    <cfRule type="expression" dxfId="4101" priority="70">
      <formula>AND($BI$129="WBGT",$BI136&gt;77.4999,$BI136&lt;81.5)</formula>
    </cfRule>
    <cfRule type="expression" dxfId="4100" priority="71">
      <formula>AND($BI$129="WBGT",$BI136&lt;77.5)</formula>
    </cfRule>
  </conditionalFormatting>
  <conditionalFormatting sqref="BI137:BJ137">
    <cfRule type="expression" dxfId="4099" priority="56">
      <formula>AND($BI$129="MOON ANGLE",$BI137&lt;30)</formula>
    </cfRule>
    <cfRule type="expression" dxfId="4098" priority="58">
      <formula>AND($BI$129="WBGT",$BI137&gt;89.499)</formula>
    </cfRule>
    <cfRule type="expression" dxfId="4097" priority="59">
      <formula>AND($BI$129="WBGT",$BI137&gt;87.4999,$BI137&lt;89.5)</formula>
    </cfRule>
    <cfRule type="expression" dxfId="4096" priority="60">
      <formula>AND($BI$129="WBGT",$BI137&gt;84.4999,$BI137&lt;87.5)</formula>
    </cfRule>
    <cfRule type="expression" dxfId="4095" priority="61">
      <formula>AND($BI$129="WBGT",$BI137&gt;81.4999,$BI137&lt;84.5)</formula>
    </cfRule>
    <cfRule type="expression" dxfId="4094" priority="62">
      <formula>AND($BI$129="WBGT",$BI137&gt;77.4999,$BI137&lt;81.5)</formula>
    </cfRule>
    <cfRule type="expression" dxfId="4093" priority="63">
      <formula>AND($BI$129="WBGT",$BI137&lt;77.5)</formula>
    </cfRule>
  </conditionalFormatting>
  <conditionalFormatting sqref="BI138:BJ138">
    <cfRule type="expression" dxfId="4092" priority="48">
      <formula>AND($BI$129="MOON ANGLE",$BI138&lt;30)</formula>
    </cfRule>
    <cfRule type="expression" dxfId="4091" priority="50">
      <formula>AND($BI$129="WBGT",$BI138&gt;89.499)</formula>
    </cfRule>
    <cfRule type="expression" dxfId="4090" priority="51">
      <formula>AND($BI$129="WBGT",$BI138&gt;87.4999,$BI138&lt;89.5)</formula>
    </cfRule>
    <cfRule type="expression" dxfId="4089" priority="52">
      <formula>AND($BI$129="WBGT",$BI138&gt;84.4999,$BI138&lt;87.5)</formula>
    </cfRule>
    <cfRule type="expression" dxfId="4088" priority="53">
      <formula>AND($BI$129="WBGT",$BI138&gt;81.4999,$BI138&lt;84.5)</formula>
    </cfRule>
    <cfRule type="expression" dxfId="4087" priority="54">
      <formula>AND($BI$129="WBGT",$BI138&gt;77.4999,$BI138&lt;81.5)</formula>
    </cfRule>
    <cfRule type="expression" dxfId="4086" priority="55">
      <formula>AND($BI$129="WBGT",$BI138&lt;77.5)</formula>
    </cfRule>
  </conditionalFormatting>
  <conditionalFormatting sqref="BI139:BJ139">
    <cfRule type="expression" dxfId="4085" priority="40">
      <formula>AND($BI$129="MOON ANGLE",$BI139&lt;30)</formula>
    </cfRule>
    <cfRule type="expression" dxfId="4084" priority="42">
      <formula>AND($BI$129="WBGT",$BI139&gt;89.499)</formula>
    </cfRule>
    <cfRule type="expression" dxfId="4083" priority="43">
      <formula>AND($BI$129="WBGT",$BI139&gt;87.4999,$BI139&lt;89.5)</formula>
    </cfRule>
    <cfRule type="expression" dxfId="4082" priority="44">
      <formula>AND($BI$129="WBGT",$BI139&gt;84.4999,$BI139&lt;87.5)</formula>
    </cfRule>
    <cfRule type="expression" dxfId="4081" priority="45">
      <formula>AND($BI$129="WBGT",$BI139&gt;81.4999,$BI139&lt;84.5)</formula>
    </cfRule>
    <cfRule type="expression" dxfId="4080" priority="46">
      <formula>AND($BI$129="WBGT",$BI139&gt;77.4999,$BI139&lt;81.5)</formula>
    </cfRule>
    <cfRule type="expression" dxfId="4079" priority="47">
      <formula>AND($BI$129="WBGT",$BI139&lt;77.5)</formula>
    </cfRule>
  </conditionalFormatting>
  <conditionalFormatting sqref="BI140:BJ140">
    <cfRule type="expression" dxfId="4078" priority="32">
      <formula>AND($BI$129="MOON ANGLE",$BI140&lt;30)</formula>
    </cfRule>
    <cfRule type="expression" dxfId="4077" priority="34">
      <formula>AND($BI$129="WBGT",$BI140&gt;89.499)</formula>
    </cfRule>
    <cfRule type="expression" dxfId="4076" priority="35">
      <formula>AND($BI$129="WBGT",$BI140&gt;87.4999,$BI140&lt;89.5)</formula>
    </cfRule>
    <cfRule type="expression" dxfId="4075" priority="36">
      <formula>AND($BI$129="WBGT",$BI140&gt;84.4999,$BI140&lt;87.5)</formula>
    </cfRule>
    <cfRule type="expression" dxfId="4074" priority="37">
      <formula>AND($BI$129="WBGT",$BI140&gt;81.4999,$BI140&lt;84.5)</formula>
    </cfRule>
    <cfRule type="expression" dxfId="4073" priority="38">
      <formula>AND($BI$129="WBGT",$BI140&gt;77.4999,$BI140&lt;81.5)</formula>
    </cfRule>
    <cfRule type="expression" dxfId="4072" priority="39">
      <formula>AND($BI$129="WBGT",$BI140&lt;77.5)</formula>
    </cfRule>
  </conditionalFormatting>
  <conditionalFormatting sqref="BI141:BJ141">
    <cfRule type="expression" dxfId="4071" priority="24">
      <formula>AND($BI$129="MOON ANGLE",$BI141&lt;30)</formula>
    </cfRule>
    <cfRule type="expression" dxfId="4070" priority="26">
      <formula>AND($BI$129="WBGT",$BI141&gt;89.499)</formula>
    </cfRule>
    <cfRule type="expression" dxfId="4069" priority="27">
      <formula>AND($BI$129="WBGT",$BI141&gt;87.4999,$BI141&lt;89.5)</formula>
    </cfRule>
    <cfRule type="expression" dxfId="4068" priority="28">
      <formula>AND($BI$129="WBGT",$BI141&gt;84.4999,$BI141&lt;87.5)</formula>
    </cfRule>
    <cfRule type="expression" dxfId="4067" priority="29">
      <formula>AND($BI$129="WBGT",$BI141&gt;81.4999,$BI141&lt;84.5)</formula>
    </cfRule>
    <cfRule type="expression" dxfId="4066" priority="30">
      <formula>AND($BI$129="WBGT",$BI141&gt;77.4999,$BI141&lt;81.5)</formula>
    </cfRule>
    <cfRule type="expression" dxfId="4065" priority="31">
      <formula>AND($BI$129="WBGT",$BI141&lt;77.5)</formula>
    </cfRule>
  </conditionalFormatting>
  <conditionalFormatting sqref="BI142:BJ142">
    <cfRule type="expression" dxfId="4064" priority="16">
      <formula>AND($BI$129="MOON ANGLE",$BI142&lt;30)</formula>
    </cfRule>
    <cfRule type="expression" dxfId="4063" priority="18">
      <formula>AND($BI$129="WBGT",$BI142&gt;89.499)</formula>
    </cfRule>
    <cfRule type="expression" dxfId="4062" priority="19">
      <formula>AND($BI$129="WBGT",$BI142&gt;87.4999,$BI142&lt;89.5)</formula>
    </cfRule>
    <cfRule type="expression" dxfId="4061" priority="20">
      <formula>AND($BI$129="WBGT",$BI142&gt;84.4999,$BI142&lt;87.5)</formula>
    </cfRule>
    <cfRule type="expression" dxfId="4060" priority="21">
      <formula>AND($BI$129="WBGT",$BI142&gt;81.4999,$BI142&lt;84.5)</formula>
    </cfRule>
    <cfRule type="expression" dxfId="4059" priority="22">
      <formula>AND($BI$129="WBGT",$BI142&gt;77.4999,$BI142&lt;81.5)</formula>
    </cfRule>
    <cfRule type="expression" dxfId="4058" priority="23">
      <formula>AND($BI$129="WBGT",$BI142&lt;77.5)</formula>
    </cfRule>
  </conditionalFormatting>
  <conditionalFormatting sqref="BI143:BJ143">
    <cfRule type="expression" dxfId="4057" priority="8">
      <formula>AND($BI$129="MOON ANGLE",$BI143&lt;30)</formula>
    </cfRule>
    <cfRule type="expression" dxfId="4056" priority="10">
      <formula>AND($BI$129="WBGT",$BI143&gt;89.499)</formula>
    </cfRule>
    <cfRule type="expression" dxfId="4055" priority="11">
      <formula>AND($BI$129="WBGT",$BI143&gt;87.4999,$BI143&lt;89.5)</formula>
    </cfRule>
    <cfRule type="expression" dxfId="4054" priority="12">
      <formula>AND($BI$129="WBGT",$BI143&gt;84.4999,$BI143&lt;87.5)</formula>
    </cfRule>
    <cfRule type="expression" dxfId="4053" priority="13">
      <formula>AND($BI$129="WBGT",$BI143&gt;81.4999,$BI143&lt;84.5)</formula>
    </cfRule>
    <cfRule type="expression" dxfId="4052" priority="14">
      <formula>AND($BI$129="WBGT",$BI143&gt;77.4999,$BI143&lt;81.5)</formula>
    </cfRule>
    <cfRule type="expression" dxfId="4051" priority="15">
      <formula>AND($BI$129="WBGT",$BI143&lt;77.5)</formula>
    </cfRule>
  </conditionalFormatting>
  <conditionalFormatting sqref="BI131:BI143">
    <cfRule type="containsText" dxfId="4050" priority="7" operator="containsText" text="(">
      <formula>NOT(ISERROR(SEARCH("(",BI131)))</formula>
    </cfRule>
  </conditionalFormatting>
  <conditionalFormatting sqref="AW150:BE150">
    <cfRule type="expression" dxfId="4049" priority="336">
      <formula>$Z$72=2</formula>
    </cfRule>
    <cfRule type="expression" dxfId="4048" priority="337">
      <formula>$Z$72=4</formula>
    </cfRule>
    <cfRule type="expression" dxfId="4047" priority="481">
      <formula>$Z$72=1</formula>
    </cfRule>
  </conditionalFormatting>
  <conditionalFormatting sqref="AW146:BE146">
    <cfRule type="expression" dxfId="4046" priority="344">
      <formula>$Z$72=2</formula>
    </cfRule>
    <cfRule type="expression" dxfId="4045" priority="345">
      <formula>OR($Z$72=3,$Z$72=4)</formula>
    </cfRule>
    <cfRule type="expression" dxfId="4044" priority="480">
      <formula>$Z$72=1</formula>
    </cfRule>
  </conditionalFormatting>
  <conditionalFormatting sqref="BF151:BP151">
    <cfRule type="expression" dxfId="4043" priority="450">
      <formula>$Z$72=2</formula>
    </cfRule>
    <cfRule type="expression" dxfId="4042" priority="451">
      <formula>OR($Z$72=3,$Z$72=4)</formula>
    </cfRule>
  </conditionalFormatting>
  <conditionalFormatting sqref="BF150:BP150">
    <cfRule type="expression" dxfId="4041" priority="456">
      <formula>$Z$72=2</formula>
    </cfRule>
    <cfRule type="expression" dxfId="4040" priority="457">
      <formula>$Z$72=4</formula>
    </cfRule>
  </conditionalFormatting>
  <conditionalFormatting sqref="BF149:BP149">
    <cfRule type="expression" dxfId="4039" priority="458">
      <formula>OR($Z$72=1,$Z$72=3)</formula>
    </cfRule>
    <cfRule type="expression" dxfId="4038" priority="459">
      <formula>$Z$72=4</formula>
    </cfRule>
  </conditionalFormatting>
  <conditionalFormatting sqref="BF148:BP148">
    <cfRule type="expression" dxfId="4037" priority="464">
      <formula>OR($Z$72=1,$Z$72=3)</formula>
    </cfRule>
    <cfRule type="expression" dxfId="4036" priority="465">
      <formula>$Z$72=4</formula>
    </cfRule>
  </conditionalFormatting>
  <conditionalFormatting sqref="BF147:BP147">
    <cfRule type="expression" dxfId="4035" priority="466">
      <formula>$Z$72=2</formula>
    </cfRule>
    <cfRule type="expression" dxfId="4034" priority="467">
      <formula>$Z$72=4</formula>
    </cfRule>
  </conditionalFormatting>
  <conditionalFormatting sqref="BF146:BP146">
    <cfRule type="expression" dxfId="4033" priority="471">
      <formula>$Z$72=2</formula>
    </cfRule>
    <cfRule type="expression" dxfId="4032" priority="472">
      <formula>OR($Z$72=3,$Z$72=4)</formula>
    </cfRule>
  </conditionalFormatting>
  <conditionalFormatting sqref="CE117:CH119">
    <cfRule type="cellIs" dxfId="4031" priority="5" operator="equal">
      <formula>"Severe."</formula>
    </cfRule>
    <cfRule type="cellIs" dxfId="4030" priority="6" operator="equal">
      <formula>"Marginal."</formula>
    </cfRule>
  </conditionalFormatting>
  <conditionalFormatting sqref="CE121:CH123">
    <cfRule type="cellIs" dxfId="4029" priority="3" operator="equal">
      <formula>"Severe."</formula>
    </cfRule>
    <cfRule type="cellIs" dxfId="4028" priority="4" operator="equal">
      <formula>"Marginal."</formula>
    </cfRule>
  </conditionalFormatting>
  <conditionalFormatting sqref="CE125:CH127">
    <cfRule type="cellIs" dxfId="4027" priority="1" operator="equal">
      <formula>"Severe."</formula>
    </cfRule>
    <cfRule type="cellIs" dxfId="4026" priority="2" operator="equal">
      <formula>"Marginal."</formula>
    </cfRule>
  </conditionalFormatting>
  <printOptions horizontalCentered="1" verticalCentered="1"/>
  <pageMargins left="0" right="0" top="0" bottom="0" header="0" footer="0"/>
  <pageSetup scale="6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</sheetPr>
  <dimension ref="A1:AX87"/>
  <sheetViews>
    <sheetView showGridLines="0" zoomScale="90" zoomScaleNormal="90" workbookViewId="0">
      <selection activeCell="I11" sqref="I11:N11"/>
    </sheetView>
  </sheetViews>
  <sheetFormatPr defaultColWidth="9" defaultRowHeight="12.5"/>
  <cols>
    <col min="1" max="1" width="0.54296875" style="215" customWidth="1"/>
    <col min="2" max="2" width="5" style="215" customWidth="1"/>
    <col min="3" max="3" width="4" style="215" customWidth="1"/>
    <col min="4" max="4" width="3.54296875" style="215" customWidth="1"/>
    <col min="5" max="5" width="5" style="215" customWidth="1"/>
    <col min="6" max="7" width="4" style="215" customWidth="1"/>
    <col min="8" max="8" width="0.54296875" style="215" customWidth="1"/>
    <col min="9" max="9" width="5" style="215" customWidth="1"/>
    <col min="10" max="11" width="4" style="215" customWidth="1"/>
    <col min="12" max="12" width="5" style="215" customWidth="1"/>
    <col min="13" max="14" width="4" style="215" customWidth="1"/>
    <col min="15" max="15" width="0.54296875" style="215" customWidth="1"/>
    <col min="16" max="16" width="5" style="215" customWidth="1"/>
    <col min="17" max="18" width="4" style="215" customWidth="1"/>
    <col min="19" max="19" width="5" style="215" customWidth="1"/>
    <col min="20" max="21" width="4" style="215" customWidth="1"/>
    <col min="22" max="22" width="0.54296875" style="215" customWidth="1"/>
    <col min="23" max="23" width="5" style="215" customWidth="1"/>
    <col min="24" max="25" width="4" style="215" customWidth="1"/>
    <col min="26" max="26" width="5" style="215" customWidth="1"/>
    <col min="27" max="28" width="4" style="215" customWidth="1"/>
    <col min="29" max="29" width="0.54296875" style="215" customWidth="1"/>
    <col min="30" max="30" width="5" style="215" customWidth="1"/>
    <col min="31" max="32" width="4" style="215" customWidth="1"/>
    <col min="33" max="33" width="5" style="215" customWidth="1"/>
    <col min="34" max="35" width="4" style="215" customWidth="1"/>
    <col min="36" max="36" width="0.54296875" style="215" customWidth="1"/>
    <col min="37" max="37" width="5" style="215" customWidth="1"/>
    <col min="38" max="39" width="4" style="215" customWidth="1"/>
    <col min="40" max="40" width="5" style="215" customWidth="1"/>
    <col min="41" max="42" width="4" style="215" customWidth="1"/>
    <col min="43" max="43" width="0.54296875" style="215" customWidth="1"/>
    <col min="44" max="44" width="5" style="215" customWidth="1"/>
    <col min="45" max="46" width="4" style="215" customWidth="1"/>
    <col min="47" max="47" width="5" style="215" customWidth="1"/>
    <col min="48" max="49" width="4" style="215" customWidth="1"/>
    <col min="50" max="50" width="0.54296875" style="215" customWidth="1"/>
    <col min="51" max="51" width="3" style="215" customWidth="1"/>
    <col min="52" max="53" width="4" style="215" customWidth="1"/>
    <col min="54" max="16384" width="9" style="215"/>
  </cols>
  <sheetData>
    <row r="1" spans="1:50" ht="5.25" customHeight="1" thickTop="1" thickBot="1">
      <c r="A1" s="212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14"/>
    </row>
    <row r="2" spans="1:50" ht="8.25" customHeight="1">
      <c r="A2" s="216"/>
      <c r="B2" s="2398"/>
      <c r="C2" s="2282"/>
      <c r="D2" s="2282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  <c r="AH2" s="2399"/>
      <c r="AI2" s="2399"/>
      <c r="AJ2" s="2399"/>
      <c r="AK2" s="2399"/>
      <c r="AL2" s="2399"/>
      <c r="AM2" s="2399"/>
      <c r="AN2" s="2399"/>
      <c r="AO2" s="2399"/>
      <c r="AP2" s="2399"/>
      <c r="AQ2" s="2399"/>
      <c r="AR2" s="2399"/>
      <c r="AS2" s="2399"/>
      <c r="AT2" s="2399"/>
      <c r="AU2" s="2399"/>
      <c r="AV2" s="2399"/>
      <c r="AW2" s="2400"/>
      <c r="AX2" s="223"/>
    </row>
    <row r="3" spans="1:50" ht="55.5" customHeight="1">
      <c r="A3" s="216"/>
      <c r="B3" s="295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8"/>
      <c r="AX3" s="223"/>
    </row>
    <row r="4" spans="1:50" ht="27.75" customHeight="1" thickBot="1">
      <c r="A4" s="216"/>
      <c r="B4" s="320"/>
      <c r="C4" s="321"/>
      <c r="D4" s="321"/>
      <c r="E4" s="322"/>
      <c r="F4" s="325"/>
      <c r="G4" s="325"/>
      <c r="H4" s="325"/>
      <c r="I4" s="326"/>
      <c r="J4" s="327"/>
      <c r="K4" s="328" t="s">
        <v>74</v>
      </c>
      <c r="L4" s="2397">
        <f>Worksheet!Q6</f>
        <v>44748</v>
      </c>
      <c r="M4" s="2397"/>
      <c r="N4" s="2397"/>
      <c r="O4" s="2397"/>
      <c r="P4" s="2397"/>
      <c r="Q4" s="2397"/>
      <c r="R4" s="2397"/>
      <c r="S4" s="2397"/>
      <c r="T4" s="2397"/>
      <c r="U4" s="2416" t="s">
        <v>75</v>
      </c>
      <c r="V4" s="2416"/>
      <c r="W4" s="2416"/>
      <c r="X4" s="2416"/>
      <c r="Y4" s="2416"/>
      <c r="Z4" s="2416"/>
      <c r="AA4" s="2416"/>
      <c r="AB4" s="2416"/>
      <c r="AC4" s="2416"/>
      <c r="AD4" s="2381" t="s">
        <v>76</v>
      </c>
      <c r="AE4" s="2381"/>
      <c r="AF4" s="2381"/>
      <c r="AG4" s="2381"/>
      <c r="AH4" s="2381"/>
      <c r="AI4" s="2381"/>
      <c r="AJ4" s="2381"/>
      <c r="AK4" s="2381"/>
      <c r="AL4" s="2381"/>
      <c r="AM4" s="2381"/>
      <c r="AN4" s="2381"/>
      <c r="AO4" s="2381"/>
      <c r="AP4" s="2381"/>
      <c r="AQ4" s="323"/>
      <c r="AR4" s="323"/>
      <c r="AS4" s="321"/>
      <c r="AT4" s="321"/>
      <c r="AU4" s="321"/>
      <c r="AV4" s="321"/>
      <c r="AW4" s="324"/>
      <c r="AX4" s="223"/>
    </row>
    <row r="5" spans="1:50" ht="5.25" customHeight="1" thickBot="1">
      <c r="A5" s="216"/>
      <c r="B5" s="243"/>
      <c r="C5" s="244"/>
      <c r="D5" s="244"/>
      <c r="E5" s="244"/>
      <c r="F5" s="244"/>
      <c r="G5" s="244"/>
      <c r="H5" s="244"/>
      <c r="I5" s="244"/>
      <c r="J5" s="244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6"/>
      <c r="AG5" s="246"/>
      <c r="AH5" s="246"/>
      <c r="AI5" s="243"/>
      <c r="AJ5" s="230"/>
      <c r="AK5" s="230"/>
      <c r="AL5" s="230"/>
      <c r="AM5" s="230"/>
      <c r="AN5" s="230"/>
      <c r="AO5" s="230"/>
      <c r="AP5" s="230"/>
      <c r="AX5" s="223"/>
    </row>
    <row r="6" spans="1:50" ht="9" customHeight="1">
      <c r="A6" s="216"/>
      <c r="B6" s="2404">
        <f>L4+1</f>
        <v>44749</v>
      </c>
      <c r="C6" s="2405"/>
      <c r="D6" s="2405"/>
      <c r="E6" s="2405"/>
      <c r="F6" s="2405"/>
      <c r="G6" s="2406"/>
      <c r="H6" s="299"/>
      <c r="I6" s="2404">
        <f>B6+1</f>
        <v>44750</v>
      </c>
      <c r="J6" s="2405"/>
      <c r="K6" s="2405"/>
      <c r="L6" s="2405"/>
      <c r="M6" s="2405"/>
      <c r="N6" s="2406"/>
      <c r="O6" s="307"/>
      <c r="P6" s="2404">
        <f>I6+1</f>
        <v>44751</v>
      </c>
      <c r="Q6" s="2405"/>
      <c r="R6" s="2405"/>
      <c r="S6" s="2405"/>
      <c r="T6" s="2405"/>
      <c r="U6" s="2406"/>
      <c r="V6" s="308"/>
      <c r="W6" s="2404">
        <f>P6+1</f>
        <v>44752</v>
      </c>
      <c r="X6" s="2405"/>
      <c r="Y6" s="2405"/>
      <c r="Z6" s="2405"/>
      <c r="AA6" s="2405"/>
      <c r="AB6" s="2406"/>
      <c r="AC6" s="308"/>
      <c r="AD6" s="2404">
        <f>W6+1</f>
        <v>44753</v>
      </c>
      <c r="AE6" s="2405"/>
      <c r="AF6" s="2405"/>
      <c r="AG6" s="2405"/>
      <c r="AH6" s="2405"/>
      <c r="AI6" s="2406"/>
      <c r="AJ6" s="309"/>
      <c r="AK6" s="2404">
        <f>AD6+1</f>
        <v>44754</v>
      </c>
      <c r="AL6" s="2405"/>
      <c r="AM6" s="2405"/>
      <c r="AN6" s="2405"/>
      <c r="AO6" s="2405"/>
      <c r="AP6" s="2406"/>
      <c r="AQ6" s="308"/>
      <c r="AR6" s="2404">
        <f>AK6+1</f>
        <v>44755</v>
      </c>
      <c r="AS6" s="2405"/>
      <c r="AT6" s="2405"/>
      <c r="AU6" s="2405"/>
      <c r="AV6" s="2405"/>
      <c r="AW6" s="2406"/>
      <c r="AX6" s="223"/>
    </row>
    <row r="7" spans="1:50" s="252" customFormat="1" ht="19.5" customHeight="1">
      <c r="A7" s="250"/>
      <c r="B7" s="2407"/>
      <c r="C7" s="2408"/>
      <c r="D7" s="2408"/>
      <c r="E7" s="2408"/>
      <c r="F7" s="2408"/>
      <c r="G7" s="2409"/>
      <c r="H7" s="299"/>
      <c r="I7" s="2407"/>
      <c r="J7" s="2408"/>
      <c r="K7" s="2408"/>
      <c r="L7" s="2408"/>
      <c r="M7" s="2408"/>
      <c r="N7" s="2409"/>
      <c r="O7" s="307"/>
      <c r="P7" s="2407"/>
      <c r="Q7" s="2408"/>
      <c r="R7" s="2408"/>
      <c r="S7" s="2408"/>
      <c r="T7" s="2408"/>
      <c r="U7" s="2409"/>
      <c r="V7" s="308"/>
      <c r="W7" s="2407"/>
      <c r="X7" s="2408"/>
      <c r="Y7" s="2408"/>
      <c r="Z7" s="2408"/>
      <c r="AA7" s="2408"/>
      <c r="AB7" s="2409"/>
      <c r="AC7" s="308"/>
      <c r="AD7" s="2407"/>
      <c r="AE7" s="2408"/>
      <c r="AF7" s="2408"/>
      <c r="AG7" s="2408"/>
      <c r="AH7" s="2408"/>
      <c r="AI7" s="2409"/>
      <c r="AJ7" s="310"/>
      <c r="AK7" s="2407"/>
      <c r="AL7" s="2408"/>
      <c r="AM7" s="2408"/>
      <c r="AN7" s="2408"/>
      <c r="AO7" s="2408"/>
      <c r="AP7" s="2409"/>
      <c r="AQ7" s="308"/>
      <c r="AR7" s="2407"/>
      <c r="AS7" s="2408"/>
      <c r="AT7" s="2408"/>
      <c r="AU7" s="2408"/>
      <c r="AV7" s="2408"/>
      <c r="AW7" s="2409"/>
      <c r="AX7" s="251"/>
    </row>
    <row r="8" spans="1:50" s="252" customFormat="1" ht="20.25" customHeight="1">
      <c r="A8" s="250"/>
      <c r="B8" s="837"/>
      <c r="C8" s="839" t="s">
        <v>77</v>
      </c>
      <c r="D8" s="2392">
        <f>Worksheet!BJ457</f>
        <v>94</v>
      </c>
      <c r="E8" s="2392"/>
      <c r="F8" s="2392"/>
      <c r="G8" s="338"/>
      <c r="H8" s="339"/>
      <c r="I8" s="337"/>
      <c r="J8" s="841" t="s">
        <v>77</v>
      </c>
      <c r="K8" s="2392">
        <f>Worksheet!CK457</f>
        <v>91</v>
      </c>
      <c r="L8" s="2392"/>
      <c r="M8" s="2392"/>
      <c r="N8" s="338"/>
      <c r="O8" s="340"/>
      <c r="P8" s="337"/>
      <c r="Q8" s="841" t="s">
        <v>77</v>
      </c>
      <c r="R8" s="2392">
        <f>Worksheet!DL457</f>
        <v>83</v>
      </c>
      <c r="S8" s="2392"/>
      <c r="T8" s="2392"/>
      <c r="U8" s="338"/>
      <c r="V8" s="341"/>
      <c r="W8" s="337"/>
      <c r="X8" s="841" t="s">
        <v>77</v>
      </c>
      <c r="Y8" s="2392">
        <f>Worksheet!EM457</f>
        <v>86</v>
      </c>
      <c r="Z8" s="2392"/>
      <c r="AA8" s="2392"/>
      <c r="AB8" s="338"/>
      <c r="AC8" s="341"/>
      <c r="AD8" s="2424" t="str">
        <f>CONCATENATE("Highs ",IF(LEFT(AD9,4)="near","from","in the"))</f>
        <v>Highs in the</v>
      </c>
      <c r="AE8" s="2425"/>
      <c r="AF8" s="2425"/>
      <c r="AG8" s="2422" t="str">
        <f>CONCATENATE("Lows ",IF(LEFT(AG9,4)="near","from","in the"))</f>
        <v>Lows in the</v>
      </c>
      <c r="AH8" s="2426"/>
      <c r="AI8" s="2427"/>
      <c r="AJ8" s="342"/>
      <c r="AK8" s="2420" t="str">
        <f>CONCATENATE("Highs ",IF(LEFT(AK9,4)="near","from","in the"))</f>
        <v>Highs in the</v>
      </c>
      <c r="AL8" s="2421"/>
      <c r="AM8" s="2421"/>
      <c r="AN8" s="2422" t="str">
        <f>CONCATENATE("Lows ",IF(LEFT(AN9,4)="near","from","in the"))</f>
        <v>Lows in the</v>
      </c>
      <c r="AO8" s="2422"/>
      <c r="AP8" s="2423"/>
      <c r="AQ8" s="341"/>
      <c r="AR8" s="2424" t="str">
        <f>CONCATENATE("Highs ",IF(LEFT(AR9,4)="near","from","in the"))</f>
        <v>Highs in the</v>
      </c>
      <c r="AS8" s="2425"/>
      <c r="AT8" s="2425"/>
      <c r="AU8" s="2422" t="str">
        <f>CONCATENATE("Lows ",IF(LEFT(AU9,4)="near","from","in the"))</f>
        <v>Lows in the</v>
      </c>
      <c r="AV8" s="2422"/>
      <c r="AW8" s="2423"/>
      <c r="AX8" s="251"/>
    </row>
    <row r="9" spans="1:50" ht="28.5" customHeight="1">
      <c r="A9" s="216"/>
      <c r="B9" s="304"/>
      <c r="C9" s="838"/>
      <c r="D9" s="840" t="s">
        <v>78</v>
      </c>
      <c r="E9" s="2390">
        <f>Worksheet!BP457</f>
        <v>74</v>
      </c>
      <c r="F9" s="2390"/>
      <c r="G9" s="2391"/>
      <c r="H9" s="289"/>
      <c r="I9" s="304"/>
      <c r="J9" s="836"/>
      <c r="K9" s="842" t="s">
        <v>78</v>
      </c>
      <c r="L9" s="2390">
        <f>Worksheet!CQ457</f>
        <v>74</v>
      </c>
      <c r="M9" s="2390"/>
      <c r="N9" s="2391"/>
      <c r="O9" s="289"/>
      <c r="P9" s="304"/>
      <c r="Q9" s="836"/>
      <c r="R9" s="842" t="s">
        <v>78</v>
      </c>
      <c r="S9" s="2390">
        <f>Worksheet!DR457</f>
        <v>69</v>
      </c>
      <c r="T9" s="2390"/>
      <c r="U9" s="2391"/>
      <c r="V9" s="290"/>
      <c r="W9" s="304"/>
      <c r="X9" s="836"/>
      <c r="Y9" s="842" t="s">
        <v>78</v>
      </c>
      <c r="Z9" s="2390">
        <f>Worksheet!ES457</f>
        <v>62</v>
      </c>
      <c r="AA9" s="2390"/>
      <c r="AB9" s="2391"/>
      <c r="AC9" s="290"/>
      <c r="AD9" s="2382" t="str">
        <f>IF(Worksheet!FN457&lt;13,IF(Worksheet!FN464=Worksheet!FP464,Worksheet!FN464,Worksheet!FN464&amp;" to "&amp;Worksheet!FP464),IF(OR(RIGHT(TEXT(Worksheet!FN457,"0"),1)="4",RIGHT(TEXT(Worksheet!FN457,"0"),1)="5",RIGHT(TEXT(Worksheet!FN457,"0"),1)="6"),CONCATENATE(LEFT(TEXT(Worksheet!FN457,"0"),1),"0's."),CONCATENATE(LOOKUP(RIGHT(TEXT(Worksheet!FN457-3,"0"),1),calc!K28:K37,calc!L28:L37)," ",LEFT(TEXT(Worksheet!FN457-3,"0"),1),IF(RIGHT(TEXT(Worksheet!FN457-3,"0"),1)="0","0 ","0's "),"to ",LOOKUP(RIGHT(TEXT(Worksheet!FN457+3,"0"),1),calc!K28:K37,calc!L28:L37)," ",LEFT(TEXT(Worksheet!FN457+3,"0"),1),IF(RIGHT(TEXT(Worksheet!FN457+3,"0"),1)="0","0","0's"),".")))</f>
        <v>'s</v>
      </c>
      <c r="AE9" s="2383"/>
      <c r="AF9" s="2383"/>
      <c r="AG9" s="2386" t="str">
        <f>IF(Worksheet!FT457&lt;13,IF(Worksheet!FT464=Worksheet!FV464,Worksheet!FT464,Worksheet!FT464&amp;" to "&amp;Worksheet!FV464),IF(OR(RIGHT(TEXT(Worksheet!FT457,"0"),1)="4",RIGHT(TEXT(Worksheet!FT457,"0"),1)="5",RIGHT(TEXT(Worksheet!FT457,"0"),1)="6"),CONCATENATE(LEFT(TEXT(Worksheet!FT457,"0"),1),"0's."),CONCATENATE(LOOKUP(RIGHT(TEXT(Worksheet!FT457-3,"0"),1),calc!K28:K37,calc!L28:L37)," ",LEFT(TEXT(Worksheet!FT457-3,"0"),1),IF(RIGHT(TEXT(Worksheet!FT457-3,"0"),1)="0","0 ","0's "),"to ",LOOKUP(RIGHT(TEXT(Worksheet!FT457+3,"0"),1),calc!K28:K37,calc!L28:L37)," ",LEFT(TEXT(Worksheet!FT457+3,"0"),1),IF(RIGHT(TEXT(Worksheet!FT457+3,"0"),1)="0","0","0's"),".")))</f>
        <v>'s</v>
      </c>
      <c r="AH9" s="2386"/>
      <c r="AI9" s="2387"/>
      <c r="AJ9" s="373"/>
      <c r="AK9" s="2382" t="str">
        <f>IF(Worksheet!GO457&lt;13,IF(Worksheet!GO464=Worksheet!GQ464,Worksheet!GO464,Worksheet!GO464&amp;" to "&amp;Worksheet!GQ464),IF(OR(RIGHT(TEXT(Worksheet!GO457,"0"),1)="4",RIGHT(TEXT(Worksheet!GO457,"0"),1)="5",RIGHT(TEXT(Worksheet!GO457,"0"),1)="6"),CONCATENATE(LEFT(TEXT(Worksheet!GO457,"0"),1),"0's."),CONCATENATE(LOOKUP(RIGHT(TEXT(Worksheet!GO457-3,"0"),1),calc!K28:K37,calc!L28:L37)," ",LEFT(TEXT(Worksheet!GO457-3,"0"),1),IF(RIGHT(TEXT(Worksheet!GO457-3,"0"),1)="0","0 ","0's "),"to ",LOOKUP(RIGHT(TEXT(Worksheet!GO457+3,"0"),1),calc!K28:K37,calc!L28:L37)," ",LEFT(TEXT(Worksheet!GO457+3,"0"),1),IF(RIGHT(TEXT(Worksheet!GO457+3,"0"),1)="0","0","0's"),".")))</f>
        <v>'s</v>
      </c>
      <c r="AL9" s="2383"/>
      <c r="AM9" s="2383"/>
      <c r="AN9" s="2386" t="str">
        <f>IF(Worksheet!GU457&lt;13,IF(Worksheet!GU464=Worksheet!GW464,Worksheet!GU464,Worksheet!GU464&amp;" to "&amp;Worksheet!GW464),IF(OR(RIGHT(TEXT(Worksheet!GU457,"0"),1)="4",RIGHT(TEXT(Worksheet!GU457,"0"),1)="5",RIGHT(TEXT(Worksheet!GU457,"0"),1)="6"),CONCATENATE(LEFT(TEXT(Worksheet!GU457,"0"),1),"0's."),CONCATENATE(LOOKUP(RIGHT(TEXT(Worksheet!GU457-3,"0"),1),calc!K28:K37,calc!L28:L37)," ",LEFT(TEXT(Worksheet!GU457-3,"0"),1),IF(RIGHT(TEXT(Worksheet!GU457-3,"0"),1)="0","0 ","0's "),"to ",LOOKUP(RIGHT(TEXT(Worksheet!GU457+3,"0"),1),calc!K28:K37,calc!L28:L37)," ",LEFT(TEXT(Worksheet!GU457+3,"0"),1),IF(RIGHT(TEXT(Worksheet!GU457+3,"0"),1)="0","0","0's"),".")))</f>
        <v>'s</v>
      </c>
      <c r="AO9" s="2386"/>
      <c r="AP9" s="2387"/>
      <c r="AQ9" s="374"/>
      <c r="AR9" s="2382" t="str">
        <f>IF(Worksheet!HP457&lt;13,IF(Worksheet!HP464=Worksheet!HR464,Worksheet!HP464,Worksheet!HP464&amp;" to "&amp;Worksheet!HR464),IF(OR(RIGHT(TEXT(Worksheet!HP457,"0"),1)="4",RIGHT(TEXT(Worksheet!HP457,"0"),1)="5",RIGHT(TEXT(Worksheet!HP457,"0"),1)="6"),CONCATENATE(LEFT(TEXT(Worksheet!HP457,"0"),1),"0's."),CONCATENATE(LOOKUP(RIGHT(TEXT(Worksheet!HP457-3,"0"),1),calc!K28:K37,calc!L28:L37)," ",LEFT(TEXT(Worksheet!HP457-3,"0"),1),IF(RIGHT(TEXT(Worksheet!HP457-3,"0"),1)="0","0 ","0's "),"to ",LOOKUP(RIGHT(TEXT(Worksheet!HP457+3,"0"),1),calc!K28:K37,calc!L28:L37)," ",LEFT(TEXT(Worksheet!HP457+3,"0"),1),IF(RIGHT(TEXT(Worksheet!HP457+3,"0"),1)="0","0","0's"),".")))</f>
        <v>'s</v>
      </c>
      <c r="AS9" s="2383"/>
      <c r="AT9" s="2383"/>
      <c r="AU9" s="2386" t="str">
        <f>IF(Worksheet!HV457&lt;13,IF(Worksheet!HV464=Worksheet!HX464,Worksheet!HV464,Worksheet!HV464&amp;" to "&amp;Worksheet!HX464),IF(OR(RIGHT(TEXT(Worksheet!HV457,"0"),1)="4",RIGHT(TEXT(Worksheet!HV457,"0"),1)="5",RIGHT(TEXT(Worksheet!HV457,"0"),1)="6"),CONCATENATE(LEFT(TEXT(Worksheet!HV457,"0"),1),"0's."),CONCATENATE(LOOKUP(RIGHT(TEXT(Worksheet!HV457-3,"0"),1),calc!K28:K37,calc!L28:L37)," ",LEFT(TEXT(Worksheet!HV457-3,"0"),1),IF(RIGHT(TEXT(Worksheet!HV457-3,"0"),1)="0","0 ","0's "),"to ",LOOKUP(RIGHT(TEXT(Worksheet!HV457+3,"0"),1),calc!K28:K37,calc!L28:L37)," ",LEFT(TEXT(Worksheet!HV457+3,"0"),1),IF(RIGHT(TEXT(Worksheet!HV457+3,"0"),1)="0","0","0's"),".")))</f>
        <v>'s</v>
      </c>
      <c r="AV9" s="2386"/>
      <c r="AW9" s="2387"/>
      <c r="AX9" s="223"/>
    </row>
    <row r="10" spans="1:50" ht="11.25" customHeight="1" thickBot="1">
      <c r="A10" s="216"/>
      <c r="B10" s="2393"/>
      <c r="C10" s="2394"/>
      <c r="D10" s="2394"/>
      <c r="E10" s="2395"/>
      <c r="F10" s="2395"/>
      <c r="G10" s="2396"/>
      <c r="H10" s="303"/>
      <c r="I10" s="2393"/>
      <c r="J10" s="2394"/>
      <c r="K10" s="2394"/>
      <c r="L10" s="2395"/>
      <c r="M10" s="2395"/>
      <c r="N10" s="2396"/>
      <c r="O10" s="291"/>
      <c r="P10" s="2393"/>
      <c r="Q10" s="2394"/>
      <c r="R10" s="2394"/>
      <c r="S10" s="2395"/>
      <c r="T10" s="2395"/>
      <c r="U10" s="2396"/>
      <c r="V10" s="292"/>
      <c r="W10" s="2393"/>
      <c r="X10" s="2394"/>
      <c r="Y10" s="2394"/>
      <c r="Z10" s="2395"/>
      <c r="AA10" s="2395"/>
      <c r="AB10" s="2396"/>
      <c r="AC10" s="292"/>
      <c r="AD10" s="2384"/>
      <c r="AE10" s="2385"/>
      <c r="AF10" s="2385"/>
      <c r="AG10" s="2388"/>
      <c r="AH10" s="2388"/>
      <c r="AI10" s="2389"/>
      <c r="AJ10" s="201"/>
      <c r="AK10" s="2384"/>
      <c r="AL10" s="2385"/>
      <c r="AM10" s="2385"/>
      <c r="AN10" s="2388"/>
      <c r="AO10" s="2388"/>
      <c r="AP10" s="2389"/>
      <c r="AQ10" s="292"/>
      <c r="AR10" s="2384"/>
      <c r="AS10" s="2385"/>
      <c r="AT10" s="2385"/>
      <c r="AU10" s="2388"/>
      <c r="AV10" s="2388"/>
      <c r="AW10" s="2389"/>
      <c r="AX10" s="223"/>
    </row>
    <row r="11" spans="1:50" ht="36" customHeight="1">
      <c r="A11" s="250"/>
      <c r="B11" s="2431" t="s">
        <v>2</v>
      </c>
      <c r="C11" s="2432"/>
      <c r="D11" s="2432"/>
      <c r="E11" s="2432"/>
      <c r="F11" s="2432"/>
      <c r="G11" s="2433"/>
      <c r="H11" s="305"/>
      <c r="I11" s="2431" t="s">
        <v>2</v>
      </c>
      <c r="J11" s="2432"/>
      <c r="K11" s="2432"/>
      <c r="L11" s="2432"/>
      <c r="M11" s="2432"/>
      <c r="N11" s="2433"/>
      <c r="O11" s="305"/>
      <c r="P11" s="2431" t="s">
        <v>2</v>
      </c>
      <c r="Q11" s="2432"/>
      <c r="R11" s="2432"/>
      <c r="S11" s="2432"/>
      <c r="T11" s="2432"/>
      <c r="U11" s="2433"/>
      <c r="V11" s="306"/>
      <c r="W11" s="2431" t="s">
        <v>2</v>
      </c>
      <c r="X11" s="2432"/>
      <c r="Y11" s="2432"/>
      <c r="Z11" s="2432"/>
      <c r="AA11" s="2432"/>
      <c r="AB11" s="2433"/>
      <c r="AC11" s="306"/>
      <c r="AD11" s="2431" t="s">
        <v>2</v>
      </c>
      <c r="AE11" s="2432"/>
      <c r="AF11" s="2432"/>
      <c r="AG11" s="2432"/>
      <c r="AH11" s="2432"/>
      <c r="AI11" s="2433"/>
      <c r="AJ11" s="60"/>
      <c r="AK11" s="2431" t="s">
        <v>2</v>
      </c>
      <c r="AL11" s="2432"/>
      <c r="AM11" s="2432"/>
      <c r="AN11" s="2432"/>
      <c r="AO11" s="2432"/>
      <c r="AP11" s="2433"/>
      <c r="AQ11" s="306"/>
      <c r="AR11" s="2431" t="s">
        <v>2</v>
      </c>
      <c r="AS11" s="2432"/>
      <c r="AT11" s="2432"/>
      <c r="AU11" s="2432"/>
      <c r="AV11" s="2432"/>
      <c r="AW11" s="2433"/>
      <c r="AX11" s="223"/>
    </row>
    <row r="12" spans="1:50" ht="36" customHeight="1">
      <c r="A12" s="216"/>
      <c r="B12" s="2437"/>
      <c r="C12" s="2438"/>
      <c r="D12" s="2438"/>
      <c r="E12" s="2438"/>
      <c r="F12" s="2438"/>
      <c r="G12" s="2439"/>
      <c r="H12" s="297"/>
      <c r="I12" s="2437"/>
      <c r="J12" s="2438"/>
      <c r="K12" s="2438"/>
      <c r="L12" s="2438"/>
      <c r="M12" s="2438"/>
      <c r="N12" s="2439"/>
      <c r="O12" s="297"/>
      <c r="P12" s="2437"/>
      <c r="Q12" s="2438"/>
      <c r="R12" s="2438"/>
      <c r="S12" s="2438"/>
      <c r="T12" s="2438"/>
      <c r="U12" s="2439"/>
      <c r="V12" s="298"/>
      <c r="W12" s="2437"/>
      <c r="X12" s="2438"/>
      <c r="Y12" s="2438"/>
      <c r="Z12" s="2438"/>
      <c r="AA12" s="2438"/>
      <c r="AB12" s="2439"/>
      <c r="AC12" s="298"/>
      <c r="AD12" s="2437"/>
      <c r="AE12" s="2438"/>
      <c r="AF12" s="2438"/>
      <c r="AG12" s="2438"/>
      <c r="AH12" s="2438"/>
      <c r="AI12" s="2439"/>
      <c r="AJ12" s="60"/>
      <c r="AK12" s="2437"/>
      <c r="AL12" s="2438"/>
      <c r="AM12" s="2438"/>
      <c r="AN12" s="2438"/>
      <c r="AO12" s="2438"/>
      <c r="AP12" s="2439"/>
      <c r="AQ12" s="298"/>
      <c r="AR12" s="2437"/>
      <c r="AS12" s="2438"/>
      <c r="AT12" s="2438"/>
      <c r="AU12" s="2438"/>
      <c r="AV12" s="2438"/>
      <c r="AW12" s="2439"/>
      <c r="AX12" s="223"/>
    </row>
    <row r="13" spans="1:50" ht="36" customHeight="1">
      <c r="A13" s="216"/>
      <c r="B13" s="2437"/>
      <c r="C13" s="2438"/>
      <c r="D13" s="2438"/>
      <c r="E13" s="2438"/>
      <c r="F13" s="2438"/>
      <c r="G13" s="2439"/>
      <c r="H13" s="297"/>
      <c r="I13" s="2437"/>
      <c r="J13" s="2438"/>
      <c r="K13" s="2438"/>
      <c r="L13" s="2438"/>
      <c r="M13" s="2438"/>
      <c r="N13" s="2439"/>
      <c r="O13" s="297"/>
      <c r="P13" s="2437"/>
      <c r="Q13" s="2438"/>
      <c r="R13" s="2438"/>
      <c r="S13" s="2438"/>
      <c r="T13" s="2438"/>
      <c r="U13" s="2439"/>
      <c r="V13" s="298"/>
      <c r="W13" s="2437"/>
      <c r="X13" s="2438"/>
      <c r="Y13" s="2438"/>
      <c r="Z13" s="2438"/>
      <c r="AA13" s="2438"/>
      <c r="AB13" s="2439"/>
      <c r="AC13" s="298"/>
      <c r="AD13" s="2437"/>
      <c r="AE13" s="2438"/>
      <c r="AF13" s="2438"/>
      <c r="AG13" s="2438"/>
      <c r="AH13" s="2438"/>
      <c r="AI13" s="2439"/>
      <c r="AJ13" s="60"/>
      <c r="AK13" s="2437"/>
      <c r="AL13" s="2438"/>
      <c r="AM13" s="2438"/>
      <c r="AN13" s="2438"/>
      <c r="AO13" s="2438"/>
      <c r="AP13" s="2439"/>
      <c r="AQ13" s="298"/>
      <c r="AR13" s="2437"/>
      <c r="AS13" s="2438"/>
      <c r="AT13" s="2438"/>
      <c r="AU13" s="2438"/>
      <c r="AV13" s="2438"/>
      <c r="AW13" s="2439"/>
      <c r="AX13" s="223"/>
    </row>
    <row r="14" spans="1:50" ht="35.25" customHeight="1">
      <c r="A14" s="216"/>
      <c r="B14" s="2410" t="str">
        <f>CONCATENATE(Worksheet!BC460,IF(RIGHT(Worksheet!BC460,1)=".","","."))</f>
        <v>MOSTLY SUNNY.</v>
      </c>
      <c r="C14" s="2411"/>
      <c r="D14" s="2411"/>
      <c r="E14" s="2411"/>
      <c r="F14" s="2411"/>
      <c r="G14" s="2412"/>
      <c r="H14" s="300"/>
      <c r="I14" s="2410" t="str">
        <f>CONCATENATE(Worksheet!CD460,IF(RIGHT(Worksheet!CD460,1)=".","","."))</f>
        <v>PARTLY CLOUDY.</v>
      </c>
      <c r="J14" s="2411"/>
      <c r="K14" s="2411"/>
      <c r="L14" s="2411"/>
      <c r="M14" s="2411"/>
      <c r="N14" s="2412"/>
      <c r="O14" s="300"/>
      <c r="P14" s="2410" t="str">
        <f>CONCATENATE(Worksheet!DE460,IF(RIGHT(Worksheet!DE460,1)=".","","."))</f>
        <v>PARTLY CLOUDY.</v>
      </c>
      <c r="Q14" s="2411"/>
      <c r="R14" s="2411"/>
      <c r="S14" s="2411"/>
      <c r="T14" s="2411"/>
      <c r="U14" s="2412"/>
      <c r="V14" s="301"/>
      <c r="W14" s="2410" t="str">
        <f>CONCATENATE(Worksheet!EF460,IF(RIGHT(Worksheet!EF460,1)=".","","."))</f>
        <v>MOSTLY SUNNY.</v>
      </c>
      <c r="X14" s="2411"/>
      <c r="Y14" s="2411"/>
      <c r="Z14" s="2411"/>
      <c r="AA14" s="2411"/>
      <c r="AB14" s="2412"/>
      <c r="AC14" s="301"/>
      <c r="AD14" s="2410" t="str">
        <f>CONCATENATE(Worksheet!FG460,IF(RIGHT(Worksheet!FG460,1)=".","","."))</f>
        <v>.</v>
      </c>
      <c r="AE14" s="2411"/>
      <c r="AF14" s="2411"/>
      <c r="AG14" s="2411"/>
      <c r="AH14" s="2411"/>
      <c r="AI14" s="2412"/>
      <c r="AJ14" s="302"/>
      <c r="AK14" s="2410" t="str">
        <f>CONCATENATE(Worksheet!GH460,IF(RIGHT(Worksheet!GH460,1)=".","","."))</f>
        <v>.</v>
      </c>
      <c r="AL14" s="2411"/>
      <c r="AM14" s="2411"/>
      <c r="AN14" s="2411"/>
      <c r="AO14" s="2411"/>
      <c r="AP14" s="2412"/>
      <c r="AQ14" s="301"/>
      <c r="AR14" s="2410" t="str">
        <f>CONCATENATE(Worksheet!HI460,IF(RIGHT(Worksheet!HI460,1)=".","","."))</f>
        <v>.</v>
      </c>
      <c r="AS14" s="2411"/>
      <c r="AT14" s="2411"/>
      <c r="AU14" s="2411"/>
      <c r="AV14" s="2411"/>
      <c r="AW14" s="2412"/>
      <c r="AX14" s="223"/>
    </row>
    <row r="15" spans="1:50" ht="35.25" customHeight="1">
      <c r="A15" s="216"/>
      <c r="B15" s="2410"/>
      <c r="C15" s="2411"/>
      <c r="D15" s="2411"/>
      <c r="E15" s="2411"/>
      <c r="F15" s="2411"/>
      <c r="G15" s="2412"/>
      <c r="H15" s="300"/>
      <c r="I15" s="2410"/>
      <c r="J15" s="2411"/>
      <c r="K15" s="2411"/>
      <c r="L15" s="2411"/>
      <c r="M15" s="2411"/>
      <c r="N15" s="2412"/>
      <c r="O15" s="300"/>
      <c r="P15" s="2410"/>
      <c r="Q15" s="2411"/>
      <c r="R15" s="2411"/>
      <c r="S15" s="2411"/>
      <c r="T15" s="2411"/>
      <c r="U15" s="2412"/>
      <c r="V15" s="301"/>
      <c r="W15" s="2410"/>
      <c r="X15" s="2411"/>
      <c r="Y15" s="2411"/>
      <c r="Z15" s="2411"/>
      <c r="AA15" s="2411"/>
      <c r="AB15" s="2412"/>
      <c r="AC15" s="301"/>
      <c r="AD15" s="2410"/>
      <c r="AE15" s="2411"/>
      <c r="AF15" s="2411"/>
      <c r="AG15" s="2411"/>
      <c r="AH15" s="2411"/>
      <c r="AI15" s="2412"/>
      <c r="AJ15" s="302"/>
      <c r="AK15" s="2410"/>
      <c r="AL15" s="2411"/>
      <c r="AM15" s="2411"/>
      <c r="AN15" s="2411"/>
      <c r="AO15" s="2411"/>
      <c r="AP15" s="2412"/>
      <c r="AQ15" s="301"/>
      <c r="AR15" s="2410"/>
      <c r="AS15" s="2411"/>
      <c r="AT15" s="2411"/>
      <c r="AU15" s="2411"/>
      <c r="AV15" s="2411"/>
      <c r="AW15" s="2412"/>
      <c r="AX15" s="223"/>
    </row>
    <row r="16" spans="1:50" ht="12" customHeight="1">
      <c r="A16" s="216"/>
      <c r="B16" s="2401" t="str">
        <f>IF(Worksheet!BH454="VRB","VARIABLE WINDS AT",CONCATENATE(LOOKUP(Worksheet!BH454,calc!F28:F64,calc!G28:G64)," WINDS AT"))</f>
        <v>SOUTHWEST WINDS AT</v>
      </c>
      <c r="C16" s="2402"/>
      <c r="D16" s="2402"/>
      <c r="E16" s="2402"/>
      <c r="F16" s="2402"/>
      <c r="G16" s="2403"/>
      <c r="H16" s="316"/>
      <c r="I16" s="2401" t="str">
        <f>IF(Worksheet!CI454="VRB","VARIABLE WINDS AT",CONCATENATE(LOOKUP(Worksheet!CI454,calc!F28:F64,calc!G28:G64)," WINDS AT"))</f>
        <v>SOUTHWEST WINDS AT</v>
      </c>
      <c r="J16" s="2402"/>
      <c r="K16" s="2402"/>
      <c r="L16" s="2402"/>
      <c r="M16" s="2402"/>
      <c r="N16" s="2403"/>
      <c r="O16" s="316"/>
      <c r="P16" s="2413" t="str">
        <f>IF(Worksheet!DJ454="VRB","VARIABLE WINDS AT",CONCATENATE(LOOKUP(Worksheet!DJ454,calc!F28:F64,calc!G28:G64)," WINDS AT"))</f>
        <v>NORTHEAST WINDS AT</v>
      </c>
      <c r="Q16" s="2414"/>
      <c r="R16" s="2414"/>
      <c r="S16" s="2414"/>
      <c r="T16" s="2414"/>
      <c r="U16" s="2415"/>
      <c r="V16" s="317"/>
      <c r="W16" s="2401" t="str">
        <f>IF(Worksheet!EK454="VRB","VARIABLE WINDS AT",CONCATENATE(LOOKUP(Worksheet!EK454,calc!F28:F64,calc!G28:G64)," WINDS AT"))</f>
        <v>NORTHEAST WINDS AT</v>
      </c>
      <c r="X16" s="2402"/>
      <c r="Y16" s="2402"/>
      <c r="Z16" s="2402"/>
      <c r="AA16" s="2402"/>
      <c r="AB16" s="2403"/>
      <c r="AC16" s="317"/>
      <c r="AD16" s="2401" t="e">
        <f>IF(Worksheet!FL454="VRB","VARIABLE WINDS AT",CONCATENATE(LOOKUP(Worksheet!FL454,calc!F28:F64,calc!G28:G64)," WINDS AT"))</f>
        <v>#N/A</v>
      </c>
      <c r="AE16" s="2402"/>
      <c r="AF16" s="2402"/>
      <c r="AG16" s="2402"/>
      <c r="AH16" s="2402"/>
      <c r="AI16" s="2403"/>
      <c r="AJ16" s="60"/>
      <c r="AK16" s="2401" t="e">
        <f>IF(Worksheet!GM454="VRB","VARIABLE WINDS AT",CONCATENATE(LOOKUP(Worksheet!GM454,calc!F28:F64,calc!G28:G64)," WINDS AT"))</f>
        <v>#N/A</v>
      </c>
      <c r="AL16" s="2402"/>
      <c r="AM16" s="2402"/>
      <c r="AN16" s="2402"/>
      <c r="AO16" s="2402"/>
      <c r="AP16" s="2403"/>
      <c r="AQ16" s="317"/>
      <c r="AR16" s="2401" t="e">
        <f>IF(Worksheet!HN454="VRB","VARIABLE WINDS AT",CONCATENATE(LOOKUP(Worksheet!HN454,calc!F28:F64,calc!G28:G64)," WINDS AT"))</f>
        <v>#N/A</v>
      </c>
      <c r="AS16" s="2402"/>
      <c r="AT16" s="2402"/>
      <c r="AU16" s="2402"/>
      <c r="AV16" s="2402"/>
      <c r="AW16" s="2403"/>
      <c r="AX16" s="223"/>
    </row>
    <row r="17" spans="1:50" ht="12" customHeight="1">
      <c r="A17" s="216"/>
      <c r="B17" s="2401"/>
      <c r="C17" s="2402"/>
      <c r="D17" s="2402"/>
      <c r="E17" s="2402"/>
      <c r="F17" s="2402"/>
      <c r="G17" s="2403"/>
      <c r="H17" s="316"/>
      <c r="I17" s="2401"/>
      <c r="J17" s="2402"/>
      <c r="K17" s="2402"/>
      <c r="L17" s="2402"/>
      <c r="M17" s="2402"/>
      <c r="N17" s="2403"/>
      <c r="O17" s="316"/>
      <c r="P17" s="2413"/>
      <c r="Q17" s="2414"/>
      <c r="R17" s="2414"/>
      <c r="S17" s="2414"/>
      <c r="T17" s="2414"/>
      <c r="U17" s="2415"/>
      <c r="V17" s="317"/>
      <c r="W17" s="2401"/>
      <c r="X17" s="2402"/>
      <c r="Y17" s="2402"/>
      <c r="Z17" s="2402"/>
      <c r="AA17" s="2402"/>
      <c r="AB17" s="2403"/>
      <c r="AC17" s="317"/>
      <c r="AD17" s="2401"/>
      <c r="AE17" s="2402"/>
      <c r="AF17" s="2402"/>
      <c r="AG17" s="2402"/>
      <c r="AH17" s="2402"/>
      <c r="AI17" s="2403"/>
      <c r="AJ17" s="60"/>
      <c r="AK17" s="2401"/>
      <c r="AL17" s="2402"/>
      <c r="AM17" s="2402"/>
      <c r="AN17" s="2402"/>
      <c r="AO17" s="2402"/>
      <c r="AP17" s="2403"/>
      <c r="AQ17" s="317"/>
      <c r="AR17" s="2401"/>
      <c r="AS17" s="2402"/>
      <c r="AT17" s="2402"/>
      <c r="AU17" s="2402"/>
      <c r="AV17" s="2402"/>
      <c r="AW17" s="2403"/>
      <c r="AX17" s="223"/>
    </row>
    <row r="18" spans="1:50" ht="14.25" customHeight="1" thickBot="1">
      <c r="A18" s="216"/>
      <c r="B18" s="2428" t="str">
        <f>IF(Worksheet!BL454&gt;0,CONCATENATE(TEXT(IF(Worksheet!BJ454*1.15-5&lt;1,1,Worksheet!BJ454*1.15-5),"0")," - ",TEXT(Worksheet!BJ454*1.15+5,"0")," GUST ",TEXT(Worksheet!BL454*1.15,"0")," MPH"),CONCATENATE(TEXT(IF(Worksheet!BJ454*1.15-5&lt;1,1,Worksheet!BJ454*1.15-5),"0")," - ",TEXT(Worksheet!BJ454*1.15+5,"0")," MPH"))</f>
        <v>1 - 10 MPH</v>
      </c>
      <c r="C18" s="2429"/>
      <c r="D18" s="2429"/>
      <c r="E18" s="2429"/>
      <c r="F18" s="2429"/>
      <c r="G18" s="2430"/>
      <c r="H18" s="318"/>
      <c r="I18" s="2428" t="str">
        <f>IF(Worksheet!CM454&gt;0,CONCATENATE(TEXT(IF(Worksheet!CK454*1.15-5&lt;1,1,Worksheet!CK454*1.15-5),"0")," - ",TEXT(Worksheet!CK454*1.15+5,"0")," GUST ",TEXT(Worksheet!CM454*1.15,"0")," MPH"),CONCATENATE(TEXT(IF(Worksheet!CK454*1.15-5&lt;1,1,Worksheet!CK454*1.15-5),"0")," - ",TEXT(Worksheet!CK454*1.15+5,"0")," MPH"))</f>
        <v>3 - 13 MPH</v>
      </c>
      <c r="J18" s="2429"/>
      <c r="K18" s="2429"/>
      <c r="L18" s="2429"/>
      <c r="M18" s="2429"/>
      <c r="N18" s="2430"/>
      <c r="O18" s="318"/>
      <c r="P18" s="2428" t="str">
        <f>IF(Worksheet!DN454&gt;0,CONCATENATE(TEXT(IF(Worksheet!DL454*1.15-5&lt;1,1,Worksheet!DL454*1.15-5),"0")," - ",TEXT(Worksheet!DL454*1.15+5,"0")," GUST ",TEXT(Worksheet!DN454*1.15,"0")," MPH"),CONCATENATE(TEXT(IF(Worksheet!DL454*1.15-5&lt;1,1,Worksheet!DL454*1.15-5),"0")," - ",TEXT(Worksheet!DL454*1.15+5,"0")," MPH"))</f>
        <v>1 - 11 MPH</v>
      </c>
      <c r="Q18" s="2429"/>
      <c r="R18" s="2429"/>
      <c r="S18" s="2429"/>
      <c r="T18" s="2429"/>
      <c r="U18" s="2430"/>
      <c r="V18" s="319"/>
      <c r="W18" s="2428" t="str">
        <f>IF(Worksheet!EO454&gt;0,CONCATENATE(TEXT(IF(Worksheet!EM454*1.15-5&lt;1,1,Worksheet!EM454*1.15-5),"0")," - ",TEXT(Worksheet!EM454*1.15+5,"0")," GUST ",TEXT(Worksheet!EO454*1.15,"0")," MPH"),CONCATENATE(TEXT(IF(Worksheet!EM454*1.15-5&lt;1,1,Worksheet!EM454*1.15-5),"0")," - ",TEXT(Worksheet!EM454*1.15+5,"0")," MPH"))</f>
        <v>3 - 13 MPH</v>
      </c>
      <c r="X18" s="2429"/>
      <c r="Y18" s="2429"/>
      <c r="Z18" s="2429"/>
      <c r="AA18" s="2429"/>
      <c r="AB18" s="2430"/>
      <c r="AC18" s="319"/>
      <c r="AD18" s="2428" t="str">
        <f>IF(Worksheet!FP454&gt;0,CONCATENATE(TEXT(IF(Worksheet!FN454*1.15-5&lt;1,1,Worksheet!FN454*1.15-5),"0")," - ",TEXT(Worksheet!FN454*1.15+5,"0")," GUST ",TEXT(Worksheet!FP454*1.15,"0")," MPH"),CONCATENATE(TEXT(IF(Worksheet!FN454*1.15-5&lt;1,1,Worksheet!FN454*1.15-5),"0")," - ",TEXT(Worksheet!FN454*1.15+5,"0")," MPH"))</f>
        <v>1 - 5 MPH</v>
      </c>
      <c r="AE18" s="2429"/>
      <c r="AF18" s="2429"/>
      <c r="AG18" s="2429"/>
      <c r="AH18" s="2429"/>
      <c r="AI18" s="2430"/>
      <c r="AJ18" s="60"/>
      <c r="AK18" s="2428" t="str">
        <f>IF(Worksheet!GQ454&gt;0,CONCATENATE(TEXT(IF(Worksheet!GO454*1.15-5&lt;1,1,Worksheet!GO454*1.15-5),"0")," - ",TEXT(Worksheet!GO454*1.15+5,"0")," GUST ",TEXT(Worksheet!GQ454*1.15,"0")," MPH"),CONCATENATE(TEXT(IF(Worksheet!GO454*1.15-5&lt;1,1,Worksheet!GO454*1.15-5),"0")," - ",TEXT(Worksheet!GO454*1.15+5,"0")," MPH"))</f>
        <v>1 - 5 MPH</v>
      </c>
      <c r="AL18" s="2429"/>
      <c r="AM18" s="2429"/>
      <c r="AN18" s="2429"/>
      <c r="AO18" s="2429"/>
      <c r="AP18" s="2430"/>
      <c r="AQ18" s="319"/>
      <c r="AR18" s="2428" t="str">
        <f>IF(Worksheet!HR454&gt;0,CONCATENATE(TEXT(IF(Worksheet!HP454*1.15-5&lt;1,1,Worksheet!HP454*1.15-5),"0")," - ",TEXT(Worksheet!HP454*1.15+5,"0")," GUST ",TEXT(Worksheet!HR454*1.15,"0")," MPH"),CONCATENATE(TEXT(IF(Worksheet!HP454*1.15-5&lt;1,1,Worksheet!HP454*1.15-5),"0")," - ",TEXT(Worksheet!HP454*1.15+5,"0")," MPH"))</f>
        <v>1 - 5 MPH</v>
      </c>
      <c r="AS18" s="2429"/>
      <c r="AT18" s="2429"/>
      <c r="AU18" s="2429"/>
      <c r="AV18" s="2429"/>
      <c r="AW18" s="2430"/>
      <c r="AX18" s="223"/>
    </row>
    <row r="19" spans="1:50" ht="36" customHeight="1">
      <c r="A19" s="216"/>
      <c r="B19" s="2434" t="s">
        <v>3</v>
      </c>
      <c r="C19" s="2435"/>
      <c r="D19" s="2435"/>
      <c r="E19" s="2435"/>
      <c r="F19" s="2435"/>
      <c r="G19" s="2436"/>
      <c r="H19" s="305"/>
      <c r="I19" s="2434" t="s">
        <v>3</v>
      </c>
      <c r="J19" s="2435"/>
      <c r="K19" s="2435"/>
      <c r="L19" s="2435"/>
      <c r="M19" s="2435"/>
      <c r="N19" s="2436"/>
      <c r="O19" s="305"/>
      <c r="P19" s="2434" t="s">
        <v>3</v>
      </c>
      <c r="Q19" s="2435"/>
      <c r="R19" s="2435"/>
      <c r="S19" s="2435"/>
      <c r="T19" s="2435"/>
      <c r="U19" s="2436"/>
      <c r="V19" s="306"/>
      <c r="W19" s="2434" t="s">
        <v>3</v>
      </c>
      <c r="X19" s="2435"/>
      <c r="Y19" s="2435"/>
      <c r="Z19" s="2435"/>
      <c r="AA19" s="2435"/>
      <c r="AB19" s="2436"/>
      <c r="AC19" s="306"/>
      <c r="AD19" s="2434" t="s">
        <v>3</v>
      </c>
      <c r="AE19" s="2435"/>
      <c r="AF19" s="2435"/>
      <c r="AG19" s="2435"/>
      <c r="AH19" s="2435"/>
      <c r="AI19" s="2436"/>
      <c r="AJ19" s="60"/>
      <c r="AK19" s="2434" t="s">
        <v>3</v>
      </c>
      <c r="AL19" s="2435"/>
      <c r="AM19" s="2435"/>
      <c r="AN19" s="2435"/>
      <c r="AO19" s="2435"/>
      <c r="AP19" s="2436"/>
      <c r="AQ19" s="306"/>
      <c r="AR19" s="2434" t="s">
        <v>3</v>
      </c>
      <c r="AS19" s="2435"/>
      <c r="AT19" s="2435"/>
      <c r="AU19" s="2435"/>
      <c r="AV19" s="2435"/>
      <c r="AW19" s="2436"/>
      <c r="AX19" s="223"/>
    </row>
    <row r="20" spans="1:50" ht="36" customHeight="1">
      <c r="A20" s="216"/>
      <c r="B20" s="2437"/>
      <c r="C20" s="2438"/>
      <c r="D20" s="2438"/>
      <c r="E20" s="2438"/>
      <c r="F20" s="2438"/>
      <c r="G20" s="2439"/>
      <c r="H20" s="297"/>
      <c r="I20" s="2437"/>
      <c r="J20" s="2438"/>
      <c r="K20" s="2438"/>
      <c r="L20" s="2438"/>
      <c r="M20" s="2438"/>
      <c r="N20" s="2439"/>
      <c r="O20" s="297"/>
      <c r="P20" s="2437"/>
      <c r="Q20" s="2438"/>
      <c r="R20" s="2438"/>
      <c r="S20" s="2438"/>
      <c r="T20" s="2438"/>
      <c r="U20" s="2439"/>
      <c r="V20" s="298"/>
      <c r="W20" s="2437"/>
      <c r="X20" s="2438"/>
      <c r="Y20" s="2438"/>
      <c r="Z20" s="2438"/>
      <c r="AA20" s="2438"/>
      <c r="AB20" s="2439"/>
      <c r="AC20" s="298"/>
      <c r="AD20" s="2437"/>
      <c r="AE20" s="2438"/>
      <c r="AF20" s="2438"/>
      <c r="AG20" s="2438"/>
      <c r="AH20" s="2438"/>
      <c r="AI20" s="2439"/>
      <c r="AJ20" s="60"/>
      <c r="AK20" s="2437"/>
      <c r="AL20" s="2438"/>
      <c r="AM20" s="2438"/>
      <c r="AN20" s="2438"/>
      <c r="AO20" s="2438"/>
      <c r="AP20" s="2439"/>
      <c r="AQ20" s="298"/>
      <c r="AR20" s="2437"/>
      <c r="AS20" s="2438"/>
      <c r="AT20" s="2438"/>
      <c r="AU20" s="2438"/>
      <c r="AV20" s="2438"/>
      <c r="AW20" s="2439"/>
      <c r="AX20" s="223"/>
    </row>
    <row r="21" spans="1:50" ht="36" customHeight="1">
      <c r="A21" s="216"/>
      <c r="B21" s="2437"/>
      <c r="C21" s="2438"/>
      <c r="D21" s="2438"/>
      <c r="E21" s="2438"/>
      <c r="F21" s="2438"/>
      <c r="G21" s="2439"/>
      <c r="H21" s="297"/>
      <c r="I21" s="2437"/>
      <c r="J21" s="2438"/>
      <c r="K21" s="2438"/>
      <c r="L21" s="2438"/>
      <c r="M21" s="2438"/>
      <c r="N21" s="2439"/>
      <c r="O21" s="297"/>
      <c r="P21" s="2437"/>
      <c r="Q21" s="2438"/>
      <c r="R21" s="2438"/>
      <c r="S21" s="2438"/>
      <c r="T21" s="2438"/>
      <c r="U21" s="2439"/>
      <c r="V21" s="298"/>
      <c r="W21" s="2437"/>
      <c r="X21" s="2438"/>
      <c r="Y21" s="2438"/>
      <c r="Z21" s="2438"/>
      <c r="AA21" s="2438"/>
      <c r="AB21" s="2439"/>
      <c r="AC21" s="298"/>
      <c r="AD21" s="2437"/>
      <c r="AE21" s="2438"/>
      <c r="AF21" s="2438"/>
      <c r="AG21" s="2438"/>
      <c r="AH21" s="2438"/>
      <c r="AI21" s="2439"/>
      <c r="AJ21" s="60"/>
      <c r="AK21" s="2437"/>
      <c r="AL21" s="2438"/>
      <c r="AM21" s="2438"/>
      <c r="AN21" s="2438"/>
      <c r="AO21" s="2438"/>
      <c r="AP21" s="2439"/>
      <c r="AQ21" s="298"/>
      <c r="AR21" s="2437"/>
      <c r="AS21" s="2438"/>
      <c r="AT21" s="2438"/>
      <c r="AU21" s="2438"/>
      <c r="AV21" s="2438"/>
      <c r="AW21" s="2439"/>
      <c r="AX21" s="223"/>
    </row>
    <row r="22" spans="1:50" ht="35.25" customHeight="1">
      <c r="A22" s="216"/>
      <c r="B22" s="2417" t="str">
        <f>CONCATENATE(Worksheet!BP460,IF(RIGHT(Worksheet!BP460,1)=".","","."))</f>
        <v>PARTLY TO MOSTLY CLOUDY, SHOWERS &amp; T'STORMS LIKELY.</v>
      </c>
      <c r="C22" s="2418"/>
      <c r="D22" s="2418"/>
      <c r="E22" s="2418"/>
      <c r="F22" s="2418"/>
      <c r="G22" s="2419"/>
      <c r="H22" s="300"/>
      <c r="I22" s="2417" t="str">
        <f>CONCATENATE(Worksheet!CQ460,IF(RIGHT(Worksheet!CQ460,1)=".","","."))</f>
        <v>MOSTLY CLOUDY WITH A SLIGHT CHANCE OF SHOWERS &amp; T'STORMS.</v>
      </c>
      <c r="J22" s="2418"/>
      <c r="K22" s="2418"/>
      <c r="L22" s="2418"/>
      <c r="M22" s="2418"/>
      <c r="N22" s="2419"/>
      <c r="O22" s="300"/>
      <c r="P22" s="2417" t="str">
        <f>CONCATENATE(Worksheet!DR460,IF(RIGHT(Worksheet!DR460,1)=".","","."))</f>
        <v>MOSTLY CLOUDY WITH A CHANCE OF SHOWERS &amp; T'STORMS.</v>
      </c>
      <c r="Q22" s="2418"/>
      <c r="R22" s="2418"/>
      <c r="S22" s="2418"/>
      <c r="T22" s="2418"/>
      <c r="U22" s="2419"/>
      <c r="V22" s="301"/>
      <c r="W22" s="2417" t="str">
        <f>CONCATENATE(Worksheet!ES460,IF(RIGHT(Worksheet!ES460,1)=".","","."))</f>
        <v>MOSTLY SUNNY.</v>
      </c>
      <c r="X22" s="2418"/>
      <c r="Y22" s="2418"/>
      <c r="Z22" s="2418"/>
      <c r="AA22" s="2418"/>
      <c r="AB22" s="2419"/>
      <c r="AC22" s="301"/>
      <c r="AD22" s="2417" t="str">
        <f>CONCATENATE(Worksheet!FT460,IF(RIGHT(Worksheet!FT460,1)=".","","."))</f>
        <v>.</v>
      </c>
      <c r="AE22" s="2418"/>
      <c r="AF22" s="2418"/>
      <c r="AG22" s="2418"/>
      <c r="AH22" s="2418"/>
      <c r="AI22" s="2419"/>
      <c r="AJ22" s="302"/>
      <c r="AK22" s="2417" t="str">
        <f>CONCATENATE(Worksheet!GU460,IF(RIGHT(Worksheet!GU460,1)=".","","."))</f>
        <v>.</v>
      </c>
      <c r="AL22" s="2418"/>
      <c r="AM22" s="2418"/>
      <c r="AN22" s="2418"/>
      <c r="AO22" s="2418"/>
      <c r="AP22" s="2419"/>
      <c r="AQ22" s="301"/>
      <c r="AR22" s="2417" t="str">
        <f>CONCATENATE(Worksheet!HV460,IF(RIGHT(Worksheet!HV460,1)=".","","."))</f>
        <v>.</v>
      </c>
      <c r="AS22" s="2418"/>
      <c r="AT22" s="2418"/>
      <c r="AU22" s="2418"/>
      <c r="AV22" s="2418"/>
      <c r="AW22" s="2419"/>
      <c r="AX22" s="223"/>
    </row>
    <row r="23" spans="1:50" ht="35.25" customHeight="1">
      <c r="A23" s="216"/>
      <c r="B23" s="2417"/>
      <c r="C23" s="2418"/>
      <c r="D23" s="2418"/>
      <c r="E23" s="2418"/>
      <c r="F23" s="2418"/>
      <c r="G23" s="2419"/>
      <c r="H23" s="300"/>
      <c r="I23" s="2417"/>
      <c r="J23" s="2418"/>
      <c r="K23" s="2418"/>
      <c r="L23" s="2418"/>
      <c r="M23" s="2418"/>
      <c r="N23" s="2419"/>
      <c r="O23" s="300"/>
      <c r="P23" s="2417"/>
      <c r="Q23" s="2418"/>
      <c r="R23" s="2418"/>
      <c r="S23" s="2418"/>
      <c r="T23" s="2418"/>
      <c r="U23" s="2419"/>
      <c r="V23" s="301"/>
      <c r="W23" s="2417"/>
      <c r="X23" s="2418"/>
      <c r="Y23" s="2418"/>
      <c r="Z23" s="2418"/>
      <c r="AA23" s="2418"/>
      <c r="AB23" s="2419"/>
      <c r="AC23" s="301"/>
      <c r="AD23" s="2417"/>
      <c r="AE23" s="2418"/>
      <c r="AF23" s="2418"/>
      <c r="AG23" s="2418"/>
      <c r="AH23" s="2418"/>
      <c r="AI23" s="2419"/>
      <c r="AJ23" s="302"/>
      <c r="AK23" s="2417"/>
      <c r="AL23" s="2418"/>
      <c r="AM23" s="2418"/>
      <c r="AN23" s="2418"/>
      <c r="AO23" s="2418"/>
      <c r="AP23" s="2419"/>
      <c r="AQ23" s="301"/>
      <c r="AR23" s="2417"/>
      <c r="AS23" s="2418"/>
      <c r="AT23" s="2418"/>
      <c r="AU23" s="2418"/>
      <c r="AV23" s="2418"/>
      <c r="AW23" s="2419"/>
      <c r="AX23" s="223"/>
    </row>
    <row r="24" spans="1:50" ht="12" customHeight="1">
      <c r="A24" s="216"/>
      <c r="B24" s="2401" t="str">
        <f>IF(Worksheet!BU454="VRB","VARIABLE WINDS AT",CONCATENATE(LOOKUP(Worksheet!BU454,calc!F28:F64,calc!G28:G64)," WINDS AT"))</f>
        <v>WEST WINDS AT</v>
      </c>
      <c r="C24" s="2402"/>
      <c r="D24" s="2402"/>
      <c r="E24" s="2402"/>
      <c r="F24" s="2402"/>
      <c r="G24" s="2403"/>
      <c r="H24" s="316"/>
      <c r="I24" s="2401" t="str">
        <f>IF(Worksheet!CV454="VRB","VARIABLE WINDS AT",CONCATENATE(LOOKUP(Worksheet!CV454,calc!F28:F64,calc!G28:G64)," WINDS AT"))</f>
        <v>WEST WINDS AT</v>
      </c>
      <c r="J24" s="2402"/>
      <c r="K24" s="2402"/>
      <c r="L24" s="2402"/>
      <c r="M24" s="2402"/>
      <c r="N24" s="2403"/>
      <c r="O24" s="316"/>
      <c r="P24" s="2401" t="str">
        <f>IF(Worksheet!DW454="VRB","VARIABLE WINDS AT",CONCATENATE(LOOKUP(Worksheet!DW454,calc!F28:F64,calc!G28:G64)," WINDS AT"))</f>
        <v>NORTHEAST WINDS AT</v>
      </c>
      <c r="Q24" s="2402"/>
      <c r="R24" s="2402"/>
      <c r="S24" s="2402"/>
      <c r="T24" s="2402"/>
      <c r="U24" s="2403"/>
      <c r="V24" s="317"/>
      <c r="W24" s="2401" t="str">
        <f>IF(Worksheet!EX454="VRB","VARIABLE WINDS AT",CONCATENATE(LOOKUP(Worksheet!EX454,calc!F28:F64,calc!G28:G64)," WINDS AT"))</f>
        <v>NORTHEAST WINDS AT</v>
      </c>
      <c r="X24" s="2402"/>
      <c r="Y24" s="2402"/>
      <c r="Z24" s="2402"/>
      <c r="AA24" s="2402"/>
      <c r="AB24" s="2403"/>
      <c r="AC24" s="317"/>
      <c r="AD24" s="2401" t="e">
        <f>IF(Worksheet!FY454="VRB","VARIABLE WINDS AT",CONCATENATE(LOOKUP(Worksheet!FY454,calc!F28:F64,calc!G28:G64)," WINDS AT"))</f>
        <v>#N/A</v>
      </c>
      <c r="AE24" s="2402"/>
      <c r="AF24" s="2402"/>
      <c r="AG24" s="2402"/>
      <c r="AH24" s="2402"/>
      <c r="AI24" s="2403"/>
      <c r="AJ24" s="60"/>
      <c r="AK24" s="2401" t="e">
        <f>IF(Worksheet!GZ454="VRB","VARIABLE WINDS AT",CONCATENATE(LOOKUP(Worksheet!GZ454,calc!F28:F64,calc!G28:G64)," WINDS AT"))</f>
        <v>#N/A</v>
      </c>
      <c r="AL24" s="2402"/>
      <c r="AM24" s="2402"/>
      <c r="AN24" s="2402"/>
      <c r="AO24" s="2402"/>
      <c r="AP24" s="2403"/>
      <c r="AQ24" s="317"/>
      <c r="AR24" s="2401" t="e">
        <f>IF(Worksheet!IA454="VRB","VARIABLE WINDS AT",CONCATENATE(LOOKUP(Worksheet!IA454,calc!F28:V64,calc!G28:G64)," WINDS AT"))</f>
        <v>#N/A</v>
      </c>
      <c r="AS24" s="2402"/>
      <c r="AT24" s="2402"/>
      <c r="AU24" s="2402"/>
      <c r="AV24" s="2402"/>
      <c r="AW24" s="2403"/>
      <c r="AX24" s="223"/>
    </row>
    <row r="25" spans="1:50" ht="12" customHeight="1">
      <c r="A25" s="216"/>
      <c r="B25" s="2401"/>
      <c r="C25" s="2402"/>
      <c r="D25" s="2402"/>
      <c r="E25" s="2402"/>
      <c r="F25" s="2402"/>
      <c r="G25" s="2403"/>
      <c r="H25" s="316"/>
      <c r="I25" s="2401"/>
      <c r="J25" s="2402"/>
      <c r="K25" s="2402"/>
      <c r="L25" s="2402"/>
      <c r="M25" s="2402"/>
      <c r="N25" s="2403"/>
      <c r="O25" s="316"/>
      <c r="P25" s="2401"/>
      <c r="Q25" s="2402"/>
      <c r="R25" s="2402"/>
      <c r="S25" s="2402"/>
      <c r="T25" s="2402"/>
      <c r="U25" s="2403"/>
      <c r="V25" s="317"/>
      <c r="W25" s="2401"/>
      <c r="X25" s="2402"/>
      <c r="Y25" s="2402"/>
      <c r="Z25" s="2402"/>
      <c r="AA25" s="2402"/>
      <c r="AB25" s="2403"/>
      <c r="AC25" s="317"/>
      <c r="AD25" s="2401"/>
      <c r="AE25" s="2402"/>
      <c r="AF25" s="2402"/>
      <c r="AG25" s="2402"/>
      <c r="AH25" s="2402"/>
      <c r="AI25" s="2403"/>
      <c r="AJ25" s="60"/>
      <c r="AK25" s="2401"/>
      <c r="AL25" s="2402"/>
      <c r="AM25" s="2402"/>
      <c r="AN25" s="2402"/>
      <c r="AO25" s="2402"/>
      <c r="AP25" s="2403"/>
      <c r="AQ25" s="317"/>
      <c r="AR25" s="2401"/>
      <c r="AS25" s="2402"/>
      <c r="AT25" s="2402"/>
      <c r="AU25" s="2402"/>
      <c r="AV25" s="2402"/>
      <c r="AW25" s="2403"/>
      <c r="AX25" s="223"/>
    </row>
    <row r="26" spans="1:50" ht="14.25" customHeight="1" thickBot="1">
      <c r="A26" s="216"/>
      <c r="B26" s="2428" t="str">
        <f>IF(Worksheet!BY454&gt;0,CONCATENATE(TEXT(IF(Worksheet!BW454*1.15-5&lt;1,1,Worksheet!BW454*1.15-5),"0")," - ",TEXT(Worksheet!BW454*1.15+5,"0")," GUST ",TEXT(Worksheet!BY454*1.15,"0")," MPH"),CONCATENATE(TEXT(IF(Worksheet!BW454*1.15-5&lt;1,1,Worksheet!BW454*1.15-5),"0")," - ",TEXT(Worksheet!BW454*1.15+5,"0")," MPH"))</f>
        <v>7 - 17 GUST 17 MPH</v>
      </c>
      <c r="C26" s="2429"/>
      <c r="D26" s="2429"/>
      <c r="E26" s="2429"/>
      <c r="F26" s="2429"/>
      <c r="G26" s="2430"/>
      <c r="H26" s="318"/>
      <c r="I26" s="2428" t="str">
        <f>IF(Worksheet!CZ454&gt;0,CONCATENATE(TEXT(IF(Worksheet!CX454*1.15-5&lt;1,1,Worksheet!CX454*1.15-5),"0")," - ",TEXT(Worksheet!CX454*1.15+5,"0")," GUST ",TEXT(Worksheet!CZ454*1.15,"0")," MPH"),CONCATENATE(TEXT(IF(Worksheet!CX454*1.15-5&lt;1,1,Worksheet!CX454*1.15-5),"0")," - ",TEXT(Worksheet!CX454*1.15+5,"0")," MPH"))</f>
        <v>9 - 19 GUST 23 MPH</v>
      </c>
      <c r="J26" s="2429"/>
      <c r="K26" s="2429"/>
      <c r="L26" s="2429"/>
      <c r="M26" s="2429"/>
      <c r="N26" s="2430"/>
      <c r="O26" s="318"/>
      <c r="P26" s="2428" t="str">
        <f>IF(Worksheet!EA454&gt;0,CONCATENATE(TEXT(IF(Worksheet!DY454*1.15-5&lt;1,1,Worksheet!DY454*1.15-5),"0")," - ",TEXT(Worksheet!DY454*1.15+5,"0")," GUST ",TEXT(Worksheet!EA454*1.15,"0")," MPH"),CONCATENATE(TEXT(IF(Worksheet!DY454*1.15-5&lt;1,1,Worksheet!DY454*1.15-5),"0")," - ",TEXT(Worksheet!DY454*1.15+5,"0")," MPH"))</f>
        <v>7 - 17 GUST 17 MPH</v>
      </c>
      <c r="Q26" s="2429"/>
      <c r="R26" s="2429"/>
      <c r="S26" s="2429"/>
      <c r="T26" s="2429"/>
      <c r="U26" s="2430"/>
      <c r="V26" s="319"/>
      <c r="W26" s="2428" t="str">
        <f>IF(Worksheet!FB454&gt;0,CONCATENATE(TEXT(IF(Worksheet!EZ454*1.15-5&lt;1,1,Worksheet!EZ454*1.15-5),"0")," - ",TEXT(Worksheet!EZ454*1.15+5,"0")," GUST ",TEXT(Worksheet!FB454*1.15,"0")," MPH"),CONCATENATE(TEXT(IF(Worksheet!EZ454*1.15-5&lt;1,1,Worksheet!EZ454*1.15-5),"0")," - ",TEXT(Worksheet!EZ454*1.15+5,"0")," MPH"))</f>
        <v>3 - 13 MPH</v>
      </c>
      <c r="X26" s="2429"/>
      <c r="Y26" s="2429"/>
      <c r="Z26" s="2429"/>
      <c r="AA26" s="2429"/>
      <c r="AB26" s="2430"/>
      <c r="AC26" s="319"/>
      <c r="AD26" s="2428" t="str">
        <f>IF(Worksheet!GC454&gt;0,CONCATENATE(TEXT(IF(Worksheet!GA454*1.15-5&lt;1,1,Worksheet!GA454*1.15-5),"0")," - ",TEXT(Worksheet!GA454*1.15+5,"0")," GUST ",TEXT(Worksheet!GC454*1.15,"0")," MPH"),CONCATENATE(TEXT(IF(Worksheet!GA454*1.15-5&lt;1,1,Worksheet!GA454*1.15-5),"0")," - ",TEXT(Worksheet!GA454*1.15+5,"0")," MPH"))</f>
        <v>1 - 5 MPH</v>
      </c>
      <c r="AE26" s="2429"/>
      <c r="AF26" s="2429"/>
      <c r="AG26" s="2429"/>
      <c r="AH26" s="2429"/>
      <c r="AI26" s="2430"/>
      <c r="AJ26" s="60"/>
      <c r="AK26" s="2428" t="str">
        <f>IF(Worksheet!HD454&gt;0,CONCATENATE(TEXT(IF(Worksheet!HB454*1.15-5&lt;1,1,Worksheet!HB454*1.15-5),"0")," - ",TEXT(Worksheet!HB454*1.15+5,"0")," GUST ",TEXT(Worksheet!HD454*1.15,"0")," MPH"),CONCATENATE(TEXT(IF(Worksheet!HB454*1.15-5&lt;1,1,Worksheet!HB454*1.15-5),"0")," - ",TEXT(Worksheet!HB454*1.15+5,"0")," MPH"))</f>
        <v>1 - 5 MPH</v>
      </c>
      <c r="AL26" s="2429"/>
      <c r="AM26" s="2429"/>
      <c r="AN26" s="2429"/>
      <c r="AO26" s="2429"/>
      <c r="AP26" s="2430"/>
      <c r="AQ26" s="319"/>
      <c r="AR26" s="2428" t="str">
        <f>IF(Worksheet!IE454&gt;0,CONCATENATE(TEXT(IF(Worksheet!IC454*1.15-5&lt;1,1,Worksheet!IC454*1.15-5),"0")," - ",TEXT(Worksheet!IC454*1.15+5,"0")," GUST ",TEXT(Worksheet!IE454*1.15,"0")," MPH"),CONCATENATE(TEXT(IF(Worksheet!IC454*1.15-5&lt;1,1,Worksheet!IC454*1.15-5),"0")," - ",TEXT(Worksheet!IC454*1.15+5,"0")," MPH"))</f>
        <v>1 - 5 MPH</v>
      </c>
      <c r="AS26" s="2429"/>
      <c r="AT26" s="2429"/>
      <c r="AU26" s="2429"/>
      <c r="AV26" s="2429"/>
      <c r="AW26" s="2430"/>
      <c r="AX26" s="223"/>
    </row>
    <row r="27" spans="1:50" ht="5.25" customHeight="1" thickBot="1">
      <c r="A27" s="277"/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  <c r="AB27" s="278"/>
      <c r="AC27" s="278"/>
      <c r="AD27" s="278"/>
      <c r="AE27" s="278"/>
      <c r="AF27" s="278"/>
      <c r="AG27" s="278"/>
      <c r="AH27" s="278"/>
      <c r="AI27" s="278"/>
      <c r="AJ27" s="278"/>
      <c r="AK27" s="278"/>
      <c r="AL27" s="278"/>
      <c r="AM27" s="278"/>
      <c r="AN27" s="278"/>
      <c r="AO27" s="278"/>
      <c r="AP27" s="278"/>
      <c r="AQ27" s="278"/>
      <c r="AR27" s="278"/>
      <c r="AS27" s="278"/>
      <c r="AT27" s="294"/>
      <c r="AU27" s="294"/>
      <c r="AV27" s="294"/>
      <c r="AW27" s="294"/>
      <c r="AX27" s="293"/>
    </row>
    <row r="28" spans="1:50" ht="72" customHeight="1" thickTop="1">
      <c r="B28" s="279"/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279"/>
      <c r="AR28" s="279"/>
      <c r="AS28" s="279"/>
    </row>
    <row r="29" spans="1:50">
      <c r="B29" s="280"/>
      <c r="C29" s="280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0"/>
      <c r="AQ29" s="280"/>
      <c r="AR29" s="279"/>
      <c r="AS29" s="279"/>
    </row>
    <row r="30" spans="1:50">
      <c r="B30" s="280"/>
      <c r="C30" s="280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0"/>
      <c r="AQ30" s="280"/>
      <c r="AR30" s="279"/>
      <c r="AS30" s="279"/>
    </row>
    <row r="31" spans="1:50">
      <c r="B31" s="280"/>
      <c r="C31" s="280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31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0"/>
      <c r="AQ31" s="280"/>
      <c r="AR31" s="279"/>
      <c r="AS31" s="279"/>
    </row>
    <row r="32" spans="1:50">
      <c r="B32" s="280"/>
      <c r="C32" s="280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0"/>
      <c r="AQ32" s="280"/>
      <c r="AR32" s="279"/>
      <c r="AS32" s="279"/>
    </row>
    <row r="33" spans="2:45">
      <c r="B33" s="280"/>
      <c r="C33" s="280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0"/>
      <c r="AQ33" s="280"/>
      <c r="AR33" s="279"/>
      <c r="AS33" s="279"/>
    </row>
    <row r="34" spans="2:45">
      <c r="B34" s="280"/>
      <c r="C34" s="280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0"/>
      <c r="AQ34" s="280"/>
      <c r="AR34" s="279"/>
      <c r="AS34" s="279"/>
    </row>
    <row r="35" spans="2:45">
      <c r="B35" s="280"/>
      <c r="C35" s="280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0"/>
      <c r="AQ35" s="280"/>
      <c r="AR35" s="279"/>
      <c r="AS35" s="279"/>
    </row>
    <row r="36" spans="2:45">
      <c r="B36" s="280"/>
      <c r="C36" s="280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0"/>
      <c r="AQ36" s="280"/>
      <c r="AR36" s="279"/>
      <c r="AS36" s="279"/>
    </row>
    <row r="37" spans="2:45" ht="13">
      <c r="B37" s="280"/>
      <c r="C37" s="280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2"/>
      <c r="AK37" s="281"/>
      <c r="AL37" s="281"/>
      <c r="AM37" s="281"/>
      <c r="AN37" s="281"/>
      <c r="AO37" s="281"/>
      <c r="AP37" s="280"/>
      <c r="AQ37" s="280"/>
      <c r="AR37" s="279"/>
      <c r="AS37" s="279"/>
    </row>
    <row r="38" spans="2:45" ht="13">
      <c r="B38" s="280"/>
      <c r="C38" s="280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2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0"/>
      <c r="AQ38" s="280"/>
      <c r="AR38" s="279"/>
      <c r="AS38" s="279"/>
    </row>
    <row r="39" spans="2:45" ht="13">
      <c r="B39" s="280"/>
      <c r="C39" s="280"/>
      <c r="D39" s="281"/>
      <c r="E39" s="281"/>
      <c r="F39" s="281"/>
      <c r="G39" s="281"/>
      <c r="H39" s="281"/>
      <c r="I39" s="281"/>
      <c r="J39" s="282"/>
      <c r="K39" s="281"/>
      <c r="L39" s="281"/>
      <c r="M39" s="281"/>
      <c r="N39" s="281"/>
      <c r="O39" s="281"/>
      <c r="P39" s="283"/>
      <c r="Q39" s="281"/>
      <c r="R39" s="281"/>
      <c r="S39" s="281"/>
      <c r="T39" s="281"/>
      <c r="U39" s="281"/>
      <c r="V39" s="281"/>
      <c r="W39" s="281"/>
      <c r="X39" s="281"/>
      <c r="Y39" s="281"/>
      <c r="Z39" s="282"/>
      <c r="AA39" s="282"/>
      <c r="AB39" s="281"/>
      <c r="AC39" s="281"/>
      <c r="AD39" s="281"/>
      <c r="AE39" s="282"/>
      <c r="AF39" s="281"/>
      <c r="AG39" s="282"/>
      <c r="AH39" s="282"/>
      <c r="AI39" s="281"/>
      <c r="AJ39" s="281"/>
      <c r="AK39" s="281"/>
      <c r="AL39" s="281"/>
      <c r="AM39" s="281"/>
      <c r="AN39" s="281"/>
      <c r="AO39" s="281"/>
      <c r="AP39" s="280"/>
      <c r="AQ39" s="280"/>
      <c r="AR39" s="279"/>
      <c r="AS39" s="279"/>
    </row>
    <row r="40" spans="2:45" ht="13">
      <c r="B40" s="280"/>
      <c r="C40" s="280"/>
      <c r="D40" s="281"/>
      <c r="E40" s="281"/>
      <c r="F40" s="281"/>
      <c r="G40" s="281"/>
      <c r="H40" s="281"/>
      <c r="I40" s="281"/>
      <c r="J40" s="281"/>
      <c r="K40" s="281"/>
      <c r="L40" s="282"/>
      <c r="M40" s="281"/>
      <c r="N40" s="281"/>
      <c r="O40" s="281"/>
      <c r="P40" s="281"/>
      <c r="Q40" s="281"/>
      <c r="R40" s="281"/>
      <c r="S40" s="282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0"/>
      <c r="AQ40" s="280"/>
      <c r="AR40" s="279"/>
      <c r="AS40" s="279"/>
    </row>
    <row r="41" spans="2:45" ht="13">
      <c r="B41" s="280"/>
      <c r="C41" s="280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2"/>
      <c r="V41" s="282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0"/>
      <c r="AQ41" s="280"/>
      <c r="AR41" s="279"/>
      <c r="AS41" s="279"/>
    </row>
    <row r="42" spans="2:45" ht="13">
      <c r="B42" s="280"/>
      <c r="C42" s="280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59"/>
      <c r="O42" s="59"/>
      <c r="P42" s="281"/>
      <c r="Q42" s="281"/>
      <c r="R42" s="281"/>
      <c r="S42" s="281"/>
      <c r="T42" s="281"/>
      <c r="U42" s="282"/>
      <c r="V42" s="282"/>
      <c r="W42" s="281"/>
      <c r="X42" s="281"/>
      <c r="Y42" s="282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0"/>
      <c r="AQ42" s="280"/>
      <c r="AR42" s="279"/>
      <c r="AS42" s="279"/>
    </row>
    <row r="43" spans="2:45" ht="13">
      <c r="B43" s="280"/>
      <c r="C43" s="280"/>
      <c r="D43" s="281"/>
      <c r="E43" s="281"/>
      <c r="F43" s="281"/>
      <c r="G43" s="281"/>
      <c r="H43" s="281"/>
      <c r="I43" s="281"/>
      <c r="J43" s="281"/>
      <c r="K43" s="281"/>
      <c r="L43" s="282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0"/>
      <c r="AQ43" s="280"/>
      <c r="AR43" s="279"/>
      <c r="AS43" s="279"/>
    </row>
    <row r="44" spans="2:45">
      <c r="B44" s="280"/>
      <c r="C44" s="280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0"/>
      <c r="AQ44" s="280"/>
      <c r="AR44" s="279"/>
      <c r="AS44" s="279"/>
    </row>
    <row r="45" spans="2:45">
      <c r="B45" s="280"/>
      <c r="C45" s="280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0"/>
      <c r="AQ45" s="280"/>
      <c r="AR45" s="279"/>
      <c r="AS45" s="279"/>
    </row>
    <row r="46" spans="2:45">
      <c r="B46" s="280"/>
      <c r="C46" s="280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0"/>
      <c r="AQ46" s="280"/>
      <c r="AR46" s="279"/>
      <c r="AS46" s="279"/>
    </row>
    <row r="47" spans="2:45">
      <c r="B47" s="280"/>
      <c r="C47" s="280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0"/>
      <c r="AQ47" s="280"/>
      <c r="AR47" s="279"/>
      <c r="AS47" s="279"/>
    </row>
    <row r="48" spans="2:45">
      <c r="B48" s="280"/>
      <c r="C48" s="280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0"/>
      <c r="AQ48" s="280"/>
      <c r="AR48" s="279"/>
      <c r="AS48" s="279"/>
    </row>
    <row r="49" spans="2:45">
      <c r="B49" s="280"/>
      <c r="C49" s="280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0"/>
      <c r="AQ49" s="280"/>
      <c r="AR49" s="279"/>
      <c r="AS49" s="279"/>
    </row>
    <row r="50" spans="2:45">
      <c r="B50" s="280"/>
      <c r="C50" s="280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0"/>
      <c r="AQ50" s="280"/>
      <c r="AR50" s="279"/>
      <c r="AS50" s="279"/>
    </row>
    <row r="51" spans="2:45" ht="13">
      <c r="B51" s="280"/>
      <c r="C51" s="280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53"/>
      <c r="T51" s="284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0"/>
      <c r="AQ51" s="280"/>
      <c r="AR51" s="279"/>
      <c r="AS51" s="279"/>
    </row>
    <row r="52" spans="2:45">
      <c r="B52" s="280"/>
      <c r="C52" s="280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0"/>
      <c r="AQ52" s="280"/>
      <c r="AR52" s="279"/>
      <c r="AS52" s="279"/>
    </row>
    <row r="53" spans="2:45">
      <c r="B53" s="280"/>
      <c r="C53" s="280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0"/>
      <c r="AQ53" s="280"/>
      <c r="AR53" s="279"/>
      <c r="AS53" s="279"/>
    </row>
    <row r="54" spans="2:45">
      <c r="B54" s="280"/>
      <c r="C54" s="280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0"/>
      <c r="AQ54" s="280"/>
      <c r="AR54" s="279"/>
      <c r="AS54" s="279"/>
    </row>
    <row r="55" spans="2:45" ht="15.5">
      <c r="B55" s="280"/>
      <c r="C55" s="280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5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0"/>
      <c r="AQ55" s="280"/>
      <c r="AR55" s="279"/>
      <c r="AS55" s="279"/>
    </row>
    <row r="56" spans="2:45">
      <c r="B56" s="280"/>
      <c r="C56" s="280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59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0"/>
      <c r="AQ56" s="280"/>
      <c r="AR56" s="279"/>
      <c r="AS56" s="279"/>
    </row>
    <row r="57" spans="2:45">
      <c r="B57" s="280"/>
      <c r="C57" s="280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59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0"/>
      <c r="AQ57" s="280"/>
      <c r="AR57" s="279"/>
      <c r="AS57" s="279"/>
    </row>
    <row r="58" spans="2:45">
      <c r="B58" s="280"/>
      <c r="C58" s="280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59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0"/>
      <c r="AQ58" s="280"/>
      <c r="AR58" s="279"/>
      <c r="AS58" s="279"/>
    </row>
    <row r="59" spans="2:45">
      <c r="B59" s="280"/>
      <c r="C59" s="280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59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0"/>
      <c r="AQ59" s="280"/>
      <c r="AR59" s="279"/>
      <c r="AS59" s="279"/>
    </row>
    <row r="60" spans="2:45">
      <c r="B60" s="280"/>
      <c r="C60" s="280"/>
      <c r="D60" s="281"/>
      <c r="E60" s="281"/>
      <c r="F60" s="281"/>
      <c r="G60" s="281"/>
      <c r="H60" s="281"/>
      <c r="I60" s="281"/>
      <c r="J60" s="53"/>
      <c r="K60" s="281"/>
      <c r="L60" s="281"/>
      <c r="M60" s="281"/>
      <c r="N60" s="281"/>
      <c r="O60" s="281"/>
      <c r="P60" s="281"/>
      <c r="Q60" s="59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0"/>
      <c r="AQ60" s="280"/>
      <c r="AR60" s="279"/>
      <c r="AS60" s="279"/>
    </row>
    <row r="61" spans="2:45"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59"/>
      <c r="R61" s="279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</row>
    <row r="62" spans="2:45"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59"/>
      <c r="R62" s="279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</row>
    <row r="63" spans="2:45"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59"/>
      <c r="R63" s="279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</row>
    <row r="64" spans="2:45"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59"/>
      <c r="R64" s="279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</row>
    <row r="65" spans="2:45">
      <c r="B65" s="279"/>
      <c r="C65" s="279"/>
      <c r="D65" s="279"/>
      <c r="E65" s="279"/>
      <c r="F65" s="279"/>
      <c r="G65" s="53"/>
      <c r="H65" s="53"/>
      <c r="I65" s="279"/>
      <c r="J65" s="279"/>
      <c r="K65" s="279"/>
      <c r="L65" s="279"/>
      <c r="M65" s="279"/>
      <c r="N65" s="279"/>
      <c r="O65" s="279"/>
      <c r="P65" s="279"/>
      <c r="Q65" s="5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</row>
    <row r="66" spans="2:45">
      <c r="B66" s="279"/>
      <c r="C66" s="279"/>
      <c r="D66" s="286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5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</row>
    <row r="67" spans="2:45"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53"/>
      <c r="Q67" s="5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</row>
    <row r="68" spans="2:45" ht="13">
      <c r="B68" s="284"/>
      <c r="E68" s="284"/>
      <c r="I68" s="284"/>
      <c r="Q68" s="53"/>
    </row>
    <row r="69" spans="2:45" ht="13">
      <c r="L69" s="284"/>
      <c r="P69" s="284"/>
      <c r="Q69" s="53"/>
    </row>
    <row r="70" spans="2:45" ht="13">
      <c r="Q70" s="53"/>
      <c r="S70" s="284"/>
    </row>
    <row r="71" spans="2:45">
      <c r="Q71" s="53"/>
    </row>
    <row r="72" spans="2:45">
      <c r="Q72" s="53"/>
    </row>
    <row r="73" spans="2:45">
      <c r="Q73" s="53"/>
    </row>
    <row r="74" spans="2:45">
      <c r="Q74" s="53"/>
    </row>
    <row r="75" spans="2:45">
      <c r="Q75" s="53"/>
    </row>
    <row r="76" spans="2:45">
      <c r="Q76" s="53"/>
    </row>
    <row r="77" spans="2:45">
      <c r="Q77" s="53"/>
    </row>
    <row r="78" spans="2:45">
      <c r="B78" s="215" t="str">
        <f>Worksheet!AH4</f>
        <v>A:</v>
      </c>
      <c r="Q78" s="53"/>
    </row>
    <row r="79" spans="2:45">
      <c r="Q79" s="53"/>
    </row>
    <row r="80" spans="2:45">
      <c r="Q80" s="53"/>
    </row>
    <row r="81" spans="17:17">
      <c r="Q81" s="53"/>
    </row>
    <row r="82" spans="17:17">
      <c r="Q82" s="53"/>
    </row>
    <row r="83" spans="17:17">
      <c r="Q83" s="53"/>
    </row>
    <row r="84" spans="17:17">
      <c r="Q84" s="53"/>
    </row>
    <row r="85" spans="17:17">
      <c r="Q85" s="53"/>
    </row>
    <row r="86" spans="17:17">
      <c r="Q86" s="53"/>
    </row>
    <row r="87" spans="17:17">
      <c r="Q87" s="53"/>
    </row>
  </sheetData>
  <sheetProtection algorithmName="SHA-512" hashValue="JHk106DUE+lyYNIbILmiHxNFFQyj1VbtXaUbHjjVRzuqf1lL9e13BS98jMcfkb8VHxeNxPffL945y0ZrMtE9eg==" saltValue="ufGY78/ZAMSm+/od5AjR8w==" spinCount="100000" sheet="1" scenarios="1"/>
  <mergeCells count="109">
    <mergeCell ref="AK22:AP23"/>
    <mergeCell ref="AR22:AW23"/>
    <mergeCell ref="AK26:AP26"/>
    <mergeCell ref="AR26:AW26"/>
    <mergeCell ref="AK18:AP18"/>
    <mergeCell ref="I26:N26"/>
    <mergeCell ref="P26:U26"/>
    <mergeCell ref="P24:U25"/>
    <mergeCell ref="W26:AB26"/>
    <mergeCell ref="AR18:AW18"/>
    <mergeCell ref="AK19:AP19"/>
    <mergeCell ref="AR19:AW19"/>
    <mergeCell ref="AK20:AP21"/>
    <mergeCell ref="AR20:AW21"/>
    <mergeCell ref="W24:AB25"/>
    <mergeCell ref="AD24:AI25"/>
    <mergeCell ref="I24:N25"/>
    <mergeCell ref="I20:N21"/>
    <mergeCell ref="P20:U21"/>
    <mergeCell ref="W20:AB21"/>
    <mergeCell ref="AD20:AI21"/>
    <mergeCell ref="B16:G17"/>
    <mergeCell ref="AK11:AP11"/>
    <mergeCell ref="AR11:AW11"/>
    <mergeCell ref="AK12:AP13"/>
    <mergeCell ref="AR12:AW13"/>
    <mergeCell ref="AK14:AP15"/>
    <mergeCell ref="AR14:AW15"/>
    <mergeCell ref="AK16:AP17"/>
    <mergeCell ref="AR16:AW17"/>
    <mergeCell ref="W14:AB15"/>
    <mergeCell ref="AD14:AI15"/>
    <mergeCell ref="B12:G13"/>
    <mergeCell ref="I12:N13"/>
    <mergeCell ref="P12:U13"/>
    <mergeCell ref="W12:AB13"/>
    <mergeCell ref="AD12:AI13"/>
    <mergeCell ref="B22:G23"/>
    <mergeCell ref="I22:N23"/>
    <mergeCell ref="P22:U23"/>
    <mergeCell ref="B26:G26"/>
    <mergeCell ref="AK6:AP7"/>
    <mergeCell ref="AR6:AW7"/>
    <mergeCell ref="AD16:AI17"/>
    <mergeCell ref="B18:G18"/>
    <mergeCell ref="I18:N18"/>
    <mergeCell ref="P18:U18"/>
    <mergeCell ref="W18:AB18"/>
    <mergeCell ref="AD18:AI18"/>
    <mergeCell ref="AD26:AI26"/>
    <mergeCell ref="I11:N11"/>
    <mergeCell ref="P11:U11"/>
    <mergeCell ref="W11:AB11"/>
    <mergeCell ref="AD11:AI11"/>
    <mergeCell ref="B19:G19"/>
    <mergeCell ref="I19:N19"/>
    <mergeCell ref="P19:U19"/>
    <mergeCell ref="W19:AB19"/>
    <mergeCell ref="AD19:AI19"/>
    <mergeCell ref="B11:G11"/>
    <mergeCell ref="B20:G21"/>
    <mergeCell ref="B2:AW2"/>
    <mergeCell ref="AK24:AP25"/>
    <mergeCell ref="AR24:AW25"/>
    <mergeCell ref="B6:G7"/>
    <mergeCell ref="I6:N7"/>
    <mergeCell ref="P6:U7"/>
    <mergeCell ref="W6:AB7"/>
    <mergeCell ref="AD6:AI7"/>
    <mergeCell ref="B14:G15"/>
    <mergeCell ref="I14:N15"/>
    <mergeCell ref="P14:U15"/>
    <mergeCell ref="I16:N17"/>
    <mergeCell ref="P16:U17"/>
    <mergeCell ref="W16:AB17"/>
    <mergeCell ref="U4:AC4"/>
    <mergeCell ref="W22:AB23"/>
    <mergeCell ref="AD22:AI23"/>
    <mergeCell ref="AK8:AM8"/>
    <mergeCell ref="AN8:AP8"/>
    <mergeCell ref="AR8:AT8"/>
    <mergeCell ref="AU8:AW8"/>
    <mergeCell ref="AD8:AF8"/>
    <mergeCell ref="AG8:AI8"/>
    <mergeCell ref="B24:G25"/>
    <mergeCell ref="AD4:AP4"/>
    <mergeCell ref="AD9:AF10"/>
    <mergeCell ref="AG9:AI10"/>
    <mergeCell ref="AK9:AM10"/>
    <mergeCell ref="AN9:AP10"/>
    <mergeCell ref="AR9:AT10"/>
    <mergeCell ref="AU9:AW10"/>
    <mergeCell ref="E9:G9"/>
    <mergeCell ref="D8:F8"/>
    <mergeCell ref="K8:M8"/>
    <mergeCell ref="L9:N9"/>
    <mergeCell ref="R8:T8"/>
    <mergeCell ref="S9:U9"/>
    <mergeCell ref="Y8:AA8"/>
    <mergeCell ref="Z9:AB9"/>
    <mergeCell ref="W10:Y10"/>
    <mergeCell ref="Z10:AB10"/>
    <mergeCell ref="L10:N10"/>
    <mergeCell ref="I10:K10"/>
    <mergeCell ref="B10:D10"/>
    <mergeCell ref="E10:G10"/>
    <mergeCell ref="P10:R10"/>
    <mergeCell ref="S10:U10"/>
    <mergeCell ref="L4:T4"/>
  </mergeCells>
  <printOptions horizontalCentered="1" verticalCentered="1"/>
  <pageMargins left="0.15" right="0.15" top="0.25" bottom="0.25" header="0.3" footer="0.3"/>
  <pageSetup scale="6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 tint="0.39997558519241921"/>
    <pageSetUpPr fitToPage="1"/>
  </sheetPr>
  <dimension ref="B1:BT256"/>
  <sheetViews>
    <sheetView showGridLines="0" zoomScaleNormal="100" workbookViewId="0">
      <selection activeCell="AP14" sqref="AP14:AR16"/>
    </sheetView>
  </sheetViews>
  <sheetFormatPr defaultColWidth="9" defaultRowHeight="12.5"/>
  <cols>
    <col min="1" max="1" width="1" style="53" customWidth="1"/>
    <col min="2" max="49" width="3" style="53" customWidth="1"/>
    <col min="50" max="50" width="3" style="54" customWidth="1"/>
    <col min="51" max="53" width="2.54296875" style="54" customWidth="1"/>
    <col min="54" max="75" width="2.54296875" style="53" customWidth="1"/>
    <col min="76" max="16384" width="9" style="53"/>
  </cols>
  <sheetData>
    <row r="1" spans="2:53" ht="5.25" customHeight="1" thickBot="1"/>
    <row r="2" spans="2:53" ht="33" customHeight="1">
      <c r="B2" s="2808"/>
      <c r="C2" s="2835"/>
      <c r="D2" s="2835"/>
      <c r="E2" s="2835"/>
      <c r="F2" s="2835"/>
      <c r="G2" s="2835"/>
      <c r="H2" s="2835"/>
      <c r="I2" s="2835"/>
      <c r="J2" s="2835"/>
      <c r="K2" s="2835"/>
      <c r="L2" s="2835"/>
      <c r="M2" s="2835"/>
      <c r="N2" s="2835"/>
      <c r="O2" s="2835"/>
      <c r="P2" s="2835"/>
      <c r="Q2" s="2835"/>
      <c r="R2" s="2835"/>
      <c r="S2" s="2835"/>
      <c r="T2" s="2835"/>
      <c r="U2" s="2835"/>
      <c r="V2" s="2835"/>
      <c r="W2" s="2835"/>
      <c r="X2" s="2835"/>
      <c r="Y2" s="2835"/>
      <c r="Z2" s="2835"/>
      <c r="AA2" s="2835"/>
      <c r="AB2" s="2835"/>
      <c r="AC2" s="2835"/>
      <c r="AD2" s="2835"/>
      <c r="AE2" s="2835"/>
      <c r="AF2" s="2835"/>
      <c r="AG2" s="2835"/>
      <c r="AH2" s="2835"/>
      <c r="AI2" s="2835"/>
      <c r="AJ2" s="2835"/>
      <c r="AK2" s="2835"/>
      <c r="AL2" s="2835"/>
      <c r="AM2" s="2835"/>
      <c r="AN2" s="2835"/>
      <c r="AO2" s="2835"/>
      <c r="AP2" s="2835"/>
      <c r="AQ2" s="2835"/>
      <c r="AR2" s="2835"/>
      <c r="AS2" s="2835"/>
      <c r="AT2" s="2835"/>
      <c r="AU2" s="2835"/>
      <c r="AV2" s="2835"/>
      <c r="AW2" s="2836"/>
      <c r="AX2" s="61"/>
      <c r="AY2" s="61"/>
      <c r="AZ2" s="61"/>
      <c r="BA2" s="61"/>
    </row>
    <row r="3" spans="2:53" ht="20.25" customHeight="1">
      <c r="B3" s="58"/>
      <c r="C3" s="54"/>
      <c r="D3" s="54"/>
      <c r="E3" s="155"/>
      <c r="F3" s="2811">
        <f>Worksheet!Q6</f>
        <v>44748</v>
      </c>
      <c r="G3" s="2811"/>
      <c r="H3" s="2811"/>
      <c r="I3" s="2811"/>
      <c r="J3" s="2811"/>
      <c r="K3" s="2811"/>
      <c r="L3" s="2811"/>
      <c r="M3" s="2811"/>
      <c r="N3" s="2811"/>
      <c r="O3" s="2811"/>
      <c r="P3" s="2811"/>
      <c r="Q3" s="2811"/>
      <c r="R3" s="2812" t="s">
        <v>19</v>
      </c>
      <c r="S3" s="2812"/>
      <c r="T3" s="2837" t="str">
        <f>CONCATENATE(TEXT(B20,"d"),"/",TEXT(B20,"hhmmL")," (",TEXT(D20,"d"),"/",TEXT(D20,"hhmmZ"),")  to  ",TEXT(B32,"d"),"/",TEXT(B32,"hhmmL")," (",TEXT(D32,"d"),"/",TEXT((D32),"hhmmZ"),")")</f>
        <v>6/0900L (6/1300Z)  to  6/2100L (7/0100Z)</v>
      </c>
      <c r="U3" s="2837"/>
      <c r="V3" s="2837"/>
      <c r="W3" s="2837"/>
      <c r="X3" s="2837"/>
      <c r="Y3" s="2837"/>
      <c r="Z3" s="2837"/>
      <c r="AA3" s="2837"/>
      <c r="AB3" s="2837"/>
      <c r="AC3" s="2837"/>
      <c r="AD3" s="2837"/>
      <c r="AE3" s="2837"/>
      <c r="AF3" s="2837"/>
      <c r="AG3" s="2814" t="s">
        <v>20</v>
      </c>
      <c r="AH3" s="2814"/>
      <c r="AI3" s="2815" t="str">
        <f>CONCATENATE(TEXT(Worksheet!Q6,"d"),Worksheet!X6)</f>
        <v>6B</v>
      </c>
      <c r="AJ3" s="2815"/>
      <c r="AK3" s="2815"/>
      <c r="AL3" s="2816" t="str">
        <f>IF(ISBLANK(Worksheet!AC6),"",CONCATENATE("AMD: ",Worksheet!AC6,"  TIME: ",Worksheet!AF6,"L"))</f>
        <v/>
      </c>
      <c r="AM3" s="2816"/>
      <c r="AN3" s="2816"/>
      <c r="AO3" s="2816"/>
      <c r="AP3" s="2816"/>
      <c r="AQ3" s="2816"/>
      <c r="AR3" s="2816"/>
      <c r="AS3" s="157"/>
      <c r="AT3" s="158"/>
      <c r="AU3" s="159"/>
      <c r="AV3" s="159"/>
      <c r="AW3" s="160"/>
      <c r="BA3" s="1621"/>
    </row>
    <row r="4" spans="2:53" ht="12.75" customHeight="1">
      <c r="B4" s="2838" t="s">
        <v>131</v>
      </c>
      <c r="C4" s="2839"/>
      <c r="D4" s="2839"/>
      <c r="E4" s="2839"/>
      <c r="F4" s="2839"/>
      <c r="G4" s="2839"/>
      <c r="H4" s="2839"/>
      <c r="I4" s="2839"/>
      <c r="J4" s="2839"/>
      <c r="K4" s="2839"/>
      <c r="L4" s="2839"/>
      <c r="M4" s="2839"/>
      <c r="N4" s="2839"/>
      <c r="O4" s="2839"/>
      <c r="P4" s="2839"/>
      <c r="Q4" s="2839"/>
      <c r="R4" s="2839"/>
      <c r="S4" s="2840"/>
      <c r="T4" s="2841" t="s">
        <v>79</v>
      </c>
      <c r="U4" s="2842"/>
      <c r="V4" s="2843"/>
      <c r="W4" s="2767" t="s">
        <v>21</v>
      </c>
      <c r="X4" s="2768"/>
      <c r="Y4" s="2768"/>
      <c r="Z4" s="2768"/>
      <c r="AA4" s="2768"/>
      <c r="AB4" s="2768"/>
      <c r="AC4" s="2768"/>
      <c r="AD4" s="2768"/>
      <c r="AE4" s="2768"/>
      <c r="AF4" s="2769"/>
      <c r="AG4" s="2767" t="s">
        <v>80</v>
      </c>
      <c r="AH4" s="2768"/>
      <c r="AI4" s="2768"/>
      <c r="AJ4" s="2768"/>
      <c r="AK4" s="2768"/>
      <c r="AL4" s="2767" t="s">
        <v>23</v>
      </c>
      <c r="AM4" s="2768"/>
      <c r="AN4" s="2768"/>
      <c r="AO4" s="2768"/>
      <c r="AP4" s="2767" t="s">
        <v>26</v>
      </c>
      <c r="AQ4" s="2768"/>
      <c r="AR4" s="2769"/>
      <c r="AS4" s="2767" t="s">
        <v>81</v>
      </c>
      <c r="AT4" s="2768"/>
      <c r="AU4" s="2768"/>
      <c r="AV4" s="2768"/>
      <c r="AW4" s="2769"/>
    </row>
    <row r="5" spans="2:53" ht="8.25" customHeight="1">
      <c r="B5" s="2454" t="str">
        <f>IF(TAF!B21&lt;7,"",CONCATENATE(" ",Worksheet!L2," ",TAF!N7))</f>
        <v/>
      </c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6"/>
      <c r="T5" s="2858" t="s">
        <v>82</v>
      </c>
      <c r="U5" s="2859"/>
      <c r="V5" s="2860"/>
      <c r="W5" s="161"/>
      <c r="X5" s="162"/>
      <c r="Y5" s="162"/>
      <c r="Z5" s="162"/>
      <c r="AA5" s="162"/>
      <c r="AB5" s="162"/>
      <c r="AC5" s="162"/>
      <c r="AD5" s="162"/>
      <c r="AE5" s="162"/>
      <c r="AF5" s="163"/>
      <c r="AG5" s="2719" t="s">
        <v>24</v>
      </c>
      <c r="AH5" s="2720"/>
      <c r="AI5" s="2720"/>
      <c r="AJ5" s="2720"/>
      <c r="AK5" s="2721"/>
      <c r="AL5" s="2770" t="s">
        <v>25</v>
      </c>
      <c r="AM5" s="2771"/>
      <c r="AN5" s="2771"/>
      <c r="AO5" s="2772"/>
      <c r="AP5" s="2844" t="s">
        <v>83</v>
      </c>
      <c r="AQ5" s="2845"/>
      <c r="AR5" s="2846"/>
      <c r="AS5" s="2773" t="s">
        <v>84</v>
      </c>
      <c r="AT5" s="2774"/>
      <c r="AU5" s="2774"/>
      <c r="AV5" s="2774"/>
      <c r="AW5" s="2775"/>
    </row>
    <row r="6" spans="2:53" ht="8.25" customHeight="1">
      <c r="B6" s="2454" t="str">
        <f>IF(TAF!B21&lt;7,"",CONCATENATE("   ",TAF!N8))</f>
        <v/>
      </c>
      <c r="C6" s="2455"/>
      <c r="D6" s="2455"/>
      <c r="E6" s="2455"/>
      <c r="F6" s="2455"/>
      <c r="G6" s="2455"/>
      <c r="H6" s="2455"/>
      <c r="I6" s="2455"/>
      <c r="J6" s="2455"/>
      <c r="K6" s="2455"/>
      <c r="L6" s="2455"/>
      <c r="M6" s="2455"/>
      <c r="N6" s="2455"/>
      <c r="O6" s="2455"/>
      <c r="P6" s="2455"/>
      <c r="Q6" s="2455"/>
      <c r="R6" s="2455"/>
      <c r="S6" s="2456"/>
      <c r="T6" s="2858"/>
      <c r="U6" s="2859"/>
      <c r="V6" s="2860"/>
      <c r="W6" s="206"/>
      <c r="X6" s="207"/>
      <c r="Y6" s="207"/>
      <c r="Z6" s="208"/>
      <c r="AA6" s="208"/>
      <c r="AB6" s="208"/>
      <c r="AC6" s="208"/>
      <c r="AD6" s="208"/>
      <c r="AE6" s="208"/>
      <c r="AF6" s="163"/>
      <c r="AG6" s="2719"/>
      <c r="AH6" s="2720"/>
      <c r="AI6" s="2720"/>
      <c r="AJ6" s="2720"/>
      <c r="AK6" s="2721"/>
      <c r="AL6" s="2770"/>
      <c r="AM6" s="2771"/>
      <c r="AN6" s="2771"/>
      <c r="AO6" s="2772"/>
      <c r="AP6" s="2844"/>
      <c r="AQ6" s="2845"/>
      <c r="AR6" s="2846"/>
      <c r="AS6" s="2776"/>
      <c r="AT6" s="2774"/>
      <c r="AU6" s="2774"/>
      <c r="AV6" s="2774"/>
      <c r="AW6" s="2775"/>
    </row>
    <row r="7" spans="2:53" ht="8.25" customHeight="1">
      <c r="B7" s="2885" t="str">
        <f>IF(TAF!B21&lt;7,"",CONCATENATE("   ",TAF!N9))</f>
        <v/>
      </c>
      <c r="C7" s="2886"/>
      <c r="D7" s="2886"/>
      <c r="E7" s="2886"/>
      <c r="F7" s="2886"/>
      <c r="G7" s="2886"/>
      <c r="H7" s="2886"/>
      <c r="I7" s="2886"/>
      <c r="J7" s="2886"/>
      <c r="K7" s="2886"/>
      <c r="L7" s="2886"/>
      <c r="M7" s="2886"/>
      <c r="N7" s="2886"/>
      <c r="O7" s="2886"/>
      <c r="P7" s="2886"/>
      <c r="Q7" s="2886"/>
      <c r="R7" s="2886"/>
      <c r="S7" s="2887"/>
      <c r="T7" s="2858"/>
      <c r="U7" s="2859"/>
      <c r="V7" s="2860"/>
      <c r="W7" s="2900" t="s">
        <v>9</v>
      </c>
      <c r="X7" s="2901"/>
      <c r="Y7" s="2901"/>
      <c r="Z7" s="2904">
        <f>LOOKUP(F3,'Light Data '!A3:A369,'Light Data '!B3:B369)</f>
        <v>44748.220833333333</v>
      </c>
      <c r="AA7" s="2905"/>
      <c r="AB7" s="2912"/>
      <c r="AC7" s="2913"/>
      <c r="AD7" s="2913"/>
      <c r="AE7" s="2913"/>
      <c r="AF7" s="2914"/>
      <c r="AG7" s="2730" t="str">
        <f>Worksheet!AL31</f>
        <v>No impact.</v>
      </c>
      <c r="AH7" s="2731"/>
      <c r="AI7" s="2731"/>
      <c r="AJ7" s="2731"/>
      <c r="AK7" s="2732"/>
      <c r="AL7" s="2770"/>
      <c r="AM7" s="2771"/>
      <c r="AN7" s="2771"/>
      <c r="AO7" s="2772"/>
      <c r="AP7" s="2844"/>
      <c r="AQ7" s="2845"/>
      <c r="AR7" s="2846"/>
      <c r="AS7" s="2888"/>
      <c r="AT7" s="2889"/>
      <c r="AU7" s="2889"/>
      <c r="AV7" s="2889"/>
      <c r="AW7" s="2890"/>
    </row>
    <row r="8" spans="2:53" ht="8.25" customHeight="1">
      <c r="B8" s="2885" t="str">
        <f>IF(TAF!B21&lt;7,CONCATENATE(" ",Worksheet!L2," ",TAF!N7),CONCATENATE("   ",TAF!N10))</f>
        <v xml:space="preserve"> KFTK 0611/0717 22008KT 9999 BKN250 QNH2990INS </v>
      </c>
      <c r="C8" s="2886"/>
      <c r="D8" s="2886"/>
      <c r="E8" s="2886"/>
      <c r="F8" s="2886"/>
      <c r="G8" s="2886"/>
      <c r="H8" s="2886"/>
      <c r="I8" s="2886"/>
      <c r="J8" s="2886"/>
      <c r="K8" s="2886"/>
      <c r="L8" s="2886"/>
      <c r="M8" s="2886"/>
      <c r="N8" s="2886"/>
      <c r="O8" s="2886"/>
      <c r="P8" s="2886"/>
      <c r="Q8" s="2886"/>
      <c r="R8" s="2886"/>
      <c r="S8" s="2887"/>
      <c r="T8" s="2861" t="s">
        <v>85</v>
      </c>
      <c r="U8" s="2862"/>
      <c r="V8" s="2863"/>
      <c r="W8" s="2902"/>
      <c r="X8" s="2903"/>
      <c r="Y8" s="2903"/>
      <c r="Z8" s="2906"/>
      <c r="AA8" s="2907"/>
      <c r="AB8" s="2915" t="s">
        <v>11</v>
      </c>
      <c r="AC8" s="2916"/>
      <c r="AD8" s="2916"/>
      <c r="AE8" s="2917">
        <f>LOOKUP(F3,'Light Data '!A3:A369,'Light Data '!F3:F369)</f>
        <v>44748.563888888886</v>
      </c>
      <c r="AF8" s="2918"/>
      <c r="AG8" s="2733"/>
      <c r="AH8" s="2734"/>
      <c r="AI8" s="2734"/>
      <c r="AJ8" s="2734"/>
      <c r="AK8" s="2735"/>
      <c r="AL8" s="2788" t="str">
        <f>IF(Worksheet!BB33="","None.",Worksheet!BB33)</f>
        <v>NONE</v>
      </c>
      <c r="AM8" s="2789"/>
      <c r="AN8" s="2789"/>
      <c r="AO8" s="2789"/>
      <c r="AP8" s="2893" t="s">
        <v>86</v>
      </c>
      <c r="AQ8" s="2894"/>
      <c r="AR8" s="2895"/>
      <c r="AS8" s="2891"/>
      <c r="AT8" s="2891"/>
      <c r="AU8" s="2891"/>
      <c r="AV8" s="2891"/>
      <c r="AW8" s="2892"/>
    </row>
    <row r="9" spans="2:53" ht="8.25" customHeight="1">
      <c r="B9" s="2885" t="str">
        <f>IF(TAF!B21&lt;7,CONCATENATE("   ",TAF!N8),CONCATENATE("   ",TAF!N11))</f>
        <v xml:space="preserve">   BECMG 0614/0615 24010KT 9999 SCT040 BKN250 QNH2988INS </v>
      </c>
      <c r="C9" s="2886"/>
      <c r="D9" s="2886"/>
      <c r="E9" s="2886"/>
      <c r="F9" s="2886"/>
      <c r="G9" s="2886"/>
      <c r="H9" s="2886"/>
      <c r="I9" s="2886"/>
      <c r="J9" s="2886"/>
      <c r="K9" s="2886"/>
      <c r="L9" s="2886"/>
      <c r="M9" s="2886"/>
      <c r="N9" s="2886"/>
      <c r="O9" s="2886"/>
      <c r="P9" s="2886"/>
      <c r="Q9" s="2886"/>
      <c r="R9" s="2886"/>
      <c r="S9" s="2887"/>
      <c r="T9" s="2861"/>
      <c r="U9" s="2862"/>
      <c r="V9" s="2863"/>
      <c r="W9" s="2902" t="s">
        <v>10</v>
      </c>
      <c r="X9" s="2903"/>
      <c r="Y9" s="2903"/>
      <c r="Z9" s="2906">
        <f>LOOKUP(F3,'Light Data '!A3:A369,'Light Data '!C3:C369)</f>
        <v>44748.269444444442</v>
      </c>
      <c r="AA9" s="2907"/>
      <c r="AB9" s="2915"/>
      <c r="AC9" s="2916"/>
      <c r="AD9" s="2916"/>
      <c r="AE9" s="2917"/>
      <c r="AF9" s="2918"/>
      <c r="AG9" s="2716" t="s">
        <v>27</v>
      </c>
      <c r="AH9" s="2717"/>
      <c r="AI9" s="2717"/>
      <c r="AJ9" s="2717"/>
      <c r="AK9" s="2718"/>
      <c r="AL9" s="2788"/>
      <c r="AM9" s="2789"/>
      <c r="AN9" s="2789"/>
      <c r="AO9" s="2789"/>
      <c r="AP9" s="2893"/>
      <c r="AQ9" s="2894"/>
      <c r="AR9" s="2895"/>
      <c r="AS9" s="2848" t="s">
        <v>87</v>
      </c>
      <c r="AT9" s="2848"/>
      <c r="AU9" s="2848"/>
      <c r="AV9" s="2848"/>
      <c r="AW9" s="2849"/>
    </row>
    <row r="10" spans="2:53" ht="8.25" customHeight="1">
      <c r="B10" s="2885" t="str">
        <f>IF(TAF!B21&lt;7,CONCATENATE("   ",TAF!N9),CONCATENATE("   ",TAF!N12))</f>
        <v xml:space="preserve">   TEMPO 0620/0702 29012G20KT 4800 -TSRA BKN040CB </v>
      </c>
      <c r="C10" s="2886"/>
      <c r="D10" s="2886"/>
      <c r="E10" s="2886"/>
      <c r="F10" s="2886"/>
      <c r="G10" s="2886"/>
      <c r="H10" s="2886"/>
      <c r="I10" s="2886"/>
      <c r="J10" s="2886"/>
      <c r="K10" s="2886"/>
      <c r="L10" s="2886"/>
      <c r="M10" s="2886"/>
      <c r="N10" s="2886"/>
      <c r="O10" s="2886"/>
      <c r="P10" s="2886"/>
      <c r="Q10" s="2886"/>
      <c r="R10" s="2886"/>
      <c r="S10" s="2887"/>
      <c r="T10" s="2861"/>
      <c r="U10" s="2862"/>
      <c r="V10" s="2863"/>
      <c r="W10" s="2902"/>
      <c r="X10" s="2903"/>
      <c r="Y10" s="2903"/>
      <c r="Z10" s="2906"/>
      <c r="AA10" s="2907"/>
      <c r="AB10" s="2915" t="s">
        <v>13</v>
      </c>
      <c r="AC10" s="2916"/>
      <c r="AD10" s="2916"/>
      <c r="AE10" s="2917">
        <f>LOOKUP(F3,'Light Data '!A3:A369,'Light Data '!G3:G369)</f>
        <v>44748.049999999996</v>
      </c>
      <c r="AF10" s="2918"/>
      <c r="AG10" s="2719"/>
      <c r="AH10" s="2720"/>
      <c r="AI10" s="2720"/>
      <c r="AJ10" s="2720"/>
      <c r="AK10" s="2721"/>
      <c r="AL10" s="2788"/>
      <c r="AM10" s="2789"/>
      <c r="AN10" s="2789"/>
      <c r="AO10" s="2789"/>
      <c r="AP10" s="2893"/>
      <c r="AQ10" s="2894"/>
      <c r="AR10" s="2895"/>
      <c r="AS10" s="2850"/>
      <c r="AT10" s="2850"/>
      <c r="AU10" s="2850"/>
      <c r="AV10" s="2850"/>
      <c r="AW10" s="2851"/>
    </row>
    <row r="11" spans="2:53" ht="8.25" customHeight="1">
      <c r="B11" s="2885" t="str">
        <f>IF(TAF!B21&lt;7,CONCATENATE("   ",TAF!N10),CONCATENATE("   ",TAF!N13))</f>
        <v xml:space="preserve">   BECMG 0707/0708 VRB03KT 4800 BR SCT250 QNH2985INS </v>
      </c>
      <c r="C11" s="2886"/>
      <c r="D11" s="2886"/>
      <c r="E11" s="2886"/>
      <c r="F11" s="2886"/>
      <c r="G11" s="2886"/>
      <c r="H11" s="2886"/>
      <c r="I11" s="2886"/>
      <c r="J11" s="2886"/>
      <c r="K11" s="2886"/>
      <c r="L11" s="2886"/>
      <c r="M11" s="2886"/>
      <c r="N11" s="2886"/>
      <c r="O11" s="2886"/>
      <c r="P11" s="2886"/>
      <c r="Q11" s="2886"/>
      <c r="R11" s="2886"/>
      <c r="S11" s="2887"/>
      <c r="T11" s="2861"/>
      <c r="U11" s="2862"/>
      <c r="V11" s="2863"/>
      <c r="W11" s="2902" t="s">
        <v>12</v>
      </c>
      <c r="X11" s="2903"/>
      <c r="Y11" s="2903"/>
      <c r="Z11" s="2906">
        <f>LOOKUP(F3,'Light Data '!A3:A369,'Light Data '!D3:D369)</f>
        <v>44748.881249999999</v>
      </c>
      <c r="AA11" s="2907"/>
      <c r="AB11" s="2915"/>
      <c r="AC11" s="2916"/>
      <c r="AD11" s="2916"/>
      <c r="AE11" s="2917"/>
      <c r="AF11" s="2918"/>
      <c r="AG11" s="2730" t="str">
        <f>Worksheet!AL34</f>
        <v>No impact.</v>
      </c>
      <c r="AH11" s="2731"/>
      <c r="AI11" s="2731"/>
      <c r="AJ11" s="2731"/>
      <c r="AK11" s="2732"/>
      <c r="AL11" s="2788"/>
      <c r="AM11" s="2789"/>
      <c r="AN11" s="2789"/>
      <c r="AO11" s="2789"/>
      <c r="AP11" s="2844" t="s">
        <v>88</v>
      </c>
      <c r="AQ11" s="2845"/>
      <c r="AR11" s="2846"/>
      <c r="AS11" s="2874"/>
      <c r="AT11" s="2875"/>
      <c r="AU11" s="2875"/>
      <c r="AV11" s="2875"/>
      <c r="AW11" s="2876"/>
    </row>
    <row r="12" spans="2:53" ht="8.25" customHeight="1">
      <c r="B12" s="2885" t="str">
        <f>IF(TAF!B21&lt;7,CONCATENATE("   ",TAF!N11),CONCATENATE("   ",TAF!N14))</f>
        <v xml:space="preserve">   BECMG 0713/0714 19006KT 9999 NSW SCT250 QNH2988INS </v>
      </c>
      <c r="C12" s="2886"/>
      <c r="D12" s="2886"/>
      <c r="E12" s="2886"/>
      <c r="F12" s="2886"/>
      <c r="G12" s="2886"/>
      <c r="H12" s="2886"/>
      <c r="I12" s="2886"/>
      <c r="J12" s="2886"/>
      <c r="K12" s="2886"/>
      <c r="L12" s="2886"/>
      <c r="M12" s="2886"/>
      <c r="N12" s="2886"/>
      <c r="O12" s="2886"/>
      <c r="P12" s="2886"/>
      <c r="Q12" s="2886"/>
      <c r="R12" s="2886"/>
      <c r="S12" s="2887"/>
      <c r="T12" s="2864"/>
      <c r="U12" s="2865"/>
      <c r="V12" s="2866"/>
      <c r="W12" s="2902"/>
      <c r="X12" s="2903"/>
      <c r="Y12" s="2903"/>
      <c r="Z12" s="2906"/>
      <c r="AA12" s="2907"/>
      <c r="AB12" s="2915" t="s">
        <v>89</v>
      </c>
      <c r="AC12" s="2916"/>
      <c r="AD12" s="2916"/>
      <c r="AE12" s="2919">
        <f>IF(HOUR(Worksheet!AO2)&gt;8,LOOKUP(F3+1,'Light Data '!A3:A369,'Light Data '!H3:H369),LOOKUP(F3,'Light Data '!A3:A369,'Light Data '!H3:H369))</f>
        <v>51</v>
      </c>
      <c r="AF12" s="2920"/>
      <c r="AG12" s="2733"/>
      <c r="AH12" s="2734"/>
      <c r="AI12" s="2734"/>
      <c r="AJ12" s="2734"/>
      <c r="AK12" s="2735"/>
      <c r="AL12" s="2788"/>
      <c r="AM12" s="2789"/>
      <c r="AN12" s="2789"/>
      <c r="AO12" s="2789"/>
      <c r="AP12" s="2844"/>
      <c r="AQ12" s="2845"/>
      <c r="AR12" s="2846"/>
      <c r="AS12" s="2877"/>
      <c r="AT12" s="2878"/>
      <c r="AU12" s="2878"/>
      <c r="AV12" s="2878"/>
      <c r="AW12" s="2879"/>
    </row>
    <row r="13" spans="2:53" ht="8.25" customHeight="1">
      <c r="B13" s="2885" t="str">
        <f>IF(TAF!B21&lt;7,CONCATENATE("   ",TAF!N12),CONCATENATE("   ",TAF!N15))</f>
        <v xml:space="preserve">       TX37/0621Z TN24/0711Z</v>
      </c>
      <c r="C13" s="2886"/>
      <c r="D13" s="2886"/>
      <c r="E13" s="2886"/>
      <c r="F13" s="2886"/>
      <c r="G13" s="2886"/>
      <c r="H13" s="2886"/>
      <c r="I13" s="2886"/>
      <c r="J13" s="2886"/>
      <c r="K13" s="2886"/>
      <c r="L13" s="2886"/>
      <c r="M13" s="2886"/>
      <c r="N13" s="2886"/>
      <c r="O13" s="2886"/>
      <c r="P13" s="2886"/>
      <c r="Q13" s="2886"/>
      <c r="R13" s="2886"/>
      <c r="S13" s="2887"/>
      <c r="T13" s="2864"/>
      <c r="U13" s="2865"/>
      <c r="V13" s="2866"/>
      <c r="W13" s="2902" t="s">
        <v>14</v>
      </c>
      <c r="X13" s="2903"/>
      <c r="Y13" s="2903"/>
      <c r="Z13" s="2906">
        <f>LOOKUP(F3,'Light Data '!A3:A369,'Light Data '!E3:E369)</f>
        <v>44748.929861111108</v>
      </c>
      <c r="AA13" s="2907"/>
      <c r="AB13" s="2915"/>
      <c r="AC13" s="2916"/>
      <c r="AD13" s="2916"/>
      <c r="AE13" s="2919"/>
      <c r="AF13" s="2920"/>
      <c r="AG13" s="2759" t="s">
        <v>31</v>
      </c>
      <c r="AH13" s="2760"/>
      <c r="AI13" s="2760"/>
      <c r="AJ13" s="2760"/>
      <c r="AK13" s="2761"/>
      <c r="AL13" s="2765" t="s">
        <v>90</v>
      </c>
      <c r="AM13" s="2766"/>
      <c r="AN13" s="2766"/>
      <c r="AO13" s="2766"/>
      <c r="AP13" s="2844"/>
      <c r="AQ13" s="2845"/>
      <c r="AR13" s="2846"/>
      <c r="AS13" s="2847" t="s">
        <v>91</v>
      </c>
      <c r="AT13" s="2848"/>
      <c r="AU13" s="2848"/>
      <c r="AV13" s="2848"/>
      <c r="AW13" s="2849"/>
    </row>
    <row r="14" spans="2:53" ht="8.25" customHeight="1">
      <c r="B14" s="2885" t="str">
        <f>CONCATENATE("   ",TAF!N16)</f>
        <v xml:space="preserve">   </v>
      </c>
      <c r="C14" s="2886"/>
      <c r="D14" s="2886"/>
      <c r="E14" s="2886"/>
      <c r="F14" s="2886"/>
      <c r="G14" s="2886"/>
      <c r="H14" s="2886"/>
      <c r="I14" s="2886"/>
      <c r="J14" s="2886"/>
      <c r="K14" s="2886"/>
      <c r="L14" s="2886"/>
      <c r="M14" s="2886"/>
      <c r="N14" s="2886"/>
      <c r="O14" s="2886"/>
      <c r="P14" s="2886"/>
      <c r="Q14" s="2886"/>
      <c r="R14" s="2886"/>
      <c r="S14" s="2887"/>
      <c r="T14" s="2864"/>
      <c r="U14" s="2865"/>
      <c r="V14" s="2866"/>
      <c r="W14" s="2908"/>
      <c r="X14" s="2909"/>
      <c r="Y14" s="2909"/>
      <c r="Z14" s="2910"/>
      <c r="AA14" s="2911"/>
      <c r="AB14" s="2880" t="str">
        <f>IF(HOUR(Worksheet!AO2)&gt;8,"(TONIGHT) ","(THIS MORNING) ")</f>
        <v xml:space="preserve">(TONIGHT) </v>
      </c>
      <c r="AC14" s="2881"/>
      <c r="AD14" s="2881"/>
      <c r="AE14" s="2881"/>
      <c r="AF14" s="2882"/>
      <c r="AG14" s="2762"/>
      <c r="AH14" s="2763"/>
      <c r="AI14" s="2763"/>
      <c r="AJ14" s="2763"/>
      <c r="AK14" s="2764"/>
      <c r="AL14" s="2765"/>
      <c r="AM14" s="2766"/>
      <c r="AN14" s="2766"/>
      <c r="AO14" s="2766"/>
      <c r="AP14" s="2852" t="s">
        <v>129</v>
      </c>
      <c r="AQ14" s="2853"/>
      <c r="AR14" s="2854"/>
      <c r="AS14" s="2850"/>
      <c r="AT14" s="2850"/>
      <c r="AU14" s="2850"/>
      <c r="AV14" s="2850"/>
      <c r="AW14" s="2851"/>
    </row>
    <row r="15" spans="2:53" ht="8.25" customHeight="1">
      <c r="B15" s="2885" t="str">
        <f>CONCATENATE("   ",TAF!N17)</f>
        <v xml:space="preserve">   </v>
      </c>
      <c r="C15" s="2886"/>
      <c r="D15" s="2886"/>
      <c r="E15" s="2886"/>
      <c r="F15" s="2886"/>
      <c r="G15" s="2886"/>
      <c r="H15" s="2886"/>
      <c r="I15" s="2886"/>
      <c r="J15" s="2886"/>
      <c r="K15" s="2886"/>
      <c r="L15" s="2886"/>
      <c r="M15" s="2886"/>
      <c r="N15" s="2886"/>
      <c r="O15" s="2886"/>
      <c r="P15" s="2886"/>
      <c r="Q15" s="2886"/>
      <c r="R15" s="2886"/>
      <c r="S15" s="2887"/>
      <c r="T15" s="2864"/>
      <c r="U15" s="2865"/>
      <c r="V15" s="2866"/>
      <c r="W15" s="161"/>
      <c r="X15" s="162"/>
      <c r="Y15" s="162"/>
      <c r="Z15" s="162"/>
      <c r="AA15" s="162"/>
      <c r="AB15" s="366"/>
      <c r="AC15" s="366"/>
      <c r="AD15" s="366"/>
      <c r="AE15" s="366"/>
      <c r="AF15" s="367"/>
      <c r="AG15" s="2730" t="str">
        <f>Worksheet!AL37</f>
        <v>No impact.</v>
      </c>
      <c r="AH15" s="2731"/>
      <c r="AI15" s="2731"/>
      <c r="AJ15" s="2731"/>
      <c r="AK15" s="2732"/>
      <c r="AL15" s="2870"/>
      <c r="AM15" s="2871"/>
      <c r="AN15" s="2871"/>
      <c r="AO15" s="2871"/>
      <c r="AP15" s="2852"/>
      <c r="AQ15" s="2853"/>
      <c r="AR15" s="2854"/>
      <c r="AS15" s="2875"/>
      <c r="AT15" s="2875"/>
      <c r="AU15" s="2875"/>
      <c r="AV15" s="2875"/>
      <c r="AW15" s="2876"/>
    </row>
    <row r="16" spans="2:53" ht="8.25" customHeight="1">
      <c r="B16" s="2700" t="str">
        <f>CONCATENATE("   ",TAF!N18)</f>
        <v xml:space="preserve">   </v>
      </c>
      <c r="C16" s="2701"/>
      <c r="D16" s="2701"/>
      <c r="E16" s="2701"/>
      <c r="F16" s="2701"/>
      <c r="G16" s="2701"/>
      <c r="H16" s="2701"/>
      <c r="I16" s="2701"/>
      <c r="J16" s="2701"/>
      <c r="K16" s="2701"/>
      <c r="L16" s="2701"/>
      <c r="M16" s="2701"/>
      <c r="N16" s="2701"/>
      <c r="O16" s="2701"/>
      <c r="P16" s="2701"/>
      <c r="Q16" s="2701"/>
      <c r="R16" s="2701"/>
      <c r="S16" s="2702"/>
      <c r="T16" s="2867"/>
      <c r="U16" s="2868"/>
      <c r="V16" s="2869"/>
      <c r="W16" s="345"/>
      <c r="X16" s="346"/>
      <c r="Y16" s="346"/>
      <c r="Z16" s="346"/>
      <c r="AA16" s="346"/>
      <c r="AB16" s="368"/>
      <c r="AC16" s="368"/>
      <c r="AD16" s="368"/>
      <c r="AE16" s="368"/>
      <c r="AF16" s="369"/>
      <c r="AG16" s="2733"/>
      <c r="AH16" s="2734"/>
      <c r="AI16" s="2734"/>
      <c r="AJ16" s="2734"/>
      <c r="AK16" s="2735"/>
      <c r="AL16" s="2872"/>
      <c r="AM16" s="2873"/>
      <c r="AN16" s="2873"/>
      <c r="AO16" s="2873"/>
      <c r="AP16" s="2855"/>
      <c r="AQ16" s="2856"/>
      <c r="AR16" s="2857"/>
      <c r="AS16" s="2878"/>
      <c r="AT16" s="2878"/>
      <c r="AU16" s="2878"/>
      <c r="AV16" s="2878"/>
      <c r="AW16" s="2879"/>
    </row>
    <row r="17" spans="2:58" ht="15" customHeight="1">
      <c r="B17" s="2639" t="s">
        <v>33</v>
      </c>
      <c r="C17" s="2640"/>
      <c r="D17" s="2640"/>
      <c r="E17" s="2640"/>
      <c r="F17" s="2640"/>
      <c r="G17" s="2640"/>
      <c r="H17" s="2640"/>
      <c r="I17" s="2640"/>
      <c r="J17" s="2640"/>
      <c r="K17" s="2640"/>
      <c r="L17" s="2640"/>
      <c r="M17" s="2640"/>
      <c r="N17" s="2640"/>
      <c r="O17" s="2640"/>
      <c r="P17" s="2640"/>
      <c r="Q17" s="2640"/>
      <c r="R17" s="2640"/>
      <c r="S17" s="2640"/>
      <c r="T17" s="2640"/>
      <c r="U17" s="2640"/>
      <c r="V17" s="2640"/>
      <c r="W17" s="2644" t="s">
        <v>34</v>
      </c>
      <c r="X17" s="2645"/>
      <c r="Y17" s="2645"/>
      <c r="Z17" s="2645"/>
      <c r="AA17" s="2645"/>
      <c r="AB17" s="2645"/>
      <c r="AC17" s="2645"/>
      <c r="AD17" s="2645"/>
      <c r="AE17" s="2645"/>
      <c r="AF17" s="2645"/>
      <c r="AG17" s="2646" t="s">
        <v>35</v>
      </c>
      <c r="AH17" s="2647"/>
      <c r="AI17" s="2647"/>
      <c r="AJ17" s="2647"/>
      <c r="AK17" s="2647"/>
      <c r="AL17" s="2648"/>
      <c r="AM17" s="2647" t="s">
        <v>36</v>
      </c>
      <c r="AN17" s="2647"/>
      <c r="AO17" s="2647"/>
      <c r="AP17" s="2649"/>
      <c r="AQ17" s="2649"/>
      <c r="AR17" s="2649"/>
      <c r="AS17" s="2647"/>
      <c r="AT17" s="2647"/>
      <c r="AU17" s="2647"/>
      <c r="AV17" s="2647"/>
      <c r="AW17" s="2648"/>
      <c r="BC17" s="57"/>
      <c r="BD17" s="57"/>
    </row>
    <row r="18" spans="2:58" ht="12" customHeight="1" thickBot="1">
      <c r="B18" s="2650" t="s">
        <v>37</v>
      </c>
      <c r="C18" s="2651"/>
      <c r="D18" s="2651"/>
      <c r="E18" s="2651"/>
      <c r="F18" s="2654" t="s">
        <v>38</v>
      </c>
      <c r="G18" s="2651"/>
      <c r="H18" s="2651"/>
      <c r="I18" s="2655"/>
      <c r="J18" s="2654" t="s">
        <v>39</v>
      </c>
      <c r="K18" s="2655"/>
      <c r="L18" s="2654" t="s">
        <v>40</v>
      </c>
      <c r="M18" s="2655"/>
      <c r="N18" s="2658" t="str">
        <f>IF(AND(AP8="H-60",AP14="MEDEVAC"),"MOON ANGLE",Worksheet!AQ6)</f>
        <v>MOON ANGLE</v>
      </c>
      <c r="O18" s="2659"/>
      <c r="P18" s="2654" t="s">
        <v>41</v>
      </c>
      <c r="Q18" s="2651"/>
      <c r="R18" s="2655"/>
      <c r="S18" s="2654" t="s">
        <v>93</v>
      </c>
      <c r="T18" s="2655"/>
      <c r="U18" s="2654" t="s">
        <v>94</v>
      </c>
      <c r="V18" s="2692"/>
      <c r="W18" s="2650" t="s">
        <v>95</v>
      </c>
      <c r="X18" s="2655"/>
      <c r="Y18" s="2664" t="s">
        <v>86</v>
      </c>
      <c r="Z18" s="2665"/>
      <c r="AA18" s="2668" t="s">
        <v>96</v>
      </c>
      <c r="AB18" s="2669"/>
      <c r="AC18" s="2658" t="s">
        <v>97</v>
      </c>
      <c r="AD18" s="2659"/>
      <c r="AE18" s="2831" t="str">
        <f>IF(AND(AP8="H-60",AP14="MEDEVAC"),"H-60 MED",IF(OR(AP8=W18,AP8=Y18,AP8=AA18,AP8=AC18),"",AP8))</f>
        <v>H-60 MED</v>
      </c>
      <c r="AF18" s="2832"/>
      <c r="AG18" s="2678" t="s">
        <v>44</v>
      </c>
      <c r="AH18" s="2679"/>
      <c r="AI18" s="2679"/>
      <c r="AJ18" s="2679"/>
      <c r="AK18" s="2679"/>
      <c r="AL18" s="2680"/>
      <c r="AM18" s="2681" t="s">
        <v>45</v>
      </c>
      <c r="AN18" s="2682"/>
      <c r="AO18" s="2682"/>
      <c r="AP18" s="2682" t="s">
        <v>46</v>
      </c>
      <c r="AQ18" s="2682"/>
      <c r="AR18" s="2682"/>
      <c r="AS18" s="2682"/>
      <c r="AT18" s="2682"/>
      <c r="AU18" s="2682"/>
      <c r="AV18" s="2682"/>
      <c r="AW18" s="2683"/>
      <c r="BC18" s="57"/>
    </row>
    <row r="19" spans="2:58" ht="12" customHeight="1" thickTop="1" thickBot="1">
      <c r="B19" s="2652"/>
      <c r="C19" s="2653"/>
      <c r="D19" s="2653"/>
      <c r="E19" s="2653"/>
      <c r="F19" s="2656"/>
      <c r="G19" s="2653"/>
      <c r="H19" s="2653"/>
      <c r="I19" s="2657"/>
      <c r="J19" s="2656"/>
      <c r="K19" s="2657"/>
      <c r="L19" s="2656"/>
      <c r="M19" s="2657"/>
      <c r="N19" s="2660"/>
      <c r="O19" s="2661"/>
      <c r="P19" s="2656"/>
      <c r="Q19" s="2653"/>
      <c r="R19" s="2657"/>
      <c r="S19" s="2642" t="str">
        <f>"("&amp;Worksheet!O1&amp;")"</f>
        <v>(KFTK)</v>
      </c>
      <c r="T19" s="2693"/>
      <c r="U19" s="2642" t="str">
        <f>"("&amp;Worksheet!O1&amp;")"</f>
        <v>(KFTK)</v>
      </c>
      <c r="V19" s="2643"/>
      <c r="W19" s="2662"/>
      <c r="X19" s="2663"/>
      <c r="Y19" s="2666"/>
      <c r="Z19" s="2667"/>
      <c r="AA19" s="2670"/>
      <c r="AB19" s="2671"/>
      <c r="AC19" s="2672"/>
      <c r="AD19" s="2673"/>
      <c r="AE19" s="2833"/>
      <c r="AF19" s="2834"/>
      <c r="AG19" s="2684">
        <f>MAX(F20:F32)</f>
        <v>36.666666666666671</v>
      </c>
      <c r="AH19" s="2685"/>
      <c r="AI19" s="2685"/>
      <c r="AJ19" s="2686">
        <f>MAX(H20:H32)</f>
        <v>98</v>
      </c>
      <c r="AK19" s="2686"/>
      <c r="AL19" s="2687"/>
      <c r="AM19" s="2688">
        <v>200</v>
      </c>
      <c r="AN19" s="2689"/>
      <c r="AO19" s="2689"/>
      <c r="AP19" s="2690" t="str">
        <f>CONCATENATE("   ",Worksheet!AO218,"   /   ",IF(VALUE(Worksheet!AR218)&gt;0,"+",""),TEXT(Worksheet!AR218,"00"))</f>
        <v xml:space="preserve">   28020   /   -18</v>
      </c>
      <c r="AQ19" s="2690"/>
      <c r="AR19" s="2690"/>
      <c r="AS19" s="2690"/>
      <c r="AT19" s="2690"/>
      <c r="AU19" s="2690"/>
      <c r="AV19" s="2690"/>
      <c r="AW19" s="2691"/>
      <c r="AZ19" s="2898"/>
      <c r="BA19" s="2899"/>
      <c r="BB19" s="2899"/>
      <c r="BC19" s="2899"/>
    </row>
    <row r="20" spans="2:58" ht="13.5" customHeight="1" thickTop="1" thickBot="1">
      <c r="B20" s="2623">
        <f>Worksheet!AD68</f>
        <v>44748.375</v>
      </c>
      <c r="C20" s="2624"/>
      <c r="D20" s="2625">
        <f>Worksheet!AF68</f>
        <v>44748.541666666664</v>
      </c>
      <c r="E20" s="2625"/>
      <c r="F20" s="2626">
        <f>5/9*(H20-32)</f>
        <v>28.888888888888889</v>
      </c>
      <c r="G20" s="2627">
        <f t="shared" ref="G20:G32" si="0">5/9*(H20-32)</f>
        <v>28.888888888888889</v>
      </c>
      <c r="H20" s="2628">
        <f>Worksheet!AP68</f>
        <v>84</v>
      </c>
      <c r="I20" s="2629"/>
      <c r="J20" s="2630">
        <f>Worksheet!BB68</f>
        <v>77</v>
      </c>
      <c r="K20" s="2631"/>
      <c r="L20" s="2632">
        <f t="shared" ref="L20:L32" si="1">IF(ROUND(H20,0)=ROUND(J20,0),1,(6.11*10^(7.5*(5/9*(J20-32))/(237.7+(5/9*(J20-32)))))/(6.11*10^(7.5*F20/(237.7+F20))))</f>
        <v>0.79616826474071245</v>
      </c>
      <c r="M20" s="2633">
        <f>(6.11*10^(7.5*(5/9*(L20-32))/(237.7+(5/9*(L20-32)))))/(6.11*10^(7.5*J20/(237.7+J20)))</f>
        <v>3.7576380069745748E-3</v>
      </c>
      <c r="N20" s="1892" t="str">
        <f>IF($N$18="MOON ANGLE",calc!CD8,calc!X8)</f>
        <v>(&lt;0)</v>
      </c>
      <c r="O20" s="1622" t="str">
        <f>IF($N$18="MOON ANGLE","°","°F")</f>
        <v>°</v>
      </c>
      <c r="P20" s="2634">
        <f>Worksheet!BQ68</f>
        <v>29.95</v>
      </c>
      <c r="Q20" s="2635"/>
      <c r="R20" s="2636"/>
      <c r="S20" s="2637">
        <f>IF(P20&gt;0,((288.16/0.0065)*(1-(P20/29.921)^(1/5.2561))+Worksheet!Z2/3.280833)*3.280833,"")</f>
        <v>728.19027356060712</v>
      </c>
      <c r="T20" s="2638" t="str">
        <f>IF(R20&gt;0,((288.16/0.0065)*(1-(R20/29.921)^(1/5.2561))+756/3.280833)*3.280833,"")</f>
        <v/>
      </c>
      <c r="U20" s="2637">
        <f>(S20+(120*(F20-(15-(0.00198*S20)))))</f>
        <v>2567.8749492252741</v>
      </c>
      <c r="V20" s="2641" t="e">
        <f t="shared" ref="V20:V32" si="2">(U20+(120*(N20-(15-(0.00198*U20)))))</f>
        <v>#VALUE!</v>
      </c>
      <c r="W20" s="2819"/>
      <c r="X20" s="2820"/>
      <c r="Y20" s="2819"/>
      <c r="Z20" s="2820"/>
      <c r="AA20" s="2819"/>
      <c r="AB20" s="2820"/>
      <c r="AC20" s="2819"/>
      <c r="AD20" s="2820"/>
      <c r="AE20" s="2819"/>
      <c r="AF20" s="2820"/>
      <c r="AG20" s="2598" t="s">
        <v>47</v>
      </c>
      <c r="AH20" s="2599"/>
      <c r="AI20" s="2599"/>
      <c r="AJ20" s="2599"/>
      <c r="AK20" s="2599"/>
      <c r="AL20" s="2600"/>
      <c r="AM20" s="2571">
        <v>180</v>
      </c>
      <c r="AN20" s="2572"/>
      <c r="AO20" s="2572"/>
      <c r="AP20" s="2573" t="str">
        <f>CONCATENATE("    ",Worksheet!AO219,"   /   ",IF(VALUE(Worksheet!AR219)&gt;0,"+",""),TEXT(Worksheet!AR219,"00"))</f>
        <v xml:space="preserve">    30020   /   -16</v>
      </c>
      <c r="AQ20" s="2573"/>
      <c r="AR20" s="2573"/>
      <c r="AS20" s="2573"/>
      <c r="AT20" s="2573"/>
      <c r="AU20" s="2573"/>
      <c r="AV20" s="2573"/>
      <c r="AW20" s="2574"/>
    </row>
    <row r="21" spans="2:58" ht="13.5" customHeight="1" thickTop="1" thickBot="1">
      <c r="B21" s="2535">
        <f>Worksheet!AD69</f>
        <v>44748.416666666657</v>
      </c>
      <c r="C21" s="2536"/>
      <c r="D21" s="2537">
        <f>Worksheet!AF69</f>
        <v>44748.583333333328</v>
      </c>
      <c r="E21" s="2537"/>
      <c r="F21" s="2539">
        <f>5/9*(H21-32)</f>
        <v>30.555555555555557</v>
      </c>
      <c r="G21" s="2540">
        <f t="shared" si="0"/>
        <v>30.555555555555557</v>
      </c>
      <c r="H21" s="2601">
        <f>Worksheet!AP69</f>
        <v>87</v>
      </c>
      <c r="I21" s="2602"/>
      <c r="J21" s="2543">
        <f>Worksheet!BB69</f>
        <v>76</v>
      </c>
      <c r="K21" s="2544"/>
      <c r="L21" s="2603">
        <f t="shared" si="1"/>
        <v>0.69996301599580435</v>
      </c>
      <c r="M21" s="2546">
        <f t="shared" ref="M21:M32" si="3">(6.11*10^(7.5*(5/9*(L21-32))/(237.7+(5/9*(L21-32)))))/(6.11*10^(7.5*J21/(237.7+J21)))</f>
        <v>3.8995159893690733E-3</v>
      </c>
      <c r="N21" s="1893" t="str">
        <f>IF($N$18="MOON ANGLE",calc!CD9,calc!X9)</f>
        <v>(&lt;0)</v>
      </c>
      <c r="O21" s="1623" t="str">
        <f t="shared" ref="O21:O32" si="4">IF($N$18="MOON ANGLE","°","°F")</f>
        <v>°</v>
      </c>
      <c r="P21" s="2547">
        <f>Worksheet!BQ69</f>
        <v>29.96</v>
      </c>
      <c r="Q21" s="2548"/>
      <c r="R21" s="2549"/>
      <c r="S21" s="2550">
        <f>IF(P21&gt;0,((288.16/0.0065)*(1-(P21/29.921)^(1/5.2561))+Worksheet!Z2/3.280833)*3.280833,"")</f>
        <v>718.95041420270934</v>
      </c>
      <c r="T21" s="2551" t="str">
        <f t="shared" ref="T21:T32" si="5">IF(R21&gt;0,((288.16/0.0065)*(1-(R21/29.921)^(1/5.2561))+756/3.280833)*3.280833,"")</f>
        <v/>
      </c>
      <c r="U21" s="2550">
        <f t="shared" ref="U21:U32" si="6">(S21+(120*(F21-(15-(0.00198*S21)))))</f>
        <v>2756.4396992839402</v>
      </c>
      <c r="V21" s="2525" t="e">
        <f t="shared" si="2"/>
        <v>#VALUE!</v>
      </c>
      <c r="W21" s="2819"/>
      <c r="X21" s="2820"/>
      <c r="Y21" s="2819"/>
      <c r="Z21" s="2820"/>
      <c r="AA21" s="2819"/>
      <c r="AB21" s="2820"/>
      <c r="AC21" s="2819"/>
      <c r="AD21" s="2820"/>
      <c r="AE21" s="2819"/>
      <c r="AF21" s="2820"/>
      <c r="AG21" s="2619">
        <f>MIN(F20:F32)</f>
        <v>28.888888888888889</v>
      </c>
      <c r="AH21" s="2620"/>
      <c r="AI21" s="2620"/>
      <c r="AJ21" s="2621">
        <f>MIN(H20:H32)</f>
        <v>84</v>
      </c>
      <c r="AK21" s="2621"/>
      <c r="AL21" s="2622"/>
      <c r="AM21" s="2578">
        <v>150</v>
      </c>
      <c r="AN21" s="2579"/>
      <c r="AO21" s="2579"/>
      <c r="AP21" s="2573" t="str">
        <f>CONCATENATE("     ",Worksheet!AO220,"   /   ",IF(VALUE(Worksheet!AR220)&gt;0,"+",""),TEXT(Worksheet!AR220,"00"))</f>
        <v xml:space="preserve">     32020   /   -12</v>
      </c>
      <c r="AQ21" s="2573"/>
      <c r="AR21" s="2573"/>
      <c r="AS21" s="2573"/>
      <c r="AT21" s="2573"/>
      <c r="AU21" s="2573"/>
      <c r="AV21" s="2573"/>
      <c r="AW21" s="2574"/>
    </row>
    <row r="22" spans="2:58" ht="13.5" customHeight="1" thickTop="1" thickBot="1">
      <c r="B22" s="2580">
        <f>Worksheet!AD70</f>
        <v>44748.458333333328</v>
      </c>
      <c r="C22" s="2581"/>
      <c r="D22" s="2582">
        <f>Worksheet!AF70</f>
        <v>44748.625</v>
      </c>
      <c r="E22" s="2582"/>
      <c r="F22" s="2583">
        <f t="shared" ref="F22:F32" si="7">5/9*(H22-32)</f>
        <v>32.222222222222221</v>
      </c>
      <c r="G22" s="2584">
        <f t="shared" si="0"/>
        <v>32.222222222222221</v>
      </c>
      <c r="H22" s="2607">
        <f>Worksheet!AP70</f>
        <v>90</v>
      </c>
      <c r="I22" s="2608"/>
      <c r="J22" s="2587">
        <f>Worksheet!BB70</f>
        <v>76</v>
      </c>
      <c r="K22" s="2588"/>
      <c r="L22" s="2609">
        <f t="shared" si="1"/>
        <v>0.63685467359437997</v>
      </c>
      <c r="M22" s="2590">
        <f t="shared" si="3"/>
        <v>3.8879686032827544E-3</v>
      </c>
      <c r="N22" s="1894" t="str">
        <f>IF($N$18="MOON ANGLE",calc!CD10,calc!X10)</f>
        <v>(&lt;0)</v>
      </c>
      <c r="O22" s="1624" t="str">
        <f t="shared" si="4"/>
        <v>°</v>
      </c>
      <c r="P22" s="2591">
        <f>Worksheet!BQ70</f>
        <v>29.96</v>
      </c>
      <c r="Q22" s="2592"/>
      <c r="R22" s="2593"/>
      <c r="S22" s="2594">
        <f>IF(P22&gt;0,((288.16/0.0065)*(1-(P22/29.921)^(1/5.2561))+Worksheet!Z2/3.280833)*3.280833,"")</f>
        <v>718.95041420270934</v>
      </c>
      <c r="T22" s="2595" t="str">
        <f t="shared" si="5"/>
        <v/>
      </c>
      <c r="U22" s="2594">
        <f t="shared" si="6"/>
        <v>2956.4396992839397</v>
      </c>
      <c r="V22" s="2597" t="e">
        <f t="shared" si="2"/>
        <v>#VALUE!</v>
      </c>
      <c r="W22" s="2819"/>
      <c r="X22" s="2820"/>
      <c r="Y22" s="2819"/>
      <c r="Z22" s="2820"/>
      <c r="AA22" s="2819"/>
      <c r="AB22" s="2820"/>
      <c r="AC22" s="2819"/>
      <c r="AD22" s="2820"/>
      <c r="AE22" s="2819"/>
      <c r="AF22" s="2820"/>
      <c r="AG22" s="2598" t="s">
        <v>48</v>
      </c>
      <c r="AH22" s="2599"/>
      <c r="AI22" s="2599"/>
      <c r="AJ22" s="2599" t="s">
        <v>49</v>
      </c>
      <c r="AK22" s="2599"/>
      <c r="AL22" s="2600"/>
      <c r="AM22" s="2571">
        <v>140</v>
      </c>
      <c r="AN22" s="2572"/>
      <c r="AO22" s="2572"/>
      <c r="AP22" s="2573" t="str">
        <f>CONCATENATE("      ",Worksheet!AO221,"   /   ",IF(VALUE(Worksheet!AR221)&gt;0,"+",""),TEXT(Worksheet!AR221,"00"))</f>
        <v xml:space="preserve">      32020   /   -08</v>
      </c>
      <c r="AQ22" s="2573"/>
      <c r="AR22" s="2573"/>
      <c r="AS22" s="2573"/>
      <c r="AT22" s="2573"/>
      <c r="AU22" s="2573"/>
      <c r="AV22" s="2573"/>
      <c r="AW22" s="2574"/>
    </row>
    <row r="23" spans="2:58" ht="13.5" customHeight="1" thickTop="1" thickBot="1">
      <c r="B23" s="2535">
        <f>Worksheet!AD71</f>
        <v>44748.499999999993</v>
      </c>
      <c r="C23" s="2536"/>
      <c r="D23" s="2537">
        <f>Worksheet!AF71</f>
        <v>44748.666666666664</v>
      </c>
      <c r="E23" s="2537"/>
      <c r="F23" s="2539">
        <f t="shared" si="7"/>
        <v>33.333333333333336</v>
      </c>
      <c r="G23" s="2540">
        <f t="shared" si="0"/>
        <v>33.333333333333336</v>
      </c>
      <c r="H23" s="2601">
        <f>Worksheet!AP71</f>
        <v>92</v>
      </c>
      <c r="I23" s="2602"/>
      <c r="J23" s="2543">
        <f>Worksheet!BB71</f>
        <v>75</v>
      </c>
      <c r="K23" s="2544"/>
      <c r="L23" s="2603">
        <f t="shared" si="1"/>
        <v>0.57879022943352076</v>
      </c>
      <c r="M23" s="2546">
        <f t="shared" si="3"/>
        <v>4.0430700520465703E-3</v>
      </c>
      <c r="N23" s="1893" t="str">
        <f>IF($N$18="MOON ANGLE",calc!CD11,calc!X11)</f>
        <v>(&lt;0)</v>
      </c>
      <c r="O23" s="1623" t="str">
        <f t="shared" si="4"/>
        <v>°</v>
      </c>
      <c r="P23" s="2547">
        <f>Worksheet!BQ71</f>
        <v>29.95</v>
      </c>
      <c r="Q23" s="2548"/>
      <c r="R23" s="2549"/>
      <c r="S23" s="2550">
        <f>IF(P23&gt;0,((288.16/0.0065)*(1-(P23/29.921)^(1/5.2561))+Worksheet!Z2/3.280833)*3.280833,"")</f>
        <v>728.19027356060712</v>
      </c>
      <c r="T23" s="2551" t="str">
        <f t="shared" si="5"/>
        <v/>
      </c>
      <c r="U23" s="2550">
        <f t="shared" si="6"/>
        <v>3101.2082825586076</v>
      </c>
      <c r="V23" s="2525" t="e">
        <f t="shared" si="2"/>
        <v>#VALUE!</v>
      </c>
      <c r="W23" s="2819"/>
      <c r="X23" s="2820"/>
      <c r="Y23" s="2819"/>
      <c r="Z23" s="2820"/>
      <c r="AA23" s="2819"/>
      <c r="AB23" s="2820"/>
      <c r="AC23" s="2819"/>
      <c r="AD23" s="2820"/>
      <c r="AE23" s="2819"/>
      <c r="AF23" s="2820"/>
      <c r="AG23" s="2616">
        <f>MAX(S20:S32)</f>
        <v>774.42707774380006</v>
      </c>
      <c r="AH23" s="2617"/>
      <c r="AI23" s="2617"/>
      <c r="AJ23" s="2617">
        <f>MAX(U20:U32)</f>
        <v>3546.9802221844188</v>
      </c>
      <c r="AK23" s="2617"/>
      <c r="AL23" s="2618"/>
      <c r="AM23" s="2578">
        <v>120</v>
      </c>
      <c r="AN23" s="2579"/>
      <c r="AO23" s="2579"/>
      <c r="AP23" s="2573" t="str">
        <f>CONCATENATE("       ",Worksheet!AO222,"   /   ",IF(VALUE(Worksheet!AR222)&gt;0,"+",""),TEXT(Worksheet!AR222,"00"))</f>
        <v xml:space="preserve">       31015   /   -01</v>
      </c>
      <c r="AQ23" s="2573"/>
      <c r="AR23" s="2573"/>
      <c r="AS23" s="2573"/>
      <c r="AT23" s="2573"/>
      <c r="AU23" s="2573"/>
      <c r="AV23" s="2573"/>
      <c r="AW23" s="2574"/>
    </row>
    <row r="24" spans="2:58" ht="13.5" customHeight="1" thickTop="1" thickBot="1">
      <c r="B24" s="2580">
        <f>Worksheet!AD72</f>
        <v>44748.541666666657</v>
      </c>
      <c r="C24" s="2581"/>
      <c r="D24" s="2582">
        <f>Worksheet!AF72</f>
        <v>44748.708333333328</v>
      </c>
      <c r="E24" s="2582"/>
      <c r="F24" s="2583">
        <f t="shared" si="7"/>
        <v>34.444444444444443</v>
      </c>
      <c r="G24" s="2584">
        <f t="shared" si="0"/>
        <v>34.444444444444443</v>
      </c>
      <c r="H24" s="2607">
        <f>Worksheet!AP72</f>
        <v>94</v>
      </c>
      <c r="I24" s="2608"/>
      <c r="J24" s="2587">
        <f>Worksheet!BB72</f>
        <v>75</v>
      </c>
      <c r="K24" s="2588"/>
      <c r="L24" s="2609">
        <f t="shared" si="1"/>
        <v>0.54408424981317505</v>
      </c>
      <c r="M24" s="2590">
        <f t="shared" si="3"/>
        <v>4.0364779236785409E-3</v>
      </c>
      <c r="N24" s="1894" t="str">
        <f>IF($N$18="MOON ANGLE",calc!CD12,calc!X12)</f>
        <v>(&lt;0)</v>
      </c>
      <c r="O24" s="1624" t="str">
        <f t="shared" si="4"/>
        <v>°</v>
      </c>
      <c r="P24" s="2591">
        <f>Worksheet!BQ72</f>
        <v>29.95</v>
      </c>
      <c r="Q24" s="2592"/>
      <c r="R24" s="2593"/>
      <c r="S24" s="2594">
        <f>IF(P24&gt;0,((288.16/0.0065)*(1-(P24/29.921)^(1/5.2561))+Worksheet!Z2/3.280833)*3.280833,"")</f>
        <v>728.19027356060712</v>
      </c>
      <c r="T24" s="2595" t="str">
        <f t="shared" si="5"/>
        <v/>
      </c>
      <c r="U24" s="2594">
        <f t="shared" si="6"/>
        <v>3234.5416158919406</v>
      </c>
      <c r="V24" s="2597" t="e">
        <f t="shared" si="2"/>
        <v>#VALUE!</v>
      </c>
      <c r="W24" s="2819"/>
      <c r="X24" s="2820"/>
      <c r="Y24" s="2819"/>
      <c r="Z24" s="2820"/>
      <c r="AA24" s="2819"/>
      <c r="AB24" s="2820"/>
      <c r="AC24" s="2819"/>
      <c r="AD24" s="2820"/>
      <c r="AE24" s="2819"/>
      <c r="AF24" s="2820"/>
      <c r="AG24" s="2598" t="s">
        <v>50</v>
      </c>
      <c r="AH24" s="2599"/>
      <c r="AI24" s="2599"/>
      <c r="AJ24" s="2599"/>
      <c r="AK24" s="2599"/>
      <c r="AL24" s="2600"/>
      <c r="AM24" s="2571">
        <v>100</v>
      </c>
      <c r="AN24" s="2572"/>
      <c r="AO24" s="2572"/>
      <c r="AP24" s="2573" t="str">
        <f>CONCATENATE("        ",Worksheet!AO223,"   /   ",IF(VALUE(Worksheet!AR223)&gt;0,"+",""),TEXT(Worksheet!AR223,"00"))</f>
        <v xml:space="preserve">        31015   /   +06</v>
      </c>
      <c r="AQ24" s="2573"/>
      <c r="AR24" s="2573"/>
      <c r="AS24" s="2573"/>
      <c r="AT24" s="2573"/>
      <c r="AU24" s="2573"/>
      <c r="AV24" s="2573"/>
      <c r="AW24" s="2574"/>
    </row>
    <row r="25" spans="2:58" ht="13.5" customHeight="1" thickTop="1" thickBot="1">
      <c r="B25" s="2535">
        <f>Worksheet!AD73</f>
        <v>44748.583333333328</v>
      </c>
      <c r="C25" s="2536"/>
      <c r="D25" s="2537">
        <f>Worksheet!AF73</f>
        <v>44748.75</v>
      </c>
      <c r="E25" s="2537"/>
      <c r="F25" s="2539">
        <f t="shared" si="7"/>
        <v>35</v>
      </c>
      <c r="G25" s="2540">
        <f t="shared" si="0"/>
        <v>35</v>
      </c>
      <c r="H25" s="2601">
        <f>Worksheet!AP73</f>
        <v>95</v>
      </c>
      <c r="I25" s="2602"/>
      <c r="J25" s="2543">
        <f>Worksheet!BB73</f>
        <v>74</v>
      </c>
      <c r="K25" s="2544"/>
      <c r="L25" s="2603">
        <f t="shared" si="1"/>
        <v>0.51028899654400484</v>
      </c>
      <c r="M25" s="2546">
        <f t="shared" si="3"/>
        <v>4.2034209282428093E-3</v>
      </c>
      <c r="N25" s="1893" t="str">
        <f>IF($N$18="MOON ANGLE",calc!CD13,calc!X13)</f>
        <v>(6)</v>
      </c>
      <c r="O25" s="1623" t="str">
        <f t="shared" si="4"/>
        <v>°</v>
      </c>
      <c r="P25" s="2547">
        <f>Worksheet!BQ73</f>
        <v>29.94</v>
      </c>
      <c r="Q25" s="2548"/>
      <c r="R25" s="2549"/>
      <c r="S25" s="2550">
        <f>IF(P25&gt;0,((288.16/0.0065)*(1-(P25/29.921)^(1/5.2561))+Worksheet!Z2/3.280833)*3.280833,"")</f>
        <v>737.43263139606995</v>
      </c>
      <c r="T25" s="2551" t="str">
        <f t="shared" si="5"/>
        <v/>
      </c>
      <c r="U25" s="2550">
        <f t="shared" si="6"/>
        <v>3312.6466246157765</v>
      </c>
      <c r="V25" s="2525">
        <f t="shared" si="2"/>
        <v>1579.7314626244852</v>
      </c>
      <c r="W25" s="2819"/>
      <c r="X25" s="2820"/>
      <c r="Y25" s="2819"/>
      <c r="Z25" s="2820"/>
      <c r="AA25" s="2819"/>
      <c r="AB25" s="2820"/>
      <c r="AC25" s="2819"/>
      <c r="AD25" s="2820"/>
      <c r="AE25" s="2819"/>
      <c r="AF25" s="2820"/>
      <c r="AG25" s="2613">
        <f>MIN(P20:P32)</f>
        <v>29.9</v>
      </c>
      <c r="AH25" s="2614"/>
      <c r="AI25" s="2614"/>
      <c r="AJ25" s="2614"/>
      <c r="AK25" s="2614"/>
      <c r="AL25" s="2615"/>
      <c r="AM25" s="2578">
        <v>90</v>
      </c>
      <c r="AN25" s="2579"/>
      <c r="AO25" s="2579"/>
      <c r="AP25" s="2573" t="str">
        <f>CONCATENATE("         ",Worksheet!AO224,"   /   ",IF(VALUE(Worksheet!AR224)&gt;0,"+",""),TEXT(Worksheet!AR224,"00"))</f>
        <v xml:space="preserve">         31015   /   +10</v>
      </c>
      <c r="AQ25" s="2573"/>
      <c r="AR25" s="2573"/>
      <c r="AS25" s="2573"/>
      <c r="AT25" s="2573"/>
      <c r="AU25" s="2573"/>
      <c r="AV25" s="2573"/>
      <c r="AW25" s="2574"/>
    </row>
    <row r="26" spans="2:58" ht="13.5" customHeight="1" thickTop="1" thickBot="1">
      <c r="B26" s="2580">
        <f>Worksheet!AD74</f>
        <v>44748.624999999993</v>
      </c>
      <c r="C26" s="2581"/>
      <c r="D26" s="2582">
        <f>Worksheet!AF74</f>
        <v>44748.791666666664</v>
      </c>
      <c r="E26" s="2582"/>
      <c r="F26" s="2583">
        <f t="shared" si="7"/>
        <v>36.111111111111114</v>
      </c>
      <c r="G26" s="2584">
        <f t="shared" si="0"/>
        <v>36.111111111111114</v>
      </c>
      <c r="H26" s="2607">
        <f>Worksheet!AP74</f>
        <v>97</v>
      </c>
      <c r="I26" s="2608"/>
      <c r="J26" s="2587">
        <f>Worksheet!BB74</f>
        <v>74</v>
      </c>
      <c r="K26" s="2588"/>
      <c r="L26" s="2609">
        <f t="shared" si="1"/>
        <v>0.48005142428918723</v>
      </c>
      <c r="M26" s="2590">
        <f t="shared" si="3"/>
        <v>4.1974471293463322E-3</v>
      </c>
      <c r="N26" s="1894" t="str">
        <f>IF($N$18="MOON ANGLE",calc!CD14,calc!X14)</f>
        <v>(18)</v>
      </c>
      <c r="O26" s="1624" t="str">
        <f t="shared" si="4"/>
        <v>°</v>
      </c>
      <c r="P26" s="2591">
        <f>Worksheet!BQ74</f>
        <v>29.93</v>
      </c>
      <c r="Q26" s="2592"/>
      <c r="R26" s="2593"/>
      <c r="S26" s="2594">
        <f>IF(P26&gt;0,((288.16/0.0065)*(1-(P26/29.921)^(1/5.2561))+Worksheet!Z2/3.280833)*3.280833,"")</f>
        <v>746.67748921956763</v>
      </c>
      <c r="T26" s="2595" t="str">
        <f t="shared" si="5"/>
        <v/>
      </c>
      <c r="U26" s="2594">
        <f t="shared" si="6"/>
        <v>3457.4213939914707</v>
      </c>
      <c r="V26" s="2597">
        <f t="shared" si="2"/>
        <v>318.90471720384403</v>
      </c>
      <c r="W26" s="2819"/>
      <c r="X26" s="2820"/>
      <c r="Y26" s="2819"/>
      <c r="Z26" s="2820"/>
      <c r="AA26" s="2819"/>
      <c r="AB26" s="2820"/>
      <c r="AC26" s="2819"/>
      <c r="AD26" s="2820"/>
      <c r="AE26" s="2819"/>
      <c r="AF26" s="2820"/>
      <c r="AG26" s="2598" t="s">
        <v>51</v>
      </c>
      <c r="AH26" s="2599"/>
      <c r="AI26" s="2599"/>
      <c r="AJ26" s="2599"/>
      <c r="AK26" s="2599"/>
      <c r="AL26" s="2600"/>
      <c r="AM26" s="2571">
        <v>80</v>
      </c>
      <c r="AN26" s="2572"/>
      <c r="AO26" s="2572"/>
      <c r="AP26" s="2573" t="str">
        <f>CONCATENATE("          ",Worksheet!AO225,"   /   ",IF(VALUE(Worksheet!AR225)&gt;0,"+",""),TEXT(Worksheet!AR225,"00"))</f>
        <v xml:space="preserve">          30015   /   +13</v>
      </c>
      <c r="AQ26" s="2573"/>
      <c r="AR26" s="2573"/>
      <c r="AS26" s="2573"/>
      <c r="AT26" s="2573"/>
      <c r="AU26" s="2573"/>
      <c r="AV26" s="2573"/>
      <c r="AW26" s="2574"/>
    </row>
    <row r="27" spans="2:58" ht="13.5" customHeight="1" thickTop="1" thickBot="1">
      <c r="B27" s="2535">
        <f>Worksheet!AD75</f>
        <v>44748.666666666657</v>
      </c>
      <c r="C27" s="2536"/>
      <c r="D27" s="2537">
        <f>Worksheet!AF75</f>
        <v>44748.833333333328</v>
      </c>
      <c r="E27" s="2537"/>
      <c r="F27" s="2539">
        <f t="shared" si="7"/>
        <v>36.666666666666671</v>
      </c>
      <c r="G27" s="2540">
        <f t="shared" si="0"/>
        <v>36.666666666666671</v>
      </c>
      <c r="H27" s="2601">
        <f>Worksheet!AP75</f>
        <v>98</v>
      </c>
      <c r="I27" s="2602"/>
      <c r="J27" s="2543">
        <f>Worksheet!BB75</f>
        <v>73</v>
      </c>
      <c r="K27" s="2544"/>
      <c r="L27" s="2603">
        <f t="shared" si="1"/>
        <v>0.4503371222797285</v>
      </c>
      <c r="M27" s="2546">
        <f t="shared" si="3"/>
        <v>4.3730699956889985E-3</v>
      </c>
      <c r="N27" s="1893" t="str">
        <f>IF($N$18="MOON ANGLE",calc!CD15,calc!X15)</f>
        <v>(29)</v>
      </c>
      <c r="O27" s="1623" t="str">
        <f t="shared" si="4"/>
        <v>°</v>
      </c>
      <c r="P27" s="2547">
        <f>Worksheet!BQ75</f>
        <v>29.92</v>
      </c>
      <c r="Q27" s="2548"/>
      <c r="R27" s="2549"/>
      <c r="S27" s="2550">
        <f>IF(P27&gt;0,((288.16/0.0065)*(1-(P27/29.921)^(1/5.2561))+Worksheet!Z2/3.280833)*3.280833,"")</f>
        <v>755.92484854294287</v>
      </c>
      <c r="T27" s="2551" t="str">
        <f t="shared" si="5"/>
        <v/>
      </c>
      <c r="U27" s="2550">
        <f t="shared" si="6"/>
        <v>3535.5325925567472</v>
      </c>
      <c r="V27" s="2525">
        <f t="shared" si="2"/>
        <v>-904.4248634517694</v>
      </c>
      <c r="W27" s="2819"/>
      <c r="X27" s="2820"/>
      <c r="Y27" s="2819"/>
      <c r="Z27" s="2820"/>
      <c r="AA27" s="2819"/>
      <c r="AB27" s="2820"/>
      <c r="AC27" s="2819"/>
      <c r="AD27" s="2820"/>
      <c r="AE27" s="2819"/>
      <c r="AF27" s="2820"/>
      <c r="AG27" s="2610" t="s">
        <v>52</v>
      </c>
      <c r="AH27" s="2611"/>
      <c r="AI27" s="2611"/>
      <c r="AJ27" s="2611" t="s">
        <v>53</v>
      </c>
      <c r="AK27" s="2611"/>
      <c r="AL27" s="2612"/>
      <c r="AM27" s="2578">
        <v>70</v>
      </c>
      <c r="AN27" s="2579"/>
      <c r="AO27" s="2579"/>
      <c r="AP27" s="2573" t="str">
        <f>CONCATENATE("           ",Worksheet!AO226,"   /   ",IF(VALUE(Worksheet!AR226)&gt;0,"+",""),TEXT(Worksheet!AR226,"00"))</f>
        <v xml:space="preserve">           30020   /   +18</v>
      </c>
      <c r="AQ27" s="2573"/>
      <c r="AR27" s="2573"/>
      <c r="AS27" s="2573"/>
      <c r="AT27" s="2573"/>
      <c r="AU27" s="2573"/>
      <c r="AV27" s="2573"/>
      <c r="AW27" s="2574"/>
    </row>
    <row r="28" spans="2:58" ht="13.5" customHeight="1" thickTop="1" thickBot="1">
      <c r="B28" s="2580">
        <f>Worksheet!AD76</f>
        <v>44748.708333333328</v>
      </c>
      <c r="C28" s="2581"/>
      <c r="D28" s="2582">
        <f>Worksheet!AF76</f>
        <v>44748.875</v>
      </c>
      <c r="E28" s="2582"/>
      <c r="F28" s="2583">
        <f t="shared" si="7"/>
        <v>36.666666666666671</v>
      </c>
      <c r="G28" s="2584">
        <f t="shared" si="0"/>
        <v>36.666666666666671</v>
      </c>
      <c r="H28" s="2607">
        <f>Worksheet!AP76</f>
        <v>98</v>
      </c>
      <c r="I28" s="2608"/>
      <c r="J28" s="2587">
        <f>Worksheet!BB76</f>
        <v>73</v>
      </c>
      <c r="K28" s="2588"/>
      <c r="L28" s="2609">
        <f t="shared" si="1"/>
        <v>0.4503371222797285</v>
      </c>
      <c r="M28" s="2590">
        <f t="shared" si="3"/>
        <v>4.3730699956889985E-3</v>
      </c>
      <c r="N28" s="1894" t="str">
        <f>IF($N$18="MOON ANGLE",calc!CD16,calc!X16)</f>
        <v>(38)</v>
      </c>
      <c r="O28" s="1624" t="str">
        <f t="shared" si="4"/>
        <v>°</v>
      </c>
      <c r="P28" s="2591">
        <f>Worksheet!BQ76</f>
        <v>29.91</v>
      </c>
      <c r="Q28" s="2592"/>
      <c r="R28" s="2593"/>
      <c r="S28" s="2594">
        <f>IF(P28&gt;0,((288.16/0.0065)*(1-(P28/29.921)^(1/5.2561))+Worksheet!Z2/3.280833)*3.280833,"")</f>
        <v>765.17471087945876</v>
      </c>
      <c r="T28" s="2595" t="str">
        <f t="shared" si="5"/>
        <v/>
      </c>
      <c r="U28" s="2594">
        <f t="shared" si="6"/>
        <v>3546.9802221844188</v>
      </c>
      <c r="V28" s="2597">
        <f t="shared" si="2"/>
        <v>-1970.2572770245629</v>
      </c>
      <c r="W28" s="2819"/>
      <c r="X28" s="2820"/>
      <c r="Y28" s="2819"/>
      <c r="Z28" s="2820"/>
      <c r="AA28" s="2819"/>
      <c r="AB28" s="2820"/>
      <c r="AC28" s="2819"/>
      <c r="AD28" s="2820"/>
      <c r="AE28" s="2819"/>
      <c r="AF28" s="2820"/>
      <c r="AG28" s="2604">
        <f>MAX(L20:L32)</f>
        <v>0.79616826474071245</v>
      </c>
      <c r="AH28" s="2605"/>
      <c r="AI28" s="2605"/>
      <c r="AJ28" s="2605">
        <f>MIN(L20:L32)</f>
        <v>0.4503371222797285</v>
      </c>
      <c r="AK28" s="2605"/>
      <c r="AL28" s="2606"/>
      <c r="AM28" s="2571">
        <v>60</v>
      </c>
      <c r="AN28" s="2572"/>
      <c r="AO28" s="2572"/>
      <c r="AP28" s="2573" t="str">
        <f>CONCATENATE("            ",Worksheet!AO227,"   /   ",IF(VALUE(Worksheet!AR227)&gt;0,"+",""),TEXT(Worksheet!AR227,"00"))</f>
        <v xml:space="preserve">            29020   /   +22</v>
      </c>
      <c r="AQ28" s="2573"/>
      <c r="AR28" s="2573"/>
      <c r="AS28" s="2573"/>
      <c r="AT28" s="2573"/>
      <c r="AU28" s="2573"/>
      <c r="AV28" s="2573"/>
      <c r="AW28" s="2574"/>
    </row>
    <row r="29" spans="2:58" ht="13.5" customHeight="1" thickTop="1" thickBot="1">
      <c r="B29" s="2535">
        <f>Worksheet!AD77</f>
        <v>44748.749999999993</v>
      </c>
      <c r="C29" s="2536"/>
      <c r="D29" s="2537">
        <f>Worksheet!AF77</f>
        <v>44748.916666666664</v>
      </c>
      <c r="E29" s="2537"/>
      <c r="F29" s="2539">
        <f t="shared" si="7"/>
        <v>36.111111111111114</v>
      </c>
      <c r="G29" s="2540">
        <f t="shared" si="0"/>
        <v>36.111111111111114</v>
      </c>
      <c r="H29" s="2601">
        <f>Worksheet!AP77</f>
        <v>97</v>
      </c>
      <c r="I29" s="2602"/>
      <c r="J29" s="2543">
        <f>Worksheet!BB77</f>
        <v>73</v>
      </c>
      <c r="K29" s="2544"/>
      <c r="L29" s="2603">
        <f t="shared" si="1"/>
        <v>0.46421737778362049</v>
      </c>
      <c r="M29" s="2546">
        <f t="shared" si="3"/>
        <v>4.3759263910199504E-3</v>
      </c>
      <c r="N29" s="1893" t="str">
        <f>IF($N$18="MOON ANGLE",calc!CD17,calc!X17)</f>
        <v>(45)</v>
      </c>
      <c r="O29" s="1623" t="str">
        <f t="shared" si="4"/>
        <v>°</v>
      </c>
      <c r="P29" s="2547">
        <f>Worksheet!BQ77</f>
        <v>29.9</v>
      </c>
      <c r="Q29" s="2548"/>
      <c r="R29" s="2549"/>
      <c r="S29" s="2550">
        <f>IF(P29&gt;0,((288.16/0.0065)*(1-(P29/29.921)^(1/5.2561))+Worksheet!Z2/3.280833)*3.280833,"")</f>
        <v>774.42707774380006</v>
      </c>
      <c r="T29" s="2551" t="str">
        <f t="shared" si="5"/>
        <v/>
      </c>
      <c r="U29" s="2550">
        <f t="shared" si="6"/>
        <v>3491.7642847490606</v>
      </c>
      <c r="V29" s="2525">
        <f t="shared" si="2"/>
        <v>-2878.5925211945623</v>
      </c>
      <c r="W29" s="2819"/>
      <c r="X29" s="2820"/>
      <c r="Y29" s="2819"/>
      <c r="Z29" s="2820"/>
      <c r="AA29" s="2819"/>
      <c r="AB29" s="2820"/>
      <c r="AC29" s="2819"/>
      <c r="AD29" s="2820"/>
      <c r="AE29" s="2819"/>
      <c r="AF29" s="2820"/>
      <c r="AG29" s="2598" t="s">
        <v>54</v>
      </c>
      <c r="AH29" s="2599"/>
      <c r="AI29" s="2599"/>
      <c r="AJ29" s="2599"/>
      <c r="AK29" s="2599"/>
      <c r="AL29" s="2600"/>
      <c r="AM29" s="2578">
        <v>50</v>
      </c>
      <c r="AN29" s="2579"/>
      <c r="AO29" s="2579"/>
      <c r="AP29" s="2573" t="str">
        <f>CONCATENATE("             ",Worksheet!AO228,"   /   ",IF(VALUE(Worksheet!AR228)&gt;0,"+",""),TEXT(Worksheet!AR228,"00"))</f>
        <v xml:space="preserve">             29020   /   +24</v>
      </c>
      <c r="AQ29" s="2573"/>
      <c r="AR29" s="2573"/>
      <c r="AS29" s="2573"/>
      <c r="AT29" s="2573"/>
      <c r="AU29" s="2573"/>
      <c r="AV29" s="2573"/>
      <c r="AW29" s="2574"/>
    </row>
    <row r="30" spans="2:58" ht="13.5" customHeight="1" thickTop="1" thickBot="1">
      <c r="B30" s="2580">
        <f>Worksheet!AD78</f>
        <v>44748.791666666657</v>
      </c>
      <c r="C30" s="2581"/>
      <c r="D30" s="2582">
        <f>Worksheet!AF78</f>
        <v>44748.958333333328</v>
      </c>
      <c r="E30" s="2582"/>
      <c r="F30" s="2583">
        <f t="shared" si="7"/>
        <v>35</v>
      </c>
      <c r="G30" s="2584">
        <f t="shared" si="0"/>
        <v>35</v>
      </c>
      <c r="H30" s="2585">
        <f>Worksheet!AP78</f>
        <v>95</v>
      </c>
      <c r="I30" s="2586"/>
      <c r="J30" s="2587">
        <f>Worksheet!BB78</f>
        <v>74</v>
      </c>
      <c r="K30" s="2588"/>
      <c r="L30" s="2589">
        <f t="shared" si="1"/>
        <v>0.51028899654400484</v>
      </c>
      <c r="M30" s="2590">
        <f t="shared" si="3"/>
        <v>4.2034209282428093E-3</v>
      </c>
      <c r="N30" s="1894" t="str">
        <f>IF($N$18="MOON ANGLE",calc!CD18,calc!X18)</f>
        <v>(48)</v>
      </c>
      <c r="O30" s="1624" t="str">
        <f t="shared" si="4"/>
        <v>°</v>
      </c>
      <c r="P30" s="2591">
        <f>Worksheet!BQ78</f>
        <v>29.9</v>
      </c>
      <c r="Q30" s="2592"/>
      <c r="R30" s="2593"/>
      <c r="S30" s="2594">
        <f>IF(P30&gt;0,((288.16/0.0065)*(1-(P30/29.921)^(1/5.2561))+Worksheet!Z2/3.280833)*3.280833,"")</f>
        <v>774.42707774380006</v>
      </c>
      <c r="T30" s="2595" t="str">
        <f t="shared" si="5"/>
        <v/>
      </c>
      <c r="U30" s="2596">
        <f t="shared" si="6"/>
        <v>3358.4309514157267</v>
      </c>
      <c r="V30" s="2597">
        <f t="shared" si="2"/>
        <v>-3403.6058545278966</v>
      </c>
      <c r="W30" s="2819"/>
      <c r="X30" s="2820"/>
      <c r="Y30" s="2819"/>
      <c r="Z30" s="2820"/>
      <c r="AA30" s="2819"/>
      <c r="AB30" s="2820"/>
      <c r="AC30" s="2819"/>
      <c r="AD30" s="2820"/>
      <c r="AE30" s="2819"/>
      <c r="AF30" s="2820"/>
      <c r="AG30" s="2568" t="str">
        <f>IF(MIN(H20:H32)&lt;33,"SFC",IF(VALUE(RIGHT(AP32,3))=0,"020",IF(VALUE(RIGHT(AP32,3))&lt;0,"010",IF(VALUE(RIGHT(AP31,3))=0,"030",IF(VALUE(RIGHT(AP31,3))&lt;0,"025",IF(VALUE(RIGHT(AP30,3))=0,"040",IF(VALUE(RIGHT(AP30,3))&lt;0,"035",IF(VALUE(RIGHT(AP29,3))=0,"050",IF(VALUE(RIGHT(AP29,3))&lt;0,"045",IF(VALUE(RIGHT(AP28,3))=0,"060",IF(VALUE(RIGHT(AP28,3))&lt;0,"055",IF(VALUE(RIGHT(AP27,3))=0,"070",IF(VALUE(RIGHT(AP27,3))&lt;0,"065",IF(VALUE(RIGHT(AP26,3))=0,"080",IF(VALUE(RIGHT(AP26,3))&lt;0,"075",IF(VALUE(RIGHT(AP25,3))=0,"090",IF(VALUE(RIGHT(AP25,3))&lt;0,"085",IF(VALUE(RIGHT(AP24,3))=0,"100",IF(VALUE(RIGHT(AP24,3))&lt;0,"095",IF(VALUE(RIGHT(AP23,3))=0,"120",IF(VALUE(RIGHT(AP23,3))&lt;0,"110",IF(VALUE(RIGHT(AP22,3))=0,"140",IF(VALUE(RIGHT(AP22,3))&lt;0,"130",IF(VALUE(RIGHT(AP21,3))=0,"150",IF(VALUE(RIGHT(AP21,3))&lt;0,"145",IF(VALUE(RIGHT(AP20,3))=0,"180",IF(VALUE(RIGHT(AP20,3))&lt;0,"160",IF(VALUE(RIGHT(AP19,3))=0,"200",IF(VALUE(RIGHT(AP19,3))&lt;0,"190","210")))))))))))))))))))))))))))))</f>
        <v>110</v>
      </c>
      <c r="AH30" s="2569"/>
      <c r="AI30" s="2569"/>
      <c r="AJ30" s="2569"/>
      <c r="AK30" s="2569"/>
      <c r="AL30" s="2570"/>
      <c r="AM30" s="2571">
        <v>40</v>
      </c>
      <c r="AN30" s="2572"/>
      <c r="AO30" s="2572"/>
      <c r="AP30" s="2573" t="str">
        <f>CONCATENATE("              ",Worksheet!AO229,"   /   ",IF(VALUE(Worksheet!AR229)&gt;0,"+",""),TEXT(Worksheet!AR229,"00"))</f>
        <v xml:space="preserve">              28015   /   +25</v>
      </c>
      <c r="AQ30" s="2573"/>
      <c r="AR30" s="2573"/>
      <c r="AS30" s="2573"/>
      <c r="AT30" s="2573"/>
      <c r="AU30" s="2573"/>
      <c r="AV30" s="2573"/>
      <c r="AW30" s="2574"/>
    </row>
    <row r="31" spans="2:58" ht="13.5" customHeight="1" thickTop="1" thickBot="1">
      <c r="B31" s="2535">
        <f>Worksheet!AD79</f>
        <v>44748.833333333328</v>
      </c>
      <c r="C31" s="2536"/>
      <c r="D31" s="2537">
        <f>Worksheet!AF79</f>
        <v>44749</v>
      </c>
      <c r="E31" s="2538"/>
      <c r="F31" s="2539">
        <f t="shared" si="7"/>
        <v>32.222222222222221</v>
      </c>
      <c r="G31" s="2540">
        <f t="shared" si="0"/>
        <v>32.222222222222221</v>
      </c>
      <c r="H31" s="2541">
        <f>Worksheet!AP79</f>
        <v>90</v>
      </c>
      <c r="I31" s="2542"/>
      <c r="J31" s="2543">
        <f>Worksheet!BB79</f>
        <v>74</v>
      </c>
      <c r="K31" s="2544"/>
      <c r="L31" s="2545">
        <f t="shared" si="1"/>
        <v>0.59578947092021739</v>
      </c>
      <c r="M31" s="2546">
        <f t="shared" si="3"/>
        <v>4.2203536769401294E-3</v>
      </c>
      <c r="N31" s="1893" t="str">
        <f>IF($N$18="MOON ANGLE",calc!CD19,calc!X19)</f>
        <v>(49)</v>
      </c>
      <c r="O31" s="1623" t="str">
        <f t="shared" si="4"/>
        <v>°</v>
      </c>
      <c r="P31" s="2547">
        <f>Worksheet!BQ79</f>
        <v>29.91</v>
      </c>
      <c r="Q31" s="2548"/>
      <c r="R31" s="2549"/>
      <c r="S31" s="2550">
        <f>IF(P31&gt;0,((288.16/0.0065)*(1-(P31/29.921)^(1/5.2561))+Worksheet!Z2/3.280833)*3.280833,"")</f>
        <v>765.17471087945876</v>
      </c>
      <c r="T31" s="2551" t="str">
        <f t="shared" si="5"/>
        <v/>
      </c>
      <c r="U31" s="2524">
        <f t="shared" si="6"/>
        <v>3013.6468888510849</v>
      </c>
      <c r="V31" s="2525">
        <f t="shared" si="2"/>
        <v>-3950.3106103578971</v>
      </c>
      <c r="W31" s="2819"/>
      <c r="X31" s="2820"/>
      <c r="Y31" s="2819"/>
      <c r="Z31" s="2820"/>
      <c r="AA31" s="2819"/>
      <c r="AB31" s="2820"/>
      <c r="AC31" s="2819"/>
      <c r="AD31" s="2820"/>
      <c r="AE31" s="2819"/>
      <c r="AF31" s="2820"/>
      <c r="AG31" s="2575" t="str">
        <f>IF(Worksheet!AQ6="WBGT",CONCATENATE("Max ",Worksheet!AQ6),IF(Worksheet!AQ6="Wind Chill",CONCATENATE("Min ",Worksheet!AQ6)))</f>
        <v>Max WBGT</v>
      </c>
      <c r="AH31" s="2576"/>
      <c r="AI31" s="2576"/>
      <c r="AJ31" s="2576"/>
      <c r="AK31" s="2576"/>
      <c r="AL31" s="2577"/>
      <c r="AM31" s="2578">
        <v>30</v>
      </c>
      <c r="AN31" s="2579"/>
      <c r="AO31" s="2579"/>
      <c r="AP31" s="2573" t="str">
        <f>CONCATENATE("               ",Worksheet!AO230,"   /   ",IF(VALUE(Worksheet!AR230)&gt;0,"+",""),TEXT(Worksheet!AR230,"00"))</f>
        <v xml:space="preserve">               28015   /   +27</v>
      </c>
      <c r="AQ31" s="2573"/>
      <c r="AR31" s="2573"/>
      <c r="AS31" s="2573"/>
      <c r="AT31" s="2573"/>
      <c r="AU31" s="2573"/>
      <c r="AV31" s="2573"/>
      <c r="AW31" s="2574"/>
    </row>
    <row r="32" spans="2:58" ht="13.5" customHeight="1" thickTop="1" thickBot="1">
      <c r="B32" s="2552">
        <f>Worksheet!AD80</f>
        <v>44748.874999999993</v>
      </c>
      <c r="C32" s="2553"/>
      <c r="D32" s="2554">
        <f>Worksheet!AF80</f>
        <v>44749.041666666664</v>
      </c>
      <c r="E32" s="2554"/>
      <c r="F32" s="2555">
        <f t="shared" si="7"/>
        <v>31.111111111111114</v>
      </c>
      <c r="G32" s="2556">
        <f t="shared" si="0"/>
        <v>31.111111111111114</v>
      </c>
      <c r="H32" s="2557">
        <f>Worksheet!AP80</f>
        <v>88</v>
      </c>
      <c r="I32" s="2558"/>
      <c r="J32" s="2559">
        <f>Worksheet!BB80</f>
        <v>74</v>
      </c>
      <c r="K32" s="2560"/>
      <c r="L32" s="2561">
        <f t="shared" si="1"/>
        <v>0.63444326022348041</v>
      </c>
      <c r="M32" s="2562">
        <f t="shared" si="3"/>
        <v>4.2280287460311535E-3</v>
      </c>
      <c r="N32" s="1895" t="str">
        <f>IF($N$18="MOON ANGLE",calc!CD20,calc!X20)</f>
        <v>(46)</v>
      </c>
      <c r="O32" s="1625" t="str">
        <f t="shared" si="4"/>
        <v>°</v>
      </c>
      <c r="P32" s="2563">
        <f>Worksheet!BQ80</f>
        <v>29.92</v>
      </c>
      <c r="Q32" s="2564"/>
      <c r="R32" s="2565"/>
      <c r="S32" s="2566">
        <f>IF(P32&gt;0,((288.16/0.0065)*(1-(P32/29.921)^(1/5.2561))+Worksheet!Z2/3.280833)*3.280833,"")</f>
        <v>755.92484854294287</v>
      </c>
      <c r="T32" s="2567" t="str">
        <f t="shared" si="5"/>
        <v/>
      </c>
      <c r="U32" s="2526">
        <f t="shared" si="6"/>
        <v>2868.8659258900802</v>
      </c>
      <c r="V32" s="2527">
        <f t="shared" si="2"/>
        <v>-3769.4915301184369</v>
      </c>
      <c r="W32" s="2819"/>
      <c r="X32" s="2820"/>
      <c r="Y32" s="2819"/>
      <c r="Z32" s="2820"/>
      <c r="AA32" s="2819"/>
      <c r="AB32" s="2820"/>
      <c r="AC32" s="2819"/>
      <c r="AD32" s="2820"/>
      <c r="AE32" s="2819"/>
      <c r="AF32" s="2820"/>
      <c r="AG32" s="2883">
        <f>IF(Worksheet!AQ6="WBGT",MAX(calc!X8:X20),IF(Worksheet!AQ6="Wind Chill",IF(COUNTIF(calc!X8:X20,"NA")=13,"NA",MIN(calc!X8:X20))))</f>
        <v>92.659264043406395</v>
      </c>
      <c r="AH32" s="2884"/>
      <c r="AI32" s="2884"/>
      <c r="AJ32" s="1630" t="s">
        <v>98</v>
      </c>
      <c r="AK32" s="1630"/>
      <c r="AL32" s="1631"/>
      <c r="AM32" s="2533">
        <v>20</v>
      </c>
      <c r="AN32" s="2534"/>
      <c r="AO32" s="2534"/>
      <c r="AP32" s="2518" t="str">
        <f>CONCATENATE("                ",Worksheet!AO231,"   /   ",IF(VALUE(Worksheet!AR231)&gt;0,"+",""),TEXT(Worksheet!AR231,"00"))</f>
        <v xml:space="preserve">                27015   /   +28</v>
      </c>
      <c r="AQ32" s="2518"/>
      <c r="AR32" s="2518"/>
      <c r="AS32" s="2518"/>
      <c r="AT32" s="2518"/>
      <c r="AU32" s="2518"/>
      <c r="AV32" s="2518"/>
      <c r="AW32" s="2519"/>
      <c r="AY32" s="2896"/>
      <c r="AZ32" s="2897"/>
      <c r="BA32" s="2897"/>
      <c r="BB32" s="2897"/>
      <c r="BC32" s="2897"/>
      <c r="BD32" s="2897"/>
      <c r="BE32" s="2897"/>
      <c r="BF32" s="2897"/>
    </row>
    <row r="33" spans="2:53" ht="17.25" customHeight="1" thickTop="1" thickBot="1">
      <c r="B33" s="1276" t="s">
        <v>99</v>
      </c>
      <c r="C33" s="1278"/>
      <c r="D33" s="1278"/>
      <c r="E33" s="1278"/>
      <c r="F33" s="1278"/>
      <c r="G33" s="1278"/>
      <c r="H33" s="1278"/>
      <c r="I33" s="1278"/>
      <c r="J33" s="1278"/>
      <c r="K33" s="1278"/>
      <c r="L33" s="1278"/>
      <c r="M33" s="1278"/>
      <c r="N33" s="1278"/>
      <c r="O33" s="1278"/>
      <c r="P33" s="1278"/>
      <c r="Q33" s="1278"/>
      <c r="R33" s="1278"/>
      <c r="S33" s="1278"/>
      <c r="T33" s="1278"/>
      <c r="U33" s="1278"/>
      <c r="V33" s="1278"/>
      <c r="W33" s="1278"/>
      <c r="X33" s="1278"/>
      <c r="Y33" s="1278"/>
      <c r="Z33" s="1278"/>
      <c r="AA33" s="1278"/>
      <c r="AB33" s="1278"/>
      <c r="AC33" s="1278"/>
      <c r="AD33" s="1278"/>
      <c r="AE33" s="1278"/>
      <c r="AF33" s="1278"/>
      <c r="AG33" s="1278"/>
      <c r="AH33" s="2004"/>
      <c r="AI33" s="2004"/>
      <c r="AJ33" s="2004"/>
      <c r="AK33" s="2004"/>
      <c r="AL33" s="2921" t="str">
        <f>IF(AP14="",CONCATENATE("( ",IF(AP8="GR'ND OPS","GROUND OPS",AP8)," ) "," Go / No Go "),CONCATENATE("( ",AP8,", ",AP14," ) "," Go / No Go "))</f>
        <v xml:space="preserve">( H-60, MEDEVAC )  Go / No Go </v>
      </c>
      <c r="AM33" s="2921"/>
      <c r="AN33" s="2921"/>
      <c r="AO33" s="2921"/>
      <c r="AP33" s="2921"/>
      <c r="AQ33" s="2921"/>
      <c r="AR33" s="2921"/>
      <c r="AS33" s="2921"/>
      <c r="AT33" s="2921"/>
      <c r="AU33" s="2921"/>
      <c r="AV33" s="2921"/>
      <c r="AW33" s="2922"/>
    </row>
    <row r="34" spans="2:53" ht="12" customHeight="1" thickBot="1">
      <c r="B34" s="2513" t="str">
        <f>IF(OR(Y71=4,Y71=3),Worksheet!AE290,"")</f>
        <v/>
      </c>
      <c r="C34" s="2514"/>
      <c r="D34" s="2514"/>
      <c r="E34" s="2514"/>
      <c r="F34" s="2514"/>
      <c r="G34" s="2514"/>
      <c r="H34" s="2514"/>
      <c r="I34" s="2514"/>
      <c r="J34" s="2828"/>
      <c r="K34" s="2830" t="str">
        <f>IF(OR(Y71=4,Y71=3),"Winds: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"&amp;Worksheet!AT295&amp;TEXT(Worksheet!AV295,"00")&amp;IF(Worksheet!AX295&lt;&gt;"","G"&amp;Worksheet!AX295,"")&amp;"KT"),"")</f>
        <v/>
      </c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520" t="str">
        <f>IF(OR(Y71=4,Y71=3),"Vis/WX: "&amp;Worksheet!AH299&amp;" "&amp;Worksheet!AK299&amp;"   "&amp;IF(OR(Worksheet!AT299&lt;&gt;"",Worksheet!AW299&lt;&gt;""),"TEMPO: ","")&amp;Worksheet!AT299&amp;" "&amp;Worksheet!AW299,"")</f>
        <v/>
      </c>
      <c r="W34" s="2520"/>
      <c r="X34" s="2520"/>
      <c r="Y34" s="2520"/>
      <c r="Z34" s="2520"/>
      <c r="AA34" s="2520"/>
      <c r="AB34" s="2520"/>
      <c r="AC34" s="2520"/>
      <c r="AD34" s="2520"/>
      <c r="AE34" s="2520"/>
      <c r="AF34" s="2520"/>
      <c r="AG34" s="2520"/>
      <c r="AH34" s="2520"/>
      <c r="AI34" s="2521" t="str">
        <f>IF(OR(Y71=4,Y71=3),"Hazards:  "&amp;Worksheet!AE317,"")</f>
        <v/>
      </c>
      <c r="AJ34" s="2521"/>
      <c r="AK34" s="2521"/>
      <c r="AL34" s="2521"/>
      <c r="AM34" s="2521"/>
      <c r="AN34" s="2521"/>
      <c r="AO34" s="2521"/>
      <c r="AP34" s="2521"/>
      <c r="AQ34" s="2521"/>
      <c r="AR34" s="2521"/>
      <c r="AS34" s="2521"/>
      <c r="AT34" s="2521"/>
      <c r="AU34" s="2521"/>
      <c r="AV34" s="164"/>
      <c r="AW34" s="165"/>
    </row>
    <row r="35" spans="2:53" ht="12" customHeight="1" thickBot="1">
      <c r="B35" s="2513" t="str">
        <f>IF(Y71=2,Worksheet!AE290,IF(OR(Y71=4,Y71=3),"Valid:  "&amp;LEFT(TEXT(Worksheet!AS290,"0000"),2)&amp;" - "&amp;LEFT(TEXT(Worksheet!AV290,"0000"),2)&amp;"L"&amp;IF(Worksheet!AW292="",""," (TEMPO "&amp;TEXT(Worksheet!AW292,"00")&amp;" - "&amp;TEXT(Worksheet!AY292,"00L")&amp;")"),""))</f>
        <v/>
      </c>
      <c r="C35" s="2514"/>
      <c r="D35" s="2514"/>
      <c r="E35" s="2514"/>
      <c r="F35" s="2514"/>
      <c r="G35" s="2514"/>
      <c r="H35" s="2514"/>
      <c r="I35" s="2514"/>
      <c r="J35" s="2828"/>
      <c r="K35" s="2827" t="str">
        <f>IF(Y71=2,"Winds: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"&amp;Worksheet!AT295&amp;TEXT(Worksheet!AV295,"00")&amp;IF(Worksheet!AX295&lt;&gt;"","G"&amp;Worksheet!AX295,"")&amp;"KT"),IF(OR(Y71=4,Y71=3),"Sky:  "&amp;Worksheet!AP305,""))</f>
        <v/>
      </c>
      <c r="L35" s="2495"/>
      <c r="M35" s="2495"/>
      <c r="N35" s="2495"/>
      <c r="O35" s="2495"/>
      <c r="P35" s="2495"/>
      <c r="Q35" s="2495"/>
      <c r="R35" s="2495"/>
      <c r="S35" s="2495"/>
      <c r="T35" s="2495"/>
      <c r="U35" s="2495"/>
      <c r="V35" s="2495" t="str">
        <f>IF(Y71=2,"Vis/WX: "&amp;Worksheet!AH299&amp;" "&amp;Worksheet!AK299&amp;"   "&amp;IF(OR(Worksheet!AT299&lt;&gt;"",Worksheet!AW299&lt;&gt;""),"TEMPO: ","")&amp;Worksheet!AT299&amp;" "&amp;Worksheet!AW299,IF(OR(Y71=4,Y71=3),Worksheet!AP307,""))</f>
        <v/>
      </c>
      <c r="W35" s="2495"/>
      <c r="X35" s="2495"/>
      <c r="Y35" s="2495"/>
      <c r="Z35" s="2495"/>
      <c r="AA35" s="2495"/>
      <c r="AB35" s="2495"/>
      <c r="AC35" s="2495"/>
      <c r="AD35" s="2495"/>
      <c r="AE35" s="2495"/>
      <c r="AF35" s="2495"/>
      <c r="AG35" s="2495"/>
      <c r="AH35" s="2495"/>
      <c r="AI35" s="2829" t="str">
        <f>IF(Y71=2,"Hazards:  "&amp;Worksheet!AE317,IF(OR(Y71=4,Y71=3)," "&amp;Worksheet!AE318,""))</f>
        <v/>
      </c>
      <c r="AJ35" s="2829"/>
      <c r="AK35" s="2829"/>
      <c r="AL35" s="2829"/>
      <c r="AM35" s="2829"/>
      <c r="AN35" s="2829"/>
      <c r="AO35" s="2829"/>
      <c r="AP35" s="2829"/>
      <c r="AQ35" s="2829"/>
      <c r="AR35" s="2829"/>
      <c r="AS35" s="2829"/>
      <c r="AT35" s="2829"/>
      <c r="AU35" s="2829"/>
      <c r="AV35" s="166"/>
      <c r="AW35" s="167"/>
    </row>
    <row r="36" spans="2:53" ht="12" customHeight="1" thickBot="1">
      <c r="B36" s="2513" t="str">
        <f>IF(Y71=2,"Valid:  "&amp;LEFT(TEXT(Worksheet!AS290,"0000"),2)&amp;" - "&amp;LEFT(TEXT(Worksheet!AV290,"0000"),2)&amp;"L"&amp;IF(Worksheet!AW292="",""," (TEMPO "&amp;TEXT(Worksheet!AW292,"00")&amp;" - "&amp;TEXT(Worksheet!AY292,"00L")&amp;")"),IF(Y71=4,Worksheet!BE290,""))</f>
        <v/>
      </c>
      <c r="C36" s="2514"/>
      <c r="D36" s="2514"/>
      <c r="E36" s="2514"/>
      <c r="F36" s="2514"/>
      <c r="G36" s="2514"/>
      <c r="H36" s="2514"/>
      <c r="I36" s="2514"/>
      <c r="J36" s="2828"/>
      <c r="K36" s="2830" t="str">
        <f>IF(Y71=2,"Sky:  "&amp;Worksheet!AP305,IF(Y71=4,"Winds: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"&amp;Worksheet!BT295&amp;TEXT(Worksheet!BV295,"00")&amp;IF(Worksheet!BX295&lt;&gt;"","G"&amp;Worksheet!BX295,"")&amp;"KT"),""))</f>
        <v/>
      </c>
      <c r="L36" s="2457"/>
      <c r="M36" s="2457"/>
      <c r="N36" s="2457"/>
      <c r="O36" s="2457"/>
      <c r="P36" s="2457"/>
      <c r="Q36" s="2457"/>
      <c r="R36" s="2457"/>
      <c r="S36" s="2457"/>
      <c r="T36" s="2457"/>
      <c r="U36" s="2457"/>
      <c r="V36" s="2457" t="str">
        <f>IF(Y71=2,Worksheet!AP307,IF(Y71=4,"Vis/WX: "&amp;Worksheet!BH299&amp;" "&amp;Worksheet!BK299&amp;"   "&amp;IF(OR(Worksheet!BT299&lt;&gt;"",Worksheet!BW299&lt;&gt;""),"TEMPO: ","")&amp;Worksheet!BT299&amp;" "&amp;Worksheet!BW299,""))</f>
        <v/>
      </c>
      <c r="W36" s="2457"/>
      <c r="X36" s="2457"/>
      <c r="Y36" s="2457"/>
      <c r="Z36" s="2457"/>
      <c r="AA36" s="2457"/>
      <c r="AB36" s="2457"/>
      <c r="AC36" s="2457"/>
      <c r="AD36" s="2457"/>
      <c r="AE36" s="2457"/>
      <c r="AF36" s="2457"/>
      <c r="AG36" s="2457"/>
      <c r="AH36" s="2457"/>
      <c r="AI36" s="2495" t="str">
        <f>IF(Y71=2," "&amp;Worksheet!AE318,IF(Y71=4,"Hazards:  "&amp;Worksheet!BE317,""))</f>
        <v/>
      </c>
      <c r="AJ36" s="2495"/>
      <c r="AK36" s="2495"/>
      <c r="AL36" s="2495"/>
      <c r="AM36" s="2495"/>
      <c r="AN36" s="2495"/>
      <c r="AO36" s="2495"/>
      <c r="AP36" s="2495"/>
      <c r="AQ36" s="2495"/>
      <c r="AR36" s="2495"/>
      <c r="AS36" s="2495"/>
      <c r="AT36" s="2495"/>
      <c r="AU36" s="2495"/>
      <c r="AV36" s="168"/>
      <c r="AW36" s="169"/>
    </row>
    <row r="37" spans="2:53" ht="12" customHeight="1" thickBot="1">
      <c r="B37" s="2513" t="str">
        <f>IF(Y71=1,Worksheet!AE290,IF(Y71=3,Worksheet!BE290,IF(Y71=4,"Valid:  "&amp;LEFT(TEXT(Worksheet!BS290,"0000"),2)&amp;" - "&amp;LEFT(TEXT(Worksheet!BV290,"0000"),2)&amp;"L"&amp;IF(Worksheet!BW292="",""," (TEMPO "&amp;TEXT(Worksheet!BW292,"00")&amp;" - "&amp;TEXT(Worksheet!BY292,"00L")&amp;")"),"")))</f>
        <v>FT KNOX LFA, ALL AREAS</v>
      </c>
      <c r="C37" s="2514"/>
      <c r="D37" s="2514"/>
      <c r="E37" s="2514"/>
      <c r="F37" s="2514"/>
      <c r="G37" s="2514"/>
      <c r="H37" s="2514"/>
      <c r="I37" s="2514"/>
      <c r="J37" s="2514"/>
      <c r="K37" s="2827" t="str">
        <f>IF(Y71=1,"Winds: "&amp;IF(Worksheet!AF295="","","FL"&amp;TEXT(Worksheet!AF295,"000")&amp;":  ")&amp;Worksheet!AH295&amp;TEXT(Worksheet!AJ295,"00")&amp;IF(Worksheet!AL295&lt;&gt;"","G"&amp;Worksheet!AL295,"")&amp;"KT"&amp;IF(Worksheet!AT295="","","  TEMPO: "&amp;Worksheet!AT295&amp;TEXT(Worksheet!AV295,"00")&amp;IF(Worksheet!AX295&lt;&gt;"","G"&amp;Worksheet!AX295,"")&amp;"KT"),IF(Y71=3,"Winds: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"&amp;Worksheet!BT295&amp;TEXT(Worksheet!BV295,"00")&amp;IF(Worksheet!BX295&lt;&gt;"","G"&amp;Worksheet!BX295,"")&amp;"KT"),IF(Y71=4,"Sky:  "&amp;Worksheet!BP305,"")))</f>
        <v>Winds: 24010KT  TEMPO: 29012G20KT</v>
      </c>
      <c r="L37" s="2495"/>
      <c r="M37" s="2495"/>
      <c r="N37" s="2495"/>
      <c r="O37" s="2495"/>
      <c r="P37" s="2495"/>
      <c r="Q37" s="2495"/>
      <c r="R37" s="2495"/>
      <c r="S37" s="2495"/>
      <c r="T37" s="2495"/>
      <c r="U37" s="2495"/>
      <c r="V37" s="2495" t="str">
        <f>IF(Y71=1,"Vis/WX: "&amp;Worksheet!AH299&amp;" "&amp;Worksheet!AK299&amp;"   "&amp;IF(OR(Worksheet!AT299&lt;&gt;"",Worksheet!AW299&lt;&gt;""),"TEMPO: ","")&amp;Worksheet!AT299&amp;" "&amp;Worksheet!AW299,IF(Y71=3,"Vis/WX: "&amp;Worksheet!BH299&amp;" "&amp;Worksheet!BK299&amp;"   "&amp;IF(OR(Worksheet!BT299&lt;&gt;"",Worksheet!BW299&lt;&gt;""),"TEMPO: ","")&amp;Worksheet!BT299&amp;" "&amp;Worksheet!BW299,IF(Y71=4,Worksheet!BP307,"")))</f>
        <v>Vis/WX: 7SM    TEMPO: 3SM TSRA</v>
      </c>
      <c r="W37" s="2495"/>
      <c r="X37" s="2495"/>
      <c r="Y37" s="2495"/>
      <c r="Z37" s="2495"/>
      <c r="AA37" s="2495"/>
      <c r="AB37" s="2495"/>
      <c r="AC37" s="2495"/>
      <c r="AD37" s="2495"/>
      <c r="AE37" s="2495"/>
      <c r="AF37" s="2495"/>
      <c r="AG37" s="2495"/>
      <c r="AH37" s="2495"/>
      <c r="AI37" s="2829" t="str">
        <f>IF(Y71=1,"Hazards:  "&amp;Worksheet!AE317,IF(Y71=3,"Hazards:  "&amp;Worksheet!BE317,IF(Y71=4," "&amp;Worksheet!BE318,"")))</f>
        <v>Hazards:  TEMPO: ISOLD TS 350</v>
      </c>
      <c r="AJ37" s="2829"/>
      <c r="AK37" s="2829"/>
      <c r="AL37" s="2829"/>
      <c r="AM37" s="2829"/>
      <c r="AN37" s="2829"/>
      <c r="AO37" s="2829"/>
      <c r="AP37" s="2829"/>
      <c r="AQ37" s="2829"/>
      <c r="AR37" s="2829"/>
      <c r="AS37" s="2829"/>
      <c r="AT37" s="2829"/>
      <c r="AU37" s="2829"/>
      <c r="AV37" s="166"/>
      <c r="AW37" s="1262"/>
    </row>
    <row r="38" spans="2:53" ht="12" customHeight="1" thickBot="1">
      <c r="B38" s="2513" t="str">
        <f>IF(Y71=1,"Valid:  "&amp;LEFT(TEXT(Worksheet!AS290,"0000"),2)&amp;" - "&amp;LEFT(TEXT(Worksheet!AV290,"0000"),2)&amp;"L"&amp;IF(Worksheet!AW292="",""," (TEMPO "&amp;TEXT(Worksheet!AW292,"00")&amp;" - "&amp;TEXT(Worksheet!AY292,"00L")&amp;")"),IF(Y71=3,"Valid:  "&amp;LEFT(TEXT(Worksheet!BS290,"0000"),2)&amp;" - "&amp;LEFT(TEXT(Worksheet!BV290,"0000"),2)&amp;"L"&amp;IF(Worksheet!BW292="",""," (TEMPO "&amp;TEXT(Worksheet!BW292,"00")&amp;" - "&amp;TEXT(Worksheet!BY292,"00L")&amp;")"),IF(Y71=4,Worksheet!CE290,"")))</f>
        <v>Valid:  09 - 21L (TEMPO 16 - 21L)</v>
      </c>
      <c r="C38" s="2514"/>
      <c r="D38" s="2514"/>
      <c r="E38" s="2514"/>
      <c r="F38" s="2514"/>
      <c r="G38" s="2514"/>
      <c r="H38" s="2514"/>
      <c r="I38" s="2514"/>
      <c r="J38" s="2514"/>
      <c r="K38" s="2830" t="str">
        <f>IF(Y71=1,"Sky:  "&amp;Worksheet!AP305,IF(Y71=3,"Sky:  "&amp;Worksheet!BP305,IF(Y71=4,"Winds: "&amp;IF(Worksheet!CF295="","","FL"&amp;TEXT(Worksheet!CF295,"000")&amp;":  ")&amp;Worksheet!CH295&amp;TEXT(Worksheet!CJ295,"00")&amp;IF(Worksheet!CL295&lt;&gt;"","G"&amp;Worksheet!CL295,"")&amp;"KT"&amp;IF(Worksheet!CT295="","","  TEMPO: "&amp;Worksheet!CT295&amp;TEXT(Worksheet!CV295,"00")&amp;IF(Worksheet!CX295&lt;&gt;"","G"&amp;Worksheet!CX295,"")&amp;"KT"),"")))</f>
        <v>Sky:  SCT 040/050   BKN LYRD 250/280</v>
      </c>
      <c r="L38" s="2457"/>
      <c r="M38" s="2457"/>
      <c r="N38" s="2457"/>
      <c r="O38" s="2457"/>
      <c r="P38" s="2457"/>
      <c r="Q38" s="2457"/>
      <c r="R38" s="2457"/>
      <c r="S38" s="2457"/>
      <c r="T38" s="2457"/>
      <c r="U38" s="2457"/>
      <c r="V38" s="2457" t="str">
        <f>IF(Y71=1,Worksheet!AP307,IF(Y71=3,Worksheet!BP307,IF(Y71=4,"Vis/WX: "&amp;Worksheet!CH299&amp;" "&amp;Worksheet!CK299&amp;"   "&amp;IF(OR(Worksheet!CT299&lt;&gt;"",Worksheet!CW299&lt;&gt;""),"TEMPO: ","")&amp;Worksheet!CT299&amp;" "&amp;Worksheet!CW299,"")))</f>
        <v xml:space="preserve">TEMPO:  BKN 040/000   </v>
      </c>
      <c r="W38" s="2457"/>
      <c r="X38" s="2457"/>
      <c r="Y38" s="2457"/>
      <c r="Z38" s="2457"/>
      <c r="AA38" s="2457"/>
      <c r="AB38" s="2457"/>
      <c r="AC38" s="2457"/>
      <c r="AD38" s="2457"/>
      <c r="AE38" s="2457"/>
      <c r="AF38" s="2457"/>
      <c r="AG38" s="2457"/>
      <c r="AH38" s="2457"/>
      <c r="AI38" s="2495" t="str">
        <f>IF(Y71=1," "&amp;Worksheet!AE318,IF(Y71=3," "&amp;Worksheet!BE318,IF(Y71=4,"Hazards:  "&amp;Worksheet!CE317,"")))</f>
        <v xml:space="preserve"> </v>
      </c>
      <c r="AJ38" s="2495"/>
      <c r="AK38" s="2495"/>
      <c r="AL38" s="2495"/>
      <c r="AM38" s="2495"/>
      <c r="AN38" s="2495"/>
      <c r="AO38" s="2495"/>
      <c r="AP38" s="2495"/>
      <c r="AQ38" s="2495"/>
      <c r="AR38" s="2495"/>
      <c r="AS38" s="2495"/>
      <c r="AT38" s="2495"/>
      <c r="AU38" s="2495"/>
      <c r="AV38" s="170"/>
      <c r="AW38" s="171"/>
    </row>
    <row r="39" spans="2:53" ht="12" customHeight="1" thickBot="1">
      <c r="B39" s="2513" t="str">
        <f>IF(Y71=2,Worksheet!BE290,IF(Y71=4,"Valid:  "&amp;LEFT(TEXT(Worksheet!CS290,"0000"),2)&amp;" - "&amp;LEFT(TEXT(Worksheet!CV290,"0000"),2)&amp;"L"&amp;IF(Worksheet!CW292="",""," (TEMPO "&amp;TEXT(Worksheet!CW292,"00")&amp;" - "&amp;TEXT(Worksheet!CY292,"00L")&amp;")"),""))</f>
        <v/>
      </c>
      <c r="C39" s="2514"/>
      <c r="D39" s="2514"/>
      <c r="E39" s="2514"/>
      <c r="F39" s="2514"/>
      <c r="G39" s="2514"/>
      <c r="H39" s="2514"/>
      <c r="I39" s="2514"/>
      <c r="J39" s="2828"/>
      <c r="K39" s="2827" t="str">
        <f>IF(Y71=2,"Winds: "&amp;IF(Worksheet!BF295="","","FL"&amp;TEXT(Worksheet!BF295,"000")&amp;":  ")&amp;Worksheet!BH295&amp;TEXT(Worksheet!BJ295,"00")&amp;IF(Worksheet!BL295&lt;&gt;"","G"&amp;Worksheet!BL295,"")&amp;"KT"&amp;IF(Worksheet!BT295="","","  TEMPO: "&amp;Worksheet!BT295&amp;TEXT(Worksheet!BV295,"00")&amp;IF(Worksheet!BX295&lt;&gt;"","G"&amp;Worksheet!BX295,"")&amp;"KT"),IF(Y71=4,"Sky:  "&amp;Worksheet!CP305,""))</f>
        <v/>
      </c>
      <c r="L39" s="2495"/>
      <c r="M39" s="2495"/>
      <c r="N39" s="2495"/>
      <c r="O39" s="2495"/>
      <c r="P39" s="2495"/>
      <c r="Q39" s="2495"/>
      <c r="R39" s="2495"/>
      <c r="S39" s="2495"/>
      <c r="T39" s="2495"/>
      <c r="U39" s="2495"/>
      <c r="V39" s="2495" t="str">
        <f>IF(Y71=2,"Vis/WX: "&amp;Worksheet!BH299&amp;" "&amp;Worksheet!BK299&amp;"   "&amp;IF(OR(Worksheet!BT299&lt;&gt;"",Worksheet!BW299&lt;&gt;""),"TEMPO: ","")&amp;Worksheet!BT299&amp;" "&amp;Worksheet!BW299,IF(Y71=4,Worksheet!CP307,""))</f>
        <v/>
      </c>
      <c r="W39" s="2495"/>
      <c r="X39" s="2495"/>
      <c r="Y39" s="2495"/>
      <c r="Z39" s="2495"/>
      <c r="AA39" s="2495"/>
      <c r="AB39" s="2495"/>
      <c r="AC39" s="2495"/>
      <c r="AD39" s="2495"/>
      <c r="AE39" s="2495"/>
      <c r="AF39" s="2495"/>
      <c r="AG39" s="2495"/>
      <c r="AH39" s="2495"/>
      <c r="AI39" s="2829" t="str">
        <f>IF(Y71=2,"Hazards:  "&amp;Worksheet!BE317,IF(Y71=4," "&amp;Worksheet!CE318,""))</f>
        <v/>
      </c>
      <c r="AJ39" s="2829"/>
      <c r="AK39" s="2829"/>
      <c r="AL39" s="2829"/>
      <c r="AM39" s="2829"/>
      <c r="AN39" s="2829"/>
      <c r="AO39" s="2829"/>
      <c r="AP39" s="2829"/>
      <c r="AQ39" s="2829"/>
      <c r="AR39" s="2829"/>
      <c r="AS39" s="2829"/>
      <c r="AT39" s="2829"/>
      <c r="AU39" s="2829"/>
      <c r="AV39" s="172"/>
      <c r="AW39" s="173"/>
    </row>
    <row r="40" spans="2:53" ht="12" customHeight="1" thickBot="1">
      <c r="B40" s="2513" t="str">
        <f>IF(Y71=2,"Valid:  "&amp;LEFT(TEXT(Worksheet!BS290,"0000"),2)&amp;" - "&amp;LEFT(TEXT(Worksheet!BV290,"0000"),2)&amp;"L"&amp;IF(Worksheet!BW292="",""," (TEMPO "&amp;TEXT(Worksheet!BW292,"00")&amp;" - "&amp;TEXT(Worksheet!BY292,"00L")&amp;")"),IF(Y71=3,Worksheet!CE290,IF(Y71=4,Worksheet!DE290,"")))</f>
        <v/>
      </c>
      <c r="C40" s="2514"/>
      <c r="D40" s="2514"/>
      <c r="E40" s="2514"/>
      <c r="F40" s="2514"/>
      <c r="G40" s="2514"/>
      <c r="H40" s="2514"/>
      <c r="I40" s="2514"/>
      <c r="J40" s="2828"/>
      <c r="K40" s="2830" t="str">
        <f>IF(Y71=2,"Sky:  "&amp;Worksheet!BP305,IF(Y71=3,"Winds: "&amp;IF(Worksheet!CF295="","","FL"&amp;TEXT(Worksheet!CF295,"000")&amp;":  ")&amp;Worksheet!CH295&amp;TEXT(Worksheet!CJ295,"00")&amp;IF(Worksheet!CL295&lt;&gt;"","G"&amp;Worksheet!CL295,"")&amp;"KT"&amp;IF(Worksheet!CT295="","","  TEMPO: "&amp;Worksheet!CT295&amp;TEXT(Worksheet!CV295,"00")&amp;IF(Worksheet!CX295&lt;&gt;"","G"&amp;Worksheet!CX295,"")&amp;"KT"),IF(Y71=4,"Winds: "&amp;IF(Worksheet!DF295="","","FL"&amp;TEXT(Worksheet!DF295,"000")&amp;":  ")&amp;Worksheet!DH295&amp;TEXT(Worksheet!DJ295,"00")&amp;IF(Worksheet!DL295&lt;&gt;"","G"&amp;Worksheet!DL295,"")&amp;"KT"&amp;IF(Worksheet!DT295="","","  TEMPO: "&amp;Worksheet!DT295&amp;TEXT(Worksheet!DV295,"00")&amp;IF(Worksheet!DX295&lt;&gt;"","G"&amp;Worksheet!DX295,"")&amp;"KT"),"")))</f>
        <v/>
      </c>
      <c r="L40" s="2457"/>
      <c r="M40" s="2457"/>
      <c r="N40" s="2457"/>
      <c r="O40" s="2457"/>
      <c r="P40" s="2457"/>
      <c r="Q40" s="2457"/>
      <c r="R40" s="2457"/>
      <c r="S40" s="2457"/>
      <c r="T40" s="2457"/>
      <c r="U40" s="2457"/>
      <c r="V40" s="2457" t="str">
        <f>IF(Y71=2,Worksheet!BP307,IF(Y71=3,"Vis/WX: "&amp;Worksheet!CH299&amp;" "&amp;Worksheet!CK299&amp;"   "&amp;IF(OR(Worksheet!CT299&lt;&gt;"",Worksheet!CW299&lt;&gt;""),"TEMPO: ","")&amp;Worksheet!CT299&amp;" "&amp;Worksheet!CW299,IF(Y71=4,"Vis/WX: "&amp;Worksheet!DH299&amp;" "&amp;Worksheet!DK299&amp;"   "&amp;IF(OR(Worksheet!DT299&lt;&gt;"",Worksheet!DW299&lt;&gt;""),"TEMPO: ","")&amp;Worksheet!DT299&amp;" "&amp;Worksheet!DW299,"")))</f>
        <v/>
      </c>
      <c r="W40" s="2457"/>
      <c r="X40" s="2457"/>
      <c r="Y40" s="2457"/>
      <c r="Z40" s="2457"/>
      <c r="AA40" s="2457"/>
      <c r="AB40" s="2457"/>
      <c r="AC40" s="2457"/>
      <c r="AD40" s="2457"/>
      <c r="AE40" s="2457"/>
      <c r="AF40" s="2457"/>
      <c r="AG40" s="2457"/>
      <c r="AH40" s="2457"/>
      <c r="AI40" s="2495" t="str">
        <f>IF(Y71=2," "&amp;Worksheet!BE318,IF(Y71=3,"Hazards:  "&amp;Worksheet!CE317,IF(Y71=4,"Hazards:  "&amp;Worksheet!DE317,"")))</f>
        <v/>
      </c>
      <c r="AJ40" s="2495"/>
      <c r="AK40" s="2495"/>
      <c r="AL40" s="2495"/>
      <c r="AM40" s="2495"/>
      <c r="AN40" s="2495"/>
      <c r="AO40" s="2495"/>
      <c r="AP40" s="2495"/>
      <c r="AQ40" s="2495"/>
      <c r="AR40" s="2495"/>
      <c r="AS40" s="2495"/>
      <c r="AT40" s="2495"/>
      <c r="AU40" s="2495"/>
      <c r="AV40" s="170"/>
      <c r="AW40" s="171"/>
    </row>
    <row r="41" spans="2:53" ht="12" customHeight="1" thickBot="1">
      <c r="B41" s="2513" t="str">
        <f>IF(Y71=3,"Valid:  "&amp;LEFT(TEXT(Worksheet!CS290,"0000"),2)&amp;" - "&amp;LEFT(TEXT(Worksheet!CV290,"0000"),2)&amp;"L"&amp;IF(Worksheet!CW292="",""," (TEMPO "&amp;TEXT(Worksheet!CW292,"00")&amp;" - "&amp;TEXT(Worksheet!CY292,"00L")&amp;")"),IF(Y71=4,"Valid:  "&amp;LEFT(TEXT(Worksheet!DS290,"0000"),2)&amp;" - "&amp;LEFT(TEXT(Worksheet!DV290,"0000"),2)&amp;"L"&amp;IF(Worksheet!DW292="",""," (TEMPO "&amp;TEXT(Worksheet!DW292,"00")&amp;" - "&amp;TEXT(Worksheet!DY292,"00L")&amp;")"),""))</f>
        <v/>
      </c>
      <c r="C41" s="2514"/>
      <c r="D41" s="2514"/>
      <c r="E41" s="2514"/>
      <c r="F41" s="2514"/>
      <c r="G41" s="2514"/>
      <c r="H41" s="2514"/>
      <c r="I41" s="2514"/>
      <c r="J41" s="2828"/>
      <c r="K41" s="2827" t="str">
        <f>IF(Y71=3,"Sky:  "&amp;Worksheet!CP305,IF(Y71=4,"Sky:  "&amp;Worksheet!DP305,""))</f>
        <v/>
      </c>
      <c r="L41" s="2495"/>
      <c r="M41" s="2495"/>
      <c r="N41" s="2495"/>
      <c r="O41" s="2495"/>
      <c r="P41" s="2495"/>
      <c r="Q41" s="2495"/>
      <c r="R41" s="2495"/>
      <c r="S41" s="2495"/>
      <c r="T41" s="2495"/>
      <c r="U41" s="2495"/>
      <c r="V41" s="2825" t="str">
        <f>IF(Y71=3,Worksheet!CP307,IF(Y71=4,Worksheet!DP307,""))</f>
        <v/>
      </c>
      <c r="W41" s="2825"/>
      <c r="X41" s="2825"/>
      <c r="Y41" s="2825"/>
      <c r="Z41" s="2825"/>
      <c r="AA41" s="2825"/>
      <c r="AB41" s="2825"/>
      <c r="AC41" s="2825"/>
      <c r="AD41" s="2825"/>
      <c r="AE41" s="2825"/>
      <c r="AF41" s="2825"/>
      <c r="AG41" s="2825"/>
      <c r="AH41" s="2825"/>
      <c r="AI41" s="2826" t="str">
        <f>IF(Y71=3," "&amp;Worksheet!CE318,IF(Y71=4," "&amp;Worksheet!DE318,""))</f>
        <v/>
      </c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174"/>
      <c r="AW41" s="175"/>
    </row>
    <row r="42" spans="2:53" ht="15" customHeight="1" thickBot="1">
      <c r="B42" s="2504" t="s">
        <v>56</v>
      </c>
      <c r="C42" s="2505"/>
      <c r="D42" s="2505"/>
      <c r="E42" s="2505"/>
      <c r="F42" s="2505"/>
      <c r="G42" s="2505"/>
      <c r="H42" s="2505"/>
      <c r="I42" s="2505"/>
      <c r="J42" s="2505"/>
      <c r="K42" s="2505"/>
      <c r="L42" s="2505"/>
      <c r="M42" s="2505"/>
      <c r="N42" s="2505"/>
      <c r="O42" s="2505"/>
      <c r="P42" s="2505"/>
      <c r="Q42" s="2505"/>
      <c r="R42" s="2505"/>
      <c r="S42" s="2505"/>
      <c r="T42" s="2505"/>
      <c r="U42" s="2505"/>
      <c r="V42" s="2505"/>
      <c r="W42" s="2505"/>
      <c r="X42" s="2505"/>
      <c r="Y42" s="2505"/>
      <c r="Z42" s="2505"/>
      <c r="AA42" s="2505"/>
      <c r="AB42" s="2505"/>
      <c r="AC42" s="2505"/>
      <c r="AD42" s="2505"/>
      <c r="AE42" s="2505"/>
      <c r="AF42" s="2505"/>
      <c r="AG42" s="2505"/>
      <c r="AH42" s="2505"/>
      <c r="AI42" s="2505"/>
      <c r="AJ42" s="2505"/>
      <c r="AK42" s="2505"/>
      <c r="AL42" s="2505"/>
      <c r="AM42" s="2505"/>
      <c r="AN42" s="2505"/>
      <c r="AO42" s="2505"/>
      <c r="AP42" s="2505"/>
      <c r="AQ42" s="2505"/>
      <c r="AR42" s="2505"/>
      <c r="AS42" s="2505"/>
      <c r="AT42" s="2505"/>
      <c r="AU42" s="2505"/>
      <c r="AV42" s="2505"/>
      <c r="AW42" s="2506"/>
      <c r="AX42" s="176"/>
      <c r="AY42" s="176"/>
      <c r="AZ42" s="176"/>
      <c r="BA42" s="176"/>
    </row>
    <row r="43" spans="2:53" ht="14.25" customHeight="1">
      <c r="B43" s="2507">
        <f>F3+1</f>
        <v>44749</v>
      </c>
      <c r="C43" s="2508"/>
      <c r="D43" s="2508"/>
      <c r="E43" s="2508"/>
      <c r="F43" s="2508"/>
      <c r="G43" s="2508"/>
      <c r="H43" s="2508"/>
      <c r="I43" s="2508"/>
      <c r="J43" s="2508"/>
      <c r="K43" s="2508"/>
      <c r="L43" s="2508"/>
      <c r="M43" s="2509"/>
      <c r="N43" s="2507">
        <f>B43+1</f>
        <v>44750</v>
      </c>
      <c r="O43" s="2508"/>
      <c r="P43" s="2508"/>
      <c r="Q43" s="2508"/>
      <c r="R43" s="2508"/>
      <c r="S43" s="2508"/>
      <c r="T43" s="2508"/>
      <c r="U43" s="2508"/>
      <c r="V43" s="2508"/>
      <c r="W43" s="2508"/>
      <c r="X43" s="2508"/>
      <c r="Y43" s="2509"/>
      <c r="Z43" s="2507">
        <f>N43+1</f>
        <v>44751</v>
      </c>
      <c r="AA43" s="2508"/>
      <c r="AB43" s="2508"/>
      <c r="AC43" s="2508"/>
      <c r="AD43" s="2508"/>
      <c r="AE43" s="2508"/>
      <c r="AF43" s="2508"/>
      <c r="AG43" s="2508"/>
      <c r="AH43" s="2508"/>
      <c r="AI43" s="2508"/>
      <c r="AJ43" s="2508"/>
      <c r="AK43" s="2509"/>
      <c r="AL43" s="2510">
        <f>Z43+1</f>
        <v>44752</v>
      </c>
      <c r="AM43" s="2508"/>
      <c r="AN43" s="2508"/>
      <c r="AO43" s="2508"/>
      <c r="AP43" s="2508"/>
      <c r="AQ43" s="2508"/>
      <c r="AR43" s="2508"/>
      <c r="AS43" s="2508"/>
      <c r="AT43" s="2508"/>
      <c r="AU43" s="2508"/>
      <c r="AV43" s="2508"/>
      <c r="AW43" s="2511"/>
    </row>
    <row r="44" spans="2:53" ht="12" customHeight="1">
      <c r="B44" s="2512" t="s">
        <v>57</v>
      </c>
      <c r="C44" s="2499"/>
      <c r="D44" s="2499"/>
      <c r="E44" s="2499"/>
      <c r="F44" s="2499"/>
      <c r="G44" s="2502"/>
      <c r="H44" s="2498" t="s">
        <v>58</v>
      </c>
      <c r="I44" s="2499"/>
      <c r="J44" s="2499"/>
      <c r="K44" s="2499"/>
      <c r="L44" s="2499"/>
      <c r="M44" s="2500"/>
      <c r="N44" s="2501" t="s">
        <v>57</v>
      </c>
      <c r="O44" s="2499"/>
      <c r="P44" s="2499"/>
      <c r="Q44" s="2499"/>
      <c r="R44" s="2499"/>
      <c r="S44" s="2502"/>
      <c r="T44" s="2498" t="s">
        <v>58</v>
      </c>
      <c r="U44" s="2499"/>
      <c r="V44" s="2499"/>
      <c r="W44" s="2499"/>
      <c r="X44" s="2499"/>
      <c r="Y44" s="2500"/>
      <c r="Z44" s="2501" t="s">
        <v>57</v>
      </c>
      <c r="AA44" s="2499"/>
      <c r="AB44" s="2499"/>
      <c r="AC44" s="2499"/>
      <c r="AD44" s="2499"/>
      <c r="AE44" s="2502"/>
      <c r="AF44" s="2498" t="s">
        <v>58</v>
      </c>
      <c r="AG44" s="2499"/>
      <c r="AH44" s="2499"/>
      <c r="AI44" s="2499"/>
      <c r="AJ44" s="2499"/>
      <c r="AK44" s="2500"/>
      <c r="AL44" s="2501" t="s">
        <v>57</v>
      </c>
      <c r="AM44" s="2499"/>
      <c r="AN44" s="2499"/>
      <c r="AO44" s="2499"/>
      <c r="AP44" s="2499"/>
      <c r="AQ44" s="2502"/>
      <c r="AR44" s="2498" t="s">
        <v>58</v>
      </c>
      <c r="AS44" s="2499"/>
      <c r="AT44" s="2499"/>
      <c r="AU44" s="2499"/>
      <c r="AV44" s="2499"/>
      <c r="AW44" s="2503"/>
    </row>
    <row r="45" spans="2:53" ht="12" customHeight="1">
      <c r="B45" s="2442" t="s">
        <v>59</v>
      </c>
      <c r="C45" s="2441"/>
      <c r="D45" s="2441"/>
      <c r="E45" s="2459" t="str">
        <f>CONCATENATE(Worksheet!BG451," ",IF(ISNUMBER(FIND("NONE",Worksheet!BJ451)),"",Worksheet!BJ451))</f>
        <v xml:space="preserve">7 </v>
      </c>
      <c r="F45" s="2459"/>
      <c r="G45" s="2467"/>
      <c r="H45" s="2440" t="s">
        <v>59</v>
      </c>
      <c r="I45" s="2441"/>
      <c r="J45" s="2441"/>
      <c r="K45" s="2468" t="str">
        <f>CONCATENATE(Worksheet!BT451," ",IF(ISNUMBER(FIND("NONE",Worksheet!BW451)),"",Worksheet!BW451))</f>
        <v>2 TSRA</v>
      </c>
      <c r="L45" s="2468"/>
      <c r="M45" s="2469"/>
      <c r="N45" s="2448" t="s">
        <v>60</v>
      </c>
      <c r="O45" s="2441"/>
      <c r="P45" s="2441"/>
      <c r="Q45" s="2459" t="str">
        <f>CONCATENATE(Worksheet!CH451," ",IF(ISNUMBER(FIND("NONE",Worksheet!CK451)),"",Worksheet!CK451))</f>
        <v xml:space="preserve">7 </v>
      </c>
      <c r="R45" s="2459"/>
      <c r="S45" s="2467"/>
      <c r="T45" s="2440" t="s">
        <v>59</v>
      </c>
      <c r="U45" s="2441"/>
      <c r="V45" s="2441"/>
      <c r="W45" s="2459" t="str">
        <f>CONCATENATE(Worksheet!CU451," ",IF(ISNUMBER(FIND("NONE",Worksheet!CX451)),"",Worksheet!CX451))</f>
        <v>3 TSRA</v>
      </c>
      <c r="X45" s="2459"/>
      <c r="Y45" s="2460"/>
      <c r="Z45" s="2448" t="s">
        <v>60</v>
      </c>
      <c r="AA45" s="2441"/>
      <c r="AB45" s="2441"/>
      <c r="AC45" s="2459" t="str">
        <f>CONCATENATE(Worksheet!DI451," ",IF(ISNUMBER(FIND("NONE",Worksheet!DL451)),"",Worksheet!DL451))</f>
        <v xml:space="preserve">7 </v>
      </c>
      <c r="AD45" s="2459"/>
      <c r="AE45" s="2467"/>
      <c r="AF45" s="2440" t="s">
        <v>59</v>
      </c>
      <c r="AG45" s="2441"/>
      <c r="AH45" s="2441"/>
      <c r="AI45" s="2459" t="str">
        <f>CONCATENATE(Worksheet!DV451," ",IF(ISNUMBER(FIND("NONE",Worksheet!DY451)),"",Worksheet!DY451))</f>
        <v>4 TSRA</v>
      </c>
      <c r="AJ45" s="2459"/>
      <c r="AK45" s="2460"/>
      <c r="AL45" s="2448" t="s">
        <v>60</v>
      </c>
      <c r="AM45" s="2441"/>
      <c r="AN45" s="2441"/>
      <c r="AO45" s="2459" t="str">
        <f>CONCATENATE(Worksheet!EJ451," ",IF(ISNUMBER(FIND("NONE",Worksheet!EM451)),"",Worksheet!EM451))</f>
        <v xml:space="preserve">7 </v>
      </c>
      <c r="AP45" s="2459"/>
      <c r="AQ45" s="2467"/>
      <c r="AR45" s="2440" t="s">
        <v>59</v>
      </c>
      <c r="AS45" s="2441"/>
      <c r="AT45" s="2441"/>
      <c r="AU45" s="2459" t="str">
        <f>CONCATENATE(Worksheet!EW451," ",IF(ISNUMBER(FIND("NONE",Worksheet!EZ451)),"",Worksheet!EZ451))</f>
        <v xml:space="preserve">7 </v>
      </c>
      <c r="AV45" s="2459"/>
      <c r="AW45" s="2493"/>
    </row>
    <row r="46" spans="2:53" ht="12" customHeight="1">
      <c r="B46" s="2442" t="s">
        <v>61</v>
      </c>
      <c r="C46" s="2441"/>
      <c r="D46" s="2441"/>
      <c r="E46" s="2443" t="str">
        <f>IF(Worksheet!BG452="","NONE",Worksheet!BG452)</f>
        <v>NONE</v>
      </c>
      <c r="F46" s="2443"/>
      <c r="G46" s="2444"/>
      <c r="H46" s="2445" t="s">
        <v>61</v>
      </c>
      <c r="I46" s="2446"/>
      <c r="J46" s="2446"/>
      <c r="K46" s="2443">
        <f>IF(Worksheet!BT452="","NONE",Worksheet!BT452)</f>
        <v>30</v>
      </c>
      <c r="L46" s="2443"/>
      <c r="M46" s="2447"/>
      <c r="N46" s="2448" t="s">
        <v>62</v>
      </c>
      <c r="O46" s="2441"/>
      <c r="P46" s="2441"/>
      <c r="Q46" s="2443" t="str">
        <f>IF(Worksheet!CH452="","NONE",Worksheet!CH452)</f>
        <v>NONE</v>
      </c>
      <c r="R46" s="2443"/>
      <c r="S46" s="2444"/>
      <c r="T46" s="2445" t="s">
        <v>61</v>
      </c>
      <c r="U46" s="2446"/>
      <c r="V46" s="2446"/>
      <c r="W46" s="2443">
        <f>IF(Worksheet!CU452="","NONE",Worksheet!CU452)</f>
        <v>40</v>
      </c>
      <c r="X46" s="2443"/>
      <c r="Y46" s="2447"/>
      <c r="Z46" s="2448" t="s">
        <v>62</v>
      </c>
      <c r="AA46" s="2441"/>
      <c r="AB46" s="2441"/>
      <c r="AC46" s="2443" t="str">
        <f>IF(Worksheet!DI452="","NONE",Worksheet!DI452)</f>
        <v>NONE</v>
      </c>
      <c r="AD46" s="2443"/>
      <c r="AE46" s="2444"/>
      <c r="AF46" s="2445" t="s">
        <v>61</v>
      </c>
      <c r="AG46" s="2446"/>
      <c r="AH46" s="2446"/>
      <c r="AI46" s="2443">
        <f>IF(Worksheet!DV452="","NONE",Worksheet!DV452)</f>
        <v>40</v>
      </c>
      <c r="AJ46" s="2443"/>
      <c r="AK46" s="2447"/>
      <c r="AL46" s="2448" t="s">
        <v>62</v>
      </c>
      <c r="AM46" s="2441"/>
      <c r="AN46" s="2441"/>
      <c r="AO46" s="2443" t="str">
        <f>IF(Worksheet!EJ452="","NONE",Worksheet!EJ452)</f>
        <v>NONE</v>
      </c>
      <c r="AP46" s="2443"/>
      <c r="AQ46" s="2444"/>
      <c r="AR46" s="2445" t="s">
        <v>61</v>
      </c>
      <c r="AS46" s="2446"/>
      <c r="AT46" s="2446"/>
      <c r="AU46" s="2443" t="str">
        <f>IF(Worksheet!EW452="","NONE",Worksheet!EW452)</f>
        <v>NONE</v>
      </c>
      <c r="AV46" s="2443"/>
      <c r="AW46" s="2494"/>
    </row>
    <row r="47" spans="2:53" ht="12" customHeight="1">
      <c r="B47" s="2483" t="s">
        <v>63</v>
      </c>
      <c r="C47" s="2484"/>
      <c r="D47" s="2485" t="str">
        <f>IF(Worksheet!BL454&gt;0,CONCATENATE(Worksheet!BH454,TEXT(Worksheet!BJ454,"00"),"G",TEXT(Worksheet!BL454,"00"),"KT"),CONCATENATE(Worksheet!BH454,TEXT(Worksheet!BJ454,"00"),"KT"))</f>
        <v>23004KT</v>
      </c>
      <c r="E47" s="2485"/>
      <c r="F47" s="2485"/>
      <c r="G47" s="2491"/>
      <c r="H47" s="2488" t="s">
        <v>63</v>
      </c>
      <c r="I47" s="2484"/>
      <c r="J47" s="2485" t="str">
        <f>IF(Worksheet!BY454&gt;0,CONCATENATE(Worksheet!BU454,TEXT(Worksheet!BW454,"00"),"G",TEXT(Worksheet!BY454,"00"),"KT"),CONCATENATE(Worksheet!BU454,TEXT(Worksheet!BW454,"00"),"KT"))</f>
        <v>25010G15KT</v>
      </c>
      <c r="K47" s="2485"/>
      <c r="L47" s="2485"/>
      <c r="M47" s="2489"/>
      <c r="N47" s="2490" t="s">
        <v>64</v>
      </c>
      <c r="O47" s="2484"/>
      <c r="P47" s="2485" t="str">
        <f>IF(Worksheet!CM454&gt;0,CONCATENATE(Worksheet!CI454,TEXT(Worksheet!CK454,"00"),"G",TEXT(Worksheet!CM454,"00"),"KT"),CONCATENATE(Worksheet!CI454,TEXT(Worksheet!CK454,"00"),"KT"))</f>
        <v>22007KT</v>
      </c>
      <c r="Q47" s="2485"/>
      <c r="R47" s="2485"/>
      <c r="S47" s="2491"/>
      <c r="T47" s="2488" t="s">
        <v>63</v>
      </c>
      <c r="U47" s="2484"/>
      <c r="V47" s="2485" t="str">
        <f>IF(Worksheet!CZ454&gt;0,CONCATENATE(Worksheet!CV454,TEXT(Worksheet!CX454,"00"),"G",TEXT(Worksheet!CZ454,"00"),"KT"),CONCATENATE(Worksheet!CV454,TEXT(Worksheet!CX454,"00"),"KT"))</f>
        <v>26012G20KT</v>
      </c>
      <c r="W47" s="2485"/>
      <c r="X47" s="2485"/>
      <c r="Y47" s="2489"/>
      <c r="Z47" s="2490" t="s">
        <v>64</v>
      </c>
      <c r="AA47" s="2484"/>
      <c r="AB47" s="2485" t="str">
        <f>IF(Worksheet!DN454&gt;0,CONCATENATE(Worksheet!DJ454,TEXT(Worksheet!DL454,"00"),"G",TEXT(Worksheet!DN454,"00"),"KT"),CONCATENATE(Worksheet!DJ454,TEXT(Worksheet!DL454,"00"),"KT"))</f>
        <v>04005KT</v>
      </c>
      <c r="AC47" s="2485"/>
      <c r="AD47" s="2485"/>
      <c r="AE47" s="2491"/>
      <c r="AF47" s="2488" t="s">
        <v>63</v>
      </c>
      <c r="AG47" s="2484"/>
      <c r="AH47" s="2485" t="str">
        <f>IF(Worksheet!EA454&gt;0,CONCATENATE(Worksheet!DW454,TEXT(Worksheet!DY454,"00"),"G",TEXT(Worksheet!EA454,"00"),"KT"),CONCATENATE(Worksheet!DW454,TEXT(Worksheet!DY454,"00"),"KT"))</f>
        <v>05010G15KT</v>
      </c>
      <c r="AI47" s="2485"/>
      <c r="AJ47" s="2485"/>
      <c r="AK47" s="2489"/>
      <c r="AL47" s="2490" t="s">
        <v>64</v>
      </c>
      <c r="AM47" s="2484"/>
      <c r="AN47" s="2485" t="str">
        <f>IF(Worksheet!EO454&gt;0,CONCATENATE(Worksheet!EK454,TEXT(Worksheet!EM454,"00"),"G",TEXT(Worksheet!EO454,"00"),"KT"),CONCATENATE(Worksheet!EK454,TEXT(Worksheet!EM454,"00"),"KT"))</f>
        <v>04007KT</v>
      </c>
      <c r="AO47" s="2485"/>
      <c r="AP47" s="2485"/>
      <c r="AQ47" s="2491"/>
      <c r="AR47" s="2488" t="s">
        <v>63</v>
      </c>
      <c r="AS47" s="2484"/>
      <c r="AT47" s="2485" t="str">
        <f>IF(Worksheet!FB454&gt;0,CONCATENATE(Worksheet!EX454,TEXT(Worksheet!EZ454,"00"),"G",TEXT(Worksheet!FB454,"00"),"KT"),CONCATENATE(Worksheet!EX454,TEXT(Worksheet!EZ454,"00"),"KT"))</f>
        <v>04007KT</v>
      </c>
      <c r="AU47" s="2485"/>
      <c r="AV47" s="2485"/>
      <c r="AW47" s="2492"/>
    </row>
    <row r="48" spans="2:53" ht="3" customHeight="1" thickBot="1">
      <c r="B48" s="177"/>
      <c r="C48" s="178"/>
      <c r="D48" s="1907"/>
      <c r="E48" s="1907"/>
      <c r="F48" s="1907"/>
      <c r="G48" s="1907"/>
      <c r="H48" s="178"/>
      <c r="I48" s="178"/>
      <c r="J48" s="1907"/>
      <c r="K48" s="1907"/>
      <c r="L48" s="1907"/>
      <c r="M48" s="1907"/>
      <c r="N48" s="179"/>
      <c r="O48" s="178"/>
      <c r="P48" s="1907"/>
      <c r="Q48" s="1907"/>
      <c r="R48" s="1907"/>
      <c r="S48" s="1907"/>
      <c r="T48" s="178"/>
      <c r="U48" s="178"/>
      <c r="V48" s="1907"/>
      <c r="W48" s="1907"/>
      <c r="X48" s="1907"/>
      <c r="Y48" s="1908"/>
      <c r="Z48" s="178"/>
      <c r="AA48" s="178"/>
      <c r="AB48" s="1907"/>
      <c r="AC48" s="1907"/>
      <c r="AD48" s="1907"/>
      <c r="AE48" s="1907"/>
      <c r="AF48" s="178"/>
      <c r="AG48" s="178"/>
      <c r="AH48" s="1907"/>
      <c r="AI48" s="1907"/>
      <c r="AJ48" s="1907"/>
      <c r="AK48" s="1907"/>
      <c r="AL48" s="179"/>
      <c r="AM48" s="178"/>
      <c r="AN48" s="1907"/>
      <c r="AO48" s="1907"/>
      <c r="AP48" s="1907"/>
      <c r="AQ48" s="1907"/>
      <c r="AR48" s="178"/>
      <c r="AS48" s="178"/>
      <c r="AT48" s="1907"/>
      <c r="AU48" s="1907"/>
      <c r="AV48" s="1907"/>
      <c r="AW48" s="180"/>
    </row>
    <row r="49" spans="2:53" ht="12.75" customHeight="1" thickBot="1">
      <c r="B49" s="209" t="s">
        <v>100</v>
      </c>
      <c r="C49" s="63"/>
      <c r="D49" s="64"/>
      <c r="E49" s="400" t="str">
        <f>CONCATENATE(TEXT(5/9*(Worksheet!BJ457-32),"0"),"C (",Worksheet!BJ457,"F)")</f>
        <v>34C (94F)</v>
      </c>
      <c r="F49" s="401" t="str">
        <f>CONCATENATE(TEXT(5/9*(Worksheet!BP457-32),"0"),"C (",Worksheet!BP457,"F)")</f>
        <v>23C (74F)</v>
      </c>
      <c r="G49" s="65"/>
      <c r="H49" s="182"/>
      <c r="I49" s="183"/>
      <c r="J49" s="210" t="str">
        <f>IF(Worksheet!AM6="summer","MAX WBGT:","AM WCF:")</f>
        <v>MAX WBGT:</v>
      </c>
      <c r="K49" s="2821" t="str">
        <f>IF(Worksheet!AQ6="Wind Chill",IF(Worksheet!BJ454=0,(IF(Worksheet!BW457="",Worksheet!BP457,Worksheet!BW457)),IF((IF(Worksheet!BW457="",Worksheet!BP457,Worksheet!BW457))&lt;56,35.74+(0.6215*(IF(Worksheet!BW457="",Worksheet!BP457,Worksheet!BW457)))-(35.75*(Worksheet!BJ454^0.16))+(0.4275*(IF(Worksheet!BW457="",Worksheet!BP457,Worksheet!BW457))*(Worksheet!BJ454^0.16)),"NA")),IF(Worksheet!AQ6="WBGT",IF(Worksheet!BJ457&gt;89,"BLACK",IF(AND(Worksheet!BJ457&lt;90,Worksheet!BJ457&gt;87),"RED",IF(AND(Worksheet!BJ457&lt;88,Worksheet!BJ457&gt;84),"YELLOW",IF(AND(Worksheet!BJ457&lt;85,Worksheet!BJ457&gt;81),"GREEN",IF(AND(Worksheet!BJ457&lt;82,Worksheet!BJ457&gt;77),"WHITE","(NONE)")))))))</f>
        <v>BLACK</v>
      </c>
      <c r="L49" s="2822"/>
      <c r="M49" s="185"/>
      <c r="N49" s="211" t="s">
        <v>101</v>
      </c>
      <c r="O49" s="63"/>
      <c r="P49" s="64"/>
      <c r="Q49" s="402" t="str">
        <f>CONCATENATE(TEXT(5/9*(Worksheet!CK457-32),"0"),"C (",Worksheet!CK457,"F)")</f>
        <v>33C (91F)</v>
      </c>
      <c r="R49" s="401" t="str">
        <f>CONCATENATE(TEXT(5/9*(Worksheet!CQ457-32),"0"),"C (",Worksheet!CQ457,"F)")</f>
        <v>23C (74F)</v>
      </c>
      <c r="S49" s="65"/>
      <c r="T49" s="182"/>
      <c r="U49" s="183"/>
      <c r="V49" s="210" t="str">
        <f>IF(Worksheet!AM6="summer","MAX WBGT:","AM WCF:")</f>
        <v>MAX WBGT:</v>
      </c>
      <c r="W49" s="2821" t="str">
        <f>IF(Worksheet!AQ6="Wind Chill",IF(Worksheet!CK454=0,(IF(Worksheet!CX457="",Worksheet!CQ457,Worksheet!CX457)),IF((IF(Worksheet!CX457="",Worksheet!CQ457,Worksheet!CX457))&lt;56,35.74+(0.6215*(IF(Worksheet!CX457="",Worksheet!CQ457,Worksheet!CX457)))-(35.75*(Worksheet!CK454^0.16))+(0.4275*(IF(Worksheet!CX457="",Worksheet!CQ457,Worksheet!CX457))*(Worksheet!CK454^0.16)),"NA")),IF(Worksheet!AQ6="WBGT",IF(Worksheet!CK457&gt;89,"BLACK",IF(AND(Worksheet!CK457&lt;90,Worksheet!CK457&gt;87),"RED",IF(AND(Worksheet!CK457&lt;88,Worksheet!CK457&gt;84),"YELLOW",IF(AND(Worksheet!CK457&lt;85,Worksheet!CK457&gt;81),"GREEN",IF(AND(Worksheet!CK457&lt;82,Worksheet!CK457&gt;77),"WHITE","(NONE)")))))))</f>
        <v>BLACK</v>
      </c>
      <c r="X49" s="2822"/>
      <c r="Y49" s="185"/>
      <c r="Z49" s="211" t="s">
        <v>101</v>
      </c>
      <c r="AA49" s="63"/>
      <c r="AB49" s="64"/>
      <c r="AC49" s="402" t="str">
        <f>CONCATENATE(TEXT(5/9*(Worksheet!DL457-32),"0"),"C (",Worksheet!DL457,"F)")</f>
        <v>28C (83F)</v>
      </c>
      <c r="AD49" s="401" t="str">
        <f>CONCATENATE(TEXT(5/9*(Worksheet!DR457-32),"0"),"C (",Worksheet!DR457,"F)")</f>
        <v>21C (69F)</v>
      </c>
      <c r="AE49" s="65"/>
      <c r="AF49" s="182"/>
      <c r="AG49" s="188"/>
      <c r="AH49" s="210" t="str">
        <f>IF(Worksheet!AM6="summer","MAX WBGT:","AM WCF:")</f>
        <v>MAX WBGT:</v>
      </c>
      <c r="AI49" s="2821" t="str">
        <f>IF(Worksheet!AQ6="Wind Chill",IF(Worksheet!DL454=0,(IF(Worksheet!DY457="",Worksheet!DR457,Worksheet!DY457)),IF((IF(Worksheet!DY457="",Worksheet!DR457,Worksheet!DY457))&lt;56,35.74+(0.6215*(IF(Worksheet!DY457="",Worksheet!DR457,Worksheet!DY457)))-(35.75*(Worksheet!DL454^0.16))+(0.4275*(IF(Worksheet!DY457="",Worksheet!DR457,Worksheet!DY457))*(Worksheet!DL454^0.16)),"NA")),IF(Worksheet!AQ6="WBGT",IF(Worksheet!DL457&gt;89,"BLACK",IF(AND(Worksheet!DL457&lt;90,Worksheet!DL457&gt;87),"RED",IF(AND(Worksheet!DL457&lt;88,Worksheet!DL457&gt;84),"YELLOW",IF(AND(Worksheet!DL457&lt;85,Worksheet!DL457&gt;81),"GREEN",IF(AND(Worksheet!DL457&lt;82,Worksheet!DL457&gt;77),"WHITE","(NONE)")))))))</f>
        <v>GREEN</v>
      </c>
      <c r="AJ49" s="2822"/>
      <c r="AK49" s="185"/>
      <c r="AL49" s="211" t="s">
        <v>101</v>
      </c>
      <c r="AM49" s="63"/>
      <c r="AN49" s="64"/>
      <c r="AO49" s="402" t="str">
        <f>CONCATENATE(TEXT(5/9*(Worksheet!EM457-32),"0"),"C (",Worksheet!EM457,"F)")</f>
        <v>30C (86F)</v>
      </c>
      <c r="AP49" s="401" t="str">
        <f>CONCATENATE(TEXT(5/9*(Worksheet!ES457-32),"0"),"C (",Worksheet!ES457,"F)")</f>
        <v>17C (62F)</v>
      </c>
      <c r="AQ49" s="65"/>
      <c r="AR49" s="182"/>
      <c r="AS49" s="188"/>
      <c r="AT49" s="210" t="str">
        <f>IF(Worksheet!AM6="summer","MAX WBGT:","AM WCF:")</f>
        <v>MAX WBGT:</v>
      </c>
      <c r="AU49" s="2821" t="str">
        <f>IF(Worksheet!AQ6="Wind Chill",IF(Worksheet!EM454=0,(IF(Worksheet!EZ457="",Worksheet!ES457,Worksheet!EZ457)),IF((IF(Worksheet!EZ457="",Worksheet!ES457,Worksheet!EZ457))&lt;56,35.74+(0.6215*(IF(Worksheet!EZ457="",Worksheet!ES457,Worksheet!EZ457)))-(35.75*(Worksheet!EM454^0.16))+(0.4275*(IF(Worksheet!EZ457="",Worksheet!ES457,Worksheet!EZ457))*(Worksheet!EM454^0.16)),"NA")),IF(Worksheet!AQ6="WBGT",IF(Worksheet!EM457&gt;89,"BLACK",IF(AND(Worksheet!EM457&lt;90,Worksheet!EM457&gt;87),"RED",IF(AND(Worksheet!EM457&lt;88,Worksheet!EM457&gt;84),"YELLOW",IF(AND(Worksheet!EM457&lt;85,Worksheet!EM457&gt;81),"GREEN",IF(AND(Worksheet!EM457&lt;82,Worksheet!EM457&gt;77),"WHITE","(NONE)")))))))</f>
        <v>YELLOW</v>
      </c>
      <c r="AV49" s="2822"/>
      <c r="AW49" s="189"/>
    </row>
    <row r="50" spans="2:53" ht="3" customHeight="1">
      <c r="B50" s="177"/>
      <c r="C50" s="1906"/>
      <c r="D50" s="1907"/>
      <c r="E50" s="1907"/>
      <c r="F50" s="1907"/>
      <c r="G50" s="1907"/>
      <c r="H50" s="178"/>
      <c r="I50" s="178"/>
      <c r="J50" s="190"/>
      <c r="K50" s="190"/>
      <c r="L50" s="1907"/>
      <c r="M50" s="1907"/>
      <c r="N50" s="179"/>
      <c r="O50" s="178"/>
      <c r="P50" s="1907"/>
      <c r="Q50" s="1907"/>
      <c r="R50" s="1907"/>
      <c r="S50" s="1907"/>
      <c r="T50" s="178"/>
      <c r="U50" s="178"/>
      <c r="V50" s="1907"/>
      <c r="W50" s="1907"/>
      <c r="X50" s="1907"/>
      <c r="Y50" s="1908"/>
      <c r="Z50" s="178"/>
      <c r="AA50" s="178"/>
      <c r="AB50" s="1907"/>
      <c r="AC50" s="1907"/>
      <c r="AD50" s="1907"/>
      <c r="AE50" s="1907"/>
      <c r="AF50" s="178"/>
      <c r="AG50" s="178"/>
      <c r="AH50" s="1907"/>
      <c r="AI50" s="1907"/>
      <c r="AJ50" s="1907"/>
      <c r="AK50" s="1907"/>
      <c r="AL50" s="179"/>
      <c r="AM50" s="178"/>
      <c r="AN50" s="1907"/>
      <c r="AO50" s="1907"/>
      <c r="AP50" s="1907"/>
      <c r="AQ50" s="1907"/>
      <c r="AR50" s="178"/>
      <c r="AS50" s="178"/>
      <c r="AT50" s="1907"/>
      <c r="AU50" s="1907"/>
      <c r="AV50" s="1907"/>
      <c r="AW50" s="180"/>
    </row>
    <row r="51" spans="2:53" ht="11.25" customHeight="1">
      <c r="B51" s="2481" t="s">
        <v>102</v>
      </c>
      <c r="C51" s="2476"/>
      <c r="D51" s="2476"/>
      <c r="E51" s="2476"/>
      <c r="F51" s="2476"/>
      <c r="G51" s="2476"/>
      <c r="H51" s="2476"/>
      <c r="I51" s="2476"/>
      <c r="J51" s="2476"/>
      <c r="K51" s="2476"/>
      <c r="L51" s="2476"/>
      <c r="M51" s="2476"/>
      <c r="N51" s="2475" t="s">
        <v>102</v>
      </c>
      <c r="O51" s="2476"/>
      <c r="P51" s="2476"/>
      <c r="Q51" s="2476"/>
      <c r="R51" s="2476"/>
      <c r="S51" s="2476"/>
      <c r="T51" s="2476"/>
      <c r="U51" s="2476"/>
      <c r="V51" s="2476"/>
      <c r="W51" s="2476"/>
      <c r="X51" s="2476"/>
      <c r="Y51" s="2482"/>
      <c r="Z51" s="2476" t="s">
        <v>102</v>
      </c>
      <c r="AA51" s="2476"/>
      <c r="AB51" s="2476"/>
      <c r="AC51" s="2476"/>
      <c r="AD51" s="2476"/>
      <c r="AE51" s="2476"/>
      <c r="AF51" s="2476"/>
      <c r="AG51" s="2476"/>
      <c r="AH51" s="2476"/>
      <c r="AI51" s="2476"/>
      <c r="AJ51" s="2476"/>
      <c r="AK51" s="2476"/>
      <c r="AL51" s="2475" t="s">
        <v>102</v>
      </c>
      <c r="AM51" s="2476"/>
      <c r="AN51" s="2476"/>
      <c r="AO51" s="2476"/>
      <c r="AP51" s="2476"/>
      <c r="AQ51" s="2476"/>
      <c r="AR51" s="2476"/>
      <c r="AS51" s="2476"/>
      <c r="AT51" s="2476"/>
      <c r="AU51" s="2476"/>
      <c r="AV51" s="2476"/>
      <c r="AW51" s="2477"/>
    </row>
    <row r="52" spans="2:53" ht="9" customHeight="1">
      <c r="B52" s="2478" t="s">
        <v>9</v>
      </c>
      <c r="C52" s="2479"/>
      <c r="D52" s="2479"/>
      <c r="E52" s="2463">
        <f>LOOKUP(B43,'Light Data '!A3:A381,'Light Data '!B3:B381)</f>
        <v>44749.22152777778</v>
      </c>
      <c r="F52" s="2463"/>
      <c r="G52" s="2463"/>
      <c r="H52" s="2824" t="s">
        <v>11</v>
      </c>
      <c r="I52" s="2824"/>
      <c r="J52" s="2824"/>
      <c r="K52" s="2463">
        <f>LOOKUP(B43,'Light Data '!A3:A381,'Light Data '!F3:F381)</f>
        <v>44749.609027777777</v>
      </c>
      <c r="L52" s="2463"/>
      <c r="M52" s="2463"/>
      <c r="N52" s="2480" t="s">
        <v>9</v>
      </c>
      <c r="O52" s="2479"/>
      <c r="P52" s="2479"/>
      <c r="Q52" s="2463">
        <f>LOOKUP(N43,'Light Data '!A3:A381,'Light Data '!B3:B381)</f>
        <v>44750.22152777778</v>
      </c>
      <c r="R52" s="2463"/>
      <c r="S52" s="2463"/>
      <c r="T52" s="2470" t="s">
        <v>11</v>
      </c>
      <c r="U52" s="2470"/>
      <c r="V52" s="2470"/>
      <c r="W52" s="2463">
        <f>LOOKUP(N43,'Light Data '!A3:A381,'Light Data '!F3:F381)</f>
        <v>44750.65625</v>
      </c>
      <c r="X52" s="2463"/>
      <c r="Y52" s="2823"/>
      <c r="Z52" s="2479" t="s">
        <v>9</v>
      </c>
      <c r="AA52" s="2479"/>
      <c r="AB52" s="2479"/>
      <c r="AC52" s="2463">
        <f>LOOKUP(Z43,'Light Data '!A3:A381,'Light Data '!B3:B381)</f>
        <v>44751.222222222226</v>
      </c>
      <c r="AD52" s="2463"/>
      <c r="AE52" s="2463"/>
      <c r="AF52" s="2470" t="s">
        <v>11</v>
      </c>
      <c r="AG52" s="2470"/>
      <c r="AH52" s="2470"/>
      <c r="AI52" s="2463">
        <f>LOOKUP(Z43,'Light Data '!A3:A381,'Light Data '!F3:F381)</f>
        <v>44751.706944444442</v>
      </c>
      <c r="AJ52" s="2463"/>
      <c r="AK52" s="2823"/>
      <c r="AL52" s="2480" t="s">
        <v>9</v>
      </c>
      <c r="AM52" s="2479"/>
      <c r="AN52" s="2479"/>
      <c r="AO52" s="2463">
        <f>LOOKUP(AL43,'Light Data '!A3:A381,'Light Data '!B3:B381)</f>
        <v>44752.222916666666</v>
      </c>
      <c r="AP52" s="2463"/>
      <c r="AQ52" s="2463"/>
      <c r="AR52" s="2470" t="s">
        <v>11</v>
      </c>
      <c r="AS52" s="2470"/>
      <c r="AT52" s="2470"/>
      <c r="AU52" s="2463">
        <f>LOOKUP(AL43,'Light Data '!A3:A381,'Light Data '!F3:F381)</f>
        <v>44752.759027777778</v>
      </c>
      <c r="AV52" s="2463"/>
      <c r="AW52" s="2471"/>
    </row>
    <row r="53" spans="2:53" ht="9" customHeight="1">
      <c r="B53" s="2461" t="s">
        <v>10</v>
      </c>
      <c r="C53" s="2462"/>
      <c r="D53" s="2462"/>
      <c r="E53" s="2463">
        <f>LOOKUP(B43,'Light Data '!A3:A381,'Light Data '!C3:C381)</f>
        <v>44749.269444444442</v>
      </c>
      <c r="F53" s="2463"/>
      <c r="G53" s="2463"/>
      <c r="H53" s="2824" t="s">
        <v>13</v>
      </c>
      <c r="I53" s="2824"/>
      <c r="J53" s="2824"/>
      <c r="K53" s="2463">
        <f>LOOKUP(B43,'Light Data '!A3:A381,'Light Data '!G3:G381)</f>
        <v>44749.066666666666</v>
      </c>
      <c r="L53" s="2463"/>
      <c r="M53" s="2463"/>
      <c r="N53" s="2464" t="s">
        <v>10</v>
      </c>
      <c r="O53" s="2462"/>
      <c r="P53" s="2462"/>
      <c r="Q53" s="2463">
        <f>LOOKUP(N43,'Light Data '!A3:A381,'Light Data '!C3:C381)</f>
        <v>44750.270138888889</v>
      </c>
      <c r="R53" s="2463"/>
      <c r="S53" s="2463"/>
      <c r="T53" s="2470" t="s">
        <v>13</v>
      </c>
      <c r="U53" s="2470"/>
      <c r="V53" s="2470"/>
      <c r="W53" s="2463">
        <f>LOOKUP(N43,'Light Data '!A3:A381,'Light Data '!G3:G381)</f>
        <v>44750.085416666669</v>
      </c>
      <c r="X53" s="2463"/>
      <c r="Y53" s="2823"/>
      <c r="Z53" s="2462" t="s">
        <v>10</v>
      </c>
      <c r="AA53" s="2462"/>
      <c r="AB53" s="2462"/>
      <c r="AC53" s="2463">
        <f>LOOKUP(Z43,'Light Data '!A3:A381,'Light Data '!C3:C381)</f>
        <v>44751.270138888889</v>
      </c>
      <c r="AD53" s="2463"/>
      <c r="AE53" s="2463"/>
      <c r="AF53" s="2470" t="s">
        <v>13</v>
      </c>
      <c r="AG53" s="2470"/>
      <c r="AH53" s="2470"/>
      <c r="AI53" s="2463">
        <f>LOOKUP(Z43,'Light Data '!A3:A381,'Light Data '!G3:G381)</f>
        <v>44751.106250000004</v>
      </c>
      <c r="AJ53" s="2463"/>
      <c r="AK53" s="2823"/>
      <c r="AL53" s="2464" t="s">
        <v>10</v>
      </c>
      <c r="AM53" s="2462"/>
      <c r="AN53" s="2462"/>
      <c r="AO53" s="2463">
        <f>LOOKUP(AL43,'Light Data '!A3:A381,'Light Data '!C3:C381)</f>
        <v>44752.270833333336</v>
      </c>
      <c r="AP53" s="2463"/>
      <c r="AQ53" s="2463"/>
      <c r="AR53" s="2470" t="s">
        <v>13</v>
      </c>
      <c r="AS53" s="2470"/>
      <c r="AT53" s="2470"/>
      <c r="AU53" s="2463">
        <f>LOOKUP(AL43,'Light Data '!A3:A381,'Light Data '!G3:G381)</f>
        <v>44752.131249999999</v>
      </c>
      <c r="AV53" s="2463"/>
      <c r="AW53" s="2471"/>
    </row>
    <row r="54" spans="2:53" ht="9" customHeight="1">
      <c r="B54" s="2461" t="s">
        <v>12</v>
      </c>
      <c r="C54" s="2462"/>
      <c r="D54" s="2462"/>
      <c r="E54" s="2463">
        <f>LOOKUP(B43,'Light Data '!A3:A381,'Light Data '!D3:D381)</f>
        <v>44749.881249999999</v>
      </c>
      <c r="F54" s="2463"/>
      <c r="G54" s="2463"/>
      <c r="H54" s="2824" t="s">
        <v>89</v>
      </c>
      <c r="I54" s="2824"/>
      <c r="J54" s="2824"/>
      <c r="K54" s="2472">
        <f>LOOKUP(B43,'Light Data '!A3:A381,'Light Data '!H3:H381)</f>
        <v>51</v>
      </c>
      <c r="L54" s="2472"/>
      <c r="M54" s="2473"/>
      <c r="N54" s="2464" t="s">
        <v>12</v>
      </c>
      <c r="O54" s="2462"/>
      <c r="P54" s="2462"/>
      <c r="Q54" s="2463">
        <f>LOOKUP(N43,'Light Data '!A3:A381,'Light Data '!D3:D381)</f>
        <v>44750.881249999999</v>
      </c>
      <c r="R54" s="2463"/>
      <c r="S54" s="2463"/>
      <c r="T54" s="2470" t="s">
        <v>89</v>
      </c>
      <c r="U54" s="2470"/>
      <c r="V54" s="2470"/>
      <c r="W54" s="2472">
        <f>LOOKUP(N43,'Light Data '!A3:A381,'Light Data '!H3:H381)</f>
        <v>62</v>
      </c>
      <c r="X54" s="2472"/>
      <c r="Y54" s="2473"/>
      <c r="Z54" s="2462" t="s">
        <v>12</v>
      </c>
      <c r="AA54" s="2462"/>
      <c r="AB54" s="2462"/>
      <c r="AC54" s="2463">
        <f>LOOKUP(Z43,'Light Data '!A3:A381,'Light Data '!D3:D381)</f>
        <v>44751.881249999999</v>
      </c>
      <c r="AD54" s="2463"/>
      <c r="AE54" s="2463"/>
      <c r="AF54" s="2470" t="s">
        <v>89</v>
      </c>
      <c r="AG54" s="2470"/>
      <c r="AH54" s="2470"/>
      <c r="AI54" s="2472">
        <f>LOOKUP(Z43,'Light Data '!A3:A381,'Light Data '!H3:H381)</f>
        <v>73</v>
      </c>
      <c r="AJ54" s="2472"/>
      <c r="AK54" s="2473"/>
      <c r="AL54" s="2464" t="s">
        <v>12</v>
      </c>
      <c r="AM54" s="2462"/>
      <c r="AN54" s="2462"/>
      <c r="AO54" s="2463">
        <f>LOOKUP(AL43,'Light Data '!A3:A381,'Light Data '!D3:D381)</f>
        <v>44752.880555555559</v>
      </c>
      <c r="AP54" s="2463"/>
      <c r="AQ54" s="2463"/>
      <c r="AR54" s="2470" t="s">
        <v>89</v>
      </c>
      <c r="AS54" s="2470"/>
      <c r="AT54" s="2470"/>
      <c r="AU54" s="2472">
        <f>LOOKUP(AL43,'Light Data '!A3:A381,'Light Data '!H3:H381)</f>
        <v>82</v>
      </c>
      <c r="AV54" s="2472"/>
      <c r="AW54" s="2474"/>
    </row>
    <row r="55" spans="2:53" ht="9" customHeight="1" thickBot="1">
      <c r="B55" s="2461" t="s">
        <v>14</v>
      </c>
      <c r="C55" s="2462"/>
      <c r="D55" s="2462"/>
      <c r="E55" s="2463">
        <f>LOOKUP(B43,'Light Data '!A3:A381,'Light Data '!E3:E381)</f>
        <v>44749.929861111108</v>
      </c>
      <c r="F55" s="2463"/>
      <c r="G55" s="2463"/>
      <c r="H55" s="191"/>
      <c r="I55" s="191"/>
      <c r="J55" s="191"/>
      <c r="K55" s="191"/>
      <c r="L55" s="191"/>
      <c r="M55" s="191"/>
      <c r="N55" s="2464" t="s">
        <v>14</v>
      </c>
      <c r="O55" s="2462"/>
      <c r="P55" s="2462"/>
      <c r="Q55" s="2463">
        <f>LOOKUP(N43,'Light Data '!A3:A381,'Light Data '!E3:E381)</f>
        <v>44750.929166666661</v>
      </c>
      <c r="R55" s="2463"/>
      <c r="S55" s="2463"/>
      <c r="T55" s="191"/>
      <c r="U55" s="191"/>
      <c r="V55" s="191"/>
      <c r="W55" s="191"/>
      <c r="X55" s="191"/>
      <c r="Y55" s="192"/>
      <c r="Z55" s="2462" t="s">
        <v>14</v>
      </c>
      <c r="AA55" s="2462"/>
      <c r="AB55" s="2462"/>
      <c r="AC55" s="2463">
        <f>LOOKUP(Z43,'Light Data '!A3:A381,'Light Data '!E3:E381)</f>
        <v>44751.929166666661</v>
      </c>
      <c r="AD55" s="2463"/>
      <c r="AE55" s="2463"/>
      <c r="AF55" s="191"/>
      <c r="AG55" s="191"/>
      <c r="AH55" s="191"/>
      <c r="AI55" s="191"/>
      <c r="AJ55" s="191"/>
      <c r="AK55" s="191"/>
      <c r="AL55" s="2464" t="s">
        <v>14</v>
      </c>
      <c r="AM55" s="2462"/>
      <c r="AN55" s="2462"/>
      <c r="AO55" s="2463">
        <f>LOOKUP(AL43,'Light Data '!A3:A381,'Light Data '!E3:E381)</f>
        <v>44752.929166666661</v>
      </c>
      <c r="AP55" s="2463"/>
      <c r="AQ55" s="2463"/>
      <c r="AR55" s="191"/>
      <c r="AS55" s="191"/>
      <c r="AT55" s="191"/>
      <c r="AU55" s="191"/>
      <c r="AV55" s="191"/>
      <c r="AW55" s="193"/>
    </row>
    <row r="56" spans="2:53" s="55" customFormat="1" ht="12" customHeight="1" thickBot="1">
      <c r="B56" s="194" t="s">
        <v>103</v>
      </c>
      <c r="C56" s="195"/>
      <c r="D56" s="195"/>
      <c r="E56" s="195"/>
      <c r="F56" s="195"/>
      <c r="G56" s="196" t="s">
        <v>104</v>
      </c>
      <c r="H56" s="197" t="s">
        <v>69</v>
      </c>
      <c r="I56" s="196"/>
      <c r="J56" s="197"/>
      <c r="K56" s="197"/>
      <c r="L56" s="196"/>
      <c r="M56" s="197"/>
      <c r="N56" s="197"/>
      <c r="O56" s="197"/>
      <c r="P56" s="195"/>
      <c r="Q56" s="195"/>
      <c r="R56" s="195"/>
      <c r="S56" s="195"/>
      <c r="T56" s="196" t="s">
        <v>70</v>
      </c>
      <c r="U56" s="197" t="s">
        <v>71</v>
      </c>
      <c r="V56" s="196"/>
      <c r="W56" s="197"/>
      <c r="X56" s="197"/>
      <c r="Y56" s="196"/>
      <c r="Z56" s="196" t="s">
        <v>72</v>
      </c>
      <c r="AA56" s="1896" t="s">
        <v>73</v>
      </c>
      <c r="AB56" s="1580"/>
      <c r="AC56" s="1583"/>
      <c r="AD56" s="1583"/>
      <c r="AE56" s="1580" t="s">
        <v>105</v>
      </c>
      <c r="AF56" s="1583"/>
      <c r="AG56" s="1583"/>
      <c r="AH56" s="1583"/>
      <c r="AI56" s="1583"/>
      <c r="AJ56" s="1583"/>
      <c r="AK56" s="1583"/>
      <c r="AL56" s="1583"/>
      <c r="AM56" s="1583"/>
      <c r="AN56" s="1583"/>
      <c r="AO56" s="1582"/>
      <c r="AP56" s="1581"/>
      <c r="AQ56" s="1580" t="s">
        <v>106</v>
      </c>
      <c r="AR56" s="1583"/>
      <c r="AS56" s="1583"/>
      <c r="AT56" s="1583"/>
      <c r="AU56" s="1582"/>
      <c r="AV56" s="1581"/>
      <c r="AW56" s="198"/>
      <c r="AX56" s="199"/>
      <c r="AY56" s="199"/>
      <c r="AZ56" s="199"/>
      <c r="BA56" s="199"/>
    </row>
    <row r="57" spans="2:53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</row>
    <row r="58" spans="2:53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</row>
    <row r="59" spans="2:53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</row>
    <row r="60" spans="2:53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</row>
    <row r="61" spans="2:53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</row>
    <row r="62" spans="2:53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</row>
    <row r="63" spans="2:53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</row>
    <row r="64" spans="2:53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</row>
    <row r="65" spans="2:72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</row>
    <row r="66" spans="2:7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</row>
    <row r="67" spans="2:7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</row>
    <row r="68" spans="2:72" hidden="1"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2160" t="s">
        <v>16</v>
      </c>
      <c r="Q68" s="2161"/>
      <c r="R68" s="2161"/>
      <c r="S68" s="2161"/>
      <c r="T68" s="2161"/>
      <c r="U68" s="2161"/>
      <c r="V68" s="2162"/>
      <c r="W68" s="54"/>
      <c r="X68" s="2160" t="s">
        <v>17</v>
      </c>
      <c r="Y68" s="2161"/>
      <c r="Z68" s="2161"/>
      <c r="AA68" s="2161"/>
      <c r="AB68" s="2161"/>
      <c r="AC68" s="2161"/>
      <c r="AD68" s="1258"/>
      <c r="AE68" s="1192"/>
      <c r="AF68" s="1192"/>
      <c r="AG68" s="1192"/>
      <c r="AH68" s="1192"/>
      <c r="AI68" s="1192"/>
      <c r="AJ68" s="1192"/>
      <c r="AK68" s="1192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</row>
    <row r="69" spans="2:72" hidden="1">
      <c r="B69" s="54"/>
      <c r="C69" s="54"/>
      <c r="D69" s="54"/>
      <c r="E69" s="54"/>
      <c r="F69" s="54"/>
      <c r="G69" s="54"/>
      <c r="H69" s="200"/>
      <c r="I69" s="200"/>
      <c r="J69" s="200"/>
      <c r="K69" s="200"/>
      <c r="L69" s="200"/>
      <c r="M69" s="200"/>
      <c r="N69" s="200"/>
      <c r="O69" s="200"/>
      <c r="P69" s="1151"/>
      <c r="Q69" s="200"/>
      <c r="R69" s="153"/>
      <c r="S69" s="153"/>
      <c r="T69" s="200"/>
      <c r="U69" s="200"/>
      <c r="V69" s="1146"/>
      <c r="W69" s="200"/>
      <c r="X69" s="1194"/>
      <c r="Y69" s="153"/>
      <c r="Z69" s="153"/>
      <c r="AA69" s="2163" t="str">
        <f>$AP$8</f>
        <v>H-60</v>
      </c>
      <c r="AB69" s="2163"/>
      <c r="AC69" s="1192"/>
      <c r="AD69" s="1259"/>
      <c r="AE69" s="153"/>
      <c r="AF69" s="153"/>
      <c r="AG69" s="153"/>
      <c r="AH69" s="153"/>
      <c r="AI69" s="153"/>
      <c r="AJ69" s="153"/>
      <c r="AK69" s="1185"/>
      <c r="AL69" s="153"/>
      <c r="AM69" s="1185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</row>
    <row r="70" spans="2:72" hidden="1">
      <c r="B70" s="54"/>
      <c r="C70" s="54"/>
      <c r="D70" s="54"/>
      <c r="E70" s="54"/>
      <c r="F70" s="54"/>
      <c r="G70" s="54"/>
      <c r="H70" s="200"/>
      <c r="I70" s="200"/>
      <c r="J70" s="200"/>
      <c r="K70" s="200"/>
      <c r="L70" s="200"/>
      <c r="M70" s="200"/>
      <c r="N70" s="200"/>
      <c r="O70" s="200"/>
      <c r="P70" s="1194"/>
      <c r="Q70" s="153" t="s">
        <v>107</v>
      </c>
      <c r="R70" s="153" t="s">
        <v>108</v>
      </c>
      <c r="S70" s="201" t="s">
        <v>109</v>
      </c>
      <c r="T70" s="153" t="s">
        <v>110</v>
      </c>
      <c r="U70" s="2817" t="str">
        <f>AP8&amp;IF(AP14&lt;&gt;""," "&amp;LEFT(AP14,3),"")</f>
        <v>H-60 MED</v>
      </c>
      <c r="V70" s="2818"/>
      <c r="W70" s="202"/>
      <c r="X70" s="2164" t="s">
        <v>18</v>
      </c>
      <c r="Y70" s="2165"/>
      <c r="Z70" s="2165"/>
      <c r="AA70" s="2807" t="str">
        <f>IF($AP$14="","",$AP$14)</f>
        <v>MEDEVAC</v>
      </c>
      <c r="AB70" s="2807"/>
      <c r="AC70" s="1193"/>
      <c r="AD70" s="1260"/>
      <c r="AE70" s="153"/>
      <c r="AF70" s="153"/>
      <c r="AG70" s="153"/>
      <c r="AH70" s="153"/>
      <c r="AI70" s="153"/>
      <c r="AJ70" s="153"/>
      <c r="AK70" s="153"/>
      <c r="AL70" s="153"/>
      <c r="AM70" s="153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</row>
    <row r="71" spans="2:72" hidden="1">
      <c r="B71" s="54"/>
      <c r="C71" s="54"/>
      <c r="D71" s="54"/>
      <c r="E71" s="54"/>
      <c r="F71" s="54"/>
      <c r="G71" s="54"/>
      <c r="H71" s="200" t="s">
        <v>86</v>
      </c>
      <c r="I71" s="200"/>
      <c r="J71" s="200"/>
      <c r="K71" s="200" t="s">
        <v>112</v>
      </c>
      <c r="L71" s="200"/>
      <c r="M71" s="200"/>
      <c r="N71" s="200"/>
      <c r="O71" s="200"/>
      <c r="P71" s="1151"/>
      <c r="Q71" s="200" t="str">
        <f>calc!AX8</f>
        <v>G</v>
      </c>
      <c r="R71" s="200" t="str">
        <f>calc!BA8</f>
        <v>G</v>
      </c>
      <c r="S71" s="200" t="str">
        <f>calc!BE8</f>
        <v>G</v>
      </c>
      <c r="T71" s="200" t="str">
        <f>calc!BD8</f>
        <v>Y</v>
      </c>
      <c r="U71" s="1901" t="str">
        <f>INDEX(calc!$AZ$8:$BI$20,1,MATCH($U$70,calc!AZ6:BI6,0))</f>
        <v>G</v>
      </c>
      <c r="V71" s="1146"/>
      <c r="W71" s="203"/>
      <c r="X71" s="1198">
        <v>1</v>
      </c>
      <c r="Y71" s="62">
        <f>Worksheet!Y291</f>
        <v>1</v>
      </c>
      <c r="Z71" s="200"/>
      <c r="AA71" s="2167" t="str">
        <f>INDEX(MLT!O:P,MATCH(AA69,MLT!B:B,0)+2,IF(OR(AND(AA69="H-60",AA70="MEDEVAC"),AND(AA69="AH-64",AA70&lt;&gt;"")),2,1))</f>
        <v>Y</v>
      </c>
      <c r="AB71" s="2167"/>
      <c r="AC71" s="204"/>
      <c r="AD71" s="1261"/>
      <c r="AE71" s="204"/>
      <c r="AF71" s="204"/>
      <c r="AG71" s="204"/>
      <c r="AH71" s="204"/>
      <c r="AI71" s="204"/>
      <c r="AJ71" s="204"/>
      <c r="AK71" s="204"/>
      <c r="AL71" s="200"/>
      <c r="AM71" s="204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</row>
    <row r="72" spans="2:72" hidden="1">
      <c r="B72" s="54"/>
      <c r="C72" s="54"/>
      <c r="D72" s="54"/>
      <c r="E72" s="54"/>
      <c r="F72" s="54"/>
      <c r="G72" s="54"/>
      <c r="H72" s="200" t="s">
        <v>2799</v>
      </c>
      <c r="I72" s="200"/>
      <c r="J72" s="200"/>
      <c r="K72" s="200" t="s">
        <v>114</v>
      </c>
      <c r="L72" s="200"/>
      <c r="M72" s="200"/>
      <c r="N72" s="200"/>
      <c r="O72" s="200"/>
      <c r="P72" s="1151"/>
      <c r="Q72" s="200" t="str">
        <f>calc!AX9</f>
        <v>G</v>
      </c>
      <c r="R72" s="200" t="str">
        <f>calc!BA9</f>
        <v>G</v>
      </c>
      <c r="S72" s="200" t="str">
        <f>calc!BE9</f>
        <v>G</v>
      </c>
      <c r="T72" s="200" t="str">
        <f>calc!BD9</f>
        <v>Y</v>
      </c>
      <c r="U72" s="1143" t="str">
        <f>INDEX(calc!$AZ$8:$BI$20,2,MATCH($U$70,calc!AZ6:BI6,0))</f>
        <v>G</v>
      </c>
      <c r="V72" s="1146"/>
      <c r="W72" s="203"/>
      <c r="X72" s="1198">
        <v>2</v>
      </c>
      <c r="Y72" s="200"/>
      <c r="Z72" s="200"/>
      <c r="AA72" s="2168" t="str">
        <f>INDEX(MLT!Q:R,MATCH(AA69,MLT!B:B,0)+2,IF(OR(AND(AA69="H-60",AA70="MEDEVAC"),AND(AA69="AH-64",AA70&lt;&gt;"")),2,1))</f>
        <v>R</v>
      </c>
      <c r="AB72" s="2168"/>
      <c r="AC72" s="204"/>
      <c r="AD72" s="1261"/>
      <c r="AE72" s="204"/>
      <c r="AF72" s="204"/>
      <c r="AG72" s="204"/>
      <c r="AH72" s="204"/>
      <c r="AI72" s="204"/>
      <c r="AJ72" s="204"/>
      <c r="AK72" s="204"/>
      <c r="AL72" s="62"/>
      <c r="AM72" s="204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</row>
    <row r="73" spans="2:72" hidden="1">
      <c r="B73" s="54"/>
      <c r="C73" s="54"/>
      <c r="D73" s="54"/>
      <c r="E73" s="54"/>
      <c r="F73" s="54"/>
      <c r="G73" s="54"/>
      <c r="H73" s="200" t="s">
        <v>2803</v>
      </c>
      <c r="I73" s="200"/>
      <c r="J73" s="200"/>
      <c r="K73" s="200" t="s">
        <v>115</v>
      </c>
      <c r="L73" s="200"/>
      <c r="M73" s="200"/>
      <c r="N73" s="200"/>
      <c r="O73" s="200"/>
      <c r="P73" s="1151"/>
      <c r="Q73" s="200" t="str">
        <f>calc!AX10</f>
        <v>G</v>
      </c>
      <c r="R73" s="200" t="str">
        <f>calc!BA10</f>
        <v>G</v>
      </c>
      <c r="S73" s="200" t="str">
        <f>calc!BE10</f>
        <v>G</v>
      </c>
      <c r="T73" s="200" t="str">
        <f>calc!BD10</f>
        <v>R</v>
      </c>
      <c r="U73" s="1143" t="str">
        <f>INDEX(calc!$AZ$8:$BI$20,3,MATCH($U$70,calc!AZ6:BI6,0))</f>
        <v>G</v>
      </c>
      <c r="V73" s="1146"/>
      <c r="W73" s="203"/>
      <c r="X73" s="1198">
        <v>3</v>
      </c>
      <c r="Y73" s="200"/>
      <c r="Z73" s="200"/>
      <c r="AA73" s="2168" t="str">
        <f>INDEX(MLT!S:T,MATCH(AA69,MLT!B:B,0)+2,IF(OR(AND(AA69="H-60",AA70="MEDEVAC"),AND(AA69="AH-64",AA70&lt;&gt;"")),2,1))</f>
        <v>R</v>
      </c>
      <c r="AB73" s="2168"/>
      <c r="AC73" s="204"/>
      <c r="AD73" s="1261"/>
      <c r="AE73" s="204"/>
      <c r="AF73" s="204"/>
      <c r="AG73" s="204"/>
      <c r="AH73" s="204"/>
      <c r="AI73" s="204"/>
      <c r="AJ73" s="204"/>
      <c r="AK73" s="204"/>
      <c r="AL73" s="62"/>
      <c r="AM73" s="204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</row>
    <row r="74" spans="2:72" hidden="1">
      <c r="B74" s="54"/>
      <c r="C74" s="54"/>
      <c r="D74" s="54"/>
      <c r="E74" s="54"/>
      <c r="F74" s="54"/>
      <c r="G74" s="54"/>
      <c r="H74" s="205" t="s">
        <v>116</v>
      </c>
      <c r="I74" s="200"/>
      <c r="J74" s="200"/>
      <c r="K74" s="205" t="s">
        <v>117</v>
      </c>
      <c r="L74" s="200"/>
      <c r="M74" s="200"/>
      <c r="N74" s="200"/>
      <c r="O74" s="200"/>
      <c r="P74" s="1151"/>
      <c r="Q74" s="200" t="str">
        <f>calc!AX11</f>
        <v>G</v>
      </c>
      <c r="R74" s="200" t="str">
        <f>calc!BA11</f>
        <v>Y</v>
      </c>
      <c r="S74" s="200" t="str">
        <f>calc!BE11</f>
        <v>G</v>
      </c>
      <c r="T74" s="200" t="str">
        <f>calc!BD11</f>
        <v>R</v>
      </c>
      <c r="U74" s="1143" t="str">
        <f>INDEX(calc!$AZ$8:$BI$20,4,MATCH($U$70,calc!AZ6:BI6,0))</f>
        <v>G</v>
      </c>
      <c r="V74" s="1146"/>
      <c r="W74" s="203"/>
      <c r="X74" s="1198">
        <v>4</v>
      </c>
      <c r="Y74" s="200"/>
      <c r="Z74" s="200"/>
      <c r="AA74" s="2168" t="str">
        <f>INDEX(MLT!U:V,MATCH(AA69,MLT!B:B,0)+2,IF(OR(AND(AA69="H-60",AA70="MEDEVAC"),AND(AA69="AH-64",AA70&lt;&gt;"")),2,1))</f>
        <v>R</v>
      </c>
      <c r="AB74" s="2168"/>
      <c r="AC74" s="204"/>
      <c r="AD74" s="1261"/>
      <c r="AE74" s="204"/>
      <c r="AF74" s="204"/>
      <c r="AG74" s="204"/>
      <c r="AH74" s="204"/>
      <c r="AI74" s="204"/>
      <c r="AJ74" s="204"/>
      <c r="AK74" s="204"/>
      <c r="AL74" s="62"/>
      <c r="AM74" s="204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</row>
    <row r="75" spans="2:72" hidden="1">
      <c r="B75" s="54"/>
      <c r="C75" s="54"/>
      <c r="D75" s="54"/>
      <c r="E75" s="54"/>
      <c r="F75" s="54"/>
      <c r="G75" s="54"/>
      <c r="H75" s="205" t="s">
        <v>96</v>
      </c>
      <c r="I75" s="200"/>
      <c r="J75" s="200"/>
      <c r="K75" s="205" t="s">
        <v>118</v>
      </c>
      <c r="L75" s="200"/>
      <c r="M75" s="200"/>
      <c r="N75" s="200"/>
      <c r="O75" s="200"/>
      <c r="P75" s="1151"/>
      <c r="Q75" s="200" t="str">
        <f>calc!AX12</f>
        <v>G</v>
      </c>
      <c r="R75" s="200" t="str">
        <f>calc!BA12</f>
        <v>Y</v>
      </c>
      <c r="S75" s="200" t="str">
        <f>calc!BE12</f>
        <v>G</v>
      </c>
      <c r="T75" s="200" t="str">
        <f>calc!BD12</f>
        <v>R</v>
      </c>
      <c r="U75" s="1143" t="str">
        <f>INDEX(calc!$AZ$8:$BI$20,5,MATCH($U$70,calc!AZ6:BI6,0))</f>
        <v>G</v>
      </c>
      <c r="V75" s="1146"/>
      <c r="W75" s="203"/>
      <c r="X75" s="1195"/>
      <c r="Y75" s="1196"/>
      <c r="Z75" s="1196"/>
      <c r="AA75" s="1196"/>
      <c r="AB75" s="1196"/>
      <c r="AC75" s="1196"/>
      <c r="AD75" s="1151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</row>
    <row r="76" spans="2:72" hidden="1">
      <c r="B76" s="54"/>
      <c r="C76" s="54"/>
      <c r="D76" s="54"/>
      <c r="E76" s="54"/>
      <c r="F76" s="54"/>
      <c r="G76" s="54"/>
      <c r="H76" s="66" t="s">
        <v>119</v>
      </c>
      <c r="I76" s="200"/>
      <c r="J76" s="200"/>
      <c r="K76" s="205" t="s">
        <v>120</v>
      </c>
      <c r="L76" s="200"/>
      <c r="M76" s="200"/>
      <c r="N76" s="200"/>
      <c r="O76" s="200"/>
      <c r="P76" s="1151"/>
      <c r="Q76" s="200" t="str">
        <f>calc!AX13</f>
        <v>G</v>
      </c>
      <c r="R76" s="200" t="str">
        <f>calc!BA13</f>
        <v>Y</v>
      </c>
      <c r="S76" s="200" t="str">
        <f>calc!BE13</f>
        <v>G</v>
      </c>
      <c r="T76" s="200" t="str">
        <f>calc!BD13</f>
        <v>R</v>
      </c>
      <c r="U76" s="1143" t="str">
        <f>INDEX(calc!$AZ$8:$BI$20,6,MATCH($U$70,calc!AZ6:BI6,0))</f>
        <v>Y</v>
      </c>
      <c r="V76" s="1146"/>
      <c r="W76" s="203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</row>
    <row r="77" spans="2:72" hidden="1">
      <c r="B77" s="54"/>
      <c r="C77" s="54"/>
      <c r="D77" s="54"/>
      <c r="E77" s="54"/>
      <c r="F77" s="54"/>
      <c r="G77" s="54"/>
      <c r="H77" s="205" t="s">
        <v>121</v>
      </c>
      <c r="I77" s="200"/>
      <c r="J77" s="200"/>
      <c r="K77" s="205" t="s">
        <v>122</v>
      </c>
      <c r="L77" s="200"/>
      <c r="M77" s="200"/>
      <c r="N77" s="200"/>
      <c r="O77" s="200"/>
      <c r="P77" s="1151"/>
      <c r="Q77" s="200" t="str">
        <f>calc!AX14</f>
        <v>G</v>
      </c>
      <c r="R77" s="200" t="str">
        <f>calc!BA14</f>
        <v>Y</v>
      </c>
      <c r="S77" s="200" t="str">
        <f>calc!BE14</f>
        <v>G</v>
      </c>
      <c r="T77" s="200" t="str">
        <f>calc!BD14</f>
        <v>R</v>
      </c>
      <c r="U77" s="1143" t="str">
        <f>INDEX(calc!$AZ$8:$BI$20,7,MATCH($U$70,calc!AZ6:BI6,0))</f>
        <v>Y</v>
      </c>
      <c r="V77" s="1146"/>
      <c r="W77" s="203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</row>
    <row r="78" spans="2:72" hidden="1">
      <c r="B78" s="54"/>
      <c r="C78" s="54"/>
      <c r="D78" s="54"/>
      <c r="E78" s="54"/>
      <c r="F78" s="54"/>
      <c r="G78" s="54"/>
      <c r="H78" s="205" t="s">
        <v>111</v>
      </c>
      <c r="I78" s="200"/>
      <c r="J78" s="200"/>
      <c r="K78" s="205" t="s">
        <v>123</v>
      </c>
      <c r="L78" s="200"/>
      <c r="M78" s="200"/>
      <c r="N78" s="200"/>
      <c r="O78" s="200"/>
      <c r="P78" s="1151"/>
      <c r="Q78" s="200" t="str">
        <f>calc!AX15</f>
        <v>R</v>
      </c>
      <c r="R78" s="200" t="str">
        <f>calc!BA15</f>
        <v>R</v>
      </c>
      <c r="S78" s="200" t="str">
        <f>calc!BE15</f>
        <v>R</v>
      </c>
      <c r="T78" s="200" t="str">
        <f>calc!BD15</f>
        <v>R</v>
      </c>
      <c r="U78" s="1143" t="str">
        <f>INDEX(calc!$AZ$8:$BI$20,8,MATCH($U$70,calc!AZ6:BI6,0))</f>
        <v>R</v>
      </c>
      <c r="V78" s="1146"/>
      <c r="W78" s="203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</row>
    <row r="79" spans="2:72" hidden="1">
      <c r="B79" s="54"/>
      <c r="C79" s="54"/>
      <c r="D79" s="54"/>
      <c r="E79" s="54"/>
      <c r="F79" s="54"/>
      <c r="G79" s="54"/>
      <c r="H79" s="205" t="s">
        <v>97</v>
      </c>
      <c r="I79" s="200"/>
      <c r="J79" s="200"/>
      <c r="K79" s="205" t="s">
        <v>124</v>
      </c>
      <c r="L79" s="200"/>
      <c r="M79" s="200"/>
      <c r="N79" s="200"/>
      <c r="O79" s="200"/>
      <c r="P79" s="1151"/>
      <c r="Q79" s="200" t="str">
        <f>calc!AX16</f>
        <v>R</v>
      </c>
      <c r="R79" s="200" t="str">
        <f>calc!BA16</f>
        <v>R</v>
      </c>
      <c r="S79" s="200" t="str">
        <f>calc!BE16</f>
        <v>R</v>
      </c>
      <c r="T79" s="200" t="str">
        <f>calc!BD16</f>
        <v>R</v>
      </c>
      <c r="U79" s="1143" t="str">
        <f>INDEX(calc!$AZ$8:$BI$20,9,MATCH($U$70,calc!AZ6:BI6,0))</f>
        <v>R</v>
      </c>
      <c r="V79" s="1146"/>
      <c r="W79" s="203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</row>
    <row r="80" spans="2:72" hidden="1">
      <c r="B80" s="54"/>
      <c r="C80" s="54"/>
      <c r="D80" s="54"/>
      <c r="E80" s="54"/>
      <c r="F80" s="54"/>
      <c r="G80" s="54"/>
      <c r="H80" s="200"/>
      <c r="I80" s="200"/>
      <c r="J80" s="200"/>
      <c r="K80" s="205" t="s">
        <v>125</v>
      </c>
      <c r="L80" s="200"/>
      <c r="M80" s="200"/>
      <c r="N80" s="200"/>
      <c r="O80" s="200"/>
      <c r="P80" s="1151"/>
      <c r="Q80" s="200" t="str">
        <f>calc!AX17</f>
        <v>R</v>
      </c>
      <c r="R80" s="200" t="str">
        <f>calc!BA17</f>
        <v>R</v>
      </c>
      <c r="S80" s="200" t="str">
        <f>calc!BE17</f>
        <v>R</v>
      </c>
      <c r="T80" s="200" t="str">
        <f>calc!BD17</f>
        <v>R</v>
      </c>
      <c r="U80" s="1143" t="str">
        <f>INDEX(calc!$AZ$8:$BI$20,10,MATCH($U$70,calc!AZ6:BI6,0))</f>
        <v>R</v>
      </c>
      <c r="V80" s="1146"/>
      <c r="W80" s="203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</row>
    <row r="81" spans="2:72" hidden="1">
      <c r="B81" s="54"/>
      <c r="C81" s="54"/>
      <c r="D81" s="54"/>
      <c r="E81" s="54"/>
      <c r="F81" s="54"/>
      <c r="G81" s="54"/>
      <c r="H81" s="200"/>
      <c r="I81" s="200"/>
      <c r="J81" s="200"/>
      <c r="K81" s="205" t="s">
        <v>126</v>
      </c>
      <c r="L81" s="200"/>
      <c r="M81" s="200"/>
      <c r="N81" s="200"/>
      <c r="O81" s="200"/>
      <c r="P81" s="1151"/>
      <c r="Q81" s="200" t="str">
        <f>calc!AX18</f>
        <v>R</v>
      </c>
      <c r="R81" s="200" t="str">
        <f>calc!BA18</f>
        <v>R</v>
      </c>
      <c r="S81" s="200" t="str">
        <f>calc!BE18</f>
        <v>R</v>
      </c>
      <c r="T81" s="200" t="str">
        <f>calc!BD18</f>
        <v>Y</v>
      </c>
      <c r="U81" s="1143" t="str">
        <f>INDEX(calc!$AZ$8:$BI$20,11,MATCH($U$70,calc!AZ6:BI6,0))</f>
        <v>R</v>
      </c>
      <c r="V81" s="1146"/>
      <c r="W81" s="203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</row>
    <row r="82" spans="2:72" hidden="1">
      <c r="B82" s="54"/>
      <c r="C82" s="54"/>
      <c r="D82" s="54"/>
      <c r="E82" s="54"/>
      <c r="F82" s="54"/>
      <c r="G82" s="54"/>
      <c r="H82" s="200"/>
      <c r="I82" s="200"/>
      <c r="J82" s="200"/>
      <c r="K82" s="205" t="s">
        <v>127</v>
      </c>
      <c r="L82" s="200"/>
      <c r="M82" s="200"/>
      <c r="N82" s="200"/>
      <c r="O82" s="200"/>
      <c r="P82" s="1151"/>
      <c r="Q82" s="200" t="str">
        <f>calc!AX19</f>
        <v>R</v>
      </c>
      <c r="R82" s="200" t="str">
        <f>calc!BA19</f>
        <v>R</v>
      </c>
      <c r="S82" s="200" t="str">
        <f>calc!BE19</f>
        <v>R</v>
      </c>
      <c r="T82" s="200" t="str">
        <f>calc!BD19</f>
        <v>Y</v>
      </c>
      <c r="U82" s="1143" t="str">
        <f>INDEX(calc!$AZ$8:$BI$20,12,MATCH($U$70,calc!AZ6:BI6,0))</f>
        <v>R</v>
      </c>
      <c r="V82" s="1146"/>
      <c r="W82" s="203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</row>
    <row r="83" spans="2:72" hidden="1">
      <c r="B83" s="54"/>
      <c r="C83" s="54"/>
      <c r="D83" s="54"/>
      <c r="E83" s="54"/>
      <c r="F83" s="54"/>
      <c r="G83" s="54"/>
      <c r="H83" s="200"/>
      <c r="I83" s="200"/>
      <c r="J83" s="200"/>
      <c r="K83" s="205" t="s">
        <v>128</v>
      </c>
      <c r="L83" s="200"/>
      <c r="M83" s="200"/>
      <c r="N83" s="200"/>
      <c r="O83" s="200"/>
      <c r="P83" s="1195"/>
      <c r="Q83" s="1196" t="str">
        <f>calc!AX20</f>
        <v>R</v>
      </c>
      <c r="R83" s="1196" t="str">
        <f>calc!BA20</f>
        <v>R</v>
      </c>
      <c r="S83" s="1196" t="str">
        <f>calc!BE20</f>
        <v>R</v>
      </c>
      <c r="T83" s="1196" t="str">
        <f>calc!BD20</f>
        <v>Y</v>
      </c>
      <c r="U83" s="1269" t="str">
        <f>INDEX(calc!$AZ$8:$BI$20,13,MATCH($U$70,calc!AZ6:BI6,0))</f>
        <v>R</v>
      </c>
      <c r="V83" s="1197"/>
      <c r="W83" s="203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</row>
    <row r="84" spans="2:72" hidden="1">
      <c r="B84" s="54"/>
      <c r="C84" s="54"/>
      <c r="D84" s="54"/>
      <c r="E84" s="54"/>
      <c r="F84" s="54"/>
      <c r="G84" s="54"/>
      <c r="H84" s="200"/>
      <c r="I84" s="200"/>
      <c r="J84" s="200"/>
      <c r="K84" s="200" t="s">
        <v>129</v>
      </c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</row>
    <row r="85" spans="2:72" hidden="1">
      <c r="B85" s="54"/>
      <c r="C85" s="54"/>
      <c r="D85" s="54"/>
      <c r="E85" s="54"/>
      <c r="F85" s="54"/>
      <c r="G85" s="54"/>
      <c r="H85" s="200"/>
      <c r="I85" s="200"/>
      <c r="J85" s="200"/>
      <c r="K85" s="200" t="s">
        <v>92</v>
      </c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</row>
    <row r="86" spans="2:72" hidden="1">
      <c r="B86" s="54"/>
      <c r="C86" s="54"/>
      <c r="D86" s="54"/>
      <c r="E86" s="54"/>
      <c r="F86" s="54"/>
      <c r="G86" s="54"/>
      <c r="H86" s="200"/>
      <c r="I86" s="200"/>
      <c r="J86" s="200"/>
      <c r="K86" s="200" t="s">
        <v>130</v>
      </c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</row>
    <row r="87" spans="2:72" hidden="1">
      <c r="B87" s="54"/>
      <c r="C87" s="54"/>
      <c r="D87" s="54"/>
      <c r="E87" s="54"/>
      <c r="F87" s="54"/>
      <c r="G87" s="54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</row>
    <row r="88" spans="2:72">
      <c r="B88" s="54"/>
      <c r="C88" s="54"/>
      <c r="D88" s="54"/>
      <c r="E88" s="54"/>
      <c r="F88" s="54"/>
      <c r="G88" s="54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</row>
    <row r="89" spans="2:72">
      <c r="B89" s="54"/>
      <c r="C89" s="54"/>
      <c r="D89" s="54"/>
      <c r="E89" s="54"/>
      <c r="F89" s="54"/>
      <c r="G89" s="54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</row>
    <row r="90" spans="2:72">
      <c r="B90" s="54"/>
      <c r="C90" s="54"/>
      <c r="D90" s="54"/>
      <c r="E90" s="54"/>
      <c r="F90" s="54"/>
      <c r="G90" s="54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</row>
    <row r="91" spans="2:72">
      <c r="B91" s="54"/>
      <c r="C91" s="54"/>
      <c r="D91" s="54"/>
      <c r="E91" s="54"/>
      <c r="F91" s="54"/>
      <c r="G91" s="54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</row>
    <row r="92" spans="2:72">
      <c r="B92" s="54"/>
      <c r="C92" s="54"/>
      <c r="D92" s="54"/>
      <c r="E92" s="54"/>
      <c r="F92" s="54"/>
      <c r="G92" s="54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</row>
    <row r="93" spans="2:72">
      <c r="B93" s="54"/>
      <c r="C93" s="54"/>
      <c r="D93" s="54"/>
      <c r="E93" s="54"/>
      <c r="F93" s="54"/>
      <c r="G93" s="54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</row>
    <row r="94" spans="2:72"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</row>
    <row r="95" spans="2:72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</row>
    <row r="96" spans="2:72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</row>
    <row r="97" spans="2:49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</row>
    <row r="98" spans="2:49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</row>
    <row r="99" spans="2:49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</row>
    <row r="100" spans="2:49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</row>
    <row r="101" spans="2:49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</row>
    <row r="102" spans="2:49"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</row>
    <row r="103" spans="2:49"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</row>
    <row r="104" spans="2:49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</row>
    <row r="105" spans="2:49"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</row>
    <row r="201" spans="2:53" ht="13" thickBot="1"/>
    <row r="202" spans="2:53" ht="33" customHeight="1">
      <c r="B202" s="2808"/>
      <c r="C202" s="2809"/>
      <c r="D202" s="2809"/>
      <c r="E202" s="2809"/>
      <c r="F202" s="2809"/>
      <c r="G202" s="2809"/>
      <c r="H202" s="2809"/>
      <c r="I202" s="2809"/>
      <c r="J202" s="2809"/>
      <c r="K202" s="2809"/>
      <c r="L202" s="2809"/>
      <c r="M202" s="2809"/>
      <c r="N202" s="2809"/>
      <c r="O202" s="2809"/>
      <c r="P202" s="2809"/>
      <c r="Q202" s="2809"/>
      <c r="R202" s="2809"/>
      <c r="S202" s="2809"/>
      <c r="T202" s="2809"/>
      <c r="U202" s="2809"/>
      <c r="V202" s="2809"/>
      <c r="W202" s="2809"/>
      <c r="X202" s="2809"/>
      <c r="Y202" s="2809"/>
      <c r="Z202" s="2809"/>
      <c r="AA202" s="2809"/>
      <c r="AB202" s="2809"/>
      <c r="AC202" s="2809"/>
      <c r="AD202" s="2809"/>
      <c r="AE202" s="2809"/>
      <c r="AF202" s="2809"/>
      <c r="AG202" s="2809"/>
      <c r="AH202" s="2809"/>
      <c r="AI202" s="2809"/>
      <c r="AJ202" s="2809"/>
      <c r="AK202" s="2809"/>
      <c r="AL202" s="2809"/>
      <c r="AM202" s="2809"/>
      <c r="AN202" s="2809"/>
      <c r="AO202" s="2809"/>
      <c r="AP202" s="2809"/>
      <c r="AQ202" s="2809"/>
      <c r="AR202" s="2809"/>
      <c r="AS202" s="2809"/>
      <c r="AT202" s="2809"/>
      <c r="AU202" s="2809"/>
      <c r="AV202" s="2809"/>
      <c r="AW202" s="2810"/>
      <c r="AX202" s="61"/>
      <c r="AY202" s="61"/>
      <c r="AZ202" s="61"/>
      <c r="BA202" s="61"/>
    </row>
    <row r="203" spans="2:53" ht="20.25" customHeight="1">
      <c r="B203" s="58"/>
      <c r="C203" s="54"/>
      <c r="D203" s="54"/>
      <c r="E203" s="155"/>
      <c r="F203" s="2811">
        <f>F3</f>
        <v>44748</v>
      </c>
      <c r="G203" s="2811"/>
      <c r="H203" s="2811"/>
      <c r="I203" s="2811"/>
      <c r="J203" s="2811"/>
      <c r="K203" s="2811"/>
      <c r="L203" s="2811"/>
      <c r="M203" s="2811"/>
      <c r="N203" s="2811"/>
      <c r="O203" s="2811"/>
      <c r="P203" s="2811"/>
      <c r="Q203" s="2811"/>
      <c r="R203" s="2812" t="s">
        <v>19</v>
      </c>
      <c r="S203" s="2812"/>
      <c r="T203" s="2813" t="str">
        <f>CONCATENATE(TEXT(B20,"d")," / ",TEXT(B20,"hhmmL")," (",TEXT(D20,"d"),"/",TEXT(D20,"hhmmZ"),")  to  ",TEXT(B32,"d")," / ",TEXT(B32,"hhmmL")," (",TEXT(D32,"d"),"/",TEXT((D32),"hhmmZ"),")")</f>
        <v>6 / 0900L (6/1300Z)  to  6 / 2100L (7/0100Z)</v>
      </c>
      <c r="U203" s="2813"/>
      <c r="V203" s="2813"/>
      <c r="W203" s="2813"/>
      <c r="X203" s="2813"/>
      <c r="Y203" s="2813"/>
      <c r="Z203" s="2813"/>
      <c r="AA203" s="2813"/>
      <c r="AB203" s="2813"/>
      <c r="AC203" s="2813"/>
      <c r="AD203" s="2813"/>
      <c r="AE203" s="2813"/>
      <c r="AF203" s="156"/>
      <c r="AG203" s="2814" t="s">
        <v>20</v>
      </c>
      <c r="AH203" s="2814"/>
      <c r="AI203" s="2815" t="str">
        <f>AI3</f>
        <v>6B</v>
      </c>
      <c r="AJ203" s="2815"/>
      <c r="AK203" s="2815"/>
      <c r="AL203" s="2816" t="str">
        <f>AL3</f>
        <v/>
      </c>
      <c r="AM203" s="2816"/>
      <c r="AN203" s="2816"/>
      <c r="AO203" s="2816"/>
      <c r="AP203" s="2816"/>
      <c r="AQ203" s="2816"/>
      <c r="AR203" s="2816"/>
      <c r="AS203" s="157"/>
      <c r="AT203" s="158"/>
      <c r="AU203" s="159"/>
      <c r="AV203" s="159"/>
      <c r="AW203" s="160"/>
    </row>
    <row r="204" spans="2:53" ht="12.75" customHeight="1">
      <c r="B204" s="2449" t="s">
        <v>131</v>
      </c>
      <c r="C204" s="2450"/>
      <c r="D204" s="2450"/>
      <c r="E204" s="2450"/>
      <c r="F204" s="2450"/>
      <c r="G204" s="2450"/>
      <c r="H204" s="2450"/>
      <c r="I204" s="2450"/>
      <c r="J204" s="2450"/>
      <c r="K204" s="2450"/>
      <c r="L204" s="2450"/>
      <c r="M204" s="2450"/>
      <c r="N204" s="2450"/>
      <c r="O204" s="2450"/>
      <c r="P204" s="2450"/>
      <c r="Q204" s="2450"/>
      <c r="R204" s="2451"/>
      <c r="S204" s="2452" t="s">
        <v>132</v>
      </c>
      <c r="T204" s="2452"/>
      <c r="U204" s="2452"/>
      <c r="V204" s="2453"/>
      <c r="W204" s="2767" t="s">
        <v>21</v>
      </c>
      <c r="X204" s="2768"/>
      <c r="Y204" s="2768"/>
      <c r="Z204" s="2768"/>
      <c r="AA204" s="2768"/>
      <c r="AB204" s="2768"/>
      <c r="AC204" s="2768"/>
      <c r="AD204" s="2768"/>
      <c r="AE204" s="2768"/>
      <c r="AF204" s="2769"/>
      <c r="AG204" s="2767" t="s">
        <v>80</v>
      </c>
      <c r="AH204" s="2768"/>
      <c r="AI204" s="2768"/>
      <c r="AJ204" s="2768"/>
      <c r="AK204" s="2768"/>
      <c r="AL204" s="2767" t="s">
        <v>23</v>
      </c>
      <c r="AM204" s="2768"/>
      <c r="AN204" s="2768"/>
      <c r="AO204" s="2768"/>
      <c r="AP204" s="2767" t="s">
        <v>26</v>
      </c>
      <c r="AQ204" s="2768"/>
      <c r="AR204" s="2769"/>
      <c r="AS204" s="2767" t="s">
        <v>81</v>
      </c>
      <c r="AT204" s="2768"/>
      <c r="AU204" s="2768"/>
      <c r="AV204" s="2768"/>
      <c r="AW204" s="2769"/>
    </row>
    <row r="205" spans="2:53" ht="8.25" customHeight="1">
      <c r="B205" s="2454" t="str">
        <f>B5</f>
        <v/>
      </c>
      <c r="C205" s="2455"/>
      <c r="D205" s="2455"/>
      <c r="E205" s="2455"/>
      <c r="F205" s="2455"/>
      <c r="G205" s="2455"/>
      <c r="H205" s="2455"/>
      <c r="I205" s="2455"/>
      <c r="J205" s="2455"/>
      <c r="K205" s="2455"/>
      <c r="L205" s="2455"/>
      <c r="M205" s="2455"/>
      <c r="N205" s="2455"/>
      <c r="O205" s="2455"/>
      <c r="P205" s="2455"/>
      <c r="Q205" s="2455"/>
      <c r="R205" s="2456"/>
      <c r="S205" s="2753" t="s">
        <v>82</v>
      </c>
      <c r="T205" s="2754"/>
      <c r="U205" s="2754"/>
      <c r="V205" s="2755"/>
      <c r="W205" s="161"/>
      <c r="X205" s="162"/>
      <c r="Y205" s="162"/>
      <c r="Z205" s="162"/>
      <c r="AA205" s="162"/>
      <c r="AB205" s="162"/>
      <c r="AC205" s="162"/>
      <c r="AD205" s="162"/>
      <c r="AE205" s="162"/>
      <c r="AF205" s="163"/>
      <c r="AG205" s="2719" t="s">
        <v>24</v>
      </c>
      <c r="AH205" s="2720"/>
      <c r="AI205" s="2720"/>
      <c r="AJ205" s="2720"/>
      <c r="AK205" s="2721"/>
      <c r="AL205" s="2770" t="s">
        <v>25</v>
      </c>
      <c r="AM205" s="2771"/>
      <c r="AN205" s="2771"/>
      <c r="AO205" s="2772"/>
      <c r="AP205" s="2739" t="s">
        <v>133</v>
      </c>
      <c r="AQ205" s="2740"/>
      <c r="AR205" s="2741"/>
      <c r="AS205" s="2773" t="s">
        <v>84</v>
      </c>
      <c r="AT205" s="2774"/>
      <c r="AU205" s="2774"/>
      <c r="AV205" s="2774"/>
      <c r="AW205" s="2775"/>
    </row>
    <row r="206" spans="2:53" ht="8.25" customHeight="1">
      <c r="B206" s="2454" t="str">
        <f t="shared" ref="B206:B215" si="8">B6</f>
        <v/>
      </c>
      <c r="C206" s="2455"/>
      <c r="D206" s="2455"/>
      <c r="E206" s="2455"/>
      <c r="F206" s="2455"/>
      <c r="G206" s="2455"/>
      <c r="H206" s="2455"/>
      <c r="I206" s="2455"/>
      <c r="J206" s="2455"/>
      <c r="K206" s="2455"/>
      <c r="L206" s="2455"/>
      <c r="M206" s="2455"/>
      <c r="N206" s="2455"/>
      <c r="O206" s="2455"/>
      <c r="P206" s="2455"/>
      <c r="Q206" s="2455"/>
      <c r="R206" s="2456"/>
      <c r="S206" s="2753"/>
      <c r="T206" s="2754"/>
      <c r="U206" s="2754"/>
      <c r="V206" s="2755"/>
      <c r="W206" s="161"/>
      <c r="X206" s="162"/>
      <c r="Y206" s="162"/>
      <c r="Z206" s="162"/>
      <c r="AA206" s="162"/>
      <c r="AB206" s="162"/>
      <c r="AC206" s="162"/>
      <c r="AD206" s="162"/>
      <c r="AE206" s="162"/>
      <c r="AF206" s="163"/>
      <c r="AG206" s="2719"/>
      <c r="AH206" s="2720"/>
      <c r="AI206" s="2720"/>
      <c r="AJ206" s="2720"/>
      <c r="AK206" s="2721"/>
      <c r="AL206" s="2770"/>
      <c r="AM206" s="2771"/>
      <c r="AN206" s="2771"/>
      <c r="AO206" s="2772"/>
      <c r="AP206" s="2739"/>
      <c r="AQ206" s="2740"/>
      <c r="AR206" s="2741"/>
      <c r="AS206" s="2776"/>
      <c r="AT206" s="2774"/>
      <c r="AU206" s="2774"/>
      <c r="AV206" s="2774"/>
      <c r="AW206" s="2775"/>
    </row>
    <row r="207" spans="2:53" ht="8.25" customHeight="1" thickBot="1">
      <c r="B207" s="2454" t="str">
        <f t="shared" si="8"/>
        <v/>
      </c>
      <c r="C207" s="2455"/>
      <c r="D207" s="2455"/>
      <c r="E207" s="2455"/>
      <c r="F207" s="2455"/>
      <c r="G207" s="2455"/>
      <c r="H207" s="2455"/>
      <c r="I207" s="2455"/>
      <c r="J207" s="2455"/>
      <c r="K207" s="2455"/>
      <c r="L207" s="2455"/>
      <c r="M207" s="2455"/>
      <c r="N207" s="2455"/>
      <c r="O207" s="2455"/>
      <c r="P207" s="2455"/>
      <c r="Q207" s="2455"/>
      <c r="R207" s="2456"/>
      <c r="S207" s="2753"/>
      <c r="T207" s="2754"/>
      <c r="U207" s="2754"/>
      <c r="V207" s="2755"/>
      <c r="W207" s="2777" t="s">
        <v>9</v>
      </c>
      <c r="X207" s="2778"/>
      <c r="Y207" s="2778"/>
      <c r="Z207" s="2779">
        <f>Z7</f>
        <v>44748.220833333333</v>
      </c>
      <c r="AA207" s="2780"/>
      <c r="AB207" s="2781"/>
      <c r="AC207" s="2782"/>
      <c r="AD207" s="2782"/>
      <c r="AE207" s="2782"/>
      <c r="AF207" s="2783"/>
      <c r="AG207" s="2730" t="str">
        <f>AG7</f>
        <v>No impact.</v>
      </c>
      <c r="AH207" s="2731"/>
      <c r="AI207" s="2731"/>
      <c r="AJ207" s="2731"/>
      <c r="AK207" s="2732"/>
      <c r="AL207" s="2770"/>
      <c r="AM207" s="2771"/>
      <c r="AN207" s="2771"/>
      <c r="AO207" s="2772"/>
      <c r="AP207" s="2742"/>
      <c r="AQ207" s="2743"/>
      <c r="AR207" s="2744"/>
      <c r="AS207" s="2695" t="str">
        <f>IF(AS7="","",AS7)</f>
        <v/>
      </c>
      <c r="AT207" s="2784"/>
      <c r="AU207" s="2784"/>
      <c r="AV207" s="2784"/>
      <c r="AW207" s="2785"/>
    </row>
    <row r="208" spans="2:53" ht="8.25" customHeight="1" thickTop="1">
      <c r="B208" s="2454" t="str">
        <f t="shared" si="8"/>
        <v xml:space="preserve"> KFTK 0611/0717 22008KT 9999 BKN250 QNH2990INS </v>
      </c>
      <c r="C208" s="2455"/>
      <c r="D208" s="2455"/>
      <c r="E208" s="2455"/>
      <c r="F208" s="2455"/>
      <c r="G208" s="2455"/>
      <c r="H208" s="2455"/>
      <c r="I208" s="2455"/>
      <c r="J208" s="2455"/>
      <c r="K208" s="2455"/>
      <c r="L208" s="2455"/>
      <c r="M208" s="2455"/>
      <c r="N208" s="2455"/>
      <c r="O208" s="2455"/>
      <c r="P208" s="2455"/>
      <c r="Q208" s="2455"/>
      <c r="R208" s="2456"/>
      <c r="S208" s="2753"/>
      <c r="T208" s="2754"/>
      <c r="U208" s="2754"/>
      <c r="V208" s="2755"/>
      <c r="W208" s="2712"/>
      <c r="X208" s="2713"/>
      <c r="Y208" s="2713"/>
      <c r="Z208" s="2714"/>
      <c r="AA208" s="2715"/>
      <c r="AB208" s="2726" t="s">
        <v>11</v>
      </c>
      <c r="AC208" s="2727"/>
      <c r="AD208" s="2727"/>
      <c r="AE208" s="2728">
        <f>AE8</f>
        <v>44748.563888888886</v>
      </c>
      <c r="AF208" s="2729"/>
      <c r="AG208" s="2733"/>
      <c r="AH208" s="2734"/>
      <c r="AI208" s="2734"/>
      <c r="AJ208" s="2734"/>
      <c r="AK208" s="2735"/>
      <c r="AL208" s="2788" t="str">
        <f>AL8</f>
        <v>NONE</v>
      </c>
      <c r="AM208" s="2789"/>
      <c r="AN208" s="2789"/>
      <c r="AO208" s="2789"/>
      <c r="AP208" s="2703" t="str">
        <f>AP8</f>
        <v>H-60</v>
      </c>
      <c r="AQ208" s="2704"/>
      <c r="AR208" s="2705"/>
      <c r="AS208" s="2786"/>
      <c r="AT208" s="2786"/>
      <c r="AU208" s="2786"/>
      <c r="AV208" s="2786"/>
      <c r="AW208" s="2787"/>
    </row>
    <row r="209" spans="2:56" ht="8.25" customHeight="1">
      <c r="B209" s="2454" t="str">
        <f t="shared" si="8"/>
        <v xml:space="preserve">   BECMG 0614/0615 24010KT 9999 SCT040 BKN250 QNH2988INS </v>
      </c>
      <c r="C209" s="2455"/>
      <c r="D209" s="2455"/>
      <c r="E209" s="2455"/>
      <c r="F209" s="2455"/>
      <c r="G209" s="2455"/>
      <c r="H209" s="2455"/>
      <c r="I209" s="2455"/>
      <c r="J209" s="2455"/>
      <c r="K209" s="2455"/>
      <c r="L209" s="2455"/>
      <c r="M209" s="2455"/>
      <c r="N209" s="2455"/>
      <c r="O209" s="2455"/>
      <c r="P209" s="2455"/>
      <c r="Q209" s="2455"/>
      <c r="R209" s="2456"/>
      <c r="S209" s="2756" t="s">
        <v>134</v>
      </c>
      <c r="T209" s="2757"/>
      <c r="U209" s="2757"/>
      <c r="V209" s="2758"/>
      <c r="W209" s="2712" t="s">
        <v>10</v>
      </c>
      <c r="X209" s="2713"/>
      <c r="Y209" s="2713"/>
      <c r="Z209" s="2714">
        <f>Z9</f>
        <v>44748.269444444442</v>
      </c>
      <c r="AA209" s="2715"/>
      <c r="AB209" s="2726"/>
      <c r="AC209" s="2727"/>
      <c r="AD209" s="2727"/>
      <c r="AE209" s="2728"/>
      <c r="AF209" s="2729"/>
      <c r="AG209" s="2716" t="s">
        <v>27</v>
      </c>
      <c r="AH209" s="2717"/>
      <c r="AI209" s="2717"/>
      <c r="AJ209" s="2717"/>
      <c r="AK209" s="2718"/>
      <c r="AL209" s="2788"/>
      <c r="AM209" s="2789"/>
      <c r="AN209" s="2789"/>
      <c r="AO209" s="2789"/>
      <c r="AP209" s="2706"/>
      <c r="AQ209" s="2707"/>
      <c r="AR209" s="2708"/>
      <c r="AS209" s="2722" t="s">
        <v>87</v>
      </c>
      <c r="AT209" s="2722"/>
      <c r="AU209" s="2722"/>
      <c r="AV209" s="2722"/>
      <c r="AW209" s="2723"/>
    </row>
    <row r="210" spans="2:56" ht="8.25" customHeight="1" thickBot="1">
      <c r="B210" s="2454" t="str">
        <f t="shared" si="8"/>
        <v xml:space="preserve">   TEMPO 0620/0702 29012G20KT 4800 -TSRA BKN040CB </v>
      </c>
      <c r="C210" s="2455"/>
      <c r="D210" s="2455"/>
      <c r="E210" s="2455"/>
      <c r="F210" s="2455"/>
      <c r="G210" s="2455"/>
      <c r="H210" s="2455"/>
      <c r="I210" s="2455"/>
      <c r="J210" s="2455"/>
      <c r="K210" s="2455"/>
      <c r="L210" s="2455"/>
      <c r="M210" s="2455"/>
      <c r="N210" s="2455"/>
      <c r="O210" s="2455"/>
      <c r="P210" s="2455"/>
      <c r="Q210" s="2455"/>
      <c r="R210" s="2456"/>
      <c r="S210" s="2756"/>
      <c r="T210" s="2757"/>
      <c r="U210" s="2757"/>
      <c r="V210" s="2758"/>
      <c r="W210" s="2712"/>
      <c r="X210" s="2713"/>
      <c r="Y210" s="2713"/>
      <c r="Z210" s="2714"/>
      <c r="AA210" s="2715"/>
      <c r="AB210" s="2726" t="s">
        <v>13</v>
      </c>
      <c r="AC210" s="2727"/>
      <c r="AD210" s="2727"/>
      <c r="AE210" s="2728">
        <f>AE10</f>
        <v>44748.049999999996</v>
      </c>
      <c r="AF210" s="2729"/>
      <c r="AG210" s="2719"/>
      <c r="AH210" s="2720"/>
      <c r="AI210" s="2720"/>
      <c r="AJ210" s="2720"/>
      <c r="AK210" s="2721"/>
      <c r="AL210" s="2788"/>
      <c r="AM210" s="2789"/>
      <c r="AN210" s="2789"/>
      <c r="AO210" s="2789"/>
      <c r="AP210" s="2709"/>
      <c r="AQ210" s="2710"/>
      <c r="AR210" s="2711"/>
      <c r="AS210" s="2724"/>
      <c r="AT210" s="2724"/>
      <c r="AU210" s="2724"/>
      <c r="AV210" s="2724"/>
      <c r="AW210" s="2725"/>
    </row>
    <row r="211" spans="2:56" ht="8.25" customHeight="1" thickTop="1">
      <c r="B211" s="2454" t="str">
        <f t="shared" si="8"/>
        <v xml:space="preserve">   BECMG 0707/0708 VRB03KT 4800 BR SCT250 QNH2985INS </v>
      </c>
      <c r="C211" s="2455"/>
      <c r="D211" s="2455"/>
      <c r="E211" s="2455"/>
      <c r="F211" s="2455"/>
      <c r="G211" s="2455"/>
      <c r="H211" s="2455"/>
      <c r="I211" s="2455"/>
      <c r="J211" s="2455"/>
      <c r="K211" s="2455"/>
      <c r="L211" s="2455"/>
      <c r="M211" s="2455"/>
      <c r="N211" s="2455"/>
      <c r="O211" s="2455"/>
      <c r="P211" s="2455"/>
      <c r="Q211" s="2455"/>
      <c r="R211" s="2456"/>
      <c r="S211" s="2756"/>
      <c r="T211" s="2757"/>
      <c r="U211" s="2757"/>
      <c r="V211" s="2758"/>
      <c r="W211" s="2712" t="s">
        <v>12</v>
      </c>
      <c r="X211" s="2713"/>
      <c r="Y211" s="2713"/>
      <c r="Z211" s="2714">
        <f>Z11</f>
        <v>44748.881249999999</v>
      </c>
      <c r="AA211" s="2715"/>
      <c r="AB211" s="2726"/>
      <c r="AC211" s="2727"/>
      <c r="AD211" s="2727"/>
      <c r="AE211" s="2728"/>
      <c r="AF211" s="2729"/>
      <c r="AG211" s="2730" t="str">
        <f>AG11</f>
        <v>No impact.</v>
      </c>
      <c r="AH211" s="2731"/>
      <c r="AI211" s="2731"/>
      <c r="AJ211" s="2731"/>
      <c r="AK211" s="2732"/>
      <c r="AL211" s="2788"/>
      <c r="AM211" s="2789"/>
      <c r="AN211" s="2789"/>
      <c r="AO211" s="2789"/>
      <c r="AP211" s="2736" t="s">
        <v>135</v>
      </c>
      <c r="AQ211" s="2737"/>
      <c r="AR211" s="2738"/>
      <c r="AS211" s="2745" t="str">
        <f>IF(AS11="","",AS11)</f>
        <v/>
      </c>
      <c r="AT211" s="2695"/>
      <c r="AU211" s="2695"/>
      <c r="AV211" s="2695"/>
      <c r="AW211" s="2696"/>
    </row>
    <row r="212" spans="2:56" ht="8.25" customHeight="1">
      <c r="B212" s="2454" t="str">
        <f t="shared" si="8"/>
        <v xml:space="preserve">   BECMG 0713/0714 19006KT 9999 NSW SCT250 QNH2988INS </v>
      </c>
      <c r="C212" s="2455"/>
      <c r="D212" s="2455"/>
      <c r="E212" s="2455"/>
      <c r="F212" s="2455"/>
      <c r="G212" s="2455"/>
      <c r="H212" s="2455"/>
      <c r="I212" s="2455"/>
      <c r="J212" s="2455"/>
      <c r="K212" s="2455"/>
      <c r="L212" s="2455"/>
      <c r="M212" s="2455"/>
      <c r="N212" s="2455"/>
      <c r="O212" s="2455"/>
      <c r="P212" s="2455"/>
      <c r="Q212" s="2455"/>
      <c r="R212" s="2456"/>
      <c r="S212" s="2756"/>
      <c r="T212" s="2757"/>
      <c r="U212" s="2757"/>
      <c r="V212" s="2758"/>
      <c r="W212" s="2712"/>
      <c r="X212" s="2713"/>
      <c r="Y212" s="2713"/>
      <c r="Z212" s="2714"/>
      <c r="AA212" s="2715"/>
      <c r="AB212" s="2726" t="s">
        <v>89</v>
      </c>
      <c r="AC212" s="2727"/>
      <c r="AD212" s="2727"/>
      <c r="AE212" s="2747">
        <f>AE12</f>
        <v>51</v>
      </c>
      <c r="AF212" s="2748"/>
      <c r="AG212" s="2733"/>
      <c r="AH212" s="2734"/>
      <c r="AI212" s="2734"/>
      <c r="AJ212" s="2734"/>
      <c r="AK212" s="2735"/>
      <c r="AL212" s="2788"/>
      <c r="AM212" s="2789"/>
      <c r="AN212" s="2789"/>
      <c r="AO212" s="2789"/>
      <c r="AP212" s="2739"/>
      <c r="AQ212" s="2740"/>
      <c r="AR212" s="2741"/>
      <c r="AS212" s="2746"/>
      <c r="AT212" s="2698"/>
      <c r="AU212" s="2698"/>
      <c r="AV212" s="2698"/>
      <c r="AW212" s="2699"/>
    </row>
    <row r="213" spans="2:56" ht="8.25" customHeight="1" thickBot="1">
      <c r="B213" s="2454" t="str">
        <f t="shared" si="8"/>
        <v xml:space="preserve">       TX37/0621Z TN24/0711Z</v>
      </c>
      <c r="C213" s="2455"/>
      <c r="D213" s="2455"/>
      <c r="E213" s="2455"/>
      <c r="F213" s="2455"/>
      <c r="G213" s="2455"/>
      <c r="H213" s="2455"/>
      <c r="I213" s="2455"/>
      <c r="J213" s="2455"/>
      <c r="K213" s="2455"/>
      <c r="L213" s="2455"/>
      <c r="M213" s="2455"/>
      <c r="N213" s="2455"/>
      <c r="O213" s="2455"/>
      <c r="P213" s="2455"/>
      <c r="Q213" s="2455"/>
      <c r="R213" s="2456"/>
      <c r="S213" s="2756"/>
      <c r="T213" s="2757"/>
      <c r="U213" s="2757"/>
      <c r="V213" s="2758"/>
      <c r="W213" s="2712" t="s">
        <v>14</v>
      </c>
      <c r="X213" s="2713"/>
      <c r="Y213" s="2713"/>
      <c r="Z213" s="2714">
        <f>Z13</f>
        <v>44748.929861111108</v>
      </c>
      <c r="AA213" s="2715"/>
      <c r="AB213" s="2726"/>
      <c r="AC213" s="2727"/>
      <c r="AD213" s="2727"/>
      <c r="AE213" s="2747"/>
      <c r="AF213" s="2748"/>
      <c r="AG213" s="2759" t="s">
        <v>31</v>
      </c>
      <c r="AH213" s="2760"/>
      <c r="AI213" s="2760"/>
      <c r="AJ213" s="2760"/>
      <c r="AK213" s="2761"/>
      <c r="AL213" s="2765"/>
      <c r="AM213" s="2766"/>
      <c r="AN213" s="2766"/>
      <c r="AO213" s="2766"/>
      <c r="AP213" s="2742"/>
      <c r="AQ213" s="2743"/>
      <c r="AR213" s="2744"/>
      <c r="AS213" s="2790" t="s">
        <v>91</v>
      </c>
      <c r="AT213" s="2722"/>
      <c r="AU213" s="2722"/>
      <c r="AV213" s="2722"/>
      <c r="AW213" s="2723"/>
    </row>
    <row r="214" spans="2:56" ht="8.25" customHeight="1" thickTop="1">
      <c r="B214" s="2454" t="str">
        <f t="shared" si="8"/>
        <v xml:space="preserve">   </v>
      </c>
      <c r="C214" s="2455"/>
      <c r="D214" s="2455"/>
      <c r="E214" s="2455"/>
      <c r="F214" s="2455"/>
      <c r="G214" s="2455"/>
      <c r="H214" s="2455"/>
      <c r="I214" s="2455"/>
      <c r="J214" s="2455"/>
      <c r="K214" s="2455"/>
      <c r="L214" s="2455"/>
      <c r="M214" s="2455"/>
      <c r="N214" s="2455"/>
      <c r="O214" s="2455"/>
      <c r="P214" s="2455"/>
      <c r="Q214" s="2455"/>
      <c r="R214" s="2456"/>
      <c r="S214" s="2756"/>
      <c r="T214" s="2757"/>
      <c r="U214" s="2757"/>
      <c r="V214" s="2758"/>
      <c r="W214" s="2749"/>
      <c r="X214" s="2750"/>
      <c r="Y214" s="2750"/>
      <c r="Z214" s="2751"/>
      <c r="AA214" s="2752"/>
      <c r="AB214" s="2791" t="str">
        <f>AB14</f>
        <v xml:space="preserve">(TONIGHT) </v>
      </c>
      <c r="AC214" s="2792"/>
      <c r="AD214" s="2792"/>
      <c r="AE214" s="2792"/>
      <c r="AF214" s="2793"/>
      <c r="AG214" s="2762"/>
      <c r="AH214" s="2763"/>
      <c r="AI214" s="2763"/>
      <c r="AJ214" s="2763"/>
      <c r="AK214" s="2764"/>
      <c r="AL214" s="2765"/>
      <c r="AM214" s="2766"/>
      <c r="AN214" s="2766"/>
      <c r="AO214" s="2766"/>
      <c r="AP214" s="2794" t="str">
        <f>IF(AP14="","",AP14)</f>
        <v>MEDEVAC</v>
      </c>
      <c r="AQ214" s="2795"/>
      <c r="AR214" s="2796"/>
      <c r="AS214" s="2724"/>
      <c r="AT214" s="2724"/>
      <c r="AU214" s="2724"/>
      <c r="AV214" s="2724"/>
      <c r="AW214" s="2725"/>
    </row>
    <row r="215" spans="2:56" ht="8.25" customHeight="1">
      <c r="B215" s="2454" t="str">
        <f t="shared" si="8"/>
        <v xml:space="preserve">   </v>
      </c>
      <c r="C215" s="2455"/>
      <c r="D215" s="2455"/>
      <c r="E215" s="2455"/>
      <c r="F215" s="2455"/>
      <c r="G215" s="2455"/>
      <c r="H215" s="2455"/>
      <c r="I215" s="2455"/>
      <c r="J215" s="2455"/>
      <c r="K215" s="2455"/>
      <c r="L215" s="2455"/>
      <c r="M215" s="2455"/>
      <c r="N215" s="2455"/>
      <c r="O215" s="2455"/>
      <c r="P215" s="2455"/>
      <c r="Q215" s="2455"/>
      <c r="R215" s="2456"/>
      <c r="S215" s="2756"/>
      <c r="T215" s="2757"/>
      <c r="U215" s="2757"/>
      <c r="V215" s="2758"/>
      <c r="W215" s="161"/>
      <c r="X215" s="162"/>
      <c r="Y215" s="162"/>
      <c r="Z215" s="162"/>
      <c r="AA215" s="162"/>
      <c r="AB215" s="366"/>
      <c r="AC215" s="366"/>
      <c r="AD215" s="366"/>
      <c r="AE215" s="366"/>
      <c r="AF215" s="367"/>
      <c r="AG215" s="2730" t="str">
        <f>AG15</f>
        <v>No impact.</v>
      </c>
      <c r="AH215" s="2731"/>
      <c r="AI215" s="2731"/>
      <c r="AJ215" s="2731"/>
      <c r="AK215" s="2732"/>
      <c r="AL215" s="2803"/>
      <c r="AM215" s="2804"/>
      <c r="AN215" s="2804"/>
      <c r="AO215" s="2804"/>
      <c r="AP215" s="2797"/>
      <c r="AQ215" s="2798"/>
      <c r="AR215" s="2799"/>
      <c r="AS215" s="2694" t="str">
        <f>IF(AS15="","",AS15)</f>
        <v/>
      </c>
      <c r="AT215" s="2695"/>
      <c r="AU215" s="2695"/>
      <c r="AV215" s="2695"/>
      <c r="AW215" s="2696"/>
    </row>
    <row r="216" spans="2:56" ht="8.25" customHeight="1" thickBot="1">
      <c r="B216" s="2700" t="str">
        <f>B16</f>
        <v xml:space="preserve">   </v>
      </c>
      <c r="C216" s="2701"/>
      <c r="D216" s="2701"/>
      <c r="E216" s="2701"/>
      <c r="F216" s="2701"/>
      <c r="G216" s="2701"/>
      <c r="H216" s="2701"/>
      <c r="I216" s="2701"/>
      <c r="J216" s="2701"/>
      <c r="K216" s="2701"/>
      <c r="L216" s="2701"/>
      <c r="M216" s="2701"/>
      <c r="N216" s="2701"/>
      <c r="O216" s="2701"/>
      <c r="P216" s="2701"/>
      <c r="Q216" s="2701"/>
      <c r="R216" s="2702"/>
      <c r="S216" s="1303"/>
      <c r="T216" s="1303"/>
      <c r="U216" s="1303"/>
      <c r="V216" s="1304"/>
      <c r="W216" s="345"/>
      <c r="X216" s="346"/>
      <c r="Y216" s="346"/>
      <c r="Z216" s="346"/>
      <c r="AA216" s="346"/>
      <c r="AB216" s="368"/>
      <c r="AC216" s="368"/>
      <c r="AD216" s="368"/>
      <c r="AE216" s="368"/>
      <c r="AF216" s="369"/>
      <c r="AG216" s="2733"/>
      <c r="AH216" s="2734"/>
      <c r="AI216" s="2734"/>
      <c r="AJ216" s="2734"/>
      <c r="AK216" s="2735"/>
      <c r="AL216" s="2805"/>
      <c r="AM216" s="2806"/>
      <c r="AN216" s="2806"/>
      <c r="AO216" s="2806"/>
      <c r="AP216" s="2800"/>
      <c r="AQ216" s="2801"/>
      <c r="AR216" s="2802"/>
      <c r="AS216" s="2697"/>
      <c r="AT216" s="2698"/>
      <c r="AU216" s="2698"/>
      <c r="AV216" s="2698"/>
      <c r="AW216" s="2699"/>
    </row>
    <row r="217" spans="2:56" ht="15" customHeight="1" thickTop="1">
      <c r="B217" s="2639" t="s">
        <v>33</v>
      </c>
      <c r="C217" s="2640"/>
      <c r="D217" s="2640"/>
      <c r="E217" s="2640"/>
      <c r="F217" s="2640"/>
      <c r="G217" s="2640"/>
      <c r="H217" s="2640"/>
      <c r="I217" s="2640"/>
      <c r="J217" s="2640"/>
      <c r="K217" s="2640"/>
      <c r="L217" s="2640"/>
      <c r="M217" s="2640"/>
      <c r="N217" s="2640"/>
      <c r="O217" s="2640"/>
      <c r="P217" s="2640"/>
      <c r="Q217" s="2640"/>
      <c r="R217" s="2640"/>
      <c r="S217" s="2640"/>
      <c r="T217" s="2640"/>
      <c r="U217" s="2640"/>
      <c r="V217" s="2640"/>
      <c r="W217" s="2644" t="s">
        <v>34</v>
      </c>
      <c r="X217" s="2645"/>
      <c r="Y217" s="2645"/>
      <c r="Z217" s="2645"/>
      <c r="AA217" s="2645"/>
      <c r="AB217" s="2645"/>
      <c r="AC217" s="2645"/>
      <c r="AD217" s="2645"/>
      <c r="AE217" s="2645"/>
      <c r="AF217" s="2645"/>
      <c r="AG217" s="2646" t="s">
        <v>35</v>
      </c>
      <c r="AH217" s="2647"/>
      <c r="AI217" s="2647"/>
      <c r="AJ217" s="2647"/>
      <c r="AK217" s="2647"/>
      <c r="AL217" s="2648"/>
      <c r="AM217" s="2647" t="s">
        <v>36</v>
      </c>
      <c r="AN217" s="2647"/>
      <c r="AO217" s="2647"/>
      <c r="AP217" s="2649"/>
      <c r="AQ217" s="2649"/>
      <c r="AR217" s="2649"/>
      <c r="AS217" s="2647"/>
      <c r="AT217" s="2647"/>
      <c r="AU217" s="2647"/>
      <c r="AV217" s="2647"/>
      <c r="AW217" s="2648"/>
      <c r="BC217" s="57"/>
      <c r="BD217" s="57"/>
    </row>
    <row r="218" spans="2:56" ht="12" customHeight="1" thickBot="1">
      <c r="B218" s="2650" t="s">
        <v>37</v>
      </c>
      <c r="C218" s="2651"/>
      <c r="D218" s="2651"/>
      <c r="E218" s="2651"/>
      <c r="F218" s="2654" t="s">
        <v>38</v>
      </c>
      <c r="G218" s="2651"/>
      <c r="H218" s="2651"/>
      <c r="I218" s="2655"/>
      <c r="J218" s="2654" t="s">
        <v>39</v>
      </c>
      <c r="K218" s="2655"/>
      <c r="L218" s="2654" t="s">
        <v>40</v>
      </c>
      <c r="M218" s="2655"/>
      <c r="N218" s="2658" t="str">
        <f>N18</f>
        <v>MOON ANGLE</v>
      </c>
      <c r="O218" s="2659"/>
      <c r="P218" s="2654" t="s">
        <v>41</v>
      </c>
      <c r="Q218" s="2651"/>
      <c r="R218" s="2655"/>
      <c r="S218" s="2654" t="s">
        <v>93</v>
      </c>
      <c r="T218" s="2655"/>
      <c r="U218" s="2654" t="s">
        <v>94</v>
      </c>
      <c r="V218" s="2692"/>
      <c r="W218" s="2650" t="str">
        <f>W18</f>
        <v>C-12</v>
      </c>
      <c r="X218" s="2655"/>
      <c r="Y218" s="2664" t="str">
        <f>Y18</f>
        <v>H-60</v>
      </c>
      <c r="Z218" s="2665"/>
      <c r="AA218" s="2668" t="str">
        <f>AA18</f>
        <v>H-6</v>
      </c>
      <c r="AB218" s="2669"/>
      <c r="AC218" s="2658" t="str">
        <f>AC18</f>
        <v>GR'ND OPS</v>
      </c>
      <c r="AD218" s="2659"/>
      <c r="AE218" s="2674" t="str">
        <f>AE18</f>
        <v>H-60 MED</v>
      </c>
      <c r="AF218" s="2675"/>
      <c r="AG218" s="2678" t="s">
        <v>44</v>
      </c>
      <c r="AH218" s="2679"/>
      <c r="AI218" s="2679"/>
      <c r="AJ218" s="2679"/>
      <c r="AK218" s="2679"/>
      <c r="AL218" s="2680"/>
      <c r="AM218" s="2681" t="s">
        <v>45</v>
      </c>
      <c r="AN218" s="2682"/>
      <c r="AO218" s="2682"/>
      <c r="AP218" s="2682" t="s">
        <v>46</v>
      </c>
      <c r="AQ218" s="2682"/>
      <c r="AR218" s="2682"/>
      <c r="AS218" s="2682"/>
      <c r="AT218" s="2682"/>
      <c r="AU218" s="2682"/>
      <c r="AV218" s="2682"/>
      <c r="AW218" s="2683"/>
      <c r="BC218" s="57"/>
    </row>
    <row r="219" spans="2:56" ht="12" customHeight="1" thickTop="1" thickBot="1">
      <c r="B219" s="2652"/>
      <c r="C219" s="2653"/>
      <c r="D219" s="2653"/>
      <c r="E219" s="2653"/>
      <c r="F219" s="2656"/>
      <c r="G219" s="2653"/>
      <c r="H219" s="2653"/>
      <c r="I219" s="2657"/>
      <c r="J219" s="2656"/>
      <c r="K219" s="2657"/>
      <c r="L219" s="2656"/>
      <c r="M219" s="2657"/>
      <c r="N219" s="2660"/>
      <c r="O219" s="2661"/>
      <c r="P219" s="2656"/>
      <c r="Q219" s="2653"/>
      <c r="R219" s="2657"/>
      <c r="S219" s="2642" t="str">
        <f>S19</f>
        <v>(KFTK)</v>
      </c>
      <c r="T219" s="2693"/>
      <c r="U219" s="2642" t="str">
        <f>U19</f>
        <v>(KFTK)</v>
      </c>
      <c r="V219" s="2643"/>
      <c r="W219" s="2662"/>
      <c r="X219" s="2663"/>
      <c r="Y219" s="2666"/>
      <c r="Z219" s="2667"/>
      <c r="AA219" s="2670"/>
      <c r="AB219" s="2671"/>
      <c r="AC219" s="2672"/>
      <c r="AD219" s="2673"/>
      <c r="AE219" s="2676"/>
      <c r="AF219" s="2677"/>
      <c r="AG219" s="2684">
        <f>MAX(F220:F232)</f>
        <v>36.666666666666671</v>
      </c>
      <c r="AH219" s="2685"/>
      <c r="AI219" s="2685"/>
      <c r="AJ219" s="2686">
        <f>MAX(H220:H232)</f>
        <v>98</v>
      </c>
      <c r="AK219" s="2686"/>
      <c r="AL219" s="2687"/>
      <c r="AM219" s="2688">
        <v>200</v>
      </c>
      <c r="AN219" s="2689"/>
      <c r="AO219" s="2689"/>
      <c r="AP219" s="2690" t="str">
        <f t="shared" ref="AP219:AP232" si="9">AP19</f>
        <v xml:space="preserve">   28020   /   -18</v>
      </c>
      <c r="AQ219" s="2690"/>
      <c r="AR219" s="2690"/>
      <c r="AS219" s="2690"/>
      <c r="AT219" s="2690"/>
      <c r="AU219" s="2690"/>
      <c r="AV219" s="2690"/>
      <c r="AW219" s="2691"/>
    </row>
    <row r="220" spans="2:56" ht="13.5" customHeight="1" thickTop="1" thickBot="1">
      <c r="B220" s="2623">
        <f>B20</f>
        <v>44748.375</v>
      </c>
      <c r="C220" s="2624"/>
      <c r="D220" s="2625">
        <f>D20</f>
        <v>44748.541666666664</v>
      </c>
      <c r="E220" s="2625"/>
      <c r="F220" s="2626">
        <f t="shared" ref="F220:F232" si="10">F20</f>
        <v>28.888888888888889</v>
      </c>
      <c r="G220" s="2627"/>
      <c r="H220" s="2628">
        <f t="shared" ref="H220:H232" si="11">H20</f>
        <v>84</v>
      </c>
      <c r="I220" s="2629"/>
      <c r="J220" s="2630">
        <f t="shared" ref="J220:J232" si="12">J20</f>
        <v>77</v>
      </c>
      <c r="K220" s="2631"/>
      <c r="L220" s="2632">
        <f t="shared" ref="L220:L232" si="13">L20</f>
        <v>0.79616826474071245</v>
      </c>
      <c r="M220" s="2633"/>
      <c r="N220" s="1626" t="str">
        <f t="shared" ref="N220:O232" si="14">N20</f>
        <v>(&lt;0)</v>
      </c>
      <c r="O220" s="1622" t="str">
        <f>O20</f>
        <v>°</v>
      </c>
      <c r="P220" s="2634">
        <f>P20</f>
        <v>29.95</v>
      </c>
      <c r="Q220" s="2635"/>
      <c r="R220" s="2636"/>
      <c r="S220" s="2637">
        <f>S20</f>
        <v>728.19027356060712</v>
      </c>
      <c r="T220" s="2638" t="str">
        <f>IF(R220&gt;0,((288.16/0.0065)*(1-(R220/29.921)^(1/5.2561))+756/3.280833)*3.280833,"")</f>
        <v/>
      </c>
      <c r="U220" s="2637">
        <f>(S220+(120*(F220-(15-(0.00198*S220)))))</f>
        <v>2567.8749492252741</v>
      </c>
      <c r="V220" s="2641" t="e">
        <f>(U220+(120*(N220-(15-(0.00198*U220)))))</f>
        <v>#VALUE!</v>
      </c>
      <c r="W220" s="2528" t="str">
        <f>IF($AL$3="",Q71,IF(OR(VALUE(MID($AL$3,15,2))&gt;HOUR(B20),VALUE(MID($AL$3,15,2))=HOUR(B20)),""))</f>
        <v>G</v>
      </c>
      <c r="X220" s="2529"/>
      <c r="Y220" s="2528" t="str">
        <f>IF($AL$3="",R71,IF(OR(VALUE(MID($AL$3,15,2))&gt;HOUR(B20),VALUE(MID($AL$3,15,2))=HOUR(B20)),""))</f>
        <v>G</v>
      </c>
      <c r="Z220" s="2529"/>
      <c r="AA220" s="2528" t="str">
        <f>IF($AL$3="",S71,IF(OR(VALUE(MID($AL$3,15,2))&gt;HOUR(B20),VALUE(MID($AL$3,15,2))=HOUR(B20)),""))</f>
        <v>G</v>
      </c>
      <c r="AB220" s="2529"/>
      <c r="AC220" s="2528" t="str">
        <f>IF($AL$3="",T71,IF(OR(VALUE(MID($AL$3,15,2))&gt;HOUR(B20),VALUE(MID($AL$3,15,2))=HOUR(B20)),""))</f>
        <v>Y</v>
      </c>
      <c r="AD220" s="2529"/>
      <c r="AE220" s="2528" t="str">
        <f>IF($AE$218="","",IF($AL$3="",U71,IF(OR(VALUE(MID($AL$3,15,2))&gt;HOUR(B20),VALUE(MID($AL$3,15,2))=HOUR(B20)),"")))</f>
        <v>G</v>
      </c>
      <c r="AF220" s="2529"/>
      <c r="AG220" s="2598" t="s">
        <v>47</v>
      </c>
      <c r="AH220" s="2599"/>
      <c r="AI220" s="2599"/>
      <c r="AJ220" s="2599"/>
      <c r="AK220" s="2599"/>
      <c r="AL220" s="2600"/>
      <c r="AM220" s="2571">
        <v>180</v>
      </c>
      <c r="AN220" s="2572"/>
      <c r="AO220" s="2572"/>
      <c r="AP220" s="2573" t="str">
        <f t="shared" si="9"/>
        <v xml:space="preserve">    30020   /   -16</v>
      </c>
      <c r="AQ220" s="2573"/>
      <c r="AR220" s="2573"/>
      <c r="AS220" s="2573"/>
      <c r="AT220" s="2573"/>
      <c r="AU220" s="2573"/>
      <c r="AV220" s="2573"/>
      <c r="AW220" s="2574"/>
    </row>
    <row r="221" spans="2:56" ht="13.5" customHeight="1" thickTop="1" thickBot="1">
      <c r="B221" s="2535">
        <f t="shared" ref="B221:D232" si="15">B21</f>
        <v>44748.416666666657</v>
      </c>
      <c r="C221" s="2536"/>
      <c r="D221" s="2537">
        <f t="shared" si="15"/>
        <v>44748.583333333328</v>
      </c>
      <c r="E221" s="2537"/>
      <c r="F221" s="2539">
        <f t="shared" si="10"/>
        <v>30.555555555555557</v>
      </c>
      <c r="G221" s="2540"/>
      <c r="H221" s="2601">
        <f t="shared" si="11"/>
        <v>87</v>
      </c>
      <c r="I221" s="2602"/>
      <c r="J221" s="2543">
        <f t="shared" si="12"/>
        <v>76</v>
      </c>
      <c r="K221" s="2544"/>
      <c r="L221" s="2603">
        <f t="shared" si="13"/>
        <v>0.69996301599580435</v>
      </c>
      <c r="M221" s="2546"/>
      <c r="N221" s="1627" t="str">
        <f t="shared" si="14"/>
        <v>(&lt;0)</v>
      </c>
      <c r="O221" s="1623" t="str">
        <f t="shared" si="14"/>
        <v>°</v>
      </c>
      <c r="P221" s="2547">
        <f t="shared" ref="P221:P232" si="16">P21</f>
        <v>29.96</v>
      </c>
      <c r="Q221" s="2548"/>
      <c r="R221" s="2549"/>
      <c r="S221" s="2550">
        <f t="shared" ref="S221:S232" si="17">S21</f>
        <v>718.95041420270934</v>
      </c>
      <c r="T221" s="2551" t="str">
        <f t="shared" ref="T221:T232" si="18">IF(R221&gt;0,((288.16/0.0065)*(1-(R221/29.921)^(1/5.2561))+756/3.280833)*3.280833,"")</f>
        <v/>
      </c>
      <c r="U221" s="2550">
        <f t="shared" ref="U221:U232" si="19">(S221+(120*(F221-(15-(0.00198*S221)))))</f>
        <v>2756.4396992839402</v>
      </c>
      <c r="V221" s="2525" t="e">
        <f t="shared" ref="V221:V232" si="20">(U221+(120*(N221-(15-(0.00198*U221)))))</f>
        <v>#VALUE!</v>
      </c>
      <c r="W221" s="2528" t="str">
        <f t="shared" ref="W221:W232" si="21">IF($AL$3="",Q72,IF(OR(VALUE(MID($AL$3,15,2))&gt;HOUR(B21),VALUE(MID($AL$3,15,2))=HOUR(B21)),""))</f>
        <v>G</v>
      </c>
      <c r="X221" s="2529"/>
      <c r="Y221" s="2528" t="str">
        <f t="shared" ref="Y221:Y232" si="22">IF($AL$3="",R72,IF(OR(VALUE(MID($AL$3,15,2))&gt;HOUR(B21),VALUE(MID($AL$3,15,2))=HOUR(B21)),""))</f>
        <v>G</v>
      </c>
      <c r="Z221" s="2529"/>
      <c r="AA221" s="2528" t="str">
        <f t="shared" ref="AA221:AA232" si="23">IF($AL$3="",S72,IF(OR(VALUE(MID($AL$3,15,2))&gt;HOUR(B21),VALUE(MID($AL$3,15,2))=HOUR(B21)),""))</f>
        <v>G</v>
      </c>
      <c r="AB221" s="2529"/>
      <c r="AC221" s="2528" t="str">
        <f t="shared" ref="AC221:AC232" si="24">IF($AL$3="",T72,IF(OR(VALUE(MID($AL$3,15,2))&gt;HOUR(B21),VALUE(MID($AL$3,15,2))=HOUR(B21)),""))</f>
        <v>Y</v>
      </c>
      <c r="AD221" s="2529"/>
      <c r="AE221" s="2528" t="str">
        <f t="shared" ref="AE221:AE232" si="25">IF($AE$218="","",IF($AL$3="",U72,IF(OR(VALUE(MID($AL$3,15,2))&gt;HOUR(B21),VALUE(MID($AL$3,15,2))=HOUR(B21)),"")))</f>
        <v>G</v>
      </c>
      <c r="AF221" s="2529"/>
      <c r="AG221" s="2619">
        <f>MIN(F220:F232)</f>
        <v>28.888888888888889</v>
      </c>
      <c r="AH221" s="2620"/>
      <c r="AI221" s="2620"/>
      <c r="AJ221" s="2621">
        <f>MIN(H220:H232)</f>
        <v>84</v>
      </c>
      <c r="AK221" s="2621"/>
      <c r="AL221" s="2622"/>
      <c r="AM221" s="2578">
        <v>150</v>
      </c>
      <c r="AN221" s="2579"/>
      <c r="AO221" s="2579"/>
      <c r="AP221" s="2573" t="str">
        <f t="shared" si="9"/>
        <v xml:space="preserve">     32020   /   -12</v>
      </c>
      <c r="AQ221" s="2573"/>
      <c r="AR221" s="2573"/>
      <c r="AS221" s="2573"/>
      <c r="AT221" s="2573"/>
      <c r="AU221" s="2573"/>
      <c r="AV221" s="2573"/>
      <c r="AW221" s="2574"/>
    </row>
    <row r="222" spans="2:56" ht="13.5" customHeight="1" thickTop="1" thickBot="1">
      <c r="B222" s="2580">
        <f t="shared" si="15"/>
        <v>44748.458333333328</v>
      </c>
      <c r="C222" s="2581"/>
      <c r="D222" s="2582">
        <f t="shared" si="15"/>
        <v>44748.625</v>
      </c>
      <c r="E222" s="2582"/>
      <c r="F222" s="2583">
        <f t="shared" si="10"/>
        <v>32.222222222222221</v>
      </c>
      <c r="G222" s="2584"/>
      <c r="H222" s="2607">
        <f t="shared" si="11"/>
        <v>90</v>
      </c>
      <c r="I222" s="2608"/>
      <c r="J222" s="2587">
        <f t="shared" si="12"/>
        <v>76</v>
      </c>
      <c r="K222" s="2588"/>
      <c r="L222" s="2609">
        <f t="shared" si="13"/>
        <v>0.63685467359437997</v>
      </c>
      <c r="M222" s="2590"/>
      <c r="N222" s="1628" t="str">
        <f t="shared" si="14"/>
        <v>(&lt;0)</v>
      </c>
      <c r="O222" s="1624" t="str">
        <f t="shared" si="14"/>
        <v>°</v>
      </c>
      <c r="P222" s="2591">
        <f t="shared" si="16"/>
        <v>29.96</v>
      </c>
      <c r="Q222" s="2592"/>
      <c r="R222" s="2593"/>
      <c r="S222" s="2594">
        <f t="shared" si="17"/>
        <v>718.95041420270934</v>
      </c>
      <c r="T222" s="2595" t="str">
        <f t="shared" si="18"/>
        <v/>
      </c>
      <c r="U222" s="2594">
        <f t="shared" si="19"/>
        <v>2956.4396992839397</v>
      </c>
      <c r="V222" s="2597" t="e">
        <f t="shared" si="20"/>
        <v>#VALUE!</v>
      </c>
      <c r="W222" s="2528" t="str">
        <f t="shared" si="21"/>
        <v>G</v>
      </c>
      <c r="X222" s="2529"/>
      <c r="Y222" s="2528" t="str">
        <f t="shared" si="22"/>
        <v>G</v>
      </c>
      <c r="Z222" s="2529"/>
      <c r="AA222" s="2528" t="str">
        <f t="shared" si="23"/>
        <v>G</v>
      </c>
      <c r="AB222" s="2529"/>
      <c r="AC222" s="2528" t="str">
        <f t="shared" si="24"/>
        <v>R</v>
      </c>
      <c r="AD222" s="2529"/>
      <c r="AE222" s="2528" t="str">
        <f t="shared" si="25"/>
        <v>G</v>
      </c>
      <c r="AF222" s="2529"/>
      <c r="AG222" s="2598" t="s">
        <v>48</v>
      </c>
      <c r="AH222" s="2599"/>
      <c r="AI222" s="2599"/>
      <c r="AJ222" s="2599" t="s">
        <v>49</v>
      </c>
      <c r="AK222" s="2599"/>
      <c r="AL222" s="2600"/>
      <c r="AM222" s="2571">
        <v>140</v>
      </c>
      <c r="AN222" s="2572"/>
      <c r="AO222" s="2572"/>
      <c r="AP222" s="2573" t="str">
        <f t="shared" si="9"/>
        <v xml:space="preserve">      32020   /   -08</v>
      </c>
      <c r="AQ222" s="2573"/>
      <c r="AR222" s="2573"/>
      <c r="AS222" s="2573"/>
      <c r="AT222" s="2573"/>
      <c r="AU222" s="2573"/>
      <c r="AV222" s="2573"/>
      <c r="AW222" s="2574"/>
    </row>
    <row r="223" spans="2:56" ht="13.5" customHeight="1" thickTop="1" thickBot="1">
      <c r="B223" s="2535">
        <f t="shared" si="15"/>
        <v>44748.499999999993</v>
      </c>
      <c r="C223" s="2536"/>
      <c r="D223" s="2537">
        <f t="shared" si="15"/>
        <v>44748.666666666664</v>
      </c>
      <c r="E223" s="2537"/>
      <c r="F223" s="2539">
        <f t="shared" si="10"/>
        <v>33.333333333333336</v>
      </c>
      <c r="G223" s="2540"/>
      <c r="H223" s="2601">
        <f t="shared" si="11"/>
        <v>92</v>
      </c>
      <c r="I223" s="2602"/>
      <c r="J223" s="2543">
        <f t="shared" si="12"/>
        <v>75</v>
      </c>
      <c r="K223" s="2544"/>
      <c r="L223" s="2603">
        <f t="shared" si="13"/>
        <v>0.57879022943352076</v>
      </c>
      <c r="M223" s="2546"/>
      <c r="N223" s="1627" t="str">
        <f t="shared" si="14"/>
        <v>(&lt;0)</v>
      </c>
      <c r="O223" s="1623" t="str">
        <f t="shared" si="14"/>
        <v>°</v>
      </c>
      <c r="P223" s="2547">
        <f t="shared" si="16"/>
        <v>29.95</v>
      </c>
      <c r="Q223" s="2548"/>
      <c r="R223" s="2549"/>
      <c r="S223" s="2550">
        <f t="shared" si="17"/>
        <v>728.19027356060712</v>
      </c>
      <c r="T223" s="2551" t="str">
        <f t="shared" si="18"/>
        <v/>
      </c>
      <c r="U223" s="2550">
        <f t="shared" si="19"/>
        <v>3101.2082825586076</v>
      </c>
      <c r="V223" s="2525" t="e">
        <f t="shared" si="20"/>
        <v>#VALUE!</v>
      </c>
      <c r="W223" s="2528" t="str">
        <f t="shared" si="21"/>
        <v>G</v>
      </c>
      <c r="X223" s="2529"/>
      <c r="Y223" s="2528" t="str">
        <f t="shared" si="22"/>
        <v>Y</v>
      </c>
      <c r="Z223" s="2529"/>
      <c r="AA223" s="2528" t="str">
        <f t="shared" si="23"/>
        <v>G</v>
      </c>
      <c r="AB223" s="2529"/>
      <c r="AC223" s="2528" t="str">
        <f t="shared" si="24"/>
        <v>R</v>
      </c>
      <c r="AD223" s="2529"/>
      <c r="AE223" s="2528" t="str">
        <f t="shared" si="25"/>
        <v>G</v>
      </c>
      <c r="AF223" s="2529"/>
      <c r="AG223" s="2616">
        <f>MAX(S220:S232)</f>
        <v>774.42707774380006</v>
      </c>
      <c r="AH223" s="2617"/>
      <c r="AI223" s="2617"/>
      <c r="AJ223" s="2617">
        <f>MAX(U220:U232)</f>
        <v>3546.9802221844188</v>
      </c>
      <c r="AK223" s="2617"/>
      <c r="AL223" s="2618"/>
      <c r="AM223" s="2578">
        <v>120</v>
      </c>
      <c r="AN223" s="2579"/>
      <c r="AO223" s="2579"/>
      <c r="AP223" s="2573" t="str">
        <f t="shared" si="9"/>
        <v xml:space="preserve">       31015   /   -01</v>
      </c>
      <c r="AQ223" s="2573"/>
      <c r="AR223" s="2573"/>
      <c r="AS223" s="2573"/>
      <c r="AT223" s="2573"/>
      <c r="AU223" s="2573"/>
      <c r="AV223" s="2573"/>
      <c r="AW223" s="2574"/>
    </row>
    <row r="224" spans="2:56" ht="13.5" customHeight="1" thickTop="1" thickBot="1">
      <c r="B224" s="2580">
        <f t="shared" si="15"/>
        <v>44748.541666666657</v>
      </c>
      <c r="C224" s="2581"/>
      <c r="D224" s="2582">
        <f t="shared" si="15"/>
        <v>44748.708333333328</v>
      </c>
      <c r="E224" s="2582"/>
      <c r="F224" s="2583">
        <f t="shared" si="10"/>
        <v>34.444444444444443</v>
      </c>
      <c r="G224" s="2584"/>
      <c r="H224" s="2607">
        <f t="shared" si="11"/>
        <v>94</v>
      </c>
      <c r="I224" s="2608"/>
      <c r="J224" s="2587">
        <f t="shared" si="12"/>
        <v>75</v>
      </c>
      <c r="K224" s="2588"/>
      <c r="L224" s="2609">
        <f t="shared" si="13"/>
        <v>0.54408424981317505</v>
      </c>
      <c r="M224" s="2590"/>
      <c r="N224" s="1628" t="str">
        <f t="shared" si="14"/>
        <v>(&lt;0)</v>
      </c>
      <c r="O224" s="1624" t="str">
        <f t="shared" si="14"/>
        <v>°</v>
      </c>
      <c r="P224" s="2591">
        <f t="shared" si="16"/>
        <v>29.95</v>
      </c>
      <c r="Q224" s="2592"/>
      <c r="R224" s="2593"/>
      <c r="S224" s="2594">
        <f t="shared" si="17"/>
        <v>728.19027356060712</v>
      </c>
      <c r="T224" s="2595" t="str">
        <f t="shared" si="18"/>
        <v/>
      </c>
      <c r="U224" s="2594">
        <f t="shared" si="19"/>
        <v>3234.5416158919406</v>
      </c>
      <c r="V224" s="2597" t="e">
        <f t="shared" si="20"/>
        <v>#VALUE!</v>
      </c>
      <c r="W224" s="2528" t="str">
        <f t="shared" si="21"/>
        <v>G</v>
      </c>
      <c r="X224" s="2529"/>
      <c r="Y224" s="2528" t="str">
        <f t="shared" si="22"/>
        <v>Y</v>
      </c>
      <c r="Z224" s="2529"/>
      <c r="AA224" s="2528" t="str">
        <f t="shared" si="23"/>
        <v>G</v>
      </c>
      <c r="AB224" s="2529"/>
      <c r="AC224" s="2528" t="str">
        <f t="shared" si="24"/>
        <v>R</v>
      </c>
      <c r="AD224" s="2529"/>
      <c r="AE224" s="2528" t="str">
        <f t="shared" si="25"/>
        <v>G</v>
      </c>
      <c r="AF224" s="2529"/>
      <c r="AG224" s="2598" t="s">
        <v>50</v>
      </c>
      <c r="AH224" s="2599"/>
      <c r="AI224" s="2599"/>
      <c r="AJ224" s="2599"/>
      <c r="AK224" s="2599"/>
      <c r="AL224" s="2600"/>
      <c r="AM224" s="2571">
        <v>100</v>
      </c>
      <c r="AN224" s="2572"/>
      <c r="AO224" s="2572"/>
      <c r="AP224" s="2573" t="str">
        <f t="shared" si="9"/>
        <v xml:space="preserve">        31015   /   +06</v>
      </c>
      <c r="AQ224" s="2573"/>
      <c r="AR224" s="2573"/>
      <c r="AS224" s="2573"/>
      <c r="AT224" s="2573"/>
      <c r="AU224" s="2573"/>
      <c r="AV224" s="2573"/>
      <c r="AW224" s="2574"/>
    </row>
    <row r="225" spans="2:49" ht="13.5" customHeight="1" thickTop="1" thickBot="1">
      <c r="B225" s="2535">
        <f t="shared" si="15"/>
        <v>44748.583333333328</v>
      </c>
      <c r="C225" s="2536"/>
      <c r="D225" s="2537">
        <f t="shared" si="15"/>
        <v>44748.75</v>
      </c>
      <c r="E225" s="2537"/>
      <c r="F225" s="2539">
        <f t="shared" si="10"/>
        <v>35</v>
      </c>
      <c r="G225" s="2540"/>
      <c r="H225" s="2601">
        <f t="shared" si="11"/>
        <v>95</v>
      </c>
      <c r="I225" s="2602"/>
      <c r="J225" s="2543">
        <f t="shared" si="12"/>
        <v>74</v>
      </c>
      <c r="K225" s="2544"/>
      <c r="L225" s="2603">
        <f t="shared" si="13"/>
        <v>0.51028899654400484</v>
      </c>
      <c r="M225" s="2546"/>
      <c r="N225" s="1627" t="str">
        <f t="shared" si="14"/>
        <v>(6)</v>
      </c>
      <c r="O225" s="1623" t="str">
        <f t="shared" si="14"/>
        <v>°</v>
      </c>
      <c r="P225" s="2547">
        <f t="shared" si="16"/>
        <v>29.94</v>
      </c>
      <c r="Q225" s="2548"/>
      <c r="R225" s="2549"/>
      <c r="S225" s="2550">
        <f t="shared" si="17"/>
        <v>737.43263139606995</v>
      </c>
      <c r="T225" s="2551" t="str">
        <f t="shared" si="18"/>
        <v/>
      </c>
      <c r="U225" s="2550">
        <f t="shared" si="19"/>
        <v>3312.6466246157765</v>
      </c>
      <c r="V225" s="2525">
        <f t="shared" si="20"/>
        <v>1579.7314626244852</v>
      </c>
      <c r="W225" s="2528" t="str">
        <f t="shared" si="21"/>
        <v>G</v>
      </c>
      <c r="X225" s="2529"/>
      <c r="Y225" s="2528" t="str">
        <f t="shared" si="22"/>
        <v>Y</v>
      </c>
      <c r="Z225" s="2529"/>
      <c r="AA225" s="2528" t="str">
        <f t="shared" si="23"/>
        <v>G</v>
      </c>
      <c r="AB225" s="2529"/>
      <c r="AC225" s="2528" t="str">
        <f t="shared" si="24"/>
        <v>R</v>
      </c>
      <c r="AD225" s="2529"/>
      <c r="AE225" s="2528" t="str">
        <f t="shared" si="25"/>
        <v>Y</v>
      </c>
      <c r="AF225" s="2529"/>
      <c r="AG225" s="2613">
        <f>MIN(P220:P232)</f>
        <v>29.9</v>
      </c>
      <c r="AH225" s="2614"/>
      <c r="AI225" s="2614"/>
      <c r="AJ225" s="2614"/>
      <c r="AK225" s="2614"/>
      <c r="AL225" s="2615"/>
      <c r="AM225" s="2578">
        <v>90</v>
      </c>
      <c r="AN225" s="2579"/>
      <c r="AO225" s="2579"/>
      <c r="AP225" s="2573" t="str">
        <f t="shared" si="9"/>
        <v xml:space="preserve">         31015   /   +10</v>
      </c>
      <c r="AQ225" s="2573"/>
      <c r="AR225" s="2573"/>
      <c r="AS225" s="2573"/>
      <c r="AT225" s="2573"/>
      <c r="AU225" s="2573"/>
      <c r="AV225" s="2573"/>
      <c r="AW225" s="2574"/>
    </row>
    <row r="226" spans="2:49" ht="13.5" customHeight="1" thickTop="1" thickBot="1">
      <c r="B226" s="2580">
        <f t="shared" si="15"/>
        <v>44748.624999999993</v>
      </c>
      <c r="C226" s="2581"/>
      <c r="D226" s="2582">
        <f t="shared" si="15"/>
        <v>44748.791666666664</v>
      </c>
      <c r="E226" s="2582"/>
      <c r="F226" s="2583">
        <f t="shared" si="10"/>
        <v>36.111111111111114</v>
      </c>
      <c r="G226" s="2584"/>
      <c r="H226" s="2607">
        <f t="shared" si="11"/>
        <v>97</v>
      </c>
      <c r="I226" s="2608"/>
      <c r="J226" s="2587">
        <f t="shared" si="12"/>
        <v>74</v>
      </c>
      <c r="K226" s="2588"/>
      <c r="L226" s="2609">
        <f t="shared" si="13"/>
        <v>0.48005142428918723</v>
      </c>
      <c r="M226" s="2590"/>
      <c r="N226" s="1628" t="str">
        <f t="shared" si="14"/>
        <v>(18)</v>
      </c>
      <c r="O226" s="1624" t="str">
        <f t="shared" si="14"/>
        <v>°</v>
      </c>
      <c r="P226" s="2591">
        <f t="shared" si="16"/>
        <v>29.93</v>
      </c>
      <c r="Q226" s="2592"/>
      <c r="R226" s="2593"/>
      <c r="S226" s="2594">
        <f t="shared" si="17"/>
        <v>746.67748921956763</v>
      </c>
      <c r="T226" s="2595" t="str">
        <f t="shared" si="18"/>
        <v/>
      </c>
      <c r="U226" s="2594">
        <f t="shared" si="19"/>
        <v>3457.4213939914707</v>
      </c>
      <c r="V226" s="2597">
        <f t="shared" si="20"/>
        <v>318.90471720384403</v>
      </c>
      <c r="W226" s="2528" t="str">
        <f t="shared" si="21"/>
        <v>G</v>
      </c>
      <c r="X226" s="2529"/>
      <c r="Y226" s="2528" t="str">
        <f t="shared" si="22"/>
        <v>Y</v>
      </c>
      <c r="Z226" s="2529"/>
      <c r="AA226" s="2528" t="str">
        <f t="shared" si="23"/>
        <v>G</v>
      </c>
      <c r="AB226" s="2529"/>
      <c r="AC226" s="2528" t="str">
        <f t="shared" si="24"/>
        <v>R</v>
      </c>
      <c r="AD226" s="2529"/>
      <c r="AE226" s="2528" t="str">
        <f t="shared" si="25"/>
        <v>Y</v>
      </c>
      <c r="AF226" s="2529"/>
      <c r="AG226" s="2598" t="s">
        <v>51</v>
      </c>
      <c r="AH226" s="2599"/>
      <c r="AI226" s="2599"/>
      <c r="AJ226" s="2599"/>
      <c r="AK226" s="2599"/>
      <c r="AL226" s="2600"/>
      <c r="AM226" s="2571">
        <v>80</v>
      </c>
      <c r="AN226" s="2572"/>
      <c r="AO226" s="2572"/>
      <c r="AP226" s="2573" t="str">
        <f t="shared" si="9"/>
        <v xml:space="preserve">          30015   /   +13</v>
      </c>
      <c r="AQ226" s="2573"/>
      <c r="AR226" s="2573"/>
      <c r="AS226" s="2573"/>
      <c r="AT226" s="2573"/>
      <c r="AU226" s="2573"/>
      <c r="AV226" s="2573"/>
      <c r="AW226" s="2574"/>
    </row>
    <row r="227" spans="2:49" ht="13.5" customHeight="1" thickTop="1" thickBot="1">
      <c r="B227" s="2535">
        <f t="shared" si="15"/>
        <v>44748.666666666657</v>
      </c>
      <c r="C227" s="2536"/>
      <c r="D227" s="2537">
        <f t="shared" si="15"/>
        <v>44748.833333333328</v>
      </c>
      <c r="E227" s="2537"/>
      <c r="F227" s="2539">
        <f t="shared" si="10"/>
        <v>36.666666666666671</v>
      </c>
      <c r="G227" s="2540"/>
      <c r="H227" s="2601">
        <f t="shared" si="11"/>
        <v>98</v>
      </c>
      <c r="I227" s="2602"/>
      <c r="J227" s="2543">
        <f t="shared" si="12"/>
        <v>73</v>
      </c>
      <c r="K227" s="2544"/>
      <c r="L227" s="2603">
        <f t="shared" si="13"/>
        <v>0.4503371222797285</v>
      </c>
      <c r="M227" s="2546"/>
      <c r="N227" s="1627" t="str">
        <f t="shared" si="14"/>
        <v>(29)</v>
      </c>
      <c r="O227" s="1623" t="str">
        <f t="shared" si="14"/>
        <v>°</v>
      </c>
      <c r="P227" s="2547">
        <f t="shared" si="16"/>
        <v>29.92</v>
      </c>
      <c r="Q227" s="2548"/>
      <c r="R227" s="2549"/>
      <c r="S227" s="2550">
        <f t="shared" si="17"/>
        <v>755.92484854294287</v>
      </c>
      <c r="T227" s="2551" t="str">
        <f t="shared" si="18"/>
        <v/>
      </c>
      <c r="U227" s="2550">
        <f t="shared" si="19"/>
        <v>3535.5325925567472</v>
      </c>
      <c r="V227" s="2525">
        <f t="shared" si="20"/>
        <v>-904.4248634517694</v>
      </c>
      <c r="W227" s="2528" t="str">
        <f t="shared" si="21"/>
        <v>R</v>
      </c>
      <c r="X227" s="2529"/>
      <c r="Y227" s="2528" t="str">
        <f t="shared" si="22"/>
        <v>R</v>
      </c>
      <c r="Z227" s="2529"/>
      <c r="AA227" s="2528" t="str">
        <f t="shared" si="23"/>
        <v>R</v>
      </c>
      <c r="AB227" s="2529"/>
      <c r="AC227" s="2528" t="str">
        <f t="shared" si="24"/>
        <v>R</v>
      </c>
      <c r="AD227" s="2529"/>
      <c r="AE227" s="2528" t="str">
        <f t="shared" si="25"/>
        <v>R</v>
      </c>
      <c r="AF227" s="2529"/>
      <c r="AG227" s="2610" t="s">
        <v>52</v>
      </c>
      <c r="AH227" s="2611"/>
      <c r="AI227" s="2611"/>
      <c r="AJ227" s="2611" t="s">
        <v>53</v>
      </c>
      <c r="AK227" s="2611"/>
      <c r="AL227" s="2612"/>
      <c r="AM227" s="2578">
        <v>70</v>
      </c>
      <c r="AN227" s="2579"/>
      <c r="AO227" s="2579"/>
      <c r="AP227" s="2573" t="str">
        <f t="shared" si="9"/>
        <v xml:space="preserve">           30020   /   +18</v>
      </c>
      <c r="AQ227" s="2573"/>
      <c r="AR227" s="2573"/>
      <c r="AS227" s="2573"/>
      <c r="AT227" s="2573"/>
      <c r="AU227" s="2573"/>
      <c r="AV227" s="2573"/>
      <c r="AW227" s="2574"/>
    </row>
    <row r="228" spans="2:49" ht="13.5" customHeight="1" thickTop="1" thickBot="1">
      <c r="B228" s="2580">
        <f t="shared" si="15"/>
        <v>44748.708333333328</v>
      </c>
      <c r="C228" s="2581"/>
      <c r="D228" s="2582">
        <f t="shared" si="15"/>
        <v>44748.875</v>
      </c>
      <c r="E228" s="2582"/>
      <c r="F228" s="2583">
        <f t="shared" si="10"/>
        <v>36.666666666666671</v>
      </c>
      <c r="G228" s="2584"/>
      <c r="H228" s="2607">
        <f t="shared" si="11"/>
        <v>98</v>
      </c>
      <c r="I228" s="2608"/>
      <c r="J228" s="2587">
        <f t="shared" si="12"/>
        <v>73</v>
      </c>
      <c r="K228" s="2588"/>
      <c r="L228" s="2609">
        <f t="shared" si="13"/>
        <v>0.4503371222797285</v>
      </c>
      <c r="M228" s="2590"/>
      <c r="N228" s="1628" t="str">
        <f t="shared" si="14"/>
        <v>(38)</v>
      </c>
      <c r="O228" s="1624" t="str">
        <f t="shared" si="14"/>
        <v>°</v>
      </c>
      <c r="P228" s="2591">
        <f t="shared" si="16"/>
        <v>29.91</v>
      </c>
      <c r="Q228" s="2592"/>
      <c r="R228" s="2593"/>
      <c r="S228" s="2594">
        <f t="shared" si="17"/>
        <v>765.17471087945876</v>
      </c>
      <c r="T228" s="2595" t="str">
        <f t="shared" si="18"/>
        <v/>
      </c>
      <c r="U228" s="2594">
        <f t="shared" si="19"/>
        <v>3546.9802221844188</v>
      </c>
      <c r="V228" s="2597">
        <f t="shared" si="20"/>
        <v>-1970.2572770245629</v>
      </c>
      <c r="W228" s="2528" t="str">
        <f t="shared" si="21"/>
        <v>R</v>
      </c>
      <c r="X228" s="2529"/>
      <c r="Y228" s="2528" t="str">
        <f t="shared" si="22"/>
        <v>R</v>
      </c>
      <c r="Z228" s="2529"/>
      <c r="AA228" s="2528" t="str">
        <f t="shared" si="23"/>
        <v>R</v>
      </c>
      <c r="AB228" s="2529"/>
      <c r="AC228" s="2528" t="str">
        <f t="shared" si="24"/>
        <v>R</v>
      </c>
      <c r="AD228" s="2529"/>
      <c r="AE228" s="2528" t="str">
        <f t="shared" si="25"/>
        <v>R</v>
      </c>
      <c r="AF228" s="2529"/>
      <c r="AG228" s="2604">
        <f>MAX(L220:L232)</f>
        <v>0.79616826474071245</v>
      </c>
      <c r="AH228" s="2605"/>
      <c r="AI228" s="2605"/>
      <c r="AJ228" s="2605">
        <f>MIN(L220:L232)</f>
        <v>0.4503371222797285</v>
      </c>
      <c r="AK228" s="2605"/>
      <c r="AL228" s="2606"/>
      <c r="AM228" s="2571">
        <v>60</v>
      </c>
      <c r="AN228" s="2572"/>
      <c r="AO228" s="2572"/>
      <c r="AP228" s="2573" t="str">
        <f t="shared" si="9"/>
        <v xml:space="preserve">            29020   /   +22</v>
      </c>
      <c r="AQ228" s="2573"/>
      <c r="AR228" s="2573"/>
      <c r="AS228" s="2573"/>
      <c r="AT228" s="2573"/>
      <c r="AU228" s="2573"/>
      <c r="AV228" s="2573"/>
      <c r="AW228" s="2574"/>
    </row>
    <row r="229" spans="2:49" ht="13.5" customHeight="1" thickTop="1" thickBot="1">
      <c r="B229" s="2535">
        <f t="shared" si="15"/>
        <v>44748.749999999993</v>
      </c>
      <c r="C229" s="2536"/>
      <c r="D229" s="2537">
        <f t="shared" si="15"/>
        <v>44748.916666666664</v>
      </c>
      <c r="E229" s="2537"/>
      <c r="F229" s="2539">
        <f t="shared" si="10"/>
        <v>36.111111111111114</v>
      </c>
      <c r="G229" s="2540"/>
      <c r="H229" s="2601">
        <f t="shared" si="11"/>
        <v>97</v>
      </c>
      <c r="I229" s="2602"/>
      <c r="J229" s="2543">
        <f t="shared" si="12"/>
        <v>73</v>
      </c>
      <c r="K229" s="2544"/>
      <c r="L229" s="2603">
        <f t="shared" si="13"/>
        <v>0.46421737778362049</v>
      </c>
      <c r="M229" s="2546"/>
      <c r="N229" s="1627" t="str">
        <f>N29</f>
        <v>(45)</v>
      </c>
      <c r="O229" s="1623" t="str">
        <f t="shared" si="14"/>
        <v>°</v>
      </c>
      <c r="P229" s="2547">
        <f t="shared" si="16"/>
        <v>29.9</v>
      </c>
      <c r="Q229" s="2548"/>
      <c r="R229" s="2549"/>
      <c r="S229" s="2550">
        <f t="shared" si="17"/>
        <v>774.42707774380006</v>
      </c>
      <c r="T229" s="2551" t="str">
        <f t="shared" si="18"/>
        <v/>
      </c>
      <c r="U229" s="2550">
        <f t="shared" si="19"/>
        <v>3491.7642847490606</v>
      </c>
      <c r="V229" s="2525">
        <f t="shared" si="20"/>
        <v>-2878.5925211945623</v>
      </c>
      <c r="W229" s="2528" t="str">
        <f t="shared" si="21"/>
        <v>R</v>
      </c>
      <c r="X229" s="2529"/>
      <c r="Y229" s="2528" t="str">
        <f t="shared" si="22"/>
        <v>R</v>
      </c>
      <c r="Z229" s="2529"/>
      <c r="AA229" s="2528" t="str">
        <f t="shared" si="23"/>
        <v>R</v>
      </c>
      <c r="AB229" s="2529"/>
      <c r="AC229" s="2528" t="str">
        <f t="shared" si="24"/>
        <v>R</v>
      </c>
      <c r="AD229" s="2529"/>
      <c r="AE229" s="2528" t="str">
        <f>IF($AE$218="","",IF($AL$3="",U80,IF(OR(VALUE(MID($AL$3,15,2))&gt;HOUR(B29),VALUE(MID($AL$3,15,2))=HOUR(B29)),"")))</f>
        <v>R</v>
      </c>
      <c r="AF229" s="2529"/>
      <c r="AG229" s="2598" t="s">
        <v>54</v>
      </c>
      <c r="AH229" s="2599"/>
      <c r="AI229" s="2599"/>
      <c r="AJ229" s="2599"/>
      <c r="AK229" s="2599"/>
      <c r="AL229" s="2600"/>
      <c r="AM229" s="2578">
        <v>50</v>
      </c>
      <c r="AN229" s="2579"/>
      <c r="AO229" s="2579"/>
      <c r="AP229" s="2573" t="str">
        <f t="shared" si="9"/>
        <v xml:space="preserve">             29020   /   +24</v>
      </c>
      <c r="AQ229" s="2573"/>
      <c r="AR229" s="2573"/>
      <c r="AS229" s="2573"/>
      <c r="AT229" s="2573"/>
      <c r="AU229" s="2573"/>
      <c r="AV229" s="2573"/>
      <c r="AW229" s="2574"/>
    </row>
    <row r="230" spans="2:49" ht="13.5" customHeight="1" thickTop="1" thickBot="1">
      <c r="B230" s="2580">
        <f t="shared" si="15"/>
        <v>44748.791666666657</v>
      </c>
      <c r="C230" s="2581"/>
      <c r="D230" s="2582">
        <f t="shared" si="15"/>
        <v>44748.958333333328</v>
      </c>
      <c r="E230" s="2582"/>
      <c r="F230" s="2583">
        <f t="shared" si="10"/>
        <v>35</v>
      </c>
      <c r="G230" s="2584"/>
      <c r="H230" s="2585">
        <f t="shared" si="11"/>
        <v>95</v>
      </c>
      <c r="I230" s="2586"/>
      <c r="J230" s="2587">
        <f t="shared" si="12"/>
        <v>74</v>
      </c>
      <c r="K230" s="2588"/>
      <c r="L230" s="2589">
        <f t="shared" si="13"/>
        <v>0.51028899654400484</v>
      </c>
      <c r="M230" s="2590"/>
      <c r="N230" s="1628" t="str">
        <f t="shared" si="14"/>
        <v>(48)</v>
      </c>
      <c r="O230" s="1624" t="str">
        <f t="shared" si="14"/>
        <v>°</v>
      </c>
      <c r="P230" s="2591">
        <f t="shared" si="16"/>
        <v>29.9</v>
      </c>
      <c r="Q230" s="2592"/>
      <c r="R230" s="2593"/>
      <c r="S230" s="2594">
        <f t="shared" si="17"/>
        <v>774.42707774380006</v>
      </c>
      <c r="T230" s="2595" t="str">
        <f t="shared" si="18"/>
        <v/>
      </c>
      <c r="U230" s="2596">
        <f t="shared" si="19"/>
        <v>3358.4309514157267</v>
      </c>
      <c r="V230" s="2597">
        <f t="shared" si="20"/>
        <v>-3403.6058545278966</v>
      </c>
      <c r="W230" s="2528" t="str">
        <f t="shared" si="21"/>
        <v>R</v>
      </c>
      <c r="X230" s="2529"/>
      <c r="Y230" s="2528" t="str">
        <f t="shared" si="22"/>
        <v>R</v>
      </c>
      <c r="Z230" s="2529"/>
      <c r="AA230" s="2528" t="str">
        <f t="shared" si="23"/>
        <v>R</v>
      </c>
      <c r="AB230" s="2529"/>
      <c r="AC230" s="2528" t="str">
        <f t="shared" si="24"/>
        <v>Y</v>
      </c>
      <c r="AD230" s="2529"/>
      <c r="AE230" s="2528" t="str">
        <f t="shared" si="25"/>
        <v>R</v>
      </c>
      <c r="AF230" s="2529"/>
      <c r="AG230" s="2568" t="str">
        <f>IF(MIN(H220:H232)&lt;33,"SFC",IF(VALUE(RIGHT(AP232,3))=0,"020",IF(VALUE(RIGHT(AP232,3))&lt;0,"010",IF(VALUE(RIGHT(AP231,3))=0,"030",IF(VALUE(RIGHT(AP231,3))&lt;0,"025",IF(VALUE(RIGHT(AP230,3))=0,"040",IF(VALUE(RIGHT(AP230,3))&lt;0,"035",IF(VALUE(RIGHT(AP229,3))=0,"050",IF(VALUE(RIGHT(AP229,3))&lt;0,"045",IF(VALUE(RIGHT(AP228,3))=0,"060",IF(VALUE(RIGHT(AP228,3))&lt;0,"055",IF(VALUE(RIGHT(AP227,3))=0,"070",IF(VALUE(RIGHT(AP227,3))&lt;0,"065",IF(VALUE(RIGHT(AP226,3))=0,"080",IF(VALUE(RIGHT(AP226,3))&lt;0,"075",IF(VALUE(RIGHT(AP225,3))=0,"090",IF(VALUE(RIGHT(AP225,3))&lt;0,"085",IF(VALUE(RIGHT(AP224,3))=0,"100",IF(VALUE(RIGHT(AP224,3))&lt;0,"095",IF(VALUE(RIGHT(AP223,3))=0,"120",IF(VALUE(RIGHT(AP223,3))&lt;0,"110",IF(VALUE(RIGHT(AP222,3))=0,"140",IF(VALUE(RIGHT(AP222,3))&lt;0,"130",IF(VALUE(RIGHT(AP221,3))=0,"150",IF(VALUE(RIGHT(AP221,3))&lt;0,"145",IF(VALUE(RIGHT(AP220,3))=0,"180",IF(VALUE(RIGHT(AP220,3))&lt;0,"160",IF(VALUE(RIGHT(AP219,3))=0,"200",IF(VALUE(RIGHT(AP219,3))&lt;0,"190","210")))))))))))))))))))))))))))))</f>
        <v>110</v>
      </c>
      <c r="AH230" s="2569"/>
      <c r="AI230" s="2569"/>
      <c r="AJ230" s="2569"/>
      <c r="AK230" s="2569"/>
      <c r="AL230" s="2570"/>
      <c r="AM230" s="2571">
        <v>40</v>
      </c>
      <c r="AN230" s="2572"/>
      <c r="AO230" s="2572"/>
      <c r="AP230" s="2573" t="str">
        <f t="shared" si="9"/>
        <v xml:space="preserve">              28015   /   +25</v>
      </c>
      <c r="AQ230" s="2573"/>
      <c r="AR230" s="2573"/>
      <c r="AS230" s="2573"/>
      <c r="AT230" s="2573"/>
      <c r="AU230" s="2573"/>
      <c r="AV230" s="2573"/>
      <c r="AW230" s="2574"/>
    </row>
    <row r="231" spans="2:49" ht="13.5" customHeight="1" thickTop="1" thickBot="1">
      <c r="B231" s="2535">
        <f t="shared" si="15"/>
        <v>44748.833333333328</v>
      </c>
      <c r="C231" s="2536"/>
      <c r="D231" s="2537">
        <f t="shared" si="15"/>
        <v>44749</v>
      </c>
      <c r="E231" s="2538"/>
      <c r="F231" s="2539">
        <f t="shared" si="10"/>
        <v>32.222222222222221</v>
      </c>
      <c r="G231" s="2540"/>
      <c r="H231" s="2541">
        <f t="shared" si="11"/>
        <v>90</v>
      </c>
      <c r="I231" s="2542"/>
      <c r="J231" s="2543">
        <f t="shared" si="12"/>
        <v>74</v>
      </c>
      <c r="K231" s="2544"/>
      <c r="L231" s="2545">
        <f t="shared" si="13"/>
        <v>0.59578947092021739</v>
      </c>
      <c r="M231" s="2546"/>
      <c r="N231" s="1627" t="str">
        <f t="shared" si="14"/>
        <v>(49)</v>
      </c>
      <c r="O231" s="1623" t="str">
        <f t="shared" si="14"/>
        <v>°</v>
      </c>
      <c r="P231" s="2547">
        <f t="shared" si="16"/>
        <v>29.91</v>
      </c>
      <c r="Q231" s="2548"/>
      <c r="R231" s="2549"/>
      <c r="S231" s="2550">
        <f t="shared" si="17"/>
        <v>765.17471087945876</v>
      </c>
      <c r="T231" s="2551" t="str">
        <f t="shared" si="18"/>
        <v/>
      </c>
      <c r="U231" s="2524">
        <f t="shared" si="19"/>
        <v>3013.6468888510849</v>
      </c>
      <c r="V231" s="2525">
        <f t="shared" si="20"/>
        <v>-3950.3106103578971</v>
      </c>
      <c r="W231" s="2528" t="str">
        <f t="shared" si="21"/>
        <v>R</v>
      </c>
      <c r="X231" s="2529"/>
      <c r="Y231" s="2528" t="str">
        <f t="shared" si="22"/>
        <v>R</v>
      </c>
      <c r="Z231" s="2529"/>
      <c r="AA231" s="2528" t="str">
        <f t="shared" si="23"/>
        <v>R</v>
      </c>
      <c r="AB231" s="2529"/>
      <c r="AC231" s="2528" t="str">
        <f t="shared" si="24"/>
        <v>Y</v>
      </c>
      <c r="AD231" s="2529"/>
      <c r="AE231" s="2528" t="str">
        <f t="shared" si="25"/>
        <v>R</v>
      </c>
      <c r="AF231" s="2529"/>
      <c r="AG231" s="2575" t="str">
        <f>AG31</f>
        <v>Max WBGT</v>
      </c>
      <c r="AH231" s="2576"/>
      <c r="AI231" s="2576"/>
      <c r="AJ231" s="2576"/>
      <c r="AK231" s="2576"/>
      <c r="AL231" s="2577"/>
      <c r="AM231" s="2578">
        <v>30</v>
      </c>
      <c r="AN231" s="2579"/>
      <c r="AO231" s="2579"/>
      <c r="AP231" s="2573" t="str">
        <f t="shared" si="9"/>
        <v xml:space="preserve">               28015   /   +27</v>
      </c>
      <c r="AQ231" s="2573"/>
      <c r="AR231" s="2573"/>
      <c r="AS231" s="2573"/>
      <c r="AT231" s="2573"/>
      <c r="AU231" s="2573"/>
      <c r="AV231" s="2573"/>
      <c r="AW231" s="2574"/>
    </row>
    <row r="232" spans="2:49" ht="13.5" customHeight="1" thickTop="1" thickBot="1">
      <c r="B232" s="2552">
        <f t="shared" si="15"/>
        <v>44748.874999999993</v>
      </c>
      <c r="C232" s="2553"/>
      <c r="D232" s="2554">
        <f t="shared" si="15"/>
        <v>44749.041666666664</v>
      </c>
      <c r="E232" s="2554"/>
      <c r="F232" s="2555">
        <f t="shared" si="10"/>
        <v>31.111111111111114</v>
      </c>
      <c r="G232" s="2556"/>
      <c r="H232" s="2557">
        <f t="shared" si="11"/>
        <v>88</v>
      </c>
      <c r="I232" s="2558"/>
      <c r="J232" s="2559">
        <f t="shared" si="12"/>
        <v>74</v>
      </c>
      <c r="K232" s="2560"/>
      <c r="L232" s="2561">
        <f t="shared" si="13"/>
        <v>0.63444326022348041</v>
      </c>
      <c r="M232" s="2562"/>
      <c r="N232" s="1629" t="str">
        <f t="shared" si="14"/>
        <v>(46)</v>
      </c>
      <c r="O232" s="1625" t="str">
        <f t="shared" si="14"/>
        <v>°</v>
      </c>
      <c r="P232" s="2563">
        <f t="shared" si="16"/>
        <v>29.92</v>
      </c>
      <c r="Q232" s="2564"/>
      <c r="R232" s="2565"/>
      <c r="S232" s="2566">
        <f t="shared" si="17"/>
        <v>755.92484854294287</v>
      </c>
      <c r="T232" s="2567" t="str">
        <f t="shared" si="18"/>
        <v/>
      </c>
      <c r="U232" s="2526">
        <f t="shared" si="19"/>
        <v>2868.8659258900802</v>
      </c>
      <c r="V232" s="2527">
        <f t="shared" si="20"/>
        <v>-3769.4915301184369</v>
      </c>
      <c r="W232" s="2528" t="str">
        <f t="shared" si="21"/>
        <v>R</v>
      </c>
      <c r="X232" s="2529"/>
      <c r="Y232" s="2528" t="str">
        <f t="shared" si="22"/>
        <v>R</v>
      </c>
      <c r="Z232" s="2529"/>
      <c r="AA232" s="2528" t="str">
        <f t="shared" si="23"/>
        <v>R</v>
      </c>
      <c r="AB232" s="2529"/>
      <c r="AC232" s="2528" t="str">
        <f t="shared" si="24"/>
        <v>Y</v>
      </c>
      <c r="AD232" s="2529"/>
      <c r="AE232" s="2528" t="str">
        <f t="shared" si="25"/>
        <v>R</v>
      </c>
      <c r="AF232" s="2529"/>
      <c r="AG232" s="2530">
        <f>AG32</f>
        <v>92.659264043406395</v>
      </c>
      <c r="AH232" s="2531"/>
      <c r="AI232" s="2531"/>
      <c r="AJ232" s="2531"/>
      <c r="AK232" s="2531"/>
      <c r="AL232" s="2532"/>
      <c r="AM232" s="2533">
        <v>20</v>
      </c>
      <c r="AN232" s="2534"/>
      <c r="AO232" s="2534"/>
      <c r="AP232" s="2518" t="str">
        <f t="shared" si="9"/>
        <v xml:space="preserve">                27015   /   +28</v>
      </c>
      <c r="AQ232" s="2518"/>
      <c r="AR232" s="2518"/>
      <c r="AS232" s="2518"/>
      <c r="AT232" s="2518"/>
      <c r="AU232" s="2518"/>
      <c r="AV232" s="2518"/>
      <c r="AW232" s="2519"/>
    </row>
    <row r="233" spans="2:49" ht="16.5" thickTop="1" thickBot="1">
      <c r="B233" s="2522" t="s">
        <v>99</v>
      </c>
      <c r="C233" s="2523"/>
      <c r="D233" s="2523"/>
      <c r="E233" s="2523"/>
      <c r="F233" s="2523"/>
      <c r="G233" s="2523"/>
      <c r="H233" s="2523"/>
      <c r="I233" s="2523"/>
      <c r="J233" s="2523"/>
      <c r="K233" s="2523"/>
      <c r="L233" s="2523"/>
      <c r="M233" s="2523"/>
      <c r="N233" s="2523"/>
      <c r="O233" s="2523"/>
      <c r="P233" s="2523"/>
      <c r="Q233" s="2523"/>
      <c r="R233" s="2523"/>
      <c r="S233" s="2523"/>
      <c r="T233" s="2523"/>
      <c r="U233" s="2523"/>
      <c r="V233" s="2523"/>
      <c r="W233" s="2523"/>
      <c r="X233" s="2523"/>
      <c r="Y233" s="2523"/>
      <c r="Z233" s="2523"/>
      <c r="AA233" s="2523"/>
      <c r="AB233" s="2523"/>
      <c r="AC233" s="2523"/>
      <c r="AD233" s="2523"/>
      <c r="AE233" s="2523"/>
      <c r="AF233" s="2523"/>
      <c r="AG233" s="2523"/>
      <c r="AH233" s="1277"/>
      <c r="AI233" s="1277"/>
      <c r="AJ233" s="1277"/>
      <c r="AK233" s="1279"/>
      <c r="AL233" s="2005" t="str">
        <f>IF(AP14="",CONCATENATE("( ",AP8," ) "," Go / No Go "),CONCATENATE("( ",AP8," , ",AP14," ) "," Go / No Go "))</f>
        <v xml:space="preserve">( H-60 , MEDEVAC )  Go / No Go </v>
      </c>
      <c r="AM233" s="2005"/>
      <c r="AN233" s="2005"/>
      <c r="AO233" s="2005"/>
      <c r="AP233" s="2005"/>
      <c r="AQ233" s="2005"/>
      <c r="AR233" s="2005"/>
      <c r="AS233" s="2005"/>
      <c r="AT233" s="2005"/>
      <c r="AU233" s="2005"/>
      <c r="AV233" s="2005"/>
      <c r="AW233" s="2006"/>
    </row>
    <row r="234" spans="2:49" ht="12" customHeight="1" thickBot="1">
      <c r="B234" s="2513" t="str">
        <f t="shared" ref="B234:B241" si="26">B34</f>
        <v/>
      </c>
      <c r="C234" s="2514"/>
      <c r="D234" s="2514"/>
      <c r="E234" s="2514"/>
      <c r="F234" s="2514"/>
      <c r="G234" s="2514"/>
      <c r="H234" s="2514"/>
      <c r="I234" s="2514"/>
      <c r="J234" s="2514"/>
      <c r="K234" s="2457" t="str">
        <f>K34</f>
        <v/>
      </c>
      <c r="L234" s="2457"/>
      <c r="M234" s="2457"/>
      <c r="N234" s="2457"/>
      <c r="O234" s="2457"/>
      <c r="P234" s="2457"/>
      <c r="Q234" s="2457"/>
      <c r="R234" s="2457"/>
      <c r="S234" s="2457"/>
      <c r="T234" s="2457"/>
      <c r="U234" s="2457"/>
      <c r="V234" s="2520" t="str">
        <f t="shared" ref="V234:V241" si="27">V34</f>
        <v/>
      </c>
      <c r="W234" s="2520"/>
      <c r="X234" s="2520"/>
      <c r="Y234" s="2520"/>
      <c r="Z234" s="2520"/>
      <c r="AA234" s="2520"/>
      <c r="AB234" s="2520"/>
      <c r="AC234" s="2520"/>
      <c r="AD234" s="2520"/>
      <c r="AE234" s="2520"/>
      <c r="AF234" s="2520"/>
      <c r="AG234" s="2520"/>
      <c r="AH234" s="2520"/>
      <c r="AI234" s="2521" t="str">
        <f t="shared" ref="AI234:AI241" si="28">AI34</f>
        <v/>
      </c>
      <c r="AJ234" s="2521"/>
      <c r="AK234" s="2521"/>
      <c r="AL234" s="2521"/>
      <c r="AM234" s="2521"/>
      <c r="AN234" s="2521"/>
      <c r="AO234" s="2521"/>
      <c r="AP234" s="2521"/>
      <c r="AQ234" s="2521"/>
      <c r="AR234" s="2521"/>
      <c r="AS234" s="2521"/>
      <c r="AT234" s="2521"/>
      <c r="AU234" s="2521"/>
      <c r="AV234" s="1787" t="str">
        <f>IF(OR(Y71=3,Y71=4),AA71,"")</f>
        <v/>
      </c>
      <c r="AW234" s="1336"/>
    </row>
    <row r="235" spans="2:49" ht="12" customHeight="1" thickBot="1">
      <c r="B235" s="2515" t="str">
        <f t="shared" si="26"/>
        <v/>
      </c>
      <c r="C235" s="2516"/>
      <c r="D235" s="2516"/>
      <c r="E235" s="2516"/>
      <c r="F235" s="2516"/>
      <c r="G235" s="2516"/>
      <c r="H235" s="2516"/>
      <c r="I235" s="2516"/>
      <c r="J235" s="2516"/>
      <c r="K235" s="2458" t="str">
        <f t="shared" ref="K235:K241" si="29">K35</f>
        <v/>
      </c>
      <c r="L235" s="2458"/>
      <c r="M235" s="2458"/>
      <c r="N235" s="2458"/>
      <c r="O235" s="2458"/>
      <c r="P235" s="2458"/>
      <c r="Q235" s="2458"/>
      <c r="R235" s="2458"/>
      <c r="S235" s="2458"/>
      <c r="T235" s="2458"/>
      <c r="U235" s="2458"/>
      <c r="V235" s="2458" t="str">
        <f t="shared" si="27"/>
        <v/>
      </c>
      <c r="W235" s="2458"/>
      <c r="X235" s="2458"/>
      <c r="Y235" s="2458"/>
      <c r="Z235" s="2458"/>
      <c r="AA235" s="2458"/>
      <c r="AB235" s="2458"/>
      <c r="AC235" s="2458"/>
      <c r="AD235" s="2458"/>
      <c r="AE235" s="2458"/>
      <c r="AF235" s="2458"/>
      <c r="AG235" s="2458"/>
      <c r="AH235" s="2458"/>
      <c r="AI235" s="2517" t="str">
        <f t="shared" si="28"/>
        <v/>
      </c>
      <c r="AJ235" s="2517"/>
      <c r="AK235" s="2517"/>
      <c r="AL235" s="2517"/>
      <c r="AM235" s="2517"/>
      <c r="AN235" s="2517"/>
      <c r="AO235" s="2517"/>
      <c r="AP235" s="2517"/>
      <c r="AQ235" s="2517"/>
      <c r="AR235" s="2517"/>
      <c r="AS235" s="2517"/>
      <c r="AT235" s="2517"/>
      <c r="AU235" s="2517"/>
      <c r="AV235" s="1337" t="str">
        <f>IF(Y71=2,AA71,"")</f>
        <v/>
      </c>
      <c r="AW235" s="1338"/>
    </row>
    <row r="236" spans="2:49" ht="12" customHeight="1" thickBot="1">
      <c r="B236" s="2513" t="str">
        <f t="shared" si="26"/>
        <v/>
      </c>
      <c r="C236" s="2514"/>
      <c r="D236" s="2514"/>
      <c r="E236" s="2514"/>
      <c r="F236" s="2514"/>
      <c r="G236" s="2514"/>
      <c r="H236" s="2514"/>
      <c r="I236" s="2514"/>
      <c r="J236" s="2514"/>
      <c r="K236" s="2457" t="str">
        <f t="shared" si="29"/>
        <v/>
      </c>
      <c r="L236" s="2457"/>
      <c r="M236" s="2457"/>
      <c r="N236" s="2457"/>
      <c r="O236" s="2457"/>
      <c r="P236" s="2457"/>
      <c r="Q236" s="2457"/>
      <c r="R236" s="2457"/>
      <c r="S236" s="2457"/>
      <c r="T236" s="2457"/>
      <c r="U236" s="2457"/>
      <c r="V236" s="2457" t="str">
        <f t="shared" si="27"/>
        <v/>
      </c>
      <c r="W236" s="2457"/>
      <c r="X236" s="2457"/>
      <c r="Y236" s="2457"/>
      <c r="Z236" s="2457"/>
      <c r="AA236" s="2457"/>
      <c r="AB236" s="2457"/>
      <c r="AC236" s="2457"/>
      <c r="AD236" s="2457"/>
      <c r="AE236" s="2457"/>
      <c r="AF236" s="2457"/>
      <c r="AG236" s="2457"/>
      <c r="AH236" s="2457"/>
      <c r="AI236" s="2495" t="str">
        <f t="shared" si="28"/>
        <v/>
      </c>
      <c r="AJ236" s="2495"/>
      <c r="AK236" s="2495"/>
      <c r="AL236" s="2495"/>
      <c r="AM236" s="2495"/>
      <c r="AN236" s="2495"/>
      <c r="AO236" s="2495"/>
      <c r="AP236" s="2495"/>
      <c r="AQ236" s="2495"/>
      <c r="AR236" s="2495"/>
      <c r="AS236" s="2495"/>
      <c r="AT236" s="2495"/>
      <c r="AU236" s="2495"/>
      <c r="AV236" s="1788" t="str">
        <f>IF(Y71=4,AA72,"")</f>
        <v/>
      </c>
      <c r="AW236" s="1339"/>
    </row>
    <row r="237" spans="2:49" ht="12" customHeight="1" thickBot="1">
      <c r="B237" s="2515" t="str">
        <f t="shared" si="26"/>
        <v>FT KNOX LFA, ALL AREAS</v>
      </c>
      <c r="C237" s="2516"/>
      <c r="D237" s="2516"/>
      <c r="E237" s="2516"/>
      <c r="F237" s="2516"/>
      <c r="G237" s="2516"/>
      <c r="H237" s="2516"/>
      <c r="I237" s="2516"/>
      <c r="J237" s="2516"/>
      <c r="K237" s="2458" t="str">
        <f t="shared" si="29"/>
        <v>Winds: 24010KT  TEMPO: 29012G20KT</v>
      </c>
      <c r="L237" s="2458"/>
      <c r="M237" s="2458"/>
      <c r="N237" s="2458"/>
      <c r="O237" s="2458"/>
      <c r="P237" s="2458"/>
      <c r="Q237" s="2458"/>
      <c r="R237" s="2458"/>
      <c r="S237" s="2458"/>
      <c r="T237" s="2458"/>
      <c r="U237" s="2458"/>
      <c r="V237" s="2458" t="str">
        <f t="shared" si="27"/>
        <v>Vis/WX: 7SM    TEMPO: 3SM TSRA</v>
      </c>
      <c r="W237" s="2458"/>
      <c r="X237" s="2458"/>
      <c r="Y237" s="2458"/>
      <c r="Z237" s="2458"/>
      <c r="AA237" s="2458"/>
      <c r="AB237" s="2458"/>
      <c r="AC237" s="2458"/>
      <c r="AD237" s="2458"/>
      <c r="AE237" s="2458"/>
      <c r="AF237" s="2458"/>
      <c r="AG237" s="2458"/>
      <c r="AH237" s="2458"/>
      <c r="AI237" s="2517" t="str">
        <f t="shared" si="28"/>
        <v>Hazards:  TEMPO: ISOLD TS 350</v>
      </c>
      <c r="AJ237" s="2517"/>
      <c r="AK237" s="2517"/>
      <c r="AL237" s="2517"/>
      <c r="AM237" s="2517"/>
      <c r="AN237" s="2517"/>
      <c r="AO237" s="2517"/>
      <c r="AP237" s="2517"/>
      <c r="AQ237" s="2517"/>
      <c r="AR237" s="2517"/>
      <c r="AS237" s="2517"/>
      <c r="AT237" s="2517"/>
      <c r="AU237" s="2517"/>
      <c r="AV237" s="1337" t="str">
        <f>IF(Y71=1,AA71,IF(Y71=3,AA72,""))</f>
        <v>Y</v>
      </c>
      <c r="AW237" s="1338"/>
    </row>
    <row r="238" spans="2:49" ht="12" customHeight="1" thickBot="1">
      <c r="B238" s="2513" t="str">
        <f t="shared" si="26"/>
        <v>Valid:  09 - 21L (TEMPO 16 - 21L)</v>
      </c>
      <c r="C238" s="2514"/>
      <c r="D238" s="2514"/>
      <c r="E238" s="2514"/>
      <c r="F238" s="2514"/>
      <c r="G238" s="2514"/>
      <c r="H238" s="2514"/>
      <c r="I238" s="2514"/>
      <c r="J238" s="2514"/>
      <c r="K238" s="2457" t="str">
        <f t="shared" si="29"/>
        <v>Sky:  SCT 040/050   BKN LYRD 250/280</v>
      </c>
      <c r="L238" s="2457"/>
      <c r="M238" s="2457"/>
      <c r="N238" s="2457"/>
      <c r="O238" s="2457"/>
      <c r="P238" s="2457"/>
      <c r="Q238" s="2457"/>
      <c r="R238" s="2457"/>
      <c r="S238" s="2457"/>
      <c r="T238" s="2457"/>
      <c r="U238" s="2457"/>
      <c r="V238" s="2457" t="str">
        <f t="shared" si="27"/>
        <v xml:space="preserve">TEMPO:  BKN 040/000   </v>
      </c>
      <c r="W238" s="2457"/>
      <c r="X238" s="2457"/>
      <c r="Y238" s="2457"/>
      <c r="Z238" s="2457"/>
      <c r="AA238" s="2457"/>
      <c r="AB238" s="2457"/>
      <c r="AC238" s="2457"/>
      <c r="AD238" s="2457"/>
      <c r="AE238" s="2457"/>
      <c r="AF238" s="2457"/>
      <c r="AG238" s="2457"/>
      <c r="AH238" s="2457"/>
      <c r="AI238" s="2495" t="str">
        <f t="shared" si="28"/>
        <v xml:space="preserve"> </v>
      </c>
      <c r="AJ238" s="2495"/>
      <c r="AK238" s="2495"/>
      <c r="AL238" s="2495"/>
      <c r="AM238" s="2495"/>
      <c r="AN238" s="2495"/>
      <c r="AO238" s="2495"/>
      <c r="AP238" s="2495"/>
      <c r="AQ238" s="2495"/>
      <c r="AR238" s="2495"/>
      <c r="AS238" s="2495"/>
      <c r="AT238" s="2495"/>
      <c r="AU238" s="2495"/>
      <c r="AV238" s="1786" t="str">
        <f>IF(Y71=4,AA73,"")</f>
        <v/>
      </c>
      <c r="AW238" s="1340"/>
    </row>
    <row r="239" spans="2:49" ht="12" customHeight="1" thickBot="1">
      <c r="B239" s="2515" t="str">
        <f t="shared" si="26"/>
        <v/>
      </c>
      <c r="C239" s="2516"/>
      <c r="D239" s="2516"/>
      <c r="E239" s="2516"/>
      <c r="F239" s="2516"/>
      <c r="G239" s="2516"/>
      <c r="H239" s="2516"/>
      <c r="I239" s="2516"/>
      <c r="J239" s="2516"/>
      <c r="K239" s="2458" t="str">
        <f t="shared" si="29"/>
        <v/>
      </c>
      <c r="L239" s="2458"/>
      <c r="M239" s="2458"/>
      <c r="N239" s="2458"/>
      <c r="O239" s="2458"/>
      <c r="P239" s="2458"/>
      <c r="Q239" s="2458"/>
      <c r="R239" s="2458"/>
      <c r="S239" s="2458"/>
      <c r="T239" s="2458"/>
      <c r="U239" s="2458"/>
      <c r="V239" s="2458" t="str">
        <f t="shared" si="27"/>
        <v/>
      </c>
      <c r="W239" s="2458"/>
      <c r="X239" s="2458"/>
      <c r="Y239" s="2458"/>
      <c r="Z239" s="2458"/>
      <c r="AA239" s="2458"/>
      <c r="AB239" s="2458"/>
      <c r="AC239" s="2458"/>
      <c r="AD239" s="2458"/>
      <c r="AE239" s="2458"/>
      <c r="AF239" s="2458"/>
      <c r="AG239" s="2458"/>
      <c r="AH239" s="2458"/>
      <c r="AI239" s="2517" t="str">
        <f t="shared" si="28"/>
        <v/>
      </c>
      <c r="AJ239" s="2517"/>
      <c r="AK239" s="2517"/>
      <c r="AL239" s="2517"/>
      <c r="AM239" s="2517"/>
      <c r="AN239" s="2517"/>
      <c r="AO239" s="2517"/>
      <c r="AP239" s="2517"/>
      <c r="AQ239" s="2517"/>
      <c r="AR239" s="2517"/>
      <c r="AS239" s="2517"/>
      <c r="AT239" s="2517"/>
      <c r="AU239" s="2517"/>
      <c r="AV239" s="1341" t="str">
        <f>IF(Y71=2,AA72,"")</f>
        <v/>
      </c>
      <c r="AW239" s="1340"/>
    </row>
    <row r="240" spans="2:49" ht="12" customHeight="1" thickBot="1">
      <c r="B240" s="2513" t="str">
        <f t="shared" si="26"/>
        <v/>
      </c>
      <c r="C240" s="2514"/>
      <c r="D240" s="2514"/>
      <c r="E240" s="2514"/>
      <c r="F240" s="2514"/>
      <c r="G240" s="2514"/>
      <c r="H240" s="2514"/>
      <c r="I240" s="2514"/>
      <c r="J240" s="2514"/>
      <c r="K240" s="2457" t="str">
        <f t="shared" si="29"/>
        <v/>
      </c>
      <c r="L240" s="2457"/>
      <c r="M240" s="2457"/>
      <c r="N240" s="2457"/>
      <c r="O240" s="2457"/>
      <c r="P240" s="2457"/>
      <c r="Q240" s="2457"/>
      <c r="R240" s="2457"/>
      <c r="S240" s="2457"/>
      <c r="T240" s="2457"/>
      <c r="U240" s="2457"/>
      <c r="V240" s="2457" t="str">
        <f t="shared" si="27"/>
        <v/>
      </c>
      <c r="W240" s="2457"/>
      <c r="X240" s="2457"/>
      <c r="Y240" s="2457"/>
      <c r="Z240" s="2457"/>
      <c r="AA240" s="2457"/>
      <c r="AB240" s="2457"/>
      <c r="AC240" s="2457"/>
      <c r="AD240" s="2457"/>
      <c r="AE240" s="2457"/>
      <c r="AF240" s="2457"/>
      <c r="AG240" s="2457"/>
      <c r="AH240" s="2457"/>
      <c r="AI240" s="2495" t="str">
        <f t="shared" si="28"/>
        <v/>
      </c>
      <c r="AJ240" s="2495"/>
      <c r="AK240" s="2495"/>
      <c r="AL240" s="2495"/>
      <c r="AM240" s="2495"/>
      <c r="AN240" s="2495"/>
      <c r="AO240" s="2495"/>
      <c r="AP240" s="2495"/>
      <c r="AQ240" s="2495"/>
      <c r="AR240" s="2495"/>
      <c r="AS240" s="2495"/>
      <c r="AT240" s="2495"/>
      <c r="AU240" s="2495"/>
      <c r="AV240" s="1786" t="str">
        <f>IF(Y71=3,AA73,IF(Y71=4,AA74,""))</f>
        <v/>
      </c>
      <c r="AW240" s="1340"/>
    </row>
    <row r="241" spans="2:53" ht="12" customHeight="1" thickBot="1">
      <c r="B241" s="2515" t="str">
        <f t="shared" si="26"/>
        <v/>
      </c>
      <c r="C241" s="2516"/>
      <c r="D241" s="2516"/>
      <c r="E241" s="2516"/>
      <c r="F241" s="2516"/>
      <c r="G241" s="2516"/>
      <c r="H241" s="2516"/>
      <c r="I241" s="2516"/>
      <c r="J241" s="2516"/>
      <c r="K241" s="2458" t="str">
        <f t="shared" si="29"/>
        <v/>
      </c>
      <c r="L241" s="2458"/>
      <c r="M241" s="2458"/>
      <c r="N241" s="2458"/>
      <c r="O241" s="2458"/>
      <c r="P241" s="2458"/>
      <c r="Q241" s="2458"/>
      <c r="R241" s="2458"/>
      <c r="S241" s="2458"/>
      <c r="T241" s="2458"/>
      <c r="U241" s="2458"/>
      <c r="V241" s="2496" t="str">
        <f t="shared" si="27"/>
        <v/>
      </c>
      <c r="W241" s="2496"/>
      <c r="X241" s="2496"/>
      <c r="Y241" s="2496"/>
      <c r="Z241" s="2496"/>
      <c r="AA241" s="2496"/>
      <c r="AB241" s="2496"/>
      <c r="AC241" s="2496"/>
      <c r="AD241" s="2496"/>
      <c r="AE241" s="2496"/>
      <c r="AF241" s="2496"/>
      <c r="AG241" s="2496"/>
      <c r="AH241" s="2496"/>
      <c r="AI241" s="2497" t="str">
        <f t="shared" si="28"/>
        <v/>
      </c>
      <c r="AJ241" s="2497"/>
      <c r="AK241" s="2497"/>
      <c r="AL241" s="2497"/>
      <c r="AM241" s="2497"/>
      <c r="AN241" s="2497"/>
      <c r="AO241" s="2497"/>
      <c r="AP241" s="2497"/>
      <c r="AQ241" s="2497"/>
      <c r="AR241" s="2497"/>
      <c r="AS241" s="2497"/>
      <c r="AT241" s="2497"/>
      <c r="AU241" s="2497"/>
      <c r="AV241" s="1342"/>
      <c r="AW241" s="1343"/>
    </row>
    <row r="242" spans="2:53" ht="15" customHeight="1" thickBot="1">
      <c r="B242" s="2504" t="s">
        <v>56</v>
      </c>
      <c r="C242" s="2505"/>
      <c r="D242" s="2505"/>
      <c r="E242" s="2505"/>
      <c r="F242" s="2505"/>
      <c r="G242" s="2505"/>
      <c r="H242" s="2505"/>
      <c r="I242" s="2505"/>
      <c r="J242" s="2505"/>
      <c r="K242" s="2505"/>
      <c r="L242" s="2505"/>
      <c r="M242" s="2505"/>
      <c r="N242" s="2505"/>
      <c r="O242" s="2505"/>
      <c r="P242" s="2505"/>
      <c r="Q242" s="2505"/>
      <c r="R242" s="2505"/>
      <c r="S242" s="2505"/>
      <c r="T242" s="2505"/>
      <c r="U242" s="2505"/>
      <c r="V242" s="2505"/>
      <c r="W242" s="2505"/>
      <c r="X242" s="2505"/>
      <c r="Y242" s="2505"/>
      <c r="Z242" s="2505"/>
      <c r="AA242" s="2505"/>
      <c r="AB242" s="2505"/>
      <c r="AC242" s="2505"/>
      <c r="AD242" s="2505"/>
      <c r="AE242" s="2505"/>
      <c r="AF242" s="2505"/>
      <c r="AG242" s="2505"/>
      <c r="AH242" s="2505"/>
      <c r="AI242" s="2505"/>
      <c r="AJ242" s="2505"/>
      <c r="AK242" s="2505"/>
      <c r="AL242" s="2505"/>
      <c r="AM242" s="2505"/>
      <c r="AN242" s="2505"/>
      <c r="AO242" s="2505"/>
      <c r="AP242" s="2505"/>
      <c r="AQ242" s="2505"/>
      <c r="AR242" s="2505"/>
      <c r="AS242" s="2505"/>
      <c r="AT242" s="2505"/>
      <c r="AU242" s="2505"/>
      <c r="AV242" s="2505"/>
      <c r="AW242" s="2506"/>
      <c r="AX242" s="176"/>
      <c r="AY242" s="176"/>
      <c r="AZ242" s="176"/>
      <c r="BA242" s="176"/>
    </row>
    <row r="243" spans="2:53" ht="14.25" customHeight="1">
      <c r="B243" s="2507">
        <f>F203+1</f>
        <v>44749</v>
      </c>
      <c r="C243" s="2508"/>
      <c r="D243" s="2508"/>
      <c r="E243" s="2508"/>
      <c r="F243" s="2508"/>
      <c r="G243" s="2508"/>
      <c r="H243" s="2508"/>
      <c r="I243" s="2508"/>
      <c r="J243" s="2508"/>
      <c r="K243" s="2508"/>
      <c r="L243" s="2508"/>
      <c r="M243" s="2509"/>
      <c r="N243" s="2507">
        <f>B243+1</f>
        <v>44750</v>
      </c>
      <c r="O243" s="2508"/>
      <c r="P243" s="2508"/>
      <c r="Q243" s="2508"/>
      <c r="R243" s="2508"/>
      <c r="S243" s="2508"/>
      <c r="T243" s="2508"/>
      <c r="U243" s="2508"/>
      <c r="V243" s="2508"/>
      <c r="W243" s="2508"/>
      <c r="X243" s="2508"/>
      <c r="Y243" s="2509"/>
      <c r="Z243" s="2507">
        <f>N243+1</f>
        <v>44751</v>
      </c>
      <c r="AA243" s="2508"/>
      <c r="AB243" s="2508"/>
      <c r="AC243" s="2508"/>
      <c r="AD243" s="2508"/>
      <c r="AE243" s="2508"/>
      <c r="AF243" s="2508"/>
      <c r="AG243" s="2508"/>
      <c r="AH243" s="2508"/>
      <c r="AI243" s="2508"/>
      <c r="AJ243" s="2508"/>
      <c r="AK243" s="2509"/>
      <c r="AL243" s="2510">
        <f>Z243+1</f>
        <v>44752</v>
      </c>
      <c r="AM243" s="2508"/>
      <c r="AN243" s="2508"/>
      <c r="AO243" s="2508"/>
      <c r="AP243" s="2508"/>
      <c r="AQ243" s="2508"/>
      <c r="AR243" s="2508"/>
      <c r="AS243" s="2508"/>
      <c r="AT243" s="2508"/>
      <c r="AU243" s="2508"/>
      <c r="AV243" s="2508"/>
      <c r="AW243" s="2511"/>
    </row>
    <row r="244" spans="2:53" ht="12" customHeight="1">
      <c r="B244" s="2512" t="s">
        <v>57</v>
      </c>
      <c r="C244" s="2499"/>
      <c r="D244" s="2499"/>
      <c r="E244" s="2499"/>
      <c r="F244" s="2499"/>
      <c r="G244" s="2502"/>
      <c r="H244" s="2498" t="s">
        <v>58</v>
      </c>
      <c r="I244" s="2499"/>
      <c r="J244" s="2499"/>
      <c r="K244" s="2499"/>
      <c r="L244" s="2499"/>
      <c r="M244" s="2500"/>
      <c r="N244" s="2501" t="s">
        <v>57</v>
      </c>
      <c r="O244" s="2499"/>
      <c r="P244" s="2499"/>
      <c r="Q244" s="2499"/>
      <c r="R244" s="2499"/>
      <c r="S244" s="2502"/>
      <c r="T244" s="2498" t="s">
        <v>58</v>
      </c>
      <c r="U244" s="2499"/>
      <c r="V244" s="2499"/>
      <c r="W244" s="2499"/>
      <c r="X244" s="2499"/>
      <c r="Y244" s="2500"/>
      <c r="Z244" s="2501" t="s">
        <v>57</v>
      </c>
      <c r="AA244" s="2499"/>
      <c r="AB244" s="2499"/>
      <c r="AC244" s="2499"/>
      <c r="AD244" s="2499"/>
      <c r="AE244" s="2502"/>
      <c r="AF244" s="2498" t="s">
        <v>58</v>
      </c>
      <c r="AG244" s="2499"/>
      <c r="AH244" s="2499"/>
      <c r="AI244" s="2499"/>
      <c r="AJ244" s="2499"/>
      <c r="AK244" s="2500"/>
      <c r="AL244" s="2501" t="s">
        <v>57</v>
      </c>
      <c r="AM244" s="2499"/>
      <c r="AN244" s="2499"/>
      <c r="AO244" s="2499"/>
      <c r="AP244" s="2499"/>
      <c r="AQ244" s="2502"/>
      <c r="AR244" s="2498" t="s">
        <v>58</v>
      </c>
      <c r="AS244" s="2499"/>
      <c r="AT244" s="2499"/>
      <c r="AU244" s="2499"/>
      <c r="AV244" s="2499"/>
      <c r="AW244" s="2503"/>
    </row>
    <row r="245" spans="2:53" ht="12" customHeight="1">
      <c r="B245" s="2442" t="s">
        <v>59</v>
      </c>
      <c r="C245" s="2441"/>
      <c r="D245" s="2441"/>
      <c r="E245" s="2459" t="str">
        <f>E45</f>
        <v xml:space="preserve">7 </v>
      </c>
      <c r="F245" s="2459"/>
      <c r="G245" s="2467"/>
      <c r="H245" s="2440" t="s">
        <v>59</v>
      </c>
      <c r="I245" s="2441"/>
      <c r="J245" s="2441"/>
      <c r="K245" s="2468" t="str">
        <f>K45</f>
        <v>2 TSRA</v>
      </c>
      <c r="L245" s="2468"/>
      <c r="M245" s="2469"/>
      <c r="N245" s="2448" t="s">
        <v>60</v>
      </c>
      <c r="O245" s="2441"/>
      <c r="P245" s="2441"/>
      <c r="Q245" s="2459" t="str">
        <f>Q45</f>
        <v xml:space="preserve">7 </v>
      </c>
      <c r="R245" s="2459"/>
      <c r="S245" s="2467"/>
      <c r="T245" s="2440" t="s">
        <v>59</v>
      </c>
      <c r="U245" s="2441"/>
      <c r="V245" s="2441"/>
      <c r="W245" s="2459" t="str">
        <f>W45</f>
        <v>3 TSRA</v>
      </c>
      <c r="X245" s="2459"/>
      <c r="Y245" s="2460"/>
      <c r="Z245" s="2448" t="s">
        <v>60</v>
      </c>
      <c r="AA245" s="2441"/>
      <c r="AB245" s="2441"/>
      <c r="AC245" s="2459" t="str">
        <f>AC45</f>
        <v xml:space="preserve">7 </v>
      </c>
      <c r="AD245" s="2459"/>
      <c r="AE245" s="2467"/>
      <c r="AF245" s="2440" t="s">
        <v>59</v>
      </c>
      <c r="AG245" s="2441"/>
      <c r="AH245" s="2441"/>
      <c r="AI245" s="2459" t="str">
        <f>AI45</f>
        <v>4 TSRA</v>
      </c>
      <c r="AJ245" s="2459"/>
      <c r="AK245" s="2460"/>
      <c r="AL245" s="2448" t="s">
        <v>60</v>
      </c>
      <c r="AM245" s="2441"/>
      <c r="AN245" s="2441"/>
      <c r="AO245" s="2459" t="str">
        <f>AO45</f>
        <v xml:space="preserve">7 </v>
      </c>
      <c r="AP245" s="2459"/>
      <c r="AQ245" s="2467"/>
      <c r="AR245" s="2440" t="s">
        <v>59</v>
      </c>
      <c r="AS245" s="2441"/>
      <c r="AT245" s="2441"/>
      <c r="AU245" s="2459" t="str">
        <f>AU45</f>
        <v xml:space="preserve">7 </v>
      </c>
      <c r="AV245" s="2459"/>
      <c r="AW245" s="2493"/>
    </row>
    <row r="246" spans="2:53" ht="12" customHeight="1">
      <c r="B246" s="2442" t="s">
        <v>61</v>
      </c>
      <c r="C246" s="2441"/>
      <c r="D246" s="2441"/>
      <c r="E246" s="2443" t="str">
        <f>E46</f>
        <v>NONE</v>
      </c>
      <c r="F246" s="2443"/>
      <c r="G246" s="2444"/>
      <c r="H246" s="2445" t="s">
        <v>61</v>
      </c>
      <c r="I246" s="2446"/>
      <c r="J246" s="2446"/>
      <c r="K246" s="2443">
        <f>K46</f>
        <v>30</v>
      </c>
      <c r="L246" s="2443"/>
      <c r="M246" s="2447"/>
      <c r="N246" s="2448" t="s">
        <v>62</v>
      </c>
      <c r="O246" s="2441"/>
      <c r="P246" s="2441"/>
      <c r="Q246" s="2443" t="str">
        <f>Q46</f>
        <v>NONE</v>
      </c>
      <c r="R246" s="2443"/>
      <c r="S246" s="2444"/>
      <c r="T246" s="2445" t="s">
        <v>61</v>
      </c>
      <c r="U246" s="2446"/>
      <c r="V246" s="2446"/>
      <c r="W246" s="2443">
        <f>W46</f>
        <v>40</v>
      </c>
      <c r="X246" s="2443"/>
      <c r="Y246" s="2447"/>
      <c r="Z246" s="2448" t="s">
        <v>62</v>
      </c>
      <c r="AA246" s="2441"/>
      <c r="AB246" s="2441"/>
      <c r="AC246" s="2443" t="str">
        <f>AC46</f>
        <v>NONE</v>
      </c>
      <c r="AD246" s="2443"/>
      <c r="AE246" s="2444"/>
      <c r="AF246" s="2445" t="s">
        <v>61</v>
      </c>
      <c r="AG246" s="2446"/>
      <c r="AH246" s="2446"/>
      <c r="AI246" s="2443">
        <f>AI46</f>
        <v>40</v>
      </c>
      <c r="AJ246" s="2443"/>
      <c r="AK246" s="2447"/>
      <c r="AL246" s="2448" t="s">
        <v>62</v>
      </c>
      <c r="AM246" s="2441"/>
      <c r="AN246" s="2441"/>
      <c r="AO246" s="2443" t="str">
        <f>AO46</f>
        <v>NONE</v>
      </c>
      <c r="AP246" s="2443"/>
      <c r="AQ246" s="2444"/>
      <c r="AR246" s="2445" t="s">
        <v>61</v>
      </c>
      <c r="AS246" s="2446"/>
      <c r="AT246" s="2446"/>
      <c r="AU246" s="2443" t="str">
        <f>AU46</f>
        <v>NONE</v>
      </c>
      <c r="AV246" s="2443"/>
      <c r="AW246" s="2494"/>
    </row>
    <row r="247" spans="2:53" ht="12" customHeight="1">
      <c r="B247" s="2483" t="s">
        <v>63</v>
      </c>
      <c r="C247" s="2484"/>
      <c r="D247" s="2485" t="str">
        <f>D47</f>
        <v>23004KT</v>
      </c>
      <c r="E247" s="2486"/>
      <c r="F247" s="2486"/>
      <c r="G247" s="2487"/>
      <c r="H247" s="2488" t="s">
        <v>63</v>
      </c>
      <c r="I247" s="2484"/>
      <c r="J247" s="2485" t="str">
        <f>J47</f>
        <v>25010G15KT</v>
      </c>
      <c r="K247" s="2485"/>
      <c r="L247" s="2485"/>
      <c r="M247" s="2489"/>
      <c r="N247" s="2490" t="s">
        <v>64</v>
      </c>
      <c r="O247" s="2484"/>
      <c r="P247" s="2485" t="str">
        <f>P47</f>
        <v>22007KT</v>
      </c>
      <c r="Q247" s="2485"/>
      <c r="R247" s="2485"/>
      <c r="S247" s="2491"/>
      <c r="T247" s="2488" t="s">
        <v>63</v>
      </c>
      <c r="U247" s="2484"/>
      <c r="V247" s="2485" t="str">
        <f>V47</f>
        <v>26012G20KT</v>
      </c>
      <c r="W247" s="2485"/>
      <c r="X247" s="2485"/>
      <c r="Y247" s="2489"/>
      <c r="Z247" s="2490" t="s">
        <v>64</v>
      </c>
      <c r="AA247" s="2484"/>
      <c r="AB247" s="2485" t="str">
        <f>AB47</f>
        <v>04005KT</v>
      </c>
      <c r="AC247" s="2485"/>
      <c r="AD247" s="2485"/>
      <c r="AE247" s="2491"/>
      <c r="AF247" s="2488" t="s">
        <v>63</v>
      </c>
      <c r="AG247" s="2484"/>
      <c r="AH247" s="2485" t="str">
        <f>AH47</f>
        <v>05010G15KT</v>
      </c>
      <c r="AI247" s="2485"/>
      <c r="AJ247" s="2485"/>
      <c r="AK247" s="2489"/>
      <c r="AL247" s="2490" t="s">
        <v>64</v>
      </c>
      <c r="AM247" s="2484"/>
      <c r="AN247" s="2485" t="str">
        <f>AN47</f>
        <v>04007KT</v>
      </c>
      <c r="AO247" s="2485"/>
      <c r="AP247" s="2485"/>
      <c r="AQ247" s="2491"/>
      <c r="AR247" s="2488" t="s">
        <v>63</v>
      </c>
      <c r="AS247" s="2484"/>
      <c r="AT247" s="2485" t="str">
        <f>AT47</f>
        <v>04007KT</v>
      </c>
      <c r="AU247" s="2485"/>
      <c r="AV247" s="2485"/>
      <c r="AW247" s="2492"/>
    </row>
    <row r="248" spans="2:53" ht="3" customHeight="1" thickBot="1">
      <c r="B248" s="177"/>
      <c r="C248" s="178"/>
      <c r="D248" s="1907"/>
      <c r="E248" s="1907"/>
      <c r="F248" s="1907"/>
      <c r="G248" s="1907"/>
      <c r="H248" s="178"/>
      <c r="I248" s="178"/>
      <c r="J248" s="1907"/>
      <c r="K248" s="1907"/>
      <c r="L248" s="1907"/>
      <c r="M248" s="1907"/>
      <c r="N248" s="179"/>
      <c r="O248" s="178"/>
      <c r="P248" s="1907"/>
      <c r="Q248" s="1907"/>
      <c r="R248" s="1907"/>
      <c r="S248" s="1907"/>
      <c r="T248" s="178"/>
      <c r="U248" s="178"/>
      <c r="V248" s="1907"/>
      <c r="W248" s="1907"/>
      <c r="X248" s="1907"/>
      <c r="Y248" s="1908"/>
      <c r="Z248" s="178"/>
      <c r="AA248" s="178"/>
      <c r="AB248" s="1907"/>
      <c r="AC248" s="1907"/>
      <c r="AD248" s="1907"/>
      <c r="AE248" s="1907"/>
      <c r="AF248" s="178"/>
      <c r="AG248" s="178"/>
      <c r="AH248" s="1907"/>
      <c r="AI248" s="1907"/>
      <c r="AJ248" s="1907"/>
      <c r="AK248" s="1907"/>
      <c r="AL248" s="179"/>
      <c r="AM248" s="178"/>
      <c r="AN248" s="1907"/>
      <c r="AO248" s="1907"/>
      <c r="AP248" s="1907"/>
      <c r="AQ248" s="1907"/>
      <c r="AR248" s="178"/>
      <c r="AS248" s="178"/>
      <c r="AT248" s="1907"/>
      <c r="AU248" s="1907"/>
      <c r="AV248" s="1907"/>
      <c r="AW248" s="180"/>
    </row>
    <row r="249" spans="2:53" ht="12.75" customHeight="1" thickBot="1">
      <c r="B249" s="1034" t="s">
        <v>136</v>
      </c>
      <c r="C249" s="63"/>
      <c r="D249" s="64"/>
      <c r="E249" s="64" t="str">
        <f>E49</f>
        <v>34C (94F)</v>
      </c>
      <c r="F249" s="181" t="str">
        <f>F49</f>
        <v>23C (74F)</v>
      </c>
      <c r="G249" s="65"/>
      <c r="H249" s="182"/>
      <c r="I249" s="183"/>
      <c r="J249" s="184" t="str">
        <f>J49</f>
        <v>MAX WBGT:</v>
      </c>
      <c r="K249" s="2465" t="str">
        <f>K49</f>
        <v>BLACK</v>
      </c>
      <c r="L249" s="2466"/>
      <c r="M249" s="185"/>
      <c r="N249" s="186" t="s">
        <v>137</v>
      </c>
      <c r="O249" s="63"/>
      <c r="P249" s="64"/>
      <c r="Q249" s="187" t="str">
        <f>Q49</f>
        <v>33C (91F)</v>
      </c>
      <c r="R249" s="181" t="str">
        <f>R49</f>
        <v>23C (74F)</v>
      </c>
      <c r="S249" s="65"/>
      <c r="T249" s="182"/>
      <c r="U249" s="183"/>
      <c r="V249" s="184" t="str">
        <f>V49</f>
        <v>MAX WBGT:</v>
      </c>
      <c r="W249" s="2465" t="str">
        <f>W49</f>
        <v>BLACK</v>
      </c>
      <c r="X249" s="2466"/>
      <c r="Y249" s="185"/>
      <c r="Z249" s="186" t="s">
        <v>137</v>
      </c>
      <c r="AA249" s="63"/>
      <c r="AB249" s="64"/>
      <c r="AC249" s="187" t="str">
        <f>AC49</f>
        <v>28C (83F)</v>
      </c>
      <c r="AD249" s="181" t="str">
        <f>AD49</f>
        <v>21C (69F)</v>
      </c>
      <c r="AE249" s="65"/>
      <c r="AF249" s="182"/>
      <c r="AG249" s="188"/>
      <c r="AH249" s="184" t="str">
        <f>AH49</f>
        <v>MAX WBGT:</v>
      </c>
      <c r="AI249" s="2465" t="str">
        <f>AI49</f>
        <v>GREEN</v>
      </c>
      <c r="AJ249" s="2466"/>
      <c r="AK249" s="185"/>
      <c r="AL249" s="186" t="s">
        <v>137</v>
      </c>
      <c r="AM249" s="63"/>
      <c r="AN249" s="64"/>
      <c r="AO249" s="187" t="str">
        <f>AO49</f>
        <v>30C (86F)</v>
      </c>
      <c r="AP249" s="181" t="str">
        <f>AP49</f>
        <v>17C (62F)</v>
      </c>
      <c r="AQ249" s="65"/>
      <c r="AR249" s="182"/>
      <c r="AS249" s="188"/>
      <c r="AT249" s="184" t="str">
        <f>AT49</f>
        <v>MAX WBGT:</v>
      </c>
      <c r="AU249" s="2465" t="str">
        <f>AU49</f>
        <v>YELLOW</v>
      </c>
      <c r="AV249" s="2466"/>
      <c r="AW249" s="189"/>
    </row>
    <row r="250" spans="2:53" ht="3" customHeight="1">
      <c r="B250" s="177"/>
      <c r="C250" s="1906"/>
      <c r="D250" s="1907"/>
      <c r="E250" s="1907"/>
      <c r="F250" s="1907"/>
      <c r="G250" s="1907"/>
      <c r="H250" s="178"/>
      <c r="I250" s="178"/>
      <c r="J250" s="190"/>
      <c r="K250" s="190"/>
      <c r="L250" s="1907"/>
      <c r="M250" s="1907"/>
      <c r="N250" s="179"/>
      <c r="O250" s="178"/>
      <c r="P250" s="1907"/>
      <c r="Q250" s="1907"/>
      <c r="R250" s="1907"/>
      <c r="S250" s="1907"/>
      <c r="T250" s="178"/>
      <c r="U250" s="178"/>
      <c r="V250" s="1907"/>
      <c r="W250" s="1907"/>
      <c r="X250" s="1907"/>
      <c r="Y250" s="1908"/>
      <c r="Z250" s="178"/>
      <c r="AA250" s="178"/>
      <c r="AB250" s="1907"/>
      <c r="AC250" s="1907"/>
      <c r="AD250" s="1907"/>
      <c r="AE250" s="1907"/>
      <c r="AF250" s="178"/>
      <c r="AG250" s="178"/>
      <c r="AH250" s="1907"/>
      <c r="AI250" s="1907"/>
      <c r="AJ250" s="1907"/>
      <c r="AK250" s="1907"/>
      <c r="AL250" s="179"/>
      <c r="AM250" s="178"/>
      <c r="AN250" s="1907"/>
      <c r="AO250" s="1907"/>
      <c r="AP250" s="1907"/>
      <c r="AQ250" s="1907"/>
      <c r="AR250" s="178"/>
      <c r="AS250" s="178"/>
      <c r="AT250" s="1907"/>
      <c r="AU250" s="1907"/>
      <c r="AV250" s="1907"/>
      <c r="AW250" s="180"/>
    </row>
    <row r="251" spans="2:53" ht="11.25" customHeight="1">
      <c r="B251" s="2481" t="s">
        <v>102</v>
      </c>
      <c r="C251" s="2476"/>
      <c r="D251" s="2476"/>
      <c r="E251" s="2476"/>
      <c r="F251" s="2476"/>
      <c r="G251" s="2476"/>
      <c r="H251" s="2476"/>
      <c r="I251" s="2476"/>
      <c r="J251" s="2476"/>
      <c r="K251" s="2476"/>
      <c r="L251" s="2476"/>
      <c r="M251" s="2476"/>
      <c r="N251" s="2475" t="s">
        <v>102</v>
      </c>
      <c r="O251" s="2476"/>
      <c r="P251" s="2476"/>
      <c r="Q251" s="2476"/>
      <c r="R251" s="2476"/>
      <c r="S251" s="2476"/>
      <c r="T251" s="2476"/>
      <c r="U251" s="2476"/>
      <c r="V251" s="2476"/>
      <c r="W251" s="2476"/>
      <c r="X251" s="2476"/>
      <c r="Y251" s="2482"/>
      <c r="Z251" s="2476" t="s">
        <v>102</v>
      </c>
      <c r="AA251" s="2476"/>
      <c r="AB251" s="2476"/>
      <c r="AC251" s="2476"/>
      <c r="AD251" s="2476"/>
      <c r="AE251" s="2476"/>
      <c r="AF251" s="2476"/>
      <c r="AG251" s="2476"/>
      <c r="AH251" s="2476"/>
      <c r="AI251" s="2476"/>
      <c r="AJ251" s="2476"/>
      <c r="AK251" s="2476"/>
      <c r="AL251" s="2475" t="s">
        <v>102</v>
      </c>
      <c r="AM251" s="2476"/>
      <c r="AN251" s="2476"/>
      <c r="AO251" s="2476"/>
      <c r="AP251" s="2476"/>
      <c r="AQ251" s="2476"/>
      <c r="AR251" s="2476"/>
      <c r="AS251" s="2476"/>
      <c r="AT251" s="2476"/>
      <c r="AU251" s="2476"/>
      <c r="AV251" s="2476"/>
      <c r="AW251" s="2477"/>
    </row>
    <row r="252" spans="2:53" ht="9" customHeight="1">
      <c r="B252" s="2478" t="s">
        <v>9</v>
      </c>
      <c r="C252" s="2479"/>
      <c r="D252" s="2479"/>
      <c r="E252" s="2463">
        <f>E52</f>
        <v>44749.22152777778</v>
      </c>
      <c r="F252" s="2463"/>
      <c r="G252" s="2463"/>
      <c r="H252" s="2470" t="s">
        <v>11</v>
      </c>
      <c r="I252" s="2470"/>
      <c r="J252" s="2470"/>
      <c r="K252" s="2463">
        <f>K52</f>
        <v>44749.609027777777</v>
      </c>
      <c r="L252" s="2463"/>
      <c r="M252" s="2463"/>
      <c r="N252" s="2480" t="s">
        <v>9</v>
      </c>
      <c r="O252" s="2479"/>
      <c r="P252" s="2479"/>
      <c r="Q252" s="2463">
        <f>Q52</f>
        <v>44750.22152777778</v>
      </c>
      <c r="R252" s="2463"/>
      <c r="S252" s="2463"/>
      <c r="T252" s="2470" t="s">
        <v>11</v>
      </c>
      <c r="U252" s="2470"/>
      <c r="V252" s="2470"/>
      <c r="W252" s="2463">
        <f>W52</f>
        <v>44750.65625</v>
      </c>
      <c r="X252" s="2463"/>
      <c r="Y252" s="2463"/>
      <c r="Z252" s="2479" t="s">
        <v>9</v>
      </c>
      <c r="AA252" s="2479"/>
      <c r="AB252" s="2479"/>
      <c r="AC252" s="2463">
        <f>AC52</f>
        <v>44751.222222222226</v>
      </c>
      <c r="AD252" s="2463"/>
      <c r="AE252" s="2463"/>
      <c r="AF252" s="2470" t="s">
        <v>11</v>
      </c>
      <c r="AG252" s="2470"/>
      <c r="AH252" s="2470"/>
      <c r="AI252" s="2463">
        <f>AI52</f>
        <v>44751.706944444442</v>
      </c>
      <c r="AJ252" s="2463"/>
      <c r="AK252" s="2463"/>
      <c r="AL252" s="2480" t="s">
        <v>9</v>
      </c>
      <c r="AM252" s="2479"/>
      <c r="AN252" s="2479"/>
      <c r="AO252" s="2463">
        <f>AO52</f>
        <v>44752.222916666666</v>
      </c>
      <c r="AP252" s="2463"/>
      <c r="AQ252" s="2463"/>
      <c r="AR252" s="2470" t="s">
        <v>11</v>
      </c>
      <c r="AS252" s="2470"/>
      <c r="AT252" s="2470"/>
      <c r="AU252" s="2463">
        <f>AU52</f>
        <v>44752.759027777778</v>
      </c>
      <c r="AV252" s="2463"/>
      <c r="AW252" s="2471"/>
    </row>
    <row r="253" spans="2:53" ht="9" customHeight="1">
      <c r="B253" s="2461" t="s">
        <v>10</v>
      </c>
      <c r="C253" s="2462"/>
      <c r="D253" s="2462"/>
      <c r="E253" s="2463">
        <f>E53</f>
        <v>44749.269444444442</v>
      </c>
      <c r="F253" s="2463"/>
      <c r="G253" s="2463"/>
      <c r="H253" s="2470" t="s">
        <v>13</v>
      </c>
      <c r="I253" s="2470"/>
      <c r="J253" s="2470"/>
      <c r="K253" s="2463">
        <f>K53</f>
        <v>44749.066666666666</v>
      </c>
      <c r="L253" s="2463"/>
      <c r="M253" s="2463"/>
      <c r="N253" s="2464" t="s">
        <v>10</v>
      </c>
      <c r="O253" s="2462"/>
      <c r="P253" s="2462"/>
      <c r="Q253" s="2463">
        <f>Q53</f>
        <v>44750.270138888889</v>
      </c>
      <c r="R253" s="2463"/>
      <c r="S253" s="2463"/>
      <c r="T253" s="2470" t="s">
        <v>13</v>
      </c>
      <c r="U253" s="2470"/>
      <c r="V253" s="2470"/>
      <c r="W253" s="2463">
        <f>W53</f>
        <v>44750.085416666669</v>
      </c>
      <c r="X253" s="2463"/>
      <c r="Y253" s="2463"/>
      <c r="Z253" s="2462" t="s">
        <v>10</v>
      </c>
      <c r="AA253" s="2462"/>
      <c r="AB253" s="2462"/>
      <c r="AC253" s="2463">
        <f>AC53</f>
        <v>44751.270138888889</v>
      </c>
      <c r="AD253" s="2463"/>
      <c r="AE253" s="2463"/>
      <c r="AF253" s="2470" t="s">
        <v>13</v>
      </c>
      <c r="AG253" s="2470"/>
      <c r="AH253" s="2470"/>
      <c r="AI253" s="2463">
        <f>AI53</f>
        <v>44751.106250000004</v>
      </c>
      <c r="AJ253" s="2463"/>
      <c r="AK253" s="2463"/>
      <c r="AL253" s="2464" t="s">
        <v>10</v>
      </c>
      <c r="AM253" s="2462"/>
      <c r="AN253" s="2462"/>
      <c r="AO253" s="2463">
        <f>AO53</f>
        <v>44752.270833333336</v>
      </c>
      <c r="AP253" s="2463"/>
      <c r="AQ253" s="2463"/>
      <c r="AR253" s="2470" t="s">
        <v>13</v>
      </c>
      <c r="AS253" s="2470"/>
      <c r="AT253" s="2470"/>
      <c r="AU253" s="2463">
        <f>AU53</f>
        <v>44752.131249999999</v>
      </c>
      <c r="AV253" s="2463"/>
      <c r="AW253" s="2471"/>
    </row>
    <row r="254" spans="2:53" ht="9" customHeight="1">
      <c r="B254" s="2461" t="s">
        <v>12</v>
      </c>
      <c r="C254" s="2462"/>
      <c r="D254" s="2462"/>
      <c r="E254" s="2463">
        <f>E54</f>
        <v>44749.881249999999</v>
      </c>
      <c r="F254" s="2463"/>
      <c r="G254" s="2463"/>
      <c r="H254" s="2470" t="s">
        <v>89</v>
      </c>
      <c r="I254" s="2470"/>
      <c r="J254" s="2470"/>
      <c r="K254" s="2472">
        <f>K54</f>
        <v>51</v>
      </c>
      <c r="L254" s="2472"/>
      <c r="M254" s="2473"/>
      <c r="N254" s="2464" t="s">
        <v>12</v>
      </c>
      <c r="O254" s="2462"/>
      <c r="P254" s="2462"/>
      <c r="Q254" s="2463">
        <f>Q54</f>
        <v>44750.881249999999</v>
      </c>
      <c r="R254" s="2463"/>
      <c r="S254" s="2463"/>
      <c r="T254" s="2470" t="s">
        <v>89</v>
      </c>
      <c r="U254" s="2470"/>
      <c r="V254" s="2470"/>
      <c r="W254" s="2472">
        <f>W54</f>
        <v>62</v>
      </c>
      <c r="X254" s="2472"/>
      <c r="Y254" s="2473"/>
      <c r="Z254" s="2462" t="s">
        <v>12</v>
      </c>
      <c r="AA254" s="2462"/>
      <c r="AB254" s="2462"/>
      <c r="AC254" s="2463">
        <f>AC54</f>
        <v>44751.881249999999</v>
      </c>
      <c r="AD254" s="2463"/>
      <c r="AE254" s="2463"/>
      <c r="AF254" s="2470" t="s">
        <v>89</v>
      </c>
      <c r="AG254" s="2470"/>
      <c r="AH254" s="2470"/>
      <c r="AI254" s="2472">
        <f>AI54</f>
        <v>73</v>
      </c>
      <c r="AJ254" s="2472"/>
      <c r="AK254" s="2473"/>
      <c r="AL254" s="2464" t="s">
        <v>12</v>
      </c>
      <c r="AM254" s="2462"/>
      <c r="AN254" s="2462"/>
      <c r="AO254" s="2463">
        <f>AO54</f>
        <v>44752.880555555559</v>
      </c>
      <c r="AP254" s="2463"/>
      <c r="AQ254" s="2463"/>
      <c r="AR254" s="2470" t="s">
        <v>89</v>
      </c>
      <c r="AS254" s="2470"/>
      <c r="AT254" s="2470"/>
      <c r="AU254" s="2472">
        <f>AU54</f>
        <v>82</v>
      </c>
      <c r="AV254" s="2472"/>
      <c r="AW254" s="2474"/>
    </row>
    <row r="255" spans="2:53" ht="9" customHeight="1" thickBot="1">
      <c r="B255" s="2461" t="s">
        <v>14</v>
      </c>
      <c r="C255" s="2462"/>
      <c r="D255" s="2462"/>
      <c r="E255" s="2463">
        <f>E55</f>
        <v>44749.929861111108</v>
      </c>
      <c r="F255" s="2463"/>
      <c r="G255" s="2463"/>
      <c r="H255" s="191"/>
      <c r="I255" s="191"/>
      <c r="J255" s="191"/>
      <c r="K255" s="191"/>
      <c r="L255" s="191"/>
      <c r="M255" s="191"/>
      <c r="N255" s="2464" t="s">
        <v>14</v>
      </c>
      <c r="O255" s="2462"/>
      <c r="P255" s="2462"/>
      <c r="Q255" s="2463">
        <f>Q55</f>
        <v>44750.929166666661</v>
      </c>
      <c r="R255" s="2463"/>
      <c r="S255" s="2463"/>
      <c r="T255" s="191"/>
      <c r="U255" s="191"/>
      <c r="V255" s="191"/>
      <c r="W255" s="191"/>
      <c r="X255" s="191"/>
      <c r="Y255" s="191"/>
      <c r="Z255" s="2462" t="s">
        <v>14</v>
      </c>
      <c r="AA255" s="2462"/>
      <c r="AB255" s="2462"/>
      <c r="AC255" s="2463">
        <f>AC55</f>
        <v>44751.929166666661</v>
      </c>
      <c r="AD255" s="2463"/>
      <c r="AE255" s="2463"/>
      <c r="AF255" s="191"/>
      <c r="AG255" s="191"/>
      <c r="AH255" s="191"/>
      <c r="AI255" s="191"/>
      <c r="AJ255" s="191"/>
      <c r="AK255" s="191"/>
      <c r="AL255" s="2464" t="s">
        <v>14</v>
      </c>
      <c r="AM255" s="2462"/>
      <c r="AN255" s="2462"/>
      <c r="AO255" s="2463">
        <f>AO55</f>
        <v>44752.929166666661</v>
      </c>
      <c r="AP255" s="2463"/>
      <c r="AQ255" s="2463"/>
      <c r="AR255" s="191"/>
      <c r="AS255" s="191"/>
      <c r="AT255" s="191"/>
      <c r="AU255" s="972"/>
      <c r="AV255" s="972"/>
      <c r="AW255" s="973"/>
    </row>
    <row r="256" spans="2:53" s="55" customFormat="1" ht="12" customHeight="1" thickBot="1">
      <c r="B256" s="194" t="s">
        <v>103</v>
      </c>
      <c r="C256" s="195"/>
      <c r="D256" s="195"/>
      <c r="E256" s="195"/>
      <c r="F256" s="195"/>
      <c r="G256" s="196" t="s">
        <v>68</v>
      </c>
      <c r="H256" s="197" t="s">
        <v>69</v>
      </c>
      <c r="I256" s="197"/>
      <c r="J256" s="197"/>
      <c r="K256" s="195"/>
      <c r="L256" s="196"/>
      <c r="M256" s="197"/>
      <c r="N256" s="197"/>
      <c r="O256" s="197"/>
      <c r="P256" s="195"/>
      <c r="Q256" s="195"/>
      <c r="R256" s="195"/>
      <c r="S256" s="196" t="s">
        <v>138</v>
      </c>
      <c r="T256" s="197" t="s">
        <v>71</v>
      </c>
      <c r="U256" s="197"/>
      <c r="V256" s="197"/>
      <c r="W256" s="197"/>
      <c r="X256" s="195"/>
      <c r="Y256" s="196" t="s">
        <v>72</v>
      </c>
      <c r="Z256" s="197" t="s">
        <v>73</v>
      </c>
      <c r="AA256" s="197"/>
      <c r="AB256" s="196"/>
      <c r="AC256" s="197"/>
      <c r="AD256" s="195"/>
      <c r="AE256" s="195"/>
      <c r="AF256" s="372" t="s">
        <v>139</v>
      </c>
      <c r="AG256" s="370" t="s">
        <v>140</v>
      </c>
      <c r="AH256" s="195"/>
      <c r="AI256" s="195"/>
      <c r="AJ256" s="196"/>
      <c r="AK256" s="372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1"/>
      <c r="AX256" s="199"/>
      <c r="AY256" s="199"/>
      <c r="AZ256" s="199"/>
      <c r="BA256" s="199"/>
    </row>
  </sheetData>
  <sheetProtection algorithmName="SHA-512" hashValue="IH8/+JzHPPGGqqiinksZwSaMu/99nw3CcA4sdRpczsdS0t0VbK66dJPxnEyQwD5p/kGSYWtEDTgvAw827pcUzQ==" saltValue="bLdQwsXXNzVm/CLISNWy6g==" spinCount="100000" sheet="1" objects="1" scenarios="1"/>
  <mergeCells count="963">
    <mergeCell ref="AH33:AK33"/>
    <mergeCell ref="AG23:AI23"/>
    <mergeCell ref="AJ23:AL23"/>
    <mergeCell ref="AG25:AL25"/>
    <mergeCell ref="AG27:AI27"/>
    <mergeCell ref="AJ27:AL27"/>
    <mergeCell ref="AG29:AL29"/>
    <mergeCell ref="AG30:AL30"/>
    <mergeCell ref="W22:X22"/>
    <mergeCell ref="Y22:Z22"/>
    <mergeCell ref="Y32:Z32"/>
    <mergeCell ref="AA32:AB32"/>
    <mergeCell ref="AC32:AD32"/>
    <mergeCell ref="AE32:AF32"/>
    <mergeCell ref="AC25:AD25"/>
    <mergeCell ref="AL33:AW33"/>
    <mergeCell ref="AM32:AO32"/>
    <mergeCell ref="AE24:AF24"/>
    <mergeCell ref="AP23:AW23"/>
    <mergeCell ref="AA27:AB27"/>
    <mergeCell ref="AC27:AD27"/>
    <mergeCell ref="AC28:AD28"/>
    <mergeCell ref="Y28:Z28"/>
    <mergeCell ref="AA28:AB28"/>
    <mergeCell ref="B28:C28"/>
    <mergeCell ref="D28:E28"/>
    <mergeCell ref="AG24:AL24"/>
    <mergeCell ref="AP27:AW27"/>
    <mergeCell ref="AM31:AO31"/>
    <mergeCell ref="Y24:Z24"/>
    <mergeCell ref="AA24:AB24"/>
    <mergeCell ref="W24:X24"/>
    <mergeCell ref="U25:V25"/>
    <mergeCell ref="W25:X25"/>
    <mergeCell ref="AA26:AB26"/>
    <mergeCell ref="U31:V31"/>
    <mergeCell ref="AP24:AW24"/>
    <mergeCell ref="AP25:AW25"/>
    <mergeCell ref="AP26:AW26"/>
    <mergeCell ref="B27:C27"/>
    <mergeCell ref="D27:E27"/>
    <mergeCell ref="F27:G27"/>
    <mergeCell ref="H27:I27"/>
    <mergeCell ref="J27:K27"/>
    <mergeCell ref="F28:G28"/>
    <mergeCell ref="AM30:AO30"/>
    <mergeCell ref="AP28:AW28"/>
    <mergeCell ref="AP29:AW29"/>
    <mergeCell ref="U32:V32"/>
    <mergeCell ref="P68:V68"/>
    <mergeCell ref="X68:AC68"/>
    <mergeCell ref="W32:X32"/>
    <mergeCell ref="S25:T25"/>
    <mergeCell ref="AC24:AD24"/>
    <mergeCell ref="W7:Y8"/>
    <mergeCell ref="Z7:AA8"/>
    <mergeCell ref="W9:Y10"/>
    <mergeCell ref="Z9:AA10"/>
    <mergeCell ref="W11:Y12"/>
    <mergeCell ref="Z11:AA12"/>
    <mergeCell ref="W13:Y14"/>
    <mergeCell ref="Z13:AA14"/>
    <mergeCell ref="W23:X23"/>
    <mergeCell ref="Y23:Z23"/>
    <mergeCell ref="AA23:AB23"/>
    <mergeCell ref="AB7:AF7"/>
    <mergeCell ref="AB8:AD9"/>
    <mergeCell ref="AE8:AF9"/>
    <mergeCell ref="AB10:AD11"/>
    <mergeCell ref="AE10:AF11"/>
    <mergeCell ref="AB12:AD13"/>
    <mergeCell ref="AE12:AF13"/>
    <mergeCell ref="AE23:AF23"/>
    <mergeCell ref="AC23:AD23"/>
    <mergeCell ref="W21:X21"/>
    <mergeCell ref="Y21:Z21"/>
    <mergeCell ref="AA22:AB22"/>
    <mergeCell ref="AY32:BF32"/>
    <mergeCell ref="AZ19:BC19"/>
    <mergeCell ref="AG31:AL31"/>
    <mergeCell ref="AG28:AI28"/>
    <mergeCell ref="AJ28:AL28"/>
    <mergeCell ref="AG26:AL26"/>
    <mergeCell ref="AM19:AO19"/>
    <mergeCell ref="AM21:AO21"/>
    <mergeCell ref="AM22:AO22"/>
    <mergeCell ref="AM23:AO23"/>
    <mergeCell ref="AM24:AO24"/>
    <mergeCell ref="AM25:AO25"/>
    <mergeCell ref="AM26:AO26"/>
    <mergeCell ref="AM27:AO27"/>
    <mergeCell ref="AG19:AI19"/>
    <mergeCell ref="AP20:AW20"/>
    <mergeCell ref="AP21:AW21"/>
    <mergeCell ref="AP22:AW22"/>
    <mergeCell ref="AP30:AW30"/>
    <mergeCell ref="AP31:AW31"/>
    <mergeCell ref="AP32:AW32"/>
    <mergeCell ref="AM28:AO28"/>
    <mergeCell ref="AM29:AO29"/>
    <mergeCell ref="AG32:AI32"/>
    <mergeCell ref="B7:S7"/>
    <mergeCell ref="AG9:AK10"/>
    <mergeCell ref="AS9:AW10"/>
    <mergeCell ref="AG7:AK8"/>
    <mergeCell ref="AS7:AW8"/>
    <mergeCell ref="AL8:AO12"/>
    <mergeCell ref="AP8:AR10"/>
    <mergeCell ref="B16:S16"/>
    <mergeCell ref="B15:S15"/>
    <mergeCell ref="B14:S14"/>
    <mergeCell ref="B13:S13"/>
    <mergeCell ref="B12:S12"/>
    <mergeCell ref="B11:S11"/>
    <mergeCell ref="B10:S10"/>
    <mergeCell ref="B9:S9"/>
    <mergeCell ref="B8:S8"/>
    <mergeCell ref="B20:C20"/>
    <mergeCell ref="D20:E20"/>
    <mergeCell ref="AG13:AK14"/>
    <mergeCell ref="AL13:AO14"/>
    <mergeCell ref="AS13:AW14"/>
    <mergeCell ref="AP14:AR16"/>
    <mergeCell ref="T5:V7"/>
    <mergeCell ref="T8:V11"/>
    <mergeCell ref="T12:V16"/>
    <mergeCell ref="AG15:AK16"/>
    <mergeCell ref="AL15:AO16"/>
    <mergeCell ref="AG11:AK12"/>
    <mergeCell ref="AP11:AR13"/>
    <mergeCell ref="AS11:AW12"/>
    <mergeCell ref="AS15:AW16"/>
    <mergeCell ref="AB14:AF14"/>
    <mergeCell ref="B6:S6"/>
    <mergeCell ref="B5:S5"/>
    <mergeCell ref="AG4:AK4"/>
    <mergeCell ref="AL4:AO4"/>
    <mergeCell ref="AP4:AR4"/>
    <mergeCell ref="AS4:AW4"/>
    <mergeCell ref="B2:AW2"/>
    <mergeCell ref="F3:Q3"/>
    <mergeCell ref="R3:S3"/>
    <mergeCell ref="AG3:AH3"/>
    <mergeCell ref="AI3:AK3"/>
    <mergeCell ref="AL3:AR3"/>
    <mergeCell ref="W4:AF4"/>
    <mergeCell ref="T3:AF3"/>
    <mergeCell ref="B4:S4"/>
    <mergeCell ref="T4:V4"/>
    <mergeCell ref="AG5:AK6"/>
    <mergeCell ref="AL5:AO7"/>
    <mergeCell ref="AP5:AR7"/>
    <mergeCell ref="AS5:AW6"/>
    <mergeCell ref="F20:G20"/>
    <mergeCell ref="H20:I20"/>
    <mergeCell ref="J20:K20"/>
    <mergeCell ref="L20:M20"/>
    <mergeCell ref="AA20:AB20"/>
    <mergeCell ref="AC20:AD20"/>
    <mergeCell ref="B17:V17"/>
    <mergeCell ref="W17:AF17"/>
    <mergeCell ref="P20:R20"/>
    <mergeCell ref="S20:T20"/>
    <mergeCell ref="U20:V20"/>
    <mergeCell ref="W20:X20"/>
    <mergeCell ref="Y20:Z20"/>
    <mergeCell ref="AE20:AF20"/>
    <mergeCell ref="B18:E19"/>
    <mergeCell ref="F18:I19"/>
    <mergeCell ref="J18:K19"/>
    <mergeCell ref="L18:M19"/>
    <mergeCell ref="N18:O19"/>
    <mergeCell ref="P18:R19"/>
    <mergeCell ref="W18:X19"/>
    <mergeCell ref="S18:T18"/>
    <mergeCell ref="U18:V18"/>
    <mergeCell ref="S19:T19"/>
    <mergeCell ref="AG17:AL17"/>
    <mergeCell ref="AM17:AW17"/>
    <mergeCell ref="AP18:AW18"/>
    <mergeCell ref="AE18:AF19"/>
    <mergeCell ref="AG18:AL18"/>
    <mergeCell ref="AM18:AO18"/>
    <mergeCell ref="Y18:Z19"/>
    <mergeCell ref="AA18:AB19"/>
    <mergeCell ref="AC18:AD19"/>
    <mergeCell ref="AJ19:AL19"/>
    <mergeCell ref="AP19:AW19"/>
    <mergeCell ref="U19:V19"/>
    <mergeCell ref="AM20:AO20"/>
    <mergeCell ref="AE21:AF21"/>
    <mergeCell ref="AG21:AI21"/>
    <mergeCell ref="AJ21:AL21"/>
    <mergeCell ref="AE22:AF22"/>
    <mergeCell ref="AG22:AI22"/>
    <mergeCell ref="AJ22:AL22"/>
    <mergeCell ref="AA21:AB21"/>
    <mergeCell ref="AC21:AD21"/>
    <mergeCell ref="AC22:AD22"/>
    <mergeCell ref="AG20:AL20"/>
    <mergeCell ref="B22:C22"/>
    <mergeCell ref="D22:E22"/>
    <mergeCell ref="F22:G22"/>
    <mergeCell ref="H22:I22"/>
    <mergeCell ref="J22:K22"/>
    <mergeCell ref="P21:R21"/>
    <mergeCell ref="S21:T21"/>
    <mergeCell ref="U21:V21"/>
    <mergeCell ref="B21:C21"/>
    <mergeCell ref="D21:E21"/>
    <mergeCell ref="F21:G21"/>
    <mergeCell ref="H21:I21"/>
    <mergeCell ref="J21:K21"/>
    <mergeCell ref="L21:M21"/>
    <mergeCell ref="L22:M22"/>
    <mergeCell ref="P22:R22"/>
    <mergeCell ref="S22:T22"/>
    <mergeCell ref="U22:V22"/>
    <mergeCell ref="B23:C23"/>
    <mergeCell ref="D23:E23"/>
    <mergeCell ref="F23:G23"/>
    <mergeCell ref="H23:I23"/>
    <mergeCell ref="J23:K23"/>
    <mergeCell ref="L23:M23"/>
    <mergeCell ref="P23:R23"/>
    <mergeCell ref="P24:R24"/>
    <mergeCell ref="B24:C24"/>
    <mergeCell ref="D24:E24"/>
    <mergeCell ref="F24:G24"/>
    <mergeCell ref="H24:I24"/>
    <mergeCell ref="J24:K24"/>
    <mergeCell ref="L24:M24"/>
    <mergeCell ref="B25:C25"/>
    <mergeCell ref="D25:E25"/>
    <mergeCell ref="F25:G25"/>
    <mergeCell ref="H25:I25"/>
    <mergeCell ref="J25:K25"/>
    <mergeCell ref="L27:M27"/>
    <mergeCell ref="P27:R27"/>
    <mergeCell ref="L26:M26"/>
    <mergeCell ref="P26:R26"/>
    <mergeCell ref="B26:C26"/>
    <mergeCell ref="D26:E26"/>
    <mergeCell ref="F26:G26"/>
    <mergeCell ref="H26:I26"/>
    <mergeCell ref="J26:K26"/>
    <mergeCell ref="L25:M25"/>
    <mergeCell ref="P25:R25"/>
    <mergeCell ref="S23:T23"/>
    <mergeCell ref="U23:V23"/>
    <mergeCell ref="S26:T26"/>
    <mergeCell ref="U26:V26"/>
    <mergeCell ref="S24:T24"/>
    <mergeCell ref="U24:V24"/>
    <mergeCell ref="S27:T27"/>
    <mergeCell ref="U27:V27"/>
    <mergeCell ref="W27:X27"/>
    <mergeCell ref="H28:I28"/>
    <mergeCell ref="J28:K28"/>
    <mergeCell ref="L28:M28"/>
    <mergeCell ref="P28:R28"/>
    <mergeCell ref="S28:T28"/>
    <mergeCell ref="U28:V28"/>
    <mergeCell ref="W28:X28"/>
    <mergeCell ref="U29:V29"/>
    <mergeCell ref="W29:X29"/>
    <mergeCell ref="L29:M29"/>
    <mergeCell ref="P29:R29"/>
    <mergeCell ref="S29:T29"/>
    <mergeCell ref="B29:C29"/>
    <mergeCell ref="D29:E29"/>
    <mergeCell ref="F29:G29"/>
    <mergeCell ref="H29:I29"/>
    <mergeCell ref="J29:K29"/>
    <mergeCell ref="L30:M30"/>
    <mergeCell ref="P30:R30"/>
    <mergeCell ref="S30:T30"/>
    <mergeCell ref="U30:V30"/>
    <mergeCell ref="D30:E30"/>
    <mergeCell ref="F30:G30"/>
    <mergeCell ref="H30:I30"/>
    <mergeCell ref="J30:K30"/>
    <mergeCell ref="B30:C30"/>
    <mergeCell ref="P31:R31"/>
    <mergeCell ref="S31:T31"/>
    <mergeCell ref="B32:C32"/>
    <mergeCell ref="D32:E32"/>
    <mergeCell ref="F32:G32"/>
    <mergeCell ref="H32:I32"/>
    <mergeCell ref="J32:K32"/>
    <mergeCell ref="L32:M32"/>
    <mergeCell ref="P32:R32"/>
    <mergeCell ref="S32:T32"/>
    <mergeCell ref="B36:J36"/>
    <mergeCell ref="B34:J34"/>
    <mergeCell ref="B35:J35"/>
    <mergeCell ref="B31:C31"/>
    <mergeCell ref="D31:E31"/>
    <mergeCell ref="F31:G31"/>
    <mergeCell ref="H31:I31"/>
    <mergeCell ref="J31:K31"/>
    <mergeCell ref="L31:M31"/>
    <mergeCell ref="V35:AH35"/>
    <mergeCell ref="AI35:AU35"/>
    <mergeCell ref="V36:AH36"/>
    <mergeCell ref="AI36:AU36"/>
    <mergeCell ref="V34:AH34"/>
    <mergeCell ref="AI34:AU34"/>
    <mergeCell ref="K34:U34"/>
    <mergeCell ref="K35:U35"/>
    <mergeCell ref="K36:U36"/>
    <mergeCell ref="V40:AH40"/>
    <mergeCell ref="AI40:AU40"/>
    <mergeCell ref="V37:AH37"/>
    <mergeCell ref="AI37:AU37"/>
    <mergeCell ref="V38:AH38"/>
    <mergeCell ref="AI38:AU38"/>
    <mergeCell ref="V39:AH39"/>
    <mergeCell ref="AI39:AU39"/>
    <mergeCell ref="B37:J37"/>
    <mergeCell ref="B38:J38"/>
    <mergeCell ref="K37:U37"/>
    <mergeCell ref="K38:U38"/>
    <mergeCell ref="K39:U39"/>
    <mergeCell ref="K40:U40"/>
    <mergeCell ref="B39:J39"/>
    <mergeCell ref="B40:J40"/>
    <mergeCell ref="V41:AH41"/>
    <mergeCell ref="AI41:AU41"/>
    <mergeCell ref="B42:AW42"/>
    <mergeCell ref="B43:M43"/>
    <mergeCell ref="N43:Y43"/>
    <mergeCell ref="Z43:AK43"/>
    <mergeCell ref="AL43:AW43"/>
    <mergeCell ref="K41:U41"/>
    <mergeCell ref="B41:J41"/>
    <mergeCell ref="B45:D45"/>
    <mergeCell ref="H45:J45"/>
    <mergeCell ref="N45:P45"/>
    <mergeCell ref="T45:V45"/>
    <mergeCell ref="B44:G44"/>
    <mergeCell ref="H44:M44"/>
    <mergeCell ref="N44:S44"/>
    <mergeCell ref="T44:Y44"/>
    <mergeCell ref="Z44:AE44"/>
    <mergeCell ref="K45:M45"/>
    <mergeCell ref="E45:G45"/>
    <mergeCell ref="Q45:S45"/>
    <mergeCell ref="W45:Y45"/>
    <mergeCell ref="AC45:AE45"/>
    <mergeCell ref="B46:D46"/>
    <mergeCell ref="E46:G46"/>
    <mergeCell ref="H46:J46"/>
    <mergeCell ref="K46:M46"/>
    <mergeCell ref="N46:P46"/>
    <mergeCell ref="Q46:S46"/>
    <mergeCell ref="K49:L49"/>
    <mergeCell ref="W49:X49"/>
    <mergeCell ref="AI49:AJ49"/>
    <mergeCell ref="Z47:AA47"/>
    <mergeCell ref="AB47:AE47"/>
    <mergeCell ref="AF47:AG47"/>
    <mergeCell ref="AH47:AK47"/>
    <mergeCell ref="B47:C47"/>
    <mergeCell ref="D47:G47"/>
    <mergeCell ref="H47:I47"/>
    <mergeCell ref="J47:M47"/>
    <mergeCell ref="N47:O47"/>
    <mergeCell ref="P47:S47"/>
    <mergeCell ref="T47:U47"/>
    <mergeCell ref="V47:Y47"/>
    <mergeCell ref="Z46:AB46"/>
    <mergeCell ref="T46:V46"/>
    <mergeCell ref="W46:Y46"/>
    <mergeCell ref="B51:M51"/>
    <mergeCell ref="N51:Y51"/>
    <mergeCell ref="Z51:AK51"/>
    <mergeCell ref="AL51:AW51"/>
    <mergeCell ref="B52:D52"/>
    <mergeCell ref="E52:G52"/>
    <mergeCell ref="H52:J52"/>
    <mergeCell ref="K52:M52"/>
    <mergeCell ref="N52:P52"/>
    <mergeCell ref="Q52:S52"/>
    <mergeCell ref="AL52:AN52"/>
    <mergeCell ref="AO52:AQ52"/>
    <mergeCell ref="AR52:AT52"/>
    <mergeCell ref="AU52:AW52"/>
    <mergeCell ref="AC52:AE52"/>
    <mergeCell ref="AF52:AH52"/>
    <mergeCell ref="AI52:AK52"/>
    <mergeCell ref="T52:V52"/>
    <mergeCell ref="W52:Y52"/>
    <mergeCell ref="Z52:AB52"/>
    <mergeCell ref="B53:D53"/>
    <mergeCell ref="E53:G53"/>
    <mergeCell ref="H53:J53"/>
    <mergeCell ref="K53:M53"/>
    <mergeCell ref="N53:P53"/>
    <mergeCell ref="Q53:S53"/>
    <mergeCell ref="AU54:AW54"/>
    <mergeCell ref="AF54:AH54"/>
    <mergeCell ref="AI54:AK54"/>
    <mergeCell ref="AL54:AN54"/>
    <mergeCell ref="AO54:AQ54"/>
    <mergeCell ref="AR54:AT54"/>
    <mergeCell ref="AL53:AN53"/>
    <mergeCell ref="AO53:AQ53"/>
    <mergeCell ref="AR53:AT53"/>
    <mergeCell ref="B55:D55"/>
    <mergeCell ref="E55:G55"/>
    <mergeCell ref="N55:P55"/>
    <mergeCell ref="Q55:S55"/>
    <mergeCell ref="Z55:AB55"/>
    <mergeCell ref="AC55:AE55"/>
    <mergeCell ref="T54:V54"/>
    <mergeCell ref="W54:Y54"/>
    <mergeCell ref="Z54:AB54"/>
    <mergeCell ref="AC54:AE54"/>
    <mergeCell ref="B54:D54"/>
    <mergeCell ref="E54:G54"/>
    <mergeCell ref="H54:J54"/>
    <mergeCell ref="K54:M54"/>
    <mergeCell ref="N54:P54"/>
    <mergeCell ref="Q54:S54"/>
    <mergeCell ref="AL55:AN55"/>
    <mergeCell ref="AO55:AQ55"/>
    <mergeCell ref="AU53:AW53"/>
    <mergeCell ref="T53:V53"/>
    <mergeCell ref="W53:Y53"/>
    <mergeCell ref="Z53:AB53"/>
    <mergeCell ref="AC53:AE53"/>
    <mergeCell ref="AF53:AH53"/>
    <mergeCell ref="AI53:AK53"/>
    <mergeCell ref="AR47:AS47"/>
    <mergeCell ref="AT47:AW47"/>
    <mergeCell ref="AU49:AV49"/>
    <mergeCell ref="AL47:AM47"/>
    <mergeCell ref="AN47:AQ47"/>
    <mergeCell ref="Z45:AB45"/>
    <mergeCell ref="AL44:AQ44"/>
    <mergeCell ref="AR44:AW44"/>
    <mergeCell ref="AF44:AK44"/>
    <mergeCell ref="AR45:AT45"/>
    <mergeCell ref="AF45:AH45"/>
    <mergeCell ref="AR46:AT46"/>
    <mergeCell ref="AU46:AW46"/>
    <mergeCell ref="AC46:AE46"/>
    <mergeCell ref="AF46:AH46"/>
    <mergeCell ref="AI46:AK46"/>
    <mergeCell ref="AL46:AN46"/>
    <mergeCell ref="AO46:AQ46"/>
    <mergeCell ref="AL45:AN45"/>
    <mergeCell ref="AI45:AK45"/>
    <mergeCell ref="AO45:AQ45"/>
    <mergeCell ref="AU45:AW45"/>
    <mergeCell ref="AE25:AF25"/>
    <mergeCell ref="W31:X31"/>
    <mergeCell ref="Y31:Z31"/>
    <mergeCell ref="AA31:AB31"/>
    <mergeCell ref="AC31:AD31"/>
    <mergeCell ref="AE31:AF31"/>
    <mergeCell ref="Y29:Z29"/>
    <mergeCell ref="AA29:AB29"/>
    <mergeCell ref="AC29:AD29"/>
    <mergeCell ref="AE29:AF29"/>
    <mergeCell ref="AE27:AF27"/>
    <mergeCell ref="Y25:Z25"/>
    <mergeCell ref="AC26:AD26"/>
    <mergeCell ref="AE26:AF26"/>
    <mergeCell ref="AA30:AB30"/>
    <mergeCell ref="AC30:AD30"/>
    <mergeCell ref="AE30:AF30"/>
    <mergeCell ref="AE28:AF28"/>
    <mergeCell ref="AA25:AB25"/>
    <mergeCell ref="Y26:Z26"/>
    <mergeCell ref="W26:X26"/>
    <mergeCell ref="Y27:Z27"/>
    <mergeCell ref="Y30:Z30"/>
    <mergeCell ref="W30:X30"/>
    <mergeCell ref="AA69:AB69"/>
    <mergeCell ref="AA70:AB70"/>
    <mergeCell ref="B202:AW202"/>
    <mergeCell ref="F203:Q203"/>
    <mergeCell ref="R203:S203"/>
    <mergeCell ref="T203:AE203"/>
    <mergeCell ref="AG203:AH203"/>
    <mergeCell ref="AI203:AK203"/>
    <mergeCell ref="AL203:AR203"/>
    <mergeCell ref="AA71:AB71"/>
    <mergeCell ref="AA72:AB72"/>
    <mergeCell ref="AA73:AB73"/>
    <mergeCell ref="AA74:AB74"/>
    <mergeCell ref="U70:V70"/>
    <mergeCell ref="X70:Z70"/>
    <mergeCell ref="AG213:AK214"/>
    <mergeCell ref="AL213:AO214"/>
    <mergeCell ref="W204:AF204"/>
    <mergeCell ref="AG204:AK204"/>
    <mergeCell ref="AL204:AO204"/>
    <mergeCell ref="AP204:AR204"/>
    <mergeCell ref="AS204:AW204"/>
    <mergeCell ref="AG205:AK206"/>
    <mergeCell ref="AL205:AO207"/>
    <mergeCell ref="AP205:AR207"/>
    <mergeCell ref="AS205:AW206"/>
    <mergeCell ref="W207:Y208"/>
    <mergeCell ref="Z207:AA208"/>
    <mergeCell ref="AB207:AF207"/>
    <mergeCell ref="AG207:AK208"/>
    <mergeCell ref="AS207:AW208"/>
    <mergeCell ref="AB208:AD209"/>
    <mergeCell ref="AE208:AF209"/>
    <mergeCell ref="AL208:AO212"/>
    <mergeCell ref="AS213:AW214"/>
    <mergeCell ref="AB214:AF214"/>
    <mergeCell ref="AP214:AR216"/>
    <mergeCell ref="AG215:AK216"/>
    <mergeCell ref="AL215:AO216"/>
    <mergeCell ref="AS215:AW216"/>
    <mergeCell ref="B215:R215"/>
    <mergeCell ref="B216:R216"/>
    <mergeCell ref="AP208:AR210"/>
    <mergeCell ref="W209:Y210"/>
    <mergeCell ref="Z209:AA210"/>
    <mergeCell ref="AG209:AK210"/>
    <mergeCell ref="AS209:AW210"/>
    <mergeCell ref="AB210:AD211"/>
    <mergeCell ref="AE210:AF211"/>
    <mergeCell ref="W211:Y212"/>
    <mergeCell ref="Z211:AA212"/>
    <mergeCell ref="AG211:AK212"/>
    <mergeCell ref="AP211:AR213"/>
    <mergeCell ref="AS211:AW212"/>
    <mergeCell ref="AB212:AD213"/>
    <mergeCell ref="AE212:AF213"/>
    <mergeCell ref="W213:Y214"/>
    <mergeCell ref="Z213:AA214"/>
    <mergeCell ref="B212:R212"/>
    <mergeCell ref="B213:R213"/>
    <mergeCell ref="B214:R214"/>
    <mergeCell ref="S205:V208"/>
    <mergeCell ref="S209:V215"/>
    <mergeCell ref="W217:AF217"/>
    <mergeCell ref="AG217:AL217"/>
    <mergeCell ref="AM217:AW217"/>
    <mergeCell ref="B218:E219"/>
    <mergeCell ref="F218:I219"/>
    <mergeCell ref="J218:K219"/>
    <mergeCell ref="L218:M219"/>
    <mergeCell ref="N218:O219"/>
    <mergeCell ref="P218:R219"/>
    <mergeCell ref="W218:X219"/>
    <mergeCell ref="Y218:Z219"/>
    <mergeCell ref="AA218:AB219"/>
    <mergeCell ref="AC218:AD219"/>
    <mergeCell ref="AE218:AF219"/>
    <mergeCell ref="AG218:AL218"/>
    <mergeCell ref="AM218:AO218"/>
    <mergeCell ref="AP218:AW218"/>
    <mergeCell ref="AG219:AI219"/>
    <mergeCell ref="AJ219:AL219"/>
    <mergeCell ref="AM219:AO219"/>
    <mergeCell ref="AP219:AW219"/>
    <mergeCell ref="S218:T218"/>
    <mergeCell ref="U218:V218"/>
    <mergeCell ref="S219:T219"/>
    <mergeCell ref="B220:C220"/>
    <mergeCell ref="D220:E220"/>
    <mergeCell ref="F220:G220"/>
    <mergeCell ref="H220:I220"/>
    <mergeCell ref="J220:K220"/>
    <mergeCell ref="L220:M220"/>
    <mergeCell ref="P220:R220"/>
    <mergeCell ref="S220:T220"/>
    <mergeCell ref="B217:V217"/>
    <mergeCell ref="U220:V220"/>
    <mergeCell ref="U219:V219"/>
    <mergeCell ref="W220:X220"/>
    <mergeCell ref="Y220:Z220"/>
    <mergeCell ref="AA220:AB220"/>
    <mergeCell ref="AC220:AD220"/>
    <mergeCell ref="AE220:AF220"/>
    <mergeCell ref="AG220:AL220"/>
    <mergeCell ref="AM220:AO220"/>
    <mergeCell ref="AP220:AW220"/>
    <mergeCell ref="AE221:AF221"/>
    <mergeCell ref="AG221:AI221"/>
    <mergeCell ref="AJ221:AL221"/>
    <mergeCell ref="AM221:AO221"/>
    <mergeCell ref="B221:C221"/>
    <mergeCell ref="D221:E221"/>
    <mergeCell ref="F221:G221"/>
    <mergeCell ref="H221:I221"/>
    <mergeCell ref="J221:K221"/>
    <mergeCell ref="L221:M221"/>
    <mergeCell ref="P221:R221"/>
    <mergeCell ref="S221:T221"/>
    <mergeCell ref="AP221:AW221"/>
    <mergeCell ref="U221:V221"/>
    <mergeCell ref="W221:X221"/>
    <mergeCell ref="Y221:Z221"/>
    <mergeCell ref="AA221:AB221"/>
    <mergeCell ref="AC221:AD221"/>
    <mergeCell ref="B222:C222"/>
    <mergeCell ref="D222:E222"/>
    <mergeCell ref="F222:G222"/>
    <mergeCell ref="H222:I222"/>
    <mergeCell ref="J222:K222"/>
    <mergeCell ref="L222:M222"/>
    <mergeCell ref="P222:R222"/>
    <mergeCell ref="S222:T222"/>
    <mergeCell ref="U222:V222"/>
    <mergeCell ref="W222:X222"/>
    <mergeCell ref="Y222:Z222"/>
    <mergeCell ref="AA222:AB222"/>
    <mergeCell ref="AC222:AD222"/>
    <mergeCell ref="AE222:AF222"/>
    <mergeCell ref="AG222:AI222"/>
    <mergeCell ref="AJ222:AL222"/>
    <mergeCell ref="AM222:AO222"/>
    <mergeCell ref="AP222:AW222"/>
    <mergeCell ref="AG223:AI223"/>
    <mergeCell ref="AJ223:AL223"/>
    <mergeCell ref="AM223:AO223"/>
    <mergeCell ref="B223:C223"/>
    <mergeCell ref="D223:E223"/>
    <mergeCell ref="F223:G223"/>
    <mergeCell ref="H223:I223"/>
    <mergeCell ref="J223:K223"/>
    <mergeCell ref="L223:M223"/>
    <mergeCell ref="P223:R223"/>
    <mergeCell ref="S223:T223"/>
    <mergeCell ref="AP223:AW223"/>
    <mergeCell ref="B224:C224"/>
    <mergeCell ref="D224:E224"/>
    <mergeCell ref="F224:G224"/>
    <mergeCell ref="H224:I224"/>
    <mergeCell ref="J224:K224"/>
    <mergeCell ref="L224:M224"/>
    <mergeCell ref="P224:R224"/>
    <mergeCell ref="S224:T224"/>
    <mergeCell ref="U224:V224"/>
    <mergeCell ref="W224:X224"/>
    <mergeCell ref="Y224:Z224"/>
    <mergeCell ref="AA224:AB224"/>
    <mergeCell ref="AC224:AD224"/>
    <mergeCell ref="AE224:AF224"/>
    <mergeCell ref="AG224:AL224"/>
    <mergeCell ref="AM224:AO224"/>
    <mergeCell ref="AP224:AW224"/>
    <mergeCell ref="U223:V223"/>
    <mergeCell ref="W223:X223"/>
    <mergeCell ref="Y223:Z223"/>
    <mergeCell ref="AA223:AB223"/>
    <mergeCell ref="AC223:AD223"/>
    <mergeCell ref="AE223:AF223"/>
    <mergeCell ref="W225:X225"/>
    <mergeCell ref="Y225:Z225"/>
    <mergeCell ref="AA225:AB225"/>
    <mergeCell ref="AC225:AD225"/>
    <mergeCell ref="AE225:AF225"/>
    <mergeCell ref="AG225:AL225"/>
    <mergeCell ref="AM225:AO225"/>
    <mergeCell ref="AP225:AW225"/>
    <mergeCell ref="B225:C225"/>
    <mergeCell ref="D225:E225"/>
    <mergeCell ref="F225:G225"/>
    <mergeCell ref="H225:I225"/>
    <mergeCell ref="J225:K225"/>
    <mergeCell ref="L225:M225"/>
    <mergeCell ref="P225:R225"/>
    <mergeCell ref="S225:T225"/>
    <mergeCell ref="B226:C226"/>
    <mergeCell ref="D226:E226"/>
    <mergeCell ref="F226:G226"/>
    <mergeCell ref="H226:I226"/>
    <mergeCell ref="J226:K226"/>
    <mergeCell ref="L226:M226"/>
    <mergeCell ref="P226:R226"/>
    <mergeCell ref="S226:T226"/>
    <mergeCell ref="U225:V225"/>
    <mergeCell ref="U226:V226"/>
    <mergeCell ref="W226:X226"/>
    <mergeCell ref="Y226:Z226"/>
    <mergeCell ref="AA226:AB226"/>
    <mergeCell ref="AC226:AD226"/>
    <mergeCell ref="AE226:AF226"/>
    <mergeCell ref="AG226:AL226"/>
    <mergeCell ref="AM226:AO226"/>
    <mergeCell ref="AP226:AW226"/>
    <mergeCell ref="AE227:AF227"/>
    <mergeCell ref="AG227:AI227"/>
    <mergeCell ref="AJ227:AL227"/>
    <mergeCell ref="AM227:AO227"/>
    <mergeCell ref="B227:C227"/>
    <mergeCell ref="D227:E227"/>
    <mergeCell ref="F227:G227"/>
    <mergeCell ref="H227:I227"/>
    <mergeCell ref="J227:K227"/>
    <mergeCell ref="L227:M227"/>
    <mergeCell ref="P227:R227"/>
    <mergeCell ref="S227:T227"/>
    <mergeCell ref="AP227:AW227"/>
    <mergeCell ref="U227:V227"/>
    <mergeCell ref="W227:X227"/>
    <mergeCell ref="Y227:Z227"/>
    <mergeCell ref="AA227:AB227"/>
    <mergeCell ref="AC227:AD227"/>
    <mergeCell ref="B228:C228"/>
    <mergeCell ref="D228:E228"/>
    <mergeCell ref="F228:G228"/>
    <mergeCell ref="H228:I228"/>
    <mergeCell ref="J228:K228"/>
    <mergeCell ref="L228:M228"/>
    <mergeCell ref="P228:R228"/>
    <mergeCell ref="S228:T228"/>
    <mergeCell ref="U228:V228"/>
    <mergeCell ref="W228:X228"/>
    <mergeCell ref="Y228:Z228"/>
    <mergeCell ref="AA228:AB228"/>
    <mergeCell ref="AC228:AD228"/>
    <mergeCell ref="AE228:AF228"/>
    <mergeCell ref="AG228:AI228"/>
    <mergeCell ref="AJ228:AL228"/>
    <mergeCell ref="AM228:AO228"/>
    <mergeCell ref="AP228:AW228"/>
    <mergeCell ref="W229:X229"/>
    <mergeCell ref="Y229:Z229"/>
    <mergeCell ref="AA229:AB229"/>
    <mergeCell ref="AC229:AD229"/>
    <mergeCell ref="AE229:AF229"/>
    <mergeCell ref="AG229:AL229"/>
    <mergeCell ref="AM229:AO229"/>
    <mergeCell ref="AP229:AW229"/>
    <mergeCell ref="B229:C229"/>
    <mergeCell ref="D229:E229"/>
    <mergeCell ref="F229:G229"/>
    <mergeCell ref="H229:I229"/>
    <mergeCell ref="J229:K229"/>
    <mergeCell ref="L229:M229"/>
    <mergeCell ref="P229:R229"/>
    <mergeCell ref="S229:T229"/>
    <mergeCell ref="B230:C230"/>
    <mergeCell ref="D230:E230"/>
    <mergeCell ref="F230:G230"/>
    <mergeCell ref="H230:I230"/>
    <mergeCell ref="J230:K230"/>
    <mergeCell ref="L230:M230"/>
    <mergeCell ref="P230:R230"/>
    <mergeCell ref="S230:T230"/>
    <mergeCell ref="U229:V229"/>
    <mergeCell ref="U230:V230"/>
    <mergeCell ref="W230:X230"/>
    <mergeCell ref="Y230:Z230"/>
    <mergeCell ref="AA230:AB230"/>
    <mergeCell ref="AC230:AD230"/>
    <mergeCell ref="AE230:AF230"/>
    <mergeCell ref="AG230:AL230"/>
    <mergeCell ref="AM230:AO230"/>
    <mergeCell ref="AP230:AW230"/>
    <mergeCell ref="W231:X231"/>
    <mergeCell ref="Y231:Z231"/>
    <mergeCell ref="AA231:AB231"/>
    <mergeCell ref="AC231:AD231"/>
    <mergeCell ref="AE231:AF231"/>
    <mergeCell ref="AG231:AL231"/>
    <mergeCell ref="AM231:AO231"/>
    <mergeCell ref="AP231:AW231"/>
    <mergeCell ref="B231:C231"/>
    <mergeCell ref="D231:E231"/>
    <mergeCell ref="F231:G231"/>
    <mergeCell ref="H231:I231"/>
    <mergeCell ref="J231:K231"/>
    <mergeCell ref="L231:M231"/>
    <mergeCell ref="P231:R231"/>
    <mergeCell ref="S231:T231"/>
    <mergeCell ref="B232:C232"/>
    <mergeCell ref="D232:E232"/>
    <mergeCell ref="F232:G232"/>
    <mergeCell ref="H232:I232"/>
    <mergeCell ref="J232:K232"/>
    <mergeCell ref="L232:M232"/>
    <mergeCell ref="P232:R232"/>
    <mergeCell ref="S232:T232"/>
    <mergeCell ref="U231:V231"/>
    <mergeCell ref="U232:V232"/>
    <mergeCell ref="W232:X232"/>
    <mergeCell ref="Y232:Z232"/>
    <mergeCell ref="AA232:AB232"/>
    <mergeCell ref="AC232:AD232"/>
    <mergeCell ref="AE232:AF232"/>
    <mergeCell ref="AG232:AL232"/>
    <mergeCell ref="AM232:AO232"/>
    <mergeCell ref="AP232:AW232"/>
    <mergeCell ref="V234:AH234"/>
    <mergeCell ref="AI234:AU234"/>
    <mergeCell ref="V235:AH235"/>
    <mergeCell ref="AI235:AU235"/>
    <mergeCell ref="V236:AH236"/>
    <mergeCell ref="AI236:AU236"/>
    <mergeCell ref="B233:AG233"/>
    <mergeCell ref="AL233:AW233"/>
    <mergeCell ref="K234:U234"/>
    <mergeCell ref="K235:U235"/>
    <mergeCell ref="K236:U236"/>
    <mergeCell ref="B234:J234"/>
    <mergeCell ref="B235:J235"/>
    <mergeCell ref="B236:J236"/>
    <mergeCell ref="AI237:AU237"/>
    <mergeCell ref="V238:AH238"/>
    <mergeCell ref="AI238:AU238"/>
    <mergeCell ref="V239:AH239"/>
    <mergeCell ref="AI239:AU239"/>
    <mergeCell ref="B237:J237"/>
    <mergeCell ref="B238:J238"/>
    <mergeCell ref="K238:U238"/>
    <mergeCell ref="K237:U237"/>
    <mergeCell ref="K239:U239"/>
    <mergeCell ref="B239:J239"/>
    <mergeCell ref="AI240:AU240"/>
    <mergeCell ref="V241:AH241"/>
    <mergeCell ref="AI241:AU241"/>
    <mergeCell ref="H244:M244"/>
    <mergeCell ref="N244:S244"/>
    <mergeCell ref="T244:Y244"/>
    <mergeCell ref="Z244:AE244"/>
    <mergeCell ref="AF244:AK244"/>
    <mergeCell ref="AL244:AQ244"/>
    <mergeCell ref="AR244:AW244"/>
    <mergeCell ref="B242:AW242"/>
    <mergeCell ref="B243:M243"/>
    <mergeCell ref="N243:Y243"/>
    <mergeCell ref="Z243:AK243"/>
    <mergeCell ref="AL243:AW243"/>
    <mergeCell ref="B244:G244"/>
    <mergeCell ref="K240:U240"/>
    <mergeCell ref="K241:U241"/>
    <mergeCell ref="B240:J240"/>
    <mergeCell ref="B241:J241"/>
    <mergeCell ref="AF246:AH246"/>
    <mergeCell ref="AL247:AM247"/>
    <mergeCell ref="AN247:AQ247"/>
    <mergeCell ref="AR247:AS247"/>
    <mergeCell ref="AI246:AK246"/>
    <mergeCell ref="AC245:AE245"/>
    <mergeCell ref="AF245:AH245"/>
    <mergeCell ref="AI245:AK245"/>
    <mergeCell ref="AL245:AN245"/>
    <mergeCell ref="AO245:AQ245"/>
    <mergeCell ref="AR245:AT245"/>
    <mergeCell ref="AT247:AW247"/>
    <mergeCell ref="AU245:AW245"/>
    <mergeCell ref="AL246:AN246"/>
    <mergeCell ref="AO246:AQ246"/>
    <mergeCell ref="AR246:AT246"/>
    <mergeCell ref="AU246:AW246"/>
    <mergeCell ref="W249:X249"/>
    <mergeCell ref="AI249:AJ249"/>
    <mergeCell ref="AU249:AV249"/>
    <mergeCell ref="B247:C247"/>
    <mergeCell ref="D247:G247"/>
    <mergeCell ref="H247:I247"/>
    <mergeCell ref="J247:M247"/>
    <mergeCell ref="N247:O247"/>
    <mergeCell ref="P247:S247"/>
    <mergeCell ref="T247:U247"/>
    <mergeCell ref="V247:Y247"/>
    <mergeCell ref="Z247:AA247"/>
    <mergeCell ref="AB247:AE247"/>
    <mergeCell ref="AF247:AG247"/>
    <mergeCell ref="AH247:AK247"/>
    <mergeCell ref="AL251:AW251"/>
    <mergeCell ref="B252:D252"/>
    <mergeCell ref="E252:G252"/>
    <mergeCell ref="H252:J252"/>
    <mergeCell ref="K252:M252"/>
    <mergeCell ref="N252:P252"/>
    <mergeCell ref="Q252:S252"/>
    <mergeCell ref="T252:V252"/>
    <mergeCell ref="W252:Y252"/>
    <mergeCell ref="Z252:AB252"/>
    <mergeCell ref="AC252:AE252"/>
    <mergeCell ref="AF252:AH252"/>
    <mergeCell ref="AI252:AK252"/>
    <mergeCell ref="AL252:AN252"/>
    <mergeCell ref="AO252:AQ252"/>
    <mergeCell ref="AR252:AT252"/>
    <mergeCell ref="AU252:AW252"/>
    <mergeCell ref="B251:M251"/>
    <mergeCell ref="N251:Y251"/>
    <mergeCell ref="Z251:AK251"/>
    <mergeCell ref="AR253:AT253"/>
    <mergeCell ref="AU253:AW253"/>
    <mergeCell ref="B254:D254"/>
    <mergeCell ref="E254:G254"/>
    <mergeCell ref="H254:J254"/>
    <mergeCell ref="K254:M254"/>
    <mergeCell ref="N254:P254"/>
    <mergeCell ref="Q254:S254"/>
    <mergeCell ref="T254:V254"/>
    <mergeCell ref="W254:Y254"/>
    <mergeCell ref="Z254:AB254"/>
    <mergeCell ref="AC254:AE254"/>
    <mergeCell ref="AF254:AH254"/>
    <mergeCell ref="AI254:AK254"/>
    <mergeCell ref="AL254:AN254"/>
    <mergeCell ref="AO254:AQ254"/>
    <mergeCell ref="AR254:AT254"/>
    <mergeCell ref="AU254:AW254"/>
    <mergeCell ref="B253:D253"/>
    <mergeCell ref="E253:G253"/>
    <mergeCell ref="H253:J253"/>
    <mergeCell ref="K253:M253"/>
    <mergeCell ref="N253:P253"/>
    <mergeCell ref="Q253:S253"/>
    <mergeCell ref="Z255:AB255"/>
    <mergeCell ref="AL253:AN253"/>
    <mergeCell ref="AO253:AQ253"/>
    <mergeCell ref="AC255:AE255"/>
    <mergeCell ref="T253:V253"/>
    <mergeCell ref="W253:Y253"/>
    <mergeCell ref="Z253:AB253"/>
    <mergeCell ref="AL255:AN255"/>
    <mergeCell ref="AO255:AQ255"/>
    <mergeCell ref="AC253:AE253"/>
    <mergeCell ref="AF253:AH253"/>
    <mergeCell ref="AI253:AK253"/>
    <mergeCell ref="B255:D255"/>
    <mergeCell ref="E255:G255"/>
    <mergeCell ref="N255:P255"/>
    <mergeCell ref="Q255:S255"/>
    <mergeCell ref="K249:L249"/>
    <mergeCell ref="B245:D245"/>
    <mergeCell ref="E245:G245"/>
    <mergeCell ref="H245:J245"/>
    <mergeCell ref="K245:M245"/>
    <mergeCell ref="N245:P245"/>
    <mergeCell ref="Q245:S245"/>
    <mergeCell ref="T245:V245"/>
    <mergeCell ref="B246:D246"/>
    <mergeCell ref="E246:G246"/>
    <mergeCell ref="H246:J246"/>
    <mergeCell ref="K246:M246"/>
    <mergeCell ref="N246:P246"/>
    <mergeCell ref="Q246:S246"/>
    <mergeCell ref="T246:V246"/>
    <mergeCell ref="B204:R204"/>
    <mergeCell ref="S204:V204"/>
    <mergeCell ref="B205:R205"/>
    <mergeCell ref="B206:R206"/>
    <mergeCell ref="B207:R207"/>
    <mergeCell ref="B208:R208"/>
    <mergeCell ref="B209:R209"/>
    <mergeCell ref="B210:R210"/>
    <mergeCell ref="B211:R211"/>
    <mergeCell ref="V240:AH240"/>
    <mergeCell ref="V237:AH237"/>
    <mergeCell ref="W246:Y246"/>
    <mergeCell ref="Z246:AB246"/>
    <mergeCell ref="W245:Y245"/>
    <mergeCell ref="Z245:AB245"/>
    <mergeCell ref="AC246:AE246"/>
  </mergeCells>
  <conditionalFormatting sqref="W49 K49 AI49 AU49">
    <cfRule type="cellIs" dxfId="4025" priority="2021" operator="greaterThan">
      <formula>32</formula>
    </cfRule>
    <cfRule type="cellIs" dxfId="4024" priority="2022" operator="between">
      <formula>15</formula>
      <formula>32</formula>
    </cfRule>
    <cfRule type="cellIs" dxfId="4023" priority="2023" operator="between">
      <formula>0</formula>
      <formula>15</formula>
    </cfRule>
    <cfRule type="cellIs" dxfId="4022" priority="2024" operator="lessThan">
      <formula>0</formula>
    </cfRule>
  </conditionalFormatting>
  <conditionalFormatting sqref="W49 K49 AI49 AU49">
    <cfRule type="cellIs" dxfId="4021" priority="2020" operator="equal">
      <formula>"WHITE"</formula>
    </cfRule>
  </conditionalFormatting>
  <conditionalFormatting sqref="W49 K49 AI49 AU49">
    <cfRule type="cellIs" dxfId="4020" priority="2016" operator="equal">
      <formula>"BLACK"</formula>
    </cfRule>
    <cfRule type="cellIs" dxfId="4019" priority="2017" operator="equal">
      <formula>"RED"</formula>
    </cfRule>
    <cfRule type="cellIs" dxfId="4018" priority="2018" operator="equal">
      <formula>"YELLOW"</formula>
    </cfRule>
    <cfRule type="cellIs" dxfId="4017" priority="2019" operator="equal">
      <formula>"GREEN"</formula>
    </cfRule>
  </conditionalFormatting>
  <conditionalFormatting sqref="W49 K49 AI49 AU49">
    <cfRule type="cellIs" dxfId="4016" priority="2015" operator="equal">
      <formula>"(NONE)"</formula>
    </cfRule>
  </conditionalFormatting>
  <conditionalFormatting sqref="W20">
    <cfRule type="expression" dxfId="4015" priority="2013">
      <formula>$Q$71="Y"</formula>
    </cfRule>
    <cfRule type="expression" dxfId="4014" priority="2014">
      <formula>$Q$71="R"</formula>
    </cfRule>
  </conditionalFormatting>
  <conditionalFormatting sqref="W21">
    <cfRule type="expression" dxfId="4013" priority="2011">
      <formula>$Q$72="Y"</formula>
    </cfRule>
    <cfRule type="expression" dxfId="4012" priority="2012">
      <formula>$Q$72="R"</formula>
    </cfRule>
  </conditionalFormatting>
  <conditionalFormatting sqref="W22">
    <cfRule type="expression" dxfId="4011" priority="2009">
      <formula>$Q$73="Y"</formula>
    </cfRule>
    <cfRule type="expression" dxfId="4010" priority="2010">
      <formula>$Q$73="R"</formula>
    </cfRule>
  </conditionalFormatting>
  <conditionalFormatting sqref="W23">
    <cfRule type="expression" dxfId="4009" priority="2007">
      <formula>$Q$74="Y"</formula>
    </cfRule>
    <cfRule type="expression" dxfId="4008" priority="2008">
      <formula>$Q$74="R"</formula>
    </cfRule>
  </conditionalFormatting>
  <conditionalFormatting sqref="W24">
    <cfRule type="expression" dxfId="4007" priority="2005">
      <formula>$Q$75="Y"</formula>
    </cfRule>
    <cfRule type="expression" dxfId="4006" priority="2006">
      <formula>$Q$75="R"</formula>
    </cfRule>
  </conditionalFormatting>
  <conditionalFormatting sqref="W25">
    <cfRule type="expression" dxfId="4005" priority="2003">
      <formula>$Q$76="Y"</formula>
    </cfRule>
    <cfRule type="expression" dxfId="4004" priority="2004">
      <formula>$Q$76="R"</formula>
    </cfRule>
  </conditionalFormatting>
  <conditionalFormatting sqref="W26">
    <cfRule type="expression" dxfId="4003" priority="2001">
      <formula>$Q$77="Y"</formula>
    </cfRule>
    <cfRule type="expression" dxfId="4002" priority="2002">
      <formula>$Q$77="R"</formula>
    </cfRule>
  </conditionalFormatting>
  <conditionalFormatting sqref="W27">
    <cfRule type="expression" dxfId="4001" priority="1999">
      <formula>$Q$78="Y"</formula>
    </cfRule>
    <cfRule type="expression" dxfId="4000" priority="2000">
      <formula>$Q$78="R"</formula>
    </cfRule>
  </conditionalFormatting>
  <conditionalFormatting sqref="W28">
    <cfRule type="expression" dxfId="3999" priority="1997">
      <formula>$Q$79="Y"</formula>
    </cfRule>
    <cfRule type="expression" dxfId="3998" priority="1998">
      <formula>$Q$79="R"</formula>
    </cfRule>
  </conditionalFormatting>
  <conditionalFormatting sqref="W29">
    <cfRule type="expression" dxfId="3997" priority="1995">
      <formula>$Q$80="Y"</formula>
    </cfRule>
    <cfRule type="expression" dxfId="3996" priority="1996">
      <formula>$Q$80="R"</formula>
    </cfRule>
  </conditionalFormatting>
  <conditionalFormatting sqref="W30">
    <cfRule type="expression" dxfId="3995" priority="1993">
      <formula>$Q$81="Y"</formula>
    </cfRule>
    <cfRule type="expression" dxfId="3994" priority="1994">
      <formula>$Q$81="R"</formula>
    </cfRule>
  </conditionalFormatting>
  <conditionalFormatting sqref="W31">
    <cfRule type="expression" dxfId="3993" priority="1991">
      <formula>$Q$82="Y"</formula>
    </cfRule>
    <cfRule type="expression" dxfId="3992" priority="1992">
      <formula>$Q$82="R"</formula>
    </cfRule>
  </conditionalFormatting>
  <conditionalFormatting sqref="W32">
    <cfRule type="expression" dxfId="3991" priority="1989">
      <formula>$Q$83="Y"</formula>
    </cfRule>
    <cfRule type="expression" dxfId="3990" priority="1990">
      <formula>$Q$83="R"</formula>
    </cfRule>
  </conditionalFormatting>
  <conditionalFormatting sqref="AV239:AV241">
    <cfRule type="expression" dxfId="3989" priority="1846">
      <formula>$Y$71=1</formula>
    </cfRule>
  </conditionalFormatting>
  <conditionalFormatting sqref="Y27">
    <cfRule type="expression" dxfId="3988" priority="1844">
      <formula>$R$78="Y"</formula>
    </cfRule>
    <cfRule type="expression" dxfId="3987" priority="1845">
      <formula>$R$78="R"</formula>
    </cfRule>
  </conditionalFormatting>
  <conditionalFormatting sqref="Y20">
    <cfRule type="expression" dxfId="3986" priority="1842">
      <formula>$R$71="Y"</formula>
    </cfRule>
    <cfRule type="expression" dxfId="3985" priority="1843">
      <formula>$R$71="R"</formula>
    </cfRule>
  </conditionalFormatting>
  <conditionalFormatting sqref="Y21">
    <cfRule type="expression" dxfId="3984" priority="1840">
      <formula>$R$72="Y"</formula>
    </cfRule>
    <cfRule type="expression" dxfId="3983" priority="1841">
      <formula>$R$72="R"</formula>
    </cfRule>
  </conditionalFormatting>
  <conditionalFormatting sqref="Y22">
    <cfRule type="expression" dxfId="3982" priority="1838">
      <formula>$R$73="Y"</formula>
    </cfRule>
    <cfRule type="expression" dxfId="3981" priority="1839">
      <formula>$R$73="R"</formula>
    </cfRule>
  </conditionalFormatting>
  <conditionalFormatting sqref="Y23">
    <cfRule type="expression" dxfId="3980" priority="1836">
      <formula>$R$74="Y"</formula>
    </cfRule>
    <cfRule type="expression" dxfId="3979" priority="1837">
      <formula>$R$74="R"</formula>
    </cfRule>
  </conditionalFormatting>
  <conditionalFormatting sqref="Y24">
    <cfRule type="expression" dxfId="3978" priority="1834">
      <formula>$R$75="Y"</formula>
    </cfRule>
    <cfRule type="expression" dxfId="3977" priority="1835">
      <formula>$R$75="R"</formula>
    </cfRule>
  </conditionalFormatting>
  <conditionalFormatting sqref="Y25">
    <cfRule type="expression" dxfId="3976" priority="1832">
      <formula>$R$76="Y"</formula>
    </cfRule>
    <cfRule type="expression" dxfId="3975" priority="1833">
      <formula>$R$76="R"</formula>
    </cfRule>
  </conditionalFormatting>
  <conditionalFormatting sqref="Y26">
    <cfRule type="expression" dxfId="3974" priority="1830">
      <formula>$R$77="Y"</formula>
    </cfRule>
    <cfRule type="expression" dxfId="3973" priority="1831">
      <formula>$R$77="R"</formula>
    </cfRule>
  </conditionalFormatting>
  <conditionalFormatting sqref="Y28">
    <cfRule type="expression" dxfId="3972" priority="1828">
      <formula>$R$79="Y"</formula>
    </cfRule>
    <cfRule type="expression" dxfId="3971" priority="1829">
      <formula>$R$79="R"</formula>
    </cfRule>
  </conditionalFormatting>
  <conditionalFormatting sqref="Y29">
    <cfRule type="expression" dxfId="3970" priority="1826">
      <formula>$R$80="Y"</formula>
    </cfRule>
    <cfRule type="expression" dxfId="3969" priority="1827">
      <formula>$R$80="R"</formula>
    </cfRule>
  </conditionalFormatting>
  <conditionalFormatting sqref="Y30">
    <cfRule type="expression" dxfId="3968" priority="1824">
      <formula>$R$81="Y"</formula>
    </cfRule>
    <cfRule type="expression" dxfId="3967" priority="1825">
      <formula>$R$81="R"</formula>
    </cfRule>
  </conditionalFormatting>
  <conditionalFormatting sqref="Y31">
    <cfRule type="expression" dxfId="3966" priority="1822">
      <formula>$R$82="Y"</formula>
    </cfRule>
    <cfRule type="expression" dxfId="3965" priority="1823">
      <formula>$R$82="R"</formula>
    </cfRule>
  </conditionalFormatting>
  <conditionalFormatting sqref="Y32">
    <cfRule type="expression" dxfId="3964" priority="1820">
      <formula>$R$83="Y"</formula>
    </cfRule>
    <cfRule type="expression" dxfId="3963" priority="1821">
      <formula>$R$83="R"</formula>
    </cfRule>
  </conditionalFormatting>
  <conditionalFormatting sqref="AA27">
    <cfRule type="expression" dxfId="3962" priority="1818">
      <formula>$S$78="Y"</formula>
    </cfRule>
    <cfRule type="expression" dxfId="3961" priority="1819">
      <formula>$S$78="R"</formula>
    </cfRule>
  </conditionalFormatting>
  <conditionalFormatting sqref="AA20">
    <cfRule type="expression" dxfId="3960" priority="1816">
      <formula>$S$71="Y"</formula>
    </cfRule>
    <cfRule type="expression" dxfId="3959" priority="1817">
      <formula>$S$71="R"</formula>
    </cfRule>
  </conditionalFormatting>
  <conditionalFormatting sqref="AA21">
    <cfRule type="expression" dxfId="3958" priority="1814">
      <formula>$S$72="Y"</formula>
    </cfRule>
    <cfRule type="expression" dxfId="3957" priority="1815">
      <formula>$S$72="R"</formula>
    </cfRule>
  </conditionalFormatting>
  <conditionalFormatting sqref="AA22">
    <cfRule type="expression" dxfId="3956" priority="1812">
      <formula>$S$73="Y"</formula>
    </cfRule>
    <cfRule type="expression" dxfId="3955" priority="1813">
      <formula>$S$73="R"</formula>
    </cfRule>
  </conditionalFormatting>
  <conditionalFormatting sqref="AA23">
    <cfRule type="expression" dxfId="3954" priority="1810">
      <formula>$S$74="Y"</formula>
    </cfRule>
    <cfRule type="expression" dxfId="3953" priority="1811">
      <formula>$S$74="R"</formula>
    </cfRule>
  </conditionalFormatting>
  <conditionalFormatting sqref="AA24">
    <cfRule type="expression" dxfId="3952" priority="1808">
      <formula>$S$75="Y"</formula>
    </cfRule>
    <cfRule type="expression" dxfId="3951" priority="1809">
      <formula>$S$75="R"</formula>
    </cfRule>
  </conditionalFormatting>
  <conditionalFormatting sqref="AA25">
    <cfRule type="expression" dxfId="3950" priority="1806">
      <formula>$S$76="Y"</formula>
    </cfRule>
    <cfRule type="expression" dxfId="3949" priority="1807">
      <formula>$S$76="R"</formula>
    </cfRule>
  </conditionalFormatting>
  <conditionalFormatting sqref="AA26">
    <cfRule type="expression" dxfId="3948" priority="1804">
      <formula>$S$77="Y"</formula>
    </cfRule>
    <cfRule type="expression" dxfId="3947" priority="1805">
      <formula>$S$77="R"</formula>
    </cfRule>
  </conditionalFormatting>
  <conditionalFormatting sqref="AA28">
    <cfRule type="expression" dxfId="3946" priority="1802">
      <formula>$S$79="Y"</formula>
    </cfRule>
    <cfRule type="expression" dxfId="3945" priority="1803">
      <formula>$S$79="R"</formula>
    </cfRule>
  </conditionalFormatting>
  <conditionalFormatting sqref="AA29">
    <cfRule type="expression" dxfId="3944" priority="1800">
      <formula>$S$80="Y"</formula>
    </cfRule>
    <cfRule type="expression" dxfId="3943" priority="1801">
      <formula>$S$80="R"</formula>
    </cfRule>
  </conditionalFormatting>
  <conditionalFormatting sqref="AA30">
    <cfRule type="expression" dxfId="3942" priority="1798">
      <formula>$S$81="Y"</formula>
    </cfRule>
    <cfRule type="expression" dxfId="3941" priority="1799">
      <formula>$S$81="R"</formula>
    </cfRule>
  </conditionalFormatting>
  <conditionalFormatting sqref="AA31">
    <cfRule type="expression" dxfId="3940" priority="1796">
      <formula>$S$82="Y"</formula>
    </cfRule>
    <cfRule type="expression" dxfId="3939" priority="1797">
      <formula>$S$82="R"</formula>
    </cfRule>
  </conditionalFormatting>
  <conditionalFormatting sqref="AA32">
    <cfRule type="expression" dxfId="3938" priority="1794">
      <formula>$S$83="Y"</formula>
    </cfRule>
    <cfRule type="expression" dxfId="3937" priority="1795">
      <formula>$S$83="R"</formula>
    </cfRule>
  </conditionalFormatting>
  <conditionalFormatting sqref="AC27">
    <cfRule type="expression" dxfId="3936" priority="1792">
      <formula>$T$78="Y"</formula>
    </cfRule>
    <cfRule type="expression" dxfId="3935" priority="1793">
      <formula>$T$78="R"</formula>
    </cfRule>
  </conditionalFormatting>
  <conditionalFormatting sqref="AC20">
    <cfRule type="expression" dxfId="3934" priority="1790">
      <formula>$T$71="Y"</formula>
    </cfRule>
    <cfRule type="expression" dxfId="3933" priority="1791">
      <formula>$T$71="R"</formula>
    </cfRule>
  </conditionalFormatting>
  <conditionalFormatting sqref="AC21">
    <cfRule type="expression" dxfId="3932" priority="1788">
      <formula>$T$72="Y"</formula>
    </cfRule>
    <cfRule type="expression" dxfId="3931" priority="1789">
      <formula>$T$72="R"</formula>
    </cfRule>
  </conditionalFormatting>
  <conditionalFormatting sqref="AC22">
    <cfRule type="expression" dxfId="3930" priority="1786">
      <formula>$T$73="Y"</formula>
    </cfRule>
    <cfRule type="expression" dxfId="3929" priority="1787">
      <formula>$T$73="R"</formula>
    </cfRule>
  </conditionalFormatting>
  <conditionalFormatting sqref="AC23">
    <cfRule type="expression" dxfId="3928" priority="1784">
      <formula>$T$74="Y"</formula>
    </cfRule>
    <cfRule type="expression" dxfId="3927" priority="1785">
      <formula>$T$74="R"</formula>
    </cfRule>
  </conditionalFormatting>
  <conditionalFormatting sqref="AC24">
    <cfRule type="expression" dxfId="3926" priority="1782">
      <formula>$T$75="Y"</formula>
    </cfRule>
    <cfRule type="expression" dxfId="3925" priority="1783">
      <formula>$T$75="R"</formula>
    </cfRule>
  </conditionalFormatting>
  <conditionalFormatting sqref="AC25">
    <cfRule type="expression" dxfId="3924" priority="1780">
      <formula>$T$76="Y"</formula>
    </cfRule>
    <cfRule type="expression" dxfId="3923" priority="1781">
      <formula>$T$76="R"</formula>
    </cfRule>
  </conditionalFormatting>
  <conditionalFormatting sqref="AC26">
    <cfRule type="expression" dxfId="3922" priority="1778">
      <formula>$T$77="Y"</formula>
    </cfRule>
    <cfRule type="expression" dxfId="3921" priority="1779">
      <formula>$T$77="R"</formula>
    </cfRule>
  </conditionalFormatting>
  <conditionalFormatting sqref="AC28">
    <cfRule type="expression" dxfId="3920" priority="1776">
      <formula>$T$79="Y"</formula>
    </cfRule>
    <cfRule type="expression" dxfId="3919" priority="1777">
      <formula>$T$79="R"</formula>
    </cfRule>
  </conditionalFormatting>
  <conditionalFormatting sqref="AC29">
    <cfRule type="expression" dxfId="3918" priority="1774">
      <formula>$T$80="Y"</formula>
    </cfRule>
    <cfRule type="expression" dxfId="3917" priority="1775">
      <formula>$T$80="R"</formula>
    </cfRule>
  </conditionalFormatting>
  <conditionalFormatting sqref="AC30">
    <cfRule type="expression" dxfId="3916" priority="1772">
      <formula>$T$81="Y"</formula>
    </cfRule>
    <cfRule type="expression" dxfId="3915" priority="1773">
      <formula>$T$81="R"</formula>
    </cfRule>
  </conditionalFormatting>
  <conditionalFormatting sqref="AC31">
    <cfRule type="expression" dxfId="3914" priority="1770">
      <formula>$T$82="Y"</formula>
    </cfRule>
    <cfRule type="expression" dxfId="3913" priority="1771">
      <formula>$T$82="R"</formula>
    </cfRule>
  </conditionalFormatting>
  <conditionalFormatting sqref="AC32">
    <cfRule type="expression" dxfId="3912" priority="1768">
      <formula>$T$83="Y"</formula>
    </cfRule>
    <cfRule type="expression" dxfId="3911" priority="1769">
      <formula>$T$83="R"</formula>
    </cfRule>
  </conditionalFormatting>
  <conditionalFormatting sqref="AE27">
    <cfRule type="expression" dxfId="3910" priority="1766">
      <formula>$U$78="Y"</formula>
    </cfRule>
    <cfRule type="expression" dxfId="3909" priority="1767">
      <formula>$U$78="R"</formula>
    </cfRule>
  </conditionalFormatting>
  <conditionalFormatting sqref="AE20">
    <cfRule type="expression" dxfId="3908" priority="1764">
      <formula>$U$71="Y"</formula>
    </cfRule>
    <cfRule type="expression" dxfId="3907" priority="1765">
      <formula>$U$71="R"</formula>
    </cfRule>
  </conditionalFormatting>
  <conditionalFormatting sqref="AE21">
    <cfRule type="expression" dxfId="3906" priority="1762">
      <formula>$U$72="Y"</formula>
    </cfRule>
    <cfRule type="expression" dxfId="3905" priority="1763">
      <formula>$U$72="R"</formula>
    </cfRule>
  </conditionalFormatting>
  <conditionalFormatting sqref="AE22">
    <cfRule type="expression" dxfId="3904" priority="1760">
      <formula>$U$73="Y"</formula>
    </cfRule>
    <cfRule type="expression" dxfId="3903" priority="1761">
      <formula>$U$73="R"</formula>
    </cfRule>
  </conditionalFormatting>
  <conditionalFormatting sqref="AE23">
    <cfRule type="expression" dxfId="3902" priority="1758">
      <formula>$U$74="Y"</formula>
    </cfRule>
    <cfRule type="expression" dxfId="3901" priority="1759">
      <formula>$U$74="R"</formula>
    </cfRule>
  </conditionalFormatting>
  <conditionalFormatting sqref="AE24">
    <cfRule type="expression" dxfId="3900" priority="1756">
      <formula>$U$75="Y"</formula>
    </cfRule>
    <cfRule type="expression" dxfId="3899" priority="1757">
      <formula>$U$75="R"</formula>
    </cfRule>
  </conditionalFormatting>
  <conditionalFormatting sqref="AE25">
    <cfRule type="expression" dxfId="3898" priority="1754">
      <formula>$U$76="Y"</formula>
    </cfRule>
    <cfRule type="expression" dxfId="3897" priority="1755">
      <formula>$U$76="R"</formula>
    </cfRule>
  </conditionalFormatting>
  <conditionalFormatting sqref="AE26">
    <cfRule type="expression" dxfId="3896" priority="1752">
      <formula>$U$77="Y"</formula>
    </cfRule>
    <cfRule type="expression" dxfId="3895" priority="1753">
      <formula>$U$77="R"</formula>
    </cfRule>
  </conditionalFormatting>
  <conditionalFormatting sqref="AE28">
    <cfRule type="expression" dxfId="3894" priority="1750">
      <formula>$U$79="Y"</formula>
    </cfRule>
    <cfRule type="expression" dxfId="3893" priority="1751">
      <formula>$U$79="R"</formula>
    </cfRule>
  </conditionalFormatting>
  <conditionalFormatting sqref="AE29">
    <cfRule type="expression" dxfId="3892" priority="1748">
      <formula>$U$80="Y"</formula>
    </cfRule>
    <cfRule type="expression" dxfId="3891" priority="1749">
      <formula>$U$80="R"</formula>
    </cfRule>
  </conditionalFormatting>
  <conditionalFormatting sqref="AE30">
    <cfRule type="expression" dxfId="3890" priority="1746">
      <formula>$U$81="Y"</formula>
    </cfRule>
    <cfRule type="expression" dxfId="3889" priority="1747">
      <formula>$U$81="R"</formula>
    </cfRule>
  </conditionalFormatting>
  <conditionalFormatting sqref="AE31">
    <cfRule type="expression" dxfId="3888" priority="1744">
      <formula>$U$82="Y"</formula>
    </cfRule>
    <cfRule type="expression" dxfId="3887" priority="1745">
      <formula>$U$82="R"</formula>
    </cfRule>
  </conditionalFormatting>
  <conditionalFormatting sqref="AE32">
    <cfRule type="expression" dxfId="3886" priority="1742">
      <formula>$U$83="Y"</formula>
    </cfRule>
    <cfRule type="expression" dxfId="3885" priority="1743">
      <formula>$U$83="R"</formula>
    </cfRule>
  </conditionalFormatting>
  <conditionalFormatting sqref="B20:V20">
    <cfRule type="expression" dxfId="3884" priority="274" stopIfTrue="1">
      <formula>OR(VALUE(MID($AL$3,15,2))&gt;HOUR($B20),VALUE(MID($AL$3,15,2))=HOUR($B20))</formula>
    </cfRule>
  </conditionalFormatting>
  <conditionalFormatting sqref="B21:V21">
    <cfRule type="expression" dxfId="3883" priority="275" stopIfTrue="1">
      <formula>OR(VALUE(MID($AL$3,15,2))&gt;HOUR($B$21),VALUE(MID($AL$3,15,2))=HOUR($B$21))</formula>
    </cfRule>
  </conditionalFormatting>
  <conditionalFormatting sqref="B22:V22">
    <cfRule type="expression" dxfId="3882" priority="276" stopIfTrue="1">
      <formula>OR(VALUE(MID($AL$3,15,2))&gt;HOUR($B$22),VALUE(MID($AL$3,15,2))=HOUR($B$22))</formula>
    </cfRule>
  </conditionalFormatting>
  <conditionalFormatting sqref="B24:V24">
    <cfRule type="expression" dxfId="3881" priority="278" stopIfTrue="1">
      <formula>OR(VALUE(MID($AL$3,15,2))&gt;HOUR($B$24),VALUE(MID($AL$3,15,2))=HOUR($B$24))</formula>
    </cfRule>
  </conditionalFormatting>
  <conditionalFormatting sqref="B25:V25">
    <cfRule type="expression" dxfId="3880" priority="279" stopIfTrue="1">
      <formula>OR(VALUE(MID($AL$3,15,2))&gt;HOUR($B$25),VALUE(MID($AL$3,15,2))=HOUR($B$25))</formula>
    </cfRule>
  </conditionalFormatting>
  <conditionalFormatting sqref="B26:V26">
    <cfRule type="expression" dxfId="3879" priority="280" stopIfTrue="1">
      <formula>OR(VALUE(MID($AL$3,15,2))&gt;HOUR($B$26),VALUE(MID($AL$3,15,2))=HOUR($B$26))</formula>
    </cfRule>
  </conditionalFormatting>
  <conditionalFormatting sqref="B28:V28">
    <cfRule type="expression" dxfId="3878" priority="282" stopIfTrue="1">
      <formula>OR(VALUE(MID($AL$3,15,2))&gt;HOUR($B$28),VALUE(MID($AL$3,15,2))=HOUR($B$28))</formula>
    </cfRule>
  </conditionalFormatting>
  <conditionalFormatting sqref="W20:AF20">
    <cfRule type="expression" dxfId="3877" priority="1660" stopIfTrue="1">
      <formula>OR(VALUE(MID($AL$3,15,2))&gt;HOUR($B$20),VALUE(MID($AL$3,15,2))=HOUR($B$20))</formula>
    </cfRule>
  </conditionalFormatting>
  <conditionalFormatting sqref="W21:AF21">
    <cfRule type="expression" dxfId="3876" priority="1659" stopIfTrue="1">
      <formula>OR(VALUE(MID($AL$3,15,2))&gt;HOUR($B$21),VALUE(MID($AL$3,15,2))=HOUR($B$21))</formula>
    </cfRule>
  </conditionalFormatting>
  <conditionalFormatting sqref="W22:AF22">
    <cfRule type="expression" dxfId="3875" priority="1658" stopIfTrue="1">
      <formula>OR(VALUE(MID($AL$3,15,2))&gt;HOUR($B$22),VALUE(MID($AL$3,15,2))=HOUR($B$22))</formula>
    </cfRule>
  </conditionalFormatting>
  <conditionalFormatting sqref="W23:AF23">
    <cfRule type="expression" dxfId="3874" priority="1657" stopIfTrue="1">
      <formula>OR(VALUE(MID($AL$3,15,2))&gt;HOUR($B$23),VALUE(MID($AL$3,15,2))=HOUR($B$23))</formula>
    </cfRule>
  </conditionalFormatting>
  <conditionalFormatting sqref="W24:AF24">
    <cfRule type="expression" dxfId="3873" priority="1656" stopIfTrue="1">
      <formula>OR(VALUE(MID($AL$3,15,2))&gt;HOUR($B$24),VALUE(MID($AL$3,15,2))=HOUR($B$24))</formula>
    </cfRule>
  </conditionalFormatting>
  <conditionalFormatting sqref="W25:AF25">
    <cfRule type="expression" dxfId="3872" priority="1655" stopIfTrue="1">
      <formula>OR(VALUE(MID($AL$3,15,2))&gt;HOUR($B$25),VALUE(MID($AL$3,15,2))=HOUR($B$25))</formula>
    </cfRule>
  </conditionalFormatting>
  <conditionalFormatting sqref="W26:AF26">
    <cfRule type="expression" dxfId="3871" priority="1654" stopIfTrue="1">
      <formula>OR(VALUE(MID($AL$3,15,2))&gt;HOUR($B$26),VALUE(MID($AL$3,15,2))=HOUR($B$26))</formula>
    </cfRule>
  </conditionalFormatting>
  <conditionalFormatting sqref="W27:AF27">
    <cfRule type="expression" dxfId="3870" priority="1653" stopIfTrue="1">
      <formula>OR(VALUE(MID($AL$3,15,2))&gt;HOUR($B$27),VALUE(MID($AL$3,15,2))=HOUR($B$27))</formula>
    </cfRule>
  </conditionalFormatting>
  <conditionalFormatting sqref="W28:AF28">
    <cfRule type="expression" dxfId="3869" priority="1652" stopIfTrue="1">
      <formula>OR(VALUE(MID($AL$3,15,2))&gt;HOUR($B$28),VALUE(MID($AL$3,15,2))=HOUR($B$28))</formula>
    </cfRule>
  </conditionalFormatting>
  <conditionalFormatting sqref="AP19">
    <cfRule type="expression" dxfId="3868" priority="1053">
      <formula>VALUE(RIGHT($AP$19,3))&lt;-39</formula>
    </cfRule>
    <cfRule type="expression" dxfId="3867" priority="1106">
      <formula>AND(VALUE(RIGHT($AP$19,3))&lt;-29,VALUE(RIGHT($AP$19,3))&gt;-40)</formula>
    </cfRule>
    <cfRule type="expression" dxfId="3866" priority="1207">
      <formula>AND(VALUE(RIGHT($AP$19,3))&lt;-9,VALUE(RIGHT($AP$19,3))&gt;-20)</formula>
    </cfRule>
    <cfRule type="expression" dxfId="3865" priority="1264">
      <formula>AND(VALUE(RIGHT($AP$19,3))&lt;-4,VALUE(RIGHT($AP$19,3))&gt;-10)</formula>
    </cfRule>
    <cfRule type="expression" dxfId="3864" priority="1265">
      <formula>AND(VALUE(RIGHT($AP$19,3))&lt;1,VALUE(RIGHT($AP$19,3))&gt;-5)</formula>
    </cfRule>
    <cfRule type="expression" dxfId="3863" priority="1267">
      <formula>AND(VALUE(RIGHT($AP$19,3))&gt;0,VALUE(RIGHT($AP$19,3))&lt;5)</formula>
    </cfRule>
    <cfRule type="expression" dxfId="3862" priority="1269">
      <formula>AND(VALUE(RIGHT($AP$19,3))&gt;4,VALUE(RIGHT($AP$19,3))&lt;10)</formula>
    </cfRule>
    <cfRule type="expression" dxfId="3861" priority="1270">
      <formula>AND(VALUE(RIGHT($AP$19,3))&gt;9,VALUE(RIGHT($AP$19,3))&lt;20)</formula>
    </cfRule>
    <cfRule type="expression" dxfId="3860" priority="1272">
      <formula>VALUE(RIGHT($AP$19,3))&gt;19</formula>
    </cfRule>
  </conditionalFormatting>
  <conditionalFormatting sqref="AP19">
    <cfRule type="expression" dxfId="3859" priority="1198">
      <formula>AND(VALUE(RIGHT($AP$19,3))&lt;-19,VALUE(RIGHT($AP$19,3))&gt;-30)</formula>
    </cfRule>
  </conditionalFormatting>
  <conditionalFormatting sqref="AP20">
    <cfRule type="expression" dxfId="3858" priority="1054">
      <formula>VALUE(RIGHT($AP$20,3))&lt;-39</formula>
    </cfRule>
    <cfRule type="expression" dxfId="3857" priority="1105">
      <formula>AND(VALUE(RIGHT($AP$20,3))&lt;-29,VALUE(RIGHT($AP$20,3))&gt;-40)</formula>
    </cfRule>
    <cfRule type="expression" dxfId="3856" priority="1190">
      <formula>AND(VALUE(RIGHT($AP$20,3))&lt;-9,VALUE(RIGHT($AP$20,3))&gt;-20)</formula>
    </cfRule>
    <cfRule type="expression" dxfId="3855" priority="1191">
      <formula>AND(VALUE(RIGHT($AP$20,3))&lt;-4,VALUE(RIGHT($AP$20,3))&gt;-10)</formula>
    </cfRule>
    <cfRule type="expression" dxfId="3854" priority="1192">
      <formula>AND(VALUE(RIGHT($AP$20,3))&lt;1,VALUE(RIGHT($AP$20,3))&gt;-5)</formula>
    </cfRule>
    <cfRule type="expression" dxfId="3853" priority="1193">
      <formula>AND(VALUE(RIGHT($AP$20,3))&gt;0,VALUE(RIGHT($AP$20,3))&lt;5)</formula>
    </cfRule>
    <cfRule type="expression" dxfId="3852" priority="1195">
      <formula>AND(VALUE(RIGHT($AP$20,3))&gt;4,VALUE(RIGHT($AP$20,3))&lt;10)</formula>
    </cfRule>
    <cfRule type="expression" dxfId="3851" priority="1196">
      <formula>AND(VALUE(RIGHT($AP$20,3))&gt;9,VALUE(RIGHT($AP$20,3))&lt;20)</formula>
    </cfRule>
    <cfRule type="expression" dxfId="3850" priority="1197">
      <formula>VALUE(RIGHT($AP$20,3))&gt;19</formula>
    </cfRule>
  </conditionalFormatting>
  <conditionalFormatting sqref="AP20">
    <cfRule type="expression" dxfId="3849" priority="1189">
      <formula>AND(VALUE(RIGHT($AP$20,3))&lt;-19,VALUE(RIGHT($AP$20,3))&gt;-30)</formula>
    </cfRule>
  </conditionalFormatting>
  <conditionalFormatting sqref="AP21">
    <cfRule type="expression" dxfId="3848" priority="1055">
      <formula>VALUE(RIGHT($AP$21,3))&lt;-39</formula>
    </cfRule>
    <cfRule type="expression" dxfId="3847" priority="1104">
      <formula>AND(VALUE(RIGHT($AP$21,3))&lt;-29,VALUE(RIGHT($AP$21,3))&gt;-40)</formula>
    </cfRule>
    <cfRule type="expression" dxfId="3846" priority="1181">
      <formula>AND(VALUE(RIGHT($AP$21,3))&lt;-9,VALUE(RIGHT($AP$21,3))&gt;-20)</formula>
    </cfRule>
    <cfRule type="expression" dxfId="3845" priority="1182">
      <formula>AND(VALUE(RIGHT($AP$21,3))&lt;-4,VALUE(RIGHT($AP$21,3))&gt;-10)</formula>
    </cfRule>
    <cfRule type="expression" dxfId="3844" priority="1183">
      <formula>AND(VALUE(RIGHT($AP$21,3))&lt;1,VALUE(RIGHT($AP$21,3))&gt;-5)</formula>
    </cfRule>
    <cfRule type="expression" dxfId="3843" priority="1184">
      <formula>AND(VALUE(RIGHT($AP$21,3))&gt;0,VALUE(RIGHT($AP$21,3))&lt;5)</formula>
    </cfRule>
    <cfRule type="expression" dxfId="3842" priority="1186">
      <formula>AND(VALUE(RIGHT($AP$21,3))&gt;4,VALUE(RIGHT($AP$21,3))&lt;10)</formula>
    </cfRule>
    <cfRule type="expression" dxfId="3841" priority="1187">
      <formula>AND(VALUE(RIGHT($AP$21,3))&gt;9,VALUE(RIGHT($AP$21,3))&lt;20)</formula>
    </cfRule>
    <cfRule type="expression" dxfId="3840" priority="1188">
      <formula>VALUE(RIGHT($AP$21,3))&gt;19</formula>
    </cfRule>
  </conditionalFormatting>
  <conditionalFormatting sqref="AP21">
    <cfRule type="expression" dxfId="3839" priority="1180">
      <formula>AND(VALUE(RIGHT($AP$21,3))&lt;-19,VALUE(RIGHT($AP$21,3))&gt;-30)</formula>
    </cfRule>
  </conditionalFormatting>
  <conditionalFormatting sqref="AP22">
    <cfRule type="expression" dxfId="3838" priority="1056">
      <formula>VALUE(RIGHT($AP$22,3))&lt;-39</formula>
    </cfRule>
    <cfRule type="expression" dxfId="3837" priority="1103">
      <formula>AND(VALUE(RIGHT($AP$22,3))&lt;-29,VALUE(RIGHT($AP$22,3))&gt;-40)</formula>
    </cfRule>
    <cfRule type="expression" dxfId="3836" priority="1172">
      <formula>AND(VALUE(RIGHT($AP$22,3))&lt;-9,VALUE(RIGHT($AP$22,3))&gt;-20)</formula>
    </cfRule>
    <cfRule type="expression" dxfId="3835" priority="1173">
      <formula>AND(VALUE(RIGHT($AP$22,3))&lt;-4,VALUE(RIGHT($AP$22,3))&gt;-10)</formula>
    </cfRule>
    <cfRule type="expression" dxfId="3834" priority="1174">
      <formula>AND(VALUE(RIGHT($AP$22,3))&lt;1,VALUE(RIGHT($AP$22,3))&gt;-5)</formula>
    </cfRule>
    <cfRule type="expression" dxfId="3833" priority="1175">
      <formula>AND(VALUE(RIGHT($AP$22,3))&gt;0,VALUE(RIGHT($AP$22,3))&lt;5)</formula>
    </cfRule>
    <cfRule type="expression" dxfId="3832" priority="1177">
      <formula>AND(VALUE(RIGHT($AP$22,3))&gt;4,VALUE(RIGHT($AP$22,3))&lt;10)</formula>
    </cfRule>
    <cfRule type="expression" dxfId="3831" priority="1178">
      <formula>AND(VALUE(RIGHT($AP$22,3))&gt;9,VALUE(RIGHT($AP$22,3))&lt;20)</formula>
    </cfRule>
    <cfRule type="expression" dxfId="3830" priority="1179">
      <formula>VALUE(RIGHT($AP$22,3))&gt;19</formula>
    </cfRule>
  </conditionalFormatting>
  <conditionalFormatting sqref="AP22">
    <cfRule type="expression" dxfId="3829" priority="1171">
      <formula>AND(VALUE(RIGHT($AP$22,3))&lt;-19,VALUE(RIGHT($AP$22,3))&gt;-30)</formula>
    </cfRule>
  </conditionalFormatting>
  <conditionalFormatting sqref="AP23">
    <cfRule type="expression" dxfId="3828" priority="1057">
      <formula>VALUE(RIGHT($AP$23,3))&lt;-39</formula>
    </cfRule>
    <cfRule type="expression" dxfId="3827" priority="1102">
      <formula>AND(VALUE(RIGHT($AP$23,3))&lt;-29,VALUE(RIGHT($AP$23,3))&gt;-40)</formula>
    </cfRule>
    <cfRule type="expression" dxfId="3826" priority="1163">
      <formula>AND(VALUE(RIGHT($AP$23,3))&lt;-9,VALUE(RIGHT($AP$23,3))&gt;-20)</formula>
    </cfRule>
    <cfRule type="expression" dxfId="3825" priority="1164">
      <formula>AND(VALUE(RIGHT($AP$23,3))&lt;-4,VALUE(RIGHT($AP$23,3))&gt;-10)</formula>
    </cfRule>
    <cfRule type="expression" dxfId="3824" priority="1165">
      <formula>AND(VALUE(RIGHT($AP$23,3))&lt;1,VALUE(RIGHT($AP$23,3))&gt;-5)</formula>
    </cfRule>
    <cfRule type="expression" dxfId="3823" priority="1166">
      <formula>AND(VALUE(RIGHT($AP$23,3))&gt;0,VALUE(RIGHT($AP$23,3))&lt;5)</formula>
    </cfRule>
    <cfRule type="expression" dxfId="3822" priority="1168">
      <formula>AND(VALUE(RIGHT($AP$23,3))&gt;4,VALUE(RIGHT($AP$23,3))&lt;10)</formula>
    </cfRule>
    <cfRule type="expression" dxfId="3821" priority="1169">
      <formula>AND(VALUE(RIGHT($AP$23,3))&gt;9,VALUE(RIGHT($AP$23,3))&lt;20)</formula>
    </cfRule>
    <cfRule type="expression" dxfId="3820" priority="1170">
      <formula>VALUE(RIGHT($AP$23,3))&gt;19</formula>
    </cfRule>
  </conditionalFormatting>
  <conditionalFormatting sqref="AP23">
    <cfRule type="expression" dxfId="3819" priority="1162">
      <formula>AND(VALUE(RIGHT($AP$23,3))&lt;-19,VALUE(RIGHT($AP$23,3))&gt;-30)</formula>
    </cfRule>
  </conditionalFormatting>
  <conditionalFormatting sqref="AP24">
    <cfRule type="expression" dxfId="3818" priority="1058">
      <formula>VALUE(RIGHT($AP$24,3))&lt;-39</formula>
    </cfRule>
    <cfRule type="expression" dxfId="3817" priority="1101">
      <formula>AND(VALUE(RIGHT($AP$24,3))&lt;-29,VALUE(RIGHT($AP$24,3))&gt;-40)</formula>
    </cfRule>
    <cfRule type="expression" dxfId="3816" priority="1154">
      <formula>AND(VALUE(RIGHT($AP$24,3))&lt;-9,VALUE(RIGHT($AP$24,3))&gt;-20)</formula>
    </cfRule>
    <cfRule type="expression" dxfId="3815" priority="1155">
      <formula>AND(VALUE(RIGHT($AP$24,3))&lt;-4,VALUE(RIGHT($AP$24,3))&gt;-10)</formula>
    </cfRule>
    <cfRule type="expression" dxfId="3814" priority="1156">
      <formula>AND(VALUE(RIGHT($AP$24,3))&lt;1,VALUE(RIGHT($AP$24,3))&gt;-5)</formula>
    </cfRule>
    <cfRule type="expression" dxfId="3813" priority="1157">
      <formula>AND(VALUE(RIGHT($AP$24,3))&gt;0,VALUE(RIGHT($AP$24,3))&lt;5)</formula>
    </cfRule>
    <cfRule type="expression" dxfId="3812" priority="1159">
      <formula>AND(VALUE(RIGHT($AP$24,3))&gt;4,VALUE(RIGHT($AP$24,3))&lt;10)</formula>
    </cfRule>
    <cfRule type="expression" dxfId="3811" priority="1160">
      <formula>AND(VALUE(RIGHT($AP$24,3))&gt;9,VALUE(RIGHT($AP$24,3))&lt;20)</formula>
    </cfRule>
    <cfRule type="expression" dxfId="3810" priority="1161">
      <formula>VALUE(RIGHT($AP$24,3))&gt;19</formula>
    </cfRule>
  </conditionalFormatting>
  <conditionalFormatting sqref="AP24">
    <cfRule type="expression" dxfId="3809" priority="1153">
      <formula>AND(VALUE(RIGHT($AP$24,3))&lt;-19,VALUE(RIGHT($AP$24,3))&gt;-30)</formula>
    </cfRule>
  </conditionalFormatting>
  <conditionalFormatting sqref="AP25">
    <cfRule type="expression" dxfId="3808" priority="1059">
      <formula>VALUE(RIGHT($AP$25,3))&lt;-39</formula>
    </cfRule>
    <cfRule type="expression" dxfId="3807" priority="1100">
      <formula>AND(VALUE(RIGHT($AP$25,3))&lt;-29,VALUE(RIGHT($AP$25,3))&gt;-40)</formula>
    </cfRule>
    <cfRule type="expression" dxfId="3806" priority="1145">
      <formula>AND(VALUE(RIGHT($AP$25,3))&lt;-9,VALUE(RIGHT($AP$25,3))&gt;-20)</formula>
    </cfRule>
    <cfRule type="expression" dxfId="3805" priority="1146">
      <formula>AND(VALUE(RIGHT($AP$25,3))&lt;-4,VALUE(RIGHT($AP$25,3))&gt;-10)</formula>
    </cfRule>
    <cfRule type="expression" dxfId="3804" priority="1147">
      <formula>AND(VALUE(RIGHT($AP$25,3))&lt;1,VALUE(RIGHT($AP$25,3))&gt;-5)</formula>
    </cfRule>
    <cfRule type="expression" dxfId="3803" priority="1148">
      <formula>AND(VALUE(RIGHT($AP$25,3))&gt;0,VALUE(RIGHT($AP$25,3))&lt;5)</formula>
    </cfRule>
    <cfRule type="expression" dxfId="3802" priority="1150">
      <formula>AND(VALUE(RIGHT($AP$25,3))&gt;4,VALUE(RIGHT($AP$25,3))&lt;10)</formula>
    </cfRule>
    <cfRule type="expression" dxfId="3801" priority="1151">
      <formula>AND(VALUE(RIGHT($AP$25,3))&gt;9,VALUE(RIGHT($AP$25,3))&lt;20)</formula>
    </cfRule>
    <cfRule type="expression" dxfId="3800" priority="1152">
      <formula>VALUE(RIGHT($AP$25,3))&gt;19</formula>
    </cfRule>
  </conditionalFormatting>
  <conditionalFormatting sqref="AP25">
    <cfRule type="expression" dxfId="3799" priority="1144">
      <formula>AND(VALUE(RIGHT($AP$25,3))&lt;-19,VALUE(RIGHT($AP$25,3))&gt;-30)</formula>
    </cfRule>
  </conditionalFormatting>
  <conditionalFormatting sqref="AP26">
    <cfRule type="expression" dxfId="3798" priority="1060">
      <formula>VALUE(RIGHT($AP$26,3))&lt;-39</formula>
    </cfRule>
    <cfRule type="expression" dxfId="3797" priority="1099">
      <formula>AND(VALUE(RIGHT($AP$26,3))&lt;-29,VALUE(RIGHT($AP$26,3))&gt;-40)</formula>
    </cfRule>
    <cfRule type="expression" dxfId="3796" priority="1136">
      <formula>AND(VALUE(RIGHT($AP$26,3))&lt;-9,VALUE(RIGHT($AP$26,3))&gt;-20)</formula>
    </cfRule>
    <cfRule type="expression" dxfId="3795" priority="1137">
      <formula>AND(VALUE(RIGHT($AP$26,3))&lt;-4,VALUE(RIGHT($AP$26,3))&gt;-10)</formula>
    </cfRule>
    <cfRule type="expression" dxfId="3794" priority="1138">
      <formula>AND(VALUE(RIGHT($AP$26,3))&lt;1,VALUE(RIGHT($AP$26,3))&gt;-5)</formula>
    </cfRule>
    <cfRule type="expression" dxfId="3793" priority="1139">
      <formula>AND(VALUE(RIGHT($AP$26,3))&gt;0,VALUE(RIGHT($AP$26,3))&lt;5)</formula>
    </cfRule>
    <cfRule type="expression" dxfId="3792" priority="1141">
      <formula>AND(VALUE(RIGHT($AP$26,3))&gt;4,VALUE(RIGHT($AP$26,3))&lt;10)</formula>
    </cfRule>
    <cfRule type="expression" dxfId="3791" priority="1142">
      <formula>AND(VALUE(RIGHT($AP$26,3))&gt;9,VALUE(RIGHT($AP$26,3))&lt;20)</formula>
    </cfRule>
    <cfRule type="expression" dxfId="3790" priority="1143">
      <formula>VALUE(RIGHT($AP$26,3))&gt;19</formula>
    </cfRule>
  </conditionalFormatting>
  <conditionalFormatting sqref="AP26">
    <cfRule type="expression" dxfId="3789" priority="1135">
      <formula>AND(VALUE(RIGHT($AP$26,3))&lt;-19,VALUE(RIGHT($AP$26,3))&gt;-30)</formula>
    </cfRule>
  </conditionalFormatting>
  <conditionalFormatting sqref="AP27">
    <cfRule type="expression" dxfId="3788" priority="1061">
      <formula>VALUE(RIGHT($AP$27,3))&lt;-39</formula>
    </cfRule>
    <cfRule type="expression" dxfId="3787" priority="1098">
      <formula>AND(VALUE(RIGHT($AP$27,3))&lt;-29,VALUE(RIGHT($AP$27,3))&gt;-40)</formula>
    </cfRule>
    <cfRule type="expression" dxfId="3786" priority="1127">
      <formula>AND(VALUE(RIGHT($AP$27,3))&lt;-9,VALUE(RIGHT($AP$27,3))&gt;-20)</formula>
    </cfRule>
    <cfRule type="expression" dxfId="3785" priority="1128">
      <formula>AND(VALUE(RIGHT($AP$27,3))&lt;-4,VALUE(RIGHT($AP$27,3))&gt;-10)</formula>
    </cfRule>
    <cfRule type="expression" dxfId="3784" priority="1129">
      <formula>AND(VALUE(RIGHT($AP$27,3))&lt;1,VALUE(RIGHT($AP$27,3))&gt;-5)</formula>
    </cfRule>
    <cfRule type="expression" dxfId="3783" priority="1130">
      <formula>AND(VALUE(RIGHT($AP$27,3))&gt;0,VALUE(RIGHT($AP$27,3))&lt;5)</formula>
    </cfRule>
    <cfRule type="expression" dxfId="3782" priority="1132">
      <formula>AND(VALUE(RIGHT($AP$27,3))&gt;4,VALUE(RIGHT($AP$27,3))&lt;10)</formula>
    </cfRule>
    <cfRule type="expression" dxfId="3781" priority="1133">
      <formula>AND(VALUE(RIGHT($AP$27,3))&gt;9,VALUE(RIGHT($AP$27,3))&lt;20)</formula>
    </cfRule>
    <cfRule type="expression" dxfId="3780" priority="1134">
      <formula>VALUE(RIGHT($AP$27,3))&gt;19</formula>
    </cfRule>
  </conditionalFormatting>
  <conditionalFormatting sqref="AP27">
    <cfRule type="expression" dxfId="3779" priority="1126">
      <formula>AND(VALUE(RIGHT($AP$27,3))&lt;-19,VALUE(RIGHT($AP$27,3))&gt;-30)</formula>
    </cfRule>
  </conditionalFormatting>
  <conditionalFormatting sqref="AP28">
    <cfRule type="expression" dxfId="3778" priority="1062">
      <formula>VALUE(RIGHT($AP$28,3))&lt;-39</formula>
    </cfRule>
    <cfRule type="expression" dxfId="3777" priority="1097">
      <formula>AND(VALUE(RIGHT($AP$28,3))&lt;-29,VALUE(RIGHT($AP$28,3))&gt;-40)</formula>
    </cfRule>
    <cfRule type="expression" dxfId="3776" priority="1118">
      <formula>AND(VALUE(RIGHT($AP$28,3))&lt;-9,VALUE(RIGHT($AP$28,3))&gt;-20)</formula>
    </cfRule>
    <cfRule type="expression" dxfId="3775" priority="1119">
      <formula>AND(VALUE(RIGHT($AP$28,3))&lt;-4,VALUE(RIGHT($AP$28,3))&gt;-10)</formula>
    </cfRule>
    <cfRule type="expression" dxfId="3774" priority="1120">
      <formula>AND(VALUE(RIGHT($AP$28,3))&lt;1,VALUE(RIGHT($AP$28,3))&gt;-5)</formula>
    </cfRule>
    <cfRule type="expression" dxfId="3773" priority="1121">
      <formula>AND(VALUE(RIGHT($AP$28,3))&gt;0,VALUE(RIGHT($AP$28,3))&lt;5)</formula>
    </cfRule>
    <cfRule type="expression" dxfId="3772" priority="1123">
      <formula>AND(VALUE(RIGHT($AP$28,3))&gt;4,VALUE(RIGHT($AP$28,3))&lt;10)</formula>
    </cfRule>
    <cfRule type="expression" dxfId="3771" priority="1124">
      <formula>AND(VALUE(RIGHT($AP$28,3))&gt;9,VALUE(RIGHT($AP$28,3))&lt;20)</formula>
    </cfRule>
    <cfRule type="expression" dxfId="3770" priority="1125">
      <formula>VALUE(RIGHT($AP$28,3))&gt;19</formula>
    </cfRule>
  </conditionalFormatting>
  <conditionalFormatting sqref="AP28">
    <cfRule type="expression" dxfId="3769" priority="1117">
      <formula>AND(VALUE(RIGHT($AP$28,3))&lt;-19,VALUE(RIGHT($AP$28,3))&gt;-30)</formula>
    </cfRule>
  </conditionalFormatting>
  <conditionalFormatting sqref="AP29">
    <cfRule type="expression" dxfId="3768" priority="1063">
      <formula>VALUE(RIGHT($AP$29,3))&lt;-39</formula>
    </cfRule>
    <cfRule type="expression" dxfId="3767" priority="1107">
      <formula>AND(VALUE(RIGHT($AP$29,3))&lt;-29,VALUE(RIGHT($AP$29,3))&gt;-40)</formula>
    </cfRule>
    <cfRule type="expression" dxfId="3766" priority="1109">
      <formula>AND(VALUE(RIGHT($AP$29,3))&lt;-9,VALUE(RIGHT($AP$29,3))&gt;-20)</formula>
    </cfRule>
    <cfRule type="expression" dxfId="3765" priority="1110">
      <formula>AND(VALUE(RIGHT($AP$29,3))&lt;-4,VALUE(RIGHT($AP$29,3))&gt;-10)</formula>
    </cfRule>
    <cfRule type="expression" dxfId="3764" priority="1111">
      <formula>AND(VALUE(RIGHT($AP$29,3))&lt;1,VALUE(RIGHT($AP$29,3))&gt;-5)</formula>
    </cfRule>
    <cfRule type="expression" dxfId="3763" priority="1112">
      <formula>AND(VALUE(RIGHT($AP$29,3))&gt;0,VALUE(RIGHT($AP$29,3))&lt;5)</formula>
    </cfRule>
    <cfRule type="expression" dxfId="3762" priority="1114">
      <formula>AND(VALUE(RIGHT($AP$29,3))&gt;4,VALUE(RIGHT($AP$29,3))&lt;10)</formula>
    </cfRule>
    <cfRule type="expression" dxfId="3761" priority="1115">
      <formula>AND(VALUE(RIGHT($AP$29,3))&gt;9,VALUE(RIGHT($AP$29,3))&lt;20)</formula>
    </cfRule>
    <cfRule type="expression" dxfId="3760" priority="1116">
      <formula>VALUE(RIGHT($AP$29,3))&gt;19</formula>
    </cfRule>
  </conditionalFormatting>
  <conditionalFormatting sqref="AP29">
    <cfRule type="expression" dxfId="3759" priority="1108">
      <formula>AND(VALUE(RIGHT($AP$29,3))&lt;-19,VALUE(RIGHT($AP$29,3))&gt;-30)</formula>
    </cfRule>
  </conditionalFormatting>
  <conditionalFormatting sqref="AP30">
    <cfRule type="expression" dxfId="3758" priority="1064">
      <formula>VALUE(RIGHT($AP$30,3))&lt;-39</formula>
    </cfRule>
    <cfRule type="expression" dxfId="3757" priority="1087">
      <formula>AND(VALUE(RIGHT($AP$30,3))&lt;-29,VALUE(RIGHT($AP$30,3))&gt;-40)</formula>
    </cfRule>
    <cfRule type="expression" dxfId="3756" priority="1089">
      <formula>AND(VALUE(RIGHT($AP$30,3))&lt;-9,VALUE(RIGHT($AP$30,3))&gt;-20)</formula>
    </cfRule>
    <cfRule type="expression" dxfId="3755" priority="1090">
      <formula>AND(VALUE(RIGHT($AP$30,3))&lt;-4,VALUE(RIGHT($AP$30,3))&gt;-10)</formula>
    </cfRule>
    <cfRule type="expression" dxfId="3754" priority="1091">
      <formula>AND(VALUE(RIGHT($AP$30,3))&lt;1,VALUE(RIGHT($AP$30,3))&gt;-5)</formula>
    </cfRule>
    <cfRule type="expression" dxfId="3753" priority="1092">
      <formula>AND(VALUE(RIGHT($AP$30,3))&gt;0,VALUE(RIGHT($AP$30,3))&lt;5)</formula>
    </cfRule>
    <cfRule type="expression" dxfId="3752" priority="1094">
      <formula>AND(VALUE(RIGHT($AP$30,3))&gt;4,VALUE(RIGHT($AP$30,3))&lt;10)</formula>
    </cfRule>
    <cfRule type="expression" dxfId="3751" priority="1095">
      <formula>AND(VALUE(RIGHT($AP$30,3))&gt;9,VALUE(RIGHT($AP$30,3))&lt;20)</formula>
    </cfRule>
    <cfRule type="expression" dxfId="3750" priority="1096">
      <formula>VALUE(RIGHT($AP$30,3))&gt;19</formula>
    </cfRule>
  </conditionalFormatting>
  <conditionalFormatting sqref="AP30">
    <cfRule type="expression" dxfId="3749" priority="1088">
      <formula>AND(VALUE(RIGHT($AP$30,3))&lt;-19,VALUE(RIGHT($AP$30,3))&gt;-30)</formula>
    </cfRule>
  </conditionalFormatting>
  <conditionalFormatting sqref="AP31">
    <cfRule type="expression" dxfId="3748" priority="1065">
      <formula>VALUE(RIGHT($AP$31,3))&lt;-39</formula>
    </cfRule>
    <cfRule type="expression" dxfId="3747" priority="1077">
      <formula>AND(VALUE(RIGHT($AP$31,3))&lt;-29,VALUE(RIGHT($AP$31,3))&gt;-40)</formula>
    </cfRule>
    <cfRule type="expression" dxfId="3746" priority="1079">
      <formula>AND(VALUE(RIGHT($AP$31,3))&lt;-9,VALUE(RIGHT($AP$31,3))&gt;-20)</formula>
    </cfRule>
    <cfRule type="expression" dxfId="3745" priority="1080">
      <formula>AND(VALUE(RIGHT($AP$31,3))&lt;-4,VALUE(RIGHT($AP$31,3))&gt;-10)</formula>
    </cfRule>
    <cfRule type="expression" dxfId="3744" priority="1081">
      <formula>AND(VALUE(RIGHT($AP$31,3))&lt;1,VALUE(RIGHT($AP$31,3))&gt;-5)</formula>
    </cfRule>
    <cfRule type="expression" dxfId="3743" priority="1082">
      <formula>AND(VALUE(RIGHT($AP$31,3))&gt;0,VALUE(RIGHT($AP$31,3))&lt;5)</formula>
    </cfRule>
    <cfRule type="expression" dxfId="3742" priority="1084">
      <formula>AND(VALUE(RIGHT($AP$31,3))&gt;4,VALUE(RIGHT($AP$31,3))&lt;10)</formula>
    </cfRule>
    <cfRule type="expression" dxfId="3741" priority="1085">
      <formula>AND(VALUE(RIGHT($AP$31,3))&gt;9,VALUE(RIGHT($AP$31,3))&lt;20)</formula>
    </cfRule>
    <cfRule type="expression" dxfId="3740" priority="1086">
      <formula>VALUE(RIGHT($AP$31,3))&gt;19</formula>
    </cfRule>
  </conditionalFormatting>
  <conditionalFormatting sqref="AP31">
    <cfRule type="expression" dxfId="3739" priority="1078">
      <formula>AND(VALUE(RIGHT($AP$31,3))&lt;-19,VALUE(RIGHT($AP$31,3))&gt;-30)</formula>
    </cfRule>
  </conditionalFormatting>
  <conditionalFormatting sqref="AP32">
    <cfRule type="expression" dxfId="3738" priority="1066">
      <formula>VALUE(RIGHT($AP$32,3))&lt;-39</formula>
    </cfRule>
    <cfRule type="expression" dxfId="3737" priority="1067">
      <formula>AND(VALUE(RIGHT($AP$32,3))&lt;-29,VALUE(RIGHT($AP$32,3))&gt;-40)</formula>
    </cfRule>
    <cfRule type="expression" dxfId="3736" priority="1069">
      <formula>AND(VALUE(RIGHT($AP$32,3))&lt;-9,VALUE(RIGHT($AP$32,3))&gt;-20)</formula>
    </cfRule>
    <cfRule type="expression" dxfId="3735" priority="1070">
      <formula>AND(VALUE(RIGHT($AP$32,3))&lt;-4,VALUE(RIGHT($AP$32,3))&gt;-10)</formula>
    </cfRule>
    <cfRule type="expression" dxfId="3734" priority="1071">
      <formula>AND(VALUE(RIGHT($AP$32,3))&lt;1,VALUE(RIGHT($AP$32,3))&gt;-5)</formula>
    </cfRule>
    <cfRule type="expression" dxfId="3733" priority="1072">
      <formula>AND(VALUE(RIGHT($AP$32,3))&gt;0,VALUE(RIGHT($AP$32,3))&lt;5)</formula>
    </cfRule>
    <cfRule type="expression" dxfId="3732" priority="1074">
      <formula>AND(VALUE(RIGHT($AP$32,3))&gt;4,VALUE(RIGHT($AP$32,3))&lt;10)</formula>
    </cfRule>
    <cfRule type="expression" dxfId="3731" priority="1075">
      <formula>AND(VALUE(RIGHT($AP$32,3))&gt;9,VALUE(RIGHT($AP$32,3))&lt;20)</formula>
    </cfRule>
    <cfRule type="expression" dxfId="3730" priority="1076">
      <formula>VALUE(RIGHT($AP$32,3))&gt;19</formula>
    </cfRule>
  </conditionalFormatting>
  <conditionalFormatting sqref="AP32">
    <cfRule type="expression" dxfId="3729" priority="1068">
      <formula>AND(VALUE(RIGHT($AP$32,3))&lt;-19,VALUE(RIGHT($AP$32,3))&gt;-30)</formula>
    </cfRule>
  </conditionalFormatting>
  <conditionalFormatting sqref="W249 K249 AI249 AU249">
    <cfRule type="cellIs" dxfId="3728" priority="986" operator="greaterThan">
      <formula>32</formula>
    </cfRule>
    <cfRule type="cellIs" dxfId="3727" priority="987" operator="between">
      <formula>15</formula>
      <formula>32</formula>
    </cfRule>
    <cfRule type="cellIs" dxfId="3726" priority="988" operator="between">
      <formula>0</formula>
      <formula>15</formula>
    </cfRule>
    <cfRule type="cellIs" dxfId="3725" priority="989" operator="lessThan">
      <formula>0</formula>
    </cfRule>
  </conditionalFormatting>
  <conditionalFormatting sqref="W249 K249 AI249 AU249">
    <cfRule type="cellIs" dxfId="3724" priority="985" operator="equal">
      <formula>"WHITE"</formula>
    </cfRule>
  </conditionalFormatting>
  <conditionalFormatting sqref="W249 K249 AI249 AU249">
    <cfRule type="cellIs" dxfId="3723" priority="981" operator="equal">
      <formula>"BLACK"</formula>
    </cfRule>
    <cfRule type="cellIs" dxfId="3722" priority="982" operator="equal">
      <formula>"RED"</formula>
    </cfRule>
    <cfRule type="cellIs" dxfId="3721" priority="983" operator="equal">
      <formula>"YELLOW"</formula>
    </cfRule>
    <cfRule type="cellIs" dxfId="3720" priority="984" operator="equal">
      <formula>"GREEN"</formula>
    </cfRule>
  </conditionalFormatting>
  <conditionalFormatting sqref="W249 K249 AI249 AU249">
    <cfRule type="cellIs" dxfId="3719" priority="980" operator="equal">
      <formula>"(NONE)"</formula>
    </cfRule>
  </conditionalFormatting>
  <conditionalFormatting sqref="AV237:AW237">
    <cfRule type="expression" dxfId="3718" priority="923">
      <formula>$Y$71=2</formula>
    </cfRule>
  </conditionalFormatting>
  <conditionalFormatting sqref="AV238:AW238">
    <cfRule type="expression" dxfId="3717" priority="922">
      <formula>$Y$71=2</formula>
    </cfRule>
  </conditionalFormatting>
  <conditionalFormatting sqref="K35:AW35 K40:AW40 K235:AW235 K240:AW240">
    <cfRule type="expression" dxfId="3716" priority="920">
      <formula>$Y$71=1</formula>
    </cfRule>
  </conditionalFormatting>
  <conditionalFormatting sqref="K41:AW41 K241:AW241">
    <cfRule type="expression" dxfId="3715" priority="919">
      <formula>$Y$71=1</formula>
    </cfRule>
    <cfRule type="expression" dxfId="3714" priority="1847">
      <formula>$Y$71=2</formula>
    </cfRule>
  </conditionalFormatting>
  <conditionalFormatting sqref="AV234">
    <cfRule type="expression" dxfId="3713" priority="910">
      <formula>OR(AND($Y$71=3,$AA$71="R"),AND($Y$71=4,$AA$71="R"))</formula>
    </cfRule>
    <cfRule type="expression" dxfId="3712" priority="911">
      <formula>OR(AND($Y$71=3,$AA$71="Y"),AND($Y$71=4,$AA$71="Y"))</formula>
    </cfRule>
    <cfRule type="expression" dxfId="3711" priority="912">
      <formula>AND(OR($Y$71=3,$Y$71=4),$AA$71="G")</formula>
    </cfRule>
  </conditionalFormatting>
  <conditionalFormatting sqref="AV236">
    <cfRule type="expression" dxfId="3710" priority="903">
      <formula>AND($Y$71=2,$AA$71="R")</formula>
    </cfRule>
    <cfRule type="expression" dxfId="3709" priority="904">
      <formula>AND($Y$71=4,$AA$72="R")</formula>
    </cfRule>
    <cfRule type="expression" dxfId="3708" priority="905">
      <formula>AND($Y$71=4,$AA$72="Y")</formula>
    </cfRule>
    <cfRule type="expression" dxfId="3707" priority="906">
      <formula>AND($Y$71=2,$AA$71="Y")</formula>
    </cfRule>
    <cfRule type="expression" dxfId="3706" priority="907">
      <formula>AND($Y$71=2,$AA$71="G")</formula>
    </cfRule>
    <cfRule type="expression" dxfId="3705" priority="908">
      <formula>$Y$71=3</formula>
    </cfRule>
    <cfRule type="expression" dxfId="3704" priority="909">
      <formula>AND($Y$71=4,$AA$72="G")</formula>
    </cfRule>
  </conditionalFormatting>
  <conditionalFormatting sqref="AV238">
    <cfRule type="expression" dxfId="3703" priority="897">
      <formula>OR(AND($Y$71=1,$AA$71="R"),AND($Y$71=3,$AA$72="R"))</formula>
    </cfRule>
    <cfRule type="expression" dxfId="3702" priority="898">
      <formula>AND($Y$71=4,$AA$73="R")</formula>
    </cfRule>
    <cfRule type="expression" dxfId="3701" priority="899">
      <formula>AND($Y$71=4,$AA$73="Y")</formula>
    </cfRule>
    <cfRule type="expression" dxfId="3700" priority="900">
      <formula>OR(AND($Y$71=1,$AA$71="Y"),AND($Y$71=3,$AA$72="Y"))</formula>
    </cfRule>
    <cfRule type="expression" dxfId="3699" priority="901">
      <formula>OR(AND($Y$71=1,$AA$71="G"),AND($Y$71=3,$AA$72="G"))</formula>
    </cfRule>
    <cfRule type="expression" dxfId="3698" priority="902">
      <formula>AND($Y$71=4,$AA$73="G")</formula>
    </cfRule>
  </conditionalFormatting>
  <conditionalFormatting sqref="AV240">
    <cfRule type="expression" dxfId="3697" priority="891">
      <formula>AND($Y$71=2,$AA$72="R")</formula>
    </cfRule>
    <cfRule type="expression" dxfId="3696" priority="892">
      <formula>OR(AND($Y$71=3,$AA$73="R"),AND($Y$71=4,$AA$74="R"))</formula>
    </cfRule>
    <cfRule type="expression" dxfId="3695" priority="893">
      <formula>OR(AND($Y$71=3,$AA$73="Y"),AND($Y$71=4,$AA$74="Y"))</formula>
    </cfRule>
    <cfRule type="expression" dxfId="3694" priority="894">
      <formula>AND($Y$71=2,$AA$72="Y")</formula>
    </cfRule>
    <cfRule type="expression" dxfId="3693" priority="895">
      <formula>AND($Y$71=2,$AA$72="G")</formula>
    </cfRule>
    <cfRule type="expression" dxfId="3692" priority="896">
      <formula>OR(AND($Y$71=3,$AA$73="G"),AND($Y$71=4,$AA$74="G"))</formula>
    </cfRule>
  </conditionalFormatting>
  <conditionalFormatting sqref="AW234">
    <cfRule type="expression" dxfId="3691" priority="888">
      <formula>OR(AND($Y$71=3,$AA$71="R"),AND($Y$71=4,$AA$71="R"))</formula>
    </cfRule>
    <cfRule type="expression" dxfId="3690" priority="889">
      <formula>OR(AND($Y$71=3,$AA$71="Y"),AND($Y$71=4,$AA$71="Y"))</formula>
    </cfRule>
    <cfRule type="expression" dxfId="3689" priority="890">
      <formula>AND(OR($Y$71=3,$Y$71=4),$AA$71="G")</formula>
    </cfRule>
  </conditionalFormatting>
  <conditionalFormatting sqref="AV235">
    <cfRule type="expression" dxfId="3688" priority="882">
      <formula>AND($Y$71=2,$AA$71="R")</formula>
    </cfRule>
    <cfRule type="expression" dxfId="3687" priority="883">
      <formula>OR(AND($Y$71=3,$AA$71="R"),AND($Y$71=4,$AA$71="R"))</formula>
    </cfRule>
    <cfRule type="expression" dxfId="3686" priority="884">
      <formula>OR(AND($Y$71=3,$AA$71="Y"),AND($Y$71=4,$AA$71="Y"))</formula>
    </cfRule>
    <cfRule type="expression" dxfId="3685" priority="885">
      <formula>AND($Y$71=2,$AA$71="Y")</formula>
    </cfRule>
    <cfRule type="expression" dxfId="3684" priority="886">
      <formula>AND($Y$71=2,$AA$71="G")</formula>
    </cfRule>
    <cfRule type="expression" dxfId="3683" priority="887">
      <formula>AND(OR($Y$71=3,$Y$71=4),$AA$71="G")</formula>
    </cfRule>
  </conditionalFormatting>
  <conditionalFormatting sqref="AW235">
    <cfRule type="expression" dxfId="3682" priority="876">
      <formula>AND($Y$71=2,$AA$71="R")</formula>
    </cfRule>
    <cfRule type="expression" dxfId="3681" priority="877">
      <formula>OR(AND($Y$71=3,$AA$71="R"),AND($Y$71=4,$AA$71="R"))</formula>
    </cfRule>
    <cfRule type="expression" dxfId="3680" priority="878">
      <formula>OR(AND($Y$71=3,$AA$71="Y"),AND($Y$71=4,$AA$71="Y"))</formula>
    </cfRule>
    <cfRule type="expression" dxfId="3679" priority="879">
      <formula>AND($Y$71=2,$AA$71="Y")</formula>
    </cfRule>
    <cfRule type="expression" dxfId="3678" priority="880">
      <formula>AND($Y$71=2,$AA$71="G")</formula>
    </cfRule>
    <cfRule type="expression" dxfId="3677" priority="881">
      <formula>AND(OR($Y$71=3,$Y$71=4),$AA$71="G")</formula>
    </cfRule>
  </conditionalFormatting>
  <conditionalFormatting sqref="AW236">
    <cfRule type="expression" dxfId="3676" priority="870">
      <formula>AND($Y$71=2,$AA$71="R")</formula>
    </cfRule>
    <cfRule type="expression" dxfId="3675" priority="871">
      <formula>AND($Y$71=4,$AA$72="R")</formula>
    </cfRule>
    <cfRule type="expression" dxfId="3674" priority="872">
      <formula>AND($Y$71=4,$AA$72="Y")</formula>
    </cfRule>
    <cfRule type="expression" dxfId="3673" priority="873">
      <formula>AND($Y$71=2,$AA$71="Y")</formula>
    </cfRule>
    <cfRule type="expression" dxfId="3672" priority="874">
      <formula>AND($Y$71=2,$AA$71="G")</formula>
    </cfRule>
    <cfRule type="expression" dxfId="3671" priority="875">
      <formula>AND($Y$71=4,$AA$72="G")</formula>
    </cfRule>
  </conditionalFormatting>
  <conditionalFormatting sqref="AV237">
    <cfRule type="expression" dxfId="3670" priority="864">
      <formula>OR(AND($Y$71=1,$AA$71="R"),AND($Y$71=3,$AA$72="R"))</formula>
    </cfRule>
    <cfRule type="expression" dxfId="3669" priority="865">
      <formula>AND($Y$71=4,$AA$72="R")</formula>
    </cfRule>
    <cfRule type="expression" dxfId="3668" priority="866">
      <formula>AND($Y$71=4,$AA$72="Y")</formula>
    </cfRule>
    <cfRule type="expression" dxfId="3667" priority="867">
      <formula>OR(AND($Y$71=1,$AA$71="Y"),AND($Y$71=3,$AA$72="Y"))</formula>
    </cfRule>
    <cfRule type="expression" dxfId="3666" priority="868">
      <formula>OR(AND($Y$71=1,$AA$71="G"),AND($Y$71=3,$AA$72="G"))</formula>
    </cfRule>
    <cfRule type="expression" dxfId="3665" priority="869">
      <formula>AND($Y$71=4,$AA$72="G")</formula>
    </cfRule>
  </conditionalFormatting>
  <conditionalFormatting sqref="AW237">
    <cfRule type="expression" dxfId="3664" priority="858">
      <formula>OR(AND($Y$71=1,$AA$71="R"),AND($Y$71=3,$AA$72="R"))</formula>
    </cfRule>
    <cfRule type="expression" dxfId="3663" priority="859">
      <formula>AND($Y$71=4,$AA$72="R")</formula>
    </cfRule>
    <cfRule type="expression" dxfId="3662" priority="860">
      <formula>AND($Y$71=4,$AA$72="Y")</formula>
    </cfRule>
    <cfRule type="expression" dxfId="3661" priority="861">
      <formula>OR(AND($Y$71=1,$AA$71="Y"),AND($Y$71=3,$AA$72="Y"))</formula>
    </cfRule>
    <cfRule type="expression" dxfId="3660" priority="862">
      <formula>OR(AND($Y$71=1,$AA$71="G"),AND($Y$71=3,$AA$72="G"))</formula>
    </cfRule>
    <cfRule type="expression" dxfId="3659" priority="863">
      <formula>AND($Y$71=4,$AA$72="G")</formula>
    </cfRule>
  </conditionalFormatting>
  <conditionalFormatting sqref="AW238">
    <cfRule type="expression" dxfId="3658" priority="852">
      <formula>OR(AND($Y$71=1,$AA$71="R"),AND($Y$71=3,$AA$72="R"))</formula>
    </cfRule>
    <cfRule type="expression" dxfId="3657" priority="853">
      <formula>AND($Y$71=4,$AA$73="R")</formula>
    </cfRule>
    <cfRule type="expression" dxfId="3656" priority="854">
      <formula>AND($Y$71=4,$AA$73="Y")</formula>
    </cfRule>
    <cfRule type="expression" dxfId="3655" priority="855">
      <formula>OR(AND($Y$71=1,$AA$71="Y"),AND($Y$71=3,$AA$72="Y"))</formula>
    </cfRule>
    <cfRule type="expression" dxfId="3654" priority="856">
      <formula>OR(AND($Y$71=1,$AA$71="G"),AND($Y$71=3,$AA$72="G"))</formula>
    </cfRule>
    <cfRule type="expression" dxfId="3653" priority="857">
      <formula>AND($Y$71=4,$AA$73="G")</formula>
    </cfRule>
  </conditionalFormatting>
  <conditionalFormatting sqref="AV239">
    <cfRule type="expression" dxfId="3652" priority="845">
      <formula>AND($Y$71=2,$AA$72="R")</formula>
    </cfRule>
    <cfRule type="expression" dxfId="3651" priority="846">
      <formula>AND($Y$71=4,$AA$73="R")</formula>
    </cfRule>
    <cfRule type="expression" dxfId="3650" priority="847">
      <formula>AND($Y$71=4,$AA$73="Y")</formula>
    </cfRule>
    <cfRule type="expression" dxfId="3649" priority="848">
      <formula>AND($Y$71=2,$AA$72="Y")</formula>
    </cfRule>
    <cfRule type="expression" dxfId="3648" priority="849">
      <formula>AND($Y$71=2,$AA$72="G")</formula>
    </cfRule>
    <cfRule type="expression" dxfId="3647" priority="850">
      <formula>$Y$71=3</formula>
    </cfRule>
    <cfRule type="expression" dxfId="3646" priority="851">
      <formula>AND($Y$71=4,$AA$73="G")</formula>
    </cfRule>
  </conditionalFormatting>
  <conditionalFormatting sqref="AW239">
    <cfRule type="expression" dxfId="3645" priority="839">
      <formula>AND($Y$71=2,$AA$72="R")</formula>
    </cfRule>
    <cfRule type="expression" dxfId="3644" priority="840">
      <formula>AND($Y$71=4,$AA$73="R")</formula>
    </cfRule>
    <cfRule type="expression" dxfId="3643" priority="841">
      <formula>AND($Y$71=4,$AA$73="Y")</formula>
    </cfRule>
    <cfRule type="expression" dxfId="3642" priority="842">
      <formula>AND($Y$71=2,$AA$72="Y")</formula>
    </cfRule>
    <cfRule type="expression" dxfId="3641" priority="843">
      <formula>AND($Y$71=2,$AA$72="G")</formula>
    </cfRule>
    <cfRule type="expression" dxfId="3640" priority="844">
      <formula>AND($Y$71=4,$AA$73="G")</formula>
    </cfRule>
  </conditionalFormatting>
  <conditionalFormatting sqref="AW240">
    <cfRule type="expression" dxfId="3639" priority="833">
      <formula>AND($Y$71=2,$AA$72="R")</formula>
    </cfRule>
    <cfRule type="expression" dxfId="3638" priority="834">
      <formula>OR(AND($Y$71=3,$AA$73="R"),AND($Y$71=4,$AA$74="R"))</formula>
    </cfRule>
    <cfRule type="expression" dxfId="3637" priority="835">
      <formula>OR(AND($Y$71=3,$AA$73="Y"),AND($Y$71=4,$AA$74="Y"))</formula>
    </cfRule>
    <cfRule type="expression" dxfId="3636" priority="836">
      <formula>AND($Y$71=2,$AA$72="Y")</formula>
    </cfRule>
    <cfRule type="expression" dxfId="3635" priority="837">
      <formula>AND($Y$71=2,$AA$72="G")</formula>
    </cfRule>
    <cfRule type="expression" dxfId="3634" priority="838">
      <formula>OR(AND($Y$71=3,$AA$73="G"),AND($Y$71=4,$AA$74="G"))</formula>
    </cfRule>
  </conditionalFormatting>
  <conditionalFormatting sqref="AV241">
    <cfRule type="expression" dxfId="3633" priority="830">
      <formula>OR(AND($Y$71=3,$AA$73="R"),AND($Y$71=4,$AA$74="R"))</formula>
    </cfRule>
    <cfRule type="expression" dxfId="3632" priority="831">
      <formula>OR(AND($Y$71=3,$AA$73="Y"),AND($Y$71=4,$AA$74="Y"))</formula>
    </cfRule>
    <cfRule type="expression" dxfId="3631" priority="832">
      <formula>OR(AND($Y$71=3,$AA$73="G"),AND($Y$71=4,$AA$74="G"))</formula>
    </cfRule>
  </conditionalFormatting>
  <conditionalFormatting sqref="AW241">
    <cfRule type="expression" dxfId="3630" priority="827">
      <formula>OR(AND($Y$71=3,$AA$73="R"),AND($Y$71=4,$AA$74="R"))</formula>
    </cfRule>
    <cfRule type="expression" dxfId="3629" priority="828">
      <formula>OR(AND($Y$71=3,$AA$73="Y"),AND($Y$71=4,$AA$74="Y"))</formula>
    </cfRule>
    <cfRule type="expression" dxfId="3628" priority="829">
      <formula>OR(AND($Y$71=3,$AA$73="G"),AND($Y$71=4,$AA$74="G"))</formula>
    </cfRule>
  </conditionalFormatting>
  <conditionalFormatting sqref="AV234">
    <cfRule type="expression" dxfId="3627" priority="826">
      <formula>$Y$71=2</formula>
    </cfRule>
  </conditionalFormatting>
  <conditionalFormatting sqref="AV234:AV236">
    <cfRule type="expression" dxfId="3626" priority="825">
      <formula>$Y$71=1</formula>
    </cfRule>
  </conditionalFormatting>
  <conditionalFormatting sqref="W220:AF232">
    <cfRule type="cellIs" dxfId="3625" priority="722" operator="equal">
      <formula>"R"</formula>
    </cfRule>
  </conditionalFormatting>
  <conditionalFormatting sqref="W220:AF220">
    <cfRule type="expression" dxfId="3624" priority="711" stopIfTrue="1">
      <formula>OR(VALUE(MID($AL$3,15,2))&gt;HOUR($B$20),VALUE(MID($AL$3,15,2))=HOUR($B$20))</formula>
    </cfRule>
  </conditionalFormatting>
  <conditionalFormatting sqref="W221:AF221">
    <cfRule type="expression" dxfId="3623" priority="710" stopIfTrue="1">
      <formula>OR(VALUE(MID($AL$3,15,2))&gt;HOUR($B$21),VALUE(MID($AL$3,15,2))=HOUR($B$21))</formula>
    </cfRule>
  </conditionalFormatting>
  <conditionalFormatting sqref="W222:AF222">
    <cfRule type="expression" dxfId="3622" priority="709" stopIfTrue="1">
      <formula>OR(VALUE(MID($AL$3,15,2))&gt;HOUR($B$22),VALUE(MID($AL$3,15,2))=HOUR($B$22))</formula>
    </cfRule>
  </conditionalFormatting>
  <conditionalFormatting sqref="W223:AF223">
    <cfRule type="expression" dxfId="3621" priority="708" stopIfTrue="1">
      <formula>OR(VALUE(MID($AL$3,15,2))&gt;HOUR($B$23),VALUE(MID($AL$3,15,2))=HOUR($B$23))</formula>
    </cfRule>
  </conditionalFormatting>
  <conditionalFormatting sqref="W224:AF224">
    <cfRule type="expression" dxfId="3620" priority="707" stopIfTrue="1">
      <formula>OR(VALUE(MID($AL$3,15,2))&gt;HOUR($B$24),VALUE(MID($AL$3,15,2))=HOUR($B$24))</formula>
    </cfRule>
  </conditionalFormatting>
  <conditionalFormatting sqref="W225:AF225">
    <cfRule type="expression" dxfId="3619" priority="706" stopIfTrue="1">
      <formula>OR(VALUE(MID($AL$3,15,2))&gt;HOUR($B$25),VALUE(MID($AL$3,15,2))=HOUR($B$25))</formula>
    </cfRule>
  </conditionalFormatting>
  <conditionalFormatting sqref="W226:AF226">
    <cfRule type="expression" dxfId="3618" priority="705" stopIfTrue="1">
      <formula>OR(VALUE(MID($AL$3,15,2))&gt;HOUR($B$26),VALUE(MID($AL$3,15,2))=HOUR($B$26))</formula>
    </cfRule>
  </conditionalFormatting>
  <conditionalFormatting sqref="W227:AF227">
    <cfRule type="expression" dxfId="3617" priority="704" stopIfTrue="1">
      <formula>OR(VALUE(MID($AL$3,15,2))&gt;HOUR($B$27),VALUE(MID($AL$3,15,2))=HOUR($B$27))</formula>
    </cfRule>
  </conditionalFormatting>
  <conditionalFormatting sqref="W228:AF228">
    <cfRule type="expression" dxfId="3616" priority="703" stopIfTrue="1">
      <formula>OR(VALUE(MID($AL$3,15,2))&gt;HOUR($B$28),VALUE(MID($AL$3,15,2))=HOUR($B$28))</formula>
    </cfRule>
  </conditionalFormatting>
  <conditionalFormatting sqref="AP219">
    <cfRule type="expression" dxfId="3615" priority="694">
      <formula>VALUE(RIGHT($AP$19,3))&lt;-39</formula>
    </cfRule>
    <cfRule type="expression" dxfId="3614" priority="695">
      <formula>AND(VALUE(RIGHT($AP$19,3))&lt;-29,VALUE(RIGHT($AP$19,3))&gt;-40)</formula>
    </cfRule>
    <cfRule type="expression" dxfId="3613" priority="696">
      <formula>AND(VALUE(RIGHT($AP$19,3))&lt;-9,VALUE(RIGHT($AP$19,3))&gt;-20)</formula>
    </cfRule>
    <cfRule type="expression" dxfId="3612" priority="697">
      <formula>AND(VALUE(RIGHT($AP$19,3))&lt;-4,VALUE(RIGHT($AP$19,3))&gt;-10)</formula>
    </cfRule>
    <cfRule type="expression" dxfId="3611" priority="698">
      <formula>AND(VALUE(RIGHT($AP$19,3))&lt;1,VALUE(RIGHT($AP$19,3))&gt;-5)</formula>
    </cfRule>
    <cfRule type="expression" dxfId="3610" priority="699">
      <formula>AND(VALUE(RIGHT($AP$19,3))&gt;0,VALUE(RIGHT($AP$19,3))&lt;5)</formula>
    </cfRule>
    <cfRule type="expression" dxfId="3609" priority="700">
      <formula>AND(VALUE(RIGHT($AP$19,3))&gt;4,VALUE(RIGHT($AP$19,3))&lt;10)</formula>
    </cfRule>
    <cfRule type="expression" dxfId="3608" priority="701">
      <formula>AND(VALUE(RIGHT($AP$19,3))&gt;9,VALUE(RIGHT($AP$19,3))&lt;20)</formula>
    </cfRule>
    <cfRule type="expression" dxfId="3607" priority="702">
      <formula>VALUE(RIGHT($AP$19,3))&gt;19</formula>
    </cfRule>
  </conditionalFormatting>
  <conditionalFormatting sqref="AP219">
    <cfRule type="expression" dxfId="3606" priority="693">
      <formula>AND(VALUE(RIGHT($AP$19,3))&lt;-19,VALUE(RIGHT($AP$19,3))&gt;-30)</formula>
    </cfRule>
  </conditionalFormatting>
  <conditionalFormatting sqref="AP220">
    <cfRule type="expression" dxfId="3605" priority="684">
      <formula>VALUE(RIGHT($AP$20,3))&lt;-39</formula>
    </cfRule>
    <cfRule type="expression" dxfId="3604" priority="685">
      <formula>AND(VALUE(RIGHT($AP$20,3))&lt;-29,VALUE(RIGHT($AP$20,3))&gt;-40)</formula>
    </cfRule>
    <cfRule type="expression" dxfId="3603" priority="686">
      <formula>AND(VALUE(RIGHT($AP$20,3))&lt;-9,VALUE(RIGHT($AP$20,3))&gt;-20)</formula>
    </cfRule>
    <cfRule type="expression" dxfId="3602" priority="687">
      <formula>AND(VALUE(RIGHT($AP$20,3))&lt;-4,VALUE(RIGHT($AP$20,3))&gt;-10)</formula>
    </cfRule>
    <cfRule type="expression" dxfId="3601" priority="688">
      <formula>AND(VALUE(RIGHT($AP$20,3))&lt;1,VALUE(RIGHT($AP$20,3))&gt;-5)</formula>
    </cfRule>
    <cfRule type="expression" dxfId="3600" priority="689">
      <formula>AND(VALUE(RIGHT($AP$20,3))&gt;0,VALUE(RIGHT($AP$20,3))&lt;5)</formula>
    </cfRule>
    <cfRule type="expression" dxfId="3599" priority="690">
      <formula>AND(VALUE(RIGHT($AP$20,3))&gt;4,VALUE(RIGHT($AP$20,3))&lt;10)</formula>
    </cfRule>
    <cfRule type="expression" dxfId="3598" priority="691">
      <formula>AND(VALUE(RIGHT($AP$20,3))&gt;9,VALUE(RIGHT($AP$20,3))&lt;20)</formula>
    </cfRule>
    <cfRule type="expression" dxfId="3597" priority="692">
      <formula>VALUE(RIGHT($AP$20,3))&gt;19</formula>
    </cfRule>
  </conditionalFormatting>
  <conditionalFormatting sqref="AP220">
    <cfRule type="expression" dxfId="3596" priority="683">
      <formula>AND(VALUE(RIGHT($AP$20,3))&lt;-19,VALUE(RIGHT($AP$20,3))&gt;-30)</formula>
    </cfRule>
  </conditionalFormatting>
  <conditionalFormatting sqref="AP221">
    <cfRule type="expression" dxfId="3595" priority="674">
      <formula>VALUE(RIGHT($AP$21,3))&lt;-39</formula>
    </cfRule>
    <cfRule type="expression" dxfId="3594" priority="675">
      <formula>AND(VALUE(RIGHT($AP$21,3))&lt;-29,VALUE(RIGHT($AP$21,3))&gt;-40)</formula>
    </cfRule>
    <cfRule type="expression" dxfId="3593" priority="676">
      <formula>AND(VALUE(RIGHT($AP$21,3))&lt;-9,VALUE(RIGHT($AP$21,3))&gt;-20)</formula>
    </cfRule>
    <cfRule type="expression" dxfId="3592" priority="677">
      <formula>AND(VALUE(RIGHT($AP$21,3))&lt;-4,VALUE(RIGHT($AP$21,3))&gt;-10)</formula>
    </cfRule>
    <cfRule type="expression" dxfId="3591" priority="678">
      <formula>AND(VALUE(RIGHT($AP$21,3))&lt;1,VALUE(RIGHT($AP$21,3))&gt;-5)</formula>
    </cfRule>
    <cfRule type="expression" dxfId="3590" priority="679">
      <formula>AND(VALUE(RIGHT($AP$21,3))&gt;0,VALUE(RIGHT($AP$21,3))&lt;5)</formula>
    </cfRule>
    <cfRule type="expression" dxfId="3589" priority="680">
      <formula>AND(VALUE(RIGHT($AP$21,3))&gt;4,VALUE(RIGHT($AP$21,3))&lt;10)</formula>
    </cfRule>
    <cfRule type="expression" dxfId="3588" priority="681">
      <formula>AND(VALUE(RIGHT($AP$21,3))&gt;9,VALUE(RIGHT($AP$21,3))&lt;20)</formula>
    </cfRule>
    <cfRule type="expression" dxfId="3587" priority="682">
      <formula>VALUE(RIGHT($AP$21,3))&gt;19</formula>
    </cfRule>
  </conditionalFormatting>
  <conditionalFormatting sqref="AP221">
    <cfRule type="expression" dxfId="3586" priority="673">
      <formula>AND(VALUE(RIGHT($AP$21,3))&lt;-19,VALUE(RIGHT($AP$21,3))&gt;-30)</formula>
    </cfRule>
  </conditionalFormatting>
  <conditionalFormatting sqref="AP222">
    <cfRule type="expression" dxfId="3585" priority="664">
      <formula>VALUE(RIGHT($AP$22,3))&lt;-39</formula>
    </cfRule>
    <cfRule type="expression" dxfId="3584" priority="665">
      <formula>AND(VALUE(RIGHT($AP$22,3))&lt;-29,VALUE(RIGHT($AP$22,3))&gt;-40)</formula>
    </cfRule>
    <cfRule type="expression" dxfId="3583" priority="666">
      <formula>AND(VALUE(RIGHT($AP$22,3))&lt;-9,VALUE(RIGHT($AP$22,3))&gt;-20)</formula>
    </cfRule>
    <cfRule type="expression" dxfId="3582" priority="667">
      <formula>AND(VALUE(RIGHT($AP$22,3))&lt;-4,VALUE(RIGHT($AP$22,3))&gt;-10)</formula>
    </cfRule>
    <cfRule type="expression" dxfId="3581" priority="668">
      <formula>AND(VALUE(RIGHT($AP$22,3))&lt;1,VALUE(RIGHT($AP$22,3))&gt;-5)</formula>
    </cfRule>
    <cfRule type="expression" dxfId="3580" priority="669">
      <formula>AND(VALUE(RIGHT($AP$22,3))&gt;0,VALUE(RIGHT($AP$22,3))&lt;5)</formula>
    </cfRule>
    <cfRule type="expression" dxfId="3579" priority="670">
      <formula>AND(VALUE(RIGHT($AP$22,3))&gt;4,VALUE(RIGHT($AP$22,3))&lt;10)</formula>
    </cfRule>
    <cfRule type="expression" dxfId="3578" priority="671">
      <formula>AND(VALUE(RIGHT($AP$22,3))&gt;9,VALUE(RIGHT($AP$22,3))&lt;20)</formula>
    </cfRule>
    <cfRule type="expression" dxfId="3577" priority="672">
      <formula>VALUE(RIGHT($AP$22,3))&gt;19</formula>
    </cfRule>
  </conditionalFormatting>
  <conditionalFormatting sqref="AP222">
    <cfRule type="expression" dxfId="3576" priority="663">
      <formula>AND(VALUE(RIGHT($AP$22,3))&lt;-19,VALUE(RIGHT($AP$22,3))&gt;-30)</formula>
    </cfRule>
  </conditionalFormatting>
  <conditionalFormatting sqref="AP223">
    <cfRule type="expression" dxfId="3575" priority="654">
      <formula>VALUE(RIGHT($AP$23,3))&lt;-39</formula>
    </cfRule>
    <cfRule type="expression" dxfId="3574" priority="655">
      <formula>AND(VALUE(RIGHT($AP$23,3))&lt;-29,VALUE(RIGHT($AP$23,3))&gt;-40)</formula>
    </cfRule>
    <cfRule type="expression" dxfId="3573" priority="656">
      <formula>AND(VALUE(RIGHT($AP$23,3))&lt;-9,VALUE(RIGHT($AP$23,3))&gt;-20)</formula>
    </cfRule>
    <cfRule type="expression" dxfId="3572" priority="657">
      <formula>AND(VALUE(RIGHT($AP$23,3))&lt;-4,VALUE(RIGHT($AP$23,3))&gt;-10)</formula>
    </cfRule>
    <cfRule type="expression" dxfId="3571" priority="658">
      <formula>AND(VALUE(RIGHT($AP$23,3))&lt;1,VALUE(RIGHT($AP$23,3))&gt;-5)</formula>
    </cfRule>
    <cfRule type="expression" dxfId="3570" priority="659">
      <formula>AND(VALUE(RIGHT($AP$23,3))&gt;0,VALUE(RIGHT($AP$23,3))&lt;5)</formula>
    </cfRule>
    <cfRule type="expression" dxfId="3569" priority="660">
      <formula>AND(VALUE(RIGHT($AP$23,3))&gt;4,VALUE(RIGHT($AP$23,3))&lt;10)</formula>
    </cfRule>
    <cfRule type="expression" dxfId="3568" priority="661">
      <formula>AND(VALUE(RIGHT($AP$23,3))&gt;9,VALUE(RIGHT($AP$23,3))&lt;20)</formula>
    </cfRule>
    <cfRule type="expression" dxfId="3567" priority="662">
      <formula>VALUE(RIGHT($AP$23,3))&gt;19</formula>
    </cfRule>
  </conditionalFormatting>
  <conditionalFormatting sqref="AP223">
    <cfRule type="expression" dxfId="3566" priority="653">
      <formula>AND(VALUE(RIGHT($AP$23,3))&lt;-19,VALUE(RIGHT($AP$23,3))&gt;-30)</formula>
    </cfRule>
  </conditionalFormatting>
  <conditionalFormatting sqref="AP224">
    <cfRule type="expression" dxfId="3565" priority="644">
      <formula>VALUE(RIGHT($AP$24,3))&lt;-39</formula>
    </cfRule>
    <cfRule type="expression" dxfId="3564" priority="645">
      <formula>AND(VALUE(RIGHT($AP$24,3))&lt;-29,VALUE(RIGHT($AP$24,3))&gt;-40)</formula>
    </cfRule>
    <cfRule type="expression" dxfId="3563" priority="646">
      <formula>AND(VALUE(RIGHT($AP$24,3))&lt;-9,VALUE(RIGHT($AP$24,3))&gt;-20)</formula>
    </cfRule>
    <cfRule type="expression" dxfId="3562" priority="647">
      <formula>AND(VALUE(RIGHT($AP$24,3))&lt;-4,VALUE(RIGHT($AP$24,3))&gt;-10)</formula>
    </cfRule>
    <cfRule type="expression" dxfId="3561" priority="648">
      <formula>AND(VALUE(RIGHT($AP$24,3))&lt;1,VALUE(RIGHT($AP$24,3))&gt;-5)</formula>
    </cfRule>
    <cfRule type="expression" dxfId="3560" priority="649">
      <formula>AND(VALUE(RIGHT($AP$24,3))&gt;0,VALUE(RIGHT($AP$24,3))&lt;5)</formula>
    </cfRule>
    <cfRule type="expression" dxfId="3559" priority="650">
      <formula>AND(VALUE(RIGHT($AP$24,3))&gt;4,VALUE(RIGHT($AP$24,3))&lt;10)</formula>
    </cfRule>
    <cfRule type="expression" dxfId="3558" priority="651">
      <formula>AND(VALUE(RIGHT($AP$24,3))&gt;9,VALUE(RIGHT($AP$24,3))&lt;20)</formula>
    </cfRule>
    <cfRule type="expression" dxfId="3557" priority="652">
      <formula>VALUE(RIGHT($AP$24,3))&gt;19</formula>
    </cfRule>
  </conditionalFormatting>
  <conditionalFormatting sqref="AP224">
    <cfRule type="expression" dxfId="3556" priority="643">
      <formula>AND(VALUE(RIGHT($AP$24,3))&lt;-19,VALUE(RIGHT($AP$24,3))&gt;-30)</formula>
    </cfRule>
  </conditionalFormatting>
  <conditionalFormatting sqref="AP225">
    <cfRule type="expression" dxfId="3555" priority="634">
      <formula>VALUE(RIGHT($AP$25,3))&lt;-39</formula>
    </cfRule>
    <cfRule type="expression" dxfId="3554" priority="635">
      <formula>AND(VALUE(RIGHT($AP$25,3))&lt;-29,VALUE(RIGHT($AP$25,3))&gt;-40)</formula>
    </cfRule>
    <cfRule type="expression" dxfId="3553" priority="636">
      <formula>AND(VALUE(RIGHT($AP$25,3))&lt;-9,VALUE(RIGHT($AP$25,3))&gt;-20)</formula>
    </cfRule>
    <cfRule type="expression" dxfId="3552" priority="637">
      <formula>AND(VALUE(RIGHT($AP$25,3))&lt;-4,VALUE(RIGHT($AP$25,3))&gt;-10)</formula>
    </cfRule>
    <cfRule type="expression" dxfId="3551" priority="638">
      <formula>AND(VALUE(RIGHT($AP$25,3))&lt;1,VALUE(RIGHT($AP$25,3))&gt;-5)</formula>
    </cfRule>
    <cfRule type="expression" dxfId="3550" priority="639">
      <formula>AND(VALUE(RIGHT($AP$25,3))&gt;0,VALUE(RIGHT($AP$25,3))&lt;5)</formula>
    </cfRule>
    <cfRule type="expression" dxfId="3549" priority="640">
      <formula>AND(VALUE(RIGHT($AP$25,3))&gt;4,VALUE(RIGHT($AP$25,3))&lt;10)</formula>
    </cfRule>
    <cfRule type="expression" dxfId="3548" priority="641">
      <formula>AND(VALUE(RIGHT($AP$25,3))&gt;9,VALUE(RIGHT($AP$25,3))&lt;20)</formula>
    </cfRule>
    <cfRule type="expression" dxfId="3547" priority="642">
      <formula>VALUE(RIGHT($AP$25,3))&gt;19</formula>
    </cfRule>
  </conditionalFormatting>
  <conditionalFormatting sqref="AP225">
    <cfRule type="expression" dxfId="3546" priority="633">
      <formula>AND(VALUE(RIGHT($AP$25,3))&lt;-19,VALUE(RIGHT($AP$25,3))&gt;-30)</formula>
    </cfRule>
  </conditionalFormatting>
  <conditionalFormatting sqref="AP226">
    <cfRule type="expression" dxfId="3545" priority="624">
      <formula>VALUE(RIGHT($AP$26,3))&lt;-39</formula>
    </cfRule>
    <cfRule type="expression" dxfId="3544" priority="625">
      <formula>AND(VALUE(RIGHT($AP$26,3))&lt;-29,VALUE(RIGHT($AP$26,3))&gt;-40)</formula>
    </cfRule>
    <cfRule type="expression" dxfId="3543" priority="626">
      <formula>AND(VALUE(RIGHT($AP$26,3))&lt;-9,VALUE(RIGHT($AP$26,3))&gt;-20)</formula>
    </cfRule>
    <cfRule type="expression" dxfId="3542" priority="627">
      <formula>AND(VALUE(RIGHT($AP$26,3))&lt;-4,VALUE(RIGHT($AP$26,3))&gt;-10)</formula>
    </cfRule>
    <cfRule type="expression" dxfId="3541" priority="628">
      <formula>AND(VALUE(RIGHT($AP$26,3))&lt;1,VALUE(RIGHT($AP$26,3))&gt;-5)</formula>
    </cfRule>
    <cfRule type="expression" dxfId="3540" priority="629">
      <formula>AND(VALUE(RIGHT($AP$26,3))&gt;0,VALUE(RIGHT($AP$26,3))&lt;5)</formula>
    </cfRule>
    <cfRule type="expression" dxfId="3539" priority="630">
      <formula>AND(VALUE(RIGHT($AP$26,3))&gt;4,VALUE(RIGHT($AP$26,3))&lt;10)</formula>
    </cfRule>
    <cfRule type="expression" dxfId="3538" priority="631">
      <formula>AND(VALUE(RIGHT($AP$26,3))&gt;9,VALUE(RIGHT($AP$26,3))&lt;20)</formula>
    </cfRule>
    <cfRule type="expression" dxfId="3537" priority="632">
      <formula>VALUE(RIGHT($AP$26,3))&gt;19</formula>
    </cfRule>
  </conditionalFormatting>
  <conditionalFormatting sqref="AP226">
    <cfRule type="expression" dxfId="3536" priority="623">
      <formula>AND(VALUE(RIGHT($AP$26,3))&lt;-19,VALUE(RIGHT($AP$26,3))&gt;-30)</formula>
    </cfRule>
  </conditionalFormatting>
  <conditionalFormatting sqref="AP227">
    <cfRule type="expression" dxfId="3535" priority="614">
      <formula>VALUE(RIGHT($AP$27,3))&lt;-39</formula>
    </cfRule>
    <cfRule type="expression" dxfId="3534" priority="615">
      <formula>AND(VALUE(RIGHT($AP$27,3))&lt;-29,VALUE(RIGHT($AP$27,3))&gt;-40)</formula>
    </cfRule>
    <cfRule type="expression" dxfId="3533" priority="616">
      <formula>AND(VALUE(RIGHT($AP$27,3))&lt;-9,VALUE(RIGHT($AP$27,3))&gt;-20)</formula>
    </cfRule>
    <cfRule type="expression" dxfId="3532" priority="617">
      <formula>AND(VALUE(RIGHT($AP$27,3))&lt;-4,VALUE(RIGHT($AP$27,3))&gt;-10)</formula>
    </cfRule>
    <cfRule type="expression" dxfId="3531" priority="618">
      <formula>AND(VALUE(RIGHT($AP$27,3))&lt;1,VALUE(RIGHT($AP$27,3))&gt;-5)</formula>
    </cfRule>
    <cfRule type="expression" dxfId="3530" priority="619">
      <formula>AND(VALUE(RIGHT($AP$27,3))&gt;0,VALUE(RIGHT($AP$27,3))&lt;5)</formula>
    </cfRule>
    <cfRule type="expression" dxfId="3529" priority="620">
      <formula>AND(VALUE(RIGHT($AP$27,3))&gt;4,VALUE(RIGHT($AP$27,3))&lt;10)</formula>
    </cfRule>
    <cfRule type="expression" dxfId="3528" priority="621">
      <formula>AND(VALUE(RIGHT($AP$27,3))&gt;9,VALUE(RIGHT($AP$27,3))&lt;20)</formula>
    </cfRule>
    <cfRule type="expression" dxfId="3527" priority="622">
      <formula>VALUE(RIGHT($AP$27,3))&gt;19</formula>
    </cfRule>
  </conditionalFormatting>
  <conditionalFormatting sqref="AP227">
    <cfRule type="expression" dxfId="3526" priority="613">
      <formula>AND(VALUE(RIGHT($AP$27,3))&lt;-19,VALUE(RIGHT($AP$27,3))&gt;-30)</formula>
    </cfRule>
  </conditionalFormatting>
  <conditionalFormatting sqref="AP228">
    <cfRule type="expression" dxfId="3525" priority="604">
      <formula>VALUE(RIGHT($AP$28,3))&lt;-39</formula>
    </cfRule>
    <cfRule type="expression" dxfId="3524" priority="605">
      <formula>AND(VALUE(RIGHT($AP$28,3))&lt;-29,VALUE(RIGHT($AP$28,3))&gt;-40)</formula>
    </cfRule>
    <cfRule type="expression" dxfId="3523" priority="606">
      <formula>AND(VALUE(RIGHT($AP$28,3))&lt;-9,VALUE(RIGHT($AP$28,3))&gt;-20)</formula>
    </cfRule>
    <cfRule type="expression" dxfId="3522" priority="607">
      <formula>AND(VALUE(RIGHT($AP$28,3))&lt;-4,VALUE(RIGHT($AP$28,3))&gt;-10)</formula>
    </cfRule>
    <cfRule type="expression" dxfId="3521" priority="608">
      <formula>AND(VALUE(RIGHT($AP$28,3))&lt;1,VALUE(RIGHT($AP$28,3))&gt;-5)</formula>
    </cfRule>
    <cfRule type="expression" dxfId="3520" priority="609">
      <formula>AND(VALUE(RIGHT($AP$28,3))&gt;0,VALUE(RIGHT($AP$28,3))&lt;5)</formula>
    </cfRule>
    <cfRule type="expression" dxfId="3519" priority="610">
      <formula>AND(VALUE(RIGHT($AP$28,3))&gt;4,VALUE(RIGHT($AP$28,3))&lt;10)</formula>
    </cfRule>
    <cfRule type="expression" dxfId="3518" priority="611">
      <formula>AND(VALUE(RIGHT($AP$28,3))&gt;9,VALUE(RIGHT($AP$28,3))&lt;20)</formula>
    </cfRule>
    <cfRule type="expression" dxfId="3517" priority="612">
      <formula>VALUE(RIGHT($AP$28,3))&gt;19</formula>
    </cfRule>
  </conditionalFormatting>
  <conditionalFormatting sqref="AP228">
    <cfRule type="expression" dxfId="3516" priority="603">
      <formula>AND(VALUE(RIGHT($AP$28,3))&lt;-19,VALUE(RIGHT($AP$28,3))&gt;-30)</formula>
    </cfRule>
  </conditionalFormatting>
  <conditionalFormatting sqref="AP229">
    <cfRule type="expression" dxfId="3515" priority="594">
      <formula>VALUE(RIGHT($AP$29,3))&lt;-39</formula>
    </cfRule>
    <cfRule type="expression" dxfId="3514" priority="595">
      <formula>AND(VALUE(RIGHT($AP$29,3))&lt;-29,VALUE(RIGHT($AP$29,3))&gt;-40)</formula>
    </cfRule>
    <cfRule type="expression" dxfId="3513" priority="596">
      <formula>AND(VALUE(RIGHT($AP$29,3))&lt;-9,VALUE(RIGHT($AP$29,3))&gt;-20)</formula>
    </cfRule>
    <cfRule type="expression" dxfId="3512" priority="597">
      <formula>AND(VALUE(RIGHT($AP$29,3))&lt;-4,VALUE(RIGHT($AP$29,3))&gt;-10)</formula>
    </cfRule>
    <cfRule type="expression" dxfId="3511" priority="598">
      <formula>AND(VALUE(RIGHT($AP$29,3))&lt;1,VALUE(RIGHT($AP$29,3))&gt;-5)</formula>
    </cfRule>
    <cfRule type="expression" dxfId="3510" priority="599">
      <formula>AND(VALUE(RIGHT($AP$29,3))&gt;0,VALUE(RIGHT($AP$29,3))&lt;5)</formula>
    </cfRule>
    <cfRule type="expression" dxfId="3509" priority="600">
      <formula>AND(VALUE(RIGHT($AP$29,3))&gt;4,VALUE(RIGHT($AP$29,3))&lt;10)</formula>
    </cfRule>
    <cfRule type="expression" dxfId="3508" priority="601">
      <formula>AND(VALUE(RIGHT($AP$29,3))&gt;9,VALUE(RIGHT($AP$29,3))&lt;20)</formula>
    </cfRule>
    <cfRule type="expression" dxfId="3507" priority="602">
      <formula>VALUE(RIGHT($AP$29,3))&gt;19</formula>
    </cfRule>
  </conditionalFormatting>
  <conditionalFormatting sqref="AP229">
    <cfRule type="expression" dxfId="3506" priority="593">
      <formula>AND(VALUE(RIGHT($AP$29,3))&lt;-19,VALUE(RIGHT($AP$29,3))&gt;-30)</formula>
    </cfRule>
  </conditionalFormatting>
  <conditionalFormatting sqref="AP230">
    <cfRule type="expression" dxfId="3505" priority="584">
      <formula>VALUE(RIGHT($AP$30,3))&lt;-39</formula>
    </cfRule>
    <cfRule type="expression" dxfId="3504" priority="585">
      <formula>AND(VALUE(RIGHT($AP$30,3))&lt;-29,VALUE(RIGHT($AP$30,3))&gt;-40)</formula>
    </cfRule>
    <cfRule type="expression" dxfId="3503" priority="586">
      <formula>AND(VALUE(RIGHT($AP$30,3))&lt;-9,VALUE(RIGHT($AP$30,3))&gt;-20)</formula>
    </cfRule>
    <cfRule type="expression" dxfId="3502" priority="587">
      <formula>AND(VALUE(RIGHT($AP$30,3))&lt;-4,VALUE(RIGHT($AP$30,3))&gt;-10)</formula>
    </cfRule>
    <cfRule type="expression" dxfId="3501" priority="588">
      <formula>AND(VALUE(RIGHT($AP$30,3))&lt;1,VALUE(RIGHT($AP$30,3))&gt;-5)</formula>
    </cfRule>
    <cfRule type="expression" dxfId="3500" priority="589">
      <formula>AND(VALUE(RIGHT($AP$30,3))&gt;0,VALUE(RIGHT($AP$30,3))&lt;5)</formula>
    </cfRule>
    <cfRule type="expression" dxfId="3499" priority="590">
      <formula>AND(VALUE(RIGHT($AP$30,3))&gt;4,VALUE(RIGHT($AP$30,3))&lt;10)</formula>
    </cfRule>
    <cfRule type="expression" dxfId="3498" priority="591">
      <formula>AND(VALUE(RIGHT($AP$30,3))&gt;9,VALUE(RIGHT($AP$30,3))&lt;20)</formula>
    </cfRule>
    <cfRule type="expression" dxfId="3497" priority="592">
      <formula>VALUE(RIGHT($AP$30,3))&gt;19</formula>
    </cfRule>
  </conditionalFormatting>
  <conditionalFormatting sqref="AP230">
    <cfRule type="expression" dxfId="3496" priority="583">
      <formula>AND(VALUE(RIGHT($AP$30,3))&lt;-19,VALUE(RIGHT($AP$30,3))&gt;-30)</formula>
    </cfRule>
  </conditionalFormatting>
  <conditionalFormatting sqref="AP231">
    <cfRule type="expression" dxfId="3495" priority="574">
      <formula>VALUE(RIGHT($AP$31,3))&lt;-39</formula>
    </cfRule>
    <cfRule type="expression" dxfId="3494" priority="575">
      <formula>AND(VALUE(RIGHT($AP$31,3))&lt;-29,VALUE(RIGHT($AP$31,3))&gt;-40)</formula>
    </cfRule>
    <cfRule type="expression" dxfId="3493" priority="576">
      <formula>AND(VALUE(RIGHT($AP$31,3))&lt;-9,VALUE(RIGHT($AP$31,3))&gt;-20)</formula>
    </cfRule>
    <cfRule type="expression" dxfId="3492" priority="577">
      <formula>AND(VALUE(RIGHT($AP$31,3))&lt;-4,VALUE(RIGHT($AP$31,3))&gt;-10)</formula>
    </cfRule>
    <cfRule type="expression" dxfId="3491" priority="578">
      <formula>AND(VALUE(RIGHT($AP$31,3))&lt;1,VALUE(RIGHT($AP$31,3))&gt;-5)</formula>
    </cfRule>
    <cfRule type="expression" dxfId="3490" priority="579">
      <formula>AND(VALUE(RIGHT($AP$31,3))&gt;0,VALUE(RIGHT($AP$31,3))&lt;5)</formula>
    </cfRule>
    <cfRule type="expression" dxfId="3489" priority="580">
      <formula>AND(VALUE(RIGHT($AP$31,3))&gt;4,VALUE(RIGHT($AP$31,3))&lt;10)</formula>
    </cfRule>
    <cfRule type="expression" dxfId="3488" priority="581">
      <formula>AND(VALUE(RIGHT($AP$31,3))&gt;9,VALUE(RIGHT($AP$31,3))&lt;20)</formula>
    </cfRule>
    <cfRule type="expression" dxfId="3487" priority="582">
      <formula>VALUE(RIGHT($AP$31,3))&gt;19</formula>
    </cfRule>
  </conditionalFormatting>
  <conditionalFormatting sqref="AP231">
    <cfRule type="expression" dxfId="3486" priority="573">
      <formula>AND(VALUE(RIGHT($AP$31,3))&lt;-19,VALUE(RIGHT($AP$31,3))&gt;-30)</formula>
    </cfRule>
  </conditionalFormatting>
  <conditionalFormatting sqref="AP232">
    <cfRule type="expression" dxfId="3485" priority="564">
      <formula>VALUE(RIGHT($AP$32,3))&lt;-39</formula>
    </cfRule>
    <cfRule type="expression" dxfId="3484" priority="565">
      <formula>AND(VALUE(RIGHT($AP$32,3))&lt;-29,VALUE(RIGHT($AP$32,3))&gt;-40)</formula>
    </cfRule>
    <cfRule type="expression" dxfId="3483" priority="566">
      <formula>AND(VALUE(RIGHT($AP$32,3))&lt;-9,VALUE(RIGHT($AP$32,3))&gt;-20)</formula>
    </cfRule>
    <cfRule type="expression" dxfId="3482" priority="567">
      <formula>AND(VALUE(RIGHT($AP$32,3))&lt;-4,VALUE(RIGHT($AP$32,3))&gt;-10)</formula>
    </cfRule>
    <cfRule type="expression" dxfId="3481" priority="568">
      <formula>AND(VALUE(RIGHT($AP$32,3))&lt;1,VALUE(RIGHT($AP$32,3))&gt;-5)</formula>
    </cfRule>
    <cfRule type="expression" dxfId="3480" priority="569">
      <formula>AND(VALUE(RIGHT($AP$32,3))&gt;0,VALUE(RIGHT($AP$32,3))&lt;5)</formula>
    </cfRule>
    <cfRule type="expression" dxfId="3479" priority="570">
      <formula>AND(VALUE(RIGHT($AP$32,3))&gt;4,VALUE(RIGHT($AP$32,3))&lt;10)</formula>
    </cfRule>
    <cfRule type="expression" dxfId="3478" priority="571">
      <formula>AND(VALUE(RIGHT($AP$32,3))&gt;9,VALUE(RIGHT($AP$32,3))&lt;20)</formula>
    </cfRule>
    <cfRule type="expression" dxfId="3477" priority="572">
      <formula>VALUE(RIGHT($AP$32,3))&gt;19</formula>
    </cfRule>
  </conditionalFormatting>
  <conditionalFormatting sqref="AP232">
    <cfRule type="expression" dxfId="3476" priority="563">
      <formula>AND(VALUE(RIGHT($AP$32,3))&lt;-19,VALUE(RIGHT($AP$32,3))&gt;-30)</formula>
    </cfRule>
  </conditionalFormatting>
  <conditionalFormatting sqref="B220:M220 P220:V220">
    <cfRule type="expression" dxfId="3475" priority="525" stopIfTrue="1">
      <formula>OR(VALUE(MID($AL$3,15,2))&gt;HOUR($B$20),VALUE(MID($AL$3,15,2))=HOUR($B$20))</formula>
    </cfRule>
  </conditionalFormatting>
  <conditionalFormatting sqref="B221:M221 P221:V221">
    <cfRule type="expression" dxfId="3474" priority="524" stopIfTrue="1">
      <formula>OR(VALUE(MID($AL$3,15,2))&gt;HOUR($B$21),VALUE(MID($AL$3,15,2))=HOUR($B$21))</formula>
    </cfRule>
  </conditionalFormatting>
  <conditionalFormatting sqref="B222:M222 P222:V222">
    <cfRule type="expression" dxfId="3473" priority="523" stopIfTrue="1">
      <formula>OR(VALUE(MID($AL$3,15,2))&gt;HOUR($B$22),VALUE(MID($AL$3,15,2))=HOUR($B$22))</formula>
    </cfRule>
  </conditionalFormatting>
  <conditionalFormatting sqref="B223:M223 P223:V223">
    <cfRule type="expression" dxfId="3472" priority="522" stopIfTrue="1">
      <formula>OR(VALUE(MID($AL$3,15,2))&gt;HOUR($B$23),VALUE(MID($AL$3,15,2))=HOUR($B$23))</formula>
    </cfRule>
  </conditionalFormatting>
  <conditionalFormatting sqref="B224:M224 P224:V224">
    <cfRule type="expression" dxfId="3471" priority="521" stopIfTrue="1">
      <formula>OR(VALUE(MID($AL$3,15,2))&gt;HOUR($B$24),VALUE(MID($AL$3,15,2))=HOUR($B$24))</formula>
    </cfRule>
  </conditionalFormatting>
  <conditionalFormatting sqref="B225:M225 P225:V225">
    <cfRule type="expression" dxfId="3470" priority="520" stopIfTrue="1">
      <formula>OR(VALUE(MID($AL$3,15,2))&gt;HOUR($B$25),VALUE(MID($AL$3,15,2))=HOUR($B$25))</formula>
    </cfRule>
  </conditionalFormatting>
  <conditionalFormatting sqref="B226:M226 P226:V226">
    <cfRule type="expression" dxfId="3469" priority="519" stopIfTrue="1">
      <formula>OR(VALUE(MID($AL$3,15,2))&gt;HOUR($B$26),VALUE(MID($AL$3,15,2))=HOUR($B$26))</formula>
    </cfRule>
  </conditionalFormatting>
  <conditionalFormatting sqref="B227:M227 P227:V227">
    <cfRule type="expression" dxfId="3468" priority="518" stopIfTrue="1">
      <formula>OR(VALUE(MID($AL$3,15,2))&gt;HOUR($B$27),VALUE(MID($AL$3,15,2))=HOUR($B$27))</formula>
    </cfRule>
  </conditionalFormatting>
  <conditionalFormatting sqref="B228:M228 P228:V228">
    <cfRule type="expression" dxfId="3467" priority="517" stopIfTrue="1">
      <formula>OR(VALUE(MID($AL$3,15,2))&gt;HOUR($B$28),VALUE(MID($AL$3,15,2))=HOUR($B$28))</formula>
    </cfRule>
  </conditionalFormatting>
  <conditionalFormatting sqref="AV37:AV38">
    <cfRule type="expression" dxfId="3466" priority="451">
      <formula>$Y$71=2</formula>
    </cfRule>
  </conditionalFormatting>
  <conditionalFormatting sqref="K34:U34 K234:U234">
    <cfRule type="expression" dxfId="3465" priority="449">
      <formula>OR($Y$71=4,$Y$71=3)</formula>
    </cfRule>
  </conditionalFormatting>
  <conditionalFormatting sqref="V34:AH34 V234:AH234">
    <cfRule type="expression" dxfId="3464" priority="448">
      <formula>OR($Y$71=3,$Y$71=4)</formula>
    </cfRule>
  </conditionalFormatting>
  <conditionalFormatting sqref="AI34:AU34 AI234:AU234">
    <cfRule type="expression" dxfId="3463" priority="443">
      <formula>OR($Y$71=3,$Y$71=4)</formula>
    </cfRule>
  </conditionalFormatting>
  <conditionalFormatting sqref="V36:AH36 V36:AH36">
    <cfRule type="expression" dxfId="3462" priority="436">
      <formula>$Y$71=4</formula>
    </cfRule>
  </conditionalFormatting>
  <conditionalFormatting sqref="K41:U41 K241:U241">
    <cfRule type="expression" dxfId="3461" priority="424">
      <formula>OR($Y$71=3,$Y$71=4)</formula>
    </cfRule>
  </conditionalFormatting>
  <conditionalFormatting sqref="V41:AH41 V241:AH241">
    <cfRule type="expression" dxfId="3460" priority="421">
      <formula>OR($Y$71=3,$Y$71=4)</formula>
    </cfRule>
  </conditionalFormatting>
  <conditionalFormatting sqref="AI41:AU41 AI241:AU241">
    <cfRule type="expression" dxfId="3459" priority="420">
      <formula>OR($Y$71=3,$Y$71=4)</formula>
    </cfRule>
  </conditionalFormatting>
  <conditionalFormatting sqref="K37:AW37 K237:AW237">
    <cfRule type="expression" dxfId="3458" priority="419">
      <formula>$Y$71=2</formula>
    </cfRule>
  </conditionalFormatting>
  <conditionalFormatting sqref="K38:AW38 K238:AW238">
    <cfRule type="expression" dxfId="3457" priority="418">
      <formula>$Y$71=2</formula>
    </cfRule>
  </conditionalFormatting>
  <conditionalFormatting sqref="K40:AW40 K240:AW240">
    <cfRule type="expression" dxfId="3456" priority="416">
      <formula>$Y$71=1</formula>
    </cfRule>
  </conditionalFormatting>
  <conditionalFormatting sqref="AI36:AU36 AI236:AU236">
    <cfRule type="expression" dxfId="3455" priority="412">
      <formula>$Y$71=2</formula>
    </cfRule>
    <cfRule type="expression" dxfId="3454" priority="414">
      <formula>$Y$71=4</formula>
    </cfRule>
  </conditionalFormatting>
  <conditionalFormatting sqref="AI37:AU37 AI237:AU237">
    <cfRule type="expression" dxfId="3453" priority="410">
      <formula>OR($Y$71=1,$Y$71=3)</formula>
    </cfRule>
    <cfRule type="expression" dxfId="3452" priority="413">
      <formula>$Y$71=4</formula>
    </cfRule>
  </conditionalFormatting>
  <conditionalFormatting sqref="AV34">
    <cfRule type="expression" dxfId="3451" priority="406">
      <formula>OR(AND($Y$71=3,$AA$71="R"),AND($Y$71=4,$AA$71="R"))</formula>
    </cfRule>
    <cfRule type="expression" dxfId="3450" priority="407">
      <formula>OR(AND($Y$71=3,$AA$71="Y"),AND($Y$71=4,$AA$71="Y"))</formula>
    </cfRule>
    <cfRule type="expression" dxfId="3449" priority="408">
      <formula>AND(OR($Y$71=3,$Y$71=4),$AA$71="G")</formula>
    </cfRule>
  </conditionalFormatting>
  <conditionalFormatting sqref="AV36">
    <cfRule type="expression" dxfId="3448" priority="399">
      <formula>AND($Y$71=2,$AA$71="R")</formula>
    </cfRule>
    <cfRule type="expression" dxfId="3447" priority="400">
      <formula>AND($Y$71=4,$AA$72="R")</formula>
    </cfRule>
    <cfRule type="expression" dxfId="3446" priority="401">
      <formula>AND($Y$71=4,$AA$72="Y")</formula>
    </cfRule>
    <cfRule type="expression" dxfId="3445" priority="402">
      <formula>AND($Y$71=2,$AA$71="Y")</formula>
    </cfRule>
    <cfRule type="expression" dxfId="3444" priority="403">
      <formula>AND($Y$71=2,$AA$71="G")</formula>
    </cfRule>
    <cfRule type="expression" dxfId="3443" priority="405">
      <formula>AND($Y$71=4,$AA$72="G")</formula>
    </cfRule>
  </conditionalFormatting>
  <conditionalFormatting sqref="AV38">
    <cfRule type="expression" dxfId="3442" priority="393">
      <formula>OR(AND($Y$71=1,$AA$71="R"),AND($Y$71=3,$AA$72="R"))</formula>
    </cfRule>
    <cfRule type="expression" dxfId="3441" priority="394">
      <formula>AND($Y$71=4,$AA$73="R")</formula>
    </cfRule>
    <cfRule type="expression" dxfId="3440" priority="395">
      <formula>AND($Y$71=4,$AA$73="Y")</formula>
    </cfRule>
    <cfRule type="expression" dxfId="3439" priority="396">
      <formula>OR(AND($Y$71=1,$AA$71="Y"),AND($Y$71=3,$AA$72="Y"))</formula>
    </cfRule>
    <cfRule type="expression" dxfId="3438" priority="397">
      <formula>OR(AND($Y$71=1,$AA$71="G"),AND($Y$71=3,$AA$72="G"))</formula>
    </cfRule>
    <cfRule type="expression" dxfId="3437" priority="398">
      <formula>AND($Y$71=4,$AA$73="G")</formula>
    </cfRule>
  </conditionalFormatting>
  <conditionalFormatting sqref="AV40">
    <cfRule type="expression" dxfId="3436" priority="387">
      <formula>AND($Y$71=2,$AA$72="R")</formula>
    </cfRule>
    <cfRule type="expression" dxfId="3435" priority="388">
      <formula>OR(AND($Y$71=3,$AA$73="R"),AND($Y$71=4,$AA$74="R"))</formula>
    </cfRule>
    <cfRule type="expression" dxfId="3434" priority="389">
      <formula>OR(AND($Y$71=3,$AA$73="Y"),AND($Y$71=4,$AA$74="Y"))</formula>
    </cfRule>
    <cfRule type="expression" dxfId="3433" priority="390">
      <formula>AND($Y$71=2,$AA$72="Y")</formula>
    </cfRule>
    <cfRule type="expression" dxfId="3432" priority="391">
      <formula>AND($Y$71=2,$AA$72="G")</formula>
    </cfRule>
    <cfRule type="expression" dxfId="3431" priority="392">
      <formula>OR(AND($Y$71=3,$AA$73="G"),AND($Y$71=4,$AA$74="G"))</formula>
    </cfRule>
  </conditionalFormatting>
  <conditionalFormatting sqref="AW34">
    <cfRule type="expression" dxfId="3430" priority="384">
      <formula>OR(AND($Y$71=3,$AA$71="R"),AND($Y$71=4,$AA$71="R"))</formula>
    </cfRule>
    <cfRule type="expression" dxfId="3429" priority="385">
      <formula>OR(AND($Y$71=3,$AA$71="Y"),AND($Y$71=4,$AA$71="Y"))</formula>
    </cfRule>
    <cfRule type="expression" dxfId="3428" priority="386">
      <formula>AND(OR($Y$71=3,$Y$71=4),$AA$71="G")</formula>
    </cfRule>
  </conditionalFormatting>
  <conditionalFormatting sqref="AV35">
    <cfRule type="expression" dxfId="3427" priority="378">
      <formula>AND($Y$71=2,$AA$71="R")</formula>
    </cfRule>
    <cfRule type="expression" dxfId="3426" priority="379">
      <formula>OR(AND($Y$71=3,$AA$71="R"),AND($Y$71=4,$AA$71="R"))</formula>
    </cfRule>
    <cfRule type="expression" dxfId="3425" priority="380">
      <formula>OR(AND($Y$71=3,$AA$71="Y"),AND($Y$71=4,$AA$71="Y"))</formula>
    </cfRule>
    <cfRule type="expression" dxfId="3424" priority="381">
      <formula>AND($Y$71=2,$AA$71="Y")</formula>
    </cfRule>
    <cfRule type="expression" dxfId="3423" priority="382">
      <formula>AND($Y$71=2,$AA$71="G")</formula>
    </cfRule>
    <cfRule type="expression" dxfId="3422" priority="383">
      <formula>AND(OR($Y$71=3,$Y$71=4),$AA$71="G")</formula>
    </cfRule>
  </conditionalFormatting>
  <conditionalFormatting sqref="AW35">
    <cfRule type="expression" dxfId="3421" priority="372">
      <formula>AND($Y$71=2,$AA$71="R")</formula>
    </cfRule>
    <cfRule type="expression" dxfId="3420" priority="373">
      <formula>OR(AND($Y$71=3,$AA$71="R"),AND($Y$71=4,$AA$71="R"))</formula>
    </cfRule>
    <cfRule type="expression" dxfId="3419" priority="374">
      <formula>OR(AND($Y$71=3,$AA$71="Y"),AND($Y$71=4,$AA$71="Y"))</formula>
    </cfRule>
    <cfRule type="expression" dxfId="3418" priority="375">
      <formula>AND($Y$71=2,$AA$71="Y")</formula>
    </cfRule>
    <cfRule type="expression" dxfId="3417" priority="376">
      <formula>AND($Y$71=2,$AA$71="G")</formula>
    </cfRule>
    <cfRule type="expression" dxfId="3416" priority="377">
      <formula>AND(OR($Y$71=3,$Y$71=4),$AA$71="G")</formula>
    </cfRule>
  </conditionalFormatting>
  <conditionalFormatting sqref="AW36">
    <cfRule type="expression" dxfId="3415" priority="366">
      <formula>AND($Y$71=2,$AA$71="R")</formula>
    </cfRule>
    <cfRule type="expression" dxfId="3414" priority="367">
      <formula>AND($Y$71=4,$AA$72="R")</formula>
    </cfRule>
    <cfRule type="expression" dxfId="3413" priority="368">
      <formula>AND($Y$71=4,$AA$72="Y")</formula>
    </cfRule>
    <cfRule type="expression" dxfId="3412" priority="369">
      <formula>AND($Y$71=2,$AA$71="Y")</formula>
    </cfRule>
    <cfRule type="expression" dxfId="3411" priority="370">
      <formula>AND($Y$71=2,$AA$71="G")</formula>
    </cfRule>
    <cfRule type="expression" dxfId="3410" priority="371">
      <formula>AND($Y$71=4,$AA$72="G")</formula>
    </cfRule>
  </conditionalFormatting>
  <conditionalFormatting sqref="AV37">
    <cfRule type="expression" dxfId="3409" priority="360">
      <formula>OR(AND($Y$71=1,$AA$71="R"),AND($Y$71=3,$AA$72="R"))</formula>
    </cfRule>
    <cfRule type="expression" dxfId="3408" priority="361">
      <formula>AND($Y$71=4,$AA$72="R")</formula>
    </cfRule>
    <cfRule type="expression" dxfId="3407" priority="362">
      <formula>AND($Y$71=4,$AA$72="Y")</formula>
    </cfRule>
    <cfRule type="expression" dxfId="3406" priority="363">
      <formula>OR(AND($Y$71=1,$AA$71="Y"),AND($Y$71=3,$AA$72="Y"))</formula>
    </cfRule>
    <cfRule type="expression" dxfId="3405" priority="364">
      <formula>OR(AND($Y$71=1,$AA$71="G"),AND($Y$71=3,$AA$72="G"))</formula>
    </cfRule>
    <cfRule type="expression" dxfId="3404" priority="365">
      <formula>AND($Y$71=4,$AA$72="G")</formula>
    </cfRule>
  </conditionalFormatting>
  <conditionalFormatting sqref="AW37">
    <cfRule type="expression" dxfId="3403" priority="354">
      <formula>OR(AND($Y$71=1,$AA$71="R"),AND($Y$71=3,$AA$72="R"))</formula>
    </cfRule>
    <cfRule type="expression" dxfId="3402" priority="355">
      <formula>AND($Y$71=4,$AA$72="R")</formula>
    </cfRule>
    <cfRule type="expression" dxfId="3401" priority="356">
      <formula>AND($Y$71=4,$AA$72="Y")</formula>
    </cfRule>
    <cfRule type="expression" dxfId="3400" priority="357">
      <formula>OR(AND($Y$71=1,$AA$71="Y"),AND($Y$71=3,$AA$72="Y"))</formula>
    </cfRule>
    <cfRule type="expression" dxfId="3399" priority="358">
      <formula>OR(AND($Y$71=1,$AA$71="G"),AND($Y$71=3,$AA$72="G"))</formula>
    </cfRule>
    <cfRule type="expression" dxfId="3398" priority="359">
      <formula>AND($Y$71=4,$AA$72="G")</formula>
    </cfRule>
  </conditionalFormatting>
  <conditionalFormatting sqref="AW38">
    <cfRule type="expression" dxfId="3397" priority="301">
      <formula>OR(AND($Y$71=1,$AA$71="R"),AND($Y$71=3,$AA$72="R"))</formula>
    </cfRule>
    <cfRule type="expression" dxfId="3396" priority="348">
      <formula>AND($Y$71=4,$AA$73="R")</formula>
    </cfRule>
    <cfRule type="expression" dxfId="3395" priority="349">
      <formula>AND($Y$71=4,$AA$73="Y")</formula>
    </cfRule>
    <cfRule type="expression" dxfId="3394" priority="350">
      <formula>OR(AND($Y$71=1,$AA$71="Y"),AND($Y$71=3,$AA$72="Y"))</formula>
    </cfRule>
    <cfRule type="expression" dxfId="3393" priority="351">
      <formula>OR(AND($Y$71=1,$AA$71="G"),AND($Y$71=3,$AA$72="G"))</formula>
    </cfRule>
    <cfRule type="expression" dxfId="3392" priority="352">
      <formula>AND($Y$71=4,$AA$73="G")</formula>
    </cfRule>
  </conditionalFormatting>
  <conditionalFormatting sqref="AV39">
    <cfRule type="expression" dxfId="3391" priority="341">
      <formula>AND($Y$71=2,$AA$72="R")</formula>
    </cfRule>
    <cfRule type="expression" dxfId="3390" priority="342">
      <formula>AND($Y$71=4,$AA$73="R")</formula>
    </cfRule>
    <cfRule type="expression" dxfId="3389" priority="343">
      <formula>AND($Y$71=4,$AA$73="Y")</formula>
    </cfRule>
    <cfRule type="expression" dxfId="3388" priority="344">
      <formula>AND($Y$71=2,$AA$72="Y")</formula>
    </cfRule>
    <cfRule type="expression" dxfId="3387" priority="345">
      <formula>AND($Y$71=2,$AA$72="G")</formula>
    </cfRule>
    <cfRule type="expression" dxfId="3386" priority="346">
      <formula>$Y$71=3</formula>
    </cfRule>
    <cfRule type="expression" dxfId="3385" priority="347">
      <formula>AND($Y$71=4,$AA$73="G")</formula>
    </cfRule>
  </conditionalFormatting>
  <conditionalFormatting sqref="AW39">
    <cfRule type="expression" dxfId="3384" priority="335">
      <formula>AND($Y$71=2,$AA$72="R")</formula>
    </cfRule>
    <cfRule type="expression" dxfId="3383" priority="336">
      <formula>AND($Y$71=4,$AA$73="R")</formula>
    </cfRule>
    <cfRule type="expression" dxfId="3382" priority="337">
      <formula>AND($Y$71=4,$AA$73="Y")</formula>
    </cfRule>
    <cfRule type="expression" dxfId="3381" priority="338">
      <formula>AND($Y$71=2,$AA$72="Y")</formula>
    </cfRule>
    <cfRule type="expression" dxfId="3380" priority="339">
      <formula>AND($Y$71=2,$AA$72="G")</formula>
    </cfRule>
    <cfRule type="expression" dxfId="3379" priority="340">
      <formula>AND($Y$71=4,$AA$73="G")</formula>
    </cfRule>
  </conditionalFormatting>
  <conditionalFormatting sqref="AW40">
    <cfRule type="expression" dxfId="3378" priority="329">
      <formula>AND($Y$71=2,$AA$72="R")</formula>
    </cfRule>
    <cfRule type="expression" dxfId="3377" priority="330">
      <formula>OR(AND($Y$71=3,$AA$73="R"),AND($Y$71=4,$AA$74="R"))</formula>
    </cfRule>
    <cfRule type="expression" dxfId="3376" priority="331">
      <formula>OR(AND($Y$71=3,$AA$73="Y"),AND($Y$71=4,$AA$74="Y"))</formula>
    </cfRule>
    <cfRule type="expression" dxfId="3375" priority="332">
      <formula>AND($Y$71=2,$AA$72="Y")</formula>
    </cfRule>
    <cfRule type="expression" dxfId="3374" priority="333">
      <formula>AND($Y$71=2,$AA$72="G")</formula>
    </cfRule>
    <cfRule type="expression" dxfId="3373" priority="334">
      <formula>OR(AND($Y$71=3,$AA$73="G"),AND($Y$71=4,$AA$74="G"))</formula>
    </cfRule>
  </conditionalFormatting>
  <conditionalFormatting sqref="AV41">
    <cfRule type="expression" dxfId="3372" priority="326">
      <formula>OR(AND($Y$71=3,$AA$73="R"),AND($Y$71=4,$AA$74="R"))</formula>
    </cfRule>
    <cfRule type="expression" dxfId="3371" priority="327">
      <formula>OR(AND($Y$71=3,$AA$73="Y"),AND($Y$71=4,$AA$74="Y"))</formula>
    </cfRule>
    <cfRule type="expression" dxfId="3370" priority="328">
      <formula>OR(AND($Y$71=3,$AA$73="G"),AND($Y$71=4,$AA$74="G"))</formula>
    </cfRule>
  </conditionalFormatting>
  <conditionalFormatting sqref="AW41">
    <cfRule type="expression" dxfId="3369" priority="323">
      <formula>OR(AND($Y$71=3,$AA$73="R"),AND($Y$71=4,$AA$74="R"))</formula>
    </cfRule>
    <cfRule type="expression" dxfId="3368" priority="324">
      <formula>OR(AND($Y$71=3,$AA$73="Y"),AND($Y$71=4,$AA$74="Y"))</formula>
    </cfRule>
    <cfRule type="expression" dxfId="3367" priority="325">
      <formula>OR(AND($Y$71=3,$AA$73="G"),AND($Y$71=4,$AA$74="G"))</formula>
    </cfRule>
  </conditionalFormatting>
  <conditionalFormatting sqref="AE20:AF20">
    <cfRule type="expression" dxfId="3366" priority="300" stopIfTrue="1">
      <formula>$AE$18=""</formula>
    </cfRule>
  </conditionalFormatting>
  <conditionalFormatting sqref="AE21:AF31">
    <cfRule type="expression" dxfId="3365" priority="299" stopIfTrue="1">
      <formula>$AE$18=""</formula>
    </cfRule>
  </conditionalFormatting>
  <conditionalFormatting sqref="AE32:AF32">
    <cfRule type="expression" dxfId="3364" priority="298" stopIfTrue="1">
      <formula>$AE$18=""</formula>
    </cfRule>
  </conditionalFormatting>
  <conditionalFormatting sqref="AE220:AF220">
    <cfRule type="expression" dxfId="3363" priority="297" stopIfTrue="1">
      <formula>$AE$218=""</formula>
    </cfRule>
  </conditionalFormatting>
  <conditionalFormatting sqref="AE221:AF231">
    <cfRule type="expression" dxfId="3362" priority="296" stopIfTrue="1">
      <formula>$AE$218=""</formula>
    </cfRule>
  </conditionalFormatting>
  <conditionalFormatting sqref="AE232:AF232">
    <cfRule type="expression" dxfId="3361" priority="295">
      <formula>$AE$218=""</formula>
    </cfRule>
  </conditionalFormatting>
  <conditionalFormatting sqref="W220:AD232">
    <cfRule type="cellIs" dxfId="3360" priority="747" operator="equal">
      <formula>"Y"</formula>
    </cfRule>
  </conditionalFormatting>
  <conditionalFormatting sqref="N20:O20">
    <cfRule type="expression" dxfId="3359" priority="1004">
      <formula>AND($N$18="MOON ANGLE",$N20&lt;30)</formula>
    </cfRule>
    <cfRule type="expression" dxfId="3358" priority="1018">
      <formula>AND($N$18="WBGT",$N20&gt;89.499)</formula>
    </cfRule>
    <cfRule type="expression" dxfId="3357" priority="1025">
      <formula>AND($N$18="WBGT",$N20&gt;87.4999,$N20&lt;89.5)</formula>
    </cfRule>
    <cfRule type="expression" dxfId="3356" priority="1032">
      <formula>AND($N$18="WBGT",$N20&gt;84.4999,$N20&lt;87.5)</formula>
    </cfRule>
    <cfRule type="expression" dxfId="3355" priority="1039">
      <formula>AND($N$18="WBGT",$N20&gt;81.4999,$N20&lt;84.5)</formula>
    </cfRule>
    <cfRule type="expression" dxfId="3354" priority="1046">
      <formula>AND($N$18="WBGT",$N20&gt;77.4999,$N20&lt;81.5)</formula>
    </cfRule>
    <cfRule type="expression" dxfId="3353" priority="1723">
      <formula>AND($N$18="WBGT",$N20&lt;77.5)</formula>
    </cfRule>
  </conditionalFormatting>
  <conditionalFormatting sqref="N21:O21">
    <cfRule type="expression" dxfId="3352" priority="214">
      <formula>AND($N$18="MOON ANGLE",$N21&lt;30)</formula>
    </cfRule>
    <cfRule type="expression" dxfId="3351" priority="216">
      <formula>AND($N$18="WBGT",$N21&gt;89.499)</formula>
    </cfRule>
    <cfRule type="expression" dxfId="3350" priority="217">
      <formula>AND($N$18="WBGT",$N21&gt;87.4999,$N21&lt;89.5)</formula>
    </cfRule>
    <cfRule type="expression" dxfId="3349" priority="218">
      <formula>AND($N$18="WBGT",$N21&gt;84.4999,$N21&lt;87.5)</formula>
    </cfRule>
    <cfRule type="expression" dxfId="3348" priority="219">
      <formula>AND($N$18="WBGT",$N21&gt;81.4999,$N21&lt;84.5)</formula>
    </cfRule>
    <cfRule type="expression" dxfId="3347" priority="220">
      <formula>AND($N$18="WBGT",$N21&gt;77.4999,$N21&lt;81.5)</formula>
    </cfRule>
    <cfRule type="expression" dxfId="3346" priority="221">
      <formula>AND($N$18="WBGT",$N21&lt;77.5)</formula>
    </cfRule>
  </conditionalFormatting>
  <conditionalFormatting sqref="N22:O22">
    <cfRule type="expression" dxfId="3345" priority="205">
      <formula>AND($N$18="MOON ANGLE",$N22&lt;30)</formula>
    </cfRule>
    <cfRule type="expression" dxfId="3344" priority="207">
      <formula>AND($N$18="WBGT",$N22&gt;89.499)</formula>
    </cfRule>
    <cfRule type="expression" dxfId="3343" priority="208">
      <formula>AND($N$18="WBGT",$N22&gt;87.4999,$N22&lt;89.5)</formula>
    </cfRule>
    <cfRule type="expression" dxfId="3342" priority="209">
      <formula>AND($N$18="WBGT",$N22&gt;84.4999,$N22&lt;87.5)</formula>
    </cfRule>
    <cfRule type="expression" dxfId="3341" priority="210">
      <formula>AND($N$18="WBGT",$N22&gt;81.4999,$N22&lt;84.5)</formula>
    </cfRule>
    <cfRule type="expression" dxfId="3340" priority="211">
      <formula>AND($N$18="WBGT",$N22&gt;77.4999,$N22&lt;81.5)</formula>
    </cfRule>
    <cfRule type="expression" dxfId="3339" priority="212">
      <formula>AND($N$18="WBGT",$N22&lt;77.5)</formula>
    </cfRule>
  </conditionalFormatting>
  <conditionalFormatting sqref="N23:O23">
    <cfRule type="expression" dxfId="3338" priority="196">
      <formula>AND($N$18="MOON ANGLE",$N23&lt;30)</formula>
    </cfRule>
    <cfRule type="expression" dxfId="3337" priority="198">
      <formula>AND($N$18="WBGT",$N23&gt;89.499)</formula>
    </cfRule>
    <cfRule type="expression" dxfId="3336" priority="199">
      <formula>AND($N$18="WBGT",$N23&gt;87.4999,$N23&lt;89.5)</formula>
    </cfRule>
    <cfRule type="expression" dxfId="3335" priority="200">
      <formula>AND($N$18="WBGT",$N23&gt;84.4999,$N23&lt;87.5)</formula>
    </cfRule>
    <cfRule type="expression" dxfId="3334" priority="201">
      <formula>AND($N$18="WBGT",$N23&gt;81.4999,$N23&lt;84.5)</formula>
    </cfRule>
    <cfRule type="expression" dxfId="3333" priority="202">
      <formula>AND($N$18="WBGT",$N23&gt;77.4999,$N23&lt;81.5)</formula>
    </cfRule>
    <cfRule type="expression" dxfId="3332" priority="203">
      <formula>AND($N$18="WBGT",$N23&lt;77.5)</formula>
    </cfRule>
  </conditionalFormatting>
  <conditionalFormatting sqref="N24:O24">
    <cfRule type="expression" dxfId="3331" priority="187">
      <formula>AND($N$18="MOON ANGLE",$N24&lt;30)</formula>
    </cfRule>
    <cfRule type="expression" dxfId="3330" priority="189">
      <formula>AND($N$18="WBGT",$N24&gt;89.499)</formula>
    </cfRule>
    <cfRule type="expression" dxfId="3329" priority="190">
      <formula>AND($N$18="WBGT",$N24&gt;87.4999,$N24&lt;89.5)</formula>
    </cfRule>
    <cfRule type="expression" dxfId="3328" priority="191">
      <formula>AND($N$18="WBGT",$N24&gt;84.4999,$N24&lt;87.5)</formula>
    </cfRule>
    <cfRule type="expression" dxfId="3327" priority="192">
      <formula>AND($N$18="WBGT",$N24&gt;81.4999,$N24&lt;84.5)</formula>
    </cfRule>
    <cfRule type="expression" dxfId="3326" priority="193">
      <formula>AND($N$18="WBGT",$N24&gt;77.4999,$N24&lt;81.5)</formula>
    </cfRule>
    <cfRule type="expression" dxfId="3325" priority="194">
      <formula>AND($N$18="WBGT",$N24&lt;77.5)</formula>
    </cfRule>
  </conditionalFormatting>
  <conditionalFormatting sqref="N25:O25">
    <cfRule type="expression" dxfId="3324" priority="178">
      <formula>AND($N$18="MOON ANGLE",$N25&lt;30)</formula>
    </cfRule>
    <cfRule type="expression" dxfId="3323" priority="180">
      <formula>AND($N$18="WBGT",$N25&gt;89.499)</formula>
    </cfRule>
    <cfRule type="expression" dxfId="3322" priority="181">
      <formula>AND($N$18="WBGT",$N25&gt;87.4999,$N25&lt;89.5)</formula>
    </cfRule>
    <cfRule type="expression" dxfId="3321" priority="182">
      <formula>AND($N$18="WBGT",$N25&gt;84.4999,$N25&lt;87.5)</formula>
    </cfRule>
    <cfRule type="expression" dxfId="3320" priority="183">
      <formula>AND($N$18="WBGT",$N25&gt;81.4999,$N25&lt;84.5)</formula>
    </cfRule>
    <cfRule type="expression" dxfId="3319" priority="184">
      <formula>AND($N$18="WBGT",$N25&gt;77.4999,$N25&lt;81.5)</formula>
    </cfRule>
    <cfRule type="expression" dxfId="3318" priority="185">
      <formula>AND($N$18="WBGT",$N25&lt;77.5)</formula>
    </cfRule>
  </conditionalFormatting>
  <conditionalFormatting sqref="N26:O26">
    <cfRule type="expression" dxfId="3317" priority="169">
      <formula>AND($N$18="MOON ANGLE",$N26&lt;30)</formula>
    </cfRule>
    <cfRule type="expression" dxfId="3316" priority="171">
      <formula>AND($N$18="WBGT",$N26&gt;89.499)</formula>
    </cfRule>
    <cfRule type="expression" dxfId="3315" priority="172">
      <formula>AND($N$18="WBGT",$N26&gt;87.4999,$N26&lt;89.5)</formula>
    </cfRule>
    <cfRule type="expression" dxfId="3314" priority="173">
      <formula>AND($N$18="WBGT",$N26&gt;84.4999,$N26&lt;87.5)</formula>
    </cfRule>
    <cfRule type="expression" dxfId="3313" priority="174">
      <formula>AND($N$18="WBGT",$N26&gt;81.4999,$N26&lt;84.5)</formula>
    </cfRule>
    <cfRule type="expression" dxfId="3312" priority="175">
      <formula>AND($N$18="WBGT",$N26&gt;77.4999,$N26&lt;81.5)</formula>
    </cfRule>
    <cfRule type="expression" dxfId="3311" priority="176">
      <formula>AND($N$18="WBGT",$N26&lt;77.5)</formula>
    </cfRule>
  </conditionalFormatting>
  <conditionalFormatting sqref="N27:O27">
    <cfRule type="expression" dxfId="3310" priority="160">
      <formula>AND($N$18="MOON ANGLE",$N27&lt;30)</formula>
    </cfRule>
    <cfRule type="expression" dxfId="3309" priority="162">
      <formula>AND($N$18="WBGT",$N27&gt;89.499)</formula>
    </cfRule>
    <cfRule type="expression" dxfId="3308" priority="163">
      <formula>AND($N$18="WBGT",$N27&gt;87.4999,$N27&lt;89.5)</formula>
    </cfRule>
    <cfRule type="expression" dxfId="3307" priority="164">
      <formula>AND($N$18="WBGT",$N27&gt;84.4999,$N27&lt;87.5)</formula>
    </cfRule>
    <cfRule type="expression" dxfId="3306" priority="165">
      <formula>AND($N$18="WBGT",$N27&gt;81.4999,$N27&lt;84.5)</formula>
    </cfRule>
    <cfRule type="expression" dxfId="3305" priority="166">
      <formula>AND($N$18="WBGT",$N27&gt;77.4999,$N27&lt;81.5)</formula>
    </cfRule>
    <cfRule type="expression" dxfId="3304" priority="167">
      <formula>AND($N$18="WBGT",$N27&lt;77.5)</formula>
    </cfRule>
  </conditionalFormatting>
  <conditionalFormatting sqref="N28:O28">
    <cfRule type="expression" dxfId="3303" priority="151">
      <formula>AND($N$18="MOON ANGLE",$N28&lt;30)</formula>
    </cfRule>
    <cfRule type="expression" dxfId="3302" priority="153">
      <formula>AND($N$18="WBGT",$N28&gt;89.499)</formula>
    </cfRule>
    <cfRule type="expression" dxfId="3301" priority="154">
      <formula>AND($N$18="WBGT",$N28&gt;87.4999,$N28&lt;89.5)</formula>
    </cfRule>
    <cfRule type="expression" dxfId="3300" priority="155">
      <formula>AND($N$18="WBGT",$N28&gt;84.4999,$N28&lt;87.5)</formula>
    </cfRule>
    <cfRule type="expression" dxfId="3299" priority="156">
      <formula>AND($N$18="WBGT",$N28&gt;81.4999,$N28&lt;84.5)</formula>
    </cfRule>
    <cfRule type="expression" dxfId="3298" priority="157">
      <formula>AND($N$18="WBGT",$N28&gt;77.4999,$N28&lt;81.5)</formula>
    </cfRule>
    <cfRule type="expression" dxfId="3297" priority="158">
      <formula>AND($N$18="WBGT",$N28&lt;77.5)</formula>
    </cfRule>
  </conditionalFormatting>
  <conditionalFormatting sqref="N29:O29">
    <cfRule type="expression" dxfId="3296" priority="142">
      <formula>AND($N$18="MOON ANGLE",$N29&lt;30)</formula>
    </cfRule>
    <cfRule type="expression" dxfId="3295" priority="144">
      <formula>AND($N$18="WBGT",$N29&gt;89.499)</formula>
    </cfRule>
    <cfRule type="expression" dxfId="3294" priority="145">
      <formula>AND($N$18="WBGT",$N29&gt;87.4999,$N29&lt;89.5)</formula>
    </cfRule>
    <cfRule type="expression" dxfId="3293" priority="146">
      <formula>AND($N$18="WBGT",$N29&gt;84.4999,$N29&lt;87.5)</formula>
    </cfRule>
    <cfRule type="expression" dxfId="3292" priority="147">
      <formula>AND($N$18="WBGT",$N29&gt;81.4999,$N29&lt;84.5)</formula>
    </cfRule>
    <cfRule type="expression" dxfId="3291" priority="148">
      <formula>AND($N$18="WBGT",$N29&gt;77.4999,$N29&lt;81.5)</formula>
    </cfRule>
    <cfRule type="expression" dxfId="3290" priority="149">
      <formula>AND($N$18="WBGT",$N29&lt;77.5)</formula>
    </cfRule>
  </conditionalFormatting>
  <conditionalFormatting sqref="N30:O30">
    <cfRule type="expression" dxfId="3289" priority="133">
      <formula>AND($N$18="MOON ANGLE",$N30&lt;30)</formula>
    </cfRule>
    <cfRule type="expression" dxfId="3288" priority="135">
      <formula>AND($N$18="WBGT",$N30&gt;89.499)</formula>
    </cfRule>
    <cfRule type="expression" dxfId="3287" priority="136">
      <formula>AND($N$18="WBGT",$N30&gt;87.4999,$N30&lt;89.5)</formula>
    </cfRule>
    <cfRule type="expression" dxfId="3286" priority="137">
      <formula>AND($N$18="WBGT",$N30&gt;84.4999,$N30&lt;87.5)</formula>
    </cfRule>
    <cfRule type="expression" dxfId="3285" priority="138">
      <formula>AND($N$18="WBGT",$N30&gt;81.4999,$N30&lt;84.5)</formula>
    </cfRule>
    <cfRule type="expression" dxfId="3284" priority="139">
      <formula>AND($N$18="WBGT",$N30&gt;77.4999,$N30&lt;81.5)</formula>
    </cfRule>
    <cfRule type="expression" dxfId="3283" priority="140">
      <formula>AND($N$18="WBGT",$N30&lt;77.5)</formula>
    </cfRule>
  </conditionalFormatting>
  <conditionalFormatting sqref="N31:O31">
    <cfRule type="expression" dxfId="3282" priority="124">
      <formula>AND($N$18="MOON ANGLE",$N31&lt;30)</formula>
    </cfRule>
    <cfRule type="expression" dxfId="3281" priority="126">
      <formula>AND($N$18="WBGT",$N31&gt;89.499)</formula>
    </cfRule>
    <cfRule type="expression" dxfId="3280" priority="127">
      <formula>AND($N$18="WBGT",$N31&gt;87.4999,$N31&lt;89.5)</formula>
    </cfRule>
    <cfRule type="expression" dxfId="3279" priority="128">
      <formula>AND($N$18="WBGT",$N31&gt;84.4999,$N31&lt;87.5)</formula>
    </cfRule>
    <cfRule type="expression" dxfId="3278" priority="129">
      <formula>AND($N$18="WBGT",$N31&gt;81.4999,$N31&lt;84.5)</formula>
    </cfRule>
    <cfRule type="expression" dxfId="3277" priority="130">
      <formula>AND($N$18="WBGT",$N31&gt;77.4999,$N31&lt;81.5)</formula>
    </cfRule>
    <cfRule type="expression" dxfId="3276" priority="131">
      <formula>AND($N$18="WBGT",$N31&lt;77.5)</formula>
    </cfRule>
  </conditionalFormatting>
  <conditionalFormatting sqref="N32:O32">
    <cfRule type="expression" dxfId="3275" priority="116">
      <formula>AND($N$18="MOON ANGLE",$N32&lt;30)</formula>
    </cfRule>
    <cfRule type="expression" dxfId="3274" priority="117">
      <formula>AND($N$18="WBGT",$N32&gt;89.499)</formula>
    </cfRule>
    <cfRule type="expression" dxfId="3273" priority="118">
      <formula>AND($N$18="WBGT",$N32&gt;87.4999,$N32&lt;89.5)</formula>
    </cfRule>
    <cfRule type="expression" dxfId="3272" priority="119">
      <formula>AND($N$18="WBGT",$N32&gt;84.4999,$N32&lt;87.5)</formula>
    </cfRule>
    <cfRule type="expression" dxfId="3271" priority="120">
      <formula>AND($N$18="WBGT",$N32&gt;81.4999,$N32&lt;84.5)</formula>
    </cfRule>
    <cfRule type="expression" dxfId="3270" priority="121">
      <formula>AND($N$18="WBGT",$N32&gt;77.4999,$N32&lt;81.5)</formula>
    </cfRule>
    <cfRule type="expression" dxfId="3269" priority="122">
      <formula>AND($N$18="WBGT",$N32&lt;77.5)</formula>
    </cfRule>
  </conditionalFormatting>
  <conditionalFormatting sqref="N20:N32">
    <cfRule type="containsText" dxfId="3268" priority="115" operator="containsText" text="(">
      <formula>NOT(ISERROR(SEARCH("(",N20)))</formula>
    </cfRule>
  </conditionalFormatting>
  <conditionalFormatting sqref="B23:V23">
    <cfRule type="expression" dxfId="3267" priority="277" stopIfTrue="1">
      <formula>OR(VALUE(MID($AL$3,15,2))&gt;HOUR($B$23),VALUE(MID($AL$3,15,2))=HOUR($B$23))</formula>
    </cfRule>
  </conditionalFormatting>
  <conditionalFormatting sqref="B27:V27">
    <cfRule type="expression" dxfId="3266" priority="281" stopIfTrue="1">
      <formula>OR(VALUE(MID($AL$3,15,2))&gt;HOUR($B$27),VALUE(MID($AL$3,15,2))=HOUR($B$27))</formula>
    </cfRule>
  </conditionalFormatting>
  <conditionalFormatting sqref="B36:J36 B236:J236">
    <cfRule type="expression" dxfId="3265" priority="302">
      <formula>$Y$71=1</formula>
    </cfRule>
    <cfRule type="expression" dxfId="3264" priority="316">
      <formula>$Y$71=2</formula>
    </cfRule>
    <cfRule type="expression" dxfId="3263" priority="317">
      <formula>$Y$71=4</formula>
    </cfRule>
  </conditionalFormatting>
  <conditionalFormatting sqref="B40:J40 B240:J240">
    <cfRule type="expression" dxfId="3262" priority="303">
      <formula>$Y$71=1</formula>
    </cfRule>
    <cfRule type="expression" dxfId="3261" priority="308">
      <formula>$Y$71=2</formula>
    </cfRule>
    <cfRule type="expression" dxfId="3260" priority="309">
      <formula>OR($Y$71=3,$Y$71=4)</formula>
    </cfRule>
  </conditionalFormatting>
  <conditionalFormatting sqref="B34:J34 B234:J234">
    <cfRule type="expression" dxfId="3259" priority="304">
      <formula>$Y$71=1</formula>
    </cfRule>
    <cfRule type="expression" dxfId="3258" priority="320">
      <formula>OR($Y$71=3,$Y$71=4)</formula>
    </cfRule>
  </conditionalFormatting>
  <conditionalFormatting sqref="B38:J38 B238:J238">
    <cfRule type="expression" dxfId="3257" priority="305">
      <formula>$Y$71=2</formula>
    </cfRule>
    <cfRule type="expression" dxfId="3256" priority="312">
      <formula>OR($Y$71=1,$Y$71=3)</formula>
    </cfRule>
    <cfRule type="expression" dxfId="3255" priority="313">
      <formula>$Y$71=4</formula>
    </cfRule>
  </conditionalFormatting>
  <conditionalFormatting sqref="B37:J37 B237:J237">
    <cfRule type="expression" dxfId="3254" priority="306">
      <formula>$Y$71=2</formula>
    </cfRule>
    <cfRule type="expression" dxfId="3253" priority="314">
      <formula>OR($Y$71=1,$Y$71=3)</formula>
    </cfRule>
    <cfRule type="expression" dxfId="3252" priority="315">
      <formula>$Y$71=4</formula>
    </cfRule>
  </conditionalFormatting>
  <conditionalFormatting sqref="B41:J41 B241:J241">
    <cfRule type="expression" dxfId="3251" priority="307">
      <formula>OR($Y$71=3,$Y$71=4)</formula>
    </cfRule>
    <cfRule type="expression" dxfId="3250" priority="454">
      <formula>$Y$71=1</formula>
    </cfRule>
  </conditionalFormatting>
  <conditionalFormatting sqref="B39:J39 B239:J239">
    <cfRule type="expression" dxfId="3249" priority="310">
      <formula>$Y$71=2</formula>
    </cfRule>
    <cfRule type="expression" dxfId="3248" priority="311">
      <formula>$Y$71=4</formula>
    </cfRule>
    <cfRule type="expression" dxfId="3247" priority="456">
      <formula>$Y$71=1</formula>
    </cfRule>
  </conditionalFormatting>
  <conditionalFormatting sqref="B35:J35 B235:J235">
    <cfRule type="expression" dxfId="3246" priority="318">
      <formula>$Y$71=2</formula>
    </cfRule>
    <cfRule type="expression" dxfId="3245" priority="319">
      <formula>OR($Y$71=3,$Y$71=4)</formula>
    </cfRule>
    <cfRule type="expression" dxfId="3244" priority="455">
      <formula>$Y$71=1</formula>
    </cfRule>
  </conditionalFormatting>
  <conditionalFormatting sqref="K36:AW36 K236:AW236">
    <cfRule type="expression" dxfId="3243" priority="321">
      <formula>$Y$71=1</formula>
    </cfRule>
    <cfRule type="expression" dxfId="3242" priority="404">
      <formula>$Y$71=3</formula>
    </cfRule>
  </conditionalFormatting>
  <conditionalFormatting sqref="K34:AW34 K234:AW234">
    <cfRule type="expression" dxfId="3241" priority="322">
      <formula>$Y$71=2</formula>
    </cfRule>
    <cfRule type="expression" dxfId="3240" priority="921">
      <formula>$Y$71=1</formula>
    </cfRule>
  </conditionalFormatting>
  <conditionalFormatting sqref="AI38:AU38 AI238:AU238">
    <cfRule type="expression" dxfId="3239" priority="409">
      <formula>OR($Y$71=1,$Y$71=3)</formula>
    </cfRule>
    <cfRule type="expression" dxfId="3238" priority="918">
      <formula>$Y$71=4</formula>
    </cfRule>
  </conditionalFormatting>
  <conditionalFormatting sqref="AI35:AU35 AI235:AU235">
    <cfRule type="expression" dxfId="3237" priority="411">
      <formula>$Y$71=2</formula>
    </cfRule>
    <cfRule type="expression" dxfId="3236" priority="924">
      <formula>OR($Y$71=3,$Y$71=4)</formula>
    </cfRule>
  </conditionalFormatting>
  <conditionalFormatting sqref="K39:AW39 K239:AW239">
    <cfRule type="expression" dxfId="3235" priority="417">
      <formula>$Y$71=1</formula>
    </cfRule>
    <cfRule type="expression" dxfId="3234" priority="450">
      <formula>$Y$71=1</formula>
    </cfRule>
  </conditionalFormatting>
  <conditionalFormatting sqref="V40:AH40 V240:AH240">
    <cfRule type="expression" dxfId="3233" priority="422">
      <formula>$Y$71=2</formula>
    </cfRule>
    <cfRule type="expression" dxfId="3232" priority="423">
      <formula>OR($Y$71=3,$Y$71=4)</formula>
    </cfRule>
  </conditionalFormatting>
  <conditionalFormatting sqref="K40:U40 K240:U240">
    <cfRule type="expression" dxfId="3231" priority="425">
      <formula>$Y$71=2</formula>
    </cfRule>
    <cfRule type="expression" dxfId="3230" priority="426">
      <formula>OR($Y$71=3,$Y$71=4)</formula>
    </cfRule>
  </conditionalFormatting>
  <conditionalFormatting sqref="V39:AH39 V239:AH239">
    <cfRule type="expression" dxfId="3229" priority="427">
      <formula>$Y$71=2</formula>
    </cfRule>
    <cfRule type="expression" dxfId="3228" priority="428">
      <formula>$Y$71=4</formula>
    </cfRule>
  </conditionalFormatting>
  <conditionalFormatting sqref="V38:AH38 V238:AH238">
    <cfRule type="expression" dxfId="3227" priority="429">
      <formula>OR($Y$71=1,$Y$71=3)</formula>
    </cfRule>
    <cfRule type="expression" dxfId="3226" priority="430">
      <formula>$Y$71=4</formula>
    </cfRule>
  </conditionalFormatting>
  <conditionalFormatting sqref="K39:U39 K239:U239">
    <cfRule type="expression" dxfId="3225" priority="431">
      <formula>$Y$71=2</formula>
    </cfRule>
    <cfRule type="expression" dxfId="3224" priority="432">
      <formula>$Y$71=4</formula>
    </cfRule>
  </conditionalFormatting>
  <conditionalFormatting sqref="K38:U38 K238:U238">
    <cfRule type="expression" dxfId="3223" priority="433">
      <formula>OR($Y$71=1,$Y$71=3)</formula>
    </cfRule>
    <cfRule type="expression" dxfId="3222" priority="434">
      <formula>$Y$71=4</formula>
    </cfRule>
  </conditionalFormatting>
  <conditionalFormatting sqref="V36:AH36 V236:AH236">
    <cfRule type="expression" dxfId="3221" priority="435">
      <formula>$Y$71=2</formula>
    </cfRule>
  </conditionalFormatting>
  <conditionalFormatting sqref="V37:AH37 V237:AH237">
    <cfRule type="expression" dxfId="3220" priority="437">
      <formula>OR($Y$71=1,$Y$71=3)</formula>
    </cfRule>
    <cfRule type="expression" dxfId="3219" priority="438">
      <formula>$Y$71=4</formula>
    </cfRule>
  </conditionalFormatting>
  <conditionalFormatting sqref="K37:U37 K237:U237">
    <cfRule type="expression" dxfId="3218" priority="439">
      <formula>OR($Y$71=1,$Y$71=3)</formula>
    </cfRule>
    <cfRule type="expression" dxfId="3217" priority="440">
      <formula>$Y$71=4</formula>
    </cfRule>
  </conditionalFormatting>
  <conditionalFormatting sqref="K36:U36 K236:U236">
    <cfRule type="expression" dxfId="3216" priority="441">
      <formula>$Y$71=2</formula>
    </cfRule>
    <cfRule type="expression" dxfId="3215" priority="442">
      <formula>$Y$71=4</formula>
    </cfRule>
  </conditionalFormatting>
  <conditionalFormatting sqref="V35:AH35 V235:AH235">
    <cfRule type="expression" dxfId="3214" priority="444">
      <formula>$Y$71=2</formula>
    </cfRule>
    <cfRule type="expression" dxfId="3213" priority="445">
      <formula>OR($Y$71=3,$Y$71=4)</formula>
    </cfRule>
  </conditionalFormatting>
  <conditionalFormatting sqref="K35:U35 K235:U235">
    <cfRule type="expression" dxfId="3212" priority="446">
      <formula>$Y$71=2</formula>
    </cfRule>
    <cfRule type="expression" dxfId="3211" priority="447">
      <formula>OR($Y$71=3,$Y$71=4)</formula>
    </cfRule>
  </conditionalFormatting>
  <conditionalFormatting sqref="AI39:AU39 AI239:AU239">
    <cfRule type="expression" dxfId="3210" priority="452">
      <formula>$Y$71=2</formula>
    </cfRule>
    <cfRule type="expression" dxfId="3209" priority="917">
      <formula>$Y$71=4</formula>
    </cfRule>
  </conditionalFormatting>
  <conditionalFormatting sqref="AI40:AU40 AI240:AU240">
    <cfRule type="expression" dxfId="3208" priority="453">
      <formula>$Y$71=2</formula>
    </cfRule>
    <cfRule type="expression" dxfId="3207" priority="947">
      <formula>OR($Y$71=3,$Y$71=4)</formula>
    </cfRule>
  </conditionalFormatting>
  <conditionalFormatting sqref="N220:O220">
    <cfRule type="expression" dxfId="3206" priority="98" stopIfTrue="1">
      <formula>OR(VALUE(MID($AL$3,15,2))&gt;HOUR($B220),VALUE(MID($AL$3,15,2))=HOUR($B220))</formula>
    </cfRule>
  </conditionalFormatting>
  <conditionalFormatting sqref="N221:O221">
    <cfRule type="expression" dxfId="3205" priority="99" stopIfTrue="1">
      <formula>OR(VALUE(MID($AL$3,15,2))&gt;HOUR($B$21),VALUE(MID($AL$3,15,2))=HOUR($B$21))</formula>
    </cfRule>
  </conditionalFormatting>
  <conditionalFormatting sqref="N222:O222">
    <cfRule type="expression" dxfId="3204" priority="100" stopIfTrue="1">
      <formula>OR(VALUE(MID($AL$3,15,2))&gt;HOUR($B$22),VALUE(MID($AL$3,15,2))=HOUR($B$22))</formula>
    </cfRule>
  </conditionalFormatting>
  <conditionalFormatting sqref="N224:O224">
    <cfRule type="expression" dxfId="3203" priority="102" stopIfTrue="1">
      <formula>OR(VALUE(MID($AL$3,15,2))&gt;HOUR($B$24),VALUE(MID($AL$3,15,2))=HOUR($B$24))</formula>
    </cfRule>
  </conditionalFormatting>
  <conditionalFormatting sqref="N225:O225">
    <cfRule type="expression" dxfId="3202" priority="103" stopIfTrue="1">
      <formula>OR(VALUE(MID($AL$3,15,2))&gt;HOUR($B$25),VALUE(MID($AL$3,15,2))=HOUR($B$25))</formula>
    </cfRule>
  </conditionalFormatting>
  <conditionalFormatting sqref="N226:O226">
    <cfRule type="expression" dxfId="3201" priority="104" stopIfTrue="1">
      <formula>OR(VALUE(MID($AL$3,15,2))&gt;HOUR($B$26),VALUE(MID($AL$3,15,2))=HOUR($B$26))</formula>
    </cfRule>
  </conditionalFormatting>
  <conditionalFormatting sqref="N228:O228">
    <cfRule type="expression" dxfId="3200" priority="106" stopIfTrue="1">
      <formula>OR(VALUE(MID($AL$3,15,2))&gt;HOUR($B$28),VALUE(MID($AL$3,15,2))=HOUR($B$28))</formula>
    </cfRule>
  </conditionalFormatting>
  <conditionalFormatting sqref="N220:O220">
    <cfRule type="expression" dxfId="3199" priority="107">
      <formula>AND($N$18="MOON ANGLE",$N220&lt;30)</formula>
    </cfRule>
    <cfRule type="expression" dxfId="3198" priority="108">
      <formula>AND($N$18="WBGT",$N220&gt;89.499)</formula>
    </cfRule>
    <cfRule type="expression" dxfId="3197" priority="109">
      <formula>AND($N$18="WBGT",$N220&gt;87.4999,$N220&lt;89.5)</formula>
    </cfRule>
    <cfRule type="expression" dxfId="3196" priority="110">
      <formula>AND($N$18="WBGT",$N220&gt;84.4999,$N220&lt;87.5)</formula>
    </cfRule>
    <cfRule type="expression" dxfId="3195" priority="111">
      <formula>AND($N$18="WBGT",$N220&gt;81.4999,$N220&lt;84.5)</formula>
    </cfRule>
    <cfRule type="expression" dxfId="3194" priority="112">
      <formula>AND($N$18="WBGT",$N220&gt;77.4999,$N220&lt;81.5)</formula>
    </cfRule>
    <cfRule type="expression" dxfId="3193" priority="113">
      <formula>AND($N$18="WBGT",$N220&lt;77.5)</formula>
    </cfRule>
  </conditionalFormatting>
  <conditionalFormatting sqref="N221:O221">
    <cfRule type="expression" dxfId="3192" priority="91">
      <formula>AND($N$18="MOON ANGLE",$N221&lt;30)</formula>
    </cfRule>
    <cfRule type="expression" dxfId="3191" priority="92">
      <formula>AND($N$18="WBGT",$N221&gt;89.499)</formula>
    </cfRule>
    <cfRule type="expression" dxfId="3190" priority="93">
      <formula>AND($N$18="WBGT",$N221&gt;87.4999,$N221&lt;89.5)</formula>
    </cfRule>
    <cfRule type="expression" dxfId="3189" priority="94">
      <formula>AND($N$18="WBGT",$N221&gt;84.4999,$N221&lt;87.5)</formula>
    </cfRule>
    <cfRule type="expression" dxfId="3188" priority="95">
      <formula>AND($N$18="WBGT",$N221&gt;81.4999,$N221&lt;84.5)</formula>
    </cfRule>
    <cfRule type="expression" dxfId="3187" priority="96">
      <formula>AND($N$18="WBGT",$N221&gt;77.4999,$N221&lt;81.5)</formula>
    </cfRule>
    <cfRule type="expression" dxfId="3186" priority="97">
      <formula>AND($N$18="WBGT",$N221&lt;77.5)</formula>
    </cfRule>
  </conditionalFormatting>
  <conditionalFormatting sqref="N222:O222">
    <cfRule type="expression" dxfId="3185" priority="84">
      <formula>AND($N$18="MOON ANGLE",$N222&lt;30)</formula>
    </cfRule>
    <cfRule type="expression" dxfId="3184" priority="85">
      <formula>AND($N$18="WBGT",$N222&gt;89.499)</formula>
    </cfRule>
    <cfRule type="expression" dxfId="3183" priority="86">
      <formula>AND($N$18="WBGT",$N222&gt;87.4999,$N222&lt;89.5)</formula>
    </cfRule>
    <cfRule type="expression" dxfId="3182" priority="87">
      <formula>AND($N$18="WBGT",$N222&gt;84.4999,$N222&lt;87.5)</formula>
    </cfRule>
    <cfRule type="expression" dxfId="3181" priority="88">
      <formula>AND($N$18="WBGT",$N222&gt;81.4999,$N222&lt;84.5)</formula>
    </cfRule>
    <cfRule type="expression" dxfId="3180" priority="89">
      <formula>AND($N$18="WBGT",$N222&gt;77.4999,$N222&lt;81.5)</formula>
    </cfRule>
    <cfRule type="expression" dxfId="3179" priority="90">
      <formula>AND($N$18="WBGT",$N222&lt;77.5)</formula>
    </cfRule>
  </conditionalFormatting>
  <conditionalFormatting sqref="N223:O223">
    <cfRule type="expression" dxfId="3178" priority="77">
      <formula>AND($N$18="MOON ANGLE",$N223&lt;30)</formula>
    </cfRule>
    <cfRule type="expression" dxfId="3177" priority="78">
      <formula>AND($N$18="WBGT",$N223&gt;89.499)</formula>
    </cfRule>
    <cfRule type="expression" dxfId="3176" priority="79">
      <formula>AND($N$18="WBGT",$N223&gt;87.4999,$N223&lt;89.5)</formula>
    </cfRule>
    <cfRule type="expression" dxfId="3175" priority="80">
      <formula>AND($N$18="WBGT",$N223&gt;84.4999,$N223&lt;87.5)</formula>
    </cfRule>
    <cfRule type="expression" dxfId="3174" priority="81">
      <formula>AND($N$18="WBGT",$N223&gt;81.4999,$N223&lt;84.5)</formula>
    </cfRule>
    <cfRule type="expression" dxfId="3173" priority="82">
      <formula>AND($N$18="WBGT",$N223&gt;77.4999,$N223&lt;81.5)</formula>
    </cfRule>
    <cfRule type="expression" dxfId="3172" priority="83">
      <formula>AND($N$18="WBGT",$N223&lt;77.5)</formula>
    </cfRule>
  </conditionalFormatting>
  <conditionalFormatting sqref="N224:O224">
    <cfRule type="expression" dxfId="3171" priority="70">
      <formula>AND($N$18="MOON ANGLE",$N224&lt;30)</formula>
    </cfRule>
    <cfRule type="expression" dxfId="3170" priority="71">
      <formula>AND($N$18="WBGT",$N224&gt;89.499)</formula>
    </cfRule>
    <cfRule type="expression" dxfId="3169" priority="72">
      <formula>AND($N$18="WBGT",$N224&gt;87.4999,$N224&lt;89.5)</formula>
    </cfRule>
    <cfRule type="expression" dxfId="3168" priority="73">
      <formula>AND($N$18="WBGT",$N224&gt;84.4999,$N224&lt;87.5)</formula>
    </cfRule>
    <cfRule type="expression" dxfId="3167" priority="74">
      <formula>AND($N$18="WBGT",$N224&gt;81.4999,$N224&lt;84.5)</formula>
    </cfRule>
    <cfRule type="expression" dxfId="3166" priority="75">
      <formula>AND($N$18="WBGT",$N224&gt;77.4999,$N224&lt;81.5)</formula>
    </cfRule>
    <cfRule type="expression" dxfId="3165" priority="76">
      <formula>AND($N$18="WBGT",$N224&lt;77.5)</formula>
    </cfRule>
  </conditionalFormatting>
  <conditionalFormatting sqref="N225:O225">
    <cfRule type="expression" dxfId="3164" priority="63">
      <formula>AND($N$18="MOON ANGLE",$N225&lt;30)</formula>
    </cfRule>
    <cfRule type="expression" dxfId="3163" priority="64">
      <formula>AND($N$18="WBGT",$N225&gt;89.499)</formula>
    </cfRule>
    <cfRule type="expression" dxfId="3162" priority="65">
      <formula>AND($N$18="WBGT",$N225&gt;87.4999,$N225&lt;89.5)</formula>
    </cfRule>
    <cfRule type="expression" dxfId="3161" priority="66">
      <formula>AND($N$18="WBGT",$N225&gt;84.4999,$N225&lt;87.5)</formula>
    </cfRule>
    <cfRule type="expression" dxfId="3160" priority="67">
      <formula>AND($N$18="WBGT",$N225&gt;81.4999,$N225&lt;84.5)</formula>
    </cfRule>
    <cfRule type="expression" dxfId="3159" priority="68">
      <formula>AND($N$18="WBGT",$N225&gt;77.4999,$N225&lt;81.5)</formula>
    </cfRule>
    <cfRule type="expression" dxfId="3158" priority="69">
      <formula>AND($N$18="WBGT",$N225&lt;77.5)</formula>
    </cfRule>
  </conditionalFormatting>
  <conditionalFormatting sqref="N226:O226">
    <cfRule type="expression" dxfId="3157" priority="56">
      <formula>AND($N$18="MOON ANGLE",$N226&lt;30)</formula>
    </cfRule>
    <cfRule type="expression" dxfId="3156" priority="57">
      <formula>AND($N$18="WBGT",$N226&gt;89.499)</formula>
    </cfRule>
    <cfRule type="expression" dxfId="3155" priority="58">
      <formula>AND($N$18="WBGT",$N226&gt;87.4999,$N226&lt;89.5)</formula>
    </cfRule>
    <cfRule type="expression" dxfId="3154" priority="59">
      <formula>AND($N$18="WBGT",$N226&gt;84.4999,$N226&lt;87.5)</formula>
    </cfRule>
    <cfRule type="expression" dxfId="3153" priority="60">
      <formula>AND($N$18="WBGT",$N226&gt;81.4999,$N226&lt;84.5)</formula>
    </cfRule>
    <cfRule type="expression" dxfId="3152" priority="61">
      <formula>AND($N$18="WBGT",$N226&gt;77.4999,$N226&lt;81.5)</formula>
    </cfRule>
    <cfRule type="expression" dxfId="3151" priority="62">
      <formula>AND($N$18="WBGT",$N226&lt;77.5)</formula>
    </cfRule>
  </conditionalFormatting>
  <conditionalFormatting sqref="N227:O227">
    <cfRule type="expression" dxfId="3150" priority="49">
      <formula>AND($N$18="MOON ANGLE",$N227&lt;30)</formula>
    </cfRule>
    <cfRule type="expression" dxfId="3149" priority="50">
      <formula>AND($N$18="WBGT",$N227&gt;89.499)</formula>
    </cfRule>
    <cfRule type="expression" dxfId="3148" priority="51">
      <formula>AND($N$18="WBGT",$N227&gt;87.4999,$N227&lt;89.5)</formula>
    </cfRule>
    <cfRule type="expression" dxfId="3147" priority="52">
      <formula>AND($N$18="WBGT",$N227&gt;84.4999,$N227&lt;87.5)</formula>
    </cfRule>
    <cfRule type="expression" dxfId="3146" priority="53">
      <formula>AND($N$18="WBGT",$N227&gt;81.4999,$N227&lt;84.5)</formula>
    </cfRule>
    <cfRule type="expression" dxfId="3145" priority="54">
      <formula>AND($N$18="WBGT",$N227&gt;77.4999,$N227&lt;81.5)</formula>
    </cfRule>
    <cfRule type="expression" dxfId="3144" priority="55">
      <formula>AND($N$18="WBGT",$N227&lt;77.5)</formula>
    </cfRule>
  </conditionalFormatting>
  <conditionalFormatting sqref="N228:O228">
    <cfRule type="expression" dxfId="3143" priority="42">
      <formula>AND($N$18="MOON ANGLE",$N228&lt;30)</formula>
    </cfRule>
    <cfRule type="expression" dxfId="3142" priority="43">
      <formula>AND($N$18="WBGT",$N228&gt;89.499)</formula>
    </cfRule>
    <cfRule type="expression" dxfId="3141" priority="44">
      <formula>AND($N$18="WBGT",$N228&gt;87.4999,$N228&lt;89.5)</formula>
    </cfRule>
    <cfRule type="expression" dxfId="3140" priority="45">
      <formula>AND($N$18="WBGT",$N228&gt;84.4999,$N228&lt;87.5)</formula>
    </cfRule>
    <cfRule type="expression" dxfId="3139" priority="46">
      <formula>AND($N$18="WBGT",$N228&gt;81.4999,$N228&lt;84.5)</formula>
    </cfRule>
    <cfRule type="expression" dxfId="3138" priority="47">
      <formula>AND($N$18="WBGT",$N228&gt;77.4999,$N228&lt;81.5)</formula>
    </cfRule>
    <cfRule type="expression" dxfId="3137" priority="48">
      <formula>AND($N$18="WBGT",$N228&lt;77.5)</formula>
    </cfRule>
  </conditionalFormatting>
  <conditionalFormatting sqref="N229:O229">
    <cfRule type="expression" dxfId="3136" priority="35">
      <formula>AND($N$18="MOON ANGLE",$N229&lt;30)</formula>
    </cfRule>
    <cfRule type="expression" dxfId="3135" priority="36">
      <formula>AND($N$18="WBGT",$N229&gt;89.499)</formula>
    </cfRule>
    <cfRule type="expression" dxfId="3134" priority="37">
      <formula>AND($N$18="WBGT",$N229&gt;87.4999,$N229&lt;89.5)</formula>
    </cfRule>
    <cfRule type="expression" dxfId="3133" priority="38">
      <formula>AND($N$18="WBGT",$N229&gt;84.4999,$N229&lt;87.5)</formula>
    </cfRule>
    <cfRule type="expression" dxfId="3132" priority="39">
      <formula>AND($N$18="WBGT",$N229&gt;81.4999,$N229&lt;84.5)</formula>
    </cfRule>
    <cfRule type="expression" dxfId="3131" priority="40">
      <formula>AND($N$18="WBGT",$N229&gt;77.4999,$N229&lt;81.5)</formula>
    </cfRule>
    <cfRule type="expression" dxfId="3130" priority="41">
      <formula>AND($N$18="WBGT",$N229&lt;77.5)</formula>
    </cfRule>
  </conditionalFormatting>
  <conditionalFormatting sqref="N230:O230">
    <cfRule type="expression" dxfId="3129" priority="28">
      <formula>AND($N$18="MOON ANGLE",$N230&lt;30)</formula>
    </cfRule>
    <cfRule type="expression" dxfId="3128" priority="29">
      <formula>AND($N$18="WBGT",$N230&gt;89.499)</formula>
    </cfRule>
    <cfRule type="expression" dxfId="3127" priority="30">
      <formula>AND($N$18="WBGT",$N230&gt;87.4999,$N230&lt;89.5)</formula>
    </cfRule>
    <cfRule type="expression" dxfId="3126" priority="31">
      <formula>AND($N$18="WBGT",$N230&gt;84.4999,$N230&lt;87.5)</formula>
    </cfRule>
    <cfRule type="expression" dxfId="3125" priority="32">
      <formula>AND($N$18="WBGT",$N230&gt;81.4999,$N230&lt;84.5)</formula>
    </cfRule>
    <cfRule type="expression" dxfId="3124" priority="33">
      <formula>AND($N$18="WBGT",$N230&gt;77.4999,$N230&lt;81.5)</formula>
    </cfRule>
    <cfRule type="expression" dxfId="3123" priority="34">
      <formula>AND($N$18="WBGT",$N230&lt;77.5)</formula>
    </cfRule>
  </conditionalFormatting>
  <conditionalFormatting sqref="N231:O231">
    <cfRule type="expression" dxfId="3122" priority="21">
      <formula>AND($N$18="MOON ANGLE",$N231&lt;30)</formula>
    </cfRule>
    <cfRule type="expression" dxfId="3121" priority="22">
      <formula>AND($N$18="WBGT",$N231&gt;89.499)</formula>
    </cfRule>
    <cfRule type="expression" dxfId="3120" priority="23">
      <formula>AND($N$18="WBGT",$N231&gt;87.4999,$N231&lt;89.5)</formula>
    </cfRule>
    <cfRule type="expression" dxfId="3119" priority="24">
      <formula>AND($N$18="WBGT",$N231&gt;84.4999,$N231&lt;87.5)</formula>
    </cfRule>
    <cfRule type="expression" dxfId="3118" priority="25">
      <formula>AND($N$18="WBGT",$N231&gt;81.4999,$N231&lt;84.5)</formula>
    </cfRule>
    <cfRule type="expression" dxfId="3117" priority="26">
      <formula>AND($N$18="WBGT",$N231&gt;77.4999,$N231&lt;81.5)</formula>
    </cfRule>
    <cfRule type="expression" dxfId="3116" priority="27">
      <formula>AND($N$18="WBGT",$N231&lt;77.5)</formula>
    </cfRule>
  </conditionalFormatting>
  <conditionalFormatting sqref="N232:O232">
    <cfRule type="expression" dxfId="3115" priority="14">
      <formula>AND($N$18="MOON ANGLE",$N232&lt;30)</formula>
    </cfRule>
    <cfRule type="expression" dxfId="3114" priority="15">
      <formula>AND($N$18="WBGT",$N232&gt;89.499)</formula>
    </cfRule>
    <cfRule type="expression" dxfId="3113" priority="16">
      <formula>AND($N$18="WBGT",$N232&gt;87.4999,$N232&lt;89.5)</formula>
    </cfRule>
    <cfRule type="expression" dxfId="3112" priority="17">
      <formula>AND($N$18="WBGT",$N232&gt;84.4999,$N232&lt;87.5)</formula>
    </cfRule>
    <cfRule type="expression" dxfId="3111" priority="18">
      <formula>AND($N$18="WBGT",$N232&gt;81.4999,$N232&lt;84.5)</formula>
    </cfRule>
    <cfRule type="expression" dxfId="3110" priority="19">
      <formula>AND($N$18="WBGT",$N232&gt;77.4999,$N232&lt;81.5)</formula>
    </cfRule>
    <cfRule type="expression" dxfId="3109" priority="20">
      <formula>AND($N$18="WBGT",$N232&lt;77.5)</formula>
    </cfRule>
  </conditionalFormatting>
  <conditionalFormatting sqref="N220:N232">
    <cfRule type="containsText" dxfId="3108" priority="13" operator="containsText" text="(">
      <formula>NOT(ISERROR(SEARCH("(",N220)))</formula>
    </cfRule>
  </conditionalFormatting>
  <conditionalFormatting sqref="N223:O223">
    <cfRule type="expression" dxfId="3107" priority="101" stopIfTrue="1">
      <formula>OR(VALUE(MID($AL$3,15,2))&gt;HOUR($B$23),VALUE(MID($AL$3,15,2))=HOUR($B$23))</formula>
    </cfRule>
  </conditionalFormatting>
  <conditionalFormatting sqref="N227:O227">
    <cfRule type="expression" dxfId="3106" priority="105" stopIfTrue="1">
      <formula>OR(VALUE(MID($AL$3,15,2))&gt;HOUR($B$27),VALUE(MID($AL$3,15,2))=HOUR($B$27))</formula>
    </cfRule>
  </conditionalFormatting>
  <conditionalFormatting sqref="AG7:AK8">
    <cfRule type="cellIs" dxfId="3105" priority="11" operator="equal">
      <formula>"Severe."</formula>
    </cfRule>
    <cfRule type="cellIs" dxfId="3104" priority="12" operator="equal">
      <formula>"Marginal."</formula>
    </cfRule>
  </conditionalFormatting>
  <conditionalFormatting sqref="AG11:AK12">
    <cfRule type="cellIs" dxfId="3103" priority="9" operator="equal">
      <formula>"Severe."</formula>
    </cfRule>
    <cfRule type="cellIs" dxfId="3102" priority="10" operator="equal">
      <formula>"Marginal."</formula>
    </cfRule>
  </conditionalFormatting>
  <conditionalFormatting sqref="AG15:AK16">
    <cfRule type="cellIs" dxfId="3101" priority="7" operator="equal">
      <formula>"Severe."</formula>
    </cfRule>
    <cfRule type="cellIs" dxfId="3100" priority="8" operator="equal">
      <formula>"Marginal."</formula>
    </cfRule>
  </conditionalFormatting>
  <conditionalFormatting sqref="AG207:AK208">
    <cfRule type="cellIs" dxfId="3099" priority="5" operator="equal">
      <formula>"Severe."</formula>
    </cfRule>
    <cfRule type="cellIs" dxfId="3098" priority="6" operator="equal">
      <formula>"Marginal."</formula>
    </cfRule>
  </conditionalFormatting>
  <conditionalFormatting sqref="AG211:AK212">
    <cfRule type="cellIs" dxfId="3097" priority="3" operator="equal">
      <formula>"Severe."</formula>
    </cfRule>
    <cfRule type="cellIs" dxfId="3096" priority="4" operator="equal">
      <formula>"Marginal."</formula>
    </cfRule>
  </conditionalFormatting>
  <conditionalFormatting sqref="AG215:AK216">
    <cfRule type="cellIs" dxfId="3095" priority="1" operator="equal">
      <formula>"Severe."</formula>
    </cfRule>
    <cfRule type="cellIs" dxfId="3094" priority="2" operator="equal">
      <formula>"Marginal."</formula>
    </cfRule>
  </conditionalFormatting>
  <dataValidations count="2">
    <dataValidation type="list" allowBlank="1" showInputMessage="1" showErrorMessage="1" sqref="AP14:AR16">
      <formula1>$K$71:$K$89</formula1>
    </dataValidation>
    <dataValidation type="list" allowBlank="1" showInputMessage="1" showErrorMessage="1" sqref="AP8:AR10">
      <formula1>$H$71:$H$79</formula1>
    </dataValidation>
  </dataValidations>
  <printOptions horizontalCentered="1" verticalCentered="1"/>
  <pageMargins left="0.2" right="0.2" top="0.25" bottom="0.25" header="0.3" footer="0.3"/>
  <pageSetup scale="8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66"/>
    <pageSetUpPr fitToPage="1"/>
  </sheetPr>
  <dimension ref="A1:II604"/>
  <sheetViews>
    <sheetView tabSelected="1" topLeftCell="S1" zoomScaleNormal="100" workbookViewId="0">
      <selection activeCell="AX295" sqref="AX295:AY295"/>
    </sheetView>
  </sheetViews>
  <sheetFormatPr defaultColWidth="9" defaultRowHeight="12.5"/>
  <cols>
    <col min="1" max="1" width="3.54296875" style="29" customWidth="1"/>
    <col min="2" max="27" width="3" style="29" customWidth="1"/>
    <col min="28" max="28" width="3" style="1737" customWidth="1"/>
    <col min="29" max="242" width="3" style="29" customWidth="1"/>
    <col min="243" max="16384" width="9" style="29"/>
  </cols>
  <sheetData>
    <row r="1" spans="1:87" ht="20.25" customHeight="1">
      <c r="A1" s="423"/>
      <c r="B1" s="423"/>
      <c r="C1" s="1035" t="s">
        <v>141</v>
      </c>
      <c r="D1" s="3590" t="s">
        <v>2898</v>
      </c>
      <c r="E1" s="3590"/>
      <c r="F1" s="3590"/>
      <c r="G1" s="3590"/>
      <c r="H1" s="423"/>
      <c r="I1" s="423"/>
      <c r="J1" s="423"/>
      <c r="K1" s="423"/>
      <c r="L1" s="423"/>
      <c r="M1" s="424"/>
      <c r="N1" s="425" t="s">
        <v>142</v>
      </c>
      <c r="O1" s="426" t="s">
        <v>143</v>
      </c>
      <c r="P1" s="424"/>
      <c r="Q1" s="3493" t="s">
        <v>144</v>
      </c>
      <c r="R1" s="3493"/>
      <c r="S1" s="3493"/>
      <c r="T1" s="3493"/>
      <c r="U1" s="3493" t="s">
        <v>145</v>
      </c>
      <c r="V1" s="3493"/>
      <c r="W1" s="3493"/>
      <c r="X1" s="3493"/>
      <c r="Y1" s="423"/>
      <c r="Z1" s="423"/>
      <c r="AA1" s="423"/>
      <c r="AB1" s="1735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23"/>
      <c r="CH1" s="423"/>
      <c r="CI1" s="423"/>
    </row>
    <row r="2" spans="1:87" ht="17.25" customHeight="1">
      <c r="A2" s="423"/>
      <c r="B2" s="427" t="s">
        <v>146</v>
      </c>
      <c r="C2" s="427"/>
      <c r="D2" s="423"/>
      <c r="E2" s="428"/>
      <c r="F2" s="423"/>
      <c r="G2" s="423"/>
      <c r="H2" s="429"/>
      <c r="I2" s="430"/>
      <c r="J2" s="430"/>
      <c r="K2" s="1916" t="s">
        <v>147</v>
      </c>
      <c r="L2" s="3510" t="s">
        <v>143</v>
      </c>
      <c r="M2" s="3511"/>
      <c r="N2" s="3512"/>
      <c r="O2" s="430"/>
      <c r="P2" s="1916"/>
      <c r="Q2" s="1916" t="s">
        <v>148</v>
      </c>
      <c r="R2" s="3389">
        <v>37.9</v>
      </c>
      <c r="S2" s="3390"/>
      <c r="T2" s="423"/>
      <c r="U2" s="1916" t="s">
        <v>149</v>
      </c>
      <c r="V2" s="3389">
        <v>-86</v>
      </c>
      <c r="W2" s="3390"/>
      <c r="X2" s="423"/>
      <c r="Y2" s="1916" t="s">
        <v>150</v>
      </c>
      <c r="Z2" s="3508">
        <v>755</v>
      </c>
      <c r="AA2" s="3509"/>
      <c r="AB2" s="439"/>
      <c r="AC2" s="439"/>
      <c r="AD2" s="435"/>
      <c r="AE2" s="423"/>
      <c r="AF2" s="423"/>
      <c r="AG2" s="1916" t="s">
        <v>151</v>
      </c>
      <c r="AH2" s="1913">
        <f>IF(LOOKUP(Q6+AO2,'Light Data '!L9:L21,'Light Data '!P9:P21)="S",AA4,AA4+1)</f>
        <v>-4</v>
      </c>
      <c r="AI2" s="883"/>
      <c r="AJ2" s="883"/>
      <c r="AK2" s="883"/>
      <c r="AL2" s="883"/>
      <c r="AM2" s="883"/>
      <c r="AN2" s="884" t="s">
        <v>152</v>
      </c>
      <c r="AO2" s="3471">
        <f>IF(X6="A",AI4,IF(X6="B",AL4,IF(X6="C",AO4,IF(X6="D",AR4))))</f>
        <v>0.375</v>
      </c>
      <c r="AP2" s="3472"/>
      <c r="AQ2" s="3475" t="s">
        <v>153</v>
      </c>
      <c r="AR2" s="3475"/>
      <c r="AS2" s="3475"/>
      <c r="AT2" s="3475"/>
      <c r="AU2" s="3475"/>
      <c r="AV2" s="3475"/>
      <c r="AW2" s="3471">
        <f>Q6+AO2+12/24</f>
        <v>44748.875</v>
      </c>
      <c r="AX2" s="3472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23"/>
      <c r="CB2" s="423"/>
      <c r="CC2" s="423"/>
      <c r="CD2" s="423"/>
      <c r="CE2" s="423"/>
      <c r="CF2" s="423"/>
      <c r="CG2" s="423"/>
      <c r="CH2" s="423"/>
      <c r="CI2" s="423"/>
    </row>
    <row r="3" spans="1:87" ht="8.25" customHeight="1">
      <c r="A3" s="423"/>
      <c r="B3" s="427"/>
      <c r="C3" s="427"/>
      <c r="D3" s="423"/>
      <c r="E3" s="428"/>
      <c r="F3" s="423"/>
      <c r="G3" s="423"/>
      <c r="H3" s="429"/>
      <c r="I3" s="431"/>
      <c r="J3" s="431"/>
      <c r="K3" s="1916"/>
      <c r="L3" s="431"/>
      <c r="M3" s="431"/>
      <c r="N3" s="430"/>
      <c r="O3" s="430"/>
      <c r="P3" s="1916"/>
      <c r="Q3" s="1916"/>
      <c r="R3" s="880"/>
      <c r="S3" s="880"/>
      <c r="T3" s="423"/>
      <c r="U3" s="879"/>
      <c r="V3" s="879"/>
      <c r="W3" s="879"/>
      <c r="X3" s="879"/>
      <c r="Y3" s="1916"/>
      <c r="Z3" s="439"/>
      <c r="AA3" s="439"/>
      <c r="AB3" s="439"/>
      <c r="AC3" s="439"/>
      <c r="AD3" s="435"/>
      <c r="AE3" s="1916"/>
      <c r="AF3" s="439"/>
      <c r="AG3" s="429"/>
      <c r="AH3" s="1916"/>
      <c r="AI3" s="1916"/>
      <c r="AJ3" s="1916"/>
      <c r="AK3" s="1916"/>
      <c r="AL3" s="1916"/>
      <c r="AM3" s="1916"/>
      <c r="AN3" s="1916"/>
      <c r="AO3" s="441"/>
      <c r="AP3" s="441"/>
      <c r="AQ3" s="1916"/>
      <c r="AR3" s="1916"/>
      <c r="AS3" s="1916"/>
      <c r="AT3" s="1916"/>
      <c r="AU3" s="1916"/>
      <c r="AV3" s="1916"/>
      <c r="AW3" s="441"/>
      <c r="AX3" s="441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47"/>
      <c r="BJ3" s="447"/>
      <c r="BK3" s="447"/>
      <c r="BL3" s="447"/>
      <c r="BM3" s="447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23"/>
      <c r="CB3" s="423"/>
      <c r="CC3" s="423"/>
      <c r="CD3" s="423"/>
      <c r="CE3" s="423"/>
      <c r="CF3" s="423"/>
      <c r="CG3" s="423"/>
      <c r="CH3" s="423"/>
      <c r="CI3" s="423"/>
    </row>
    <row r="4" spans="1:87" ht="18" customHeight="1">
      <c r="A4" s="423"/>
      <c r="B4" s="423"/>
      <c r="C4" s="423"/>
      <c r="D4" s="423"/>
      <c r="E4" s="423"/>
      <c r="F4" s="3008"/>
      <c r="G4" s="3008"/>
      <c r="H4" s="3008"/>
      <c r="I4" s="3008"/>
      <c r="J4" s="3008"/>
      <c r="K4" s="3008"/>
      <c r="L4" s="3008"/>
      <c r="M4" s="3008"/>
      <c r="N4" s="3008"/>
      <c r="O4" s="3008"/>
      <c r="P4" s="3008"/>
      <c r="Q4" s="3008"/>
      <c r="R4" s="3008"/>
      <c r="S4" s="879"/>
      <c r="T4" s="423"/>
      <c r="U4" s="879"/>
      <c r="V4" s="879"/>
      <c r="W4" s="879"/>
      <c r="X4" s="879"/>
      <c r="Y4" s="423"/>
      <c r="Z4" s="1916" t="s">
        <v>154</v>
      </c>
      <c r="AA4" s="881" t="s">
        <v>155</v>
      </c>
      <c r="AB4" s="1735"/>
      <c r="AC4" s="423"/>
      <c r="AD4" s="423"/>
      <c r="AE4" s="423"/>
      <c r="AF4" s="423"/>
      <c r="AG4" s="1916" t="s">
        <v>156</v>
      </c>
      <c r="AH4" s="425" t="s">
        <v>157</v>
      </c>
      <c r="AI4" s="3473">
        <v>0</v>
      </c>
      <c r="AJ4" s="3474"/>
      <c r="AK4" s="425" t="s">
        <v>158</v>
      </c>
      <c r="AL4" s="3473">
        <v>0.375</v>
      </c>
      <c r="AM4" s="3474"/>
      <c r="AN4" s="823" t="s">
        <v>159</v>
      </c>
      <c r="AO4" s="3473">
        <v>0.625</v>
      </c>
      <c r="AP4" s="3474"/>
      <c r="AQ4" s="823" t="s">
        <v>160</v>
      </c>
      <c r="AR4" s="3473"/>
      <c r="AS4" s="3474"/>
      <c r="AT4" s="423"/>
      <c r="AU4" s="423"/>
      <c r="AV4" s="445"/>
      <c r="AW4" s="445"/>
      <c r="AX4" s="445"/>
      <c r="AY4" s="445"/>
      <c r="AZ4" s="448"/>
      <c r="BA4" s="423"/>
      <c r="BB4" s="423"/>
      <c r="BC4" s="423"/>
      <c r="BD4" s="423"/>
      <c r="BE4" s="423"/>
      <c r="BF4" s="423"/>
      <c r="BG4" s="423"/>
      <c r="BH4" s="423"/>
      <c r="BI4" s="423"/>
      <c r="BJ4" s="423"/>
      <c r="BK4" s="423"/>
      <c r="BL4" s="423"/>
      <c r="BM4" s="423"/>
      <c r="BN4" s="423"/>
      <c r="BO4" s="423"/>
      <c r="BP4" s="423"/>
      <c r="BQ4" s="423"/>
      <c r="BR4" s="423"/>
      <c r="BS4" s="423"/>
      <c r="BT4" s="423"/>
      <c r="BU4" s="423"/>
      <c r="BV4" s="423"/>
      <c r="BW4" s="423"/>
      <c r="BX4" s="423"/>
      <c r="BY4" s="423"/>
      <c r="BZ4" s="449"/>
      <c r="CA4" s="423"/>
      <c r="CB4" s="423"/>
      <c r="CC4" s="423"/>
      <c r="CD4" s="423"/>
      <c r="CE4" s="423"/>
      <c r="CF4" s="423"/>
      <c r="CG4" s="423"/>
      <c r="CH4" s="423"/>
      <c r="CI4" s="423"/>
    </row>
    <row r="5" spans="1:87" ht="8.25" customHeight="1">
      <c r="A5" s="423"/>
      <c r="B5" s="423"/>
      <c r="C5" s="423"/>
      <c r="D5" s="423"/>
      <c r="E5" s="423"/>
      <c r="F5" s="423"/>
      <c r="G5" s="423"/>
      <c r="H5" s="432"/>
      <c r="I5" s="432"/>
      <c r="J5" s="432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1735"/>
      <c r="AC5" s="423"/>
      <c r="AD5" s="423"/>
      <c r="AE5" s="423"/>
      <c r="AF5" s="423"/>
      <c r="AG5" s="423"/>
      <c r="AH5" s="1916"/>
      <c r="AI5" s="450"/>
      <c r="AJ5" s="450"/>
      <c r="AK5" s="1916"/>
      <c r="AL5" s="442"/>
      <c r="AM5" s="442"/>
      <c r="AN5" s="443"/>
      <c r="AO5" s="517"/>
      <c r="AP5" s="517"/>
      <c r="AQ5" s="443"/>
      <c r="AR5" s="518"/>
      <c r="AS5" s="518"/>
      <c r="AT5" s="423"/>
      <c r="AU5" s="423"/>
      <c r="AV5" s="445"/>
      <c r="AW5" s="445"/>
      <c r="AX5" s="445"/>
      <c r="AY5" s="445"/>
      <c r="AZ5" s="448"/>
      <c r="BA5" s="423"/>
      <c r="BB5" s="423"/>
      <c r="BC5" s="423"/>
      <c r="BD5" s="423"/>
      <c r="BE5" s="423"/>
      <c r="BF5" s="423"/>
      <c r="BG5" s="423"/>
      <c r="BH5" s="423"/>
      <c r="BI5" s="449"/>
      <c r="BJ5" s="449"/>
      <c r="BK5" s="449"/>
      <c r="BL5" s="449"/>
      <c r="BM5" s="449"/>
      <c r="BN5" s="449"/>
      <c r="BO5" s="449"/>
      <c r="BP5" s="449"/>
      <c r="BQ5" s="449"/>
      <c r="BR5" s="449"/>
      <c r="BS5" s="449"/>
      <c r="BT5" s="449"/>
      <c r="BU5" s="449"/>
      <c r="BV5" s="449"/>
      <c r="BW5" s="449"/>
      <c r="BX5" s="449"/>
      <c r="BY5" s="449"/>
      <c r="BZ5" s="449"/>
      <c r="CA5" s="423"/>
      <c r="CB5" s="423"/>
      <c r="CC5" s="423"/>
      <c r="CD5" s="423"/>
      <c r="CE5" s="423"/>
      <c r="CF5" s="423"/>
      <c r="CG5" s="423"/>
      <c r="CH5" s="423"/>
      <c r="CI5" s="423"/>
    </row>
    <row r="6" spans="1:87" ht="17.25" customHeight="1">
      <c r="A6" s="423"/>
      <c r="B6" s="426" t="s">
        <v>161</v>
      </c>
      <c r="C6" s="426"/>
      <c r="D6" s="426"/>
      <c r="E6" s="433"/>
      <c r="F6" s="433"/>
      <c r="G6" s="433"/>
      <c r="H6" s="434"/>
      <c r="I6" s="529"/>
      <c r="J6" s="529"/>
      <c r="K6" s="433" t="s">
        <v>162</v>
      </c>
      <c r="L6" s="3469" t="s">
        <v>3110</v>
      </c>
      <c r="M6" s="3470"/>
      <c r="N6" s="440"/>
      <c r="O6" s="440"/>
      <c r="P6" s="433" t="s">
        <v>164</v>
      </c>
      <c r="Q6" s="3466">
        <v>44748</v>
      </c>
      <c r="R6" s="3467"/>
      <c r="S6" s="3467"/>
      <c r="T6" s="3468"/>
      <c r="U6" s="423"/>
      <c r="V6" s="423"/>
      <c r="W6" s="433" t="s">
        <v>20</v>
      </c>
      <c r="X6" s="3432" t="s">
        <v>165</v>
      </c>
      <c r="Y6" s="3433"/>
      <c r="Z6" s="423"/>
      <c r="AA6" s="440"/>
      <c r="AB6" s="433" t="s">
        <v>166</v>
      </c>
      <c r="AC6" s="344"/>
      <c r="AD6" s="3463" t="s">
        <v>167</v>
      </c>
      <c r="AE6" s="3464"/>
      <c r="AF6" s="3455"/>
      <c r="AG6" s="3456"/>
      <c r="AH6" s="871" t="str">
        <f>IF(AC6="","","L")</f>
        <v/>
      </c>
      <c r="AI6" s="432"/>
      <c r="AJ6" s="432"/>
      <c r="AK6" s="432"/>
      <c r="AL6" s="530" t="s">
        <v>168</v>
      </c>
      <c r="AM6" s="3434" t="s">
        <v>447</v>
      </c>
      <c r="AN6" s="3435"/>
      <c r="AO6" s="3436"/>
      <c r="AP6" s="444"/>
      <c r="AQ6" s="3476" t="str">
        <f>IF(AM6="summer","WBGT",IF(AM6="winter","Wind Chill",""))</f>
        <v>WBGT</v>
      </c>
      <c r="AR6" s="3477"/>
      <c r="AS6" s="3477"/>
      <c r="AT6" s="3478"/>
      <c r="AU6" s="446"/>
      <c r="AV6" s="882"/>
      <c r="AW6" s="423"/>
      <c r="AX6" s="423"/>
      <c r="AY6" s="423"/>
      <c r="AZ6" s="423"/>
      <c r="BA6" s="445"/>
      <c r="BB6" s="445"/>
      <c r="BC6" s="520" t="str">
        <f>IF(AQ6="WBGT","WBGT sensor underlying surface:","")</f>
        <v>WBGT sensor underlying surface:</v>
      </c>
      <c r="BD6" s="3414" t="s">
        <v>170</v>
      </c>
      <c r="BE6" s="3415"/>
      <c r="BF6" s="3415"/>
      <c r="BG6" s="3416"/>
      <c r="BH6" s="423"/>
      <c r="BI6" s="423"/>
      <c r="BJ6" s="423"/>
      <c r="BK6" s="423"/>
      <c r="BL6" s="423"/>
      <c r="BM6" s="423"/>
      <c r="BN6" s="423"/>
      <c r="BO6" s="423"/>
      <c r="BP6" s="423"/>
      <c r="BQ6" s="423"/>
      <c r="BR6" s="423"/>
      <c r="BS6" s="423"/>
      <c r="BT6" s="423"/>
      <c r="BU6" s="423"/>
      <c r="BV6" s="423"/>
      <c r="BW6" s="423"/>
      <c r="BX6" s="423"/>
      <c r="BY6" s="423"/>
      <c r="BZ6" s="438"/>
      <c r="CA6" s="423"/>
      <c r="CB6" s="423"/>
      <c r="CC6" s="423"/>
      <c r="CD6" s="423"/>
      <c r="CE6" s="423"/>
      <c r="CF6" s="423"/>
      <c r="CG6" s="423"/>
      <c r="CH6" s="423"/>
      <c r="CI6" s="423"/>
    </row>
    <row r="7" spans="1:87" ht="4.5" customHeight="1">
      <c r="A7" s="423"/>
      <c r="B7" s="426"/>
      <c r="C7" s="426"/>
      <c r="D7" s="426"/>
      <c r="E7" s="433"/>
      <c r="F7" s="433"/>
      <c r="G7" s="433"/>
      <c r="H7" s="434"/>
      <c r="I7" s="529"/>
      <c r="J7" s="529"/>
      <c r="K7" s="433"/>
      <c r="L7" s="1283"/>
      <c r="M7" s="1283"/>
      <c r="N7" s="1284"/>
      <c r="O7" s="1284"/>
      <c r="P7" s="1285"/>
      <c r="Q7" s="1286"/>
      <c r="R7" s="1286"/>
      <c r="S7" s="1286"/>
      <c r="T7" s="1286"/>
      <c r="U7" s="1287"/>
      <c r="V7" s="1287"/>
      <c r="W7" s="1285"/>
      <c r="X7" s="1288"/>
      <c r="Y7" s="1288"/>
      <c r="Z7" s="1287"/>
      <c r="AA7" s="1284"/>
      <c r="AB7" s="1285"/>
      <c r="AC7" s="1289"/>
      <c r="AD7" s="1290"/>
      <c r="AE7" s="1290"/>
      <c r="AF7" s="1291"/>
      <c r="AG7" s="1292"/>
      <c r="AH7" s="1293"/>
      <c r="AI7" s="1294"/>
      <c r="AJ7" s="1294"/>
      <c r="AK7" s="1294"/>
      <c r="AL7" s="1295"/>
      <c r="AM7" s="1283"/>
      <c r="AN7" s="1283"/>
      <c r="AO7" s="1283"/>
      <c r="AP7" s="1296"/>
      <c r="AQ7" s="1297"/>
      <c r="AR7" s="1297"/>
      <c r="AS7" s="1297"/>
      <c r="AT7" s="1297"/>
      <c r="AU7" s="1298"/>
      <c r="AV7" s="1299"/>
      <c r="AW7" s="1287"/>
      <c r="AX7" s="1287"/>
      <c r="AY7" s="1287"/>
      <c r="AZ7" s="1287"/>
      <c r="BA7" s="1300"/>
      <c r="BB7" s="1300"/>
      <c r="BC7" s="1301"/>
      <c r="BD7" s="1302"/>
      <c r="BE7" s="1302"/>
      <c r="BF7" s="1302"/>
      <c r="BG7" s="1302"/>
      <c r="BH7" s="1287"/>
      <c r="BI7" s="1287"/>
      <c r="BJ7" s="423"/>
      <c r="BK7" s="423"/>
      <c r="BL7" s="423"/>
      <c r="BM7" s="423"/>
      <c r="BN7" s="423"/>
      <c r="BO7" s="423"/>
      <c r="BP7" s="423"/>
      <c r="BQ7" s="423"/>
      <c r="BR7" s="423"/>
      <c r="BS7" s="423"/>
      <c r="BT7" s="423"/>
      <c r="BU7" s="423"/>
      <c r="BV7" s="423"/>
      <c r="BW7" s="423"/>
      <c r="BX7" s="423"/>
      <c r="BY7" s="423"/>
      <c r="BZ7" s="438"/>
      <c r="CA7" s="423"/>
      <c r="CB7" s="423"/>
      <c r="CC7" s="423"/>
      <c r="CD7" s="423"/>
      <c r="CE7" s="423"/>
      <c r="CF7" s="423"/>
      <c r="CG7" s="423"/>
      <c r="CH7" s="423"/>
      <c r="CI7" s="423"/>
    </row>
    <row r="8" spans="1:87" ht="17.25" customHeight="1">
      <c r="A8" s="423"/>
      <c r="B8" s="426"/>
      <c r="C8" s="426"/>
      <c r="D8" s="426"/>
      <c r="E8" s="433"/>
      <c r="F8" s="433"/>
      <c r="G8" s="433"/>
      <c r="H8" s="434"/>
      <c r="I8" s="529"/>
      <c r="J8" s="529"/>
      <c r="K8" s="433"/>
      <c r="L8" s="1283"/>
      <c r="M8" s="1283"/>
      <c r="N8" s="3481" t="str">
        <f ca="1">IF(OR(AND(AD68&lt;NOW(),AC6=""),AD68&gt;(NOW()+1)),"Warning: Date or MEF edition may be incorrect (update as necessary).","")</f>
        <v/>
      </c>
      <c r="O8" s="3481"/>
      <c r="P8" s="3481"/>
      <c r="Q8" s="3481"/>
      <c r="R8" s="3481"/>
      <c r="S8" s="3481"/>
      <c r="T8" s="3481"/>
      <c r="U8" s="3481"/>
      <c r="V8" s="3481"/>
      <c r="W8" s="3481"/>
      <c r="X8" s="3481"/>
      <c r="Y8" s="3481"/>
      <c r="Z8" s="3481"/>
      <c r="AA8" s="3481"/>
      <c r="AB8" s="3481"/>
      <c r="AC8" s="3481"/>
      <c r="AD8" s="3481"/>
      <c r="AE8" s="3481"/>
      <c r="AF8" s="3481"/>
      <c r="AG8" s="3481"/>
      <c r="AH8" s="3481"/>
      <c r="AI8" s="3481"/>
      <c r="AJ8" s="3481"/>
      <c r="AK8" s="3481"/>
      <c r="AL8" s="3481"/>
      <c r="AM8" s="1283"/>
      <c r="AN8" s="1283"/>
      <c r="AO8" s="1283"/>
      <c r="AP8" s="1296"/>
      <c r="AQ8" s="1297"/>
      <c r="AR8" s="1297"/>
      <c r="AS8" s="1297"/>
      <c r="AT8" s="1297"/>
      <c r="AU8" s="1298"/>
      <c r="AV8" s="1299"/>
      <c r="AW8" s="1287"/>
      <c r="AX8" s="1287"/>
      <c r="AY8" s="1287"/>
      <c r="AZ8" s="1287"/>
      <c r="BA8" s="1300"/>
      <c r="BB8" s="1300"/>
      <c r="BC8" s="1301"/>
      <c r="BD8" s="1302"/>
      <c r="BE8" s="1302"/>
      <c r="BF8" s="1302"/>
      <c r="BG8" s="1302"/>
      <c r="BH8" s="1287"/>
      <c r="BI8" s="1287"/>
      <c r="BJ8" s="423"/>
      <c r="BK8" s="423"/>
      <c r="BL8" s="423"/>
      <c r="BM8" s="423"/>
      <c r="BN8" s="423"/>
      <c r="BO8" s="423"/>
      <c r="BP8" s="423"/>
      <c r="BQ8" s="423"/>
      <c r="BR8" s="423"/>
      <c r="BS8" s="423"/>
      <c r="BT8" s="423"/>
      <c r="BU8" s="423"/>
      <c r="BV8" s="423"/>
      <c r="BW8" s="423"/>
      <c r="BX8" s="423"/>
      <c r="BY8" s="423"/>
      <c r="BZ8" s="438"/>
      <c r="CA8" s="423"/>
      <c r="CB8" s="423"/>
      <c r="CC8" s="423"/>
      <c r="CD8" s="423"/>
      <c r="CE8" s="423"/>
      <c r="CF8" s="423"/>
      <c r="CG8" s="423"/>
      <c r="CH8" s="423"/>
      <c r="CI8" s="423"/>
    </row>
    <row r="9" spans="1:87" ht="4.5" customHeight="1">
      <c r="A9" s="423"/>
      <c r="B9" s="423"/>
      <c r="C9" s="423"/>
      <c r="D9" s="423"/>
      <c r="E9" s="423"/>
      <c r="F9" s="423"/>
      <c r="G9" s="423"/>
      <c r="H9" s="432"/>
      <c r="I9" s="432"/>
      <c r="J9" s="432"/>
      <c r="K9" s="423"/>
      <c r="L9" s="423"/>
      <c r="M9" s="423"/>
      <c r="N9" s="3481"/>
      <c r="O9" s="3481"/>
      <c r="P9" s="3481"/>
      <c r="Q9" s="3481"/>
      <c r="R9" s="3481"/>
      <c r="S9" s="3481"/>
      <c r="T9" s="3481"/>
      <c r="U9" s="3481"/>
      <c r="V9" s="3481"/>
      <c r="W9" s="3481"/>
      <c r="X9" s="3481"/>
      <c r="Y9" s="3481"/>
      <c r="Z9" s="3481"/>
      <c r="AA9" s="3481"/>
      <c r="AB9" s="3481"/>
      <c r="AC9" s="3481"/>
      <c r="AD9" s="3481"/>
      <c r="AE9" s="3481"/>
      <c r="AF9" s="3481"/>
      <c r="AG9" s="3481"/>
      <c r="AH9" s="3481"/>
      <c r="AI9" s="3481"/>
      <c r="AJ9" s="3481"/>
      <c r="AK9" s="3481"/>
      <c r="AL9" s="3481"/>
      <c r="AM9" s="3422"/>
      <c r="AN9" s="3422"/>
      <c r="AO9" s="3427"/>
      <c r="AP9" s="3427"/>
      <c r="AQ9" s="3422"/>
      <c r="AR9" s="3422"/>
      <c r="AS9" s="3422"/>
      <c r="AT9" s="3422"/>
      <c r="AU9" s="3422"/>
      <c r="AV9" s="3422"/>
      <c r="AW9" s="3422"/>
      <c r="AX9" s="3422"/>
      <c r="AY9" s="437"/>
      <c r="AZ9" s="437"/>
      <c r="BA9" s="437"/>
      <c r="BB9" s="437"/>
      <c r="BC9" s="437"/>
      <c r="BD9" s="437"/>
      <c r="BE9" s="423"/>
      <c r="BF9" s="423"/>
      <c r="BG9" s="423"/>
      <c r="BH9" s="423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23"/>
      <c r="CB9" s="423"/>
      <c r="CC9" s="423"/>
      <c r="CD9" s="423"/>
      <c r="CE9" s="423"/>
      <c r="CF9" s="423"/>
      <c r="CG9" s="423"/>
      <c r="CH9" s="423"/>
      <c r="CI9" s="423"/>
    </row>
    <row r="10" spans="1:87" ht="17.25" customHeight="1" thickBot="1">
      <c r="A10" s="485"/>
      <c r="B10" s="485"/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531"/>
      <c r="V10" s="532"/>
      <c r="W10" s="485"/>
      <c r="X10" s="485"/>
      <c r="Y10" s="485"/>
      <c r="Z10" s="485"/>
      <c r="AA10" s="485"/>
      <c r="AB10" s="1736"/>
      <c r="AC10" s="533"/>
      <c r="AD10" s="532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  <c r="BC10" s="485"/>
      <c r="BD10" s="485"/>
      <c r="BE10" s="485"/>
      <c r="BF10" s="485"/>
      <c r="BG10" s="485"/>
      <c r="BH10" s="485"/>
      <c r="BI10" s="485"/>
      <c r="BJ10" s="485"/>
      <c r="BK10" s="485"/>
      <c r="BL10" s="485"/>
      <c r="BM10" s="485"/>
      <c r="BN10" s="485"/>
      <c r="BO10" s="485"/>
      <c r="BP10" s="485"/>
      <c r="BQ10" s="485"/>
      <c r="BR10" s="485"/>
      <c r="BS10" s="485"/>
      <c r="BT10" s="485"/>
      <c r="BU10" s="485"/>
      <c r="BV10" s="485"/>
      <c r="BW10" s="485"/>
      <c r="BX10" s="485"/>
      <c r="BY10" s="485"/>
      <c r="BZ10" s="485"/>
      <c r="CA10" s="485"/>
      <c r="CB10" s="485"/>
      <c r="CC10" s="485"/>
      <c r="CD10" s="485"/>
      <c r="CE10" s="485"/>
      <c r="CF10" s="485"/>
      <c r="CG10" s="485"/>
      <c r="CH10" s="485"/>
      <c r="CI10" s="485"/>
    </row>
    <row r="11" spans="1:87" ht="15" customHeight="1">
      <c r="A11" s="485"/>
      <c r="B11" s="534" t="s">
        <v>171</v>
      </c>
      <c r="C11" s="485"/>
      <c r="D11" s="485"/>
      <c r="E11" s="485" t="s">
        <v>172</v>
      </c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1736"/>
      <c r="AC11" s="413" t="s">
        <v>173</v>
      </c>
      <c r="AD11" s="414"/>
      <c r="AE11" s="414"/>
      <c r="AF11" s="414"/>
      <c r="AG11" s="414"/>
      <c r="AH11" s="414"/>
      <c r="AI11" s="414"/>
      <c r="AJ11" s="414"/>
      <c r="AK11" s="414"/>
      <c r="AL11" s="414"/>
      <c r="AM11" s="414"/>
      <c r="AN11" s="414"/>
      <c r="AO11" s="414"/>
      <c r="AP11" s="414"/>
      <c r="AQ11" s="414"/>
      <c r="AR11" s="414"/>
      <c r="AS11" s="414"/>
      <c r="AT11" s="414"/>
      <c r="AU11" s="414"/>
      <c r="AV11" s="414"/>
      <c r="AW11" s="414"/>
      <c r="AX11" s="414"/>
      <c r="AY11" s="414"/>
      <c r="AZ11" s="414"/>
      <c r="BA11" s="414"/>
      <c r="BB11" s="414"/>
      <c r="BC11" s="414"/>
      <c r="BD11" s="414"/>
      <c r="BE11" s="414"/>
      <c r="BF11" s="414"/>
      <c r="BG11" s="414"/>
      <c r="BH11" s="414"/>
      <c r="BI11" s="1859"/>
      <c r="BJ11" s="1859"/>
      <c r="BK11" s="1859"/>
      <c r="BL11" s="1859"/>
      <c r="BM11" s="1859"/>
      <c r="BN11" s="1859"/>
      <c r="BO11" s="1859"/>
      <c r="BP11" s="1859"/>
      <c r="BQ11" s="1859"/>
      <c r="BR11" s="1859"/>
      <c r="BS11" s="1859"/>
      <c r="BT11" s="1860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</row>
    <row r="12" spans="1:87" ht="15" customHeight="1">
      <c r="A12" s="485"/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536"/>
      <c r="W12" s="485"/>
      <c r="X12" s="485"/>
      <c r="Y12" s="485"/>
      <c r="Z12" s="485"/>
      <c r="AA12" s="485"/>
      <c r="AB12" s="1736"/>
      <c r="AC12" s="416"/>
      <c r="AD12" s="1851" t="s">
        <v>3111</v>
      </c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1861"/>
      <c r="BJ12" s="1861"/>
      <c r="BK12" s="1861"/>
      <c r="BL12" s="1861"/>
      <c r="BM12" s="1861"/>
      <c r="BN12" s="1861"/>
      <c r="BO12" s="1861"/>
      <c r="BP12" s="1861"/>
      <c r="BQ12" s="1861"/>
      <c r="BR12" s="1861"/>
      <c r="BS12" s="1861"/>
      <c r="BT12" s="1862"/>
      <c r="BU12" s="485"/>
      <c r="BV12" s="485"/>
      <c r="BW12" s="485"/>
      <c r="BX12" s="485"/>
      <c r="BY12" s="485"/>
      <c r="BZ12" s="485"/>
      <c r="CA12" s="485"/>
      <c r="CB12" s="485"/>
      <c r="CC12" s="485"/>
      <c r="CD12" s="485"/>
      <c r="CE12" s="485"/>
      <c r="CF12" s="485"/>
      <c r="CG12" s="485"/>
      <c r="CH12" s="485"/>
      <c r="CI12" s="485"/>
    </row>
    <row r="13" spans="1:87" ht="15" customHeight="1">
      <c r="A13" s="485"/>
      <c r="B13" s="485"/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1736"/>
      <c r="AC13" s="416"/>
      <c r="AD13" s="1037" t="s">
        <v>3112</v>
      </c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1861"/>
      <c r="BJ13" s="1861"/>
      <c r="BK13" s="1861"/>
      <c r="BL13" s="1861"/>
      <c r="BM13" s="1861"/>
      <c r="BN13" s="1861"/>
      <c r="BO13" s="1861"/>
      <c r="BP13" s="1861"/>
      <c r="BQ13" s="1861"/>
      <c r="BR13" s="1861"/>
      <c r="BS13" s="1861"/>
      <c r="BT13" s="1862"/>
      <c r="BU13" s="485"/>
      <c r="BV13" s="485"/>
      <c r="BW13" s="485"/>
      <c r="BX13" s="485"/>
      <c r="BY13" s="485"/>
      <c r="BZ13" s="485"/>
      <c r="CA13" s="485"/>
      <c r="CB13" s="485"/>
      <c r="CC13" s="485"/>
      <c r="CD13" s="485"/>
      <c r="CE13" s="485"/>
      <c r="CF13" s="485"/>
      <c r="CG13" s="485"/>
      <c r="CH13" s="485"/>
      <c r="CI13" s="485"/>
    </row>
    <row r="14" spans="1:87" ht="15" customHeight="1">
      <c r="A14" s="485"/>
      <c r="B14" s="485"/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534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1736"/>
      <c r="AC14" s="416"/>
      <c r="AD14" s="1037" t="s">
        <v>3113</v>
      </c>
      <c r="AE14" s="420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0"/>
      <c r="AR14" s="420"/>
      <c r="AS14" s="420"/>
      <c r="AT14" s="420"/>
      <c r="AU14" s="420"/>
      <c r="AV14" s="420"/>
      <c r="AW14" s="420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1861"/>
      <c r="BJ14" s="1861"/>
      <c r="BK14" s="1861"/>
      <c r="BL14" s="1861"/>
      <c r="BM14" s="1861"/>
      <c r="BN14" s="1863"/>
      <c r="BO14" s="1863"/>
      <c r="BP14" s="1863"/>
      <c r="BQ14" s="1863"/>
      <c r="BR14" s="1863"/>
      <c r="BS14" s="1863"/>
      <c r="BT14" s="1864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5"/>
    </row>
    <row r="15" spans="1:87" ht="15" customHeight="1">
      <c r="A15" s="485"/>
      <c r="B15" s="534" t="s">
        <v>174</v>
      </c>
      <c r="C15" s="485"/>
      <c r="D15" s="485"/>
      <c r="E15" s="485" t="s">
        <v>175</v>
      </c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534"/>
      <c r="R15" s="485"/>
      <c r="S15" s="485"/>
      <c r="T15" s="485"/>
      <c r="U15" s="485"/>
      <c r="V15" s="485"/>
      <c r="W15" s="485"/>
      <c r="X15" s="485"/>
      <c r="Y15" s="485"/>
      <c r="Z15" s="485"/>
      <c r="AA15" s="485"/>
      <c r="AB15" s="1736"/>
      <c r="AC15" s="416"/>
      <c r="AD15" s="1037" t="s">
        <v>3114</v>
      </c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1861"/>
      <c r="BJ15" s="1861"/>
      <c r="BK15" s="1861"/>
      <c r="BL15" s="1861"/>
      <c r="BM15" s="1861"/>
      <c r="BN15" s="1863"/>
      <c r="BO15" s="1863"/>
      <c r="BP15" s="1863"/>
      <c r="BQ15" s="1863"/>
      <c r="BR15" s="1863"/>
      <c r="BS15" s="1863"/>
      <c r="BT15" s="1864"/>
      <c r="BU15" s="537"/>
      <c r="BV15" s="537"/>
      <c r="BW15" s="537"/>
      <c r="BX15" s="537"/>
      <c r="BY15" s="537"/>
      <c r="BZ15" s="537"/>
      <c r="CA15" s="537"/>
      <c r="CB15" s="537"/>
      <c r="CC15" s="537"/>
      <c r="CD15" s="537"/>
      <c r="CE15" s="537"/>
      <c r="CF15" s="537"/>
      <c r="CG15" s="537"/>
      <c r="CH15" s="537"/>
      <c r="CI15" s="535"/>
    </row>
    <row r="16" spans="1:87" ht="15" customHeight="1">
      <c r="A16" s="485"/>
      <c r="B16" s="485"/>
      <c r="C16" s="485"/>
      <c r="D16" s="485"/>
      <c r="E16" s="538" t="s">
        <v>176</v>
      </c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534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1736"/>
      <c r="AC16" s="416"/>
      <c r="AD16" s="1037" t="s">
        <v>3115</v>
      </c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1861"/>
      <c r="BJ16" s="1861"/>
      <c r="BK16" s="1861"/>
      <c r="BL16" s="1861"/>
      <c r="BM16" s="1861"/>
      <c r="BN16" s="1863"/>
      <c r="BO16" s="1863"/>
      <c r="BP16" s="1863"/>
      <c r="BQ16" s="1863"/>
      <c r="BR16" s="1863"/>
      <c r="BS16" s="1863"/>
      <c r="BT16" s="1864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  <c r="CE16" s="537"/>
      <c r="CF16" s="537"/>
      <c r="CG16" s="537"/>
      <c r="CH16" s="537"/>
      <c r="CI16" s="535"/>
    </row>
    <row r="17" spans="1:87" ht="15" customHeight="1">
      <c r="A17" s="485"/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534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1736"/>
      <c r="AC17" s="416"/>
      <c r="AD17" s="1037" t="s">
        <v>3116</v>
      </c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1861"/>
      <c r="BJ17" s="1861"/>
      <c r="BK17" s="1861"/>
      <c r="BL17" s="1861"/>
      <c r="BM17" s="1861"/>
      <c r="BN17" s="1863"/>
      <c r="BO17" s="1863"/>
      <c r="BP17" s="1863"/>
      <c r="BQ17" s="1863"/>
      <c r="BR17" s="1863"/>
      <c r="BS17" s="1863"/>
      <c r="BT17" s="1864"/>
      <c r="BU17" s="537"/>
      <c r="BV17" s="537"/>
      <c r="BW17" s="537"/>
      <c r="BX17" s="537"/>
      <c r="BY17" s="537"/>
      <c r="BZ17" s="537"/>
      <c r="CA17" s="537"/>
      <c r="CB17" s="537"/>
      <c r="CC17" s="537"/>
      <c r="CD17" s="537"/>
      <c r="CE17" s="537"/>
      <c r="CF17" s="537"/>
      <c r="CG17" s="537"/>
      <c r="CH17" s="537"/>
      <c r="CI17" s="535"/>
    </row>
    <row r="18" spans="1:87" ht="15" customHeight="1">
      <c r="A18" s="485"/>
      <c r="B18" s="485"/>
      <c r="C18" s="485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540"/>
      <c r="X18" s="485"/>
      <c r="Y18" s="485"/>
      <c r="Z18" s="485"/>
      <c r="AA18" s="485"/>
      <c r="AB18" s="1736"/>
      <c r="AC18" s="416"/>
      <c r="AD18" s="1037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1861"/>
      <c r="BJ18" s="1861"/>
      <c r="BK18" s="1861"/>
      <c r="BL18" s="1861"/>
      <c r="BM18" s="1861"/>
      <c r="BN18" s="1863"/>
      <c r="BO18" s="1863"/>
      <c r="BP18" s="1863"/>
      <c r="BQ18" s="1863"/>
      <c r="BR18" s="1863"/>
      <c r="BS18" s="1863"/>
      <c r="BT18" s="1864"/>
      <c r="BU18" s="537"/>
      <c r="BV18" s="537"/>
      <c r="BW18" s="537"/>
      <c r="BX18" s="537"/>
      <c r="BY18" s="537"/>
      <c r="BZ18" s="537"/>
      <c r="CA18" s="537"/>
      <c r="CB18" s="537"/>
      <c r="CC18" s="537"/>
      <c r="CD18" s="537"/>
      <c r="CE18" s="537"/>
      <c r="CF18" s="537"/>
      <c r="CG18" s="537"/>
      <c r="CH18" s="537"/>
      <c r="CI18" s="535"/>
    </row>
    <row r="19" spans="1:87" ht="15" customHeight="1">
      <c r="A19" s="485"/>
      <c r="B19" s="534" t="s">
        <v>177</v>
      </c>
      <c r="C19" s="485"/>
      <c r="D19" s="485"/>
      <c r="E19" s="532" t="s">
        <v>178</v>
      </c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534"/>
      <c r="R19" s="485"/>
      <c r="S19" s="485"/>
      <c r="T19" s="485"/>
      <c r="U19" s="485"/>
      <c r="V19" s="485"/>
      <c r="W19" s="485"/>
      <c r="X19" s="485"/>
      <c r="Y19" s="485"/>
      <c r="Z19" s="485"/>
      <c r="AA19" s="485"/>
      <c r="AB19" s="1736"/>
      <c r="AC19" s="416"/>
      <c r="AD19" s="832"/>
      <c r="AE19" s="420"/>
      <c r="AF19" s="420"/>
      <c r="AG19" s="422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1861"/>
      <c r="BJ19" s="1861"/>
      <c r="BK19" s="1861"/>
      <c r="BL19" s="1861"/>
      <c r="BM19" s="1861"/>
      <c r="BN19" s="1863"/>
      <c r="BO19" s="1863"/>
      <c r="BP19" s="1863"/>
      <c r="BQ19" s="1863"/>
      <c r="BR19" s="1863"/>
      <c r="BS19" s="1863"/>
      <c r="BT19" s="1864"/>
      <c r="BU19" s="537"/>
      <c r="BV19" s="537"/>
      <c r="BW19" s="537"/>
      <c r="BX19" s="537"/>
      <c r="BY19" s="537"/>
      <c r="BZ19" s="537"/>
      <c r="CA19" s="537"/>
      <c r="CB19" s="537"/>
      <c r="CC19" s="537"/>
      <c r="CD19" s="537"/>
      <c r="CE19" s="537"/>
      <c r="CF19" s="537"/>
      <c r="CG19" s="537"/>
      <c r="CH19" s="537"/>
      <c r="CI19" s="535"/>
    </row>
    <row r="20" spans="1:87" ht="15" customHeight="1">
      <c r="A20" s="485"/>
      <c r="B20" s="485"/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534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1736"/>
      <c r="AC20" s="416"/>
      <c r="AD20" s="832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1861"/>
      <c r="BJ20" s="1861"/>
      <c r="BK20" s="1861"/>
      <c r="BL20" s="1861"/>
      <c r="BM20" s="1861"/>
      <c r="BN20" s="1863"/>
      <c r="BO20" s="1863"/>
      <c r="BP20" s="1863"/>
      <c r="BQ20" s="1863"/>
      <c r="BR20" s="1863"/>
      <c r="BS20" s="1863"/>
      <c r="BT20" s="1864"/>
      <c r="BU20" s="537"/>
      <c r="BV20" s="537"/>
      <c r="BW20" s="537"/>
      <c r="BX20" s="537"/>
      <c r="BY20" s="537"/>
      <c r="BZ20" s="537"/>
      <c r="CA20" s="537"/>
      <c r="CB20" s="537"/>
      <c r="CC20" s="537"/>
      <c r="CD20" s="537"/>
      <c r="CE20" s="537"/>
      <c r="CF20" s="537"/>
      <c r="CG20" s="537"/>
      <c r="CH20" s="537"/>
      <c r="CI20" s="535"/>
    </row>
    <row r="21" spans="1:87" ht="15" customHeight="1">
      <c r="A21" s="485"/>
      <c r="B21" s="485"/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534"/>
      <c r="R21" s="485"/>
      <c r="S21" s="485"/>
      <c r="T21" s="485"/>
      <c r="U21" s="485"/>
      <c r="V21" s="485"/>
      <c r="W21" s="485"/>
      <c r="X21" s="485"/>
      <c r="Y21" s="485"/>
      <c r="Z21" s="485"/>
      <c r="AA21" s="485"/>
      <c r="AB21" s="1736"/>
      <c r="AC21" s="416"/>
      <c r="AD21" s="832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1861"/>
      <c r="BJ21" s="1861"/>
      <c r="BK21" s="1861"/>
      <c r="BL21" s="1861"/>
      <c r="BM21" s="1861"/>
      <c r="BN21" s="1863"/>
      <c r="BO21" s="1863"/>
      <c r="BP21" s="1863"/>
      <c r="BQ21" s="1863"/>
      <c r="BR21" s="1863"/>
      <c r="BS21" s="1863"/>
      <c r="BT21" s="1864"/>
      <c r="BU21" s="537"/>
      <c r="BV21" s="537"/>
      <c r="BW21" s="537"/>
      <c r="BX21" s="537"/>
      <c r="BY21" s="537"/>
      <c r="BZ21" s="537"/>
      <c r="CA21" s="537"/>
      <c r="CB21" s="537"/>
      <c r="CC21" s="537"/>
      <c r="CD21" s="537"/>
      <c r="CE21" s="537"/>
      <c r="CF21" s="537"/>
      <c r="CG21" s="537"/>
      <c r="CH21" s="537"/>
      <c r="CI21" s="535"/>
    </row>
    <row r="22" spans="1:87" ht="15" customHeight="1">
      <c r="A22" s="485"/>
      <c r="B22" s="485"/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532"/>
      <c r="T22" s="532"/>
      <c r="U22" s="485"/>
      <c r="V22" s="485"/>
      <c r="W22" s="485"/>
      <c r="X22" s="485"/>
      <c r="Y22" s="485"/>
      <c r="Z22" s="485"/>
      <c r="AA22" s="485"/>
      <c r="AB22" s="1736"/>
      <c r="AC22" s="416"/>
      <c r="AD22" s="832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1861"/>
      <c r="BJ22" s="1861"/>
      <c r="BK22" s="1861"/>
      <c r="BL22" s="1861"/>
      <c r="BM22" s="1861"/>
      <c r="BN22" s="1863"/>
      <c r="BO22" s="1863"/>
      <c r="BP22" s="1863"/>
      <c r="BQ22" s="1863"/>
      <c r="BR22" s="1863"/>
      <c r="BS22" s="1863"/>
      <c r="BT22" s="1864"/>
      <c r="BU22" s="537"/>
      <c r="BV22" s="537"/>
      <c r="BW22" s="537"/>
      <c r="BX22" s="537"/>
      <c r="BY22" s="537"/>
      <c r="BZ22" s="537"/>
      <c r="CA22" s="537"/>
      <c r="CB22" s="537"/>
      <c r="CC22" s="537"/>
      <c r="CD22" s="537"/>
      <c r="CE22" s="537"/>
      <c r="CF22" s="537"/>
      <c r="CG22" s="537"/>
      <c r="CH22" s="537"/>
      <c r="CI22" s="535"/>
    </row>
    <row r="23" spans="1:87" ht="15" customHeight="1">
      <c r="A23" s="485"/>
      <c r="B23" s="534" t="s">
        <v>179</v>
      </c>
      <c r="C23" s="485"/>
      <c r="D23" s="485"/>
      <c r="E23" s="485" t="s">
        <v>180</v>
      </c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534"/>
      <c r="R23" s="532"/>
      <c r="S23" s="532"/>
      <c r="T23" s="532"/>
      <c r="U23" s="485"/>
      <c r="V23" s="485"/>
      <c r="W23" s="485"/>
      <c r="X23" s="485"/>
      <c r="Y23" s="485"/>
      <c r="Z23" s="485"/>
      <c r="AA23" s="485"/>
      <c r="AB23" s="1736"/>
      <c r="AC23" s="416"/>
      <c r="AD23" s="832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1861"/>
      <c r="BJ23" s="1861"/>
      <c r="BK23" s="1861"/>
      <c r="BL23" s="1861"/>
      <c r="BM23" s="1861"/>
      <c r="BN23" s="1863"/>
      <c r="BO23" s="1863"/>
      <c r="BP23" s="1863"/>
      <c r="BQ23" s="1863"/>
      <c r="BR23" s="1863"/>
      <c r="BS23" s="1863"/>
      <c r="BT23" s="1864"/>
      <c r="BU23" s="537"/>
      <c r="BV23" s="537"/>
      <c r="BW23" s="537"/>
      <c r="BX23" s="537"/>
      <c r="BY23" s="537"/>
      <c r="BZ23" s="537"/>
      <c r="CA23" s="537"/>
      <c r="CB23" s="537"/>
      <c r="CC23" s="537"/>
      <c r="CD23" s="537"/>
      <c r="CE23" s="537"/>
      <c r="CF23" s="537"/>
      <c r="CG23" s="537"/>
      <c r="CH23" s="537"/>
      <c r="CI23" s="535"/>
    </row>
    <row r="24" spans="1:87" ht="15" customHeight="1" thickBot="1">
      <c r="A24" s="485"/>
      <c r="B24" s="485"/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534"/>
      <c r="R24" s="485"/>
      <c r="S24" s="485"/>
      <c r="T24" s="485"/>
      <c r="U24" s="485"/>
      <c r="V24" s="1803">
        <f ca="1">CELL("protect",AD12)</f>
        <v>0</v>
      </c>
      <c r="W24" s="485"/>
      <c r="X24" s="485"/>
      <c r="Y24" s="485"/>
      <c r="Z24" s="485"/>
      <c r="AA24" s="485"/>
      <c r="AB24" s="1736"/>
      <c r="AC24" s="417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1865"/>
      <c r="BJ24" s="1865"/>
      <c r="BK24" s="1865"/>
      <c r="BL24" s="1865"/>
      <c r="BM24" s="1865"/>
      <c r="BN24" s="1865"/>
      <c r="BO24" s="1865"/>
      <c r="BP24" s="1865"/>
      <c r="BQ24" s="1865"/>
      <c r="BR24" s="1865"/>
      <c r="BS24" s="1865"/>
      <c r="BT24" s="1866"/>
      <c r="BU24" s="535"/>
      <c r="BV24" s="535"/>
      <c r="BW24" s="535"/>
      <c r="BX24" s="535"/>
      <c r="BY24" s="535"/>
      <c r="BZ24" s="535"/>
      <c r="CA24" s="535"/>
      <c r="CB24" s="535"/>
      <c r="CC24" s="535"/>
      <c r="CD24" s="535"/>
      <c r="CE24" s="535"/>
      <c r="CF24" s="535"/>
      <c r="CG24" s="535"/>
      <c r="CH24" s="535"/>
      <c r="CI24" s="535"/>
    </row>
    <row r="25" spans="1:87" ht="13">
      <c r="A25" s="485"/>
      <c r="B25" s="485"/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534"/>
      <c r="R25" s="485"/>
      <c r="S25" s="485"/>
      <c r="T25" s="485"/>
      <c r="U25" s="485"/>
      <c r="V25" s="3482" t="str">
        <f ca="1">IF(V24=0,"","WARNING!!   . . .   You did NOT paste as text!       UNDO (CNTRL-Z) and paste (special) as 'text'.")</f>
        <v/>
      </c>
      <c r="W25" s="3482"/>
      <c r="X25" s="3482"/>
      <c r="Y25" s="3482"/>
      <c r="Z25" s="3482"/>
      <c r="AA25" s="3482"/>
      <c r="AB25" s="3482"/>
      <c r="AC25" s="3482"/>
      <c r="AD25" s="3482"/>
      <c r="AE25" s="3482"/>
      <c r="AF25" s="3482"/>
      <c r="AG25" s="3482"/>
      <c r="AH25" s="3482"/>
      <c r="AI25" s="3482"/>
      <c r="AJ25" s="3482"/>
      <c r="AK25" s="3482"/>
      <c r="AL25" s="3482"/>
      <c r="AM25" s="3482"/>
      <c r="AN25" s="3482"/>
      <c r="AO25" s="3482"/>
      <c r="AP25" s="3482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535"/>
      <c r="BN25" s="535"/>
      <c r="BO25" s="535"/>
      <c r="BP25" s="535"/>
      <c r="BQ25" s="535"/>
      <c r="BR25" s="535"/>
      <c r="BS25" s="535"/>
      <c r="BT25" s="535"/>
      <c r="BU25" s="535"/>
      <c r="BV25" s="535"/>
      <c r="BW25" s="535"/>
      <c r="BX25" s="535"/>
      <c r="BY25" s="535"/>
      <c r="BZ25" s="535"/>
      <c r="CA25" s="535"/>
      <c r="CB25" s="535"/>
      <c r="CC25" s="535"/>
      <c r="CD25" s="535"/>
      <c r="CE25" s="535"/>
      <c r="CF25" s="535"/>
      <c r="CG25" s="535"/>
      <c r="CH25" s="535"/>
      <c r="CI25" s="535"/>
    </row>
    <row r="26" spans="1:87" ht="15" customHeight="1">
      <c r="A26" s="485"/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534"/>
      <c r="R26" s="485"/>
      <c r="S26" s="485"/>
      <c r="T26" s="485"/>
      <c r="U26" s="485"/>
      <c r="V26" s="3482"/>
      <c r="W26" s="3482"/>
      <c r="X26" s="3482"/>
      <c r="Y26" s="3482"/>
      <c r="Z26" s="3482"/>
      <c r="AA26" s="3482"/>
      <c r="AB26" s="3482"/>
      <c r="AC26" s="3482"/>
      <c r="AD26" s="3482"/>
      <c r="AE26" s="3482"/>
      <c r="AF26" s="3482"/>
      <c r="AG26" s="3482"/>
      <c r="AH26" s="3482"/>
      <c r="AI26" s="3482"/>
      <c r="AJ26" s="3482"/>
      <c r="AK26" s="3482"/>
      <c r="AL26" s="3482"/>
      <c r="AM26" s="3482"/>
      <c r="AN26" s="3482"/>
      <c r="AO26" s="3482"/>
      <c r="AP26" s="3482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5"/>
      <c r="CB26" s="485"/>
      <c r="CC26" s="485"/>
      <c r="CD26" s="485"/>
      <c r="CE26" s="485"/>
      <c r="CF26" s="485"/>
      <c r="CG26" s="485"/>
      <c r="CH26" s="485"/>
      <c r="CI26" s="485"/>
    </row>
    <row r="27" spans="1:87" ht="13.5" thickBot="1">
      <c r="A27" s="485"/>
      <c r="B27" s="534" t="s">
        <v>181</v>
      </c>
      <c r="C27" s="485"/>
      <c r="D27" s="485"/>
      <c r="E27" s="485" t="s">
        <v>182</v>
      </c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1736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5"/>
      <c r="CF27" s="485"/>
      <c r="CG27" s="485"/>
      <c r="CH27" s="485"/>
      <c r="CI27" s="485"/>
    </row>
    <row r="28" spans="1:87" ht="12.75" customHeight="1">
      <c r="A28" s="485"/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534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1736"/>
      <c r="AC28" s="3423" t="s">
        <v>80</v>
      </c>
      <c r="AD28" s="3424"/>
      <c r="AE28" s="3424"/>
      <c r="AF28" s="3424"/>
      <c r="AG28" s="3424"/>
      <c r="AH28" s="3424"/>
      <c r="AI28" s="414"/>
      <c r="AJ28" s="414"/>
      <c r="AK28" s="414"/>
      <c r="AL28" s="414"/>
      <c r="AM28" s="414"/>
      <c r="AN28" s="414"/>
      <c r="AO28" s="414"/>
      <c r="AP28" s="414"/>
      <c r="AQ28" s="415"/>
      <c r="AR28" s="485"/>
      <c r="AS28" s="485"/>
      <c r="AT28" s="3423" t="s">
        <v>23</v>
      </c>
      <c r="AU28" s="3424"/>
      <c r="AV28" s="3424"/>
      <c r="AW28" s="342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5"/>
      <c r="CB28" s="485"/>
      <c r="CC28" s="485"/>
      <c r="CD28" s="485"/>
      <c r="CE28" s="485"/>
      <c r="CF28" s="485"/>
      <c r="CG28" s="485"/>
      <c r="CH28" s="485"/>
      <c r="CI28" s="485"/>
    </row>
    <row r="29" spans="1:87" ht="12.75" customHeight="1">
      <c r="A29" s="485"/>
      <c r="B29" s="485"/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534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1736"/>
      <c r="AC29" s="3425"/>
      <c r="AD29" s="3426"/>
      <c r="AE29" s="3426"/>
      <c r="AF29" s="3426"/>
      <c r="AG29" s="3426"/>
      <c r="AH29" s="3426"/>
      <c r="AI29" s="420"/>
      <c r="AJ29" s="420"/>
      <c r="AK29" s="420"/>
      <c r="AL29" s="420"/>
      <c r="AM29" s="420"/>
      <c r="AN29" s="420"/>
      <c r="AO29" s="420"/>
      <c r="AP29" s="420"/>
      <c r="AQ29" s="421"/>
      <c r="AR29" s="485"/>
      <c r="AS29" s="485"/>
      <c r="AT29" s="3425"/>
      <c r="AU29" s="3426"/>
      <c r="AV29" s="3426"/>
      <c r="AW29" s="3426"/>
      <c r="AX29" s="420"/>
      <c r="AY29" s="420"/>
      <c r="AZ29" s="1918"/>
      <c r="BA29" s="1918"/>
      <c r="BB29" s="541"/>
      <c r="BC29" s="541"/>
      <c r="BD29" s="541"/>
      <c r="BE29" s="541"/>
      <c r="BF29" s="541"/>
      <c r="BG29" s="541"/>
      <c r="BH29" s="541"/>
      <c r="BI29" s="541"/>
      <c r="BJ29" s="541"/>
      <c r="BK29" s="542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  <c r="BX29" s="485"/>
      <c r="BY29" s="485"/>
      <c r="BZ29" s="485"/>
      <c r="CA29" s="485"/>
      <c r="CB29" s="485"/>
      <c r="CC29" s="485"/>
      <c r="CD29" s="485"/>
      <c r="CE29" s="485"/>
      <c r="CF29" s="485"/>
      <c r="CG29" s="485"/>
      <c r="CH29" s="485"/>
      <c r="CI29" s="485"/>
    </row>
    <row r="30" spans="1:87" ht="13.5" thickBot="1">
      <c r="A30" s="485"/>
      <c r="B30" s="485"/>
      <c r="C30" s="485"/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534"/>
      <c r="R30" s="485"/>
      <c r="S30" s="485"/>
      <c r="T30" s="485"/>
      <c r="U30" s="485"/>
      <c r="V30" s="485"/>
      <c r="W30" s="485"/>
      <c r="X30" s="485"/>
      <c r="Y30" s="485"/>
      <c r="Z30" s="485"/>
      <c r="AA30" s="485"/>
      <c r="AB30" s="1736"/>
      <c r="AC30" s="543" t="s">
        <v>183</v>
      </c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1"/>
      <c r="AR30" s="485"/>
      <c r="AS30" s="485"/>
      <c r="AT30" s="544"/>
      <c r="AU30" s="545" t="s">
        <v>184</v>
      </c>
      <c r="AV30" s="546"/>
      <c r="AW30" s="420"/>
      <c r="AX30" s="420"/>
      <c r="AY30" s="420"/>
      <c r="AZ30" s="1918"/>
      <c r="BA30" s="1918"/>
      <c r="BB30" s="541"/>
      <c r="BC30" s="541"/>
      <c r="BD30" s="541"/>
      <c r="BE30" s="541"/>
      <c r="BF30" s="541"/>
      <c r="BG30" s="541"/>
      <c r="BH30" s="541"/>
      <c r="BI30" s="541"/>
      <c r="BJ30" s="541"/>
      <c r="BK30" s="542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</row>
    <row r="31" spans="1:87" ht="15" customHeight="1" thickBot="1">
      <c r="A31" s="485"/>
      <c r="B31" s="534" t="s">
        <v>185</v>
      </c>
      <c r="C31" s="485"/>
      <c r="D31" s="485"/>
      <c r="E31" s="485" t="s">
        <v>186</v>
      </c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5"/>
      <c r="V31" s="485"/>
      <c r="W31" s="485"/>
      <c r="X31" s="485"/>
      <c r="Y31" s="485"/>
      <c r="Z31" s="485"/>
      <c r="AA31" s="485"/>
      <c r="AB31" s="1736"/>
      <c r="AC31" s="3479" t="s">
        <v>187</v>
      </c>
      <c r="AD31" s="3517"/>
      <c r="AE31" s="1917"/>
      <c r="AF31" s="547"/>
      <c r="AG31" s="1917"/>
      <c r="AH31" s="548"/>
      <c r="AI31" s="3431" t="s">
        <v>188</v>
      </c>
      <c r="AJ31" s="3431"/>
      <c r="AK31" s="3431"/>
      <c r="AL31" s="3428" t="s">
        <v>189</v>
      </c>
      <c r="AM31" s="3429"/>
      <c r="AN31" s="3429"/>
      <c r="AO31" s="3429"/>
      <c r="AP31" s="3430"/>
      <c r="AQ31" s="549"/>
      <c r="AR31" s="485"/>
      <c r="AS31" s="485"/>
      <c r="AT31" s="544"/>
      <c r="AU31" s="545"/>
      <c r="AV31" s="546"/>
      <c r="AW31" s="420"/>
      <c r="AX31" s="420"/>
      <c r="AY31" s="420"/>
      <c r="AZ31" s="1918"/>
      <c r="BA31" s="1918"/>
      <c r="BB31" s="541"/>
      <c r="BC31" s="541"/>
      <c r="BD31" s="541"/>
      <c r="BE31" s="541"/>
      <c r="BF31" s="541"/>
      <c r="BG31" s="541"/>
      <c r="BH31" s="541"/>
      <c r="BI31" s="541"/>
      <c r="BJ31" s="541"/>
      <c r="BK31" s="542"/>
      <c r="BL31" s="485"/>
      <c r="BM31" s="485"/>
      <c r="BN31" s="485"/>
      <c r="BO31" s="485"/>
      <c r="BP31" s="485"/>
      <c r="BQ31" s="485"/>
      <c r="BR31" s="485"/>
      <c r="BS31" s="485"/>
      <c r="BT31" s="485"/>
      <c r="BU31" s="485"/>
      <c r="BV31" s="485"/>
      <c r="BW31" s="485"/>
      <c r="BX31" s="485"/>
      <c r="BY31" s="485"/>
      <c r="BZ31" s="485"/>
      <c r="CA31" s="485"/>
      <c r="CB31" s="485"/>
      <c r="CC31" s="485"/>
      <c r="CD31" s="485"/>
      <c r="CE31" s="485"/>
      <c r="CF31" s="485"/>
      <c r="CG31" s="485"/>
      <c r="CH31" s="485"/>
      <c r="CI31" s="485"/>
    </row>
    <row r="32" spans="1:87" ht="13">
      <c r="A32" s="485"/>
      <c r="B32" s="485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534"/>
      <c r="R32" s="485"/>
      <c r="S32" s="485"/>
      <c r="T32" s="485"/>
      <c r="U32" s="485"/>
      <c r="V32" s="485"/>
      <c r="W32" s="485"/>
      <c r="X32" s="485"/>
      <c r="Y32" s="485"/>
      <c r="Z32" s="485"/>
      <c r="AA32" s="485"/>
      <c r="AB32" s="1736"/>
      <c r="AC32" s="416"/>
      <c r="AD32" s="420"/>
      <c r="AE32" s="547"/>
      <c r="AF32" s="547"/>
      <c r="AG32" s="547"/>
      <c r="AH32" s="548"/>
      <c r="AI32" s="550"/>
      <c r="AJ32" s="550"/>
      <c r="AK32" s="550"/>
      <c r="AL32" s="420"/>
      <c r="AM32" s="420"/>
      <c r="AN32" s="420"/>
      <c r="AO32" s="420"/>
      <c r="AP32" s="420"/>
      <c r="AQ32" s="421"/>
      <c r="AR32" s="485"/>
      <c r="AS32" s="485"/>
      <c r="AT32" s="3417" t="s">
        <v>190</v>
      </c>
      <c r="AU32" s="3418"/>
      <c r="AV32" s="3418"/>
      <c r="AW32" s="3418"/>
      <c r="AX32" s="3418"/>
      <c r="AY32" s="3418"/>
      <c r="AZ32" s="3418"/>
      <c r="BA32" s="551"/>
      <c r="BB32" s="552"/>
      <c r="BC32" s="552"/>
      <c r="BD32" s="552"/>
      <c r="BE32" s="552"/>
      <c r="BF32" s="541"/>
      <c r="BG32" s="541"/>
      <c r="BH32" s="541"/>
      <c r="BI32" s="541"/>
      <c r="BJ32" s="541"/>
      <c r="BK32" s="542"/>
      <c r="BL32" s="485"/>
      <c r="BM32" s="485"/>
      <c r="BN32" s="485"/>
      <c r="BO32" s="485"/>
      <c r="BP32" s="485"/>
      <c r="BQ32" s="485"/>
      <c r="BR32" s="485"/>
      <c r="BS32" s="485"/>
      <c r="BT32" s="485"/>
      <c r="BU32" s="485"/>
      <c r="BV32" s="485"/>
      <c r="BW32" s="485"/>
      <c r="BX32" s="485"/>
      <c r="BY32" s="485"/>
      <c r="BZ32" s="485"/>
      <c r="CA32" s="485"/>
      <c r="CB32" s="485"/>
      <c r="CC32" s="485"/>
      <c r="CD32" s="485"/>
      <c r="CE32" s="485"/>
      <c r="CF32" s="485"/>
      <c r="CG32" s="485"/>
      <c r="CH32" s="485"/>
      <c r="CI32" s="485"/>
    </row>
    <row r="33" spans="1:87" ht="13.5" thickBot="1">
      <c r="A33" s="485"/>
      <c r="B33" s="485"/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534"/>
      <c r="R33" s="485"/>
      <c r="S33" s="485"/>
      <c r="T33" s="485"/>
      <c r="U33" s="485"/>
      <c r="V33" s="485"/>
      <c r="W33" s="485"/>
      <c r="X33" s="485"/>
      <c r="Y33" s="485"/>
      <c r="Z33" s="485"/>
      <c r="AA33" s="485"/>
      <c r="AB33" s="1736"/>
      <c r="AC33" s="543" t="s">
        <v>191</v>
      </c>
      <c r="AD33" s="420"/>
      <c r="AE33" s="547"/>
      <c r="AF33" s="547"/>
      <c r="AG33" s="547"/>
      <c r="AH33" s="548"/>
      <c r="AI33" s="550"/>
      <c r="AJ33" s="550"/>
      <c r="AK33" s="550"/>
      <c r="AL33" s="420"/>
      <c r="AM33" s="420"/>
      <c r="AN33" s="420"/>
      <c r="AO33" s="420"/>
      <c r="AP33" s="420"/>
      <c r="AQ33" s="421"/>
      <c r="AR33" s="485"/>
      <c r="AS33" s="485"/>
      <c r="AT33" s="3417"/>
      <c r="AU33" s="3418"/>
      <c r="AV33" s="3418"/>
      <c r="AW33" s="3418"/>
      <c r="AX33" s="3418"/>
      <c r="AY33" s="3418"/>
      <c r="AZ33" s="3418"/>
      <c r="BA33" s="553"/>
      <c r="BB33" s="3446" t="s">
        <v>192</v>
      </c>
      <c r="BC33" s="3447"/>
      <c r="BD33" s="3447"/>
      <c r="BE33" s="3448"/>
      <c r="BF33" s="541"/>
      <c r="BG33" s="541"/>
      <c r="BH33" s="541"/>
      <c r="BI33" s="541"/>
      <c r="BJ33" s="541"/>
      <c r="BK33" s="542"/>
      <c r="BL33" s="485"/>
      <c r="BM33" s="485"/>
      <c r="BN33" s="485"/>
      <c r="BO33" s="485"/>
      <c r="BP33" s="485"/>
      <c r="BQ33" s="485"/>
      <c r="BR33" s="485"/>
      <c r="BS33" s="485"/>
      <c r="BT33" s="485"/>
      <c r="BU33" s="485"/>
      <c r="BV33" s="485"/>
      <c r="BW33" s="485"/>
      <c r="BX33" s="485"/>
      <c r="BY33" s="485"/>
      <c r="BZ33" s="485"/>
      <c r="CA33" s="485"/>
      <c r="CB33" s="485"/>
      <c r="CC33" s="485"/>
      <c r="CD33" s="485"/>
      <c r="CE33" s="485"/>
      <c r="CF33" s="485"/>
      <c r="CG33" s="485"/>
      <c r="CH33" s="485"/>
      <c r="CI33" s="485"/>
    </row>
    <row r="34" spans="1:87" ht="15" customHeight="1" thickBot="1">
      <c r="A34" s="485"/>
      <c r="B34" s="485"/>
      <c r="C34" s="485"/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534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1736"/>
      <c r="AC34" s="3479" t="s">
        <v>193</v>
      </c>
      <c r="AD34" s="3480"/>
      <c r="AE34" s="1917"/>
      <c r="AF34" s="547"/>
      <c r="AG34" s="547"/>
      <c r="AH34" s="548"/>
      <c r="AI34" s="3431" t="s">
        <v>188</v>
      </c>
      <c r="AJ34" s="3431"/>
      <c r="AK34" s="3431"/>
      <c r="AL34" s="3428" t="s">
        <v>189</v>
      </c>
      <c r="AM34" s="3429"/>
      <c r="AN34" s="3429"/>
      <c r="AO34" s="3429"/>
      <c r="AP34" s="3430"/>
      <c r="AQ34" s="549"/>
      <c r="AR34" s="485"/>
      <c r="AS34" s="485"/>
      <c r="AT34" s="3417"/>
      <c r="AU34" s="3418"/>
      <c r="AV34" s="3418"/>
      <c r="AW34" s="3418"/>
      <c r="AX34" s="3418"/>
      <c r="AY34" s="3418"/>
      <c r="AZ34" s="3418"/>
      <c r="BA34" s="553"/>
      <c r="BB34" s="3449"/>
      <c r="BC34" s="3450"/>
      <c r="BD34" s="3450"/>
      <c r="BE34" s="3451"/>
      <c r="BF34" s="541"/>
      <c r="BG34" s="541"/>
      <c r="BH34" s="541"/>
      <c r="BI34" s="541"/>
      <c r="BJ34" s="541"/>
      <c r="BK34" s="542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</row>
    <row r="35" spans="1:87" ht="13">
      <c r="A35" s="485"/>
      <c r="B35" s="534" t="s">
        <v>194</v>
      </c>
      <c r="C35" s="485"/>
      <c r="D35" s="485"/>
      <c r="E35" s="485" t="s">
        <v>195</v>
      </c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  <c r="AB35" s="1736"/>
      <c r="AC35" s="416"/>
      <c r="AD35" s="420"/>
      <c r="AE35" s="547"/>
      <c r="AF35" s="547"/>
      <c r="AG35" s="547"/>
      <c r="AH35" s="548"/>
      <c r="AI35" s="550"/>
      <c r="AJ35" s="550"/>
      <c r="AK35" s="550"/>
      <c r="AL35" s="420"/>
      <c r="AM35" s="420"/>
      <c r="AN35" s="420"/>
      <c r="AO35" s="420"/>
      <c r="AP35" s="420"/>
      <c r="AQ35" s="421"/>
      <c r="AR35" s="485"/>
      <c r="AS35" s="485"/>
      <c r="AT35" s="1914"/>
      <c r="AU35" s="1915"/>
      <c r="AV35" s="3465"/>
      <c r="AW35" s="3465"/>
      <c r="AX35" s="3465"/>
      <c r="AY35" s="420"/>
      <c r="AZ35" s="1918"/>
      <c r="BA35" s="1918"/>
      <c r="BB35" s="3452"/>
      <c r="BC35" s="3453"/>
      <c r="BD35" s="3453"/>
      <c r="BE35" s="3454"/>
      <c r="BF35" s="541"/>
      <c r="BG35" s="541"/>
      <c r="BH35" s="541"/>
      <c r="BI35" s="541"/>
      <c r="BJ35" s="541"/>
      <c r="BK35" s="542"/>
      <c r="BL35" s="485"/>
      <c r="BM35" s="485"/>
      <c r="BN35" s="485"/>
      <c r="BO35" s="485"/>
      <c r="BP35" s="485"/>
      <c r="BQ35" s="485"/>
      <c r="BR35" s="485"/>
      <c r="BS35" s="485"/>
      <c r="BT35" s="485"/>
      <c r="BU35" s="485"/>
      <c r="BV35" s="485"/>
      <c r="BW35" s="485"/>
      <c r="BX35" s="485"/>
      <c r="BY35" s="485"/>
      <c r="BZ35" s="485"/>
      <c r="CA35" s="485"/>
      <c r="CB35" s="485"/>
      <c r="CC35" s="485"/>
      <c r="CD35" s="485"/>
      <c r="CE35" s="485"/>
      <c r="CF35" s="485"/>
      <c r="CG35" s="485"/>
      <c r="CH35" s="485"/>
      <c r="CI35" s="485"/>
    </row>
    <row r="36" spans="1:87" ht="13.5" thickBot="1">
      <c r="A36" s="485"/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534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1736"/>
      <c r="AC36" s="543" t="s">
        <v>196</v>
      </c>
      <c r="AD36" s="420"/>
      <c r="AE36" s="547"/>
      <c r="AF36" s="547"/>
      <c r="AG36" s="547"/>
      <c r="AH36" s="548"/>
      <c r="AI36" s="550"/>
      <c r="AJ36" s="550"/>
      <c r="AK36" s="550"/>
      <c r="AL36" s="420"/>
      <c r="AM36" s="420"/>
      <c r="AN36" s="420"/>
      <c r="AO36" s="420"/>
      <c r="AP36" s="420"/>
      <c r="AQ36" s="421"/>
      <c r="AR36" s="554"/>
      <c r="AS36" s="554"/>
      <c r="AT36" s="1914"/>
      <c r="AU36" s="1915"/>
      <c r="AV36" s="3465"/>
      <c r="AW36" s="3465"/>
      <c r="AX36" s="3465"/>
      <c r="AY36" s="420"/>
      <c r="AZ36" s="1918"/>
      <c r="BA36" s="1918"/>
      <c r="BB36" s="555"/>
      <c r="BC36" s="555"/>
      <c r="BD36" s="555"/>
      <c r="BE36" s="555"/>
      <c r="BF36" s="541"/>
      <c r="BG36" s="541"/>
      <c r="BH36" s="541"/>
      <c r="BI36" s="541"/>
      <c r="BJ36" s="541"/>
      <c r="BK36" s="542"/>
      <c r="BL36" s="485"/>
      <c r="BM36" s="485"/>
      <c r="BN36" s="485"/>
      <c r="BO36" s="485"/>
      <c r="BP36" s="485"/>
      <c r="BQ36" s="485"/>
      <c r="BR36" s="485"/>
      <c r="BS36" s="485"/>
      <c r="BT36" s="485"/>
      <c r="BU36" s="485"/>
      <c r="BV36" s="485"/>
      <c r="BW36" s="485"/>
      <c r="BX36" s="485"/>
      <c r="BY36" s="485"/>
      <c r="BZ36" s="485"/>
      <c r="CA36" s="485"/>
      <c r="CB36" s="485"/>
      <c r="CC36" s="485"/>
      <c r="CD36" s="485"/>
      <c r="CE36" s="485"/>
      <c r="CF36" s="485"/>
      <c r="CG36" s="485"/>
      <c r="CH36" s="485"/>
      <c r="CI36" s="485"/>
    </row>
    <row r="37" spans="1:87" ht="15" customHeight="1" thickBot="1">
      <c r="A37" s="485"/>
      <c r="B37" s="485"/>
      <c r="C37" s="485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534"/>
      <c r="R37" s="485"/>
      <c r="S37" s="485"/>
      <c r="T37" s="485"/>
      <c r="U37" s="485"/>
      <c r="V37" s="485"/>
      <c r="W37" s="485"/>
      <c r="X37" s="485"/>
      <c r="Y37" s="485"/>
      <c r="Z37" s="485"/>
      <c r="AA37" s="485"/>
      <c r="AB37" s="1736"/>
      <c r="AC37" s="3479" t="s">
        <v>193</v>
      </c>
      <c r="AD37" s="3480"/>
      <c r="AE37" s="1917"/>
      <c r="AF37" s="547"/>
      <c r="AG37" s="547"/>
      <c r="AH37" s="548"/>
      <c r="AI37" s="3431" t="s">
        <v>188</v>
      </c>
      <c r="AJ37" s="3431"/>
      <c r="AK37" s="3431"/>
      <c r="AL37" s="3428" t="s">
        <v>189</v>
      </c>
      <c r="AM37" s="3429"/>
      <c r="AN37" s="3429"/>
      <c r="AO37" s="3429"/>
      <c r="AP37" s="3430"/>
      <c r="AQ37" s="549"/>
      <c r="AR37" s="485"/>
      <c r="AS37" s="485"/>
      <c r="AT37" s="416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1"/>
      <c r="BL37" s="485"/>
      <c r="BM37" s="485"/>
      <c r="BN37" s="485"/>
      <c r="BO37" s="485"/>
      <c r="BP37" s="485"/>
      <c r="BQ37" s="485"/>
      <c r="BR37" s="485"/>
      <c r="BS37" s="485"/>
      <c r="BT37" s="485"/>
      <c r="BU37" s="485"/>
      <c r="BV37" s="485"/>
      <c r="BW37" s="485"/>
      <c r="BX37" s="485"/>
      <c r="BY37" s="485"/>
      <c r="BZ37" s="485"/>
      <c r="CA37" s="485"/>
      <c r="CB37" s="485"/>
      <c r="CC37" s="485"/>
      <c r="CD37" s="485"/>
      <c r="CE37" s="485"/>
      <c r="CF37" s="485"/>
      <c r="CG37" s="485"/>
      <c r="CH37" s="485"/>
      <c r="CI37" s="485"/>
    </row>
    <row r="38" spans="1:87" ht="13.5" thickBot="1">
      <c r="A38" s="485"/>
      <c r="B38" s="485"/>
      <c r="C38" s="485"/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  <c r="Q38" s="534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1736"/>
      <c r="AC38" s="556"/>
      <c r="AD38" s="557"/>
      <c r="AE38" s="558"/>
      <c r="AF38" s="418"/>
      <c r="AG38" s="418"/>
      <c r="AH38" s="418"/>
      <c r="AI38" s="559"/>
      <c r="AJ38" s="559"/>
      <c r="AK38" s="560"/>
      <c r="AL38" s="560"/>
      <c r="AM38" s="560"/>
      <c r="AN38" s="560"/>
      <c r="AO38" s="560"/>
      <c r="AP38" s="560"/>
      <c r="AQ38" s="561"/>
      <c r="AR38" s="485"/>
      <c r="AS38" s="485"/>
      <c r="AT38" s="417"/>
      <c r="AU38" s="418"/>
      <c r="AV38" s="418"/>
      <c r="AW38" s="418"/>
      <c r="AX38" s="418"/>
      <c r="AY38" s="418"/>
      <c r="AZ38" s="418"/>
      <c r="BA38" s="560"/>
      <c r="BB38" s="560"/>
      <c r="BC38" s="560"/>
      <c r="BD38" s="560"/>
      <c r="BE38" s="418"/>
      <c r="BF38" s="418"/>
      <c r="BG38" s="418"/>
      <c r="BH38" s="418"/>
      <c r="BI38" s="418"/>
      <c r="BJ38" s="418"/>
      <c r="BK38" s="419"/>
      <c r="BL38" s="485"/>
      <c r="BM38" s="485"/>
      <c r="BN38" s="485"/>
      <c r="BO38" s="485"/>
      <c r="BP38" s="485"/>
      <c r="BQ38" s="485"/>
      <c r="BR38" s="485"/>
      <c r="BS38" s="485"/>
      <c r="BT38" s="485"/>
      <c r="BU38" s="485"/>
      <c r="BV38" s="485"/>
      <c r="BW38" s="485"/>
      <c r="BX38" s="485"/>
      <c r="BY38" s="485"/>
      <c r="BZ38" s="485"/>
      <c r="CA38" s="485"/>
      <c r="CB38" s="485"/>
      <c r="CC38" s="485"/>
      <c r="CD38" s="485"/>
      <c r="CE38" s="485"/>
      <c r="CF38" s="485"/>
      <c r="CG38" s="485"/>
      <c r="CH38" s="485"/>
      <c r="CI38" s="485"/>
    </row>
    <row r="39" spans="1:87" ht="13">
      <c r="A39" s="485"/>
      <c r="B39" s="534" t="s">
        <v>197</v>
      </c>
      <c r="C39" s="485"/>
      <c r="D39" s="485"/>
      <c r="E39" s="485" t="s">
        <v>198</v>
      </c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485"/>
      <c r="Z39" s="485"/>
      <c r="AA39" s="485"/>
      <c r="AB39" s="1736"/>
      <c r="AC39" s="485"/>
      <c r="AD39" s="485"/>
      <c r="AE39" s="485"/>
      <c r="AF39" s="485"/>
      <c r="AG39" s="485"/>
      <c r="AH39" s="485"/>
      <c r="AI39" s="485"/>
      <c r="AJ39" s="485"/>
      <c r="AK39" s="485"/>
      <c r="AL39" s="485"/>
      <c r="AM39" s="485"/>
      <c r="AN39" s="485"/>
      <c r="AO39" s="485"/>
      <c r="AP39" s="485"/>
      <c r="AQ39" s="485"/>
      <c r="AR39" s="485"/>
      <c r="AS39" s="485"/>
      <c r="AT39" s="485"/>
      <c r="AU39" s="554"/>
      <c r="AV39" s="535"/>
      <c r="AW39" s="485"/>
      <c r="AX39" s="485"/>
      <c r="AY39" s="485"/>
      <c r="AZ39" s="485"/>
      <c r="BA39" s="485"/>
      <c r="BB39" s="485"/>
      <c r="BC39" s="485"/>
      <c r="BD39" s="485"/>
      <c r="BE39" s="485"/>
      <c r="BF39" s="485"/>
      <c r="BG39" s="485"/>
      <c r="BH39" s="485"/>
      <c r="BI39" s="485"/>
      <c r="BJ39" s="485"/>
      <c r="BK39" s="485"/>
      <c r="BL39" s="485"/>
      <c r="BM39" s="485"/>
      <c r="BN39" s="485"/>
      <c r="BO39" s="485"/>
      <c r="BP39" s="485"/>
      <c r="BQ39" s="485"/>
      <c r="BR39" s="485"/>
      <c r="BS39" s="485"/>
      <c r="BT39" s="485"/>
      <c r="BU39" s="485"/>
      <c r="BV39" s="485"/>
      <c r="BW39" s="485"/>
      <c r="BX39" s="485"/>
      <c r="BY39" s="485"/>
      <c r="BZ39" s="485"/>
      <c r="CA39" s="485"/>
      <c r="CB39" s="485"/>
      <c r="CC39" s="485"/>
      <c r="CD39" s="485"/>
      <c r="CE39" s="485"/>
      <c r="CF39" s="485"/>
      <c r="CG39" s="485"/>
      <c r="CH39" s="485"/>
      <c r="CI39" s="485"/>
    </row>
    <row r="40" spans="1:87" ht="10.5" customHeight="1">
      <c r="A40" s="485"/>
      <c r="B40" s="485"/>
      <c r="C40" s="485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534"/>
      <c r="R40" s="485"/>
      <c r="S40" s="485"/>
      <c r="T40" s="485"/>
      <c r="U40" s="485"/>
      <c r="V40" s="485"/>
      <c r="W40" s="485"/>
      <c r="X40" s="485"/>
      <c r="Y40" s="485"/>
      <c r="Z40" s="485"/>
      <c r="AA40" s="485"/>
      <c r="AB40" s="1736"/>
      <c r="AC40" s="485"/>
      <c r="AD40" s="485"/>
      <c r="AE40" s="485"/>
      <c r="AF40" s="485"/>
      <c r="AG40" s="485"/>
      <c r="AH40" s="485"/>
      <c r="AI40" s="485"/>
      <c r="AJ40" s="485"/>
      <c r="AK40" s="485"/>
      <c r="AL40" s="485"/>
      <c r="AM40" s="485"/>
      <c r="AN40" s="485"/>
      <c r="AO40" s="485"/>
      <c r="AP40" s="485"/>
      <c r="AQ40" s="485"/>
      <c r="AR40" s="485"/>
      <c r="AS40" s="485"/>
      <c r="AT40" s="485"/>
      <c r="AU40" s="554"/>
      <c r="AV40" s="535"/>
      <c r="AW40" s="485"/>
      <c r="AX40" s="485"/>
      <c r="AY40" s="485"/>
      <c r="AZ40" s="485"/>
      <c r="BA40" s="485"/>
      <c r="BB40" s="485"/>
      <c r="BC40" s="485"/>
      <c r="BD40" s="485"/>
      <c r="BE40" s="485"/>
      <c r="BF40" s="485"/>
      <c r="BG40" s="485"/>
      <c r="BH40" s="485"/>
      <c r="BI40" s="485"/>
      <c r="BJ40" s="485"/>
      <c r="BK40" s="485"/>
      <c r="BL40" s="485"/>
      <c r="BM40" s="485"/>
      <c r="BN40" s="485"/>
      <c r="BO40" s="485"/>
      <c r="BP40" s="485"/>
      <c r="BQ40" s="485"/>
      <c r="BR40" s="485"/>
      <c r="BS40" s="485"/>
      <c r="BT40" s="485"/>
      <c r="BU40" s="485"/>
      <c r="BV40" s="485"/>
      <c r="BW40" s="485"/>
      <c r="BX40" s="485"/>
      <c r="BY40" s="485"/>
      <c r="BZ40" s="485"/>
      <c r="CA40" s="485"/>
      <c r="CB40" s="485"/>
      <c r="CC40" s="485"/>
      <c r="CD40" s="485"/>
      <c r="CE40" s="485"/>
      <c r="CF40" s="485"/>
      <c r="CG40" s="485"/>
      <c r="CH40" s="485"/>
      <c r="CI40" s="485"/>
    </row>
    <row r="41" spans="1:87" ht="10.5" customHeight="1">
      <c r="A41" s="485"/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534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1736"/>
      <c r="AC41" s="485"/>
      <c r="AD41" s="485"/>
      <c r="AE41" s="485"/>
      <c r="AF41" s="485"/>
      <c r="AG41" s="485"/>
      <c r="AH41" s="485"/>
      <c r="AI41" s="485"/>
      <c r="AJ41" s="485"/>
      <c r="AK41" s="485"/>
      <c r="AL41" s="485"/>
      <c r="AM41" s="485"/>
      <c r="AN41" s="485"/>
      <c r="AO41" s="485"/>
      <c r="AP41" s="485"/>
      <c r="AQ41" s="485"/>
      <c r="AR41" s="485"/>
      <c r="AS41" s="485"/>
      <c r="AT41" s="485"/>
      <c r="AU41" s="554"/>
      <c r="AV41" s="535"/>
      <c r="AW41" s="485"/>
      <c r="AX41" s="485"/>
      <c r="AY41" s="485"/>
      <c r="AZ41" s="485"/>
      <c r="BA41" s="485"/>
      <c r="BB41" s="485"/>
      <c r="BC41" s="485"/>
      <c r="BD41" s="485"/>
      <c r="BE41" s="485"/>
      <c r="BF41" s="485"/>
      <c r="BG41" s="485"/>
      <c r="BH41" s="485"/>
      <c r="BI41" s="485"/>
      <c r="BJ41" s="485"/>
      <c r="BK41" s="485"/>
      <c r="BL41" s="485"/>
      <c r="BM41" s="485"/>
      <c r="BN41" s="485"/>
      <c r="BO41" s="485"/>
      <c r="BP41" s="485"/>
      <c r="BQ41" s="485"/>
      <c r="BR41" s="485"/>
      <c r="BS41" s="485"/>
      <c r="BT41" s="485"/>
      <c r="BU41" s="485"/>
      <c r="BV41" s="485"/>
      <c r="BW41" s="485"/>
      <c r="BX41" s="485"/>
      <c r="BY41" s="485"/>
      <c r="BZ41" s="485"/>
      <c r="CA41" s="485"/>
      <c r="CB41" s="485"/>
      <c r="CC41" s="485"/>
      <c r="CD41" s="485"/>
      <c r="CE41" s="485"/>
      <c r="CF41" s="485"/>
      <c r="CG41" s="485"/>
      <c r="CH41" s="485"/>
      <c r="CI41" s="485"/>
    </row>
    <row r="42" spans="1:87" ht="10.5" customHeight="1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  <c r="AB42" s="1736"/>
      <c r="AC42" s="535"/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485"/>
      <c r="AV42" s="485"/>
      <c r="AW42" s="485"/>
      <c r="AX42" s="485"/>
      <c r="AY42" s="485"/>
      <c r="AZ42" s="485"/>
      <c r="BA42" s="485"/>
      <c r="BB42" s="485"/>
      <c r="BC42" s="485"/>
      <c r="BD42" s="485"/>
      <c r="BE42" s="485"/>
      <c r="BF42" s="485"/>
      <c r="BG42" s="485"/>
      <c r="BH42" s="485"/>
      <c r="BI42" s="485"/>
      <c r="BJ42" s="485"/>
      <c r="BK42" s="485"/>
      <c r="BL42" s="485"/>
      <c r="BM42" s="485"/>
      <c r="BN42" s="485"/>
      <c r="BO42" s="485"/>
      <c r="BP42" s="485"/>
      <c r="BQ42" s="485"/>
      <c r="BR42" s="485"/>
      <c r="BS42" s="485"/>
      <c r="BT42" s="485"/>
      <c r="BU42" s="485"/>
      <c r="BV42" s="485"/>
      <c r="BW42" s="485"/>
      <c r="BX42" s="485"/>
      <c r="BY42" s="485"/>
      <c r="BZ42" s="485"/>
      <c r="CA42" s="485"/>
      <c r="CB42" s="485"/>
      <c r="CC42" s="485"/>
      <c r="CD42" s="485"/>
      <c r="CE42" s="485"/>
      <c r="CF42" s="485"/>
      <c r="CG42" s="485"/>
      <c r="CH42" s="485"/>
      <c r="CI42" s="485"/>
    </row>
    <row r="43" spans="1:87" ht="12.75" customHeight="1" thickBot="1">
      <c r="A43" s="423"/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36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1735"/>
      <c r="AC43" s="423"/>
      <c r="AD43" s="423"/>
      <c r="AE43" s="423"/>
      <c r="AF43" s="423"/>
      <c r="AG43" s="423"/>
      <c r="AH43" s="423"/>
      <c r="AI43" s="423"/>
      <c r="AJ43" s="423"/>
      <c r="AK43" s="423"/>
      <c r="AL43" s="423"/>
      <c r="AM43" s="423"/>
      <c r="AN43" s="423"/>
      <c r="AO43" s="423"/>
      <c r="AP43" s="423"/>
      <c r="AQ43" s="423"/>
      <c r="AR43" s="423"/>
      <c r="AS43" s="423"/>
      <c r="AT43" s="423"/>
      <c r="AU43" s="423"/>
      <c r="AV43" s="423"/>
      <c r="AW43" s="423"/>
      <c r="AX43" s="423"/>
      <c r="AY43" s="423"/>
      <c r="AZ43" s="423"/>
      <c r="BA43" s="423"/>
      <c r="BB43" s="423"/>
      <c r="BC43" s="423"/>
      <c r="BD43" s="423"/>
      <c r="BE43" s="423"/>
      <c r="BF43" s="423"/>
      <c r="BG43" s="423"/>
      <c r="BH43" s="423"/>
      <c r="BI43" s="423"/>
      <c r="BJ43" s="423"/>
      <c r="BK43" s="423"/>
      <c r="BL43" s="423"/>
      <c r="BM43" s="423"/>
      <c r="BN43" s="423"/>
      <c r="BO43" s="423"/>
      <c r="BP43" s="423"/>
      <c r="BQ43" s="423"/>
      <c r="BR43" s="423"/>
      <c r="BS43" s="423"/>
      <c r="BT43" s="423"/>
      <c r="BU43" s="423"/>
      <c r="BV43" s="423"/>
      <c r="BW43" s="423"/>
      <c r="BX43" s="423"/>
      <c r="BY43" s="423"/>
      <c r="BZ43" s="423"/>
      <c r="CA43" s="423"/>
      <c r="CB43" s="423"/>
      <c r="CC43" s="423"/>
      <c r="CD43" s="423"/>
      <c r="CE43" s="423"/>
      <c r="CF43" s="423"/>
      <c r="CG43" s="423"/>
      <c r="CH43" s="423"/>
      <c r="CI43" s="423"/>
    </row>
    <row r="44" spans="1:87" ht="18" customHeight="1">
      <c r="A44" s="423"/>
      <c r="B44" s="423"/>
      <c r="C44" s="3419" t="s">
        <v>199</v>
      </c>
      <c r="D44" s="3420"/>
      <c r="E44" s="3420"/>
      <c r="F44" s="3420"/>
      <c r="G44" s="3420"/>
      <c r="H44" s="3420"/>
      <c r="I44" s="3420"/>
      <c r="J44" s="3420"/>
      <c r="K44" s="3420"/>
      <c r="L44" s="3420"/>
      <c r="M44" s="3420"/>
      <c r="N44" s="3420"/>
      <c r="O44" s="3420"/>
      <c r="P44" s="3420"/>
      <c r="Q44" s="3420"/>
      <c r="R44" s="3420"/>
      <c r="S44" s="3420"/>
      <c r="T44" s="3420"/>
      <c r="U44" s="3420"/>
      <c r="V44" s="3420"/>
      <c r="W44" s="3420"/>
      <c r="X44" s="3420"/>
      <c r="Y44" s="3420"/>
      <c r="Z44" s="3420"/>
      <c r="AA44" s="3420"/>
      <c r="AB44" s="3420"/>
      <c r="AC44" s="3421"/>
      <c r="AD44" s="423"/>
      <c r="AE44" s="423"/>
      <c r="AF44" s="423"/>
      <c r="AG44" s="423"/>
      <c r="AH44" s="423"/>
      <c r="AI44" s="3457" t="s">
        <v>200</v>
      </c>
      <c r="AJ44" s="3458"/>
      <c r="AK44" s="3458"/>
      <c r="AL44" s="3458"/>
      <c r="AM44" s="3458"/>
      <c r="AN44" s="3458"/>
      <c r="AO44" s="3458"/>
      <c r="AP44" s="3458"/>
      <c r="AQ44" s="3458"/>
      <c r="AR44" s="3458"/>
      <c r="AS44" s="3458"/>
      <c r="AT44" s="3458"/>
      <c r="AU44" s="3458"/>
      <c r="AV44" s="3458"/>
      <c r="AW44" s="3458"/>
      <c r="AX44" s="3458"/>
      <c r="AY44" s="3458"/>
      <c r="AZ44" s="3458"/>
      <c r="BA44" s="3458"/>
      <c r="BB44" s="3458"/>
      <c r="BC44" s="3459"/>
      <c r="BD44" s="423"/>
      <c r="BE44" s="423"/>
      <c r="BF44" s="423"/>
      <c r="BG44" s="423"/>
      <c r="BH44" s="423"/>
      <c r="BI44" s="423"/>
      <c r="BJ44" s="423"/>
      <c r="BK44" s="423"/>
      <c r="BL44" s="423"/>
      <c r="BM44" s="423"/>
      <c r="BN44" s="423"/>
      <c r="BO44" s="423"/>
      <c r="BP44" s="423"/>
      <c r="BQ44" s="423"/>
      <c r="BR44" s="423"/>
      <c r="BS44" s="423"/>
      <c r="BT44" s="423"/>
      <c r="BU44" s="423"/>
      <c r="BV44" s="423"/>
      <c r="BW44" s="423"/>
      <c r="BX44" s="423"/>
      <c r="BY44" s="423"/>
      <c r="BZ44" s="423"/>
      <c r="CA44" s="423"/>
      <c r="CB44" s="423"/>
      <c r="CC44" s="423"/>
      <c r="CD44" s="423"/>
      <c r="CE44" s="423"/>
      <c r="CF44" s="423"/>
      <c r="CG44" s="423"/>
      <c r="CH44" s="423"/>
      <c r="CI44" s="423"/>
    </row>
    <row r="45" spans="1:87" ht="15.5">
      <c r="A45" s="423"/>
      <c r="B45" s="423"/>
      <c r="C45" s="3406" t="s">
        <v>201</v>
      </c>
      <c r="D45" s="3407"/>
      <c r="E45" s="3407"/>
      <c r="F45" s="3407"/>
      <c r="G45" s="3407"/>
      <c r="H45" s="3407"/>
      <c r="I45" s="3407"/>
      <c r="J45" s="3407"/>
      <c r="K45" s="3502" t="s">
        <v>202</v>
      </c>
      <c r="L45" s="3407"/>
      <c r="M45" s="3407"/>
      <c r="N45" s="3407"/>
      <c r="O45" s="3407"/>
      <c r="P45" s="3407"/>
      <c r="Q45" s="3407"/>
      <c r="R45" s="3407"/>
      <c r="S45" s="3407"/>
      <c r="T45" s="3502" t="s">
        <v>203</v>
      </c>
      <c r="U45" s="3407"/>
      <c r="V45" s="3407"/>
      <c r="W45" s="3407"/>
      <c r="X45" s="3407"/>
      <c r="Y45" s="3407"/>
      <c r="Z45" s="3407"/>
      <c r="AA45" s="3407"/>
      <c r="AB45" s="3407"/>
      <c r="AC45" s="3503"/>
      <c r="AD45" s="423"/>
      <c r="AE45" s="423"/>
      <c r="AF45" s="423"/>
      <c r="AG45" s="423"/>
      <c r="AH45" s="423"/>
      <c r="AI45" s="3460"/>
      <c r="AJ45" s="3461"/>
      <c r="AK45" s="3461"/>
      <c r="AL45" s="3461"/>
      <c r="AM45" s="3461"/>
      <c r="AN45" s="3461"/>
      <c r="AO45" s="3461"/>
      <c r="AP45" s="3461"/>
      <c r="AQ45" s="3461"/>
      <c r="AR45" s="3461"/>
      <c r="AS45" s="3461"/>
      <c r="AT45" s="3461"/>
      <c r="AU45" s="3461"/>
      <c r="AV45" s="3461"/>
      <c r="AW45" s="3461"/>
      <c r="AX45" s="3461"/>
      <c r="AY45" s="3461"/>
      <c r="AZ45" s="3461"/>
      <c r="BA45" s="3461"/>
      <c r="BB45" s="3461"/>
      <c r="BC45" s="3462"/>
      <c r="BD45" s="423"/>
      <c r="BE45" s="423"/>
      <c r="BF45" s="423"/>
      <c r="BG45" s="423"/>
      <c r="BH45" s="423"/>
      <c r="BI45" s="423"/>
      <c r="BJ45" s="423"/>
      <c r="BK45" s="423"/>
      <c r="BL45" s="423"/>
      <c r="BM45" s="423"/>
      <c r="BN45" s="423"/>
      <c r="BO45" s="423"/>
      <c r="BP45" s="423"/>
      <c r="BQ45" s="423"/>
      <c r="BR45" s="423"/>
      <c r="BS45" s="423"/>
      <c r="BT45" s="423"/>
      <c r="BU45" s="423"/>
      <c r="BV45" s="423"/>
      <c r="BW45" s="423"/>
      <c r="BX45" s="423"/>
      <c r="BY45" s="423"/>
      <c r="BZ45" s="423"/>
      <c r="CA45" s="423"/>
      <c r="CB45" s="423"/>
      <c r="CC45" s="423"/>
      <c r="CD45" s="423"/>
      <c r="CE45" s="423"/>
      <c r="CF45" s="423"/>
      <c r="CG45" s="423"/>
      <c r="CH45" s="423"/>
      <c r="CI45" s="423"/>
    </row>
    <row r="46" spans="1:87" ht="24" customHeight="1">
      <c r="A46" s="423"/>
      <c r="B46" s="423"/>
      <c r="C46" s="3391"/>
      <c r="D46" s="3392"/>
      <c r="E46" s="3392"/>
      <c r="F46" s="3392"/>
      <c r="G46" s="3392"/>
      <c r="H46" s="3392"/>
      <c r="I46" s="3392"/>
      <c r="J46" s="3392"/>
      <c r="K46" s="3393"/>
      <c r="L46" s="3392"/>
      <c r="M46" s="3392"/>
      <c r="N46" s="3392"/>
      <c r="O46" s="3392"/>
      <c r="P46" s="3392"/>
      <c r="Q46" s="3392"/>
      <c r="R46" s="3392"/>
      <c r="S46" s="3392"/>
      <c r="T46" s="3393"/>
      <c r="U46" s="3392"/>
      <c r="V46" s="3392"/>
      <c r="W46" s="3392"/>
      <c r="X46" s="3392"/>
      <c r="Y46" s="3392"/>
      <c r="Z46" s="3392"/>
      <c r="AA46" s="3392"/>
      <c r="AB46" s="3392"/>
      <c r="AC46" s="3394"/>
      <c r="AD46" s="423"/>
      <c r="AE46" s="423"/>
      <c r="AF46" s="423"/>
      <c r="AG46" s="423"/>
      <c r="AH46" s="423"/>
      <c r="AI46" s="3437"/>
      <c r="AJ46" s="3438"/>
      <c r="AK46" s="3438"/>
      <c r="AL46" s="3438"/>
      <c r="AM46" s="3438"/>
      <c r="AN46" s="3438"/>
      <c r="AO46" s="3438"/>
      <c r="AP46" s="3438"/>
      <c r="AQ46" s="3438"/>
      <c r="AR46" s="3438"/>
      <c r="AS46" s="3438"/>
      <c r="AT46" s="3438"/>
      <c r="AU46" s="3438"/>
      <c r="AV46" s="3438"/>
      <c r="AW46" s="3438"/>
      <c r="AX46" s="3438"/>
      <c r="AY46" s="3438"/>
      <c r="AZ46" s="3438"/>
      <c r="BA46" s="3438"/>
      <c r="BB46" s="3438"/>
      <c r="BC46" s="3439"/>
      <c r="BD46" s="423"/>
      <c r="BE46" s="423"/>
      <c r="BF46" s="423"/>
      <c r="BG46" s="423"/>
      <c r="BH46" s="423"/>
      <c r="BI46" s="423"/>
      <c r="BJ46" s="423"/>
      <c r="BK46" s="423"/>
      <c r="BL46" s="423"/>
      <c r="BM46" s="423"/>
      <c r="BN46" s="423"/>
      <c r="BO46" s="423"/>
      <c r="BP46" s="423"/>
      <c r="BQ46" s="423"/>
      <c r="BR46" s="423"/>
      <c r="BS46" s="423"/>
      <c r="BT46" s="423"/>
      <c r="BU46" s="423"/>
      <c r="BV46" s="423"/>
      <c r="BW46" s="423"/>
      <c r="BX46" s="423"/>
      <c r="BY46" s="423"/>
      <c r="BZ46" s="423"/>
      <c r="CA46" s="423"/>
      <c r="CB46" s="423"/>
      <c r="CC46" s="423"/>
      <c r="CD46" s="423"/>
      <c r="CE46" s="423"/>
      <c r="CF46" s="423"/>
      <c r="CG46" s="423"/>
      <c r="CH46" s="423"/>
      <c r="CI46" s="423"/>
    </row>
    <row r="47" spans="1:87" ht="24" customHeight="1">
      <c r="A47" s="423"/>
      <c r="B47" s="423"/>
      <c r="C47" s="3371"/>
      <c r="D47" s="3370"/>
      <c r="E47" s="3370"/>
      <c r="F47" s="3370"/>
      <c r="G47" s="3370"/>
      <c r="H47" s="3370"/>
      <c r="I47" s="3370"/>
      <c r="J47" s="3370"/>
      <c r="K47" s="3369"/>
      <c r="L47" s="3370"/>
      <c r="M47" s="3370"/>
      <c r="N47" s="3370"/>
      <c r="O47" s="3370"/>
      <c r="P47" s="3370"/>
      <c r="Q47" s="3370"/>
      <c r="R47" s="3370"/>
      <c r="S47" s="3370"/>
      <c r="T47" s="3398"/>
      <c r="U47" s="3399"/>
      <c r="V47" s="3399"/>
      <c r="W47" s="3399"/>
      <c r="X47" s="3399"/>
      <c r="Y47" s="3399"/>
      <c r="Z47" s="3399"/>
      <c r="AA47" s="3399"/>
      <c r="AB47" s="3399"/>
      <c r="AC47" s="3400"/>
      <c r="AD47" s="423"/>
      <c r="AE47" s="423"/>
      <c r="AF47" s="423"/>
      <c r="AG47" s="423"/>
      <c r="AH47" s="423"/>
      <c r="AI47" s="3440"/>
      <c r="AJ47" s="3441"/>
      <c r="AK47" s="3441"/>
      <c r="AL47" s="3441"/>
      <c r="AM47" s="3441"/>
      <c r="AN47" s="3441"/>
      <c r="AO47" s="3441"/>
      <c r="AP47" s="3441"/>
      <c r="AQ47" s="3441"/>
      <c r="AR47" s="3441"/>
      <c r="AS47" s="3441"/>
      <c r="AT47" s="3441"/>
      <c r="AU47" s="3441"/>
      <c r="AV47" s="3441"/>
      <c r="AW47" s="3441"/>
      <c r="AX47" s="3441"/>
      <c r="AY47" s="3441"/>
      <c r="AZ47" s="3441"/>
      <c r="BA47" s="3441"/>
      <c r="BB47" s="3441"/>
      <c r="BC47" s="3442"/>
      <c r="BD47" s="423"/>
      <c r="BE47" s="423"/>
      <c r="BF47" s="423"/>
      <c r="BG47" s="423"/>
      <c r="BH47" s="423"/>
      <c r="BI47" s="423"/>
      <c r="BJ47" s="423"/>
      <c r="BK47" s="423"/>
      <c r="BL47" s="423"/>
      <c r="BM47" s="423"/>
      <c r="BN47" s="423"/>
      <c r="BO47" s="423"/>
      <c r="BP47" s="423"/>
      <c r="BQ47" s="423"/>
      <c r="BR47" s="423"/>
      <c r="BS47" s="423"/>
      <c r="BT47" s="423"/>
      <c r="BU47" s="423"/>
      <c r="BV47" s="423"/>
      <c r="BW47" s="423"/>
      <c r="BX47" s="423"/>
      <c r="BY47" s="423"/>
      <c r="BZ47" s="423"/>
      <c r="CA47" s="423"/>
      <c r="CB47" s="423"/>
      <c r="CC47" s="423"/>
      <c r="CD47" s="423"/>
      <c r="CE47" s="423"/>
      <c r="CF47" s="423"/>
      <c r="CG47" s="423"/>
      <c r="CH47" s="423"/>
      <c r="CI47" s="423"/>
    </row>
    <row r="48" spans="1:87" ht="24" customHeight="1">
      <c r="A48" s="423"/>
      <c r="B48" s="423"/>
      <c r="C48" s="3377"/>
      <c r="D48" s="3378"/>
      <c r="E48" s="3378"/>
      <c r="F48" s="3378"/>
      <c r="G48" s="3378"/>
      <c r="H48" s="3378"/>
      <c r="I48" s="3378"/>
      <c r="J48" s="3378"/>
      <c r="K48" s="3383"/>
      <c r="L48" s="3378"/>
      <c r="M48" s="3378"/>
      <c r="N48" s="3378"/>
      <c r="O48" s="3378"/>
      <c r="P48" s="3378"/>
      <c r="Q48" s="3378"/>
      <c r="R48" s="3378"/>
      <c r="S48" s="3378"/>
      <c r="T48" s="3374"/>
      <c r="U48" s="3375"/>
      <c r="V48" s="3375"/>
      <c r="W48" s="3375"/>
      <c r="X48" s="3375"/>
      <c r="Y48" s="3375"/>
      <c r="Z48" s="3375"/>
      <c r="AA48" s="3375"/>
      <c r="AB48" s="3375"/>
      <c r="AC48" s="3376"/>
      <c r="AD48" s="423"/>
      <c r="AE48" s="423"/>
      <c r="AF48" s="423"/>
      <c r="AG48" s="423"/>
      <c r="AH48" s="423"/>
      <c r="AI48" s="3440"/>
      <c r="AJ48" s="3441"/>
      <c r="AK48" s="3441"/>
      <c r="AL48" s="3441"/>
      <c r="AM48" s="3441"/>
      <c r="AN48" s="3441"/>
      <c r="AO48" s="3441"/>
      <c r="AP48" s="3441"/>
      <c r="AQ48" s="3441"/>
      <c r="AR48" s="3441"/>
      <c r="AS48" s="3441"/>
      <c r="AT48" s="3441"/>
      <c r="AU48" s="3441"/>
      <c r="AV48" s="3441"/>
      <c r="AW48" s="3441"/>
      <c r="AX48" s="3441"/>
      <c r="AY48" s="3441"/>
      <c r="AZ48" s="3441"/>
      <c r="BA48" s="3441"/>
      <c r="BB48" s="3441"/>
      <c r="BC48" s="3442"/>
      <c r="BD48" s="423"/>
      <c r="BE48" s="423"/>
      <c r="BF48" s="423"/>
      <c r="BG48" s="423"/>
      <c r="BH48" s="423"/>
      <c r="BI48" s="423"/>
      <c r="BJ48" s="423"/>
      <c r="BK48" s="423"/>
      <c r="BL48" s="423"/>
      <c r="BM48" s="423"/>
      <c r="BN48" s="423"/>
      <c r="BO48" s="423"/>
      <c r="BP48" s="423"/>
      <c r="BQ48" s="423"/>
      <c r="BR48" s="423"/>
      <c r="BS48" s="423"/>
      <c r="BT48" s="423"/>
      <c r="BU48" s="423"/>
      <c r="BV48" s="423"/>
      <c r="BW48" s="423"/>
      <c r="BX48" s="423"/>
      <c r="BY48" s="423"/>
      <c r="BZ48" s="423"/>
      <c r="CA48" s="423"/>
      <c r="CB48" s="423"/>
      <c r="CC48" s="423"/>
      <c r="CD48" s="423"/>
      <c r="CE48" s="423"/>
      <c r="CF48" s="423"/>
      <c r="CG48" s="423"/>
      <c r="CH48" s="423"/>
      <c r="CI48" s="423"/>
    </row>
    <row r="49" spans="1:100" ht="24" customHeight="1">
      <c r="A49" s="423"/>
      <c r="B49" s="423"/>
      <c r="C49" s="3371"/>
      <c r="D49" s="3370"/>
      <c r="E49" s="3370"/>
      <c r="F49" s="3370"/>
      <c r="G49" s="3370"/>
      <c r="H49" s="3370"/>
      <c r="I49" s="3370"/>
      <c r="J49" s="3370"/>
      <c r="K49" s="3369"/>
      <c r="L49" s="3370"/>
      <c r="M49" s="3370"/>
      <c r="N49" s="3370"/>
      <c r="O49" s="3370"/>
      <c r="P49" s="3370"/>
      <c r="Q49" s="3370"/>
      <c r="R49" s="3370"/>
      <c r="S49" s="3370"/>
      <c r="T49" s="3398"/>
      <c r="U49" s="3399"/>
      <c r="V49" s="3399"/>
      <c r="W49" s="3399"/>
      <c r="X49" s="3399"/>
      <c r="Y49" s="3399"/>
      <c r="Z49" s="3399"/>
      <c r="AA49" s="3399"/>
      <c r="AB49" s="3399"/>
      <c r="AC49" s="3400"/>
      <c r="AD49" s="423"/>
      <c r="AE49" s="423"/>
      <c r="AF49" s="423"/>
      <c r="AG49" s="423"/>
      <c r="AH49" s="423"/>
      <c r="AI49" s="3440"/>
      <c r="AJ49" s="3441"/>
      <c r="AK49" s="3441"/>
      <c r="AL49" s="3441"/>
      <c r="AM49" s="3441"/>
      <c r="AN49" s="3441"/>
      <c r="AO49" s="3441"/>
      <c r="AP49" s="3441"/>
      <c r="AQ49" s="3441"/>
      <c r="AR49" s="3441"/>
      <c r="AS49" s="3441"/>
      <c r="AT49" s="3441"/>
      <c r="AU49" s="3441"/>
      <c r="AV49" s="3441"/>
      <c r="AW49" s="3441"/>
      <c r="AX49" s="3441"/>
      <c r="AY49" s="3441"/>
      <c r="AZ49" s="3441"/>
      <c r="BA49" s="3441"/>
      <c r="BB49" s="3441"/>
      <c r="BC49" s="3442"/>
      <c r="BD49" s="423"/>
      <c r="BE49" s="423"/>
      <c r="BF49" s="423"/>
      <c r="BG49" s="423"/>
      <c r="BH49" s="423"/>
      <c r="BI49" s="423"/>
      <c r="BJ49" s="423"/>
      <c r="BK49" s="423"/>
      <c r="BL49" s="423"/>
      <c r="BM49" s="423"/>
      <c r="BN49" s="423"/>
      <c r="BO49" s="423"/>
      <c r="BP49" s="423"/>
      <c r="BQ49" s="423"/>
      <c r="BR49" s="423"/>
      <c r="BS49" s="423"/>
      <c r="BT49" s="423"/>
      <c r="BU49" s="423"/>
      <c r="BV49" s="423"/>
      <c r="BW49" s="423"/>
      <c r="BX49" s="423"/>
      <c r="BY49" s="423"/>
      <c r="BZ49" s="423"/>
      <c r="CA49" s="423"/>
      <c r="CB49" s="423"/>
      <c r="CC49" s="423"/>
      <c r="CD49" s="423"/>
      <c r="CE49" s="423"/>
      <c r="CF49" s="423"/>
      <c r="CG49" s="423"/>
      <c r="CH49" s="423"/>
      <c r="CI49" s="423"/>
    </row>
    <row r="50" spans="1:100" ht="24" customHeight="1">
      <c r="A50" s="423"/>
      <c r="B50" s="423"/>
      <c r="C50" s="3377"/>
      <c r="D50" s="3378"/>
      <c r="E50" s="3378"/>
      <c r="F50" s="3378"/>
      <c r="G50" s="3378"/>
      <c r="H50" s="3378"/>
      <c r="I50" s="3378"/>
      <c r="J50" s="3378"/>
      <c r="K50" s="3383"/>
      <c r="L50" s="3378"/>
      <c r="M50" s="3378"/>
      <c r="N50" s="3378"/>
      <c r="O50" s="3378"/>
      <c r="P50" s="3378"/>
      <c r="Q50" s="3378"/>
      <c r="R50" s="3378"/>
      <c r="S50" s="3378"/>
      <c r="T50" s="3374"/>
      <c r="U50" s="3375"/>
      <c r="V50" s="3375"/>
      <c r="W50" s="3375"/>
      <c r="X50" s="3375"/>
      <c r="Y50" s="3375"/>
      <c r="Z50" s="3375"/>
      <c r="AA50" s="3375"/>
      <c r="AB50" s="3375"/>
      <c r="AC50" s="3376"/>
      <c r="AD50" s="423"/>
      <c r="AE50" s="423"/>
      <c r="AF50" s="423"/>
      <c r="AG50" s="423"/>
      <c r="AH50" s="423"/>
      <c r="AI50" s="3440"/>
      <c r="AJ50" s="3441"/>
      <c r="AK50" s="3441"/>
      <c r="AL50" s="3441"/>
      <c r="AM50" s="3441"/>
      <c r="AN50" s="3441"/>
      <c r="AO50" s="3441"/>
      <c r="AP50" s="3441"/>
      <c r="AQ50" s="3441"/>
      <c r="AR50" s="3441"/>
      <c r="AS50" s="3441"/>
      <c r="AT50" s="3441"/>
      <c r="AU50" s="3441"/>
      <c r="AV50" s="3441"/>
      <c r="AW50" s="3441"/>
      <c r="AX50" s="3441"/>
      <c r="AY50" s="3441"/>
      <c r="AZ50" s="3441"/>
      <c r="BA50" s="3441"/>
      <c r="BB50" s="3441"/>
      <c r="BC50" s="3442"/>
      <c r="BD50" s="423"/>
      <c r="BE50" s="423"/>
      <c r="BF50" s="423"/>
      <c r="BG50" s="423"/>
      <c r="BH50" s="423"/>
      <c r="BI50" s="423"/>
      <c r="BJ50" s="423"/>
      <c r="BK50" s="423"/>
      <c r="BL50" s="423"/>
      <c r="BM50" s="423"/>
      <c r="BN50" s="423"/>
      <c r="BO50" s="423"/>
      <c r="BP50" s="423"/>
      <c r="BQ50" s="423"/>
      <c r="BR50" s="423"/>
      <c r="BS50" s="423"/>
      <c r="BT50" s="423"/>
      <c r="BU50" s="423"/>
      <c r="BV50" s="423"/>
      <c r="BW50" s="423"/>
      <c r="BX50" s="423"/>
      <c r="BY50" s="423"/>
      <c r="BZ50" s="423"/>
      <c r="CA50" s="423"/>
      <c r="CB50" s="423"/>
      <c r="CC50" s="423"/>
      <c r="CD50" s="423"/>
      <c r="CE50" s="423"/>
      <c r="CF50" s="423"/>
      <c r="CG50" s="423"/>
      <c r="CH50" s="423"/>
      <c r="CI50" s="423"/>
    </row>
    <row r="51" spans="1:100" ht="24" customHeight="1">
      <c r="A51" s="423"/>
      <c r="B51" s="423"/>
      <c r="C51" s="3371"/>
      <c r="D51" s="3370"/>
      <c r="E51" s="3370"/>
      <c r="F51" s="3370"/>
      <c r="G51" s="3370"/>
      <c r="H51" s="3370"/>
      <c r="I51" s="3370"/>
      <c r="J51" s="3370"/>
      <c r="K51" s="3369"/>
      <c r="L51" s="3370"/>
      <c r="M51" s="3370"/>
      <c r="N51" s="3370"/>
      <c r="O51" s="3370"/>
      <c r="P51" s="3370"/>
      <c r="Q51" s="3370"/>
      <c r="R51" s="3370"/>
      <c r="S51" s="3370"/>
      <c r="T51" s="3398"/>
      <c r="U51" s="3399"/>
      <c r="V51" s="3399"/>
      <c r="W51" s="3399"/>
      <c r="X51" s="3399"/>
      <c r="Y51" s="3399"/>
      <c r="Z51" s="3399"/>
      <c r="AA51" s="3399"/>
      <c r="AB51" s="3399"/>
      <c r="AC51" s="3400"/>
      <c r="AD51" s="423"/>
      <c r="AE51" s="423"/>
      <c r="AF51" s="423"/>
      <c r="AG51" s="423"/>
      <c r="AH51" s="423"/>
      <c r="AI51" s="3443"/>
      <c r="AJ51" s="3444"/>
      <c r="AK51" s="3444"/>
      <c r="AL51" s="3444"/>
      <c r="AM51" s="3444"/>
      <c r="AN51" s="3444"/>
      <c r="AO51" s="3444"/>
      <c r="AP51" s="3444"/>
      <c r="AQ51" s="3444"/>
      <c r="AR51" s="3444"/>
      <c r="AS51" s="3444"/>
      <c r="AT51" s="3444"/>
      <c r="AU51" s="3444"/>
      <c r="AV51" s="3444"/>
      <c r="AW51" s="3444"/>
      <c r="AX51" s="3444"/>
      <c r="AY51" s="3444"/>
      <c r="AZ51" s="3444"/>
      <c r="BA51" s="3444"/>
      <c r="BB51" s="3444"/>
      <c r="BC51" s="3445"/>
      <c r="BD51" s="423"/>
      <c r="BE51" s="423"/>
      <c r="BF51" s="423"/>
      <c r="BG51" s="423"/>
      <c r="BH51" s="423"/>
      <c r="BI51" s="423"/>
      <c r="BJ51" s="423"/>
      <c r="BK51" s="423"/>
      <c r="BL51" s="423"/>
      <c r="BM51" s="423"/>
      <c r="BN51" s="423"/>
      <c r="BO51" s="423"/>
      <c r="BP51" s="423"/>
      <c r="BQ51" s="423"/>
      <c r="BR51" s="423"/>
      <c r="BS51" s="423"/>
      <c r="BT51" s="423"/>
      <c r="BU51" s="423"/>
      <c r="BV51" s="423"/>
      <c r="BW51" s="423"/>
      <c r="BX51" s="423"/>
      <c r="BY51" s="423"/>
      <c r="BZ51" s="423"/>
      <c r="CA51" s="423"/>
      <c r="CB51" s="423"/>
      <c r="CC51" s="423"/>
      <c r="CD51" s="423"/>
      <c r="CE51" s="423"/>
      <c r="CF51" s="423"/>
      <c r="CG51" s="423"/>
      <c r="CH51" s="423"/>
      <c r="CI51" s="423"/>
    </row>
    <row r="52" spans="1:100" ht="24" customHeight="1">
      <c r="A52" s="423"/>
      <c r="B52" s="423"/>
      <c r="C52" s="3377"/>
      <c r="D52" s="3378"/>
      <c r="E52" s="3378"/>
      <c r="F52" s="3378"/>
      <c r="G52" s="3378"/>
      <c r="H52" s="3378"/>
      <c r="I52" s="3378"/>
      <c r="J52" s="3378"/>
      <c r="K52" s="3383"/>
      <c r="L52" s="3378"/>
      <c r="M52" s="3378"/>
      <c r="N52" s="3378"/>
      <c r="O52" s="3378"/>
      <c r="P52" s="3378"/>
      <c r="Q52" s="3378"/>
      <c r="R52" s="3378"/>
      <c r="S52" s="3378"/>
      <c r="T52" s="3374"/>
      <c r="U52" s="3375"/>
      <c r="V52" s="3375"/>
      <c r="W52" s="3375"/>
      <c r="X52" s="3375"/>
      <c r="Y52" s="3375"/>
      <c r="Z52" s="3375"/>
      <c r="AA52" s="3375"/>
      <c r="AB52" s="3375"/>
      <c r="AC52" s="3376"/>
      <c r="AD52" s="423"/>
      <c r="AE52" s="423"/>
      <c r="AF52" s="423"/>
      <c r="AG52" s="423"/>
      <c r="AH52" s="423"/>
      <c r="AI52" s="3496" t="s">
        <v>204</v>
      </c>
      <c r="AJ52" s="3497"/>
      <c r="AK52" s="3497"/>
      <c r="AL52" s="3497"/>
      <c r="AM52" s="3497"/>
      <c r="AN52" s="3497"/>
      <c r="AO52" s="3497"/>
      <c r="AP52" s="3497"/>
      <c r="AQ52" s="3497"/>
      <c r="AR52" s="3497"/>
      <c r="AS52" s="3497"/>
      <c r="AT52" s="3497"/>
      <c r="AU52" s="3497"/>
      <c r="AV52" s="3497"/>
      <c r="AW52" s="3497"/>
      <c r="AX52" s="3497"/>
      <c r="AY52" s="3497"/>
      <c r="AZ52" s="3497"/>
      <c r="BA52" s="3497"/>
      <c r="BB52" s="3497"/>
      <c r="BC52" s="3498"/>
      <c r="BD52" s="423"/>
      <c r="BE52" s="423"/>
      <c r="BF52" s="423"/>
      <c r="BG52" s="423"/>
      <c r="BH52" s="423"/>
      <c r="BI52" s="423"/>
      <c r="BJ52" s="423"/>
      <c r="BK52" s="423"/>
      <c r="BL52" s="423"/>
      <c r="BM52" s="423"/>
      <c r="BN52" s="423"/>
      <c r="BO52" s="423"/>
      <c r="BP52" s="423"/>
      <c r="BQ52" s="423"/>
      <c r="BR52" s="423"/>
      <c r="BS52" s="423"/>
      <c r="BT52" s="423"/>
      <c r="BU52" s="423"/>
      <c r="BV52" s="423"/>
      <c r="BW52" s="423"/>
      <c r="BX52" s="423"/>
      <c r="BY52" s="423"/>
      <c r="BZ52" s="423"/>
      <c r="CA52" s="423"/>
      <c r="CB52" s="423"/>
      <c r="CC52" s="423"/>
      <c r="CD52" s="423"/>
      <c r="CE52" s="423"/>
      <c r="CF52" s="423"/>
      <c r="CG52" s="423"/>
      <c r="CH52" s="423"/>
      <c r="CI52" s="423"/>
    </row>
    <row r="53" spans="1:100" ht="24" customHeight="1" thickBot="1">
      <c r="A53" s="423"/>
      <c r="B53" s="423"/>
      <c r="C53" s="3371"/>
      <c r="D53" s="3370"/>
      <c r="E53" s="3370"/>
      <c r="F53" s="3370"/>
      <c r="G53" s="3370"/>
      <c r="H53" s="3370"/>
      <c r="I53" s="3370"/>
      <c r="J53" s="3370"/>
      <c r="K53" s="3369"/>
      <c r="L53" s="3370"/>
      <c r="M53" s="3370"/>
      <c r="N53" s="3370"/>
      <c r="O53" s="3370"/>
      <c r="P53" s="3370"/>
      <c r="Q53" s="3370"/>
      <c r="R53" s="3370"/>
      <c r="S53" s="3370"/>
      <c r="T53" s="3398"/>
      <c r="U53" s="3399"/>
      <c r="V53" s="3399"/>
      <c r="W53" s="3399"/>
      <c r="X53" s="3399"/>
      <c r="Y53" s="3399"/>
      <c r="Z53" s="3399"/>
      <c r="AA53" s="3399"/>
      <c r="AB53" s="3399"/>
      <c r="AC53" s="3400"/>
      <c r="AD53" s="423"/>
      <c r="AE53" s="423"/>
      <c r="AF53" s="423"/>
      <c r="AG53" s="423"/>
      <c r="AH53" s="423"/>
      <c r="AI53" s="3499"/>
      <c r="AJ53" s="3500"/>
      <c r="AK53" s="3500"/>
      <c r="AL53" s="3500"/>
      <c r="AM53" s="3500"/>
      <c r="AN53" s="3500"/>
      <c r="AO53" s="3500"/>
      <c r="AP53" s="3500"/>
      <c r="AQ53" s="3500"/>
      <c r="AR53" s="3500"/>
      <c r="AS53" s="3500"/>
      <c r="AT53" s="3500"/>
      <c r="AU53" s="3500"/>
      <c r="AV53" s="3500"/>
      <c r="AW53" s="3500"/>
      <c r="AX53" s="3500"/>
      <c r="AY53" s="3500"/>
      <c r="AZ53" s="3500"/>
      <c r="BA53" s="3500"/>
      <c r="BB53" s="3500"/>
      <c r="BC53" s="3501"/>
      <c r="BD53" s="423"/>
      <c r="BE53" s="423"/>
      <c r="BF53" s="423"/>
      <c r="BG53" s="423"/>
      <c r="BH53" s="423"/>
      <c r="BI53" s="423"/>
      <c r="BJ53" s="423"/>
      <c r="BK53" s="423"/>
      <c r="BL53" s="423"/>
      <c r="BM53" s="423"/>
      <c r="BN53" s="423"/>
      <c r="BO53" s="423"/>
      <c r="BP53" s="423"/>
      <c r="BQ53" s="423"/>
      <c r="BR53" s="423"/>
      <c r="BS53" s="423"/>
      <c r="BT53" s="423"/>
      <c r="BU53" s="423"/>
      <c r="BV53" s="423"/>
      <c r="BW53" s="423"/>
      <c r="BX53" s="423"/>
      <c r="BY53" s="423"/>
      <c r="BZ53" s="423"/>
      <c r="CA53" s="423"/>
      <c r="CB53" s="423"/>
      <c r="CC53" s="423"/>
      <c r="CD53" s="423"/>
      <c r="CE53" s="423"/>
      <c r="CF53" s="423"/>
      <c r="CG53" s="423"/>
      <c r="CH53" s="423"/>
      <c r="CI53" s="423"/>
    </row>
    <row r="54" spans="1:100" ht="24" customHeight="1" thickBot="1">
      <c r="A54" s="423"/>
      <c r="B54" s="423"/>
      <c r="C54" s="3379"/>
      <c r="D54" s="3380"/>
      <c r="E54" s="3380"/>
      <c r="F54" s="3380"/>
      <c r="G54" s="3380"/>
      <c r="H54" s="3380"/>
      <c r="I54" s="3380"/>
      <c r="J54" s="3380"/>
      <c r="K54" s="3383"/>
      <c r="L54" s="3378"/>
      <c r="M54" s="3378"/>
      <c r="N54" s="3378"/>
      <c r="O54" s="3378"/>
      <c r="P54" s="3378"/>
      <c r="Q54" s="3378"/>
      <c r="R54" s="3378"/>
      <c r="S54" s="3378"/>
      <c r="T54" s="3374"/>
      <c r="U54" s="3375"/>
      <c r="V54" s="3375"/>
      <c r="W54" s="3375"/>
      <c r="X54" s="3375"/>
      <c r="Y54" s="3375"/>
      <c r="Z54" s="3375"/>
      <c r="AA54" s="3375"/>
      <c r="AB54" s="3375"/>
      <c r="AC54" s="3376"/>
      <c r="AD54" s="423"/>
      <c r="AE54" s="423"/>
      <c r="AF54" s="423"/>
      <c r="AG54" s="423"/>
      <c r="AH54" s="423"/>
      <c r="AI54" s="3504" t="s">
        <v>205</v>
      </c>
      <c r="AJ54" s="3505"/>
      <c r="AK54" s="3505"/>
      <c r="AL54" s="3505"/>
      <c r="AM54" s="3505"/>
      <c r="AN54" s="3506"/>
      <c r="AO54" s="3395" t="str">
        <f>IF(AF6="","",AF6)</f>
        <v/>
      </c>
      <c r="AP54" s="3396"/>
      <c r="AQ54" s="3396"/>
      <c r="AR54" s="3397"/>
      <c r="AS54" s="3486" t="s">
        <v>206</v>
      </c>
      <c r="AT54" s="3487"/>
      <c r="AU54" s="3487"/>
      <c r="AV54" s="3487"/>
      <c r="AW54" s="3487"/>
      <c r="AX54" s="3488"/>
      <c r="AY54" s="3489" t="str">
        <f>IF(AC6="","",AC6)</f>
        <v/>
      </c>
      <c r="AZ54" s="3490"/>
      <c r="BA54" s="3491"/>
      <c r="BB54" s="3372"/>
      <c r="BC54" s="3373"/>
      <c r="BD54" s="423"/>
      <c r="BE54" s="423"/>
      <c r="BF54" s="423"/>
      <c r="BG54" s="423"/>
      <c r="BH54" s="423"/>
      <c r="BI54" s="423"/>
      <c r="BJ54" s="423"/>
      <c r="BK54" s="423"/>
      <c r="BL54" s="423"/>
      <c r="BM54" s="423"/>
      <c r="BN54" s="423"/>
      <c r="BO54" s="423"/>
      <c r="BP54" s="423"/>
      <c r="BQ54" s="423"/>
      <c r="BR54" s="423"/>
      <c r="BS54" s="423"/>
      <c r="BT54" s="423"/>
      <c r="BU54" s="423"/>
      <c r="BV54" s="423"/>
      <c r="BW54" s="423"/>
      <c r="BX54" s="423"/>
      <c r="BY54" s="423"/>
      <c r="BZ54" s="423"/>
      <c r="CA54" s="423"/>
      <c r="CB54" s="423"/>
      <c r="CC54" s="423"/>
      <c r="CD54" s="423"/>
      <c r="CE54" s="423"/>
      <c r="CF54" s="423"/>
      <c r="CG54" s="423"/>
      <c r="CH54" s="423"/>
      <c r="CI54" s="423"/>
    </row>
    <row r="55" spans="1:100" ht="24" customHeight="1">
      <c r="A55" s="423"/>
      <c r="B55" s="423"/>
      <c r="C55" s="3347"/>
      <c r="D55" s="3348"/>
      <c r="E55" s="3348"/>
      <c r="F55" s="3348"/>
      <c r="G55" s="3348"/>
      <c r="H55" s="3348"/>
      <c r="I55" s="3348"/>
      <c r="J55" s="3348"/>
      <c r="K55" s="3369"/>
      <c r="L55" s="3370"/>
      <c r="M55" s="3370"/>
      <c r="N55" s="3370"/>
      <c r="O55" s="3370"/>
      <c r="P55" s="3370"/>
      <c r="Q55" s="3370"/>
      <c r="R55" s="3370"/>
      <c r="S55" s="3370"/>
      <c r="T55" s="3398"/>
      <c r="U55" s="3399"/>
      <c r="V55" s="3399"/>
      <c r="W55" s="3399"/>
      <c r="X55" s="3399"/>
      <c r="Y55" s="3399"/>
      <c r="Z55" s="3399"/>
      <c r="AA55" s="3399"/>
      <c r="AB55" s="3399"/>
      <c r="AC55" s="3400"/>
      <c r="AD55" s="423"/>
      <c r="AE55" s="423"/>
      <c r="AF55" s="423"/>
      <c r="AG55" s="423"/>
      <c r="AH55" s="423"/>
      <c r="AI55" s="3403" t="s">
        <v>207</v>
      </c>
      <c r="AJ55" s="3404"/>
      <c r="AK55" s="3404"/>
      <c r="AL55" s="3404"/>
      <c r="AM55" s="3404"/>
      <c r="AN55" s="3404"/>
      <c r="AO55" s="3404"/>
      <c r="AP55" s="3404"/>
      <c r="AQ55" s="3404"/>
      <c r="AR55" s="3404"/>
      <c r="AS55" s="3404"/>
      <c r="AT55" s="3404"/>
      <c r="AU55" s="3404"/>
      <c r="AV55" s="3404"/>
      <c r="AW55" s="3404"/>
      <c r="AX55" s="3404"/>
      <c r="AY55" s="3404"/>
      <c r="AZ55" s="3404"/>
      <c r="BA55" s="3404"/>
      <c r="BB55" s="3404"/>
      <c r="BC55" s="3405"/>
      <c r="BD55" s="423"/>
      <c r="BE55" s="423"/>
      <c r="BF55" s="423"/>
      <c r="BG55" s="423"/>
      <c r="BH55" s="423"/>
      <c r="BI55" s="423"/>
      <c r="BJ55" s="423"/>
      <c r="BK55" s="423"/>
      <c r="BL55" s="423"/>
      <c r="BM55" s="423"/>
      <c r="BN55" s="423"/>
      <c r="BO55" s="423"/>
      <c r="BP55" s="423"/>
      <c r="BQ55" s="423"/>
      <c r="BR55" s="423"/>
      <c r="BS55" s="423"/>
      <c r="BT55" s="423"/>
      <c r="BU55" s="423"/>
      <c r="BV55" s="423"/>
      <c r="BW55" s="423"/>
      <c r="BX55" s="423"/>
      <c r="BY55" s="423"/>
      <c r="BZ55" s="423"/>
      <c r="CA55" s="423"/>
      <c r="CB55" s="423"/>
      <c r="CC55" s="423"/>
      <c r="CD55" s="423"/>
      <c r="CE55" s="423"/>
      <c r="CF55" s="423"/>
      <c r="CG55" s="423"/>
      <c r="CH55" s="423"/>
      <c r="CI55" s="423"/>
    </row>
    <row r="56" spans="1:100" ht="24" customHeight="1">
      <c r="A56" s="423"/>
      <c r="B56" s="423"/>
      <c r="C56" s="3385"/>
      <c r="D56" s="3386"/>
      <c r="E56" s="3386"/>
      <c r="F56" s="3386"/>
      <c r="G56" s="3386"/>
      <c r="H56" s="3386"/>
      <c r="I56" s="3386"/>
      <c r="J56" s="3386"/>
      <c r="K56" s="3383"/>
      <c r="L56" s="3378"/>
      <c r="M56" s="3378"/>
      <c r="N56" s="3378"/>
      <c r="O56" s="3378"/>
      <c r="P56" s="3378"/>
      <c r="Q56" s="3378"/>
      <c r="R56" s="3378"/>
      <c r="S56" s="3378"/>
      <c r="T56" s="3374"/>
      <c r="U56" s="3375"/>
      <c r="V56" s="3375"/>
      <c r="W56" s="3375"/>
      <c r="X56" s="3375"/>
      <c r="Y56" s="3375"/>
      <c r="Z56" s="3375"/>
      <c r="AA56" s="3375"/>
      <c r="AB56" s="3375"/>
      <c r="AC56" s="3376"/>
      <c r="AD56" s="423"/>
      <c r="AE56" s="423"/>
      <c r="AF56" s="423"/>
      <c r="AG56" s="423"/>
      <c r="AH56" s="423"/>
      <c r="AI56" s="3349"/>
      <c r="AJ56" s="3350"/>
      <c r="AK56" s="3350"/>
      <c r="AL56" s="3350"/>
      <c r="AM56" s="3350"/>
      <c r="AN56" s="3350"/>
      <c r="AO56" s="3350"/>
      <c r="AP56" s="3350"/>
      <c r="AQ56" s="3350"/>
      <c r="AR56" s="3350"/>
      <c r="AS56" s="3350"/>
      <c r="AT56" s="3350"/>
      <c r="AU56" s="3350"/>
      <c r="AV56" s="3350"/>
      <c r="AW56" s="3350"/>
      <c r="AX56" s="3350"/>
      <c r="AY56" s="3350"/>
      <c r="AZ56" s="3350"/>
      <c r="BA56" s="3350"/>
      <c r="BB56" s="3350"/>
      <c r="BC56" s="3351"/>
      <c r="BD56" s="423"/>
      <c r="BE56" s="423"/>
      <c r="BF56" s="423"/>
      <c r="BG56" s="423"/>
      <c r="BH56" s="423"/>
      <c r="BI56" s="423"/>
      <c r="BJ56" s="423"/>
      <c r="BK56" s="423"/>
      <c r="BL56" s="423"/>
      <c r="BM56" s="423"/>
      <c r="BN56" s="423"/>
      <c r="BO56" s="423"/>
      <c r="BP56" s="423"/>
      <c r="BQ56" s="423"/>
      <c r="BR56" s="423"/>
      <c r="BS56" s="423"/>
      <c r="BT56" s="423"/>
      <c r="BU56" s="423"/>
      <c r="BV56" s="423"/>
      <c r="BW56" s="423"/>
      <c r="BX56" s="423"/>
      <c r="BY56" s="423"/>
      <c r="BZ56" s="423"/>
      <c r="CA56" s="423"/>
      <c r="CB56" s="423"/>
      <c r="CC56" s="423"/>
      <c r="CD56" s="423"/>
      <c r="CE56" s="423"/>
      <c r="CF56" s="423"/>
      <c r="CG56" s="423"/>
      <c r="CH56" s="423"/>
      <c r="CI56" s="423"/>
    </row>
    <row r="57" spans="1:100" ht="24" customHeight="1">
      <c r="A57" s="423"/>
      <c r="B57" s="423"/>
      <c r="C57" s="3347"/>
      <c r="D57" s="3348"/>
      <c r="E57" s="3348"/>
      <c r="F57" s="3348"/>
      <c r="G57" s="3348"/>
      <c r="H57" s="3348"/>
      <c r="I57" s="3348"/>
      <c r="J57" s="3348"/>
      <c r="K57" s="3369"/>
      <c r="L57" s="3370"/>
      <c r="M57" s="3370"/>
      <c r="N57" s="3370"/>
      <c r="O57" s="3370"/>
      <c r="P57" s="3370"/>
      <c r="Q57" s="3370"/>
      <c r="R57" s="3370"/>
      <c r="S57" s="3370"/>
      <c r="T57" s="3398"/>
      <c r="U57" s="3399"/>
      <c r="V57" s="3399"/>
      <c r="W57" s="3399"/>
      <c r="X57" s="3399"/>
      <c r="Y57" s="3399"/>
      <c r="Z57" s="3399"/>
      <c r="AA57" s="3399"/>
      <c r="AB57" s="3399"/>
      <c r="AC57" s="3400"/>
      <c r="AD57" s="423"/>
      <c r="AE57" s="423"/>
      <c r="AF57" s="423"/>
      <c r="AG57" s="423"/>
      <c r="AH57" s="423"/>
      <c r="AI57" s="3352"/>
      <c r="AJ57" s="3353"/>
      <c r="AK57" s="3353"/>
      <c r="AL57" s="3353"/>
      <c r="AM57" s="3353"/>
      <c r="AN57" s="3353"/>
      <c r="AO57" s="3353"/>
      <c r="AP57" s="3353"/>
      <c r="AQ57" s="3353"/>
      <c r="AR57" s="3353"/>
      <c r="AS57" s="3353"/>
      <c r="AT57" s="3353"/>
      <c r="AU57" s="3353"/>
      <c r="AV57" s="3353"/>
      <c r="AW57" s="3353"/>
      <c r="AX57" s="3353"/>
      <c r="AY57" s="3353"/>
      <c r="AZ57" s="3353"/>
      <c r="BA57" s="3353"/>
      <c r="BB57" s="3353"/>
      <c r="BC57" s="3354"/>
      <c r="BD57" s="423"/>
      <c r="BE57" s="423"/>
      <c r="BF57" s="423"/>
      <c r="BG57" s="423"/>
      <c r="BH57" s="423"/>
      <c r="BI57" s="423"/>
      <c r="BJ57" s="423"/>
      <c r="BK57" s="423"/>
      <c r="BL57" s="423"/>
      <c r="BM57" s="423"/>
      <c r="BN57" s="423"/>
      <c r="BO57" s="423"/>
      <c r="BP57" s="423"/>
      <c r="BQ57" s="423"/>
      <c r="BR57" s="423"/>
      <c r="BS57" s="423"/>
      <c r="BT57" s="423"/>
      <c r="BU57" s="423"/>
      <c r="BV57" s="423"/>
      <c r="BW57" s="423"/>
      <c r="BX57" s="423"/>
      <c r="BY57" s="423"/>
      <c r="BZ57" s="423"/>
      <c r="CA57" s="423"/>
      <c r="CB57" s="423"/>
      <c r="CC57" s="423"/>
      <c r="CD57" s="423"/>
      <c r="CE57" s="423"/>
      <c r="CF57" s="423"/>
      <c r="CG57" s="423"/>
      <c r="CH57" s="423"/>
      <c r="CI57" s="423"/>
    </row>
    <row r="58" spans="1:100" ht="24" customHeight="1">
      <c r="A58" s="423"/>
      <c r="B58" s="423"/>
      <c r="C58" s="3385"/>
      <c r="D58" s="3386"/>
      <c r="E58" s="3386"/>
      <c r="F58" s="3386"/>
      <c r="G58" s="3386"/>
      <c r="H58" s="3386"/>
      <c r="I58" s="3386"/>
      <c r="J58" s="3386"/>
      <c r="K58" s="3383"/>
      <c r="L58" s="3378"/>
      <c r="M58" s="3378"/>
      <c r="N58" s="3378"/>
      <c r="O58" s="3378"/>
      <c r="P58" s="3378"/>
      <c r="Q58" s="3378"/>
      <c r="R58" s="3378"/>
      <c r="S58" s="3378"/>
      <c r="T58" s="3374"/>
      <c r="U58" s="3375"/>
      <c r="V58" s="3375"/>
      <c r="W58" s="3375"/>
      <c r="X58" s="3375"/>
      <c r="Y58" s="3375"/>
      <c r="Z58" s="3375"/>
      <c r="AA58" s="3375"/>
      <c r="AB58" s="3375"/>
      <c r="AC58" s="3376"/>
      <c r="AD58" s="423"/>
      <c r="AE58" s="423"/>
      <c r="AF58" s="423"/>
      <c r="AG58" s="423"/>
      <c r="AH58" s="423"/>
      <c r="AI58" s="3352"/>
      <c r="AJ58" s="3353"/>
      <c r="AK58" s="3353"/>
      <c r="AL58" s="3353"/>
      <c r="AM58" s="3353"/>
      <c r="AN58" s="3353"/>
      <c r="AO58" s="3353"/>
      <c r="AP58" s="3353"/>
      <c r="AQ58" s="3353"/>
      <c r="AR58" s="3353"/>
      <c r="AS58" s="3353"/>
      <c r="AT58" s="3353"/>
      <c r="AU58" s="3353"/>
      <c r="AV58" s="3353"/>
      <c r="AW58" s="3353"/>
      <c r="AX58" s="3353"/>
      <c r="AY58" s="3353"/>
      <c r="AZ58" s="3353"/>
      <c r="BA58" s="3353"/>
      <c r="BB58" s="3353"/>
      <c r="BC58" s="3354"/>
      <c r="BD58" s="423"/>
      <c r="BE58" s="423"/>
      <c r="BF58" s="423"/>
      <c r="BG58" s="423"/>
      <c r="BH58" s="423"/>
      <c r="BI58" s="423"/>
      <c r="BJ58" s="423"/>
      <c r="BK58" s="423"/>
      <c r="BL58" s="423"/>
      <c r="BM58" s="423"/>
      <c r="BN58" s="423"/>
      <c r="BO58" s="423"/>
      <c r="BP58" s="423"/>
      <c r="BQ58" s="423"/>
      <c r="BR58" s="423"/>
      <c r="BS58" s="423"/>
      <c r="BT58" s="423"/>
      <c r="BU58" s="423"/>
      <c r="BV58" s="423"/>
      <c r="BW58" s="423"/>
      <c r="BX58" s="423"/>
      <c r="BY58" s="423"/>
      <c r="BZ58" s="423"/>
      <c r="CA58" s="423"/>
      <c r="CB58" s="423"/>
      <c r="CC58" s="423"/>
      <c r="CD58" s="423"/>
      <c r="CE58" s="423"/>
      <c r="CF58" s="423"/>
      <c r="CG58" s="423"/>
      <c r="CH58" s="423"/>
      <c r="CI58" s="423"/>
    </row>
    <row r="59" spans="1:100" ht="24" customHeight="1">
      <c r="A59" s="423"/>
      <c r="B59" s="423"/>
      <c r="C59" s="3347"/>
      <c r="D59" s="3348"/>
      <c r="E59" s="3348"/>
      <c r="F59" s="3348"/>
      <c r="G59" s="3348"/>
      <c r="H59" s="3348"/>
      <c r="I59" s="3348"/>
      <c r="J59" s="3348"/>
      <c r="K59" s="3369"/>
      <c r="L59" s="3370"/>
      <c r="M59" s="3370"/>
      <c r="N59" s="3370"/>
      <c r="O59" s="3370"/>
      <c r="P59" s="3370"/>
      <c r="Q59" s="3370"/>
      <c r="R59" s="3370"/>
      <c r="S59" s="3370"/>
      <c r="T59" s="3398"/>
      <c r="U59" s="3399"/>
      <c r="V59" s="3399"/>
      <c r="W59" s="3399"/>
      <c r="X59" s="3399"/>
      <c r="Y59" s="3399"/>
      <c r="Z59" s="3399"/>
      <c r="AA59" s="3399"/>
      <c r="AB59" s="3399"/>
      <c r="AC59" s="3400"/>
      <c r="AD59" s="423"/>
      <c r="AE59" s="423"/>
      <c r="AF59" s="423"/>
      <c r="AG59" s="423"/>
      <c r="AH59" s="423"/>
      <c r="AI59" s="3352"/>
      <c r="AJ59" s="3353"/>
      <c r="AK59" s="3353"/>
      <c r="AL59" s="3353"/>
      <c r="AM59" s="3353"/>
      <c r="AN59" s="3353"/>
      <c r="AO59" s="3353"/>
      <c r="AP59" s="3353"/>
      <c r="AQ59" s="3353"/>
      <c r="AR59" s="3353"/>
      <c r="AS59" s="3353"/>
      <c r="AT59" s="3353"/>
      <c r="AU59" s="3353"/>
      <c r="AV59" s="3353"/>
      <c r="AW59" s="3353"/>
      <c r="AX59" s="3353"/>
      <c r="AY59" s="3353"/>
      <c r="AZ59" s="3353"/>
      <c r="BA59" s="3353"/>
      <c r="BB59" s="3353"/>
      <c r="BC59" s="3354"/>
      <c r="BD59" s="423"/>
      <c r="BE59" s="423"/>
      <c r="BF59" s="423"/>
      <c r="BG59" s="423"/>
      <c r="BH59" s="423"/>
      <c r="BI59" s="423"/>
      <c r="BJ59" s="423"/>
      <c r="BK59" s="423"/>
      <c r="BL59" s="423"/>
      <c r="BM59" s="423"/>
      <c r="BN59" s="423"/>
      <c r="BO59" s="423"/>
      <c r="BP59" s="423"/>
      <c r="BQ59" s="423"/>
      <c r="BR59" s="423"/>
      <c r="BS59" s="423"/>
      <c r="BT59" s="423"/>
      <c r="BU59" s="423"/>
      <c r="BV59" s="423"/>
      <c r="BW59" s="423"/>
      <c r="BX59" s="423"/>
      <c r="BY59" s="423"/>
      <c r="BZ59" s="423"/>
      <c r="CA59" s="423"/>
      <c r="CB59" s="423"/>
      <c r="CC59" s="423"/>
      <c r="CD59" s="423"/>
      <c r="CE59" s="423"/>
      <c r="CF59" s="423"/>
      <c r="CG59" s="423"/>
      <c r="CH59" s="423"/>
      <c r="CI59" s="423"/>
    </row>
    <row r="60" spans="1:100" ht="24" customHeight="1">
      <c r="A60" s="423"/>
      <c r="B60" s="423"/>
      <c r="C60" s="3385"/>
      <c r="D60" s="3386"/>
      <c r="E60" s="3386"/>
      <c r="F60" s="3386"/>
      <c r="G60" s="3386"/>
      <c r="H60" s="3386"/>
      <c r="I60" s="3386"/>
      <c r="J60" s="3386"/>
      <c r="K60" s="562"/>
      <c r="L60" s="563"/>
      <c r="M60" s="563"/>
      <c r="N60" s="563"/>
      <c r="O60" s="563"/>
      <c r="P60" s="563"/>
      <c r="Q60" s="563"/>
      <c r="R60" s="563"/>
      <c r="S60" s="563"/>
      <c r="T60" s="3374"/>
      <c r="U60" s="3375"/>
      <c r="V60" s="3375"/>
      <c r="W60" s="3375"/>
      <c r="X60" s="3375"/>
      <c r="Y60" s="3375"/>
      <c r="Z60" s="3375"/>
      <c r="AA60" s="3375"/>
      <c r="AB60" s="3375"/>
      <c r="AC60" s="3376"/>
      <c r="AD60" s="423"/>
      <c r="AE60" s="423"/>
      <c r="AF60" s="423"/>
      <c r="AG60" s="423"/>
      <c r="AH60" s="423"/>
      <c r="AI60" s="3352"/>
      <c r="AJ60" s="3353"/>
      <c r="AK60" s="3353"/>
      <c r="AL60" s="3353"/>
      <c r="AM60" s="3353"/>
      <c r="AN60" s="3353"/>
      <c r="AO60" s="3353"/>
      <c r="AP60" s="3353"/>
      <c r="AQ60" s="3353"/>
      <c r="AR60" s="3353"/>
      <c r="AS60" s="3353"/>
      <c r="AT60" s="3353"/>
      <c r="AU60" s="3353"/>
      <c r="AV60" s="3353"/>
      <c r="AW60" s="3353"/>
      <c r="AX60" s="3353"/>
      <c r="AY60" s="3353"/>
      <c r="AZ60" s="3353"/>
      <c r="BA60" s="3353"/>
      <c r="BB60" s="3353"/>
      <c r="BC60" s="3354"/>
      <c r="BD60" s="423"/>
      <c r="BE60" s="423"/>
      <c r="BF60" s="423"/>
      <c r="BG60" s="423"/>
      <c r="BH60" s="423"/>
      <c r="BI60" s="423"/>
      <c r="BJ60" s="423"/>
      <c r="BK60" s="423"/>
      <c r="BL60" s="423"/>
      <c r="BM60" s="423"/>
      <c r="BN60" s="423"/>
      <c r="BO60" s="423"/>
      <c r="BP60" s="423"/>
      <c r="BQ60" s="423"/>
      <c r="BR60" s="423"/>
      <c r="BS60" s="423"/>
      <c r="BT60" s="423"/>
      <c r="BU60" s="423"/>
      <c r="BV60" s="423"/>
      <c r="BW60" s="423"/>
      <c r="BX60" s="423"/>
      <c r="BY60" s="423"/>
      <c r="BZ60" s="423"/>
      <c r="CA60" s="423"/>
      <c r="CB60" s="423"/>
      <c r="CC60" s="423"/>
      <c r="CD60" s="423"/>
      <c r="CE60" s="423"/>
      <c r="CF60" s="423"/>
      <c r="CG60" s="423"/>
      <c r="CH60" s="423"/>
      <c r="CI60" s="423"/>
    </row>
    <row r="61" spans="1:100" ht="24" customHeight="1" thickBot="1">
      <c r="A61" s="423"/>
      <c r="B61" s="423"/>
      <c r="C61" s="3387"/>
      <c r="D61" s="3388"/>
      <c r="E61" s="3388"/>
      <c r="F61" s="3388"/>
      <c r="G61" s="3388"/>
      <c r="H61" s="3388"/>
      <c r="I61" s="3388"/>
      <c r="J61" s="3388"/>
      <c r="K61" s="3411"/>
      <c r="L61" s="3412"/>
      <c r="M61" s="3412"/>
      <c r="N61" s="3412"/>
      <c r="O61" s="3412"/>
      <c r="P61" s="3412"/>
      <c r="Q61" s="3412"/>
      <c r="R61" s="3412"/>
      <c r="S61" s="3412"/>
      <c r="T61" s="3362"/>
      <c r="U61" s="3363"/>
      <c r="V61" s="3363"/>
      <c r="W61" s="3363"/>
      <c r="X61" s="3363"/>
      <c r="Y61" s="3363"/>
      <c r="Z61" s="3363"/>
      <c r="AA61" s="3363"/>
      <c r="AB61" s="3363"/>
      <c r="AC61" s="3364"/>
      <c r="AD61" s="432"/>
      <c r="AE61" s="432"/>
      <c r="AF61" s="432"/>
      <c r="AG61" s="432"/>
      <c r="AH61" s="432"/>
      <c r="AI61" s="3355"/>
      <c r="AJ61" s="3356"/>
      <c r="AK61" s="3356"/>
      <c r="AL61" s="3356"/>
      <c r="AM61" s="3356"/>
      <c r="AN61" s="3356"/>
      <c r="AO61" s="3356"/>
      <c r="AP61" s="3356"/>
      <c r="AQ61" s="3356"/>
      <c r="AR61" s="3356"/>
      <c r="AS61" s="3356"/>
      <c r="AT61" s="3356"/>
      <c r="AU61" s="3356"/>
      <c r="AV61" s="3356"/>
      <c r="AW61" s="3356"/>
      <c r="AX61" s="3356"/>
      <c r="AY61" s="3356"/>
      <c r="AZ61" s="3356"/>
      <c r="BA61" s="3356"/>
      <c r="BB61" s="3356"/>
      <c r="BC61" s="3357"/>
      <c r="BD61" s="423"/>
      <c r="BE61" s="423"/>
      <c r="BF61" s="423"/>
      <c r="BG61" s="423"/>
      <c r="BH61" s="423"/>
      <c r="BI61" s="423"/>
      <c r="BJ61" s="423"/>
      <c r="BK61" s="423"/>
      <c r="BL61" s="423"/>
      <c r="BM61" s="423"/>
      <c r="BN61" s="423"/>
      <c r="BO61" s="423"/>
      <c r="BP61" s="423"/>
      <c r="BQ61" s="423"/>
      <c r="BR61" s="423"/>
      <c r="BS61" s="423"/>
      <c r="BT61" s="423"/>
      <c r="BU61" s="423"/>
      <c r="BV61" s="423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  <c r="CG61" s="432"/>
      <c r="CH61" s="432"/>
      <c r="CI61" s="432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</row>
    <row r="62" spans="1:100" ht="18">
      <c r="A62" s="423"/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423"/>
      <c r="Q62" s="436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1735"/>
      <c r="AC62" s="423"/>
      <c r="AD62" s="423"/>
      <c r="AE62" s="423"/>
      <c r="AF62" s="423"/>
      <c r="AG62" s="423"/>
      <c r="AH62" s="423"/>
      <c r="AI62" s="423"/>
      <c r="AJ62" s="423"/>
      <c r="AK62" s="423"/>
      <c r="AL62" s="423"/>
      <c r="AM62" s="423"/>
      <c r="AN62" s="423"/>
      <c r="AO62" s="423"/>
      <c r="AP62" s="423"/>
      <c r="AQ62" s="423"/>
      <c r="AR62" s="423"/>
      <c r="AS62" s="423"/>
      <c r="AT62" s="423"/>
      <c r="AU62" s="423"/>
      <c r="AV62" s="423"/>
      <c r="AW62" s="423"/>
      <c r="AX62" s="423"/>
      <c r="AY62" s="423"/>
      <c r="AZ62" s="423"/>
      <c r="BA62" s="423"/>
      <c r="BB62" s="423"/>
      <c r="BC62" s="423"/>
      <c r="BD62" s="423"/>
      <c r="BE62" s="423"/>
      <c r="BF62" s="423"/>
      <c r="BG62" s="423"/>
      <c r="BH62" s="423"/>
      <c r="BI62" s="423"/>
      <c r="BJ62" s="423"/>
      <c r="BK62" s="423"/>
      <c r="BL62" s="423"/>
      <c r="BM62" s="423"/>
      <c r="BN62" s="423"/>
      <c r="BO62" s="423"/>
      <c r="BP62" s="423"/>
      <c r="BQ62" s="423"/>
      <c r="BR62" s="423"/>
      <c r="BS62" s="423"/>
      <c r="BT62" s="423"/>
      <c r="BU62" s="423"/>
      <c r="BV62" s="423"/>
      <c r="BW62" s="432"/>
      <c r="BX62" s="565"/>
      <c r="BY62" s="565"/>
      <c r="BZ62" s="565"/>
      <c r="CA62" s="565"/>
      <c r="CB62" s="565"/>
      <c r="CC62" s="565"/>
      <c r="CD62" s="565"/>
      <c r="CE62" s="565"/>
      <c r="CF62" s="565"/>
      <c r="CG62" s="565"/>
      <c r="CH62" s="565"/>
      <c r="CI62" s="565"/>
      <c r="CJ62" s="566"/>
      <c r="CK62" s="566"/>
      <c r="CL62" s="566"/>
      <c r="CM62" s="566"/>
      <c r="CN62" s="566"/>
      <c r="CO62" s="566"/>
      <c r="CP62" s="566"/>
      <c r="CQ62" s="566"/>
      <c r="CR62" s="566"/>
      <c r="CS62" s="566"/>
      <c r="CT62" s="566"/>
      <c r="CU62" s="566"/>
      <c r="CV62" s="564"/>
    </row>
    <row r="63" spans="1:100" ht="20">
      <c r="A63" s="485"/>
      <c r="B63" s="567" t="s">
        <v>208</v>
      </c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85"/>
      <c r="P63" s="485"/>
      <c r="Q63" s="534"/>
      <c r="R63" s="485"/>
      <c r="S63" s="485"/>
      <c r="T63" s="485"/>
      <c r="U63" s="485"/>
      <c r="V63" s="485"/>
      <c r="W63" s="485"/>
      <c r="X63" s="1868"/>
      <c r="Y63" s="1868"/>
      <c r="Z63" s="1868"/>
      <c r="AA63" s="1868"/>
      <c r="AB63" s="1868"/>
      <c r="AC63" s="1868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535"/>
      <c r="BX63" s="568"/>
      <c r="BY63" s="568"/>
      <c r="BZ63" s="568"/>
      <c r="CA63" s="568"/>
      <c r="CB63" s="568"/>
      <c r="CC63" s="568"/>
      <c r="CD63" s="568"/>
      <c r="CE63" s="568"/>
      <c r="CF63" s="568"/>
      <c r="CG63" s="568"/>
      <c r="CH63" s="568"/>
      <c r="CI63" s="568"/>
      <c r="CJ63" s="566"/>
      <c r="CK63" s="566"/>
      <c r="CL63" s="566"/>
      <c r="CM63" s="566"/>
      <c r="CN63" s="566"/>
      <c r="CO63" s="566"/>
      <c r="CP63" s="566"/>
      <c r="CQ63" s="566"/>
      <c r="CR63" s="566"/>
      <c r="CS63" s="566"/>
      <c r="CT63" s="566"/>
      <c r="CU63" s="566"/>
      <c r="CV63" s="564"/>
    </row>
    <row r="64" spans="1:100" ht="16.5" customHeight="1">
      <c r="A64" s="485"/>
      <c r="B64" s="485"/>
      <c r="C64" s="485"/>
      <c r="D64" s="485"/>
      <c r="E64" s="485"/>
      <c r="F64" s="485"/>
      <c r="G64" s="485"/>
      <c r="H64" s="485"/>
      <c r="I64" s="485"/>
      <c r="J64" s="485"/>
      <c r="K64" s="485"/>
      <c r="L64" s="485"/>
      <c r="M64" s="485"/>
      <c r="N64" s="485"/>
      <c r="O64" s="485"/>
      <c r="P64" s="485"/>
      <c r="Q64" s="534"/>
      <c r="R64" s="485"/>
      <c r="S64" s="485"/>
      <c r="T64" s="485"/>
      <c r="U64" s="485"/>
      <c r="V64" s="485"/>
      <c r="W64" s="485"/>
      <c r="X64" s="1867" t="str">
        <f ca="1">"https://ftp.ncep.noaa.gov/data/nccf/com/lmp/prod/lmp."&amp;TEXT(YEAR(NOW()-(AH2)/24-41/1440),"0000")&amp;TEXT(MONTH(NOW()-(AH2)/24-41/1440),"00")&amp;TEXT(DAY(NOW()-(AH2)/24-41/1440),"00")&amp;"/lmp_lavtxt.t"&amp;TEXT(HOUR(NOW()-(AH2)/24-41/1440),"00")&amp;"30z"</f>
        <v>https://ftp.ncep.noaa.gov/data/nccf/com/lmp/prod/lmp.20220706/lmp_lavtxt.t1130z</v>
      </c>
      <c r="Y64" s="485"/>
      <c r="Z64" s="485"/>
      <c r="AA64" s="485"/>
      <c r="AB64" s="1736"/>
      <c r="AC64" s="485"/>
      <c r="AD64" s="833" t="s">
        <v>209</v>
      </c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536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535"/>
      <c r="BX64" s="569"/>
      <c r="BY64" s="569"/>
      <c r="BZ64" s="569"/>
      <c r="CA64" s="569"/>
      <c r="CB64" s="569"/>
      <c r="CC64" s="569"/>
      <c r="CD64" s="569"/>
      <c r="CE64" s="569"/>
      <c r="CF64" s="569"/>
      <c r="CG64" s="569"/>
      <c r="CH64" s="569"/>
      <c r="CI64" s="569"/>
      <c r="CJ64" s="570"/>
      <c r="CK64" s="570"/>
      <c r="CL64" s="570"/>
      <c r="CM64" s="570"/>
      <c r="CN64" s="570"/>
      <c r="CO64" s="570"/>
      <c r="CP64" s="570"/>
      <c r="CQ64" s="570"/>
      <c r="CR64" s="570"/>
      <c r="CS64" s="570"/>
      <c r="CT64" s="570"/>
      <c r="CU64" s="570"/>
      <c r="CV64" s="564"/>
    </row>
    <row r="65" spans="1:100" ht="16.5" customHeight="1" thickBot="1">
      <c r="A65" s="485"/>
      <c r="B65" s="485"/>
      <c r="C65" s="485"/>
      <c r="D65" s="485"/>
      <c r="E65" s="485"/>
      <c r="F65" s="485"/>
      <c r="G65" s="485"/>
      <c r="H65" s="485"/>
      <c r="I65" s="485"/>
      <c r="J65" s="485"/>
      <c r="K65" s="498" t="str">
        <f>"Basetime: "&amp;MID(K66,39,25)</f>
        <v xml:space="preserve">Basetime:  0030 UTC   7/06/2022    </v>
      </c>
      <c r="L65" s="485"/>
      <c r="M65" s="485"/>
      <c r="N65" s="485"/>
      <c r="O65" s="485"/>
      <c r="P65" s="485"/>
      <c r="Q65" s="485"/>
      <c r="R65" s="485"/>
      <c r="S65" s="485"/>
      <c r="T65" s="1803">
        <v>1</v>
      </c>
      <c r="U65" s="1803">
        <v>1</v>
      </c>
      <c r="V65" s="1803">
        <v>1</v>
      </c>
      <c r="W65" s="1803">
        <v>1</v>
      </c>
      <c r="X65" s="1803">
        <v>1</v>
      </c>
      <c r="Y65" s="1803">
        <v>1</v>
      </c>
      <c r="Z65" s="1803">
        <v>1</v>
      </c>
      <c r="AA65" s="1803">
        <v>1</v>
      </c>
      <c r="AB65" s="1736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535"/>
      <c r="BX65" s="535"/>
      <c r="BY65" s="535"/>
      <c r="BZ65" s="535"/>
      <c r="CA65" s="535"/>
      <c r="CB65" s="535"/>
      <c r="CC65" s="535"/>
      <c r="CD65" s="535"/>
      <c r="CE65" s="535"/>
      <c r="CF65" s="535"/>
      <c r="CG65" s="535"/>
      <c r="CH65" s="535"/>
      <c r="CI65" s="535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</row>
    <row r="66" spans="1:100" ht="16.5" customHeight="1">
      <c r="A66" s="485"/>
      <c r="B66" s="485"/>
      <c r="C66" s="485"/>
      <c r="D66" s="485"/>
      <c r="E66" s="485"/>
      <c r="F66" s="485"/>
      <c r="G66" s="485"/>
      <c r="H66" s="485"/>
      <c r="I66" s="485"/>
      <c r="J66" s="485"/>
      <c r="K66" s="404" t="s">
        <v>2913</v>
      </c>
      <c r="L66" s="1919"/>
      <c r="M66" s="486"/>
      <c r="N66" s="486"/>
      <c r="O66" s="486"/>
      <c r="P66" s="486"/>
      <c r="Q66" s="486"/>
      <c r="R66" s="486"/>
      <c r="S66" s="485"/>
      <c r="T66" s="1803">
        <v>1</v>
      </c>
      <c r="U66" s="3408" t="str">
        <f ca="1">HYPERLINK(X64,"KFTK LAMP BACKUP")</f>
        <v>KFTK LAMP BACKUP</v>
      </c>
      <c r="V66" s="3409"/>
      <c r="W66" s="3409"/>
      <c r="X66" s="3409"/>
      <c r="Y66" s="3409"/>
      <c r="Z66" s="3409"/>
      <c r="AA66" s="1803">
        <v>1</v>
      </c>
      <c r="AB66" s="1736"/>
      <c r="AC66" s="485"/>
      <c r="AD66" s="2930" t="s">
        <v>37</v>
      </c>
      <c r="AE66" s="2923"/>
      <c r="AF66" s="2923"/>
      <c r="AG66" s="2923"/>
      <c r="AH66" s="3210" t="s">
        <v>38</v>
      </c>
      <c r="AI66" s="3211"/>
      <c r="AJ66" s="3211"/>
      <c r="AK66" s="3211"/>
      <c r="AL66" s="3211"/>
      <c r="AM66" s="3211"/>
      <c r="AN66" s="3211"/>
      <c r="AO66" s="3211"/>
      <c r="AP66" s="3211"/>
      <c r="AQ66" s="3211"/>
      <c r="AR66" s="3211"/>
      <c r="AS66" s="3212"/>
      <c r="AT66" s="3211" t="s">
        <v>39</v>
      </c>
      <c r="AU66" s="3211"/>
      <c r="AV66" s="3211"/>
      <c r="AW66" s="3211"/>
      <c r="AX66" s="3211"/>
      <c r="AY66" s="3211"/>
      <c r="AZ66" s="3211"/>
      <c r="BA66" s="3211"/>
      <c r="BB66" s="3211"/>
      <c r="BC66" s="3212"/>
      <c r="BD66" s="3213" t="s">
        <v>40</v>
      </c>
      <c r="BE66" s="3213"/>
      <c r="BF66" s="3213" t="str">
        <f>AQ6</f>
        <v>WBGT</v>
      </c>
      <c r="BG66" s="3213"/>
      <c r="BH66" s="3210" t="s">
        <v>41</v>
      </c>
      <c r="BI66" s="3211"/>
      <c r="BJ66" s="3211"/>
      <c r="BK66" s="3211"/>
      <c r="BL66" s="3211"/>
      <c r="BM66" s="3211"/>
      <c r="BN66" s="3211"/>
      <c r="BO66" s="3211"/>
      <c r="BP66" s="3211"/>
      <c r="BQ66" s="3211"/>
      <c r="BR66" s="3211"/>
      <c r="BS66" s="3212"/>
      <c r="BT66" s="2930" t="s">
        <v>42</v>
      </c>
      <c r="BU66" s="2924"/>
      <c r="BV66" s="2923" t="s">
        <v>43</v>
      </c>
      <c r="BW66" s="2923"/>
      <c r="BX66" s="2924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U66" s="571"/>
      <c r="CV66" s="564"/>
    </row>
    <row r="67" spans="1:100" ht="16.5" customHeight="1">
      <c r="A67" s="485"/>
      <c r="B67" s="485"/>
      <c r="C67" s="485"/>
      <c r="D67" s="485"/>
      <c r="E67" s="485"/>
      <c r="F67" s="485"/>
      <c r="G67" s="485"/>
      <c r="H67" s="485"/>
      <c r="I67" s="485"/>
      <c r="J67" s="485"/>
      <c r="K67" s="500" t="s">
        <v>2914</v>
      </c>
      <c r="L67" s="485"/>
      <c r="M67" s="487"/>
      <c r="N67" s="488"/>
      <c r="O67" s="487"/>
      <c r="P67" s="487"/>
      <c r="Q67" s="489"/>
      <c r="R67" s="489"/>
      <c r="S67" s="485"/>
      <c r="T67" s="1803">
        <v>1</v>
      </c>
      <c r="U67" s="3409"/>
      <c r="V67" s="3409"/>
      <c r="W67" s="3409"/>
      <c r="X67" s="3409"/>
      <c r="Y67" s="3409"/>
      <c r="Z67" s="3409"/>
      <c r="AA67" s="1803">
        <v>1</v>
      </c>
      <c r="AB67" s="1736"/>
      <c r="AC67" s="485"/>
      <c r="AD67" s="2931"/>
      <c r="AE67" s="3483"/>
      <c r="AF67" s="3483"/>
      <c r="AG67" s="3483"/>
      <c r="AH67" s="3507" t="s">
        <v>210</v>
      </c>
      <c r="AI67" s="3025"/>
      <c r="AJ67" s="3025" t="s">
        <v>211</v>
      </c>
      <c r="AK67" s="3025"/>
      <c r="AL67" s="3492" t="s">
        <v>212</v>
      </c>
      <c r="AM67" s="3492"/>
      <c r="AN67" s="2927" t="s">
        <v>213</v>
      </c>
      <c r="AO67" s="2927"/>
      <c r="AP67" s="2928" t="s">
        <v>214</v>
      </c>
      <c r="AQ67" s="2928"/>
      <c r="AR67" s="2928"/>
      <c r="AS67" s="2929"/>
      <c r="AT67" s="3025" t="s">
        <v>210</v>
      </c>
      <c r="AU67" s="3025"/>
      <c r="AV67" s="3025" t="s">
        <v>211</v>
      </c>
      <c r="AW67" s="3025"/>
      <c r="AX67" s="3492" t="s">
        <v>212</v>
      </c>
      <c r="AY67" s="3492"/>
      <c r="AZ67" s="2927" t="s">
        <v>213</v>
      </c>
      <c r="BA67" s="2927"/>
      <c r="BB67" s="2928" t="s">
        <v>214</v>
      </c>
      <c r="BC67" s="2929"/>
      <c r="BD67" s="3214"/>
      <c r="BE67" s="3214"/>
      <c r="BF67" s="3214"/>
      <c r="BG67" s="3214"/>
      <c r="BH67" s="3025" t="s">
        <v>211</v>
      </c>
      <c r="BI67" s="3025"/>
      <c r="BJ67" s="3025"/>
      <c r="BK67" s="3025" t="s">
        <v>215</v>
      </c>
      <c r="BL67" s="3025"/>
      <c r="BM67" s="3025"/>
      <c r="BN67" s="2927" t="s">
        <v>216</v>
      </c>
      <c r="BO67" s="2927"/>
      <c r="BP67" s="2927"/>
      <c r="BQ67" s="3026" t="s">
        <v>214</v>
      </c>
      <c r="BR67" s="3026"/>
      <c r="BS67" s="3027"/>
      <c r="BT67" s="2931"/>
      <c r="BU67" s="2932"/>
      <c r="BV67" s="2925"/>
      <c r="BW67" s="2925"/>
      <c r="BX67" s="2926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U67" s="572"/>
      <c r="CV67" s="564"/>
    </row>
    <row r="68" spans="1:100" ht="16.5" customHeight="1">
      <c r="A68" s="485"/>
      <c r="B68" s="485"/>
      <c r="C68" s="485"/>
      <c r="D68" s="485"/>
      <c r="E68" s="485"/>
      <c r="F68" s="485"/>
      <c r="G68" s="485"/>
      <c r="H68" s="485"/>
      <c r="I68" s="485"/>
      <c r="J68" s="485"/>
      <c r="K68" s="500" t="s">
        <v>2915</v>
      </c>
      <c r="L68" s="485"/>
      <c r="M68" s="487"/>
      <c r="N68" s="3413" t="str">
        <f>"Basetime: "&amp;TEXT(MID(N69,15,2)*1,"#")&amp;"/"&amp;MID(N69,17,2)&amp;"/"&amp;MID(N69,11,4)&amp;"  "&amp;MID(N69,19,2)&amp;"00 UTC"</f>
        <v>Basetime: 7/05/2022  1800 UTC</v>
      </c>
      <c r="O68" s="3413"/>
      <c r="P68" s="3413"/>
      <c r="Q68" s="3413"/>
      <c r="R68" s="3413"/>
      <c r="S68" s="3413"/>
      <c r="T68" s="3413"/>
      <c r="U68" s="3413"/>
      <c r="V68" s="3413"/>
      <c r="W68" s="1803">
        <v>1</v>
      </c>
      <c r="X68" s="1803">
        <v>1</v>
      </c>
      <c r="Y68" s="1803">
        <v>1</v>
      </c>
      <c r="Z68" s="1803">
        <v>1</v>
      </c>
      <c r="AA68" s="1803">
        <v>1</v>
      </c>
      <c r="AB68" s="1736"/>
      <c r="AC68" s="485"/>
      <c r="AD68" s="3401">
        <f>IF(X6="A",Q6+AI4,IF(X6="B",Q6+AL4,IF(X6="C",Q6+AO4,IF(X6="D",Q6+AR4,""))))</f>
        <v>44748.375</v>
      </c>
      <c r="AE68" s="3402"/>
      <c r="AF68" s="3382">
        <f>AD68-(AH2/24)</f>
        <v>44748.541666666664</v>
      </c>
      <c r="AG68" s="3382"/>
      <c r="AH68" s="3333">
        <f>INDEX(calc!$AE$207:$AM$314,MATCH("START",calc!$AD$207:$AD$314,0),1)</f>
        <v>79</v>
      </c>
      <c r="AI68" s="3199"/>
      <c r="AJ68" s="3199">
        <f>INDEX(calc!$AE$207:$AM$314,MATCH("START",calc!$AD$207:$AD$314,0),2)</f>
        <v>83.899999999999991</v>
      </c>
      <c r="AK68" s="3199"/>
      <c r="AL68" s="3199">
        <f>INDEX(calc!$AE$207:$AM$314,MATCH("START",calc!$AD$207:$AD$314,0),3)</f>
        <v>82.4</v>
      </c>
      <c r="AM68" s="3199"/>
      <c r="AN68" s="3005">
        <v>84</v>
      </c>
      <c r="AO68" s="3006"/>
      <c r="AP68" s="3365">
        <f t="shared" ref="AP68:AP80" si="0">IF(AND($V$75="MANUAL",AN68&lt;&gt;""),AN68,IF($V$78="LAMP",IF($AQ$82="Yes",AH68+$AR$85,AH68),IF($V$78="GALWEM",IF($AQ$82="Yes",AL68+$AR$85,AL68),IF($AQ$82="Yes",AJ68+$AR$85,AJ68))))</f>
        <v>84</v>
      </c>
      <c r="AQ68" s="3366"/>
      <c r="AR68" s="3207">
        <f>5/9*(AP68-32)</f>
        <v>28.888888888888889</v>
      </c>
      <c r="AS68" s="3208">
        <f t="shared" ref="AS68:AS80" si="1">5/9*(AH68-32)</f>
        <v>26.111111111111111</v>
      </c>
      <c r="AT68" s="3346">
        <f>INDEX(calc!$AE$207:$AM$314,MATCH("START",calc!$AD$207:$AD$314,0),5)</f>
        <v>75</v>
      </c>
      <c r="AU68" s="3199"/>
      <c r="AV68" s="3199">
        <f>INDEX(calc!$AE$207:$AM$314,MATCH("START",calc!$AD$207:$AD$314,0),6)</f>
        <v>75.080000000000055</v>
      </c>
      <c r="AW68" s="3199"/>
      <c r="AX68" s="3199">
        <f>INDEX(calc!$AE$207:$AM$314,MATCH("START",calc!$AD$207:$AD$314,0),7)</f>
        <v>77</v>
      </c>
      <c r="AY68" s="3199"/>
      <c r="AZ68" s="3005">
        <v>77</v>
      </c>
      <c r="BA68" s="3006"/>
      <c r="BB68" s="3201">
        <f>IF(AND($V$75="MANUAL",AZ68&lt;&gt;""),AZ68,IF($V$78="LAMP",IF($BA$82="Yes",AT68+$BB$85,AT68),IF($V$78="GALWEM",IF($BA$82="Yes",AX68+$BB$85,AX68),IF($BA$82="Yes",AV68+$BB$85,AV68))))</f>
        <v>77</v>
      </c>
      <c r="BC68" s="3202"/>
      <c r="BD68" s="3203">
        <f>IF(ROUND(AP68,0)=ROUND(BB68,0),1,(6.11*10^(7.5*(5/9*(BB68-32))/(237.7+(5/9*(BB68-32)))))/(6.11*10^(7.5*AR68/(237.7+AR68))))</f>
        <v>0.79616826474071245</v>
      </c>
      <c r="BE68" s="3203">
        <f>(6.11*10^(7.5*(5/9*(BD68-32))/(237.7+(5/9*(BD68-32)))))/(6.11*10^(7.5*AT68/(237.7+AT68)))</f>
        <v>4.0845783648660117E-3</v>
      </c>
      <c r="BF68" s="3196">
        <f>calc!X8</f>
        <v>87.067616301690279</v>
      </c>
      <c r="BG68" s="3196">
        <v>32</v>
      </c>
      <c r="BH68" s="2993">
        <f>INDEX(calc!$AE$207:$AM$314,MATCH("START",calc!$AD$207:$AD$314,0),8)</f>
        <v>29.946666666666665</v>
      </c>
      <c r="BI68" s="2993"/>
      <c r="BJ68" s="2994"/>
      <c r="BK68" s="3198">
        <f>INDEX(calc!$AE$207:$AM$314,MATCH("START",calc!$AD$207:$AD$314,0),9)</f>
        <v>29.98</v>
      </c>
      <c r="BL68" s="2993"/>
      <c r="BM68" s="2994"/>
      <c r="BN68" s="3029">
        <v>29.95</v>
      </c>
      <c r="BO68" s="3030"/>
      <c r="BP68" s="3030"/>
      <c r="BQ68" s="3179">
        <f t="shared" ref="BQ68:BQ80" si="2">IF(AND($V$75="MANUAL",BN68&lt;&gt;""),BN68,IF($V$80="NAM",IF($BP$82="Yes",BH68+$BR$85,BH68),IF($BP$82="Yes",BK68+$BR$85,BK68)))</f>
        <v>29.95</v>
      </c>
      <c r="BR68" s="3180"/>
      <c r="BS68" s="3180"/>
      <c r="BT68" s="3146">
        <f>IF(BQ68&gt;0,((288.16/0.0065)*(1-(BQ68/29.921)^(1/5.2561))+Z2/3.280833)*3.280833,"")</f>
        <v>728.19027356060712</v>
      </c>
      <c r="BU68" s="3147" t="str">
        <f t="shared" ref="BU68:BU80" si="3">IF(BJ68&gt;0,((288.16/0.0065)*(1-(BJ68/29.921)^(1/5.2561))+756/3.280833)*3.280833,"")</f>
        <v/>
      </c>
      <c r="BV68" s="3181">
        <f t="shared" ref="BV68:BV80" si="4">(BT68+(120*(AR68-(15-(0.00198*BT68)))))</f>
        <v>2567.8749492252741</v>
      </c>
      <c r="BW68" s="3181"/>
      <c r="BX68" s="3147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U68" s="572"/>
      <c r="CV68" s="564"/>
    </row>
    <row r="69" spans="1:100" ht="16.5" customHeight="1">
      <c r="A69" s="485"/>
      <c r="B69" s="485"/>
      <c r="C69" s="485"/>
      <c r="D69" s="485"/>
      <c r="E69" s="485"/>
      <c r="F69" s="485"/>
      <c r="G69" s="485"/>
      <c r="H69" s="485"/>
      <c r="I69" s="485"/>
      <c r="J69" s="485"/>
      <c r="K69" s="500" t="s">
        <v>2916</v>
      </c>
      <c r="L69" s="485"/>
      <c r="M69" s="487"/>
      <c r="N69" s="405" t="s">
        <v>2928</v>
      </c>
      <c r="O69" s="491"/>
      <c r="P69" s="490"/>
      <c r="Q69" s="492"/>
      <c r="R69" s="493"/>
      <c r="S69" s="485"/>
      <c r="T69" s="485"/>
      <c r="U69" s="485"/>
      <c r="V69" s="485"/>
      <c r="W69" s="485"/>
      <c r="X69" s="485"/>
      <c r="Y69" s="485"/>
      <c r="Z69" s="485"/>
      <c r="AA69" s="485"/>
      <c r="AB69" s="1736"/>
      <c r="AC69" s="485"/>
      <c r="AD69" s="3367">
        <f>IF(LOOKUP(AF69,'Light Data '!N5:N21,'Light Data '!P5:P21)="S",AF69+AA4/24,AF69+AA4/24+1/24)</f>
        <v>44748.416666666657</v>
      </c>
      <c r="AE69" s="3368"/>
      <c r="AF69" s="3410">
        <f>AF68+(1/24)</f>
        <v>44748.583333333328</v>
      </c>
      <c r="AG69" s="3410"/>
      <c r="AH69" s="3484">
        <f>INDEX(calc!$AE$207:$AM$314,MATCH("START",calc!$AD$207:$AD$314,0)+1,1)</f>
        <v>83</v>
      </c>
      <c r="AI69" s="3485"/>
      <c r="AJ69" s="3485">
        <f>INDEX(calc!$AE$207:$AM$314,MATCH("START",calc!$AD$207:$AD$314,0)+1,2)</f>
        <v>87.019999999999968</v>
      </c>
      <c r="AK69" s="3485"/>
      <c r="AL69" s="3485">
        <f>INDEX(calc!$AE$207:$AM$314,MATCH("START",calc!$AD$207:$AD$314,0)+1,3)</f>
        <v>84.2</v>
      </c>
      <c r="AM69" s="3485"/>
      <c r="AN69" s="3005">
        <v>87</v>
      </c>
      <c r="AO69" s="3006"/>
      <c r="AP69" s="3000">
        <f t="shared" si="0"/>
        <v>87</v>
      </c>
      <c r="AQ69" s="3001"/>
      <c r="AR69" s="3342">
        <f t="shared" ref="AR69:AR80" si="5">5/9*(AP69-32)</f>
        <v>30.555555555555557</v>
      </c>
      <c r="AS69" s="3343">
        <f t="shared" si="1"/>
        <v>28.333333333333336</v>
      </c>
      <c r="AT69" s="3204">
        <f>INDEX(calc!$AE$207:$AM$314,MATCH("START",calc!$AD$207:$AD$314,0)+1,5)</f>
        <v>75</v>
      </c>
      <c r="AU69" s="3028"/>
      <c r="AV69" s="3028">
        <f>INDEX(calc!$AE$207:$AM$314,MATCH("START",calc!$AD$207:$AD$314,0)+1,6)</f>
        <v>75.824000000000055</v>
      </c>
      <c r="AW69" s="3028"/>
      <c r="AX69" s="3028">
        <f>INDEX(calc!$AE$207:$AM$314,MATCH("START",calc!$AD$207:$AD$314,0)+1,7)</f>
        <v>77</v>
      </c>
      <c r="AY69" s="3028"/>
      <c r="AZ69" s="3005">
        <v>76</v>
      </c>
      <c r="BA69" s="3006"/>
      <c r="BB69" s="3002">
        <f t="shared" ref="BB69:BB80" si="6">IF(AND($V$75="MANUAL",AZ69&lt;&gt;""),AZ69,IF($V$78="LAMP",IF($BA$82="Yes",AT69+$BB$85,AT69),IF($V$78="GALWEM",IF($BA$82="Yes",AX69+$BB$85,AX69),IF($BA$82="Yes",AV69+$BB$85,AV69))))</f>
        <v>76</v>
      </c>
      <c r="BC69" s="3003"/>
      <c r="BD69" s="3004">
        <f t="shared" ref="BD69:BD80" si="7">IF(ROUND(AP69,0)=ROUND(BB69,0),1,(6.11*10^(7.5*(5/9*(BB69-32))/(237.7+(5/9*(BB69-32)))))/(6.11*10^(7.5*AR69/(237.7+AR69))))</f>
        <v>0.69996301599580435</v>
      </c>
      <c r="BE69" s="3004">
        <f t="shared" ref="BE69:BE80" si="8">(6.11*10^(7.5*(5/9*(BD69-32))/(237.7+(5/9*(BD69-32)))))/(6.11*10^(7.5*AT69/(237.7+AT69)))</f>
        <v>4.0661612916396833E-3</v>
      </c>
      <c r="BF69" s="2984">
        <f>calc!X9</f>
        <v>89.24933817107059</v>
      </c>
      <c r="BG69" s="2985">
        <v>32</v>
      </c>
      <c r="BH69" s="2982">
        <f>INDEX(calc!$AE$207:$AM$314,MATCH("START",calc!$AD$207:$AD$314,0)+1,8)</f>
        <v>29.943333333333335</v>
      </c>
      <c r="BI69" s="2982"/>
      <c r="BJ69" s="2983"/>
      <c r="BK69" s="3033">
        <f>INDEX(calc!$AE$207:$AM$314,MATCH("START",calc!$AD$207:$AD$314,0)+1,9)</f>
        <v>29.97</v>
      </c>
      <c r="BL69" s="2982"/>
      <c r="BM69" s="2983"/>
      <c r="BN69" s="3029">
        <v>29.96</v>
      </c>
      <c r="BO69" s="3030"/>
      <c r="BP69" s="3030"/>
      <c r="BQ69" s="3031">
        <f t="shared" si="2"/>
        <v>29.96</v>
      </c>
      <c r="BR69" s="3032"/>
      <c r="BS69" s="3032"/>
      <c r="BT69" s="3166">
        <f>IF(BQ69&gt;0,((288.16/0.0065)*(1-(BQ69/29.921)^(1/5.2561))+Z2/3.280833)*3.280833,"")</f>
        <v>718.95041420270934</v>
      </c>
      <c r="BU69" s="3167" t="str">
        <f t="shared" si="3"/>
        <v/>
      </c>
      <c r="BV69" s="3182">
        <f>(BT69+(120*(AR69-(15-(0.00198*BT69)))))</f>
        <v>2756.4396992839402</v>
      </c>
      <c r="BW69" s="3182"/>
      <c r="BX69" s="3167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U69" s="572"/>
      <c r="CV69" s="564"/>
    </row>
    <row r="70" spans="1:100" ht="16.5" customHeight="1">
      <c r="A70" s="485"/>
      <c r="B70" s="485"/>
      <c r="C70" s="485"/>
      <c r="D70" s="485"/>
      <c r="E70" s="485"/>
      <c r="F70" s="485"/>
      <c r="G70" s="485"/>
      <c r="H70" s="485"/>
      <c r="I70" s="485"/>
      <c r="J70" s="485"/>
      <c r="K70" s="500" t="s">
        <v>2917</v>
      </c>
      <c r="L70" s="485"/>
      <c r="M70" s="487"/>
      <c r="N70" s="500" t="s">
        <v>217</v>
      </c>
      <c r="O70" s="1183"/>
      <c r="P70" s="490"/>
      <c r="Q70" s="489"/>
      <c r="R70" s="489"/>
      <c r="S70" s="485"/>
      <c r="T70" s="485"/>
      <c r="U70" s="485"/>
      <c r="V70" s="485"/>
      <c r="W70" s="485"/>
      <c r="X70" s="485"/>
      <c r="Y70" s="1585" t="s">
        <v>218</v>
      </c>
      <c r="Z70" s="501" t="s">
        <v>219</v>
      </c>
      <c r="AA70" s="485"/>
      <c r="AB70" s="1736"/>
      <c r="AC70" s="485"/>
      <c r="AD70" s="3401">
        <f>IF(LOOKUP(AF70,'Light Data '!N5:N21,'Light Data '!P5:P21)="S",AF70+AA4/24,AF70+AA4/24+1/24)</f>
        <v>44748.458333333328</v>
      </c>
      <c r="AE70" s="3402"/>
      <c r="AF70" s="3382">
        <f>AF68+(2/24)</f>
        <v>44748.625</v>
      </c>
      <c r="AG70" s="3382"/>
      <c r="AH70" s="3333">
        <f>INDEX(calc!$AE$207:$AM$314,MATCH("START",calc!$AD$207:$AD$314,0)+2,1)</f>
        <v>86</v>
      </c>
      <c r="AI70" s="3199"/>
      <c r="AJ70" s="3199">
        <f>INDEX(calc!$AE$207:$AM$314,MATCH("START",calc!$AD$207:$AD$314,0)+2,2)</f>
        <v>90.13999999999993</v>
      </c>
      <c r="AK70" s="3199"/>
      <c r="AL70" s="3199">
        <f>INDEX(calc!$AE$207:$AM$314,MATCH("START",calc!$AD$207:$AD$314,0)+2,3)</f>
        <v>87.800000000000011</v>
      </c>
      <c r="AM70" s="3199"/>
      <c r="AN70" s="3005">
        <v>90</v>
      </c>
      <c r="AO70" s="3006"/>
      <c r="AP70" s="3365">
        <f t="shared" si="0"/>
        <v>90</v>
      </c>
      <c r="AQ70" s="3366"/>
      <c r="AR70" s="3207">
        <f t="shared" si="5"/>
        <v>32.222222222222221</v>
      </c>
      <c r="AS70" s="3208">
        <f t="shared" si="1"/>
        <v>30</v>
      </c>
      <c r="AT70" s="3346">
        <f>INDEX(calc!$AE$207:$AM$314,MATCH("START",calc!$AD$207:$AD$314,0)+2,5)</f>
        <v>76</v>
      </c>
      <c r="AU70" s="3199"/>
      <c r="AV70" s="3199">
        <f>INDEX(calc!$AE$207:$AM$314,MATCH("START",calc!$AD$207:$AD$314,0)+2,6)</f>
        <v>76.56800000000004</v>
      </c>
      <c r="AW70" s="3199"/>
      <c r="AX70" s="3199">
        <f>INDEX(calc!$AE$207:$AM$314,MATCH("START",calc!$AD$207:$AD$314,0)+2,7)</f>
        <v>78.800000000000011</v>
      </c>
      <c r="AY70" s="3199"/>
      <c r="AZ70" s="3005">
        <v>76</v>
      </c>
      <c r="BA70" s="3006"/>
      <c r="BB70" s="3201">
        <f t="shared" si="6"/>
        <v>76</v>
      </c>
      <c r="BC70" s="3202"/>
      <c r="BD70" s="3203">
        <f t="shared" si="7"/>
        <v>0.63685467359437997</v>
      </c>
      <c r="BE70" s="3203">
        <f t="shared" si="8"/>
        <v>3.8879686032827544E-3</v>
      </c>
      <c r="BF70" s="3195">
        <f>calc!X10</f>
        <v>89.665838735005025</v>
      </c>
      <c r="BG70" s="3196">
        <v>32</v>
      </c>
      <c r="BH70" s="2993">
        <f>INDEX(calc!$AE$207:$AM$314,MATCH("START",calc!$AD$207:$AD$314,0)+2,8)</f>
        <v>29.94</v>
      </c>
      <c r="BI70" s="2993"/>
      <c r="BJ70" s="2994"/>
      <c r="BK70" s="3198">
        <f>INDEX(calc!$AE$207:$AM$314,MATCH("START",calc!$AD$207:$AD$314,0)+2,9)</f>
        <v>29.97</v>
      </c>
      <c r="BL70" s="2993"/>
      <c r="BM70" s="2994"/>
      <c r="BN70" s="3029">
        <v>29.96</v>
      </c>
      <c r="BO70" s="3030"/>
      <c r="BP70" s="3048"/>
      <c r="BQ70" s="3179">
        <f t="shared" si="2"/>
        <v>29.96</v>
      </c>
      <c r="BR70" s="3180"/>
      <c r="BS70" s="3180"/>
      <c r="BT70" s="3146">
        <f>IF(BQ70&gt;0,((288.16/0.0065)*(1-(BQ70/29.921)^(1/5.2561))+Z2/3.280833)*3.280833,"")</f>
        <v>718.95041420270934</v>
      </c>
      <c r="BU70" s="3147" t="str">
        <f t="shared" si="3"/>
        <v/>
      </c>
      <c r="BV70" s="3181">
        <f t="shared" si="4"/>
        <v>2956.4396992839397</v>
      </c>
      <c r="BW70" s="3181"/>
      <c r="BX70" s="3147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U70" s="572"/>
      <c r="CV70" s="564"/>
    </row>
    <row r="71" spans="1:100" ht="16.5" customHeight="1">
      <c r="A71" s="485"/>
      <c r="B71" s="485"/>
      <c r="C71" s="485"/>
      <c r="D71" s="485"/>
      <c r="E71" s="485"/>
      <c r="F71" s="485"/>
      <c r="G71" s="485"/>
      <c r="H71" s="485"/>
      <c r="I71" s="485"/>
      <c r="J71" s="485"/>
      <c r="K71" s="500" t="s">
        <v>2918</v>
      </c>
      <c r="L71" s="485"/>
      <c r="M71" s="487"/>
      <c r="N71" s="1184" t="s">
        <v>220</v>
      </c>
      <c r="O71" s="1181"/>
      <c r="P71" s="490"/>
      <c r="Q71" s="1919" t="str">
        <f>"Basetime: "&amp;TEXT(calc!B237,"m/d/yyyy hhmm")&amp;" UTC"</f>
        <v>Basetime: 7/5/2022 1800 UTC</v>
      </c>
      <c r="R71" s="489"/>
      <c r="S71" s="485"/>
      <c r="T71" s="485"/>
      <c r="U71" s="485"/>
      <c r="V71" s="485"/>
      <c r="W71" s="485"/>
      <c r="X71" s="485"/>
      <c r="Y71" s="485"/>
      <c r="Z71" s="485"/>
      <c r="AA71" s="485"/>
      <c r="AB71" s="1736"/>
      <c r="AC71" s="485"/>
      <c r="AD71" s="3319">
        <f>IF(LOOKUP(AF71,'Light Data '!N5:N21,'Light Data '!P5:P21)="S",AF71+AA4/24,AF71+AA4/24+1/24)</f>
        <v>44748.499999999993</v>
      </c>
      <c r="AE71" s="3320"/>
      <c r="AF71" s="3341">
        <f>AF68+(3/24)</f>
        <v>44748.666666666664</v>
      </c>
      <c r="AG71" s="3341"/>
      <c r="AH71" s="3309">
        <f>INDEX(calc!$AE$207:$AM$314,MATCH("START",calc!$AD$207:$AD$314,0)+3,1)</f>
        <v>88</v>
      </c>
      <c r="AI71" s="3028"/>
      <c r="AJ71" s="3028">
        <f>INDEX(calc!$AE$207:$AM$314,MATCH("START",calc!$AD$207:$AD$314,0)+3,2)</f>
        <v>92.251999999999967</v>
      </c>
      <c r="AK71" s="3028"/>
      <c r="AL71" s="3028">
        <f>INDEX(calc!$AE$207:$AM$314,MATCH("START",calc!$AD$207:$AD$314,0)+3,3)</f>
        <v>89.6</v>
      </c>
      <c r="AM71" s="3028"/>
      <c r="AN71" s="3005">
        <v>92</v>
      </c>
      <c r="AO71" s="3006"/>
      <c r="AP71" s="3000">
        <f t="shared" si="0"/>
        <v>92</v>
      </c>
      <c r="AQ71" s="3001"/>
      <c r="AR71" s="3342">
        <f t="shared" si="5"/>
        <v>33.333333333333336</v>
      </c>
      <c r="AS71" s="3343">
        <f t="shared" si="1"/>
        <v>31.111111111111114</v>
      </c>
      <c r="AT71" s="3204">
        <f>INDEX(calc!$AE$207:$AM$314,MATCH("START",calc!$AD$207:$AD$314,0)+3,5)</f>
        <v>76</v>
      </c>
      <c r="AU71" s="3028"/>
      <c r="AV71" s="3028">
        <f>INDEX(calc!$AE$207:$AM$314,MATCH("START",calc!$AD$207:$AD$314,0)+3,6)</f>
        <v>75.884000000000029</v>
      </c>
      <c r="AW71" s="3028"/>
      <c r="AX71" s="3028">
        <f>INDEX(calc!$AE$207:$AM$314,MATCH("START",calc!$AD$207:$AD$314,0)+3,7)</f>
        <v>77</v>
      </c>
      <c r="AY71" s="3028"/>
      <c r="AZ71" s="3005">
        <v>75</v>
      </c>
      <c r="BA71" s="3006"/>
      <c r="BB71" s="3002">
        <f t="shared" si="6"/>
        <v>75</v>
      </c>
      <c r="BC71" s="3003"/>
      <c r="BD71" s="3004">
        <f t="shared" si="7"/>
        <v>0.57879022943352076</v>
      </c>
      <c r="BE71" s="3004">
        <f t="shared" si="8"/>
        <v>3.8773711083500062E-3</v>
      </c>
      <c r="BF71" s="2984">
        <f>calc!X11</f>
        <v>90.512860674707568</v>
      </c>
      <c r="BG71" s="2985">
        <v>32</v>
      </c>
      <c r="BH71" s="2982">
        <f>INDEX(calc!$AE$207:$AM$314,MATCH("START",calc!$AD$207:$AD$314,0)+3,8)</f>
        <v>29.93</v>
      </c>
      <c r="BI71" s="2982"/>
      <c r="BJ71" s="2983"/>
      <c r="BK71" s="3033">
        <f>INDEX(calc!$AE$207:$AM$314,MATCH("START",calc!$AD$207:$AD$314,0)+3,9)</f>
        <v>29.97</v>
      </c>
      <c r="BL71" s="2982"/>
      <c r="BM71" s="2983"/>
      <c r="BN71" s="3029">
        <v>29.95</v>
      </c>
      <c r="BO71" s="3030"/>
      <c r="BP71" s="3048"/>
      <c r="BQ71" s="3031">
        <f t="shared" si="2"/>
        <v>29.95</v>
      </c>
      <c r="BR71" s="3032"/>
      <c r="BS71" s="3032"/>
      <c r="BT71" s="3166">
        <f>IF(BQ71&gt;0,((288.16/0.0065)*(1-(BQ71/29.921)^(1/5.2561))+Z2/3.280833)*3.280833,"")</f>
        <v>728.19027356060712</v>
      </c>
      <c r="BU71" s="3167" t="str">
        <f t="shared" si="3"/>
        <v/>
      </c>
      <c r="BV71" s="3182">
        <f t="shared" si="4"/>
        <v>3101.2082825586076</v>
      </c>
      <c r="BW71" s="3182"/>
      <c r="BX71" s="3167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U71" s="572"/>
      <c r="CV71" s="564"/>
    </row>
    <row r="72" spans="1:100" ht="16.5" customHeight="1">
      <c r="A72" s="485"/>
      <c r="B72" s="485"/>
      <c r="C72" s="485"/>
      <c r="D72" s="485"/>
      <c r="E72" s="485"/>
      <c r="F72" s="485"/>
      <c r="G72" s="485"/>
      <c r="H72" s="485"/>
      <c r="I72" s="485"/>
      <c r="J72" s="485"/>
      <c r="K72" s="500" t="s">
        <v>2893</v>
      </c>
      <c r="L72" s="485"/>
      <c r="M72" s="487"/>
      <c r="N72" s="1180" t="s">
        <v>2874</v>
      </c>
      <c r="O72" s="1584"/>
      <c r="P72" s="490"/>
      <c r="Q72" s="497" t="s">
        <v>221</v>
      </c>
      <c r="R72" s="1177"/>
      <c r="S72" s="1178"/>
      <c r="T72" s="485"/>
      <c r="U72" s="485"/>
      <c r="V72" s="485"/>
      <c r="W72" s="501">
        <f>calc!B233</f>
        <v>44747.75</v>
      </c>
      <c r="X72" s="485"/>
      <c r="Y72" s="485"/>
      <c r="Z72" s="485"/>
      <c r="AA72" s="485"/>
      <c r="AB72" s="1736"/>
      <c r="AC72" s="485"/>
      <c r="AD72" s="3401">
        <f>IF(LOOKUP(AF72,'Light Data '!N5:N21,'Light Data '!P5:P21)="S",AF72+AA4/24,AF72+AA4/24+1/24)</f>
        <v>44748.541666666657</v>
      </c>
      <c r="AE72" s="3402"/>
      <c r="AF72" s="3382">
        <f>AF68+(4/24)</f>
        <v>44748.708333333328</v>
      </c>
      <c r="AG72" s="3382"/>
      <c r="AH72" s="3333">
        <f>INDEX(calc!$AE$207:$AM$314,MATCH("START",calc!$AD$207:$AD$314,0)+4,1)</f>
        <v>89</v>
      </c>
      <c r="AI72" s="3199"/>
      <c r="AJ72" s="3199">
        <f>INDEX(calc!$AE$207:$AM$314,MATCH("START",calc!$AD$207:$AD$314,0)+4,2)</f>
        <v>94.364000000000019</v>
      </c>
      <c r="AK72" s="3199"/>
      <c r="AL72" s="3199">
        <f>INDEX(calc!$AE$207:$AM$314,MATCH("START",calc!$AD$207:$AD$314,0)+4,3)</f>
        <v>91.4</v>
      </c>
      <c r="AM72" s="3199"/>
      <c r="AN72" s="3005">
        <v>94</v>
      </c>
      <c r="AO72" s="3006"/>
      <c r="AP72" s="3365">
        <f t="shared" si="0"/>
        <v>94</v>
      </c>
      <c r="AQ72" s="3366"/>
      <c r="AR72" s="3207">
        <f t="shared" si="5"/>
        <v>34.444444444444443</v>
      </c>
      <c r="AS72" s="3208">
        <f t="shared" si="1"/>
        <v>31.666666666666668</v>
      </c>
      <c r="AT72" s="3346">
        <f>INDEX(calc!$AE$207:$AM$314,MATCH("START",calc!$AD$207:$AD$314,0)+4,5)</f>
        <v>76</v>
      </c>
      <c r="AU72" s="3199"/>
      <c r="AV72" s="3199">
        <f>INDEX(calc!$AE$207:$AM$314,MATCH("START",calc!$AD$207:$AD$314,0)+4,6)</f>
        <v>75.200000000000031</v>
      </c>
      <c r="AW72" s="3199"/>
      <c r="AX72" s="3199">
        <f>INDEX(calc!$AE$207:$AM$314,MATCH("START",calc!$AD$207:$AD$314,0)+4,7)</f>
        <v>75.2</v>
      </c>
      <c r="AY72" s="3199"/>
      <c r="AZ72" s="3005">
        <v>75</v>
      </c>
      <c r="BA72" s="3006"/>
      <c r="BB72" s="3201">
        <f t="shared" si="6"/>
        <v>75</v>
      </c>
      <c r="BC72" s="3202"/>
      <c r="BD72" s="3203">
        <f t="shared" si="7"/>
        <v>0.54408424981317505</v>
      </c>
      <c r="BE72" s="3203">
        <f t="shared" si="8"/>
        <v>3.8710491481198598E-3</v>
      </c>
      <c r="BF72" s="3195">
        <f>calc!X12</f>
        <v>91.642463066083565</v>
      </c>
      <c r="BG72" s="3196">
        <v>32</v>
      </c>
      <c r="BH72" s="2993">
        <f>INDEX(calc!$AE$207:$AM$314,MATCH("START",calc!$AD$207:$AD$314,0)+4,8)</f>
        <v>29.92</v>
      </c>
      <c r="BI72" s="2993"/>
      <c r="BJ72" s="2994"/>
      <c r="BK72" s="3198">
        <f>INDEX(calc!$AE$207:$AM$314,MATCH("START",calc!$AD$207:$AD$314,0)+4,9)</f>
        <v>29.95</v>
      </c>
      <c r="BL72" s="2993"/>
      <c r="BM72" s="2994"/>
      <c r="BN72" s="3029">
        <v>29.95</v>
      </c>
      <c r="BO72" s="3030"/>
      <c r="BP72" s="3030"/>
      <c r="BQ72" s="3179">
        <f t="shared" si="2"/>
        <v>29.95</v>
      </c>
      <c r="BR72" s="3180"/>
      <c r="BS72" s="3180"/>
      <c r="BT72" s="3146">
        <f>IF(BQ72&gt;0,((288.16/0.0065)*(1-(BQ72/29.921)^(1/5.2561))+Z2/3.280833)*3.280833,"")</f>
        <v>728.19027356060712</v>
      </c>
      <c r="BU72" s="3147" t="str">
        <f t="shared" si="3"/>
        <v/>
      </c>
      <c r="BV72" s="3181">
        <f t="shared" si="4"/>
        <v>3234.5416158919406</v>
      </c>
      <c r="BW72" s="3181"/>
      <c r="BX72" s="3147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U72" s="572"/>
      <c r="CV72" s="564"/>
    </row>
    <row r="73" spans="1:100" ht="16.5" customHeight="1">
      <c r="A73" s="485"/>
      <c r="B73" s="485"/>
      <c r="C73" s="485"/>
      <c r="D73" s="485"/>
      <c r="E73" s="485"/>
      <c r="F73" s="485"/>
      <c r="G73" s="485"/>
      <c r="H73" s="485"/>
      <c r="I73" s="485"/>
      <c r="J73" s="485"/>
      <c r="K73" s="500" t="s">
        <v>2919</v>
      </c>
      <c r="L73" s="485"/>
      <c r="M73" s="487"/>
      <c r="N73" s="1180" t="s">
        <v>222</v>
      </c>
      <c r="O73" s="1181"/>
      <c r="P73" s="490"/>
      <c r="Q73" s="1180"/>
      <c r="R73" s="1180"/>
      <c r="S73" s="1178"/>
      <c r="T73" s="485"/>
      <c r="U73" s="485"/>
      <c r="V73" s="485"/>
      <c r="W73" s="485"/>
      <c r="X73" s="485"/>
      <c r="Y73" s="485"/>
      <c r="Z73" s="485"/>
      <c r="AA73" s="573"/>
      <c r="AB73" s="1736"/>
      <c r="AC73" s="485"/>
      <c r="AD73" s="3319">
        <f>IF(LOOKUP(AF73,'Light Data '!N5:N21,'Light Data '!P5:P21)="S",AF73+AA4/24,AF73+AA4/24+1/24)</f>
        <v>44748.583333333328</v>
      </c>
      <c r="AE73" s="3320"/>
      <c r="AF73" s="3341">
        <f>AF68+(5/24)</f>
        <v>44748.75</v>
      </c>
      <c r="AG73" s="3341"/>
      <c r="AH73" s="3309">
        <f>INDEX(calc!$AE$207:$AM$314,MATCH("START",calc!$AD$207:$AD$314,0)+5,1)</f>
        <v>90</v>
      </c>
      <c r="AI73" s="3028"/>
      <c r="AJ73" s="3028">
        <f>INDEX(calc!$AE$207:$AM$314,MATCH("START",calc!$AD$207:$AD$314,0)+5,2)</f>
        <v>96.476000000000056</v>
      </c>
      <c r="AK73" s="3028"/>
      <c r="AL73" s="3028">
        <f>INDEX(calc!$AE$207:$AM$314,MATCH("START",calc!$AD$207:$AD$314,0)+5,3)</f>
        <v>91.4</v>
      </c>
      <c r="AM73" s="3028"/>
      <c r="AN73" s="3005">
        <v>95</v>
      </c>
      <c r="AO73" s="3006"/>
      <c r="AP73" s="3000">
        <f t="shared" si="0"/>
        <v>95</v>
      </c>
      <c r="AQ73" s="3001"/>
      <c r="AR73" s="3342">
        <f t="shared" si="5"/>
        <v>35</v>
      </c>
      <c r="AS73" s="3343">
        <f t="shared" si="1"/>
        <v>32.222222222222221</v>
      </c>
      <c r="AT73" s="3204">
        <f>INDEX(calc!$AE$207:$AM$314,MATCH("START",calc!$AD$207:$AD$314,0)+5,5)</f>
        <v>76</v>
      </c>
      <c r="AU73" s="3028"/>
      <c r="AV73" s="3028">
        <f>INDEX(calc!$AE$207:$AM$314,MATCH("START",calc!$AD$207:$AD$314,0)+5,6)</f>
        <v>74.51600000000002</v>
      </c>
      <c r="AW73" s="3028"/>
      <c r="AX73" s="3028">
        <f>INDEX(calc!$AE$207:$AM$314,MATCH("START",calc!$AD$207:$AD$314,0)+5,7)</f>
        <v>75.2</v>
      </c>
      <c r="AY73" s="3028"/>
      <c r="AZ73" s="3005">
        <v>74</v>
      </c>
      <c r="BA73" s="3006"/>
      <c r="BB73" s="3002">
        <f t="shared" si="6"/>
        <v>74</v>
      </c>
      <c r="BC73" s="3003"/>
      <c r="BD73" s="3004">
        <f t="shared" si="7"/>
        <v>0.51028899654400484</v>
      </c>
      <c r="BE73" s="3004">
        <f t="shared" si="8"/>
        <v>3.8649019280930855E-3</v>
      </c>
      <c r="BF73" s="2984">
        <f>calc!X13</f>
        <v>91.757242849345033</v>
      </c>
      <c r="BG73" s="2985">
        <v>32</v>
      </c>
      <c r="BH73" s="2982">
        <f>INDEX(calc!$AE$207:$AM$314,MATCH("START",calc!$AD$207:$AD$314,0)+5,8)</f>
        <v>29.91</v>
      </c>
      <c r="BI73" s="2982"/>
      <c r="BJ73" s="2983"/>
      <c r="BK73" s="3033">
        <f>INDEX(calc!$AE$207:$AM$314,MATCH("START",calc!$AD$207:$AD$314,0)+5,9)</f>
        <v>29.93</v>
      </c>
      <c r="BL73" s="2982"/>
      <c r="BM73" s="2983"/>
      <c r="BN73" s="3029">
        <v>29.94</v>
      </c>
      <c r="BO73" s="3030"/>
      <c r="BP73" s="3030"/>
      <c r="BQ73" s="3031">
        <f t="shared" si="2"/>
        <v>29.94</v>
      </c>
      <c r="BR73" s="3032"/>
      <c r="BS73" s="3032"/>
      <c r="BT73" s="3166">
        <f>IF(BQ73&gt;0,((288.16/0.0065)*(1-(BQ73/29.921)^(1/5.2561))+Z2/3.280833)*3.280833,"")</f>
        <v>737.43263139606995</v>
      </c>
      <c r="BU73" s="3167" t="str">
        <f t="shared" si="3"/>
        <v/>
      </c>
      <c r="BV73" s="3182">
        <f t="shared" si="4"/>
        <v>3312.6466246157765</v>
      </c>
      <c r="BW73" s="3182"/>
      <c r="BX73" s="3167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U73" s="572"/>
      <c r="CV73" s="564"/>
    </row>
    <row r="74" spans="1:100" ht="16.5" customHeight="1" thickBot="1">
      <c r="A74" s="485"/>
      <c r="B74" s="485"/>
      <c r="C74" s="485"/>
      <c r="D74" s="485"/>
      <c r="E74" s="485"/>
      <c r="F74" s="485"/>
      <c r="G74" s="485"/>
      <c r="H74" s="485"/>
      <c r="I74" s="485"/>
      <c r="J74" s="485"/>
      <c r="K74" s="500" t="s">
        <v>2894</v>
      </c>
      <c r="L74" s="485"/>
      <c r="M74" s="487"/>
      <c r="N74" s="1180" t="s">
        <v>223</v>
      </c>
      <c r="O74" s="1181"/>
      <c r="P74" s="490"/>
      <c r="Q74" s="1180" t="s">
        <v>2805</v>
      </c>
      <c r="R74" s="1180"/>
      <c r="S74" s="1178"/>
      <c r="T74" s="485"/>
      <c r="U74" s="3361" t="s">
        <v>224</v>
      </c>
      <c r="V74" s="3361"/>
      <c r="W74" s="3361"/>
      <c r="X74" s="3361"/>
      <c r="Y74" s="3361"/>
      <c r="Z74" s="3361"/>
      <c r="AA74" s="485"/>
      <c r="AB74" s="1736"/>
      <c r="AC74" s="485"/>
      <c r="AD74" s="3401">
        <f>IF(LOOKUP(AF74,'Light Data '!N5:N21,'Light Data '!P5:P21)="S",AF74+AA4/24,AF74+AA4/24+1/24)</f>
        <v>44748.624999999993</v>
      </c>
      <c r="AE74" s="3402"/>
      <c r="AF74" s="3382">
        <f>AF68+(6/24)</f>
        <v>44748.791666666664</v>
      </c>
      <c r="AG74" s="3382"/>
      <c r="AH74" s="3333">
        <f>INDEX(calc!$AE$207:$AM$314,MATCH("START",calc!$AD$207:$AD$314,0)+6,1)</f>
        <v>91</v>
      </c>
      <c r="AI74" s="3199"/>
      <c r="AJ74" s="3199">
        <f>INDEX(calc!$AE$207:$AM$314,MATCH("START",calc!$AD$207:$AD$314,0)+6,2)</f>
        <v>95.864000000000019</v>
      </c>
      <c r="AK74" s="3199"/>
      <c r="AL74" s="3199">
        <f>INDEX(calc!$AE$207:$AM$314,MATCH("START",calc!$AD$207:$AD$314,0)+6,3)</f>
        <v>93.2</v>
      </c>
      <c r="AM74" s="3199"/>
      <c r="AN74" s="3005">
        <v>97</v>
      </c>
      <c r="AO74" s="3006"/>
      <c r="AP74" s="3365">
        <f t="shared" si="0"/>
        <v>97</v>
      </c>
      <c r="AQ74" s="3366"/>
      <c r="AR74" s="3207">
        <f t="shared" si="5"/>
        <v>36.111111111111114</v>
      </c>
      <c r="AS74" s="3208">
        <f t="shared" si="1"/>
        <v>32.777777777777779</v>
      </c>
      <c r="AT74" s="3346">
        <f>INDEX(calc!$AE$207:$AM$314,MATCH("START",calc!$AD$207:$AD$314,0)+6,5)</f>
        <v>75</v>
      </c>
      <c r="AU74" s="3199"/>
      <c r="AV74" s="3199">
        <f>INDEX(calc!$AE$207:$AM$314,MATCH("START",calc!$AD$207:$AD$314,0)+6,6)</f>
        <v>74.438000000000002</v>
      </c>
      <c r="AW74" s="3199"/>
      <c r="AX74" s="3199">
        <f>INDEX(calc!$AE$207:$AM$314,MATCH("START",calc!$AD$207:$AD$314,0)+6,7)</f>
        <v>73.400000000000006</v>
      </c>
      <c r="AY74" s="3199"/>
      <c r="AZ74" s="3176">
        <v>74</v>
      </c>
      <c r="BA74" s="3005"/>
      <c r="BB74" s="3201">
        <f t="shared" si="6"/>
        <v>74</v>
      </c>
      <c r="BC74" s="3202"/>
      <c r="BD74" s="3203">
        <f t="shared" si="7"/>
        <v>0.48005142428918723</v>
      </c>
      <c r="BE74" s="3203">
        <f t="shared" si="8"/>
        <v>4.0243405690495275E-3</v>
      </c>
      <c r="BF74" s="3195">
        <f>calc!X14</f>
        <v>92.659264043406395</v>
      </c>
      <c r="BG74" s="3196">
        <v>32</v>
      </c>
      <c r="BH74" s="2993">
        <f>INDEX(calc!$AE$207:$AM$314,MATCH("START",calc!$AD$207:$AD$314,0)+6,8)</f>
        <v>29.896666666666668</v>
      </c>
      <c r="BI74" s="2993"/>
      <c r="BJ74" s="2994"/>
      <c r="BK74" s="3198">
        <f>INDEX(calc!$AE$207:$AM$314,MATCH("START",calc!$AD$207:$AD$314,0)+6,9)</f>
        <v>29.93</v>
      </c>
      <c r="BL74" s="2993"/>
      <c r="BM74" s="2994"/>
      <c r="BN74" s="3029">
        <v>29.93</v>
      </c>
      <c r="BO74" s="3030"/>
      <c r="BP74" s="3030"/>
      <c r="BQ74" s="3179">
        <f t="shared" si="2"/>
        <v>29.93</v>
      </c>
      <c r="BR74" s="3180"/>
      <c r="BS74" s="3180"/>
      <c r="BT74" s="3146">
        <f>IF(BQ74&gt;0,((288.16/0.0065)*(1-(BQ74/29.921)^(1/5.2561))+Z2/3.280833)*3.280833,"")</f>
        <v>746.67748921956763</v>
      </c>
      <c r="BU74" s="3147" t="str">
        <f t="shared" si="3"/>
        <v/>
      </c>
      <c r="BV74" s="3181">
        <f t="shared" si="4"/>
        <v>3457.4213939914707</v>
      </c>
      <c r="BW74" s="3181"/>
      <c r="BX74" s="3147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U74" s="572"/>
      <c r="CV74" s="564"/>
    </row>
    <row r="75" spans="1:100" ht="16.5" customHeight="1" thickBot="1">
      <c r="A75" s="485"/>
      <c r="B75" s="485"/>
      <c r="C75" s="485"/>
      <c r="D75" s="485"/>
      <c r="E75" s="485"/>
      <c r="F75" s="485"/>
      <c r="G75" s="485"/>
      <c r="H75" s="485"/>
      <c r="I75" s="485"/>
      <c r="J75" s="485"/>
      <c r="K75" s="500" t="s">
        <v>2920</v>
      </c>
      <c r="L75" s="485"/>
      <c r="M75" s="487"/>
      <c r="N75" s="1180" t="s">
        <v>2875</v>
      </c>
      <c r="O75" s="1181"/>
      <c r="P75" s="490"/>
      <c r="Q75" s="1180"/>
      <c r="R75" s="1180"/>
      <c r="S75" s="1178"/>
      <c r="T75" s="485"/>
      <c r="U75" s="489"/>
      <c r="V75" s="3514" t="s">
        <v>216</v>
      </c>
      <c r="W75" s="3515"/>
      <c r="X75" s="3515"/>
      <c r="Y75" s="3516"/>
      <c r="Z75" s="494"/>
      <c r="AA75" s="485"/>
      <c r="AB75" s="1736"/>
      <c r="AC75" s="485"/>
      <c r="AD75" s="3319">
        <f>IF(LOOKUP(AF75,'Light Data '!N5:N21,'Light Data '!P5:P21)="S",AF75+AA4/24,AF75+AA4/24+1/24)</f>
        <v>44748.666666666657</v>
      </c>
      <c r="AE75" s="3320"/>
      <c r="AF75" s="3341">
        <f>AF68+(7/24)</f>
        <v>44748.833333333328</v>
      </c>
      <c r="AG75" s="3341"/>
      <c r="AH75" s="3309">
        <f>INDEX(calc!$AE$207:$AM$314,MATCH("START",calc!$AD$207:$AD$314,0)+7,1)</f>
        <v>91</v>
      </c>
      <c r="AI75" s="3028"/>
      <c r="AJ75" s="3028">
        <f>INDEX(calc!$AE$207:$AM$314,MATCH("START",calc!$AD$207:$AD$314,0)+7,2)</f>
        <v>95.251999999999967</v>
      </c>
      <c r="AK75" s="3028"/>
      <c r="AL75" s="3028">
        <f>INDEX(calc!$AE$207:$AM$314,MATCH("START",calc!$AD$207:$AD$314,0)+7,3)</f>
        <v>91.4</v>
      </c>
      <c r="AM75" s="3028"/>
      <c r="AN75" s="3005">
        <v>98</v>
      </c>
      <c r="AO75" s="3006"/>
      <c r="AP75" s="3000">
        <f t="shared" si="0"/>
        <v>98</v>
      </c>
      <c r="AQ75" s="3001"/>
      <c r="AR75" s="3342">
        <f t="shared" si="5"/>
        <v>36.666666666666671</v>
      </c>
      <c r="AS75" s="3343">
        <f t="shared" si="1"/>
        <v>32.777777777777779</v>
      </c>
      <c r="AT75" s="3204">
        <f>INDEX(calc!$AE$207:$AM$314,MATCH("START",calc!$AD$207:$AD$314,0)+7,5)</f>
        <v>75</v>
      </c>
      <c r="AU75" s="3028"/>
      <c r="AV75" s="3028">
        <f>INDEX(calc!$AE$207:$AM$314,MATCH("START",calc!$AD$207:$AD$314,0)+7,6)</f>
        <v>74.36</v>
      </c>
      <c r="AW75" s="3028"/>
      <c r="AX75" s="3028">
        <f>INDEX(calc!$AE$207:$AM$314,MATCH("START",calc!$AD$207:$AD$314,0)+7,7)</f>
        <v>73.400000000000006</v>
      </c>
      <c r="AY75" s="3028"/>
      <c r="AZ75" s="3176">
        <v>73</v>
      </c>
      <c r="BA75" s="3005"/>
      <c r="BB75" s="3002">
        <f t="shared" si="6"/>
        <v>73</v>
      </c>
      <c r="BC75" s="3003"/>
      <c r="BD75" s="3004">
        <f t="shared" si="7"/>
        <v>0.4503371222797285</v>
      </c>
      <c r="BE75" s="3004">
        <f t="shared" si="8"/>
        <v>4.018719330098358E-3</v>
      </c>
      <c r="BF75" s="2984">
        <f>calc!X15</f>
        <v>92.555102510704486</v>
      </c>
      <c r="BG75" s="2985">
        <v>32</v>
      </c>
      <c r="BH75" s="2982">
        <f>INDEX(calc!$AE$207:$AM$314,MATCH("START",calc!$AD$207:$AD$314,0)+7,8)</f>
        <v>29.883333333333333</v>
      </c>
      <c r="BI75" s="2982"/>
      <c r="BJ75" s="2983"/>
      <c r="BK75" s="3033">
        <f>INDEX(calc!$AE$207:$AM$314,MATCH("START",calc!$AD$207:$AD$314,0)+7,9)</f>
        <v>29.92</v>
      </c>
      <c r="BL75" s="2982"/>
      <c r="BM75" s="2983"/>
      <c r="BN75" s="3029">
        <v>29.92</v>
      </c>
      <c r="BO75" s="3030"/>
      <c r="BP75" s="3030"/>
      <c r="BQ75" s="3031">
        <f>IF(AND($V$75="MANUAL",BN75&lt;&gt;""),BN75,IF($V$80="NAM",IF($BP$82="Yes",BH75+$BR$85,BH75),IF($BP$82="Yes",BK75+$BR$85,BK75)))</f>
        <v>29.92</v>
      </c>
      <c r="BR75" s="3032"/>
      <c r="BS75" s="3032"/>
      <c r="BT75" s="3166">
        <f>IF(BQ75&gt;0,((288.16/0.0065)*(1-(BQ75/29.921)^(1/5.2561))+Z2/3.280833)*3.280833,"")</f>
        <v>755.92484854294287</v>
      </c>
      <c r="BU75" s="3167" t="str">
        <f t="shared" si="3"/>
        <v/>
      </c>
      <c r="BV75" s="3182">
        <f t="shared" si="4"/>
        <v>3535.5325925567472</v>
      </c>
      <c r="BW75" s="3182"/>
      <c r="BX75" s="3167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U75" s="572"/>
      <c r="CV75" s="564"/>
    </row>
    <row r="76" spans="1:100" ht="16.5" customHeight="1">
      <c r="A76" s="485"/>
      <c r="B76" s="485"/>
      <c r="C76" s="485"/>
      <c r="D76" s="485"/>
      <c r="E76" s="485"/>
      <c r="F76" s="485"/>
      <c r="G76" s="485"/>
      <c r="H76" s="485"/>
      <c r="I76" s="485"/>
      <c r="J76" s="485"/>
      <c r="K76" s="500" t="s">
        <v>2895</v>
      </c>
      <c r="L76" s="485"/>
      <c r="M76" s="487"/>
      <c r="N76" s="1180" t="s">
        <v>226</v>
      </c>
      <c r="O76" s="1181"/>
      <c r="P76" s="490"/>
      <c r="Q76" s="1180" t="s">
        <v>2806</v>
      </c>
      <c r="R76" s="1180"/>
      <c r="S76" s="1178"/>
      <c r="T76" s="485"/>
      <c r="U76" s="485"/>
      <c r="V76" s="485"/>
      <c r="W76" s="485"/>
      <c r="X76" s="485"/>
      <c r="Y76" s="485"/>
      <c r="Z76" s="486"/>
      <c r="AA76" s="485"/>
      <c r="AB76" s="1736"/>
      <c r="AC76" s="485"/>
      <c r="AD76" s="3401">
        <f>IF(LOOKUP(AF76,'Light Data '!N5:N21,'Light Data '!P5:P21)="S",AF76+AA4/24,AF76+AA4/24+1/24)</f>
        <v>44748.708333333328</v>
      </c>
      <c r="AE76" s="3402"/>
      <c r="AF76" s="3382">
        <f>AF68+(8/24)</f>
        <v>44748.875</v>
      </c>
      <c r="AG76" s="3382"/>
      <c r="AH76" s="3333">
        <f>INDEX(calc!$AE$207:$AM$314,MATCH("START",calc!$AD$207:$AD$314,0)+8,1)</f>
        <v>91</v>
      </c>
      <c r="AI76" s="3199"/>
      <c r="AJ76" s="3199">
        <f>INDEX(calc!$AE$207:$AM$314,MATCH("START",calc!$AD$207:$AD$314,0)+8,2)</f>
        <v>94.63999999999993</v>
      </c>
      <c r="AK76" s="3199"/>
      <c r="AL76" s="3199">
        <f>INDEX(calc!$AE$207:$AM$314,MATCH("START",calc!$AD$207:$AD$314,0)+8,3)</f>
        <v>89.6</v>
      </c>
      <c r="AM76" s="3199"/>
      <c r="AN76" s="3005">
        <v>98</v>
      </c>
      <c r="AO76" s="3006"/>
      <c r="AP76" s="3365">
        <f t="shared" si="0"/>
        <v>98</v>
      </c>
      <c r="AQ76" s="3366"/>
      <c r="AR76" s="3207">
        <f>5/9*(AP76-32)</f>
        <v>36.666666666666671</v>
      </c>
      <c r="AS76" s="3208">
        <f t="shared" si="1"/>
        <v>32.777777777777779</v>
      </c>
      <c r="AT76" s="3346">
        <f>INDEX(calc!$AE$207:$AM$314,MATCH("START",calc!$AD$207:$AD$314,0)+8,5)</f>
        <v>74</v>
      </c>
      <c r="AU76" s="3199"/>
      <c r="AV76" s="3199">
        <f>INDEX(calc!$AE$207:$AM$314,MATCH("START",calc!$AD$207:$AD$314,0)+8,6)</f>
        <v>74.281999999999982</v>
      </c>
      <c r="AW76" s="3199"/>
      <c r="AX76" s="3199">
        <f>INDEX(calc!$AE$207:$AM$314,MATCH("START",calc!$AD$207:$AD$314,0)+8,7)</f>
        <v>73.400000000000006</v>
      </c>
      <c r="AY76" s="3199"/>
      <c r="AZ76" s="3176">
        <v>73</v>
      </c>
      <c r="BA76" s="3005"/>
      <c r="BB76" s="3201">
        <f t="shared" si="6"/>
        <v>73</v>
      </c>
      <c r="BC76" s="3202"/>
      <c r="BD76" s="3203">
        <f t="shared" si="7"/>
        <v>0.4503371222797285</v>
      </c>
      <c r="BE76" s="3203">
        <f t="shared" si="8"/>
        <v>4.1915840934292382E-3</v>
      </c>
      <c r="BF76" s="3195">
        <f>calc!X16</f>
        <v>92.16393048981034</v>
      </c>
      <c r="BG76" s="3196">
        <v>32</v>
      </c>
      <c r="BH76" s="2993">
        <f>INDEX(calc!$AE$207:$AM$314,MATCH("START",calc!$AD$207:$AD$314,0)+8,8)</f>
        <v>29.87</v>
      </c>
      <c r="BI76" s="2993"/>
      <c r="BJ76" s="2994"/>
      <c r="BK76" s="3198">
        <f>INDEX(calc!$AE$207:$AM$314,MATCH("START",calc!$AD$207:$AD$314,0)+8,9)</f>
        <v>29.92</v>
      </c>
      <c r="BL76" s="2993"/>
      <c r="BM76" s="2994"/>
      <c r="BN76" s="3029">
        <v>29.91</v>
      </c>
      <c r="BO76" s="3030"/>
      <c r="BP76" s="3048"/>
      <c r="BQ76" s="3179">
        <f>IF(AND($V$75="MANUAL",BN76&lt;&gt;""),BN76,IF($V$80="NAM",IF($BP$82="Yes",BH76+$BR$85,BH76),IF($BP$82="Yes",BK76+$BR$85,BK76)))</f>
        <v>29.91</v>
      </c>
      <c r="BR76" s="3180"/>
      <c r="BS76" s="3180"/>
      <c r="BT76" s="3146">
        <f>IF(BQ76&gt;0,((288.16/0.0065)*(1-(BQ76/29.921)^(1/5.2561))+Z2/3.280833)*3.280833,"")</f>
        <v>765.17471087945876</v>
      </c>
      <c r="BU76" s="3147" t="str">
        <f t="shared" si="3"/>
        <v/>
      </c>
      <c r="BV76" s="3181">
        <f t="shared" si="4"/>
        <v>3546.9802221844188</v>
      </c>
      <c r="BW76" s="3181"/>
      <c r="BX76" s="3147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U76" s="572"/>
      <c r="CV76" s="564"/>
    </row>
    <row r="77" spans="1:100" ht="16.5" customHeight="1" thickBot="1">
      <c r="A77" s="485"/>
      <c r="B77" s="485"/>
      <c r="C77" s="485"/>
      <c r="D77" s="485"/>
      <c r="E77" s="485"/>
      <c r="F77" s="485"/>
      <c r="G77" s="485"/>
      <c r="H77" s="485"/>
      <c r="I77" s="485"/>
      <c r="J77" s="485"/>
      <c r="K77" s="500" t="s">
        <v>2921</v>
      </c>
      <c r="L77" s="485"/>
      <c r="M77" s="487"/>
      <c r="N77" s="1180" t="s">
        <v>227</v>
      </c>
      <c r="O77" s="1181"/>
      <c r="P77" s="490"/>
      <c r="Q77" s="1180" t="s">
        <v>2938</v>
      </c>
      <c r="R77" s="1180"/>
      <c r="S77" s="1178"/>
      <c r="T77" s="485"/>
      <c r="U77" s="3513" t="s">
        <v>228</v>
      </c>
      <c r="V77" s="3513"/>
      <c r="W77" s="3513"/>
      <c r="X77" s="3513"/>
      <c r="Y77" s="3513"/>
      <c r="Z77" s="3513"/>
      <c r="AA77" s="485"/>
      <c r="AB77" s="1736"/>
      <c r="AC77" s="485"/>
      <c r="AD77" s="3319">
        <f>IF(LOOKUP(AF77,'Light Data '!N5:N21,'Light Data '!P5:P21)="S",AF77+AA4/24,AF77+AA4/24+1/24)</f>
        <v>44748.749999999993</v>
      </c>
      <c r="AE77" s="3320"/>
      <c r="AF77" s="3341">
        <f>AF68+(9/24)</f>
        <v>44748.916666666664</v>
      </c>
      <c r="AG77" s="3341"/>
      <c r="AH77" s="3309">
        <f>INDEX(calc!$AE$207:$AM$314,MATCH("START",calc!$AD$207:$AD$314,0)+9,1)</f>
        <v>90</v>
      </c>
      <c r="AI77" s="3028"/>
      <c r="AJ77" s="3028">
        <f>INDEX(calc!$AE$207:$AM$314,MATCH("START",calc!$AD$207:$AD$314,0)+9,2)</f>
        <v>92.785999999999959</v>
      </c>
      <c r="AK77" s="3028"/>
      <c r="AL77" s="3028">
        <f>INDEX(calc!$AE$207:$AM$314,MATCH("START",calc!$AD$207:$AD$314,0)+9,3)</f>
        <v>91.4</v>
      </c>
      <c r="AM77" s="3028"/>
      <c r="AN77" s="3005">
        <v>97</v>
      </c>
      <c r="AO77" s="3006"/>
      <c r="AP77" s="3000">
        <f t="shared" si="0"/>
        <v>97</v>
      </c>
      <c r="AQ77" s="3001"/>
      <c r="AR77" s="3342">
        <f t="shared" si="5"/>
        <v>36.111111111111114</v>
      </c>
      <c r="AS77" s="3343">
        <f t="shared" si="1"/>
        <v>32.222222222222221</v>
      </c>
      <c r="AT77" s="3204">
        <f>INDEX(calc!$AE$207:$AM$314,MATCH("START",calc!$AD$207:$AD$314,0)+9,5)</f>
        <v>74</v>
      </c>
      <c r="AU77" s="3028"/>
      <c r="AV77" s="3028">
        <f>INDEX(calc!$AE$207:$AM$314,MATCH("START",calc!$AD$207:$AD$314,0)+9,6)</f>
        <v>75.403999999999982</v>
      </c>
      <c r="AW77" s="3028"/>
      <c r="AX77" s="3028">
        <f>INDEX(calc!$AE$207:$AM$314,MATCH("START",calc!$AD$207:$AD$314,0)+9,7)</f>
        <v>73.400000000000006</v>
      </c>
      <c r="AY77" s="3028"/>
      <c r="AZ77" s="3176">
        <v>73</v>
      </c>
      <c r="BA77" s="3005"/>
      <c r="BB77" s="3002">
        <f t="shared" si="6"/>
        <v>73</v>
      </c>
      <c r="BC77" s="3003"/>
      <c r="BD77" s="3004">
        <f t="shared" si="7"/>
        <v>0.46421737778362049</v>
      </c>
      <c r="BE77" s="3004">
        <f t="shared" si="8"/>
        <v>4.194321946069504E-3</v>
      </c>
      <c r="BF77" s="2984">
        <f>calc!X17</f>
        <v>90.987562967957643</v>
      </c>
      <c r="BG77" s="2985">
        <v>32</v>
      </c>
      <c r="BH77" s="2982">
        <f>INDEX(calc!$AE$207:$AM$314,MATCH("START",calc!$AD$207:$AD$314,0)+9,8)</f>
        <v>29.866666666666667</v>
      </c>
      <c r="BI77" s="2982"/>
      <c r="BJ77" s="2983"/>
      <c r="BK77" s="3033">
        <f>INDEX(calc!$AE$207:$AM$314,MATCH("START",calc!$AD$207:$AD$314,0)+9,9)</f>
        <v>29.9</v>
      </c>
      <c r="BL77" s="2982"/>
      <c r="BM77" s="2983"/>
      <c r="BN77" s="3029">
        <v>29.9</v>
      </c>
      <c r="BO77" s="3030"/>
      <c r="BP77" s="3048"/>
      <c r="BQ77" s="3031">
        <f>IF(AND($V$75="MANUAL",BN77&lt;&gt;""),BN77,IF($V$80="NAM",IF($BP$82="Yes",BH77+$BR$85,BH77),IF($BP$82="Yes",BK77+$BR$85,BK77)))</f>
        <v>29.9</v>
      </c>
      <c r="BR77" s="3032"/>
      <c r="BS77" s="3032"/>
      <c r="BT77" s="3166">
        <f>IF(BQ77&gt;0,((288.16/0.0065)*(1-(BQ77/29.921)^(1/5.2561))+Z2/3.280833)*3.280833,"")</f>
        <v>774.42707774380006</v>
      </c>
      <c r="BU77" s="3167" t="str">
        <f t="shared" si="3"/>
        <v/>
      </c>
      <c r="BV77" s="3182">
        <f t="shared" si="4"/>
        <v>3491.7642847490606</v>
      </c>
      <c r="BW77" s="3182"/>
      <c r="BX77" s="3167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U77" s="572"/>
      <c r="CV77" s="564"/>
    </row>
    <row r="78" spans="1:100" ht="16.5" customHeight="1" thickBot="1">
      <c r="A78" s="485"/>
      <c r="B78" s="485"/>
      <c r="C78" s="485"/>
      <c r="D78" s="485"/>
      <c r="E78" s="485"/>
      <c r="F78" s="485"/>
      <c r="G78" s="485"/>
      <c r="H78" s="485"/>
      <c r="I78" s="485"/>
      <c r="J78" s="485"/>
      <c r="K78" s="500" t="s">
        <v>2922</v>
      </c>
      <c r="L78" s="485"/>
      <c r="M78" s="487"/>
      <c r="N78" s="1180" t="s">
        <v>229</v>
      </c>
      <c r="O78" s="1181"/>
      <c r="P78" s="503"/>
      <c r="Q78" s="1180"/>
      <c r="R78" s="1180"/>
      <c r="S78" s="1178"/>
      <c r="T78" s="485"/>
      <c r="U78" s="485"/>
      <c r="V78" s="3358" t="s">
        <v>211</v>
      </c>
      <c r="W78" s="3359"/>
      <c r="X78" s="3359"/>
      <c r="Y78" s="3360"/>
      <c r="Z78" s="485"/>
      <c r="AA78" s="485"/>
      <c r="AB78" s="1736"/>
      <c r="AC78" s="485"/>
      <c r="AD78" s="3401">
        <f>IF(LOOKUP(AF78,'Light Data '!N5:N21,'Light Data '!P5:P21)="S",AF78+AA4/24,AF78+AA4/24+1/24)</f>
        <v>44748.791666666657</v>
      </c>
      <c r="AE78" s="3402"/>
      <c r="AF78" s="3382">
        <f>AF68+(10/24)</f>
        <v>44748.958333333328</v>
      </c>
      <c r="AG78" s="3382"/>
      <c r="AH78" s="3333">
        <f>INDEX(calc!$AE$207:$AM$314,MATCH("START",calc!$AD$207:$AD$314,0)+10,1)</f>
        <v>89</v>
      </c>
      <c r="AI78" s="3199"/>
      <c r="AJ78" s="3199">
        <f>INDEX(calc!$AE$207:$AM$314,MATCH("START",calc!$AD$207:$AD$314,0)+10,2)</f>
        <v>90.932000000000002</v>
      </c>
      <c r="AK78" s="3199"/>
      <c r="AL78" s="3199">
        <f>INDEX(calc!$AE$207:$AM$314,MATCH("START",calc!$AD$207:$AD$314,0)+10,3)</f>
        <v>89.6</v>
      </c>
      <c r="AM78" s="3199"/>
      <c r="AN78" s="3005">
        <v>95</v>
      </c>
      <c r="AO78" s="3006"/>
      <c r="AP78" s="3365">
        <f t="shared" si="0"/>
        <v>95</v>
      </c>
      <c r="AQ78" s="3366"/>
      <c r="AR78" s="3207">
        <f t="shared" si="5"/>
        <v>35</v>
      </c>
      <c r="AS78" s="3208">
        <f t="shared" si="1"/>
        <v>31.666666666666668</v>
      </c>
      <c r="AT78" s="3346">
        <f>INDEX(calc!$AE$207:$AM$314,MATCH("START",calc!$AD$207:$AD$314,0)+10,5)</f>
        <v>74</v>
      </c>
      <c r="AU78" s="3199"/>
      <c r="AV78" s="3199">
        <f>INDEX(calc!$AE$207:$AM$314,MATCH("START",calc!$AD$207:$AD$314,0)+10,6)</f>
        <v>76.525999999999968</v>
      </c>
      <c r="AW78" s="3199"/>
      <c r="AX78" s="3199">
        <f>INDEX(calc!$AE$207:$AM$314,MATCH("START",calc!$AD$207:$AD$314,0)+10,7)</f>
        <v>75.2</v>
      </c>
      <c r="AY78" s="3199"/>
      <c r="AZ78" s="3176">
        <v>74</v>
      </c>
      <c r="BA78" s="3005"/>
      <c r="BB78" s="3201">
        <f t="shared" si="6"/>
        <v>74</v>
      </c>
      <c r="BC78" s="3202"/>
      <c r="BD78" s="3203">
        <f t="shared" si="7"/>
        <v>0.51028899654400484</v>
      </c>
      <c r="BE78" s="3203">
        <f t="shared" si="8"/>
        <v>4.2034209282428093E-3</v>
      </c>
      <c r="BF78" s="3195">
        <f>calc!X18</f>
        <v>89.178578468182565</v>
      </c>
      <c r="BG78" s="3196">
        <v>32</v>
      </c>
      <c r="BH78" s="2993">
        <f>INDEX(calc!$AE$207:$AM$314,MATCH("START",calc!$AD$207:$AD$314,0)+10,8)</f>
        <v>29.863333333333333</v>
      </c>
      <c r="BI78" s="2993"/>
      <c r="BJ78" s="2994"/>
      <c r="BK78" s="3198">
        <f>INDEX(calc!$AE$207:$AM$314,MATCH("START",calc!$AD$207:$AD$314,0)+10,9)</f>
        <v>29.9</v>
      </c>
      <c r="BL78" s="2993"/>
      <c r="BM78" s="2994"/>
      <c r="BN78" s="3029">
        <v>29.9</v>
      </c>
      <c r="BO78" s="3030"/>
      <c r="BP78" s="3030"/>
      <c r="BQ78" s="3179">
        <f t="shared" si="2"/>
        <v>29.9</v>
      </c>
      <c r="BR78" s="3180"/>
      <c r="BS78" s="3180"/>
      <c r="BT78" s="3146">
        <f>IF(BQ78&gt;0,((288.16/0.0065)*(1-(BQ78/29.921)^(1/5.2561))+Z2/3.280833)*3.280833,"")</f>
        <v>774.42707774380006</v>
      </c>
      <c r="BU78" s="3147" t="str">
        <f t="shared" si="3"/>
        <v/>
      </c>
      <c r="BV78" s="3181">
        <f t="shared" si="4"/>
        <v>3358.4309514157267</v>
      </c>
      <c r="BW78" s="3181"/>
      <c r="BX78" s="3147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U78" s="572"/>
      <c r="CV78" s="564"/>
    </row>
    <row r="79" spans="1:100" ht="16.5" customHeight="1" thickBot="1">
      <c r="A79" s="485"/>
      <c r="B79" s="485"/>
      <c r="C79" s="485"/>
      <c r="D79" s="485"/>
      <c r="E79" s="485"/>
      <c r="F79" s="485"/>
      <c r="G79" s="485"/>
      <c r="H79" s="485"/>
      <c r="I79" s="485"/>
      <c r="J79" s="485"/>
      <c r="K79" s="500" t="s">
        <v>2896</v>
      </c>
      <c r="L79" s="485"/>
      <c r="M79" s="487"/>
      <c r="N79" s="1180" t="s">
        <v>230</v>
      </c>
      <c r="O79" s="1181"/>
      <c r="P79" s="503"/>
      <c r="Q79" s="1180" t="s">
        <v>2807</v>
      </c>
      <c r="R79" s="1180"/>
      <c r="S79" s="1178"/>
      <c r="T79" s="485"/>
      <c r="U79" s="3513" t="s">
        <v>231</v>
      </c>
      <c r="V79" s="3513"/>
      <c r="W79" s="3513"/>
      <c r="X79" s="3513"/>
      <c r="Y79" s="3513"/>
      <c r="Z79" s="3513"/>
      <c r="AA79" s="485"/>
      <c r="AB79" s="1736"/>
      <c r="AC79" s="485"/>
      <c r="AD79" s="3319">
        <f>IF(LOOKUP(AF79,'Light Data '!N5:N21,'Light Data '!P5:P21)="S",AF79+AA4/24,AF79+AA4/24+1/24)</f>
        <v>44748.833333333328</v>
      </c>
      <c r="AE79" s="3320"/>
      <c r="AF79" s="3341">
        <f>AF68+(11/24)</f>
        <v>44749</v>
      </c>
      <c r="AG79" s="3341"/>
      <c r="AH79" s="3309">
        <f>INDEX(calc!$AE$207:$AM$314,MATCH("START",calc!$AD$207:$AD$314,0)+11,1)</f>
        <v>87</v>
      </c>
      <c r="AI79" s="3028"/>
      <c r="AJ79" s="3028">
        <f>INDEX(calc!$AE$207:$AM$314,MATCH("START",calc!$AD$207:$AD$314,0)+11,2)</f>
        <v>89.078000000000031</v>
      </c>
      <c r="AK79" s="3028"/>
      <c r="AL79" s="3028">
        <f>INDEX(calc!$AE$207:$AM$314,MATCH("START",calc!$AD$207:$AD$314,0)+11,3)</f>
        <v>87.800000000000011</v>
      </c>
      <c r="AM79" s="3028"/>
      <c r="AN79" s="3005">
        <v>90</v>
      </c>
      <c r="AO79" s="3006"/>
      <c r="AP79" s="3000">
        <f t="shared" si="0"/>
        <v>90</v>
      </c>
      <c r="AQ79" s="3001"/>
      <c r="AR79" s="3342">
        <f t="shared" si="5"/>
        <v>32.222222222222221</v>
      </c>
      <c r="AS79" s="3343">
        <f t="shared" si="1"/>
        <v>30.555555555555557</v>
      </c>
      <c r="AT79" s="3204">
        <f>INDEX(calc!$AE$207:$AM$314,MATCH("START",calc!$AD$207:$AD$314,0)+11,5)</f>
        <v>75</v>
      </c>
      <c r="AU79" s="3028"/>
      <c r="AV79" s="3028">
        <f>INDEX(calc!$AE$207:$AM$314,MATCH("START",calc!$AD$207:$AD$314,0)+11,6)</f>
        <v>77.647999999999968</v>
      </c>
      <c r="AW79" s="3028"/>
      <c r="AX79" s="3028">
        <f>INDEX(calc!$AE$207:$AM$314,MATCH("START",calc!$AD$207:$AD$314,0)+11,7)</f>
        <v>75.2</v>
      </c>
      <c r="AY79" s="3028"/>
      <c r="AZ79" s="3176">
        <v>74</v>
      </c>
      <c r="BA79" s="3005"/>
      <c r="BB79" s="3002">
        <f t="shared" si="6"/>
        <v>74</v>
      </c>
      <c r="BC79" s="3003"/>
      <c r="BD79" s="3004">
        <f t="shared" si="7"/>
        <v>0.59578947092021739</v>
      </c>
      <c r="BE79" s="3004">
        <f t="shared" si="8"/>
        <v>4.0463024296609647E-3</v>
      </c>
      <c r="BF79" s="2984">
        <f>calc!X19</f>
        <v>84.388344330912034</v>
      </c>
      <c r="BG79" s="2985">
        <v>32</v>
      </c>
      <c r="BH79" s="2982">
        <f>INDEX(calc!$AE$207:$AM$314,MATCH("START",calc!$AD$207:$AD$314,0)+11,8)</f>
        <v>29.86</v>
      </c>
      <c r="BI79" s="2982"/>
      <c r="BJ79" s="2983"/>
      <c r="BK79" s="3033">
        <f>INDEX(calc!$AE$207:$AM$314,MATCH("START",calc!$AD$207:$AD$314,0)+11,9)</f>
        <v>29.9</v>
      </c>
      <c r="BL79" s="2982"/>
      <c r="BM79" s="2983"/>
      <c r="BN79" s="3029">
        <v>29.91</v>
      </c>
      <c r="BO79" s="3030"/>
      <c r="BP79" s="3030"/>
      <c r="BQ79" s="3031">
        <f t="shared" si="2"/>
        <v>29.91</v>
      </c>
      <c r="BR79" s="3032"/>
      <c r="BS79" s="3032"/>
      <c r="BT79" s="3166">
        <f>IF(BQ79&gt;0,((288.16/0.0065)*(1-(BQ79/29.921)^(1/5.2561))+Z2/3.280833)*3.280833,"")</f>
        <v>765.17471087945876</v>
      </c>
      <c r="BU79" s="3167" t="str">
        <f t="shared" si="3"/>
        <v/>
      </c>
      <c r="BV79" s="3182">
        <f t="shared" si="4"/>
        <v>3013.6468888510849</v>
      </c>
      <c r="BW79" s="3182"/>
      <c r="BX79" s="3167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U79" s="572"/>
      <c r="CV79" s="564"/>
    </row>
    <row r="80" spans="1:100" ht="16.5" customHeight="1" thickBot="1">
      <c r="A80" s="485"/>
      <c r="B80" s="485"/>
      <c r="C80" s="485"/>
      <c r="D80" s="485"/>
      <c r="E80" s="485"/>
      <c r="F80" s="485"/>
      <c r="G80" s="485"/>
      <c r="H80" s="485"/>
      <c r="I80" s="485"/>
      <c r="J80" s="485"/>
      <c r="K80" s="500" t="s">
        <v>2923</v>
      </c>
      <c r="L80" s="485"/>
      <c r="M80" s="487"/>
      <c r="N80" s="1180" t="s">
        <v>2876</v>
      </c>
      <c r="O80" s="1181"/>
      <c r="P80" s="503"/>
      <c r="Q80" s="1180" t="s">
        <v>2939</v>
      </c>
      <c r="R80" s="1180"/>
      <c r="S80" s="1178"/>
      <c r="T80" s="485"/>
      <c r="U80" s="489"/>
      <c r="V80" s="3358" t="s">
        <v>211</v>
      </c>
      <c r="W80" s="3359"/>
      <c r="X80" s="3359"/>
      <c r="Y80" s="3360"/>
      <c r="Z80" s="495"/>
      <c r="AA80" s="485"/>
      <c r="AB80" s="1736"/>
      <c r="AC80" s="485"/>
      <c r="AD80" s="3494">
        <f>IF(LOOKUP(AF80,'Light Data '!N5:N21,'Light Data '!P5:P21)="S",AF80+AA4/24,AF80+AA4/24+1/24)</f>
        <v>44748.874999999993</v>
      </c>
      <c r="AE80" s="3495"/>
      <c r="AF80" s="3381">
        <f>AF68+(12/24)</f>
        <v>44749.041666666664</v>
      </c>
      <c r="AG80" s="3381"/>
      <c r="AH80" s="3321">
        <f>INDEX(calc!$AE$207:$AM$314,MATCH("START",calc!$AD$207:$AD$314,0)+12,1)</f>
        <v>83</v>
      </c>
      <c r="AI80" s="3173"/>
      <c r="AJ80" s="3173">
        <f>INDEX(calc!$AE$207:$AM$314,MATCH("START",calc!$AD$207:$AD$314,0)+12,2)</f>
        <v>87.896000000000015</v>
      </c>
      <c r="AK80" s="3173"/>
      <c r="AL80" s="3173">
        <f>INDEX(calc!$AE$207:$AM$314,MATCH("START",calc!$AD$207:$AD$314,0)+12,3)</f>
        <v>86</v>
      </c>
      <c r="AM80" s="3173"/>
      <c r="AN80" s="3325">
        <v>88</v>
      </c>
      <c r="AO80" s="3326"/>
      <c r="AP80" s="3344">
        <f t="shared" si="0"/>
        <v>88</v>
      </c>
      <c r="AQ80" s="3345"/>
      <c r="AR80" s="3518">
        <f t="shared" si="5"/>
        <v>31.111111111111114</v>
      </c>
      <c r="AS80" s="3519">
        <f t="shared" si="1"/>
        <v>28.333333333333336</v>
      </c>
      <c r="AT80" s="3197">
        <f>INDEX(calc!$AE$207:$AM$314,MATCH("START",calc!$AD$207:$AD$314,0)+12,5)</f>
        <v>74</v>
      </c>
      <c r="AU80" s="3173"/>
      <c r="AV80" s="3173">
        <f>INDEX(calc!$AE$207:$AM$314,MATCH("START",calc!$AD$207:$AD$314,0)+12,6)</f>
        <v>77.257999999999981</v>
      </c>
      <c r="AW80" s="3173"/>
      <c r="AX80" s="3173">
        <f>INDEX(calc!$AE$207:$AM$314,MATCH("START",calc!$AD$207:$AD$314,0)+12,7)</f>
        <v>75.2</v>
      </c>
      <c r="AY80" s="3173"/>
      <c r="AZ80" s="3176">
        <v>74</v>
      </c>
      <c r="BA80" s="3005"/>
      <c r="BB80" s="3177">
        <f t="shared" si="6"/>
        <v>74</v>
      </c>
      <c r="BC80" s="3178"/>
      <c r="BD80" s="3148">
        <f t="shared" si="7"/>
        <v>0.63444326022348041</v>
      </c>
      <c r="BE80" s="3148">
        <f t="shared" si="8"/>
        <v>4.2280287460311535E-3</v>
      </c>
      <c r="BF80" s="3226">
        <f>calc!X19</f>
        <v>84.388344330912034</v>
      </c>
      <c r="BG80" s="3227" t="e">
        <f>1.8*((0.7*#REF!)+(0.1*#REF!)+(0.2*#REF!))+32</f>
        <v>#REF!</v>
      </c>
      <c r="BH80" s="3150">
        <f>INDEX(calc!$AE$207:$AM$314,MATCH("START",calc!$AD$207:$AD$314,0)+12,8)</f>
        <v>29.86</v>
      </c>
      <c r="BI80" s="3150"/>
      <c r="BJ80" s="3151"/>
      <c r="BK80" s="3192">
        <f>INDEX(calc!$AE$207:$AM$314,MATCH("START",calc!$AD$207:$AD$314,0)+12,9)</f>
        <v>29.9</v>
      </c>
      <c r="BL80" s="3150"/>
      <c r="BM80" s="3151"/>
      <c r="BN80" s="3029">
        <v>29.92</v>
      </c>
      <c r="BO80" s="3030"/>
      <c r="BP80" s="3030"/>
      <c r="BQ80" s="3224">
        <f t="shared" si="2"/>
        <v>29.92</v>
      </c>
      <c r="BR80" s="3225"/>
      <c r="BS80" s="3225"/>
      <c r="BT80" s="3231">
        <f>IF(BQ80&gt;0,((288.16/0.0065)*(1-(BQ80/29.921)^(1/5.2561))+Z2/3.280833)*3.280833,"")</f>
        <v>755.92484854294287</v>
      </c>
      <c r="BU80" s="3162" t="str">
        <f t="shared" si="3"/>
        <v/>
      </c>
      <c r="BV80" s="3161">
        <f t="shared" si="4"/>
        <v>2868.8659258900802</v>
      </c>
      <c r="BW80" s="3161"/>
      <c r="BX80" s="3162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U80" s="572"/>
      <c r="CV80" s="564"/>
    </row>
    <row r="81" spans="1:100" ht="16.5" customHeight="1" thickBot="1">
      <c r="A81" s="485"/>
      <c r="B81" s="485"/>
      <c r="C81" s="485"/>
      <c r="D81" s="485"/>
      <c r="E81" s="485"/>
      <c r="F81" s="485"/>
      <c r="G81" s="485"/>
      <c r="H81" s="485"/>
      <c r="I81" s="485"/>
      <c r="J81" s="485"/>
      <c r="K81" s="500" t="s">
        <v>2924</v>
      </c>
      <c r="L81" s="485"/>
      <c r="M81" s="487"/>
      <c r="N81" s="1180" t="s">
        <v>232</v>
      </c>
      <c r="O81" s="1181"/>
      <c r="P81" s="503" t="s">
        <v>233</v>
      </c>
      <c r="Q81" s="1180" t="s">
        <v>2940</v>
      </c>
      <c r="R81" s="1180"/>
      <c r="S81" s="1178"/>
      <c r="T81" s="485"/>
      <c r="U81" s="489"/>
      <c r="V81" s="487"/>
      <c r="W81" s="487"/>
      <c r="X81" s="496"/>
      <c r="Y81" s="496"/>
      <c r="Z81" s="495"/>
      <c r="AA81" s="485"/>
      <c r="AB81" s="1736"/>
      <c r="AC81" s="535"/>
      <c r="AD81" s="574"/>
      <c r="AE81" s="574"/>
      <c r="AF81" s="575"/>
      <c r="AG81" s="575"/>
      <c r="AH81" s="843"/>
      <c r="AI81" s="844"/>
      <c r="AJ81" s="845"/>
      <c r="AK81" s="845"/>
      <c r="AL81" s="846"/>
      <c r="AM81" s="846"/>
      <c r="AN81" s="847"/>
      <c r="AO81" s="847"/>
      <c r="AP81" s="848"/>
      <c r="AQ81" s="848"/>
      <c r="AR81" s="849"/>
      <c r="AS81" s="850"/>
      <c r="AT81" s="859"/>
      <c r="AU81" s="860"/>
      <c r="AV81" s="860"/>
      <c r="AW81" s="860"/>
      <c r="AX81" s="860"/>
      <c r="AY81" s="861"/>
      <c r="AZ81" s="862"/>
      <c r="BA81" s="862"/>
      <c r="BB81" s="862"/>
      <c r="BC81" s="863"/>
      <c r="BD81" s="584"/>
      <c r="BE81" s="585"/>
      <c r="BF81" s="586"/>
      <c r="BG81" s="587"/>
      <c r="BH81" s="3193"/>
      <c r="BI81" s="3194"/>
      <c r="BJ81" s="3194"/>
      <c r="BK81" s="3149"/>
      <c r="BL81" s="3149"/>
      <c r="BM81" s="3149"/>
      <c r="BN81" s="861"/>
      <c r="BO81" s="861"/>
      <c r="BP81" s="861"/>
      <c r="BQ81" s="861"/>
      <c r="BR81" s="861"/>
      <c r="BS81" s="866"/>
      <c r="BT81" s="485"/>
      <c r="BU81" s="485"/>
      <c r="BV81" s="485"/>
      <c r="BW81" s="535"/>
      <c r="BX81" s="535"/>
      <c r="BY81" s="535"/>
      <c r="BZ81" s="535"/>
      <c r="CA81" s="535"/>
      <c r="CB81" s="535"/>
      <c r="CC81" s="535"/>
      <c r="CD81" s="535"/>
      <c r="CE81" s="535"/>
      <c r="CF81" s="535"/>
      <c r="CG81" s="535"/>
      <c r="CH81" s="535"/>
      <c r="CI81" s="535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4"/>
    </row>
    <row r="82" spans="1:100" ht="16.5" customHeight="1" thickBot="1">
      <c r="A82" s="485"/>
      <c r="B82" s="485"/>
      <c r="C82" s="485"/>
      <c r="D82" s="485"/>
      <c r="E82" s="485"/>
      <c r="F82" s="485"/>
      <c r="G82" s="485"/>
      <c r="H82" s="485"/>
      <c r="I82" s="485"/>
      <c r="J82" s="485"/>
      <c r="K82" s="500" t="s">
        <v>2925</v>
      </c>
      <c r="L82" s="485"/>
      <c r="M82" s="487"/>
      <c r="N82" s="1180" t="s">
        <v>234</v>
      </c>
      <c r="O82" s="1181" t="s">
        <v>2929</v>
      </c>
      <c r="P82" s="503"/>
      <c r="Q82" s="1180" t="s">
        <v>2941</v>
      </c>
      <c r="R82" s="1180"/>
      <c r="S82" s="1178"/>
      <c r="T82" s="485"/>
      <c r="U82" s="485"/>
      <c r="V82" s="485"/>
      <c r="W82" s="485"/>
      <c r="X82" s="485"/>
      <c r="Y82" s="485"/>
      <c r="Z82" s="485"/>
      <c r="AA82" s="485"/>
      <c r="AB82" s="1736"/>
      <c r="AC82" s="535"/>
      <c r="AD82" s="574"/>
      <c r="AE82" s="574"/>
      <c r="AF82" s="826"/>
      <c r="AG82" s="826"/>
      <c r="AH82" s="851"/>
      <c r="AI82" s="826"/>
      <c r="AJ82" s="826"/>
      <c r="AK82" s="826"/>
      <c r="AL82" s="826"/>
      <c r="AM82" s="826"/>
      <c r="AN82" s="826"/>
      <c r="AO82" s="826"/>
      <c r="AP82" s="825" t="s">
        <v>235</v>
      </c>
      <c r="AQ82" s="3205" t="s">
        <v>236</v>
      </c>
      <c r="AR82" s="3206"/>
      <c r="AS82" s="852"/>
      <c r="AT82" s="864"/>
      <c r="AU82" s="535"/>
      <c r="AV82" s="535"/>
      <c r="AW82" s="535"/>
      <c r="AX82" s="535"/>
      <c r="AY82" s="535"/>
      <c r="AZ82" s="825" t="s">
        <v>235</v>
      </c>
      <c r="BA82" s="3205" t="s">
        <v>236</v>
      </c>
      <c r="BB82" s="3206"/>
      <c r="BC82" s="852"/>
      <c r="BD82" s="828"/>
      <c r="BE82" s="585"/>
      <c r="BF82" s="586"/>
      <c r="BG82" s="485"/>
      <c r="BH82" s="864"/>
      <c r="BI82" s="535"/>
      <c r="BJ82" s="535"/>
      <c r="BK82" s="535"/>
      <c r="BL82" s="588"/>
      <c r="BM82" s="535"/>
      <c r="BN82" s="535"/>
      <c r="BO82" s="825" t="s">
        <v>235</v>
      </c>
      <c r="BP82" s="3205" t="s">
        <v>236</v>
      </c>
      <c r="BQ82" s="3206"/>
      <c r="BR82" s="535"/>
      <c r="BS82" s="852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</row>
    <row r="83" spans="1:100" ht="16.5" customHeight="1" thickBot="1">
      <c r="A83" s="485"/>
      <c r="B83" s="485"/>
      <c r="C83" s="485"/>
      <c r="D83" s="485"/>
      <c r="E83" s="485"/>
      <c r="F83" s="485"/>
      <c r="G83" s="485"/>
      <c r="H83" s="485"/>
      <c r="I83" s="485"/>
      <c r="J83" s="485"/>
      <c r="K83" s="500" t="s">
        <v>2926</v>
      </c>
      <c r="L83" s="485"/>
      <c r="M83" s="487"/>
      <c r="N83" s="1180" t="s">
        <v>238</v>
      </c>
      <c r="O83" s="1181" t="s">
        <v>2930</v>
      </c>
      <c r="P83" s="503"/>
      <c r="Q83" s="1180" t="s">
        <v>2942</v>
      </c>
      <c r="R83" s="1180"/>
      <c r="S83" s="1178"/>
      <c r="T83" s="485"/>
      <c r="U83" s="485"/>
      <c r="V83" s="485"/>
      <c r="W83" s="485"/>
      <c r="X83" s="485"/>
      <c r="Y83" s="485"/>
      <c r="Z83" s="485"/>
      <c r="AA83" s="485"/>
      <c r="AB83" s="1736"/>
      <c r="AC83" s="535"/>
      <c r="AD83" s="574"/>
      <c r="AE83" s="574"/>
      <c r="AF83" s="826"/>
      <c r="AG83" s="826"/>
      <c r="AH83" s="851"/>
      <c r="AI83" s="826"/>
      <c r="AJ83" s="826"/>
      <c r="AK83" s="826"/>
      <c r="AL83" s="826"/>
      <c r="AM83" s="826"/>
      <c r="AN83" s="826"/>
      <c r="AO83" s="826"/>
      <c r="AP83" s="588"/>
      <c r="AQ83" s="535"/>
      <c r="AR83" s="535"/>
      <c r="AS83" s="852"/>
      <c r="AT83" s="864"/>
      <c r="AU83" s="588"/>
      <c r="AV83" s="535"/>
      <c r="AW83" s="535"/>
      <c r="AX83" s="535"/>
      <c r="AY83" s="535"/>
      <c r="AZ83" s="588"/>
      <c r="BA83" s="535"/>
      <c r="BB83" s="535"/>
      <c r="BC83" s="852"/>
      <c r="BD83" s="827"/>
      <c r="BE83" s="585"/>
      <c r="BF83" s="586"/>
      <c r="BG83" s="485"/>
      <c r="BH83" s="864"/>
      <c r="BI83" s="535"/>
      <c r="BJ83" s="535"/>
      <c r="BK83" s="535"/>
      <c r="BL83" s="535"/>
      <c r="BM83" s="535"/>
      <c r="BN83" s="535"/>
      <c r="BO83" s="535"/>
      <c r="BP83" s="588"/>
      <c r="BQ83" s="535"/>
      <c r="BR83" s="535"/>
      <c r="BS83" s="852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</row>
    <row r="84" spans="1:100" ht="16.5" customHeight="1" thickBot="1">
      <c r="A84" s="485"/>
      <c r="B84" s="485"/>
      <c r="C84" s="485"/>
      <c r="D84" s="485"/>
      <c r="E84" s="485"/>
      <c r="F84" s="485"/>
      <c r="G84" s="485"/>
      <c r="H84" s="485"/>
      <c r="I84" s="485"/>
      <c r="J84" s="485"/>
      <c r="K84" s="500" t="s">
        <v>2927</v>
      </c>
      <c r="L84" s="501"/>
      <c r="M84" s="502"/>
      <c r="N84" s="1180" t="s">
        <v>239</v>
      </c>
      <c r="O84" s="1181" t="s">
        <v>2931</v>
      </c>
      <c r="P84" s="503"/>
      <c r="Q84" s="1181" t="s">
        <v>2943</v>
      </c>
      <c r="R84" s="1181"/>
      <c r="S84" s="1178"/>
      <c r="T84" s="485"/>
      <c r="U84" s="485"/>
      <c r="V84" s="485"/>
      <c r="W84" s="485"/>
      <c r="X84" s="485"/>
      <c r="Y84" s="485"/>
      <c r="Z84" s="485"/>
      <c r="AA84" s="485"/>
      <c r="AB84" s="1736"/>
      <c r="AC84" s="535"/>
      <c r="AD84" s="574"/>
      <c r="AE84" s="574"/>
      <c r="AF84" s="826"/>
      <c r="AG84" s="826"/>
      <c r="AH84" s="851"/>
      <c r="AI84" s="826"/>
      <c r="AJ84" s="826"/>
      <c r="AK84" s="826"/>
      <c r="AL84" s="826"/>
      <c r="AM84" s="826"/>
      <c r="AN84" s="826"/>
      <c r="AO84" s="826"/>
      <c r="AP84" s="825" t="s">
        <v>240</v>
      </c>
      <c r="AQ84" s="829" t="s">
        <v>242</v>
      </c>
      <c r="AR84" s="830">
        <v>2</v>
      </c>
      <c r="AS84" s="852"/>
      <c r="AT84" s="864"/>
      <c r="AU84" s="582"/>
      <c r="AV84" s="582"/>
      <c r="AW84" s="582"/>
      <c r="AX84" s="582"/>
      <c r="AY84" s="535"/>
      <c r="AZ84" s="825" t="s">
        <v>240</v>
      </c>
      <c r="BA84" s="829" t="s">
        <v>241</v>
      </c>
      <c r="BB84" s="830">
        <v>4</v>
      </c>
      <c r="BC84" s="852"/>
      <c r="BD84" s="584"/>
      <c r="BE84" s="585"/>
      <c r="BF84" s="586"/>
      <c r="BG84" s="587"/>
      <c r="BH84" s="867"/>
      <c r="BI84" s="868"/>
      <c r="BJ84" s="868"/>
      <c r="BK84" s="535"/>
      <c r="BL84" s="535"/>
      <c r="BM84" s="535"/>
      <c r="BN84" s="535"/>
      <c r="BO84" s="825" t="s">
        <v>240</v>
      </c>
      <c r="BP84" s="831" t="s">
        <v>241</v>
      </c>
      <c r="BQ84" s="3220">
        <v>0.01</v>
      </c>
      <c r="BR84" s="3221"/>
      <c r="BS84" s="869"/>
      <c r="BT84" s="485"/>
      <c r="BU84" s="485"/>
      <c r="BV84" s="485"/>
      <c r="BW84" s="485"/>
      <c r="BX84" s="485"/>
      <c r="BY84" s="485"/>
      <c r="BZ84" s="485"/>
      <c r="CA84" s="485"/>
      <c r="CC84" s="485"/>
      <c r="CD84" s="485"/>
      <c r="CE84" s="485"/>
      <c r="CF84" s="485"/>
      <c r="CG84" s="485"/>
      <c r="CH84" s="485"/>
      <c r="CI84" s="485"/>
    </row>
    <row r="85" spans="1:100" ht="16.5" customHeight="1" thickBot="1">
      <c r="A85" s="485"/>
      <c r="B85" s="485"/>
      <c r="C85" s="485"/>
      <c r="D85" s="485"/>
      <c r="E85" s="485"/>
      <c r="F85" s="485"/>
      <c r="G85" s="485"/>
      <c r="H85" s="485"/>
      <c r="I85" s="485"/>
      <c r="J85" s="485"/>
      <c r="K85" s="500" t="s">
        <v>2880</v>
      </c>
      <c r="L85" s="485"/>
      <c r="M85" s="487"/>
      <c r="N85" s="1180" t="s">
        <v>243</v>
      </c>
      <c r="O85" s="1181" t="s">
        <v>2932</v>
      </c>
      <c r="P85" s="503"/>
      <c r="Q85" s="1181" t="s">
        <v>2944</v>
      </c>
      <c r="R85" s="1181"/>
      <c r="S85" s="1178"/>
      <c r="T85" s="485"/>
      <c r="U85" s="485"/>
      <c r="V85" s="485"/>
      <c r="W85" s="485"/>
      <c r="X85" s="485"/>
      <c r="Y85" s="485"/>
      <c r="Z85" s="485"/>
      <c r="AA85" s="485"/>
      <c r="AB85" s="1736"/>
      <c r="AC85" s="535"/>
      <c r="AD85" s="574"/>
      <c r="AE85" s="574"/>
      <c r="AF85" s="575"/>
      <c r="AG85" s="575"/>
      <c r="AH85" s="853"/>
      <c r="AI85" s="854"/>
      <c r="AJ85" s="855"/>
      <c r="AK85" s="854"/>
      <c r="AL85" s="854"/>
      <c r="AM85" s="854"/>
      <c r="AN85" s="854"/>
      <c r="AO85" s="854"/>
      <c r="AP85" s="856"/>
      <c r="AQ85" s="856"/>
      <c r="AR85" s="857">
        <f>IF(AQ84="-",0-AR84,AR84)</f>
        <v>2</v>
      </c>
      <c r="AS85" s="858"/>
      <c r="AT85" s="853"/>
      <c r="AU85" s="865"/>
      <c r="AV85" s="865"/>
      <c r="AW85" s="865"/>
      <c r="AX85" s="865"/>
      <c r="AY85" s="854"/>
      <c r="AZ85" s="856"/>
      <c r="BA85" s="856"/>
      <c r="BB85" s="857">
        <f>IF(BA84="-",0-BB84,BB84)</f>
        <v>-4</v>
      </c>
      <c r="BC85" s="858"/>
      <c r="BD85" s="584"/>
      <c r="BE85" s="585"/>
      <c r="BF85" s="586"/>
      <c r="BG85" s="587"/>
      <c r="BH85" s="870"/>
      <c r="BI85" s="854"/>
      <c r="BJ85" s="854"/>
      <c r="BK85" s="854"/>
      <c r="BL85" s="854"/>
      <c r="BM85" s="854"/>
      <c r="BN85" s="854"/>
      <c r="BO85" s="854"/>
      <c r="BP85" s="856"/>
      <c r="BQ85" s="856"/>
      <c r="BR85" s="3222">
        <f>IF(BP84="-",0-BQ84,BQ84)</f>
        <v>-0.01</v>
      </c>
      <c r="BS85" s="3223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</row>
    <row r="86" spans="1:100" ht="16.5" customHeight="1">
      <c r="A86" s="485"/>
      <c r="B86" s="485"/>
      <c r="C86" s="485"/>
      <c r="D86" s="485"/>
      <c r="E86" s="485"/>
      <c r="F86" s="485"/>
      <c r="G86" s="485"/>
      <c r="H86" s="485"/>
      <c r="I86" s="485"/>
      <c r="J86" s="485"/>
      <c r="K86" s="500" t="s">
        <v>2868</v>
      </c>
      <c r="L86" s="485"/>
      <c r="M86" s="487"/>
      <c r="N86" s="1181" t="s">
        <v>244</v>
      </c>
      <c r="O86" s="1181" t="s">
        <v>2933</v>
      </c>
      <c r="P86" s="503"/>
      <c r="Q86" s="1181" t="s">
        <v>2945</v>
      </c>
      <c r="R86" s="1181"/>
      <c r="S86" s="1178"/>
      <c r="T86" s="485"/>
      <c r="U86" s="485"/>
      <c r="V86" s="485"/>
      <c r="W86" s="485"/>
      <c r="X86" s="485"/>
      <c r="Y86" s="485"/>
      <c r="Z86" s="485"/>
      <c r="AA86" s="485"/>
      <c r="AB86" s="1736"/>
      <c r="AC86" s="535"/>
      <c r="AD86" s="574"/>
      <c r="AE86" s="574"/>
      <c r="AF86" s="575"/>
      <c r="AG86" s="575"/>
      <c r="AH86" s="485"/>
      <c r="AI86" s="485"/>
      <c r="AJ86" s="577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582"/>
      <c r="AV86" s="582"/>
      <c r="AW86" s="582"/>
      <c r="AX86" s="582"/>
      <c r="AY86" s="535"/>
      <c r="AZ86" s="583"/>
      <c r="BA86" s="584"/>
      <c r="BB86" s="584"/>
      <c r="BC86" s="584"/>
      <c r="BD86" s="584"/>
      <c r="BE86" s="585"/>
      <c r="BF86" s="586"/>
      <c r="BG86" s="587"/>
      <c r="BH86" s="5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</row>
    <row r="87" spans="1:100" ht="16.5" customHeight="1">
      <c r="A87" s="485"/>
      <c r="B87" s="485"/>
      <c r="C87" s="485"/>
      <c r="D87" s="485"/>
      <c r="E87" s="485"/>
      <c r="F87" s="485"/>
      <c r="G87" s="485"/>
      <c r="H87" s="485"/>
      <c r="I87" s="485"/>
      <c r="J87" s="485"/>
      <c r="K87" s="503" t="s">
        <v>2892</v>
      </c>
      <c r="L87" s="485"/>
      <c r="M87" s="487"/>
      <c r="N87" s="1181" t="s">
        <v>245</v>
      </c>
      <c r="O87" s="1181" t="s">
        <v>2934</v>
      </c>
      <c r="P87" s="503"/>
      <c r="Q87" s="1181" t="s">
        <v>2946</v>
      </c>
      <c r="R87" s="1181"/>
      <c r="S87" s="1178"/>
      <c r="T87" s="485"/>
      <c r="U87" s="485"/>
      <c r="V87" s="485"/>
      <c r="W87" s="485"/>
      <c r="X87" s="485"/>
      <c r="Y87" s="485"/>
      <c r="Z87" s="485"/>
      <c r="AA87" s="485"/>
      <c r="AB87" s="1736"/>
      <c r="AC87" s="535"/>
      <c r="AD87" s="574"/>
      <c r="AE87" s="574"/>
      <c r="AF87" s="575"/>
      <c r="AG87" s="575"/>
      <c r="AH87" s="485"/>
      <c r="AI87" s="485"/>
      <c r="AJ87" s="577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582"/>
      <c r="AV87" s="582"/>
      <c r="AW87" s="582"/>
      <c r="AX87" s="582"/>
      <c r="AY87" s="535"/>
      <c r="AZ87" s="583"/>
      <c r="BA87" s="485"/>
      <c r="BB87" s="485"/>
      <c r="BC87" s="485"/>
      <c r="BD87" s="584"/>
      <c r="BE87" s="585"/>
      <c r="BF87" s="586"/>
      <c r="BG87" s="587"/>
      <c r="BH87" s="585"/>
      <c r="BI87" s="585"/>
      <c r="BJ87" s="585"/>
      <c r="BK87" s="5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</row>
    <row r="88" spans="1:100" ht="16.5" customHeight="1">
      <c r="A88" s="485"/>
      <c r="B88" s="485"/>
      <c r="C88" s="485"/>
      <c r="D88" s="485"/>
      <c r="E88" s="485"/>
      <c r="F88" s="485"/>
      <c r="G88" s="485"/>
      <c r="H88" s="485"/>
      <c r="I88" s="485"/>
      <c r="J88" s="485"/>
      <c r="K88" s="503" t="s">
        <v>2880</v>
      </c>
      <c r="L88" s="485"/>
      <c r="M88" s="487"/>
      <c r="N88" s="1181" t="s">
        <v>246</v>
      </c>
      <c r="O88" s="1181" t="s">
        <v>2935</v>
      </c>
      <c r="P88" s="503"/>
      <c r="Q88" s="1181" t="s">
        <v>2947</v>
      </c>
      <c r="R88" s="1181"/>
      <c r="S88" s="1178"/>
      <c r="T88" s="485"/>
      <c r="U88" s="485"/>
      <c r="V88" s="485"/>
      <c r="W88" s="485"/>
      <c r="X88" s="485"/>
      <c r="Y88" s="485"/>
      <c r="Z88" s="485"/>
      <c r="AA88" s="485"/>
      <c r="AB88" s="1736"/>
      <c r="AC88" s="535"/>
      <c r="AD88" s="574"/>
      <c r="AE88" s="574"/>
      <c r="AF88" s="575"/>
      <c r="AG88" s="575"/>
      <c r="AH88" s="485"/>
      <c r="AI88" s="485"/>
      <c r="AJ88" s="577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582"/>
      <c r="AV88" s="582"/>
      <c r="AW88" s="582"/>
      <c r="AX88" s="582"/>
      <c r="AY88" s="535"/>
      <c r="AZ88" s="583"/>
      <c r="BA88" s="485"/>
      <c r="BB88" s="485"/>
      <c r="BC88" s="485"/>
      <c r="BD88" s="584"/>
      <c r="BE88" s="585"/>
      <c r="BF88" s="586"/>
      <c r="BG88" s="587"/>
      <c r="BH88" s="585"/>
      <c r="BI88" s="585"/>
      <c r="BJ88" s="585"/>
      <c r="BK88" s="5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</row>
    <row r="89" spans="1:100" ht="16.5" customHeight="1">
      <c r="A89" s="485"/>
      <c r="B89" s="485"/>
      <c r="C89" s="485"/>
      <c r="D89" s="485"/>
      <c r="E89" s="485"/>
      <c r="F89" s="485"/>
      <c r="G89" s="485"/>
      <c r="H89" s="485"/>
      <c r="I89" s="485"/>
      <c r="J89" s="485"/>
      <c r="K89" s="503" t="s">
        <v>2868</v>
      </c>
      <c r="L89" s="485"/>
      <c r="M89" s="487"/>
      <c r="N89" s="1181" t="s">
        <v>247</v>
      </c>
      <c r="O89" s="1181" t="s">
        <v>2936</v>
      </c>
      <c r="P89" s="503"/>
      <c r="Q89" s="1181" t="s">
        <v>2948</v>
      </c>
      <c r="R89" s="1181"/>
      <c r="S89" s="1178"/>
      <c r="T89" s="485"/>
      <c r="U89" s="485"/>
      <c r="V89" s="485"/>
      <c r="W89" s="485"/>
      <c r="X89" s="485"/>
      <c r="Y89" s="485"/>
      <c r="Z89" s="485"/>
      <c r="AA89" s="485"/>
      <c r="AB89" s="1736"/>
      <c r="AC89" s="535"/>
      <c r="AD89" s="574"/>
      <c r="AE89" s="574"/>
      <c r="AF89" s="575"/>
      <c r="AG89" s="575"/>
      <c r="AH89" s="485"/>
      <c r="AI89" s="485"/>
      <c r="AJ89" s="577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582"/>
      <c r="AV89" s="582"/>
      <c r="AW89" s="582"/>
      <c r="AX89" s="582"/>
      <c r="AY89" s="535"/>
      <c r="AZ89" s="583"/>
      <c r="BA89" s="485"/>
      <c r="BB89" s="485"/>
      <c r="BC89" s="485"/>
      <c r="BD89" s="584"/>
      <c r="BE89" s="585"/>
      <c r="BF89" s="586"/>
      <c r="BG89" s="587"/>
      <c r="BH89" s="585"/>
      <c r="BI89" s="585"/>
      <c r="BJ89" s="585"/>
      <c r="BK89" s="5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</row>
    <row r="90" spans="1:100" ht="16.5" customHeight="1">
      <c r="A90" s="485"/>
      <c r="B90" s="485"/>
      <c r="C90" s="485"/>
      <c r="D90" s="485"/>
      <c r="E90" s="485"/>
      <c r="F90" s="485"/>
      <c r="G90" s="485"/>
      <c r="H90" s="485"/>
      <c r="I90" s="485"/>
      <c r="J90" s="485"/>
      <c r="K90" s="503" t="s">
        <v>2892</v>
      </c>
      <c r="L90" s="485"/>
      <c r="M90" s="487"/>
      <c r="N90" s="1181" t="s">
        <v>2937</v>
      </c>
      <c r="O90" s="1181"/>
      <c r="P90" s="503"/>
      <c r="Q90" s="1181" t="s">
        <v>2949</v>
      </c>
      <c r="R90" s="1181"/>
      <c r="S90" s="1178"/>
      <c r="T90" s="485"/>
      <c r="U90" s="485"/>
      <c r="V90" s="485"/>
      <c r="W90" s="485"/>
      <c r="X90" s="485"/>
      <c r="Y90" s="485"/>
      <c r="Z90" s="485"/>
      <c r="AA90" s="485"/>
      <c r="AB90" s="1736"/>
      <c r="AC90" s="535"/>
      <c r="AD90" s="574"/>
      <c r="AE90" s="574"/>
      <c r="AF90" s="575"/>
      <c r="AG90" s="575"/>
      <c r="AH90" s="485"/>
      <c r="AI90" s="485"/>
      <c r="AJ90" s="577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582"/>
      <c r="AV90" s="582"/>
      <c r="AW90" s="582"/>
      <c r="AX90" s="582"/>
      <c r="AY90" s="535"/>
      <c r="AZ90" s="583"/>
      <c r="BA90" s="485"/>
      <c r="BB90" s="485"/>
      <c r="BC90" s="485"/>
      <c r="BD90" s="584"/>
      <c r="BE90" s="585"/>
      <c r="BF90" s="586"/>
      <c r="BG90" s="587"/>
      <c r="BH90" s="585"/>
      <c r="BI90" s="585"/>
      <c r="BJ90" s="585"/>
      <c r="BK90" s="5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</row>
    <row r="91" spans="1:100" ht="16.5" customHeight="1">
      <c r="A91" s="485"/>
      <c r="B91" s="485"/>
      <c r="C91" s="485"/>
      <c r="D91" s="485"/>
      <c r="E91" s="485"/>
      <c r="F91" s="485"/>
      <c r="G91" s="485"/>
      <c r="H91" s="485"/>
      <c r="I91" s="485"/>
      <c r="J91" s="485"/>
      <c r="K91" s="503" t="s">
        <v>248</v>
      </c>
      <c r="L91" s="485"/>
      <c r="M91" s="487"/>
      <c r="N91" s="1181" t="s">
        <v>2869</v>
      </c>
      <c r="O91" s="1181" t="s">
        <v>2901</v>
      </c>
      <c r="P91" s="503"/>
      <c r="Q91" s="1181" t="s">
        <v>2950</v>
      </c>
      <c r="R91" s="1181"/>
      <c r="S91" s="1178"/>
      <c r="T91" s="485"/>
      <c r="U91" s="485"/>
      <c r="V91" s="485"/>
      <c r="W91" s="485"/>
      <c r="X91" s="485"/>
      <c r="Y91" s="485"/>
      <c r="Z91" s="485"/>
      <c r="AA91" s="485"/>
      <c r="AB91" s="1736"/>
      <c r="AC91" s="535"/>
      <c r="AD91" s="574"/>
      <c r="AE91" s="574"/>
      <c r="AF91" s="575"/>
      <c r="AG91" s="575"/>
      <c r="AH91" s="485"/>
      <c r="AI91" s="485"/>
      <c r="AJ91" s="577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582"/>
      <c r="AV91" s="582"/>
      <c r="AW91" s="582"/>
      <c r="AX91" s="582"/>
      <c r="AY91" s="535"/>
      <c r="AZ91" s="583"/>
      <c r="BA91" s="584"/>
      <c r="BB91" s="584"/>
      <c r="BC91" s="584"/>
      <c r="BD91" s="584"/>
      <c r="BE91" s="585"/>
      <c r="BF91" s="586"/>
      <c r="BG91" s="587"/>
      <c r="BH91" s="585"/>
      <c r="BI91" s="585"/>
      <c r="BJ91" s="585"/>
      <c r="BK91" s="5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</row>
    <row r="92" spans="1:100" ht="16.5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503"/>
      <c r="L92" s="485"/>
      <c r="M92" s="487"/>
      <c r="N92" s="1181" t="s">
        <v>2902</v>
      </c>
      <c r="O92" s="1181" t="s">
        <v>2903</v>
      </c>
      <c r="P92" s="503"/>
      <c r="Q92" s="1181" t="s">
        <v>2951</v>
      </c>
      <c r="R92" s="1181"/>
      <c r="S92" s="1178"/>
      <c r="T92" s="485"/>
      <c r="U92" s="485"/>
      <c r="V92" s="485"/>
      <c r="W92" s="485"/>
      <c r="X92" s="485"/>
      <c r="Y92" s="485"/>
      <c r="Z92" s="485"/>
      <c r="AA92" s="485"/>
      <c r="AB92" s="1736"/>
      <c r="AC92" s="535"/>
      <c r="AD92" s="574"/>
      <c r="AE92" s="574"/>
      <c r="AF92" s="575"/>
      <c r="AG92" s="575"/>
      <c r="AH92" s="485"/>
      <c r="AI92" s="485"/>
      <c r="AJ92" s="577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582"/>
      <c r="AV92" s="582"/>
      <c r="AW92" s="582"/>
      <c r="AX92" s="582"/>
      <c r="AY92" s="535"/>
      <c r="AZ92" s="583"/>
      <c r="BA92" s="584"/>
      <c r="BB92" s="584"/>
      <c r="BC92" s="584"/>
      <c r="BD92" s="584"/>
      <c r="BE92" s="585"/>
      <c r="BF92" s="586"/>
      <c r="BG92" s="587"/>
      <c r="BH92" s="585"/>
      <c r="BI92" s="585"/>
      <c r="BJ92" s="585"/>
      <c r="BK92" s="5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</row>
    <row r="93" spans="1:100" ht="16.5" customHeight="1">
      <c r="A93" s="485"/>
      <c r="B93" s="485"/>
      <c r="C93" s="485"/>
      <c r="D93" s="485"/>
      <c r="E93" s="485"/>
      <c r="F93" s="485"/>
      <c r="G93" s="485"/>
      <c r="H93" s="485"/>
      <c r="I93" s="485"/>
      <c r="J93" s="485"/>
      <c r="K93" s="503"/>
      <c r="L93" s="485"/>
      <c r="M93" s="487"/>
      <c r="N93" s="1181" t="s">
        <v>2904</v>
      </c>
      <c r="O93" s="1181"/>
      <c r="P93" s="503"/>
      <c r="Q93" s="1181" t="s">
        <v>2952</v>
      </c>
      <c r="R93" s="1181"/>
      <c r="S93" s="1178"/>
      <c r="T93" s="485"/>
      <c r="U93" s="485"/>
      <c r="V93" s="485"/>
      <c r="W93" s="485"/>
      <c r="X93" s="485"/>
      <c r="Y93" s="485"/>
      <c r="Z93" s="485"/>
      <c r="AA93" s="485"/>
      <c r="AB93" s="1736"/>
      <c r="AC93" s="535"/>
      <c r="AD93" s="574"/>
      <c r="AE93" s="574"/>
      <c r="AF93" s="575"/>
      <c r="AG93" s="575"/>
      <c r="AH93" s="485"/>
      <c r="AI93" s="485"/>
      <c r="AJ93" s="577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582"/>
      <c r="AV93" s="582"/>
      <c r="AW93" s="582"/>
      <c r="AX93" s="582"/>
      <c r="AY93" s="535"/>
      <c r="AZ93" s="583"/>
      <c r="BA93" s="584"/>
      <c r="BB93" s="584"/>
      <c r="BC93" s="584"/>
      <c r="BD93" s="584"/>
      <c r="BE93" s="585"/>
      <c r="BF93" s="586"/>
      <c r="BG93" s="587"/>
      <c r="BH93" s="585"/>
      <c r="BI93" s="585"/>
      <c r="BJ93" s="585"/>
      <c r="BK93" s="5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</row>
    <row r="94" spans="1:100" ht="16.5" customHeight="1">
      <c r="A94" s="485"/>
      <c r="B94" s="485"/>
      <c r="C94" s="485"/>
      <c r="D94" s="485"/>
      <c r="E94" s="485"/>
      <c r="F94" s="485"/>
      <c r="G94" s="485"/>
      <c r="H94" s="485"/>
      <c r="I94" s="485"/>
      <c r="J94" s="485"/>
      <c r="K94" s="503"/>
      <c r="L94" s="485"/>
      <c r="M94" s="487"/>
      <c r="N94" s="1181" t="s">
        <v>2808</v>
      </c>
      <c r="O94" s="1181" t="s">
        <v>249</v>
      </c>
      <c r="P94" s="503"/>
      <c r="Q94" s="1181" t="s">
        <v>2953</v>
      </c>
      <c r="R94" s="1181"/>
      <c r="S94" s="1178"/>
      <c r="T94" s="485"/>
      <c r="U94" s="485"/>
      <c r="V94" s="485"/>
      <c r="W94" s="485"/>
      <c r="X94" s="485"/>
      <c r="Y94" s="485"/>
      <c r="Z94" s="485"/>
      <c r="AA94" s="485"/>
      <c r="AB94" s="1736"/>
      <c r="AC94" s="535"/>
      <c r="AD94" s="574"/>
      <c r="AE94" s="574"/>
      <c r="AF94" s="575"/>
      <c r="AG94" s="575"/>
      <c r="AH94" s="485"/>
      <c r="AI94" s="485"/>
      <c r="AJ94" s="577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582"/>
      <c r="AV94" s="582"/>
      <c r="AW94" s="582"/>
      <c r="AX94" s="582"/>
      <c r="AY94" s="535"/>
      <c r="AZ94" s="583"/>
      <c r="BA94" s="584"/>
      <c r="BB94" s="584"/>
      <c r="BC94" s="584"/>
      <c r="BD94" s="584"/>
      <c r="BE94" s="585"/>
      <c r="BF94" s="586"/>
      <c r="BG94" s="587"/>
      <c r="BH94" s="585"/>
      <c r="BI94" s="585"/>
      <c r="BJ94" s="585"/>
      <c r="BK94" s="5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</row>
    <row r="95" spans="1:100" ht="16.5" customHeight="1">
      <c r="A95" s="485"/>
      <c r="B95" s="485"/>
      <c r="C95" s="485"/>
      <c r="D95" s="485"/>
      <c r="E95" s="485"/>
      <c r="F95" s="485"/>
      <c r="G95" s="485"/>
      <c r="H95" s="485"/>
      <c r="I95" s="485"/>
      <c r="J95" s="485"/>
      <c r="K95" s="502"/>
      <c r="L95" s="485"/>
      <c r="M95" s="487"/>
      <c r="N95" s="1181" t="s">
        <v>2809</v>
      </c>
      <c r="O95" s="1181"/>
      <c r="P95" s="503"/>
      <c r="Q95" s="1181" t="s">
        <v>2954</v>
      </c>
      <c r="R95" s="1181"/>
      <c r="S95" s="1178"/>
      <c r="T95" s="485"/>
      <c r="U95" s="485"/>
      <c r="V95" s="485"/>
      <c r="W95" s="485"/>
      <c r="X95" s="485"/>
      <c r="Y95" s="485"/>
      <c r="Z95" s="485"/>
      <c r="AA95" s="485"/>
      <c r="AB95" s="1736"/>
      <c r="AC95" s="535"/>
      <c r="AD95" s="574"/>
      <c r="AE95" s="574"/>
      <c r="AF95" s="575"/>
      <c r="AG95" s="575"/>
      <c r="AH95" s="576"/>
      <c r="AI95" s="576"/>
      <c r="AJ95" s="577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582"/>
      <c r="AV95" s="582"/>
      <c r="AW95" s="582"/>
      <c r="AX95" s="582"/>
      <c r="AY95" s="535"/>
      <c r="AZ95" s="583"/>
      <c r="BA95" s="584"/>
      <c r="BB95" s="584"/>
      <c r="BC95" s="584"/>
      <c r="BD95" s="584"/>
      <c r="BE95" s="585"/>
      <c r="BF95" s="586"/>
      <c r="BG95" s="587"/>
      <c r="BH95" s="585"/>
      <c r="BI95" s="585"/>
      <c r="BJ95" s="585"/>
      <c r="BK95" s="5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</row>
    <row r="96" spans="1:100" ht="16.5" customHeight="1">
      <c r="A96" s="485"/>
      <c r="B96" s="485"/>
      <c r="C96" s="485"/>
      <c r="D96" s="485"/>
      <c r="E96" s="485"/>
      <c r="F96" s="485"/>
      <c r="G96" s="485"/>
      <c r="H96" s="485"/>
      <c r="I96" s="485"/>
      <c r="J96" s="485"/>
      <c r="K96" s="502"/>
      <c r="L96" s="485"/>
      <c r="M96" s="487"/>
      <c r="N96" s="1181" t="s">
        <v>2810</v>
      </c>
      <c r="O96" s="1181"/>
      <c r="P96" s="503"/>
      <c r="Q96" s="1181" t="s">
        <v>2955</v>
      </c>
      <c r="R96" s="1181"/>
      <c r="S96" s="1178"/>
      <c r="T96" s="485"/>
      <c r="U96" s="485"/>
      <c r="V96" s="485"/>
      <c r="W96" s="485"/>
      <c r="X96" s="485"/>
      <c r="Y96" s="485"/>
      <c r="Z96" s="485"/>
      <c r="AA96" s="485"/>
      <c r="AB96" s="1736"/>
      <c r="AC96" s="535"/>
      <c r="AD96" s="574"/>
      <c r="AE96" s="574"/>
      <c r="AF96" s="575"/>
      <c r="AG96" s="575"/>
      <c r="AH96" s="576"/>
      <c r="AI96" s="576"/>
      <c r="AJ96" s="577"/>
      <c r="AK96" s="577"/>
      <c r="AL96" s="578"/>
      <c r="AM96" s="578"/>
      <c r="AN96" s="579"/>
      <c r="AO96" s="579"/>
      <c r="AP96" s="580"/>
      <c r="AQ96" s="580"/>
      <c r="AR96" s="581"/>
      <c r="AS96" s="581"/>
      <c r="AT96" s="581"/>
      <c r="AU96" s="582"/>
      <c r="AV96" s="582"/>
      <c r="AW96" s="582"/>
      <c r="AX96" s="582"/>
      <c r="AY96" s="535"/>
      <c r="AZ96" s="583"/>
      <c r="BA96" s="584"/>
      <c r="BB96" s="584"/>
      <c r="BC96" s="584"/>
      <c r="BD96" s="584"/>
      <c r="BE96" s="585"/>
      <c r="BF96" s="586"/>
      <c r="BG96" s="587"/>
      <c r="BH96" s="585"/>
      <c r="BI96" s="585"/>
      <c r="BJ96" s="585"/>
      <c r="BK96" s="5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</row>
    <row r="97" spans="1:87" ht="16.5" customHeight="1">
      <c r="A97" s="485"/>
      <c r="B97" s="485"/>
      <c r="C97" s="485"/>
      <c r="D97" s="485"/>
      <c r="E97" s="485"/>
      <c r="F97" s="485"/>
      <c r="G97" s="485"/>
      <c r="H97" s="485"/>
      <c r="I97" s="485"/>
      <c r="J97" s="485"/>
      <c r="K97" s="502"/>
      <c r="L97" s="485"/>
      <c r="M97" s="487"/>
      <c r="N97" s="1181" t="s">
        <v>2811</v>
      </c>
      <c r="O97" s="1181"/>
      <c r="P97" s="503"/>
      <c r="Q97" s="1181" t="s">
        <v>2956</v>
      </c>
      <c r="R97" s="1181"/>
      <c r="S97" s="1178"/>
      <c r="T97" s="485"/>
      <c r="U97" s="485"/>
      <c r="V97" s="485"/>
      <c r="W97" s="485"/>
      <c r="X97" s="485"/>
      <c r="Y97" s="485"/>
      <c r="Z97" s="485"/>
      <c r="AA97" s="485"/>
      <c r="AB97" s="1736"/>
      <c r="AC97" s="535"/>
      <c r="AD97" s="574"/>
      <c r="AE97" s="574"/>
      <c r="AF97" s="575"/>
      <c r="AG97" s="575"/>
      <c r="AH97" s="576"/>
      <c r="AI97" s="576"/>
      <c r="AJ97" s="577"/>
      <c r="AK97" s="577"/>
      <c r="AL97" s="578"/>
      <c r="AM97" s="578"/>
      <c r="AN97" s="579"/>
      <c r="AO97" s="579"/>
      <c r="AP97" s="580"/>
      <c r="AQ97" s="580"/>
      <c r="AR97" s="581"/>
      <c r="AS97" s="581"/>
      <c r="AT97" s="581"/>
      <c r="AU97" s="582"/>
      <c r="AV97" s="582"/>
      <c r="AW97" s="582"/>
      <c r="AX97" s="582"/>
      <c r="AY97" s="535"/>
      <c r="AZ97" s="583"/>
      <c r="BA97" s="584"/>
      <c r="BB97" s="584"/>
      <c r="BC97" s="584"/>
      <c r="BD97" s="584"/>
      <c r="BE97" s="585"/>
      <c r="BF97" s="586"/>
      <c r="BG97" s="587"/>
      <c r="BH97" s="585"/>
      <c r="BI97" s="585"/>
      <c r="BJ97" s="585"/>
      <c r="BK97" s="5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</row>
    <row r="98" spans="1:87" ht="16.5" customHeight="1">
      <c r="A98" s="485"/>
      <c r="B98" s="485"/>
      <c r="C98" s="485"/>
      <c r="D98" s="485"/>
      <c r="E98" s="485"/>
      <c r="F98" s="485"/>
      <c r="G98" s="485"/>
      <c r="H98" s="485"/>
      <c r="I98" s="485"/>
      <c r="J98" s="485"/>
      <c r="K98" s="501"/>
      <c r="L98" s="487"/>
      <c r="M98" s="487"/>
      <c r="N98" s="1181" t="s">
        <v>2812</v>
      </c>
      <c r="O98" s="1181"/>
      <c r="P98" s="503"/>
      <c r="Q98" s="1181" t="s">
        <v>2957</v>
      </c>
      <c r="R98" s="1181"/>
      <c r="S98" s="1178"/>
      <c r="T98" s="485"/>
      <c r="U98" s="485"/>
      <c r="V98" s="485"/>
      <c r="W98" s="485"/>
      <c r="X98" s="485"/>
      <c r="Y98" s="485"/>
      <c r="Z98" s="485"/>
      <c r="AA98" s="485"/>
      <c r="AB98" s="1736"/>
      <c r="AC98" s="535"/>
      <c r="AD98" s="574"/>
      <c r="AE98" s="574"/>
      <c r="AF98" s="575"/>
      <c r="AG98" s="575"/>
      <c r="AH98" s="576"/>
      <c r="AI98" s="576"/>
      <c r="AJ98" s="577"/>
      <c r="AK98" s="577"/>
      <c r="AL98" s="578"/>
      <c r="AM98" s="578"/>
      <c r="AN98" s="579"/>
      <c r="AO98" s="579"/>
      <c r="AP98" s="580"/>
      <c r="AQ98" s="580"/>
      <c r="AR98" s="581"/>
      <c r="AS98" s="581"/>
      <c r="AT98" s="581"/>
      <c r="AU98" s="582"/>
      <c r="AV98" s="582"/>
      <c r="AW98" s="582"/>
      <c r="AX98" s="582"/>
      <c r="AY98" s="535"/>
      <c r="AZ98" s="583"/>
      <c r="BA98" s="584"/>
      <c r="BB98" s="584"/>
      <c r="BC98" s="584"/>
      <c r="BD98" s="584"/>
      <c r="BE98" s="585"/>
      <c r="BF98" s="586"/>
      <c r="BG98" s="587"/>
      <c r="BH98" s="585"/>
      <c r="BI98" s="585"/>
      <c r="BJ98" s="585"/>
      <c r="BK98" s="5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</row>
    <row r="99" spans="1:87" ht="16.5" customHeight="1">
      <c r="A99" s="485"/>
      <c r="B99" s="485"/>
      <c r="C99" s="485"/>
      <c r="D99" s="485"/>
      <c r="E99" s="485"/>
      <c r="F99" s="485"/>
      <c r="G99" s="485"/>
      <c r="H99" s="485"/>
      <c r="I99" s="485"/>
      <c r="J99" s="485"/>
      <c r="K99" s="501"/>
      <c r="L99" s="487"/>
      <c r="M99" s="487"/>
      <c r="N99" s="1181" t="s">
        <v>2813</v>
      </c>
      <c r="O99" s="1181"/>
      <c r="P99" s="503"/>
      <c r="Q99" s="1181" t="s">
        <v>2958</v>
      </c>
      <c r="R99" s="1181"/>
      <c r="S99" s="1178"/>
      <c r="T99" s="485"/>
      <c r="U99" s="485"/>
      <c r="V99" s="485"/>
      <c r="W99" s="485"/>
      <c r="X99" s="485"/>
      <c r="Y99" s="485"/>
      <c r="Z99" s="485"/>
      <c r="AA99" s="485"/>
      <c r="AB99" s="1736"/>
      <c r="AC99" s="535"/>
      <c r="AD99" s="574"/>
      <c r="AE99" s="574"/>
      <c r="AF99" s="575"/>
      <c r="AG99" s="575"/>
      <c r="AH99" s="576"/>
      <c r="AI99" s="576"/>
      <c r="AJ99" s="577"/>
      <c r="AK99" s="577"/>
      <c r="AL99" s="578"/>
      <c r="AM99" s="578"/>
      <c r="AN99" s="579"/>
      <c r="AO99" s="579"/>
      <c r="AP99" s="580"/>
      <c r="AQ99" s="580"/>
      <c r="AR99" s="581"/>
      <c r="AS99" s="581"/>
      <c r="AT99" s="581"/>
      <c r="AU99" s="582"/>
      <c r="AV99" s="582"/>
      <c r="AW99" s="582"/>
      <c r="AX99" s="582"/>
      <c r="AY99" s="535"/>
      <c r="AZ99" s="583"/>
      <c r="BA99" s="584"/>
      <c r="BB99" s="584"/>
      <c r="BC99" s="584"/>
      <c r="BD99" s="584"/>
      <c r="BE99" s="585"/>
      <c r="BF99" s="586"/>
      <c r="BG99" s="587"/>
      <c r="BH99" s="585"/>
      <c r="BI99" s="585"/>
      <c r="BJ99" s="585"/>
      <c r="BK99" s="5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</row>
    <row r="100" spans="1:87" ht="15.75" customHeight="1">
      <c r="A100" s="485"/>
      <c r="B100" s="485"/>
      <c r="C100" s="485"/>
      <c r="D100" s="485"/>
      <c r="E100" s="485"/>
      <c r="F100" s="485"/>
      <c r="G100" s="485"/>
      <c r="H100" s="485"/>
      <c r="I100" s="485"/>
      <c r="J100" s="485"/>
      <c r="K100" s="501"/>
      <c r="L100" s="487"/>
      <c r="M100" s="487"/>
      <c r="N100" s="1181" t="s">
        <v>2814</v>
      </c>
      <c r="O100" s="1181"/>
      <c r="P100" s="503"/>
      <c r="Q100" s="1181" t="s">
        <v>2959</v>
      </c>
      <c r="R100" s="1181"/>
      <c r="S100" s="1178"/>
      <c r="T100" s="485"/>
      <c r="U100" s="485"/>
      <c r="V100" s="485"/>
      <c r="W100" s="485"/>
      <c r="X100" s="485"/>
      <c r="Y100" s="485"/>
      <c r="Z100" s="485"/>
      <c r="AA100" s="485"/>
      <c r="AB100" s="1736"/>
      <c r="AC100" s="535"/>
      <c r="AD100" s="574"/>
      <c r="AE100" s="574"/>
      <c r="AF100" s="575"/>
      <c r="AG100" s="575"/>
      <c r="AH100" s="576"/>
      <c r="AI100" s="576"/>
      <c r="AJ100" s="577"/>
      <c r="AK100" s="577"/>
      <c r="AL100" s="578"/>
      <c r="AM100" s="578"/>
      <c r="AN100" s="579"/>
      <c r="AO100" s="579"/>
      <c r="AP100" s="580"/>
      <c r="AQ100" s="580"/>
      <c r="AR100" s="581"/>
      <c r="AS100" s="581"/>
      <c r="AT100" s="581"/>
      <c r="AU100" s="582"/>
      <c r="AV100" s="582"/>
      <c r="AW100" s="582"/>
      <c r="AX100" s="582"/>
      <c r="AY100" s="535"/>
      <c r="AZ100" s="583"/>
      <c r="BA100" s="584"/>
      <c r="BB100" s="584"/>
      <c r="BC100" s="584"/>
      <c r="BD100" s="584"/>
      <c r="BE100" s="585"/>
      <c r="BF100" s="586"/>
      <c r="BG100" s="587"/>
      <c r="BH100" s="585"/>
      <c r="BI100" s="585"/>
      <c r="BJ100" s="585"/>
      <c r="BK100" s="5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</row>
    <row r="101" spans="1:87" ht="16.5" hidden="1" customHeight="1">
      <c r="K101" s="406"/>
      <c r="L101" s="407"/>
      <c r="M101" s="407"/>
      <c r="N101" s="1182" t="s">
        <v>2815</v>
      </c>
      <c r="O101" s="1182"/>
      <c r="P101" s="408"/>
      <c r="Q101" s="1182" t="s">
        <v>2960</v>
      </c>
      <c r="R101" s="1182"/>
      <c r="S101" s="1179"/>
      <c r="AC101" s="588"/>
      <c r="AD101" s="589"/>
      <c r="AE101" s="589"/>
      <c r="AF101" s="590"/>
      <c r="AG101" s="590"/>
      <c r="AH101" s="591"/>
      <c r="AI101" s="591"/>
      <c r="AJ101" s="592"/>
      <c r="AK101" s="592"/>
      <c r="AL101" s="593"/>
      <c r="AM101" s="593"/>
      <c r="AN101" s="594"/>
      <c r="AO101" s="594"/>
      <c r="AP101" s="595"/>
      <c r="AQ101" s="595"/>
      <c r="AR101" s="596"/>
      <c r="AS101" s="596"/>
      <c r="AT101" s="596"/>
      <c r="AU101" s="597"/>
      <c r="AV101" s="597"/>
      <c r="AW101" s="597"/>
      <c r="AX101" s="597"/>
      <c r="AY101" s="588"/>
      <c r="AZ101" s="598"/>
      <c r="BA101" s="599"/>
      <c r="BB101" s="599"/>
      <c r="BC101" s="599"/>
      <c r="BD101" s="599"/>
      <c r="BE101" s="600"/>
      <c r="BF101" s="601"/>
      <c r="BG101" s="602"/>
      <c r="BH101" s="600"/>
      <c r="BI101" s="600"/>
      <c r="BJ101" s="600"/>
      <c r="BK101" s="600"/>
    </row>
    <row r="102" spans="1:87" ht="16.5" hidden="1" customHeight="1">
      <c r="K102" s="406"/>
      <c r="L102" s="407"/>
      <c r="M102" s="407"/>
      <c r="N102" s="1182" t="s">
        <v>2816</v>
      </c>
      <c r="O102" s="1182"/>
      <c r="P102" s="408"/>
      <c r="Q102" s="1182" t="s">
        <v>2961</v>
      </c>
      <c r="R102" s="1182"/>
      <c r="S102" s="1179"/>
      <c r="AC102" s="588"/>
      <c r="AD102" s="589"/>
      <c r="AE102" s="589"/>
      <c r="AF102" s="590"/>
      <c r="AG102" s="590"/>
      <c r="AH102" s="591"/>
      <c r="AI102" s="591"/>
      <c r="AJ102" s="592"/>
      <c r="AK102" s="592"/>
      <c r="AL102" s="593"/>
      <c r="AM102" s="593"/>
      <c r="AN102" s="594"/>
      <c r="AO102" s="594"/>
      <c r="AP102" s="595"/>
      <c r="AQ102" s="595"/>
      <c r="AR102" s="596"/>
      <c r="AS102" s="596"/>
      <c r="AT102" s="596"/>
      <c r="AU102" s="597"/>
      <c r="AV102" s="597"/>
      <c r="AW102" s="597"/>
      <c r="AX102" s="597"/>
      <c r="AY102" s="588"/>
      <c r="AZ102" s="598"/>
      <c r="BA102" s="599"/>
      <c r="BB102" s="599"/>
      <c r="BC102" s="599"/>
      <c r="BD102" s="599"/>
      <c r="BE102" s="600"/>
      <c r="BF102" s="601"/>
      <c r="BG102" s="602"/>
      <c r="BH102" s="600"/>
      <c r="BI102" s="600"/>
      <c r="BJ102" s="600"/>
      <c r="BK102" s="600"/>
    </row>
    <row r="103" spans="1:87" ht="16.5" hidden="1" customHeight="1">
      <c r="K103" s="406"/>
      <c r="L103" s="407"/>
      <c r="M103" s="407"/>
      <c r="N103" s="1182" t="s">
        <v>2817</v>
      </c>
      <c r="O103" s="1182"/>
      <c r="P103" s="408"/>
      <c r="Q103" s="1182" t="s">
        <v>2962</v>
      </c>
      <c r="R103" s="1182"/>
      <c r="S103" s="1179"/>
      <c r="AC103" s="588"/>
      <c r="AD103" s="589"/>
      <c r="AE103" s="589"/>
      <c r="AF103" s="590"/>
      <c r="AG103" s="590"/>
      <c r="AH103" s="591"/>
      <c r="AI103" s="591"/>
      <c r="AJ103" s="592"/>
      <c r="AK103" s="592"/>
      <c r="AL103" s="593"/>
      <c r="AM103" s="593"/>
      <c r="AN103" s="594"/>
      <c r="AO103" s="594"/>
      <c r="AP103" s="595"/>
      <c r="AQ103" s="595"/>
      <c r="AR103" s="596"/>
      <c r="AS103" s="596"/>
      <c r="AT103" s="596"/>
      <c r="AU103" s="597"/>
      <c r="AV103" s="597"/>
      <c r="AW103" s="597"/>
      <c r="AX103" s="597"/>
      <c r="AY103" s="588"/>
      <c r="AZ103" s="598"/>
      <c r="BA103" s="599"/>
      <c r="BB103" s="599"/>
      <c r="BC103" s="599"/>
      <c r="BD103" s="599"/>
      <c r="BE103" s="600"/>
      <c r="BF103" s="601"/>
      <c r="BG103" s="602"/>
      <c r="BH103" s="600"/>
      <c r="BI103" s="600"/>
      <c r="BJ103" s="600"/>
      <c r="BK103" s="600"/>
    </row>
    <row r="104" spans="1:87" ht="16.5" hidden="1" customHeight="1">
      <c r="K104" s="406"/>
      <c r="L104" s="407"/>
      <c r="M104" s="407"/>
      <c r="N104" s="1182" t="s">
        <v>2818</v>
      </c>
      <c r="O104" s="1182"/>
      <c r="P104" s="408"/>
      <c r="Q104" s="1182" t="s">
        <v>2963</v>
      </c>
      <c r="R104" s="1182"/>
      <c r="S104" s="1179"/>
      <c r="AC104" s="588"/>
      <c r="AD104" s="589"/>
      <c r="AE104" s="589"/>
      <c r="AF104" s="590"/>
      <c r="AG104" s="590"/>
      <c r="AH104" s="591"/>
      <c r="AI104" s="591"/>
      <c r="AJ104" s="592"/>
      <c r="AK104" s="592"/>
      <c r="AL104" s="593"/>
      <c r="AM104" s="593"/>
      <c r="AN104" s="594"/>
      <c r="AO104" s="594"/>
      <c r="AP104" s="595"/>
      <c r="AQ104" s="595"/>
      <c r="AR104" s="596"/>
      <c r="AS104" s="596"/>
      <c r="AT104" s="596"/>
      <c r="AU104" s="597"/>
      <c r="AV104" s="597"/>
      <c r="AW104" s="597"/>
      <c r="AX104" s="597"/>
      <c r="AY104" s="588"/>
      <c r="AZ104" s="598"/>
      <c r="BA104" s="599"/>
      <c r="BB104" s="599"/>
      <c r="BC104" s="599"/>
      <c r="BD104" s="599"/>
      <c r="BE104" s="600"/>
      <c r="BF104" s="601"/>
      <c r="BG104" s="602"/>
      <c r="BH104" s="600"/>
      <c r="BI104" s="600"/>
      <c r="BJ104" s="600"/>
      <c r="BK104" s="600"/>
    </row>
    <row r="105" spans="1:87" ht="16.5" hidden="1" customHeight="1">
      <c r="K105" s="406"/>
      <c r="L105" s="407"/>
      <c r="M105" s="407"/>
      <c r="N105" s="1182" t="s">
        <v>2819</v>
      </c>
      <c r="O105" s="1182"/>
      <c r="P105" s="408"/>
      <c r="Q105" s="1182" t="s">
        <v>2964</v>
      </c>
      <c r="R105" s="1182"/>
      <c r="S105" s="1179"/>
      <c r="AC105" s="588"/>
      <c r="AD105" s="589"/>
      <c r="AE105" s="589"/>
      <c r="AF105" s="590"/>
      <c r="AG105" s="590"/>
      <c r="AH105" s="591"/>
      <c r="AI105" s="591"/>
      <c r="AJ105" s="592"/>
      <c r="AK105" s="592"/>
      <c r="AL105" s="593"/>
      <c r="AM105" s="593"/>
      <c r="AN105" s="594"/>
      <c r="AO105" s="594"/>
      <c r="AP105" s="595"/>
      <c r="AQ105" s="595"/>
      <c r="AR105" s="596"/>
      <c r="AS105" s="596"/>
      <c r="AT105" s="596"/>
      <c r="AU105" s="597"/>
      <c r="AV105" s="597"/>
      <c r="AW105" s="597"/>
      <c r="AX105" s="597"/>
      <c r="AY105" s="588"/>
      <c r="AZ105" s="598"/>
      <c r="BA105" s="599"/>
      <c r="BB105" s="599"/>
      <c r="BC105" s="599"/>
      <c r="BD105" s="599"/>
      <c r="BE105" s="600"/>
      <c r="BF105" s="601"/>
      <c r="BG105" s="602"/>
      <c r="BH105" s="600"/>
      <c r="BI105" s="600"/>
      <c r="BJ105" s="600"/>
      <c r="BK105" s="600"/>
    </row>
    <row r="106" spans="1:87" ht="16.5" hidden="1" customHeight="1">
      <c r="K106" s="406"/>
      <c r="L106" s="407"/>
      <c r="M106" s="407"/>
      <c r="N106" s="1182" t="s">
        <v>2820</v>
      </c>
      <c r="O106" s="1182"/>
      <c r="P106" s="408"/>
      <c r="Q106" s="1182" t="s">
        <v>2965</v>
      </c>
      <c r="R106" s="1182"/>
      <c r="S106" s="1179"/>
      <c r="AC106" s="588"/>
      <c r="AD106" s="589"/>
      <c r="AE106" s="589"/>
      <c r="AF106" s="590"/>
      <c r="AG106" s="590"/>
      <c r="AH106" s="591"/>
      <c r="AI106" s="591"/>
      <c r="AJ106" s="592"/>
      <c r="AK106" s="592"/>
      <c r="AL106" s="593"/>
      <c r="AM106" s="593"/>
      <c r="AN106" s="594"/>
      <c r="AO106" s="594"/>
      <c r="AP106" s="595"/>
      <c r="AQ106" s="595"/>
      <c r="AR106" s="596"/>
      <c r="AS106" s="596"/>
      <c r="AT106" s="596"/>
      <c r="AU106" s="597"/>
      <c r="AV106" s="597"/>
      <c r="AW106" s="597"/>
      <c r="AX106" s="597"/>
      <c r="AY106" s="588"/>
      <c r="AZ106" s="598"/>
      <c r="BA106" s="599"/>
      <c r="BB106" s="599"/>
      <c r="BC106" s="599"/>
      <c r="BD106" s="599"/>
      <c r="BE106" s="600"/>
      <c r="BF106" s="601"/>
      <c r="BG106" s="602"/>
      <c r="BH106" s="600"/>
      <c r="BI106" s="600"/>
      <c r="BJ106" s="600"/>
      <c r="BK106" s="600"/>
    </row>
    <row r="107" spans="1:87" ht="16.5" hidden="1" customHeight="1">
      <c r="K107" s="406"/>
      <c r="L107" s="407"/>
      <c r="M107" s="407"/>
      <c r="N107" s="1182" t="s">
        <v>2821</v>
      </c>
      <c r="O107" s="1182"/>
      <c r="P107" s="408"/>
      <c r="Q107" s="1182" t="s">
        <v>2966</v>
      </c>
      <c r="R107" s="1182"/>
      <c r="S107" s="1179"/>
      <c r="AC107" s="588"/>
      <c r="AD107" s="589"/>
      <c r="AE107" s="589"/>
      <c r="AF107" s="590"/>
      <c r="AG107" s="590"/>
      <c r="AH107" s="591"/>
      <c r="AI107" s="591"/>
      <c r="AJ107" s="592"/>
      <c r="AK107" s="592"/>
      <c r="AL107" s="593"/>
      <c r="AM107" s="593"/>
      <c r="AN107" s="594"/>
      <c r="AO107" s="594"/>
      <c r="AP107" s="595"/>
      <c r="AQ107" s="595"/>
      <c r="AR107" s="596"/>
      <c r="AS107" s="596"/>
      <c r="AT107" s="596"/>
      <c r="AU107" s="597"/>
      <c r="AV107" s="597"/>
      <c r="AW107" s="597"/>
      <c r="AX107" s="597"/>
      <c r="AY107" s="588"/>
      <c r="AZ107" s="598"/>
      <c r="BA107" s="599"/>
      <c r="BB107" s="599"/>
      <c r="BC107" s="599"/>
      <c r="BD107" s="599"/>
      <c r="BE107" s="600"/>
      <c r="BF107" s="601"/>
      <c r="BG107" s="602"/>
      <c r="BH107" s="600"/>
      <c r="BI107" s="600"/>
      <c r="BJ107" s="600"/>
      <c r="BK107" s="600"/>
    </row>
    <row r="108" spans="1:87" ht="16.5" hidden="1" customHeight="1">
      <c r="K108" s="406"/>
      <c r="L108" s="407"/>
      <c r="M108" s="407"/>
      <c r="N108" s="1182" t="s">
        <v>2822</v>
      </c>
      <c r="O108" s="1182"/>
      <c r="P108" s="408"/>
      <c r="Q108" s="1182" t="s">
        <v>2967</v>
      </c>
      <c r="R108" s="1182"/>
      <c r="S108" s="1179"/>
      <c r="AC108" s="588"/>
      <c r="AD108" s="589"/>
      <c r="AE108" s="589"/>
      <c r="AF108" s="590"/>
      <c r="AG108" s="590"/>
      <c r="AH108" s="591"/>
      <c r="AI108" s="591"/>
      <c r="AJ108" s="592"/>
      <c r="AK108" s="592"/>
      <c r="AL108" s="593"/>
      <c r="AM108" s="593"/>
      <c r="AN108" s="594"/>
      <c r="AO108" s="594"/>
      <c r="AP108" s="595"/>
      <c r="AQ108" s="595"/>
      <c r="AR108" s="596"/>
      <c r="AS108" s="596"/>
      <c r="AT108" s="596"/>
      <c r="AU108" s="597"/>
      <c r="AV108" s="597"/>
      <c r="AW108" s="597"/>
      <c r="AX108" s="597"/>
      <c r="AY108" s="588"/>
      <c r="AZ108" s="598"/>
      <c r="BA108" s="599"/>
      <c r="BB108" s="599"/>
      <c r="BC108" s="599"/>
      <c r="BD108" s="599"/>
      <c r="BE108" s="600"/>
      <c r="BF108" s="601"/>
      <c r="BG108" s="602"/>
      <c r="BH108" s="600"/>
      <c r="BI108" s="600"/>
      <c r="BJ108" s="600"/>
      <c r="BK108" s="600"/>
    </row>
    <row r="109" spans="1:87" ht="16.5" hidden="1" customHeight="1">
      <c r="K109" s="406"/>
      <c r="L109" s="407"/>
      <c r="M109" s="407"/>
      <c r="N109" s="1182" t="s">
        <v>2823</v>
      </c>
      <c r="O109" s="1182"/>
      <c r="P109" s="408"/>
      <c r="Q109" s="1182" t="s">
        <v>2968</v>
      </c>
      <c r="R109" s="1182"/>
      <c r="S109" s="1179"/>
      <c r="AC109" s="588"/>
      <c r="AD109" s="589"/>
      <c r="AE109" s="589"/>
      <c r="AF109" s="590"/>
      <c r="AG109" s="590"/>
      <c r="AH109" s="591"/>
      <c r="AI109" s="591"/>
      <c r="AJ109" s="592"/>
      <c r="AK109" s="592"/>
      <c r="AL109" s="593"/>
      <c r="AM109" s="593"/>
      <c r="AN109" s="594"/>
      <c r="AO109" s="594"/>
      <c r="AP109" s="595"/>
      <c r="AQ109" s="595"/>
      <c r="AR109" s="596"/>
      <c r="AS109" s="596"/>
      <c r="AT109" s="596"/>
      <c r="AU109" s="597"/>
      <c r="AV109" s="597"/>
      <c r="AW109" s="597"/>
      <c r="AX109" s="597"/>
      <c r="AY109" s="588"/>
      <c r="AZ109" s="598"/>
      <c r="BA109" s="599"/>
      <c r="BB109" s="599"/>
      <c r="BC109" s="599"/>
      <c r="BD109" s="599"/>
      <c r="BE109" s="600"/>
      <c r="BF109" s="601"/>
      <c r="BG109" s="602"/>
      <c r="BH109" s="600"/>
      <c r="BI109" s="600"/>
      <c r="BJ109" s="600"/>
      <c r="BK109" s="600"/>
    </row>
    <row r="110" spans="1:87" ht="16.5" hidden="1" customHeight="1">
      <c r="K110" s="406"/>
      <c r="L110" s="407"/>
      <c r="M110" s="407"/>
      <c r="N110" s="1182" t="s">
        <v>2824</v>
      </c>
      <c r="O110" s="1182"/>
      <c r="P110" s="408"/>
      <c r="Q110" s="1182" t="s">
        <v>2969</v>
      </c>
      <c r="R110" s="1182"/>
      <c r="S110" s="1179"/>
      <c r="AC110" s="588"/>
      <c r="AD110" s="589"/>
      <c r="AE110" s="589"/>
      <c r="AF110" s="590"/>
      <c r="AG110" s="590"/>
      <c r="AH110" s="591"/>
      <c r="AI110" s="591"/>
      <c r="AJ110" s="592"/>
      <c r="AK110" s="592"/>
      <c r="AL110" s="593"/>
      <c r="AM110" s="593"/>
      <c r="AN110" s="594"/>
      <c r="AO110" s="594"/>
      <c r="AP110" s="595"/>
      <c r="AQ110" s="595"/>
      <c r="AR110" s="596"/>
      <c r="AS110" s="596"/>
      <c r="AT110" s="596"/>
      <c r="AU110" s="597"/>
      <c r="AV110" s="597"/>
      <c r="AW110" s="597"/>
      <c r="AX110" s="597"/>
      <c r="AY110" s="588"/>
      <c r="AZ110" s="598"/>
      <c r="BA110" s="599"/>
      <c r="BB110" s="599"/>
      <c r="BC110" s="599"/>
      <c r="BD110" s="599"/>
      <c r="BE110" s="600"/>
      <c r="BF110" s="601"/>
      <c r="BG110" s="602"/>
      <c r="BH110" s="600"/>
      <c r="BI110" s="600"/>
      <c r="BJ110" s="600"/>
      <c r="BK110" s="600"/>
    </row>
    <row r="111" spans="1:87" ht="16.5" hidden="1" customHeight="1">
      <c r="K111" s="406"/>
      <c r="L111" s="407"/>
      <c r="M111" s="407"/>
      <c r="N111" s="1182" t="s">
        <v>2825</v>
      </c>
      <c r="O111" s="1182"/>
      <c r="P111" s="408"/>
      <c r="Q111" s="1182" t="s">
        <v>2970</v>
      </c>
      <c r="R111" s="1182"/>
      <c r="S111" s="1179"/>
      <c r="AC111" s="588"/>
      <c r="AD111" s="589"/>
      <c r="AE111" s="589"/>
      <c r="AF111" s="590"/>
      <c r="AG111" s="590"/>
      <c r="AH111" s="591"/>
      <c r="AI111" s="591"/>
      <c r="AJ111" s="592"/>
      <c r="AK111" s="592"/>
      <c r="AL111" s="593"/>
      <c r="AM111" s="593"/>
      <c r="AN111" s="594"/>
      <c r="AO111" s="594"/>
      <c r="AP111" s="595"/>
      <c r="AQ111" s="595"/>
      <c r="AR111" s="596"/>
      <c r="AS111" s="596"/>
      <c r="AT111" s="596"/>
      <c r="AU111" s="597"/>
      <c r="AV111" s="597"/>
      <c r="AW111" s="597"/>
      <c r="AX111" s="597"/>
      <c r="AY111" s="588"/>
      <c r="AZ111" s="598"/>
      <c r="BA111" s="599"/>
      <c r="BB111" s="599"/>
      <c r="BC111" s="599"/>
      <c r="BD111" s="599"/>
      <c r="BE111" s="600"/>
      <c r="BF111" s="601"/>
      <c r="BG111" s="602"/>
      <c r="BH111" s="600"/>
      <c r="BI111" s="600"/>
      <c r="BJ111" s="600"/>
      <c r="BK111" s="600"/>
    </row>
    <row r="112" spans="1:87" ht="16.5" hidden="1" customHeight="1">
      <c r="K112" s="406"/>
      <c r="L112" s="407"/>
      <c r="M112" s="407"/>
      <c r="N112" s="1182" t="s">
        <v>2826</v>
      </c>
      <c r="O112" s="1182"/>
      <c r="P112" s="408"/>
      <c r="Q112" s="1182" t="s">
        <v>2971</v>
      </c>
      <c r="R112" s="1182"/>
      <c r="S112" s="1179"/>
      <c r="AC112" s="588"/>
      <c r="AD112" s="589"/>
      <c r="AE112" s="589"/>
      <c r="AF112" s="590"/>
      <c r="AG112" s="590"/>
      <c r="AH112" s="591"/>
      <c r="AI112" s="591"/>
      <c r="AJ112" s="592"/>
      <c r="AK112" s="592"/>
      <c r="AL112" s="593"/>
      <c r="AM112" s="593"/>
      <c r="AN112" s="594"/>
      <c r="AO112" s="594"/>
      <c r="AP112" s="595"/>
      <c r="AQ112" s="595"/>
      <c r="AR112" s="596"/>
      <c r="AS112" s="596"/>
      <c r="AT112" s="596"/>
      <c r="AU112" s="597"/>
      <c r="AV112" s="597"/>
      <c r="AW112" s="597"/>
      <c r="AX112" s="597"/>
      <c r="AY112" s="588"/>
      <c r="AZ112" s="598"/>
      <c r="BA112" s="599"/>
      <c r="BB112" s="599"/>
      <c r="BC112" s="599"/>
      <c r="BD112" s="599"/>
      <c r="BE112" s="600"/>
      <c r="BF112" s="601"/>
      <c r="BG112" s="602"/>
      <c r="BH112" s="600"/>
      <c r="BI112" s="600"/>
      <c r="BJ112" s="600"/>
      <c r="BK112" s="600"/>
    </row>
    <row r="113" spans="11:63" ht="16.5" hidden="1" customHeight="1">
      <c r="K113" s="406"/>
      <c r="L113" s="407"/>
      <c r="M113" s="407"/>
      <c r="N113" s="1182" t="s">
        <v>2827</v>
      </c>
      <c r="O113" s="1182"/>
      <c r="P113" s="408"/>
      <c r="Q113" s="1182" t="s">
        <v>2972</v>
      </c>
      <c r="R113" s="1182"/>
      <c r="S113" s="1179"/>
      <c r="AC113" s="588"/>
      <c r="AD113" s="589"/>
      <c r="AE113" s="589"/>
      <c r="AF113" s="590"/>
      <c r="AG113" s="590"/>
      <c r="AH113" s="591"/>
      <c r="AI113" s="591"/>
      <c r="AJ113" s="592"/>
      <c r="AK113" s="592"/>
      <c r="AL113" s="593"/>
      <c r="AM113" s="593"/>
      <c r="AN113" s="594"/>
      <c r="AO113" s="594"/>
      <c r="AP113" s="595"/>
      <c r="AQ113" s="595"/>
      <c r="AR113" s="596"/>
      <c r="AS113" s="596"/>
      <c r="AT113" s="596"/>
      <c r="AU113" s="597"/>
      <c r="AV113" s="597"/>
      <c r="AW113" s="597"/>
      <c r="AX113" s="597"/>
      <c r="AY113" s="588"/>
      <c r="AZ113" s="598"/>
      <c r="BA113" s="599"/>
      <c r="BB113" s="599"/>
      <c r="BC113" s="599"/>
      <c r="BD113" s="599"/>
      <c r="BE113" s="600"/>
      <c r="BF113" s="601"/>
      <c r="BG113" s="602"/>
      <c r="BH113" s="600"/>
      <c r="BI113" s="600"/>
      <c r="BJ113" s="600"/>
      <c r="BK113" s="600"/>
    </row>
    <row r="114" spans="11:63" ht="16.5" hidden="1" customHeight="1">
      <c r="K114" s="406"/>
      <c r="L114" s="407"/>
      <c r="M114" s="407"/>
      <c r="N114" s="1182" t="s">
        <v>2828</v>
      </c>
      <c r="O114" s="1182"/>
      <c r="P114" s="408"/>
      <c r="Q114" s="1182" t="s">
        <v>2973</v>
      </c>
      <c r="R114" s="1182"/>
      <c r="S114" s="1179"/>
      <c r="AC114" s="588"/>
      <c r="AD114" s="589"/>
      <c r="AE114" s="589"/>
      <c r="AF114" s="590"/>
      <c r="AG114" s="590"/>
      <c r="AH114" s="591"/>
      <c r="AI114" s="591"/>
      <c r="AJ114" s="592"/>
      <c r="AK114" s="592"/>
      <c r="AL114" s="593"/>
      <c r="AM114" s="593"/>
      <c r="AN114" s="594"/>
      <c r="AO114" s="594"/>
      <c r="AP114" s="595"/>
      <c r="AQ114" s="595"/>
      <c r="AR114" s="596"/>
      <c r="AS114" s="596"/>
      <c r="AT114" s="596"/>
      <c r="AU114" s="597"/>
      <c r="AV114" s="597"/>
      <c r="AW114" s="597"/>
      <c r="AX114" s="597"/>
      <c r="AY114" s="588"/>
      <c r="AZ114" s="598"/>
      <c r="BA114" s="599"/>
      <c r="BB114" s="599"/>
      <c r="BC114" s="599"/>
      <c r="BD114" s="599"/>
      <c r="BE114" s="600"/>
      <c r="BF114" s="601"/>
      <c r="BG114" s="602"/>
      <c r="BH114" s="600"/>
      <c r="BI114" s="600"/>
      <c r="BJ114" s="600"/>
      <c r="BK114" s="600"/>
    </row>
    <row r="115" spans="11:63" ht="16.5" hidden="1" customHeight="1">
      <c r="K115" s="406"/>
      <c r="L115" s="407"/>
      <c r="M115" s="407"/>
      <c r="N115" s="1182" t="s">
        <v>2829</v>
      </c>
      <c r="O115" s="1182"/>
      <c r="P115" s="408"/>
      <c r="Q115" s="1182" t="s">
        <v>2974</v>
      </c>
      <c r="R115" s="1182"/>
      <c r="S115" s="1179"/>
      <c r="AC115" s="588"/>
      <c r="AD115" s="589"/>
      <c r="AE115" s="589"/>
      <c r="AF115" s="590"/>
      <c r="AG115" s="590"/>
      <c r="AH115" s="591"/>
      <c r="AI115" s="591"/>
      <c r="AJ115" s="592"/>
      <c r="AK115" s="592"/>
      <c r="AL115" s="593"/>
      <c r="AM115" s="593"/>
      <c r="AN115" s="594"/>
      <c r="AO115" s="594"/>
      <c r="AP115" s="595"/>
      <c r="AQ115" s="595"/>
      <c r="AR115" s="596"/>
      <c r="AS115" s="596"/>
      <c r="AT115" s="596"/>
      <c r="AU115" s="597"/>
      <c r="AV115" s="597"/>
      <c r="AW115" s="597"/>
      <c r="AX115" s="597"/>
      <c r="AY115" s="588"/>
      <c r="AZ115" s="598"/>
      <c r="BA115" s="599"/>
      <c r="BB115" s="599"/>
      <c r="BC115" s="599"/>
      <c r="BD115" s="599"/>
      <c r="BE115" s="600"/>
      <c r="BF115" s="601"/>
      <c r="BG115" s="602"/>
      <c r="BH115" s="600"/>
      <c r="BI115" s="600"/>
      <c r="BJ115" s="600"/>
      <c r="BK115" s="600"/>
    </row>
    <row r="116" spans="11:63" ht="16.5" hidden="1" customHeight="1">
      <c r="K116" s="406"/>
      <c r="L116" s="407"/>
      <c r="M116" s="407"/>
      <c r="N116" s="1182" t="s">
        <v>2830</v>
      </c>
      <c r="O116" s="1182"/>
      <c r="P116" s="408"/>
      <c r="Q116" s="1182" t="s">
        <v>2975</v>
      </c>
      <c r="R116" s="1182"/>
      <c r="S116" s="1179"/>
      <c r="AC116" s="588"/>
      <c r="AD116" s="589"/>
      <c r="AE116" s="589"/>
      <c r="AF116" s="590"/>
      <c r="AG116" s="590"/>
      <c r="AH116" s="591"/>
      <c r="AI116" s="591"/>
      <c r="AJ116" s="592"/>
      <c r="AK116" s="592"/>
      <c r="AL116" s="593"/>
      <c r="AM116" s="593"/>
      <c r="AN116" s="594"/>
      <c r="AO116" s="594"/>
      <c r="AP116" s="595"/>
      <c r="AQ116" s="595"/>
      <c r="AR116" s="596"/>
      <c r="AS116" s="596"/>
      <c r="AT116" s="596"/>
      <c r="AU116" s="597"/>
      <c r="AV116" s="597"/>
      <c r="AW116" s="597"/>
      <c r="AX116" s="597"/>
      <c r="AY116" s="588"/>
      <c r="AZ116" s="598"/>
      <c r="BA116" s="599"/>
      <c r="BB116" s="599"/>
      <c r="BC116" s="599"/>
      <c r="BD116" s="599"/>
      <c r="BE116" s="600"/>
      <c r="BF116" s="601"/>
      <c r="BG116" s="602"/>
      <c r="BH116" s="600"/>
      <c r="BI116" s="600"/>
      <c r="BJ116" s="600"/>
      <c r="BK116" s="600"/>
    </row>
    <row r="117" spans="11:63" ht="16.5" hidden="1" customHeight="1">
      <c r="K117" s="406"/>
      <c r="L117" s="407"/>
      <c r="M117" s="407"/>
      <c r="N117" s="1182" t="s">
        <v>2831</v>
      </c>
      <c r="O117" s="1182"/>
      <c r="P117" s="408"/>
      <c r="Q117" s="1182" t="s">
        <v>2976</v>
      </c>
      <c r="R117" s="1182"/>
      <c r="S117" s="1179"/>
      <c r="AC117" s="588"/>
      <c r="AD117" s="589"/>
      <c r="AE117" s="589"/>
      <c r="AF117" s="590"/>
      <c r="AG117" s="590"/>
      <c r="AH117" s="591"/>
      <c r="AI117" s="591"/>
      <c r="AJ117" s="592"/>
      <c r="AK117" s="592"/>
      <c r="AL117" s="593"/>
      <c r="AM117" s="593"/>
      <c r="AN117" s="594"/>
      <c r="AO117" s="594"/>
      <c r="AP117" s="595"/>
      <c r="AQ117" s="595"/>
      <c r="AR117" s="596"/>
      <c r="AS117" s="596"/>
      <c r="AT117" s="596"/>
      <c r="AU117" s="597"/>
      <c r="AV117" s="597"/>
      <c r="AW117" s="597"/>
      <c r="AX117" s="597"/>
      <c r="AY117" s="588"/>
      <c r="AZ117" s="598"/>
      <c r="BA117" s="599"/>
      <c r="BB117" s="599"/>
      <c r="BC117" s="599"/>
      <c r="BD117" s="599"/>
      <c r="BE117" s="600"/>
      <c r="BF117" s="601"/>
      <c r="BG117" s="602"/>
      <c r="BH117" s="600"/>
      <c r="BI117" s="600"/>
      <c r="BJ117" s="600"/>
      <c r="BK117" s="600"/>
    </row>
    <row r="118" spans="11:63" ht="16.5" hidden="1" customHeight="1">
      <c r="K118" s="406"/>
      <c r="L118" s="407"/>
      <c r="M118" s="407"/>
      <c r="N118" s="1182" t="s">
        <v>2832</v>
      </c>
      <c r="O118" s="1182"/>
      <c r="P118" s="408"/>
      <c r="Q118" s="1182" t="s">
        <v>2977</v>
      </c>
      <c r="R118" s="1182"/>
      <c r="S118" s="1179"/>
      <c r="AC118" s="588"/>
      <c r="AD118" s="589"/>
      <c r="AE118" s="589"/>
      <c r="AF118" s="590"/>
      <c r="AG118" s="590"/>
      <c r="AH118" s="591"/>
      <c r="AI118" s="591"/>
      <c r="AJ118" s="592"/>
      <c r="AK118" s="592"/>
      <c r="AL118" s="593"/>
      <c r="AM118" s="593"/>
      <c r="AN118" s="594"/>
      <c r="AO118" s="594"/>
      <c r="AP118" s="595"/>
      <c r="AQ118" s="595"/>
      <c r="AR118" s="596"/>
      <c r="AS118" s="596"/>
      <c r="AT118" s="596"/>
      <c r="AU118" s="597"/>
      <c r="AV118" s="597"/>
      <c r="AW118" s="597"/>
      <c r="AX118" s="597"/>
      <c r="AY118" s="588"/>
      <c r="AZ118" s="598"/>
      <c r="BA118" s="599"/>
      <c r="BB118" s="599"/>
      <c r="BC118" s="599"/>
      <c r="BD118" s="599"/>
      <c r="BE118" s="600"/>
      <c r="BF118" s="601"/>
      <c r="BG118" s="602"/>
      <c r="BH118" s="600"/>
      <c r="BI118" s="600"/>
      <c r="BJ118" s="600"/>
      <c r="BK118" s="600"/>
    </row>
    <row r="119" spans="11:63" ht="16.5" hidden="1" customHeight="1">
      <c r="K119" s="406"/>
      <c r="L119" s="407"/>
      <c r="M119" s="407"/>
      <c r="N119" s="1182" t="s">
        <v>2833</v>
      </c>
      <c r="O119" s="1182"/>
      <c r="P119" s="408"/>
      <c r="Q119" s="1182" t="s">
        <v>2978</v>
      </c>
      <c r="R119" s="1182"/>
      <c r="S119" s="1179"/>
      <c r="AC119" s="588"/>
      <c r="AD119" s="589"/>
      <c r="AE119" s="589"/>
      <c r="AF119" s="590"/>
      <c r="AG119" s="590"/>
      <c r="AH119" s="591"/>
      <c r="AI119" s="591"/>
      <c r="AJ119" s="592"/>
      <c r="AK119" s="592"/>
      <c r="AL119" s="593"/>
      <c r="AM119" s="593"/>
      <c r="AN119" s="594"/>
      <c r="AO119" s="594"/>
      <c r="AP119" s="595"/>
      <c r="AQ119" s="595"/>
      <c r="AR119" s="596"/>
      <c r="AS119" s="596"/>
      <c r="AT119" s="596"/>
      <c r="AU119" s="597"/>
      <c r="AV119" s="597"/>
      <c r="AW119" s="597"/>
      <c r="AX119" s="597"/>
      <c r="AY119" s="588"/>
      <c r="AZ119" s="598"/>
      <c r="BA119" s="599"/>
      <c r="BB119" s="599"/>
      <c r="BC119" s="599"/>
      <c r="BD119" s="599"/>
      <c r="BE119" s="600"/>
      <c r="BF119" s="601"/>
      <c r="BG119" s="602"/>
      <c r="BH119" s="600"/>
      <c r="BI119" s="600"/>
      <c r="BJ119" s="600"/>
      <c r="BK119" s="600"/>
    </row>
    <row r="120" spans="11:63" ht="16.5" hidden="1" customHeight="1">
      <c r="K120" s="406"/>
      <c r="L120" s="407"/>
      <c r="M120" s="407"/>
      <c r="N120" s="1182" t="s">
        <v>2834</v>
      </c>
      <c r="O120" s="1182"/>
      <c r="P120" s="408"/>
      <c r="Q120" s="1182" t="s">
        <v>2979</v>
      </c>
      <c r="R120" s="1182"/>
      <c r="S120" s="1179"/>
      <c r="AC120" s="588"/>
      <c r="AD120" s="589"/>
      <c r="AE120" s="589"/>
      <c r="AF120" s="590"/>
      <c r="AG120" s="590"/>
      <c r="AH120" s="591"/>
      <c r="AI120" s="591"/>
      <c r="AJ120" s="592"/>
      <c r="AK120" s="592"/>
      <c r="AL120" s="593"/>
      <c r="AM120" s="593"/>
      <c r="AN120" s="594"/>
      <c r="AO120" s="594"/>
      <c r="AP120" s="595"/>
      <c r="AQ120" s="595"/>
      <c r="AR120" s="596"/>
      <c r="AS120" s="596"/>
      <c r="AT120" s="596"/>
      <c r="AU120" s="597"/>
      <c r="AV120" s="597"/>
      <c r="AW120" s="597"/>
      <c r="AX120" s="597"/>
      <c r="AY120" s="588"/>
      <c r="AZ120" s="598"/>
      <c r="BA120" s="599"/>
      <c r="BB120" s="599"/>
      <c r="BC120" s="599"/>
      <c r="BD120" s="599"/>
      <c r="BE120" s="600"/>
      <c r="BF120" s="601"/>
      <c r="BG120" s="602"/>
      <c r="BH120" s="600"/>
      <c r="BI120" s="600"/>
      <c r="BJ120" s="600"/>
      <c r="BK120" s="600"/>
    </row>
    <row r="121" spans="11:63" ht="16.5" hidden="1" customHeight="1">
      <c r="K121" s="406"/>
      <c r="L121" s="407"/>
      <c r="M121" s="407"/>
      <c r="N121" s="1182" t="s">
        <v>2835</v>
      </c>
      <c r="O121" s="1182"/>
      <c r="P121" s="408"/>
      <c r="Q121" s="1182" t="s">
        <v>2980</v>
      </c>
      <c r="R121" s="1182"/>
      <c r="S121" s="1179"/>
      <c r="AC121" s="588"/>
      <c r="AD121" s="589"/>
      <c r="AE121" s="589"/>
      <c r="AF121" s="590"/>
      <c r="AG121" s="590"/>
      <c r="AH121" s="591"/>
      <c r="AI121" s="591"/>
      <c r="AJ121" s="592"/>
      <c r="AK121" s="592"/>
      <c r="AL121" s="593"/>
      <c r="AM121" s="593"/>
      <c r="AN121" s="594"/>
      <c r="AO121" s="594"/>
      <c r="AP121" s="595"/>
      <c r="AQ121" s="595"/>
      <c r="AR121" s="596"/>
      <c r="AS121" s="596"/>
      <c r="AT121" s="596"/>
      <c r="AU121" s="597"/>
      <c r="AV121" s="597"/>
      <c r="AW121" s="597"/>
      <c r="AX121" s="597"/>
      <c r="AY121" s="588"/>
      <c r="AZ121" s="598"/>
      <c r="BA121" s="599"/>
      <c r="BB121" s="599"/>
      <c r="BC121" s="599"/>
      <c r="BD121" s="599"/>
      <c r="BE121" s="600"/>
      <c r="BF121" s="601"/>
      <c r="BG121" s="602"/>
      <c r="BH121" s="600"/>
      <c r="BI121" s="600"/>
      <c r="BJ121" s="600"/>
      <c r="BK121" s="600"/>
    </row>
    <row r="122" spans="11:63" ht="16.5" hidden="1" customHeight="1">
      <c r="K122" s="406"/>
      <c r="L122" s="407"/>
      <c r="M122" s="407"/>
      <c r="N122" s="1182" t="s">
        <v>2836</v>
      </c>
      <c r="O122" s="1182"/>
      <c r="P122" s="408"/>
      <c r="Q122" s="1182" t="s">
        <v>2981</v>
      </c>
      <c r="R122" s="1182"/>
      <c r="S122" s="1179"/>
      <c r="AC122" s="588"/>
      <c r="AD122" s="589"/>
      <c r="AE122" s="589"/>
      <c r="AF122" s="590"/>
      <c r="AG122" s="590"/>
      <c r="AH122" s="591"/>
      <c r="AI122" s="591"/>
      <c r="AJ122" s="592"/>
      <c r="AK122" s="592"/>
      <c r="AL122" s="593"/>
      <c r="AM122" s="593"/>
      <c r="AN122" s="594"/>
      <c r="AO122" s="594"/>
      <c r="AP122" s="595"/>
      <c r="AQ122" s="595"/>
      <c r="AR122" s="596"/>
      <c r="AS122" s="596"/>
      <c r="AT122" s="596"/>
      <c r="AU122" s="597"/>
      <c r="AV122" s="597"/>
      <c r="AW122" s="597"/>
      <c r="AX122" s="597"/>
      <c r="AY122" s="588"/>
      <c r="AZ122" s="598"/>
      <c r="BA122" s="599"/>
      <c r="BB122" s="599"/>
      <c r="BC122" s="599"/>
      <c r="BD122" s="599"/>
      <c r="BE122" s="600"/>
      <c r="BF122" s="601"/>
      <c r="BG122" s="602"/>
      <c r="BH122" s="600"/>
      <c r="BI122" s="600"/>
      <c r="BJ122" s="600"/>
      <c r="BK122" s="600"/>
    </row>
    <row r="123" spans="11:63" ht="16.5" hidden="1" customHeight="1">
      <c r="K123" s="406"/>
      <c r="L123" s="407"/>
      <c r="M123" s="407"/>
      <c r="N123" s="1182" t="s">
        <v>2837</v>
      </c>
      <c r="O123" s="1182"/>
      <c r="P123" s="408"/>
      <c r="Q123" s="1182" t="s">
        <v>2982</v>
      </c>
      <c r="R123" s="1182"/>
      <c r="S123" s="1179"/>
      <c r="AC123" s="588"/>
      <c r="AD123" s="589"/>
      <c r="AE123" s="589"/>
      <c r="AF123" s="590"/>
      <c r="AG123" s="590"/>
      <c r="AH123" s="591"/>
      <c r="AI123" s="591"/>
      <c r="AJ123" s="592"/>
      <c r="AK123" s="592"/>
      <c r="AL123" s="593"/>
      <c r="AM123" s="593"/>
      <c r="AN123" s="594"/>
      <c r="AO123" s="594"/>
      <c r="AP123" s="595"/>
      <c r="AQ123" s="595"/>
      <c r="AR123" s="596"/>
      <c r="AS123" s="596"/>
      <c r="AT123" s="596"/>
      <c r="AU123" s="597"/>
      <c r="AV123" s="597"/>
      <c r="AW123" s="597"/>
      <c r="AX123" s="597"/>
      <c r="AY123" s="588"/>
      <c r="AZ123" s="598"/>
      <c r="BA123" s="599"/>
      <c r="BB123" s="599"/>
      <c r="BC123" s="599"/>
      <c r="BD123" s="599"/>
      <c r="BE123" s="600"/>
      <c r="BF123" s="601"/>
      <c r="BG123" s="602"/>
      <c r="BH123" s="600"/>
      <c r="BI123" s="600"/>
      <c r="BJ123" s="600"/>
      <c r="BK123" s="600"/>
    </row>
    <row r="124" spans="11:63" ht="16.5" hidden="1" customHeight="1">
      <c r="K124" s="406"/>
      <c r="L124" s="407"/>
      <c r="M124" s="407"/>
      <c r="N124" s="1182" t="s">
        <v>2838</v>
      </c>
      <c r="O124" s="1182"/>
      <c r="P124" s="408"/>
      <c r="Q124" s="1182" t="s">
        <v>2983</v>
      </c>
      <c r="R124" s="1182"/>
      <c r="S124" s="1179"/>
      <c r="AC124" s="588"/>
      <c r="AD124" s="589"/>
      <c r="AE124" s="589"/>
      <c r="AF124" s="590"/>
      <c r="AG124" s="590"/>
      <c r="AH124" s="591"/>
      <c r="AI124" s="591"/>
      <c r="AJ124" s="592"/>
      <c r="AK124" s="592"/>
      <c r="AL124" s="593"/>
      <c r="AM124" s="593"/>
      <c r="AN124" s="594"/>
      <c r="AO124" s="594"/>
      <c r="AP124" s="595"/>
      <c r="AQ124" s="595"/>
      <c r="AR124" s="596"/>
      <c r="AS124" s="596"/>
      <c r="AT124" s="596"/>
      <c r="AU124" s="597"/>
      <c r="AV124" s="597"/>
      <c r="AW124" s="597"/>
      <c r="AX124" s="597"/>
      <c r="AY124" s="588"/>
      <c r="AZ124" s="598"/>
      <c r="BA124" s="599"/>
      <c r="BB124" s="599"/>
      <c r="BC124" s="599"/>
      <c r="BD124" s="599"/>
      <c r="BE124" s="600"/>
      <c r="BF124" s="601"/>
      <c r="BG124" s="602"/>
      <c r="BH124" s="600"/>
      <c r="BI124" s="600"/>
      <c r="BJ124" s="600"/>
      <c r="BK124" s="600"/>
    </row>
    <row r="125" spans="11:63" ht="16.5" hidden="1" customHeight="1">
      <c r="K125" s="406"/>
      <c r="L125" s="407"/>
      <c r="M125" s="407"/>
      <c r="N125" s="1182" t="s">
        <v>2839</v>
      </c>
      <c r="O125" s="1182"/>
      <c r="P125" s="408"/>
      <c r="Q125" s="1182" t="s">
        <v>2984</v>
      </c>
      <c r="R125" s="1182"/>
      <c r="S125" s="1179"/>
      <c r="AC125" s="588"/>
      <c r="AD125" s="589"/>
      <c r="AE125" s="589"/>
      <c r="AF125" s="590"/>
      <c r="AG125" s="590"/>
      <c r="AH125" s="591"/>
      <c r="AI125" s="591"/>
      <c r="AJ125" s="592"/>
      <c r="AK125" s="592"/>
      <c r="AL125" s="593"/>
      <c r="AM125" s="593"/>
      <c r="AN125" s="594"/>
      <c r="AO125" s="594"/>
      <c r="AP125" s="595"/>
      <c r="AQ125" s="595"/>
      <c r="AR125" s="596"/>
      <c r="AS125" s="596"/>
      <c r="AT125" s="596"/>
      <c r="AU125" s="597"/>
      <c r="AV125" s="597"/>
      <c r="AW125" s="597"/>
      <c r="AX125" s="597"/>
      <c r="AY125" s="588"/>
      <c r="AZ125" s="598"/>
      <c r="BA125" s="599"/>
      <c r="BB125" s="599"/>
      <c r="BC125" s="599"/>
      <c r="BD125" s="599"/>
      <c r="BE125" s="600"/>
      <c r="BF125" s="601"/>
      <c r="BG125" s="602"/>
      <c r="BH125" s="600"/>
      <c r="BI125" s="600"/>
      <c r="BJ125" s="600"/>
      <c r="BK125" s="600"/>
    </row>
    <row r="126" spans="11:63" ht="16.5" hidden="1" customHeight="1">
      <c r="K126" s="406"/>
      <c r="L126" s="407"/>
      <c r="M126" s="407"/>
      <c r="N126" s="1182" t="s">
        <v>2840</v>
      </c>
      <c r="O126" s="1182"/>
      <c r="P126" s="408"/>
      <c r="Q126" s="1182" t="s">
        <v>2985</v>
      </c>
      <c r="R126" s="1182"/>
      <c r="S126" s="1179"/>
      <c r="AC126" s="588"/>
      <c r="AD126" s="589"/>
      <c r="AE126" s="589"/>
      <c r="AF126" s="590"/>
      <c r="AG126" s="590"/>
      <c r="AH126" s="591"/>
      <c r="AI126" s="591"/>
      <c r="AJ126" s="592"/>
      <c r="AK126" s="592"/>
      <c r="AL126" s="593"/>
      <c r="AM126" s="593"/>
      <c r="AN126" s="594"/>
      <c r="AO126" s="594"/>
      <c r="AP126" s="595"/>
      <c r="AQ126" s="595"/>
      <c r="AR126" s="596"/>
      <c r="AS126" s="596"/>
      <c r="AT126" s="596"/>
      <c r="AU126" s="597"/>
      <c r="AV126" s="597"/>
      <c r="AW126" s="597"/>
      <c r="AX126" s="597"/>
      <c r="AY126" s="588"/>
      <c r="AZ126" s="598"/>
      <c r="BA126" s="599"/>
      <c r="BB126" s="599"/>
      <c r="BC126" s="599"/>
      <c r="BD126" s="599"/>
      <c r="BE126" s="600"/>
      <c r="BF126" s="601"/>
      <c r="BG126" s="602"/>
      <c r="BH126" s="600"/>
      <c r="BI126" s="600"/>
      <c r="BJ126" s="600"/>
      <c r="BK126" s="600"/>
    </row>
    <row r="127" spans="11:63" ht="16.5" hidden="1" customHeight="1">
      <c r="K127" s="406"/>
      <c r="L127" s="407"/>
      <c r="M127" s="407"/>
      <c r="N127" s="1182" t="s">
        <v>2841</v>
      </c>
      <c r="O127" s="1182"/>
      <c r="P127" s="408"/>
      <c r="Q127" s="1182" t="s">
        <v>2986</v>
      </c>
      <c r="R127" s="1182"/>
      <c r="S127" s="1179"/>
      <c r="AC127" s="588"/>
      <c r="AD127" s="589"/>
      <c r="AE127" s="589"/>
      <c r="AF127" s="590"/>
      <c r="AG127" s="590"/>
      <c r="AH127" s="591"/>
      <c r="AI127" s="591"/>
      <c r="AJ127" s="592"/>
      <c r="AK127" s="592"/>
      <c r="AL127" s="593"/>
      <c r="AM127" s="593"/>
      <c r="AN127" s="594"/>
      <c r="AO127" s="594"/>
      <c r="AP127" s="595"/>
      <c r="AQ127" s="595"/>
      <c r="AR127" s="596"/>
      <c r="AS127" s="596"/>
      <c r="AT127" s="596"/>
      <c r="AU127" s="597"/>
      <c r="AV127" s="597"/>
      <c r="AW127" s="597"/>
      <c r="AX127" s="597"/>
      <c r="AY127" s="588"/>
      <c r="AZ127" s="598"/>
      <c r="BA127" s="599"/>
      <c r="BB127" s="599"/>
      <c r="BC127" s="599"/>
      <c r="BD127" s="599"/>
      <c r="BE127" s="600"/>
      <c r="BF127" s="601"/>
      <c r="BG127" s="602"/>
      <c r="BH127" s="600"/>
      <c r="BI127" s="600"/>
      <c r="BJ127" s="600"/>
      <c r="BK127" s="600"/>
    </row>
    <row r="128" spans="11:63" ht="16.5" hidden="1" customHeight="1">
      <c r="K128" s="406"/>
      <c r="L128" s="407"/>
      <c r="M128" s="407"/>
      <c r="N128" s="1182" t="s">
        <v>2842</v>
      </c>
      <c r="O128" s="1182"/>
      <c r="P128" s="408"/>
      <c r="Q128" s="1182" t="s">
        <v>2987</v>
      </c>
      <c r="R128" s="1182"/>
      <c r="S128" s="1179"/>
      <c r="AC128" s="588"/>
      <c r="AD128" s="589"/>
      <c r="AE128" s="589"/>
      <c r="AF128" s="590"/>
      <c r="AG128" s="590"/>
      <c r="AH128" s="591"/>
      <c r="AI128" s="591"/>
      <c r="AJ128" s="592"/>
      <c r="AK128" s="592"/>
      <c r="AL128" s="593"/>
      <c r="AM128" s="593"/>
      <c r="AN128" s="594"/>
      <c r="AO128" s="594"/>
      <c r="AP128" s="595"/>
      <c r="AQ128" s="595"/>
      <c r="AR128" s="596"/>
      <c r="AS128" s="596"/>
      <c r="AT128" s="596"/>
      <c r="AU128" s="597"/>
      <c r="AV128" s="597"/>
      <c r="AW128" s="597"/>
      <c r="AX128" s="597"/>
      <c r="AY128" s="588"/>
      <c r="AZ128" s="598"/>
      <c r="BA128" s="599"/>
      <c r="BB128" s="599"/>
      <c r="BC128" s="599"/>
      <c r="BD128" s="599"/>
      <c r="BE128" s="600"/>
      <c r="BF128" s="601"/>
      <c r="BG128" s="602"/>
      <c r="BH128" s="600"/>
      <c r="BI128" s="600"/>
      <c r="BJ128" s="600"/>
      <c r="BK128" s="600"/>
    </row>
    <row r="129" spans="11:63" ht="16.5" hidden="1" customHeight="1">
      <c r="K129" s="406"/>
      <c r="L129" s="407"/>
      <c r="M129" s="407"/>
      <c r="N129" s="1182" t="s">
        <v>2843</v>
      </c>
      <c r="O129" s="1182"/>
      <c r="P129" s="408"/>
      <c r="Q129" s="1182" t="s">
        <v>2988</v>
      </c>
      <c r="R129" s="1182"/>
      <c r="S129" s="1179"/>
      <c r="AC129" s="588"/>
      <c r="AD129" s="589"/>
      <c r="AE129" s="589"/>
      <c r="AF129" s="590"/>
      <c r="AG129" s="590"/>
      <c r="AH129" s="591"/>
      <c r="AI129" s="591"/>
      <c r="AJ129" s="592"/>
      <c r="AK129" s="592"/>
      <c r="AL129" s="593"/>
      <c r="AM129" s="593"/>
      <c r="AN129" s="594"/>
      <c r="AO129" s="594"/>
      <c r="AP129" s="595"/>
      <c r="AQ129" s="595"/>
      <c r="AR129" s="596"/>
      <c r="AS129" s="596"/>
      <c r="AT129" s="596"/>
      <c r="AU129" s="597"/>
      <c r="AV129" s="597"/>
      <c r="AW129" s="597"/>
      <c r="AX129" s="597"/>
      <c r="AY129" s="588"/>
      <c r="AZ129" s="598"/>
      <c r="BA129" s="599"/>
      <c r="BB129" s="599"/>
      <c r="BC129" s="599"/>
      <c r="BD129" s="599"/>
      <c r="BE129" s="600"/>
      <c r="BF129" s="601"/>
      <c r="BG129" s="602"/>
      <c r="BH129" s="600"/>
      <c r="BI129" s="600"/>
      <c r="BJ129" s="600"/>
      <c r="BK129" s="600"/>
    </row>
    <row r="130" spans="11:63" ht="16.5" hidden="1" customHeight="1">
      <c r="K130" s="406"/>
      <c r="L130" s="407"/>
      <c r="M130" s="407"/>
      <c r="N130" s="1182" t="s">
        <v>2844</v>
      </c>
      <c r="O130" s="1182"/>
      <c r="P130" s="408"/>
      <c r="Q130" s="1182" t="s">
        <v>2989</v>
      </c>
      <c r="R130" s="1182"/>
      <c r="S130" s="1179"/>
      <c r="AC130" s="588"/>
      <c r="AD130" s="589"/>
      <c r="AE130" s="589"/>
      <c r="AF130" s="590"/>
      <c r="AG130" s="590"/>
      <c r="AH130" s="591"/>
      <c r="AI130" s="591"/>
      <c r="AJ130" s="592"/>
      <c r="AK130" s="592"/>
      <c r="AL130" s="593"/>
      <c r="AM130" s="593"/>
      <c r="AN130" s="594"/>
      <c r="AO130" s="594"/>
      <c r="AP130" s="595"/>
      <c r="AQ130" s="595"/>
      <c r="AR130" s="596"/>
      <c r="AS130" s="596"/>
      <c r="AT130" s="596"/>
      <c r="AU130" s="597"/>
      <c r="AV130" s="597"/>
      <c r="AW130" s="597"/>
      <c r="AX130" s="597"/>
      <c r="AY130" s="588"/>
      <c r="AZ130" s="598"/>
      <c r="BA130" s="599"/>
      <c r="BB130" s="599"/>
      <c r="BC130" s="599"/>
      <c r="BD130" s="599"/>
      <c r="BE130" s="600"/>
      <c r="BF130" s="601"/>
      <c r="BG130" s="602"/>
      <c r="BH130" s="600"/>
      <c r="BI130" s="600"/>
      <c r="BJ130" s="600"/>
      <c r="BK130" s="600"/>
    </row>
    <row r="131" spans="11:63" ht="16.5" hidden="1" customHeight="1">
      <c r="K131" s="406"/>
      <c r="L131" s="407"/>
      <c r="M131" s="407"/>
      <c r="N131" s="1182" t="s">
        <v>2845</v>
      </c>
      <c r="O131" s="1182"/>
      <c r="P131" s="408"/>
      <c r="Q131" s="1182" t="s">
        <v>2990</v>
      </c>
      <c r="R131" s="1182"/>
      <c r="S131" s="1179"/>
      <c r="AC131" s="588"/>
      <c r="AD131" s="589"/>
      <c r="AE131" s="589"/>
      <c r="AF131" s="590"/>
      <c r="AG131" s="590"/>
      <c r="AH131" s="591"/>
      <c r="AI131" s="591"/>
      <c r="AJ131" s="592"/>
      <c r="AK131" s="592"/>
      <c r="AL131" s="593"/>
      <c r="AM131" s="593"/>
      <c r="AN131" s="594"/>
      <c r="AO131" s="594"/>
      <c r="AP131" s="595"/>
      <c r="AQ131" s="595"/>
      <c r="AR131" s="596"/>
      <c r="AS131" s="596"/>
      <c r="AT131" s="596"/>
      <c r="AU131" s="597"/>
      <c r="AV131" s="597"/>
      <c r="AW131" s="597"/>
      <c r="AX131" s="597"/>
      <c r="AY131" s="588"/>
      <c r="AZ131" s="598"/>
      <c r="BA131" s="599"/>
      <c r="BB131" s="599"/>
      <c r="BC131" s="599"/>
      <c r="BD131" s="599"/>
      <c r="BE131" s="600"/>
      <c r="BF131" s="601"/>
      <c r="BG131" s="602"/>
      <c r="BH131" s="600"/>
      <c r="BI131" s="600"/>
      <c r="BJ131" s="600"/>
      <c r="BK131" s="600"/>
    </row>
    <row r="132" spans="11:63" ht="16.5" hidden="1" customHeight="1">
      <c r="K132" s="406"/>
      <c r="L132" s="407"/>
      <c r="M132" s="407"/>
      <c r="N132" s="1182" t="s">
        <v>2846</v>
      </c>
      <c r="O132" s="1182"/>
      <c r="P132" s="408"/>
      <c r="Q132" s="1182" t="s">
        <v>2991</v>
      </c>
      <c r="R132" s="1182"/>
      <c r="S132" s="1179"/>
      <c r="AC132" s="588"/>
      <c r="AD132" s="589"/>
      <c r="AE132" s="589"/>
      <c r="AF132" s="590"/>
      <c r="AG132" s="590"/>
      <c r="AH132" s="591"/>
      <c r="AI132" s="591"/>
      <c r="AJ132" s="592"/>
      <c r="AK132" s="592"/>
      <c r="AL132" s="593"/>
      <c r="AM132" s="593"/>
      <c r="AN132" s="594"/>
      <c r="AO132" s="594"/>
      <c r="AP132" s="595"/>
      <c r="AQ132" s="595"/>
      <c r="AR132" s="596"/>
      <c r="AS132" s="596"/>
      <c r="AT132" s="596"/>
      <c r="AU132" s="597"/>
      <c r="AV132" s="597"/>
      <c r="AW132" s="597"/>
      <c r="AX132" s="597"/>
      <c r="AY132" s="588"/>
      <c r="AZ132" s="598"/>
      <c r="BA132" s="599"/>
      <c r="BB132" s="599"/>
      <c r="BC132" s="599"/>
      <c r="BD132" s="599"/>
      <c r="BE132" s="600"/>
      <c r="BF132" s="601"/>
      <c r="BG132" s="602"/>
      <c r="BH132" s="600"/>
      <c r="BI132" s="600"/>
      <c r="BJ132" s="600"/>
      <c r="BK132" s="600"/>
    </row>
    <row r="133" spans="11:63" ht="16.5" hidden="1" customHeight="1">
      <c r="K133" s="406"/>
      <c r="L133" s="407"/>
      <c r="M133" s="407"/>
      <c r="N133" s="1182" t="s">
        <v>2847</v>
      </c>
      <c r="O133" s="1182"/>
      <c r="P133" s="408"/>
      <c r="Q133" s="1182" t="s">
        <v>2992</v>
      </c>
      <c r="R133" s="1182"/>
      <c r="S133" s="1179"/>
      <c r="AC133" s="588"/>
      <c r="AD133" s="589"/>
      <c r="AE133" s="589"/>
      <c r="AF133" s="590"/>
      <c r="AG133" s="590"/>
      <c r="AH133" s="591"/>
      <c r="AI133" s="591"/>
      <c r="AJ133" s="592"/>
      <c r="AK133" s="592"/>
      <c r="AL133" s="593"/>
      <c r="AM133" s="593"/>
      <c r="AN133" s="594"/>
      <c r="AO133" s="594"/>
      <c r="AP133" s="595"/>
      <c r="AQ133" s="595"/>
      <c r="AR133" s="596"/>
      <c r="AS133" s="596"/>
      <c r="AT133" s="596"/>
      <c r="AU133" s="597"/>
      <c r="AV133" s="597"/>
      <c r="AW133" s="597"/>
      <c r="AX133" s="597"/>
      <c r="AY133" s="588"/>
      <c r="AZ133" s="598"/>
      <c r="BA133" s="599"/>
      <c r="BB133" s="599"/>
      <c r="BC133" s="599"/>
      <c r="BD133" s="599"/>
      <c r="BE133" s="600"/>
      <c r="BF133" s="601"/>
      <c r="BG133" s="602"/>
      <c r="BH133" s="600"/>
      <c r="BI133" s="600"/>
      <c r="BJ133" s="600"/>
      <c r="BK133" s="600"/>
    </row>
    <row r="134" spans="11:63" ht="16.5" hidden="1" customHeight="1">
      <c r="K134" s="406"/>
      <c r="L134" s="407"/>
      <c r="M134" s="407"/>
      <c r="N134" s="1182" t="s">
        <v>2848</v>
      </c>
      <c r="O134" s="1182"/>
      <c r="P134" s="408"/>
      <c r="Q134" s="1182" t="s">
        <v>2993</v>
      </c>
      <c r="R134" s="1182"/>
      <c r="S134" s="1179"/>
      <c r="AC134" s="588"/>
      <c r="AD134" s="589"/>
      <c r="AE134" s="589"/>
      <c r="AF134" s="590"/>
      <c r="AG134" s="590"/>
      <c r="AH134" s="591"/>
      <c r="AI134" s="591"/>
      <c r="AJ134" s="592"/>
      <c r="AK134" s="592"/>
      <c r="AL134" s="593"/>
      <c r="AM134" s="593"/>
      <c r="AN134" s="594"/>
      <c r="AO134" s="594"/>
      <c r="AP134" s="595"/>
      <c r="AQ134" s="595"/>
      <c r="AR134" s="596"/>
      <c r="AS134" s="596"/>
      <c r="AT134" s="596"/>
      <c r="AU134" s="597"/>
      <c r="AV134" s="597"/>
      <c r="AW134" s="597"/>
      <c r="AX134" s="597"/>
      <c r="AY134" s="588"/>
      <c r="AZ134" s="598"/>
      <c r="BA134" s="599"/>
      <c r="BB134" s="599"/>
      <c r="BC134" s="599"/>
      <c r="BD134" s="599"/>
      <c r="BE134" s="600"/>
      <c r="BF134" s="601"/>
      <c r="BG134" s="602"/>
      <c r="BH134" s="600"/>
      <c r="BI134" s="600"/>
      <c r="BJ134" s="600"/>
      <c r="BK134" s="600"/>
    </row>
    <row r="135" spans="11:63" ht="16.5" hidden="1" customHeight="1">
      <c r="K135" s="406"/>
      <c r="L135" s="407"/>
      <c r="M135" s="407"/>
      <c r="N135" s="1182" t="s">
        <v>2849</v>
      </c>
      <c r="O135" s="1182"/>
      <c r="P135" s="408"/>
      <c r="Q135" s="1182" t="s">
        <v>2994</v>
      </c>
      <c r="R135" s="1182"/>
      <c r="S135" s="1179"/>
      <c r="AC135" s="588"/>
      <c r="AD135" s="589"/>
      <c r="AE135" s="589"/>
      <c r="AF135" s="590"/>
      <c r="AG135" s="590"/>
      <c r="AH135" s="591"/>
      <c r="AI135" s="591"/>
      <c r="AJ135" s="592"/>
      <c r="AK135" s="592"/>
      <c r="AL135" s="593"/>
      <c r="AM135" s="593"/>
      <c r="AN135" s="594"/>
      <c r="AO135" s="594"/>
      <c r="AP135" s="595"/>
      <c r="AQ135" s="595"/>
      <c r="AR135" s="596"/>
      <c r="AS135" s="596"/>
      <c r="AT135" s="596"/>
      <c r="AU135" s="597"/>
      <c r="AV135" s="597"/>
      <c r="AW135" s="597"/>
      <c r="AX135" s="597"/>
      <c r="AY135" s="588"/>
      <c r="AZ135" s="598"/>
      <c r="BA135" s="599"/>
      <c r="BB135" s="599"/>
      <c r="BC135" s="599"/>
      <c r="BD135" s="599"/>
      <c r="BE135" s="600"/>
      <c r="BF135" s="601"/>
      <c r="BG135" s="602"/>
      <c r="BH135" s="600"/>
      <c r="BI135" s="600"/>
      <c r="BJ135" s="600"/>
      <c r="BK135" s="600"/>
    </row>
    <row r="136" spans="11:63" ht="16.5" hidden="1" customHeight="1">
      <c r="K136" s="406"/>
      <c r="L136" s="407"/>
      <c r="M136" s="407"/>
      <c r="N136" s="1182" t="s">
        <v>2850</v>
      </c>
      <c r="O136" s="1182"/>
      <c r="P136" s="408"/>
      <c r="Q136" s="1182" t="s">
        <v>2995</v>
      </c>
      <c r="R136" s="1182"/>
      <c r="S136" s="1179"/>
      <c r="AC136" s="588"/>
      <c r="AD136" s="589"/>
      <c r="AE136" s="589"/>
      <c r="AF136" s="590"/>
      <c r="AG136" s="590"/>
      <c r="AH136" s="591"/>
      <c r="AI136" s="591"/>
      <c r="AJ136" s="592"/>
      <c r="AK136" s="592"/>
      <c r="AL136" s="593"/>
      <c r="AM136" s="593"/>
      <c r="AN136" s="594"/>
      <c r="AO136" s="594"/>
      <c r="AP136" s="595"/>
      <c r="AQ136" s="595"/>
      <c r="AR136" s="596"/>
      <c r="AS136" s="596"/>
      <c r="AT136" s="596"/>
      <c r="AU136" s="597"/>
      <c r="AV136" s="597"/>
      <c r="AW136" s="597"/>
      <c r="AX136" s="597"/>
      <c r="AY136" s="588"/>
      <c r="AZ136" s="598"/>
      <c r="BA136" s="599"/>
      <c r="BB136" s="599"/>
      <c r="BC136" s="599"/>
      <c r="BD136" s="599"/>
      <c r="BE136" s="600"/>
      <c r="BF136" s="601"/>
      <c r="BG136" s="602"/>
      <c r="BH136" s="600"/>
      <c r="BI136" s="600"/>
      <c r="BJ136" s="600"/>
      <c r="BK136" s="600"/>
    </row>
    <row r="137" spans="11:63" ht="16.5" hidden="1" customHeight="1">
      <c r="K137" s="406"/>
      <c r="L137" s="407"/>
      <c r="M137" s="407"/>
      <c r="N137" s="1182" t="s">
        <v>2851</v>
      </c>
      <c r="O137" s="1182"/>
      <c r="P137" s="408"/>
      <c r="Q137" s="1182" t="s">
        <v>2996</v>
      </c>
      <c r="R137" s="1182"/>
      <c r="S137" s="1179"/>
      <c r="AC137" s="588"/>
      <c r="AD137" s="589"/>
      <c r="AE137" s="589"/>
      <c r="AF137" s="590"/>
      <c r="AG137" s="590"/>
      <c r="AH137" s="591"/>
      <c r="AI137" s="591"/>
      <c r="AJ137" s="592"/>
      <c r="AK137" s="592"/>
      <c r="AL137" s="593"/>
      <c r="AM137" s="593"/>
      <c r="AN137" s="594"/>
      <c r="AO137" s="594"/>
      <c r="AP137" s="595"/>
      <c r="AQ137" s="595"/>
      <c r="AR137" s="596"/>
      <c r="AS137" s="596"/>
      <c r="AT137" s="596"/>
      <c r="AU137" s="597"/>
      <c r="AV137" s="597"/>
      <c r="AW137" s="597"/>
      <c r="AX137" s="597"/>
      <c r="AY137" s="588"/>
      <c r="AZ137" s="598"/>
      <c r="BA137" s="599"/>
      <c r="BB137" s="599"/>
      <c r="BC137" s="599"/>
      <c r="BD137" s="599"/>
      <c r="BE137" s="600"/>
      <c r="BF137" s="601"/>
      <c r="BG137" s="602"/>
      <c r="BH137" s="600"/>
      <c r="BI137" s="600"/>
      <c r="BJ137" s="600"/>
      <c r="BK137" s="600"/>
    </row>
    <row r="138" spans="11:63" ht="16.5" hidden="1" customHeight="1">
      <c r="K138" s="406"/>
      <c r="L138" s="407"/>
      <c r="M138" s="407"/>
      <c r="N138" s="1182" t="s">
        <v>2852</v>
      </c>
      <c r="O138" s="1182"/>
      <c r="P138" s="408"/>
      <c r="Q138" s="1182" t="s">
        <v>2997</v>
      </c>
      <c r="R138" s="1182"/>
      <c r="S138" s="1179"/>
      <c r="AC138" s="588"/>
      <c r="AD138" s="589"/>
      <c r="AE138" s="589"/>
      <c r="AF138" s="590"/>
      <c r="AG138" s="590"/>
      <c r="AH138" s="591"/>
      <c r="AI138" s="591"/>
      <c r="AJ138" s="592"/>
      <c r="AK138" s="592"/>
      <c r="AL138" s="593"/>
      <c r="AM138" s="593"/>
      <c r="AN138" s="594"/>
      <c r="AO138" s="594"/>
      <c r="AP138" s="595"/>
      <c r="AQ138" s="595"/>
      <c r="AR138" s="596"/>
      <c r="AS138" s="596"/>
      <c r="AT138" s="596"/>
      <c r="AU138" s="597"/>
      <c r="AV138" s="597"/>
      <c r="AW138" s="597"/>
      <c r="AX138" s="597"/>
      <c r="AY138" s="588"/>
      <c r="AZ138" s="598"/>
      <c r="BA138" s="599"/>
      <c r="BB138" s="599"/>
      <c r="BC138" s="599"/>
      <c r="BD138" s="599"/>
      <c r="BE138" s="600"/>
      <c r="BF138" s="601"/>
      <c r="BG138" s="602"/>
      <c r="BH138" s="600"/>
      <c r="BI138" s="600"/>
      <c r="BJ138" s="600"/>
      <c r="BK138" s="600"/>
    </row>
    <row r="139" spans="11:63" ht="16.5" hidden="1" customHeight="1">
      <c r="K139" s="406"/>
      <c r="L139" s="407"/>
      <c r="M139" s="407"/>
      <c r="N139" s="1182" t="s">
        <v>2853</v>
      </c>
      <c r="O139" s="1182"/>
      <c r="P139" s="408"/>
      <c r="Q139" s="1182" t="s">
        <v>2998</v>
      </c>
      <c r="R139" s="1182"/>
      <c r="S139" s="1179"/>
      <c r="AC139" s="588"/>
      <c r="AD139" s="589"/>
      <c r="AE139" s="589"/>
      <c r="AF139" s="590"/>
      <c r="AG139" s="590"/>
      <c r="AH139" s="591"/>
      <c r="AI139" s="591"/>
      <c r="AJ139" s="592"/>
      <c r="AK139" s="592"/>
      <c r="AL139" s="593"/>
      <c r="AM139" s="593"/>
      <c r="AN139" s="594"/>
      <c r="AO139" s="594"/>
      <c r="AP139" s="595"/>
      <c r="AQ139" s="595"/>
      <c r="AR139" s="596"/>
      <c r="AS139" s="596"/>
      <c r="AT139" s="596"/>
      <c r="AU139" s="597"/>
      <c r="AV139" s="597"/>
      <c r="AW139" s="597"/>
      <c r="AX139" s="597"/>
      <c r="AY139" s="588"/>
      <c r="AZ139" s="598"/>
      <c r="BA139" s="599"/>
      <c r="BB139" s="599"/>
      <c r="BC139" s="599"/>
      <c r="BD139" s="599"/>
      <c r="BE139" s="600"/>
      <c r="BF139" s="601"/>
      <c r="BG139" s="602"/>
      <c r="BH139" s="600"/>
      <c r="BI139" s="600"/>
      <c r="BJ139" s="600"/>
      <c r="BK139" s="600"/>
    </row>
    <row r="140" spans="11:63" ht="16.5" hidden="1" customHeight="1">
      <c r="K140" s="406"/>
      <c r="L140" s="407"/>
      <c r="M140" s="407"/>
      <c r="N140" s="1182" t="s">
        <v>2854</v>
      </c>
      <c r="O140" s="1182"/>
      <c r="P140" s="408"/>
      <c r="Q140" s="1182" t="s">
        <v>2999</v>
      </c>
      <c r="R140" s="1182"/>
      <c r="S140" s="1179"/>
      <c r="AC140" s="588"/>
      <c r="AD140" s="589"/>
      <c r="AE140" s="589"/>
      <c r="AF140" s="590"/>
      <c r="AG140" s="590"/>
      <c r="AH140" s="591"/>
      <c r="AI140" s="591"/>
      <c r="AJ140" s="592"/>
      <c r="AK140" s="592"/>
      <c r="AL140" s="593"/>
      <c r="AM140" s="593"/>
      <c r="AN140" s="594"/>
      <c r="AO140" s="594"/>
      <c r="AP140" s="595"/>
      <c r="AQ140" s="595"/>
      <c r="AR140" s="596"/>
      <c r="AS140" s="596"/>
      <c r="AT140" s="596"/>
      <c r="AU140" s="597"/>
      <c r="AV140" s="597"/>
      <c r="AW140" s="597"/>
      <c r="AX140" s="597"/>
      <c r="AY140" s="588"/>
      <c r="AZ140" s="598"/>
      <c r="BA140" s="599"/>
      <c r="BB140" s="599"/>
      <c r="BC140" s="599"/>
      <c r="BD140" s="599"/>
      <c r="BE140" s="600"/>
      <c r="BF140" s="601"/>
      <c r="BG140" s="602"/>
      <c r="BH140" s="600"/>
      <c r="BI140" s="600"/>
      <c r="BJ140" s="600"/>
      <c r="BK140" s="600"/>
    </row>
    <row r="141" spans="11:63" ht="16.5" hidden="1" customHeight="1">
      <c r="K141" s="406"/>
      <c r="L141" s="407"/>
      <c r="M141" s="407"/>
      <c r="N141" s="1182" t="s">
        <v>2855</v>
      </c>
      <c r="O141" s="1182"/>
      <c r="P141" s="408"/>
      <c r="Q141" s="1182" t="s">
        <v>3000</v>
      </c>
      <c r="R141" s="1182"/>
      <c r="S141" s="1179"/>
      <c r="AC141" s="588"/>
      <c r="AD141" s="589"/>
      <c r="AE141" s="589"/>
      <c r="AF141" s="590"/>
      <c r="AG141" s="590"/>
      <c r="AH141" s="591"/>
      <c r="AI141" s="591"/>
      <c r="AJ141" s="592"/>
      <c r="AK141" s="592"/>
      <c r="AL141" s="593"/>
      <c r="AM141" s="593"/>
      <c r="AN141" s="594"/>
      <c r="AO141" s="594"/>
      <c r="AP141" s="595"/>
      <c r="AQ141" s="595"/>
      <c r="AR141" s="596"/>
      <c r="AS141" s="596"/>
      <c r="AT141" s="596"/>
      <c r="AU141" s="597"/>
      <c r="AV141" s="597"/>
      <c r="AW141" s="597"/>
      <c r="AX141" s="597"/>
      <c r="AY141" s="588"/>
      <c r="AZ141" s="598"/>
      <c r="BA141" s="599"/>
      <c r="BB141" s="599"/>
      <c r="BC141" s="599"/>
      <c r="BD141" s="599"/>
      <c r="BE141" s="600"/>
      <c r="BF141" s="601"/>
      <c r="BG141" s="602"/>
      <c r="BH141" s="600"/>
      <c r="BI141" s="600"/>
      <c r="BJ141" s="600"/>
      <c r="BK141" s="600"/>
    </row>
    <row r="142" spans="11:63" ht="16.5" hidden="1" customHeight="1">
      <c r="K142" s="406"/>
      <c r="L142" s="407"/>
      <c r="M142" s="407"/>
      <c r="N142" s="1182" t="s">
        <v>2856</v>
      </c>
      <c r="O142" s="1182"/>
      <c r="P142" s="408"/>
      <c r="Q142" s="1182" t="s">
        <v>3001</v>
      </c>
      <c r="R142" s="1182"/>
      <c r="S142" s="1179"/>
      <c r="AC142" s="588"/>
      <c r="AD142" s="589"/>
      <c r="AE142" s="589"/>
      <c r="AF142" s="590"/>
      <c r="AG142" s="590"/>
      <c r="AH142" s="591"/>
      <c r="AI142" s="591"/>
      <c r="AJ142" s="592"/>
      <c r="AK142" s="592"/>
      <c r="AL142" s="593"/>
      <c r="AM142" s="593"/>
      <c r="AN142" s="594"/>
      <c r="AO142" s="594"/>
      <c r="AP142" s="595"/>
      <c r="AQ142" s="595"/>
      <c r="AR142" s="596"/>
      <c r="AS142" s="596"/>
      <c r="AT142" s="596"/>
      <c r="AU142" s="597"/>
      <c r="AV142" s="597"/>
      <c r="AW142" s="597"/>
      <c r="AX142" s="597"/>
      <c r="AY142" s="588"/>
      <c r="AZ142" s="598"/>
      <c r="BA142" s="599"/>
      <c r="BB142" s="599"/>
      <c r="BC142" s="599"/>
      <c r="BD142" s="599"/>
      <c r="BE142" s="600"/>
      <c r="BF142" s="601"/>
      <c r="BG142" s="602"/>
      <c r="BH142" s="600"/>
      <c r="BI142" s="600"/>
      <c r="BJ142" s="600"/>
      <c r="BK142" s="600"/>
    </row>
    <row r="143" spans="11:63" ht="16.5" hidden="1" customHeight="1">
      <c r="K143" s="406"/>
      <c r="L143" s="407"/>
      <c r="M143" s="407"/>
      <c r="N143" s="1182" t="s">
        <v>2857</v>
      </c>
      <c r="O143" s="1182"/>
      <c r="P143" s="408"/>
      <c r="Q143" s="1182" t="s">
        <v>3002</v>
      </c>
      <c r="R143" s="1182"/>
      <c r="S143" s="1179"/>
      <c r="AC143" s="588"/>
      <c r="AD143" s="589"/>
      <c r="AE143" s="589"/>
      <c r="AF143" s="590"/>
      <c r="AG143" s="590"/>
      <c r="AH143" s="591"/>
      <c r="AI143" s="591"/>
      <c r="AJ143" s="592"/>
      <c r="AK143" s="592"/>
      <c r="AL143" s="593"/>
      <c r="AM143" s="593"/>
      <c r="AN143" s="594"/>
      <c r="AO143" s="594"/>
      <c r="AP143" s="595"/>
      <c r="AQ143" s="595"/>
      <c r="AR143" s="596"/>
      <c r="AS143" s="596"/>
      <c r="AT143" s="596"/>
      <c r="AU143" s="597"/>
      <c r="AV143" s="597"/>
      <c r="AW143" s="597"/>
      <c r="AX143" s="597"/>
      <c r="AY143" s="588"/>
      <c r="AZ143" s="598"/>
      <c r="BA143" s="599"/>
      <c r="BB143" s="599"/>
      <c r="BC143" s="599"/>
      <c r="BD143" s="599"/>
      <c r="BE143" s="600"/>
      <c r="BF143" s="601"/>
      <c r="BG143" s="602"/>
      <c r="BH143" s="600"/>
      <c r="BI143" s="600"/>
      <c r="BJ143" s="600"/>
      <c r="BK143" s="600"/>
    </row>
    <row r="144" spans="11:63" ht="16.5" hidden="1" customHeight="1">
      <c r="K144" s="406"/>
      <c r="L144" s="407"/>
      <c r="M144" s="407"/>
      <c r="N144" s="1182" t="s">
        <v>2858</v>
      </c>
      <c r="O144" s="1182"/>
      <c r="P144" s="408"/>
      <c r="Q144" s="1182" t="s">
        <v>3003</v>
      </c>
      <c r="R144" s="1182"/>
      <c r="S144" s="1179"/>
      <c r="AC144" s="588"/>
      <c r="AD144" s="589"/>
      <c r="AE144" s="589"/>
      <c r="AF144" s="590"/>
      <c r="AG144" s="590"/>
      <c r="AH144" s="591"/>
      <c r="AI144" s="591"/>
      <c r="AJ144" s="592"/>
      <c r="AK144" s="592"/>
      <c r="AL144" s="593"/>
      <c r="AM144" s="593"/>
      <c r="AN144" s="594"/>
      <c r="AO144" s="594"/>
      <c r="AP144" s="595"/>
      <c r="AQ144" s="595"/>
      <c r="AR144" s="596"/>
      <c r="AS144" s="596"/>
      <c r="AT144" s="596"/>
      <c r="AU144" s="597"/>
      <c r="AV144" s="597"/>
      <c r="AW144" s="597"/>
      <c r="AX144" s="597"/>
      <c r="AY144" s="588"/>
      <c r="AZ144" s="598"/>
      <c r="BA144" s="599"/>
      <c r="BB144" s="599"/>
      <c r="BC144" s="599"/>
      <c r="BD144" s="599"/>
      <c r="BE144" s="600"/>
      <c r="BF144" s="601"/>
      <c r="BG144" s="602"/>
      <c r="BH144" s="600"/>
      <c r="BI144" s="600"/>
      <c r="BJ144" s="600"/>
      <c r="BK144" s="600"/>
    </row>
    <row r="145" spans="11:63" ht="16.5" hidden="1" customHeight="1">
      <c r="K145" s="406"/>
      <c r="L145" s="407"/>
      <c r="M145" s="407"/>
      <c r="N145" s="1182" t="s">
        <v>2859</v>
      </c>
      <c r="O145" s="1182"/>
      <c r="P145" s="408"/>
      <c r="Q145" s="1182" t="s">
        <v>3004</v>
      </c>
      <c r="R145" s="1182"/>
      <c r="S145" s="1179"/>
      <c r="AC145" s="588"/>
      <c r="AD145" s="589"/>
      <c r="AE145" s="589"/>
      <c r="AF145" s="590"/>
      <c r="AG145" s="590"/>
      <c r="AH145" s="591"/>
      <c r="AI145" s="591"/>
      <c r="AJ145" s="592"/>
      <c r="AK145" s="592"/>
      <c r="AL145" s="593"/>
      <c r="AM145" s="593"/>
      <c r="AN145" s="594"/>
      <c r="AO145" s="594"/>
      <c r="AP145" s="595"/>
      <c r="AQ145" s="595"/>
      <c r="AR145" s="596"/>
      <c r="AS145" s="596"/>
      <c r="AT145" s="596"/>
      <c r="AU145" s="597"/>
      <c r="AV145" s="597"/>
      <c r="AW145" s="597"/>
      <c r="AX145" s="597"/>
      <c r="AY145" s="588"/>
      <c r="AZ145" s="598"/>
      <c r="BA145" s="599"/>
      <c r="BB145" s="599"/>
      <c r="BC145" s="599"/>
      <c r="BD145" s="599"/>
      <c r="BE145" s="600"/>
      <c r="BF145" s="601"/>
      <c r="BG145" s="602"/>
      <c r="BH145" s="600"/>
      <c r="BI145" s="600"/>
      <c r="BJ145" s="600"/>
      <c r="BK145" s="600"/>
    </row>
    <row r="146" spans="11:63" ht="16.5" hidden="1" customHeight="1">
      <c r="K146" s="406"/>
      <c r="L146" s="407"/>
      <c r="M146" s="407"/>
      <c r="N146" s="1182" t="s">
        <v>2860</v>
      </c>
      <c r="O146" s="1182"/>
      <c r="P146" s="408"/>
      <c r="Q146" s="1182" t="s">
        <v>3005</v>
      </c>
      <c r="R146" s="1182"/>
      <c r="S146" s="1179"/>
      <c r="AC146" s="588"/>
      <c r="AD146" s="589"/>
      <c r="AE146" s="589"/>
      <c r="AF146" s="590"/>
      <c r="AG146" s="590"/>
      <c r="AH146" s="591"/>
      <c r="AI146" s="591"/>
      <c r="AJ146" s="592"/>
      <c r="AK146" s="592"/>
      <c r="AL146" s="593"/>
      <c r="AM146" s="593"/>
      <c r="AN146" s="594"/>
      <c r="AO146" s="594"/>
      <c r="AP146" s="595"/>
      <c r="AQ146" s="595"/>
      <c r="AR146" s="596"/>
      <c r="AS146" s="596"/>
      <c r="AT146" s="596"/>
      <c r="AU146" s="597"/>
      <c r="AV146" s="597"/>
      <c r="AW146" s="597"/>
      <c r="AX146" s="597"/>
      <c r="AY146" s="588"/>
      <c r="AZ146" s="598"/>
      <c r="BA146" s="599"/>
      <c r="BB146" s="599"/>
      <c r="BC146" s="599"/>
      <c r="BD146" s="599"/>
      <c r="BE146" s="600"/>
      <c r="BF146" s="601"/>
      <c r="BG146" s="602"/>
      <c r="BH146" s="600"/>
      <c r="BI146" s="600"/>
      <c r="BJ146" s="600"/>
      <c r="BK146" s="600"/>
    </row>
    <row r="147" spans="11:63" ht="16.5" hidden="1" customHeight="1">
      <c r="K147" s="406"/>
      <c r="L147" s="407"/>
      <c r="M147" s="407"/>
      <c r="N147" s="1182" t="s">
        <v>2861</v>
      </c>
      <c r="O147" s="1182"/>
      <c r="P147" s="408"/>
      <c r="Q147" s="1182" t="s">
        <v>3006</v>
      </c>
      <c r="R147" s="1182"/>
      <c r="S147" s="1179"/>
      <c r="AC147" s="588"/>
      <c r="AD147" s="589"/>
      <c r="AE147" s="589"/>
      <c r="AF147" s="590"/>
      <c r="AG147" s="590"/>
      <c r="AH147" s="591"/>
      <c r="AI147" s="591"/>
      <c r="AJ147" s="592"/>
      <c r="AK147" s="592"/>
      <c r="AL147" s="593"/>
      <c r="AM147" s="593"/>
      <c r="AN147" s="594"/>
      <c r="AO147" s="594"/>
      <c r="AP147" s="595"/>
      <c r="AQ147" s="595"/>
      <c r="AR147" s="596"/>
      <c r="AS147" s="596"/>
      <c r="AT147" s="596"/>
      <c r="AU147" s="597"/>
      <c r="AV147" s="597"/>
      <c r="AW147" s="597"/>
      <c r="AX147" s="597"/>
      <c r="AY147" s="588"/>
      <c r="AZ147" s="598"/>
      <c r="BA147" s="599"/>
      <c r="BB147" s="599"/>
      <c r="BC147" s="599"/>
      <c r="BD147" s="599"/>
      <c r="BE147" s="600"/>
      <c r="BF147" s="601"/>
      <c r="BG147" s="602"/>
      <c r="BH147" s="600"/>
      <c r="BI147" s="600"/>
      <c r="BJ147" s="600"/>
      <c r="BK147" s="600"/>
    </row>
    <row r="148" spans="11:63" ht="16.5" hidden="1" customHeight="1">
      <c r="K148" s="406"/>
      <c r="L148" s="407"/>
      <c r="M148" s="407"/>
      <c r="N148" s="1182" t="s">
        <v>2862</v>
      </c>
      <c r="O148" s="1182"/>
      <c r="P148" s="408"/>
      <c r="Q148" s="1182" t="s">
        <v>3007</v>
      </c>
      <c r="R148" s="1182"/>
      <c r="S148" s="1179"/>
      <c r="AC148" s="588"/>
      <c r="AD148" s="589"/>
      <c r="AE148" s="589"/>
      <c r="AF148" s="590"/>
      <c r="AG148" s="590"/>
      <c r="AH148" s="591"/>
      <c r="AI148" s="591"/>
      <c r="AJ148" s="592"/>
      <c r="AK148" s="592"/>
      <c r="AL148" s="593"/>
      <c r="AM148" s="593"/>
      <c r="AN148" s="594"/>
      <c r="AO148" s="594"/>
      <c r="AP148" s="595"/>
      <c r="AQ148" s="595"/>
      <c r="AR148" s="596"/>
      <c r="AS148" s="596"/>
      <c r="AT148" s="596"/>
      <c r="AU148" s="597"/>
      <c r="AV148" s="597"/>
      <c r="AW148" s="597"/>
      <c r="AX148" s="597"/>
      <c r="AY148" s="588"/>
      <c r="AZ148" s="598"/>
      <c r="BA148" s="599"/>
      <c r="BB148" s="599"/>
      <c r="BC148" s="599"/>
      <c r="BD148" s="599"/>
      <c r="BE148" s="600"/>
      <c r="BF148" s="601"/>
      <c r="BG148" s="602"/>
      <c r="BH148" s="600"/>
      <c r="BI148" s="600"/>
      <c r="BJ148" s="600"/>
      <c r="BK148" s="600"/>
    </row>
    <row r="149" spans="11:63" ht="16.5" hidden="1" customHeight="1">
      <c r="K149" s="406"/>
      <c r="L149" s="407"/>
      <c r="M149" s="407"/>
      <c r="N149" s="1182" t="s">
        <v>2863</v>
      </c>
      <c r="O149" s="1182"/>
      <c r="P149" s="408"/>
      <c r="Q149" s="1182" t="s">
        <v>3008</v>
      </c>
      <c r="R149" s="1182"/>
      <c r="S149" s="1179"/>
      <c r="AC149" s="588"/>
      <c r="AD149" s="589"/>
      <c r="AE149" s="589"/>
      <c r="AF149" s="590"/>
      <c r="AG149" s="590"/>
      <c r="AH149" s="591"/>
      <c r="AI149" s="591"/>
      <c r="AJ149" s="592"/>
      <c r="AK149" s="592"/>
      <c r="AL149" s="593"/>
      <c r="AM149" s="593"/>
      <c r="AN149" s="594"/>
      <c r="AO149" s="594"/>
      <c r="AP149" s="595"/>
      <c r="AQ149" s="595"/>
      <c r="AR149" s="596"/>
      <c r="AS149" s="596"/>
      <c r="AT149" s="596"/>
      <c r="AU149" s="597"/>
      <c r="AV149" s="597"/>
      <c r="AW149" s="597"/>
      <c r="AX149" s="597"/>
      <c r="AY149" s="588"/>
      <c r="AZ149" s="598"/>
      <c r="BA149" s="599"/>
      <c r="BB149" s="599"/>
      <c r="BC149" s="599"/>
      <c r="BD149" s="599"/>
      <c r="BE149" s="600"/>
      <c r="BF149" s="601"/>
      <c r="BG149" s="602"/>
      <c r="BH149" s="600"/>
      <c r="BI149" s="600"/>
      <c r="BJ149" s="600"/>
      <c r="BK149" s="600"/>
    </row>
    <row r="150" spans="11:63" ht="16.5" hidden="1" customHeight="1">
      <c r="K150" s="406"/>
      <c r="L150" s="407"/>
      <c r="M150" s="407"/>
      <c r="N150" s="1182" t="s">
        <v>2864</v>
      </c>
      <c r="O150" s="1182"/>
      <c r="P150" s="408"/>
      <c r="Q150" s="1182" t="s">
        <v>3009</v>
      </c>
      <c r="R150" s="1182"/>
      <c r="S150" s="1179"/>
      <c r="AC150" s="588"/>
      <c r="AD150" s="589"/>
      <c r="AE150" s="589"/>
      <c r="AF150" s="590"/>
      <c r="AG150" s="590"/>
      <c r="AH150" s="591"/>
      <c r="AI150" s="591"/>
      <c r="AJ150" s="592"/>
      <c r="AK150" s="592"/>
      <c r="AL150" s="593"/>
      <c r="AM150" s="593"/>
      <c r="AN150" s="594"/>
      <c r="AO150" s="594"/>
      <c r="AP150" s="595"/>
      <c r="AQ150" s="595"/>
      <c r="AR150" s="596"/>
      <c r="AS150" s="596"/>
      <c r="AT150" s="596"/>
      <c r="AU150" s="597"/>
      <c r="AV150" s="597"/>
      <c r="AW150" s="597"/>
      <c r="AX150" s="597"/>
      <c r="AY150" s="588"/>
      <c r="AZ150" s="598"/>
      <c r="BA150" s="599"/>
      <c r="BB150" s="599"/>
      <c r="BC150" s="599"/>
      <c r="BD150" s="599"/>
      <c r="BE150" s="600"/>
      <c r="BF150" s="601"/>
      <c r="BG150" s="602"/>
      <c r="BH150" s="600"/>
      <c r="BI150" s="600"/>
      <c r="BJ150" s="600"/>
      <c r="BK150" s="600"/>
    </row>
    <row r="151" spans="11:63" ht="16.5" hidden="1" customHeight="1">
      <c r="K151" s="406"/>
      <c r="L151" s="407"/>
      <c r="M151" s="407"/>
      <c r="N151" s="1182" t="s">
        <v>2865</v>
      </c>
      <c r="O151" s="1182"/>
      <c r="P151" s="408"/>
      <c r="Q151" s="1182" t="s">
        <v>3010</v>
      </c>
      <c r="R151" s="1182"/>
      <c r="S151" s="1179"/>
      <c r="AC151" s="588"/>
      <c r="AD151" s="589"/>
      <c r="AE151" s="589"/>
      <c r="AF151" s="590"/>
      <c r="AG151" s="590"/>
      <c r="AH151" s="591"/>
      <c r="AI151" s="591"/>
      <c r="AJ151" s="592"/>
      <c r="AK151" s="592"/>
      <c r="AL151" s="593"/>
      <c r="AM151" s="593"/>
      <c r="AN151" s="594"/>
      <c r="AO151" s="594"/>
      <c r="AP151" s="595"/>
      <c r="AQ151" s="595"/>
      <c r="AR151" s="596"/>
      <c r="AS151" s="596"/>
      <c r="AT151" s="596"/>
      <c r="AU151" s="597"/>
      <c r="AV151" s="597"/>
      <c r="AW151" s="597"/>
      <c r="AX151" s="597"/>
      <c r="AY151" s="588"/>
      <c r="AZ151" s="598"/>
      <c r="BA151" s="599"/>
      <c r="BB151" s="599"/>
      <c r="BC151" s="599"/>
      <c r="BD151" s="599"/>
      <c r="BE151" s="600"/>
      <c r="BF151" s="601"/>
      <c r="BG151" s="602"/>
      <c r="BH151" s="600"/>
      <c r="BI151" s="600"/>
      <c r="BJ151" s="600"/>
      <c r="BK151" s="600"/>
    </row>
    <row r="152" spans="11:63" ht="16.5" hidden="1" customHeight="1">
      <c r="K152" s="406"/>
      <c r="L152" s="407"/>
      <c r="M152" s="407"/>
      <c r="N152" s="1182" t="s">
        <v>2866</v>
      </c>
      <c r="O152" s="1182"/>
      <c r="P152" s="408"/>
      <c r="Q152" s="1182" t="s">
        <v>3011</v>
      </c>
      <c r="R152" s="1182"/>
      <c r="S152" s="1179"/>
      <c r="AC152" s="588"/>
      <c r="AD152" s="589"/>
      <c r="AE152" s="589"/>
      <c r="AF152" s="590"/>
      <c r="AG152" s="590"/>
      <c r="AH152" s="591"/>
      <c r="AI152" s="591"/>
      <c r="AJ152" s="592"/>
      <c r="AK152" s="592"/>
      <c r="AL152" s="593"/>
      <c r="AM152" s="593"/>
      <c r="AN152" s="594"/>
      <c r="AO152" s="594"/>
      <c r="AP152" s="595"/>
      <c r="AQ152" s="595"/>
      <c r="AR152" s="596"/>
      <c r="AS152" s="596"/>
      <c r="AT152" s="596"/>
      <c r="AU152" s="597"/>
      <c r="AV152" s="597"/>
      <c r="AW152" s="597"/>
      <c r="AX152" s="597"/>
      <c r="AY152" s="588"/>
      <c r="AZ152" s="598"/>
      <c r="BA152" s="599"/>
      <c r="BB152" s="599"/>
      <c r="BC152" s="599"/>
      <c r="BD152" s="599"/>
      <c r="BE152" s="600"/>
      <c r="BF152" s="601"/>
      <c r="BG152" s="602"/>
      <c r="BH152" s="600"/>
      <c r="BI152" s="600"/>
      <c r="BJ152" s="600"/>
      <c r="BK152" s="600"/>
    </row>
    <row r="153" spans="11:63" ht="16.5" hidden="1" customHeight="1">
      <c r="K153" s="406"/>
      <c r="L153" s="407"/>
      <c r="M153" s="407"/>
      <c r="N153" s="1182" t="s">
        <v>2867</v>
      </c>
      <c r="O153" s="1182"/>
      <c r="P153" s="408"/>
      <c r="Q153" s="1182" t="s">
        <v>3012</v>
      </c>
      <c r="R153" s="1182"/>
      <c r="S153" s="1179"/>
      <c r="AC153" s="588"/>
      <c r="AD153" s="589"/>
      <c r="AE153" s="589"/>
      <c r="AF153" s="590"/>
      <c r="AG153" s="590"/>
      <c r="AH153" s="591"/>
      <c r="AI153" s="591"/>
      <c r="AJ153" s="592"/>
      <c r="AK153" s="592"/>
      <c r="AL153" s="593"/>
      <c r="AM153" s="593"/>
      <c r="AN153" s="594"/>
      <c r="AO153" s="594"/>
      <c r="AP153" s="595"/>
      <c r="AQ153" s="595"/>
      <c r="AR153" s="596"/>
      <c r="AS153" s="596"/>
      <c r="AT153" s="596"/>
      <c r="AU153" s="597"/>
      <c r="AV153" s="597"/>
      <c r="AW153" s="597"/>
      <c r="AX153" s="597"/>
      <c r="AY153" s="588"/>
      <c r="AZ153" s="598"/>
      <c r="BA153" s="599"/>
      <c r="BB153" s="599"/>
      <c r="BC153" s="599"/>
      <c r="BD153" s="599"/>
      <c r="BE153" s="600"/>
      <c r="BF153" s="601"/>
      <c r="BG153" s="602"/>
      <c r="BH153" s="600"/>
      <c r="BI153" s="600"/>
      <c r="BJ153" s="600"/>
      <c r="BK153" s="600"/>
    </row>
    <row r="154" spans="11:63" ht="16.5" hidden="1" customHeight="1">
      <c r="K154" s="406"/>
      <c r="L154" s="407"/>
      <c r="M154" s="407"/>
      <c r="N154" s="1182"/>
      <c r="O154" s="1182"/>
      <c r="P154" s="408"/>
      <c r="Q154" s="1182" t="s">
        <v>3013</v>
      </c>
      <c r="R154" s="1182"/>
      <c r="S154" s="1179"/>
      <c r="AC154" s="588"/>
      <c r="AD154" s="589"/>
      <c r="AE154" s="589"/>
      <c r="AF154" s="590"/>
      <c r="AG154" s="590"/>
      <c r="AH154" s="591"/>
      <c r="AI154" s="591"/>
      <c r="AJ154" s="592"/>
      <c r="AK154" s="592"/>
      <c r="AL154" s="593"/>
      <c r="AM154" s="593"/>
      <c r="AN154" s="594"/>
      <c r="AO154" s="594"/>
      <c r="AP154" s="595"/>
      <c r="AQ154" s="595"/>
      <c r="AR154" s="596"/>
      <c r="AS154" s="596"/>
      <c r="AT154" s="596"/>
      <c r="AU154" s="597"/>
      <c r="AV154" s="597"/>
      <c r="AW154" s="597"/>
      <c r="AX154" s="597"/>
      <c r="AY154" s="588"/>
      <c r="AZ154" s="598"/>
      <c r="BA154" s="599"/>
      <c r="BB154" s="599"/>
      <c r="BC154" s="599"/>
      <c r="BD154" s="599"/>
      <c r="BE154" s="600"/>
      <c r="BF154" s="601"/>
      <c r="BG154" s="602"/>
      <c r="BH154" s="600"/>
      <c r="BI154" s="600"/>
      <c r="BJ154" s="600"/>
      <c r="BK154" s="600"/>
    </row>
    <row r="155" spans="11:63" ht="16.5" hidden="1" customHeight="1">
      <c r="K155" s="406"/>
      <c r="L155" s="407"/>
      <c r="M155" s="407"/>
      <c r="N155" s="1182" t="s">
        <v>250</v>
      </c>
      <c r="O155" s="1182"/>
      <c r="P155" s="408"/>
      <c r="Q155" s="1182" t="s">
        <v>3014</v>
      </c>
      <c r="R155" s="1182"/>
      <c r="S155" s="1179"/>
      <c r="AC155" s="588"/>
      <c r="AD155" s="589"/>
      <c r="AE155" s="589"/>
      <c r="AF155" s="590"/>
      <c r="AG155" s="590"/>
      <c r="AH155" s="591"/>
      <c r="AI155" s="591"/>
      <c r="AJ155" s="592"/>
      <c r="AK155" s="592"/>
      <c r="AL155" s="593"/>
      <c r="AM155" s="593"/>
      <c r="AN155" s="594"/>
      <c r="AO155" s="594"/>
      <c r="AP155" s="595"/>
      <c r="AQ155" s="595"/>
      <c r="AR155" s="596"/>
      <c r="AS155" s="596"/>
      <c r="AT155" s="596"/>
      <c r="AU155" s="597"/>
      <c r="AV155" s="597"/>
      <c r="AW155" s="597"/>
      <c r="AX155" s="597"/>
      <c r="AY155" s="588"/>
      <c r="AZ155" s="598"/>
      <c r="BA155" s="599"/>
      <c r="BB155" s="599"/>
      <c r="BC155" s="599"/>
      <c r="BD155" s="599"/>
      <c r="BE155" s="600"/>
      <c r="BF155" s="601"/>
      <c r="BG155" s="602"/>
      <c r="BH155" s="600"/>
      <c r="BI155" s="600"/>
      <c r="BJ155" s="600"/>
      <c r="BK155" s="600"/>
    </row>
    <row r="156" spans="11:63" ht="16.5" hidden="1" customHeight="1">
      <c r="K156" s="406"/>
      <c r="L156" s="407"/>
      <c r="M156" s="407"/>
      <c r="N156" s="1182"/>
      <c r="O156" s="1182"/>
      <c r="P156" s="408"/>
      <c r="Q156" s="1182" t="s">
        <v>3015</v>
      </c>
      <c r="R156" s="1182"/>
      <c r="S156" s="1179"/>
      <c r="AC156" s="588"/>
      <c r="AD156" s="589"/>
      <c r="AE156" s="589"/>
      <c r="AF156" s="590"/>
      <c r="AG156" s="590"/>
      <c r="AH156" s="591"/>
      <c r="AI156" s="591"/>
      <c r="AJ156" s="592"/>
      <c r="AK156" s="592"/>
      <c r="AL156" s="593"/>
      <c r="AM156" s="593"/>
      <c r="AN156" s="594"/>
      <c r="AO156" s="594"/>
      <c r="AP156" s="595"/>
      <c r="AQ156" s="595"/>
      <c r="AR156" s="596"/>
      <c r="AS156" s="596"/>
      <c r="AT156" s="596"/>
      <c r="AU156" s="597"/>
      <c r="AV156" s="597"/>
      <c r="AW156" s="597"/>
      <c r="AX156" s="597"/>
      <c r="AY156" s="588"/>
      <c r="AZ156" s="598"/>
      <c r="BA156" s="599"/>
      <c r="BB156" s="599"/>
      <c r="BC156" s="599"/>
      <c r="BD156" s="599"/>
      <c r="BE156" s="600"/>
      <c r="BF156" s="601"/>
      <c r="BG156" s="602"/>
      <c r="BH156" s="600"/>
      <c r="BI156" s="600"/>
      <c r="BJ156" s="600"/>
      <c r="BK156" s="600"/>
    </row>
    <row r="157" spans="11:63" ht="16.5" hidden="1" customHeight="1">
      <c r="K157" s="406"/>
      <c r="L157" s="407"/>
      <c r="M157" s="407"/>
      <c r="N157" s="1182" t="s">
        <v>251</v>
      </c>
      <c r="O157" s="1182"/>
      <c r="P157" s="408"/>
      <c r="Q157" s="1182"/>
      <c r="R157" s="1182"/>
      <c r="S157" s="1179"/>
      <c r="AC157" s="588"/>
      <c r="AD157" s="589"/>
      <c r="AE157" s="589"/>
      <c r="AF157" s="590"/>
      <c r="AG157" s="590"/>
      <c r="AH157" s="591"/>
      <c r="AI157" s="591"/>
      <c r="AJ157" s="592"/>
      <c r="AK157" s="592"/>
      <c r="AL157" s="593"/>
      <c r="AM157" s="593"/>
      <c r="AN157" s="594"/>
      <c r="AO157" s="594"/>
      <c r="AP157" s="595"/>
      <c r="AQ157" s="595"/>
      <c r="AR157" s="596"/>
      <c r="AS157" s="596"/>
      <c r="AT157" s="596"/>
      <c r="AU157" s="597"/>
      <c r="AV157" s="597"/>
      <c r="AW157" s="597"/>
      <c r="AX157" s="597"/>
      <c r="AY157" s="588"/>
      <c r="AZ157" s="598"/>
      <c r="BA157" s="599"/>
      <c r="BB157" s="599"/>
      <c r="BC157" s="599"/>
      <c r="BD157" s="599"/>
      <c r="BE157" s="600"/>
      <c r="BF157" s="601"/>
      <c r="BG157" s="602"/>
      <c r="BH157" s="600"/>
      <c r="BI157" s="600"/>
      <c r="BJ157" s="600"/>
      <c r="BK157" s="600"/>
    </row>
    <row r="158" spans="11:63" ht="16.5" hidden="1" customHeight="1">
      <c r="K158" s="406"/>
      <c r="L158" s="407"/>
      <c r="M158" s="407"/>
      <c r="N158" s="1182" t="s">
        <v>252</v>
      </c>
      <c r="O158" s="1182"/>
      <c r="P158" s="408"/>
      <c r="Q158" s="1182" t="s">
        <v>250</v>
      </c>
      <c r="R158" s="1182"/>
      <c r="S158" s="1179"/>
      <c r="AC158" s="588"/>
      <c r="AD158" s="589"/>
      <c r="AE158" s="589"/>
      <c r="AF158" s="590"/>
      <c r="AG158" s="590"/>
      <c r="AH158" s="591"/>
      <c r="AI158" s="591"/>
      <c r="AJ158" s="592"/>
      <c r="AK158" s="592"/>
      <c r="AL158" s="593"/>
      <c r="AM158" s="593"/>
      <c r="AN158" s="594"/>
      <c r="AO158" s="594"/>
      <c r="AP158" s="595"/>
      <c r="AQ158" s="595"/>
      <c r="AR158" s="596"/>
      <c r="AS158" s="596"/>
      <c r="AT158" s="596"/>
      <c r="AU158" s="597"/>
      <c r="AV158" s="597"/>
      <c r="AW158" s="597"/>
      <c r="AX158" s="597"/>
      <c r="AY158" s="588"/>
      <c r="AZ158" s="598"/>
      <c r="BA158" s="599"/>
      <c r="BB158" s="599"/>
      <c r="BC158" s="599"/>
      <c r="BD158" s="599"/>
      <c r="BE158" s="600"/>
      <c r="BF158" s="601"/>
      <c r="BG158" s="602"/>
      <c r="BH158" s="600"/>
      <c r="BI158" s="600"/>
      <c r="BJ158" s="600"/>
      <c r="BK158" s="600"/>
    </row>
    <row r="159" spans="11:63" ht="16.5" hidden="1" customHeight="1">
      <c r="K159" s="406"/>
      <c r="L159" s="407"/>
      <c r="M159" s="407"/>
      <c r="N159" s="1182" t="s">
        <v>253</v>
      </c>
      <c r="O159" s="1182"/>
      <c r="P159" s="408"/>
      <c r="Q159" s="1182"/>
      <c r="R159" s="1182"/>
      <c r="S159" s="1179"/>
      <c r="AC159" s="588"/>
      <c r="AD159" s="589"/>
      <c r="AE159" s="589"/>
      <c r="AF159" s="590"/>
      <c r="AG159" s="590"/>
      <c r="AH159" s="591"/>
      <c r="AI159" s="591"/>
      <c r="AJ159" s="592"/>
      <c r="AK159" s="592"/>
      <c r="AL159" s="593"/>
      <c r="AM159" s="593"/>
      <c r="AN159" s="594"/>
      <c r="AO159" s="594"/>
      <c r="AP159" s="595"/>
      <c r="AQ159" s="595"/>
      <c r="AR159" s="596"/>
      <c r="AS159" s="596"/>
      <c r="AT159" s="596"/>
      <c r="AU159" s="597"/>
      <c r="AV159" s="597"/>
      <c r="AW159" s="597"/>
      <c r="AX159" s="597"/>
      <c r="AY159" s="588"/>
      <c r="AZ159" s="598"/>
      <c r="BA159" s="599"/>
      <c r="BB159" s="599"/>
      <c r="BC159" s="599"/>
      <c r="BD159" s="599"/>
      <c r="BE159" s="600"/>
      <c r="BF159" s="601"/>
      <c r="BG159" s="602"/>
      <c r="BH159" s="600"/>
      <c r="BI159" s="600"/>
      <c r="BJ159" s="600"/>
      <c r="BK159" s="600"/>
    </row>
    <row r="160" spans="11:63" ht="16.5" hidden="1" customHeight="1">
      <c r="K160" s="406"/>
      <c r="L160" s="407"/>
      <c r="M160" s="407"/>
      <c r="N160" s="1182" t="s">
        <v>252</v>
      </c>
      <c r="O160" s="1182"/>
      <c r="P160" s="408"/>
      <c r="Q160" s="1182" t="s">
        <v>251</v>
      </c>
      <c r="R160" s="1182"/>
      <c r="S160" s="1179"/>
      <c r="AC160" s="588"/>
      <c r="AD160" s="589"/>
      <c r="AE160" s="589"/>
      <c r="AF160" s="590"/>
      <c r="AG160" s="590"/>
      <c r="AH160" s="591"/>
      <c r="AI160" s="591"/>
      <c r="AJ160" s="592"/>
      <c r="AK160" s="592"/>
      <c r="AL160" s="593"/>
      <c r="AM160" s="593"/>
      <c r="AN160" s="594"/>
      <c r="AO160" s="594"/>
      <c r="AP160" s="595"/>
      <c r="AQ160" s="595"/>
      <c r="AR160" s="596"/>
      <c r="AS160" s="596"/>
      <c r="AT160" s="596"/>
      <c r="AU160" s="597"/>
      <c r="AV160" s="597"/>
      <c r="AW160" s="597"/>
      <c r="AX160" s="597"/>
      <c r="AY160" s="588"/>
      <c r="AZ160" s="598"/>
      <c r="BA160" s="599"/>
      <c r="BB160" s="599"/>
      <c r="BC160" s="599"/>
      <c r="BD160" s="599"/>
      <c r="BE160" s="600"/>
      <c r="BF160" s="601"/>
      <c r="BG160" s="602"/>
      <c r="BH160" s="600"/>
      <c r="BI160" s="600"/>
      <c r="BJ160" s="600"/>
      <c r="BK160" s="600"/>
    </row>
    <row r="161" spans="11:63" ht="16.5" hidden="1" customHeight="1">
      <c r="K161" s="406"/>
      <c r="L161" s="407"/>
      <c r="M161" s="407"/>
      <c r="N161" s="1182" t="s">
        <v>254</v>
      </c>
      <c r="O161" s="1182"/>
      <c r="P161" s="408"/>
      <c r="Q161" s="1182" t="s">
        <v>252</v>
      </c>
      <c r="R161" s="1182"/>
      <c r="S161" s="1179"/>
      <c r="AC161" s="588"/>
      <c r="AD161" s="589"/>
      <c r="AE161" s="589"/>
      <c r="AF161" s="590"/>
      <c r="AG161" s="590"/>
      <c r="AH161" s="591"/>
      <c r="AI161" s="591"/>
      <c r="AJ161" s="592"/>
      <c r="AK161" s="592"/>
      <c r="AL161" s="593"/>
      <c r="AM161" s="593"/>
      <c r="AN161" s="594"/>
      <c r="AO161" s="594"/>
      <c r="AP161" s="595"/>
      <c r="AQ161" s="595"/>
      <c r="AR161" s="596"/>
      <c r="AS161" s="596"/>
      <c r="AT161" s="596"/>
      <c r="AU161" s="597"/>
      <c r="AV161" s="597"/>
      <c r="AW161" s="597"/>
      <c r="AX161" s="597"/>
      <c r="AY161" s="588"/>
      <c r="AZ161" s="598"/>
      <c r="BA161" s="599"/>
      <c r="BB161" s="599"/>
      <c r="BC161" s="599"/>
      <c r="BD161" s="599"/>
      <c r="BE161" s="600"/>
      <c r="BF161" s="601"/>
      <c r="BG161" s="602"/>
      <c r="BH161" s="600"/>
      <c r="BI161" s="600"/>
      <c r="BJ161" s="600"/>
      <c r="BK161" s="600"/>
    </row>
    <row r="162" spans="11:63" ht="16.5" hidden="1" customHeight="1">
      <c r="K162" s="406"/>
      <c r="L162" s="407"/>
      <c r="M162" s="407"/>
      <c r="N162" s="1182" t="s">
        <v>255</v>
      </c>
      <c r="O162" s="1182"/>
      <c r="P162" s="408"/>
      <c r="Q162" s="1182" t="s">
        <v>253</v>
      </c>
      <c r="R162" s="1182"/>
      <c r="S162" s="1179"/>
      <c r="AC162" s="588"/>
      <c r="AD162" s="589"/>
      <c r="AE162" s="589"/>
      <c r="AF162" s="590"/>
      <c r="AG162" s="590"/>
      <c r="AH162" s="591"/>
      <c r="AI162" s="591"/>
      <c r="AJ162" s="592"/>
      <c r="AK162" s="592"/>
      <c r="AL162" s="593"/>
      <c r="AM162" s="593"/>
      <c r="AN162" s="594"/>
      <c r="AO162" s="594"/>
      <c r="AP162" s="595"/>
      <c r="AQ162" s="595"/>
      <c r="AR162" s="596"/>
      <c r="AS162" s="596"/>
      <c r="AT162" s="596"/>
      <c r="AU162" s="597"/>
      <c r="AV162" s="597"/>
      <c r="AW162" s="597"/>
      <c r="AX162" s="597"/>
      <c r="AY162" s="588"/>
      <c r="AZ162" s="598"/>
      <c r="BA162" s="599"/>
      <c r="BB162" s="599"/>
      <c r="BC162" s="599"/>
      <c r="BD162" s="599"/>
      <c r="BE162" s="600"/>
      <c r="BF162" s="601"/>
      <c r="BG162" s="602"/>
      <c r="BH162" s="600"/>
      <c r="BI162" s="600"/>
      <c r="BJ162" s="600"/>
      <c r="BK162" s="600"/>
    </row>
    <row r="163" spans="11:63" ht="16.5" hidden="1" customHeight="1">
      <c r="K163" s="406"/>
      <c r="L163" s="407"/>
      <c r="M163" s="407"/>
      <c r="N163" s="1182" t="s">
        <v>256</v>
      </c>
      <c r="O163" s="1182"/>
      <c r="P163" s="408"/>
      <c r="Q163" s="1182" t="s">
        <v>252</v>
      </c>
      <c r="R163" s="1182"/>
      <c r="S163" s="1179"/>
      <c r="AC163" s="588"/>
      <c r="AD163" s="589"/>
      <c r="AE163" s="589"/>
      <c r="AF163" s="590"/>
      <c r="AG163" s="590"/>
      <c r="AH163" s="591"/>
      <c r="AI163" s="591"/>
      <c r="AJ163" s="592"/>
      <c r="AK163" s="592"/>
      <c r="AL163" s="593"/>
      <c r="AM163" s="593"/>
      <c r="AN163" s="594"/>
      <c r="AO163" s="594"/>
      <c r="AP163" s="595"/>
      <c r="AQ163" s="595"/>
      <c r="AR163" s="596"/>
      <c r="AS163" s="596"/>
      <c r="AT163" s="596"/>
      <c r="AU163" s="597"/>
      <c r="AV163" s="597"/>
      <c r="AW163" s="597"/>
      <c r="AX163" s="597"/>
      <c r="AY163" s="588"/>
      <c r="AZ163" s="598"/>
      <c r="BA163" s="599"/>
      <c r="BB163" s="599"/>
      <c r="BC163" s="599"/>
      <c r="BD163" s="599"/>
      <c r="BE163" s="600"/>
      <c r="BF163" s="601"/>
      <c r="BG163" s="602"/>
      <c r="BH163" s="600"/>
      <c r="BI163" s="600"/>
      <c r="BJ163" s="600"/>
      <c r="BK163" s="600"/>
    </row>
    <row r="164" spans="11:63" ht="16.5" hidden="1" customHeight="1">
      <c r="K164" s="406"/>
      <c r="L164" s="407"/>
      <c r="M164" s="407"/>
      <c r="N164" s="1182" t="s">
        <v>257</v>
      </c>
      <c r="O164" s="1182"/>
      <c r="P164" s="408"/>
      <c r="Q164" s="1182" t="s">
        <v>254</v>
      </c>
      <c r="R164" s="1182"/>
      <c r="S164" s="1179"/>
      <c r="AC164" s="588"/>
      <c r="AD164" s="589"/>
      <c r="AE164" s="589"/>
      <c r="AF164" s="590"/>
      <c r="AG164" s="590"/>
      <c r="AH164" s="591"/>
      <c r="AI164" s="591"/>
      <c r="AJ164" s="592"/>
      <c r="AK164" s="592"/>
      <c r="AL164" s="593"/>
      <c r="AM164" s="593"/>
      <c r="AN164" s="594"/>
      <c r="AO164" s="594"/>
      <c r="AP164" s="595"/>
      <c r="AQ164" s="595"/>
      <c r="AR164" s="596"/>
      <c r="AS164" s="596"/>
      <c r="AT164" s="596"/>
      <c r="AU164" s="597"/>
      <c r="AV164" s="597"/>
      <c r="AW164" s="597"/>
      <c r="AX164" s="597"/>
      <c r="AY164" s="588"/>
      <c r="AZ164" s="598"/>
      <c r="BA164" s="599"/>
      <c r="BB164" s="599"/>
      <c r="BC164" s="599"/>
      <c r="BD164" s="599"/>
      <c r="BE164" s="600"/>
      <c r="BF164" s="601"/>
      <c r="BG164" s="602"/>
      <c r="BH164" s="600"/>
      <c r="BI164" s="600"/>
      <c r="BJ164" s="600"/>
      <c r="BK164" s="600"/>
    </row>
    <row r="165" spans="11:63" ht="16.5" hidden="1" customHeight="1">
      <c r="K165" s="406"/>
      <c r="L165" s="407"/>
      <c r="M165" s="407"/>
      <c r="N165" s="1182" t="s">
        <v>258</v>
      </c>
      <c r="O165" s="1182"/>
      <c r="P165" s="408"/>
      <c r="Q165" s="1182" t="s">
        <v>255</v>
      </c>
      <c r="R165" s="1182"/>
      <c r="S165" s="1179"/>
      <c r="AC165" s="588"/>
      <c r="AD165" s="589"/>
      <c r="AE165" s="589"/>
      <c r="AF165" s="590"/>
      <c r="AG165" s="590"/>
      <c r="AH165" s="591"/>
      <c r="AI165" s="591"/>
      <c r="AJ165" s="592"/>
      <c r="AK165" s="592"/>
      <c r="AL165" s="593"/>
      <c r="AM165" s="593"/>
      <c r="AN165" s="594"/>
      <c r="AO165" s="594"/>
      <c r="AP165" s="595"/>
      <c r="AQ165" s="595"/>
      <c r="AR165" s="596"/>
      <c r="AS165" s="596"/>
      <c r="AT165" s="596"/>
      <c r="AU165" s="597"/>
      <c r="AV165" s="597"/>
      <c r="AW165" s="597"/>
      <c r="AX165" s="597"/>
      <c r="AY165" s="588"/>
      <c r="AZ165" s="598"/>
      <c r="BA165" s="599"/>
      <c r="BB165" s="599"/>
      <c r="BC165" s="599"/>
      <c r="BD165" s="599"/>
      <c r="BE165" s="600"/>
      <c r="BF165" s="601"/>
      <c r="BG165" s="602"/>
      <c r="BH165" s="600"/>
      <c r="BI165" s="600"/>
      <c r="BJ165" s="600"/>
      <c r="BK165" s="600"/>
    </row>
    <row r="166" spans="11:63" ht="16.5" hidden="1" customHeight="1">
      <c r="K166" s="406"/>
      <c r="L166" s="407"/>
      <c r="M166" s="407"/>
      <c r="N166" s="1182" t="s">
        <v>259</v>
      </c>
      <c r="O166" s="1182"/>
      <c r="P166" s="408"/>
      <c r="Q166" s="1182" t="s">
        <v>256</v>
      </c>
      <c r="R166" s="1182"/>
      <c r="S166" s="1179"/>
      <c r="AC166" s="588"/>
      <c r="AD166" s="589"/>
      <c r="AE166" s="589"/>
      <c r="AF166" s="590"/>
      <c r="AG166" s="590"/>
      <c r="AH166" s="591"/>
      <c r="AI166" s="591"/>
      <c r="AJ166" s="592"/>
      <c r="AK166" s="592"/>
      <c r="AL166" s="593"/>
      <c r="AM166" s="593"/>
      <c r="AN166" s="594"/>
      <c r="AO166" s="594"/>
      <c r="AP166" s="595"/>
      <c r="AQ166" s="595"/>
      <c r="AR166" s="596"/>
      <c r="AS166" s="596"/>
      <c r="AT166" s="596"/>
      <c r="AU166" s="597"/>
      <c r="AV166" s="597"/>
      <c r="AW166" s="597"/>
      <c r="AX166" s="597"/>
      <c r="AY166" s="588"/>
      <c r="AZ166" s="598"/>
      <c r="BA166" s="599"/>
      <c r="BB166" s="599"/>
      <c r="BC166" s="599"/>
      <c r="BD166" s="599"/>
      <c r="BE166" s="600"/>
      <c r="BF166" s="601"/>
      <c r="BG166" s="602"/>
      <c r="BH166" s="600"/>
      <c r="BI166" s="600"/>
      <c r="BJ166" s="600"/>
      <c r="BK166" s="600"/>
    </row>
    <row r="167" spans="11:63" ht="16.5" hidden="1" customHeight="1">
      <c r="K167" s="406"/>
      <c r="L167" s="407"/>
      <c r="M167" s="407"/>
      <c r="N167" s="1182" t="s">
        <v>260</v>
      </c>
      <c r="O167" s="1182"/>
      <c r="P167" s="408"/>
      <c r="Q167" s="1182" t="s">
        <v>257</v>
      </c>
      <c r="R167" s="1182"/>
      <c r="S167" s="1179"/>
      <c r="AC167" s="588"/>
      <c r="AD167" s="589"/>
      <c r="AE167" s="589"/>
      <c r="AF167" s="590"/>
      <c r="AG167" s="590"/>
      <c r="AH167" s="591"/>
      <c r="AI167" s="591"/>
      <c r="AJ167" s="592"/>
      <c r="AK167" s="592"/>
      <c r="AL167" s="593"/>
      <c r="AM167" s="593"/>
      <c r="AN167" s="594"/>
      <c r="AO167" s="594"/>
      <c r="AP167" s="595"/>
      <c r="AQ167" s="595"/>
      <c r="AR167" s="596"/>
      <c r="AS167" s="596"/>
      <c r="AT167" s="596"/>
      <c r="AU167" s="597"/>
      <c r="AV167" s="597"/>
      <c r="AW167" s="597"/>
      <c r="AX167" s="597"/>
      <c r="AY167" s="588"/>
      <c r="AZ167" s="598"/>
      <c r="BA167" s="599"/>
      <c r="BB167" s="599"/>
      <c r="BC167" s="599"/>
      <c r="BD167" s="599"/>
      <c r="BE167" s="600"/>
      <c r="BF167" s="601"/>
      <c r="BG167" s="602"/>
      <c r="BH167" s="600"/>
      <c r="BI167" s="600"/>
      <c r="BJ167" s="600"/>
      <c r="BK167" s="600"/>
    </row>
    <row r="168" spans="11:63" ht="16.5" hidden="1" customHeight="1">
      <c r="K168" s="406"/>
      <c r="L168" s="407"/>
      <c r="M168" s="407"/>
      <c r="N168" s="1182" t="s">
        <v>261</v>
      </c>
      <c r="O168" s="1182"/>
      <c r="P168" s="408"/>
      <c r="Q168" s="1182" t="s">
        <v>258</v>
      </c>
      <c r="R168" s="1182"/>
      <c r="S168" s="1179"/>
      <c r="AC168" s="588"/>
      <c r="AD168" s="589"/>
      <c r="AE168" s="589"/>
      <c r="AF168" s="590"/>
      <c r="AG168" s="590"/>
      <c r="AH168" s="591"/>
      <c r="AI168" s="591"/>
      <c r="AJ168" s="592"/>
      <c r="AK168" s="592"/>
      <c r="AL168" s="593"/>
      <c r="AM168" s="593"/>
      <c r="AN168" s="594"/>
      <c r="AO168" s="594"/>
      <c r="AP168" s="595"/>
      <c r="AQ168" s="595"/>
      <c r="AR168" s="596"/>
      <c r="AS168" s="596"/>
      <c r="AT168" s="596"/>
      <c r="AU168" s="597"/>
      <c r="AV168" s="597"/>
      <c r="AW168" s="597"/>
      <c r="AX168" s="597"/>
      <c r="AY168" s="588"/>
      <c r="AZ168" s="598"/>
      <c r="BA168" s="599"/>
      <c r="BB168" s="599"/>
      <c r="BC168" s="599"/>
      <c r="BD168" s="599"/>
      <c r="BE168" s="600"/>
      <c r="BF168" s="601"/>
      <c r="BG168" s="602"/>
      <c r="BH168" s="600"/>
      <c r="BI168" s="600"/>
      <c r="BJ168" s="600"/>
      <c r="BK168" s="600"/>
    </row>
    <row r="169" spans="11:63" ht="16.5" hidden="1" customHeight="1">
      <c r="K169" s="406"/>
      <c r="L169" s="407"/>
      <c r="M169" s="407"/>
      <c r="N169" s="1182" t="s">
        <v>262</v>
      </c>
      <c r="O169" s="1182"/>
      <c r="P169" s="408"/>
      <c r="Q169" s="1182" t="s">
        <v>259</v>
      </c>
      <c r="R169" s="1182"/>
      <c r="S169" s="1179"/>
      <c r="AC169" s="588"/>
      <c r="AD169" s="589"/>
      <c r="AE169" s="589"/>
      <c r="AF169" s="590"/>
      <c r="AG169" s="590"/>
      <c r="AH169" s="591"/>
      <c r="AI169" s="591"/>
      <c r="AJ169" s="592"/>
      <c r="AK169" s="592"/>
      <c r="AL169" s="593"/>
      <c r="AM169" s="593"/>
      <c r="AN169" s="594"/>
      <c r="AO169" s="594"/>
      <c r="AP169" s="595"/>
      <c r="AQ169" s="595"/>
      <c r="AR169" s="596"/>
      <c r="AS169" s="596"/>
      <c r="AT169" s="596"/>
      <c r="AU169" s="597"/>
      <c r="AV169" s="597"/>
      <c r="AW169" s="597"/>
      <c r="AX169" s="597"/>
      <c r="AY169" s="588"/>
      <c r="AZ169" s="598"/>
      <c r="BA169" s="599"/>
      <c r="BB169" s="599"/>
      <c r="BC169" s="599"/>
      <c r="BD169" s="599"/>
      <c r="BE169" s="600"/>
      <c r="BF169" s="601"/>
      <c r="BG169" s="602"/>
      <c r="BH169" s="600"/>
      <c r="BI169" s="600"/>
      <c r="BJ169" s="600"/>
      <c r="BK169" s="600"/>
    </row>
    <row r="170" spans="11:63" ht="16.5" hidden="1" customHeight="1">
      <c r="K170" s="406"/>
      <c r="L170" s="407"/>
      <c r="M170" s="407"/>
      <c r="N170" s="1182" t="s">
        <v>263</v>
      </c>
      <c r="O170" s="1182"/>
      <c r="P170" s="408"/>
      <c r="Q170" s="1182" t="s">
        <v>260</v>
      </c>
      <c r="R170" s="1182"/>
      <c r="S170" s="1179"/>
      <c r="AC170" s="588"/>
      <c r="AD170" s="589"/>
      <c r="AE170" s="589"/>
      <c r="AF170" s="590"/>
      <c r="AG170" s="590"/>
      <c r="AH170" s="591"/>
      <c r="AI170" s="591"/>
      <c r="AJ170" s="592"/>
      <c r="AK170" s="592"/>
      <c r="AL170" s="593"/>
      <c r="AM170" s="593"/>
      <c r="AN170" s="594"/>
      <c r="AO170" s="594"/>
      <c r="AP170" s="595"/>
      <c r="AQ170" s="595"/>
      <c r="AR170" s="596"/>
      <c r="AS170" s="596"/>
      <c r="AT170" s="596"/>
      <c r="AU170" s="597"/>
      <c r="AV170" s="597"/>
      <c r="AW170" s="597"/>
      <c r="AX170" s="597"/>
      <c r="AY170" s="588"/>
      <c r="AZ170" s="598"/>
      <c r="BA170" s="599"/>
      <c r="BB170" s="599"/>
      <c r="BC170" s="599"/>
      <c r="BD170" s="599"/>
      <c r="BE170" s="600"/>
      <c r="BF170" s="601"/>
      <c r="BG170" s="602"/>
      <c r="BH170" s="600"/>
      <c r="BI170" s="600"/>
      <c r="BJ170" s="600"/>
      <c r="BK170" s="600"/>
    </row>
    <row r="171" spans="11:63" ht="16.5" hidden="1" customHeight="1">
      <c r="K171" s="406"/>
      <c r="L171" s="407"/>
      <c r="M171" s="407"/>
      <c r="N171" s="1182" t="s">
        <v>264</v>
      </c>
      <c r="O171" s="1182"/>
      <c r="P171" s="408"/>
      <c r="Q171" s="1182" t="s">
        <v>261</v>
      </c>
      <c r="R171" s="1182"/>
      <c r="S171" s="1179"/>
      <c r="AC171" s="588"/>
      <c r="AD171" s="589"/>
      <c r="AE171" s="589"/>
      <c r="AF171" s="590"/>
      <c r="AG171" s="590"/>
      <c r="AH171" s="591"/>
      <c r="AI171" s="591"/>
      <c r="AJ171" s="592"/>
      <c r="AK171" s="592"/>
      <c r="AL171" s="593"/>
      <c r="AM171" s="593"/>
      <c r="AN171" s="594"/>
      <c r="AO171" s="594"/>
      <c r="AP171" s="595"/>
      <c r="AQ171" s="595"/>
      <c r="AR171" s="596"/>
      <c r="AS171" s="596"/>
      <c r="AT171" s="596"/>
      <c r="AU171" s="597"/>
      <c r="AV171" s="597"/>
      <c r="AW171" s="597"/>
      <c r="AX171" s="597"/>
      <c r="AY171" s="588"/>
      <c r="AZ171" s="598"/>
      <c r="BA171" s="599"/>
      <c r="BB171" s="599"/>
      <c r="BC171" s="599"/>
      <c r="BD171" s="599"/>
      <c r="BE171" s="600"/>
      <c r="BF171" s="601"/>
      <c r="BG171" s="602"/>
      <c r="BH171" s="600"/>
      <c r="BI171" s="600"/>
      <c r="BJ171" s="600"/>
      <c r="BK171" s="600"/>
    </row>
    <row r="172" spans="11:63" ht="16.5" hidden="1" customHeight="1">
      <c r="K172" s="406"/>
      <c r="L172" s="407"/>
      <c r="M172" s="407"/>
      <c r="N172" s="1182" t="s">
        <v>265</v>
      </c>
      <c r="O172" s="1182"/>
      <c r="P172" s="408"/>
      <c r="Q172" s="1182" t="s">
        <v>262</v>
      </c>
      <c r="R172" s="1182"/>
      <c r="S172" s="1179"/>
      <c r="AC172" s="588"/>
      <c r="AD172" s="589"/>
      <c r="AE172" s="589"/>
      <c r="AF172" s="590"/>
      <c r="AG172" s="590"/>
      <c r="AH172" s="591"/>
      <c r="AI172" s="591"/>
      <c r="AJ172" s="592"/>
      <c r="AK172" s="592"/>
      <c r="AL172" s="593"/>
      <c r="AM172" s="593"/>
      <c r="AN172" s="594"/>
      <c r="AO172" s="594"/>
      <c r="AP172" s="595"/>
      <c r="AQ172" s="595"/>
      <c r="AR172" s="596"/>
      <c r="AS172" s="596"/>
      <c r="AT172" s="596"/>
      <c r="AU172" s="597"/>
      <c r="AV172" s="597"/>
      <c r="AW172" s="597"/>
      <c r="AX172" s="597"/>
      <c r="AY172" s="588"/>
      <c r="AZ172" s="598"/>
      <c r="BA172" s="599"/>
      <c r="BB172" s="599"/>
      <c r="BC172" s="599"/>
      <c r="BD172" s="599"/>
      <c r="BE172" s="600"/>
      <c r="BF172" s="601"/>
      <c r="BG172" s="602"/>
      <c r="BH172" s="600"/>
      <c r="BI172" s="600"/>
      <c r="BJ172" s="600"/>
      <c r="BK172" s="600"/>
    </row>
    <row r="173" spans="11:63" ht="16.5" hidden="1" customHeight="1">
      <c r="K173" s="406"/>
      <c r="L173" s="407"/>
      <c r="M173" s="407"/>
      <c r="N173" s="1182" t="s">
        <v>266</v>
      </c>
      <c r="O173" s="1182"/>
      <c r="P173" s="408"/>
      <c r="Q173" s="1182" t="s">
        <v>263</v>
      </c>
      <c r="R173" s="1182"/>
      <c r="S173" s="1179"/>
      <c r="AC173" s="588"/>
      <c r="AD173" s="589"/>
      <c r="AE173" s="589"/>
      <c r="AF173" s="590"/>
      <c r="AG173" s="590"/>
      <c r="AH173" s="591"/>
      <c r="AI173" s="591"/>
      <c r="AJ173" s="592"/>
      <c r="AK173" s="592"/>
      <c r="AL173" s="593"/>
      <c r="AM173" s="593"/>
      <c r="AN173" s="594"/>
      <c r="AO173" s="594"/>
      <c r="AP173" s="595"/>
      <c r="AQ173" s="595"/>
      <c r="AR173" s="596"/>
      <c r="AS173" s="596"/>
      <c r="AT173" s="596"/>
      <c r="AU173" s="597"/>
      <c r="AV173" s="597"/>
      <c r="AW173" s="597"/>
      <c r="AX173" s="597"/>
      <c r="AY173" s="588"/>
      <c r="AZ173" s="598"/>
      <c r="BA173" s="599"/>
      <c r="BB173" s="599"/>
      <c r="BC173" s="599"/>
      <c r="BD173" s="599"/>
      <c r="BE173" s="600"/>
      <c r="BF173" s="601"/>
      <c r="BG173" s="602"/>
      <c r="BH173" s="600"/>
      <c r="BI173" s="600"/>
      <c r="BJ173" s="600"/>
      <c r="BK173" s="600"/>
    </row>
    <row r="174" spans="11:63" ht="16.5" hidden="1" customHeight="1">
      <c r="K174" s="406"/>
      <c r="L174" s="407"/>
      <c r="M174" s="407"/>
      <c r="N174" s="1182" t="s">
        <v>267</v>
      </c>
      <c r="O174" s="1182"/>
      <c r="P174" s="408"/>
      <c r="Q174" s="1182" t="s">
        <v>264</v>
      </c>
      <c r="R174" s="1182"/>
      <c r="S174" s="1179"/>
      <c r="AC174" s="588"/>
      <c r="AD174" s="589"/>
      <c r="AE174" s="589"/>
      <c r="AF174" s="590"/>
      <c r="AG174" s="590"/>
      <c r="AH174" s="591"/>
      <c r="AI174" s="591"/>
      <c r="AJ174" s="592"/>
      <c r="AK174" s="592"/>
      <c r="AL174" s="593"/>
      <c r="AM174" s="593"/>
      <c r="AN174" s="594"/>
      <c r="AO174" s="594"/>
      <c r="AP174" s="595"/>
      <c r="AQ174" s="595"/>
      <c r="AR174" s="596"/>
      <c r="AS174" s="596"/>
      <c r="AT174" s="596"/>
      <c r="AU174" s="597"/>
      <c r="AV174" s="597"/>
      <c r="AW174" s="597"/>
      <c r="AX174" s="597"/>
      <c r="AY174" s="588"/>
      <c r="AZ174" s="598"/>
      <c r="BA174" s="599"/>
      <c r="BB174" s="599"/>
      <c r="BC174" s="599"/>
      <c r="BD174" s="599"/>
      <c r="BE174" s="600"/>
      <c r="BF174" s="601"/>
      <c r="BG174" s="602"/>
      <c r="BH174" s="600"/>
      <c r="BI174" s="600"/>
      <c r="BJ174" s="600"/>
      <c r="BK174" s="600"/>
    </row>
    <row r="175" spans="11:63" ht="16.5" hidden="1" customHeight="1">
      <c r="K175" s="406"/>
      <c r="L175" s="407"/>
      <c r="M175" s="407"/>
      <c r="N175" s="1182" t="s">
        <v>268</v>
      </c>
      <c r="O175" s="1182"/>
      <c r="P175" s="408"/>
      <c r="Q175" s="1182" t="s">
        <v>265</v>
      </c>
      <c r="R175" s="1182"/>
      <c r="S175" s="1179"/>
      <c r="AC175" s="588"/>
      <c r="AD175" s="589"/>
      <c r="AE175" s="589"/>
      <c r="AF175" s="590"/>
      <c r="AG175" s="590"/>
      <c r="AH175" s="591"/>
      <c r="AI175" s="591"/>
      <c r="AJ175" s="592"/>
      <c r="AK175" s="592"/>
      <c r="AL175" s="593"/>
      <c r="AM175" s="593"/>
      <c r="AN175" s="594"/>
      <c r="AO175" s="594"/>
      <c r="AP175" s="595"/>
      <c r="AQ175" s="595"/>
      <c r="AR175" s="596"/>
      <c r="AS175" s="596"/>
      <c r="AT175" s="596"/>
      <c r="AU175" s="597"/>
      <c r="AV175" s="597"/>
      <c r="AW175" s="597"/>
      <c r="AX175" s="597"/>
      <c r="AY175" s="588"/>
      <c r="AZ175" s="598"/>
      <c r="BA175" s="599"/>
      <c r="BB175" s="599"/>
      <c r="BC175" s="599"/>
      <c r="BD175" s="599"/>
      <c r="BE175" s="600"/>
      <c r="BF175" s="601"/>
      <c r="BG175" s="602"/>
      <c r="BH175" s="600"/>
      <c r="BI175" s="600"/>
      <c r="BJ175" s="600"/>
      <c r="BK175" s="600"/>
    </row>
    <row r="176" spans="11:63" ht="16.5" hidden="1" customHeight="1">
      <c r="K176" s="406"/>
      <c r="L176" s="407"/>
      <c r="M176" s="407"/>
      <c r="N176" s="1182" t="s">
        <v>269</v>
      </c>
      <c r="O176" s="1182"/>
      <c r="P176" s="408"/>
      <c r="Q176" s="1182" t="s">
        <v>266</v>
      </c>
      <c r="R176" s="1182"/>
      <c r="S176" s="1179"/>
      <c r="AC176" s="588"/>
      <c r="AD176" s="589"/>
      <c r="AE176" s="589"/>
      <c r="AF176" s="590"/>
      <c r="AG176" s="590"/>
      <c r="AH176" s="591"/>
      <c r="AI176" s="591"/>
      <c r="AJ176" s="592"/>
      <c r="AK176" s="592"/>
      <c r="AL176" s="593"/>
      <c r="AM176" s="593"/>
      <c r="AN176" s="594"/>
      <c r="AO176" s="594"/>
      <c r="AP176" s="595"/>
      <c r="AQ176" s="595"/>
      <c r="AR176" s="596"/>
      <c r="AS176" s="596"/>
      <c r="AT176" s="596"/>
      <c r="AU176" s="597"/>
      <c r="AV176" s="597"/>
      <c r="AW176" s="597"/>
      <c r="AX176" s="597"/>
      <c r="AY176" s="588"/>
      <c r="AZ176" s="598"/>
      <c r="BA176" s="599"/>
      <c r="BB176" s="599"/>
      <c r="BC176" s="599"/>
      <c r="BD176" s="599"/>
      <c r="BE176" s="600"/>
      <c r="BF176" s="601"/>
      <c r="BG176" s="602"/>
      <c r="BH176" s="600"/>
      <c r="BI176" s="600"/>
      <c r="BJ176" s="600"/>
      <c r="BK176" s="600"/>
    </row>
    <row r="177" spans="11:63" ht="16.5" hidden="1" customHeight="1">
      <c r="K177" s="406"/>
      <c r="L177" s="407"/>
      <c r="M177" s="407"/>
      <c r="N177" s="1182" t="s">
        <v>270</v>
      </c>
      <c r="O177" s="1182"/>
      <c r="P177" s="408"/>
      <c r="Q177" s="1182" t="s">
        <v>267</v>
      </c>
      <c r="R177" s="1182"/>
      <c r="S177" s="1179"/>
      <c r="AC177" s="588"/>
      <c r="AD177" s="589"/>
      <c r="AE177" s="589"/>
      <c r="AF177" s="590"/>
      <c r="AG177" s="590"/>
      <c r="AH177" s="591"/>
      <c r="AI177" s="591"/>
      <c r="AJ177" s="592"/>
      <c r="AK177" s="592"/>
      <c r="AL177" s="593"/>
      <c r="AM177" s="593"/>
      <c r="AN177" s="594"/>
      <c r="AO177" s="594"/>
      <c r="AP177" s="595"/>
      <c r="AQ177" s="595"/>
      <c r="AR177" s="596"/>
      <c r="AS177" s="596"/>
      <c r="AT177" s="596"/>
      <c r="AU177" s="597"/>
      <c r="AV177" s="597"/>
      <c r="AW177" s="597"/>
      <c r="AX177" s="597"/>
      <c r="AY177" s="588"/>
      <c r="AZ177" s="598"/>
      <c r="BA177" s="599"/>
      <c r="BB177" s="599"/>
      <c r="BC177" s="599"/>
      <c r="BD177" s="599"/>
      <c r="BE177" s="600"/>
      <c r="BF177" s="601"/>
      <c r="BG177" s="602"/>
      <c r="BH177" s="600"/>
      <c r="BI177" s="600"/>
      <c r="BJ177" s="600"/>
      <c r="BK177" s="600"/>
    </row>
    <row r="178" spans="11:63" ht="16.5" hidden="1" customHeight="1">
      <c r="K178" s="406"/>
      <c r="L178" s="407"/>
      <c r="M178" s="407"/>
      <c r="N178" s="1182" t="s">
        <v>271</v>
      </c>
      <c r="O178" s="1182"/>
      <c r="P178" s="408"/>
      <c r="Q178" s="1182" t="s">
        <v>268</v>
      </c>
      <c r="R178" s="1182"/>
      <c r="S178" s="1179"/>
      <c r="AC178" s="588"/>
      <c r="AD178" s="589"/>
      <c r="AE178" s="589"/>
      <c r="AF178" s="590"/>
      <c r="AG178" s="590"/>
      <c r="AH178" s="591"/>
      <c r="AI178" s="591"/>
      <c r="AJ178" s="592"/>
      <c r="AK178" s="592"/>
      <c r="AL178" s="593"/>
      <c r="AM178" s="593"/>
      <c r="AN178" s="594"/>
      <c r="AO178" s="594"/>
      <c r="AP178" s="595"/>
      <c r="AQ178" s="595"/>
      <c r="AR178" s="596"/>
      <c r="AS178" s="596"/>
      <c r="AT178" s="596"/>
      <c r="AU178" s="597"/>
      <c r="AV178" s="597"/>
      <c r="AW178" s="597"/>
      <c r="AX178" s="597"/>
      <c r="AY178" s="588"/>
      <c r="AZ178" s="598"/>
      <c r="BA178" s="599"/>
      <c r="BB178" s="599"/>
      <c r="BC178" s="599"/>
      <c r="BD178" s="599"/>
      <c r="BE178" s="600"/>
      <c r="BF178" s="601"/>
      <c r="BG178" s="602"/>
      <c r="BH178" s="600"/>
      <c r="BI178" s="600"/>
      <c r="BJ178" s="600"/>
      <c r="BK178" s="600"/>
    </row>
    <row r="179" spans="11:63" ht="16.5" hidden="1" customHeight="1">
      <c r="K179" s="406"/>
      <c r="L179" s="407"/>
      <c r="M179" s="407"/>
      <c r="N179" s="1182" t="s">
        <v>272</v>
      </c>
      <c r="O179" s="1182"/>
      <c r="P179" s="408"/>
      <c r="Q179" s="1182" t="s">
        <v>269</v>
      </c>
      <c r="R179" s="1182"/>
      <c r="S179" s="1179"/>
      <c r="AC179" s="588"/>
      <c r="AD179" s="589"/>
      <c r="AE179" s="589"/>
      <c r="AF179" s="590"/>
      <c r="AG179" s="590"/>
      <c r="AH179" s="591"/>
      <c r="AI179" s="591"/>
      <c r="AJ179" s="592"/>
      <c r="AK179" s="592"/>
      <c r="AL179" s="593"/>
      <c r="AM179" s="593"/>
      <c r="AN179" s="594"/>
      <c r="AO179" s="594"/>
      <c r="AP179" s="595"/>
      <c r="AQ179" s="595"/>
      <c r="AR179" s="596"/>
      <c r="AS179" s="596"/>
      <c r="AT179" s="596"/>
      <c r="AU179" s="597"/>
      <c r="AV179" s="597"/>
      <c r="AW179" s="597"/>
      <c r="AX179" s="597"/>
      <c r="AY179" s="588"/>
      <c r="AZ179" s="598"/>
      <c r="BA179" s="599"/>
      <c r="BB179" s="599"/>
      <c r="BC179" s="599"/>
      <c r="BD179" s="599"/>
      <c r="BE179" s="600"/>
      <c r="BF179" s="601"/>
      <c r="BG179" s="602"/>
      <c r="BH179" s="600"/>
      <c r="BI179" s="600"/>
      <c r="BJ179" s="600"/>
      <c r="BK179" s="600"/>
    </row>
    <row r="180" spans="11:63" ht="16.5" hidden="1" customHeight="1">
      <c r="K180" s="406"/>
      <c r="L180" s="407"/>
      <c r="M180" s="407"/>
      <c r="N180" s="1182" t="s">
        <v>273</v>
      </c>
      <c r="O180" s="1182"/>
      <c r="P180" s="408"/>
      <c r="Q180" s="1182" t="s">
        <v>270</v>
      </c>
      <c r="R180" s="1182"/>
      <c r="S180" s="1179"/>
      <c r="AC180" s="588"/>
      <c r="AD180" s="589"/>
      <c r="AE180" s="589"/>
      <c r="AF180" s="590"/>
      <c r="AG180" s="590"/>
      <c r="AH180" s="591"/>
      <c r="AI180" s="591"/>
      <c r="AJ180" s="592"/>
      <c r="AK180" s="592"/>
      <c r="AL180" s="593"/>
      <c r="AM180" s="593"/>
      <c r="AN180" s="594"/>
      <c r="AO180" s="594"/>
      <c r="AP180" s="595"/>
      <c r="AQ180" s="595"/>
      <c r="AR180" s="596"/>
      <c r="AS180" s="596"/>
      <c r="AT180" s="596"/>
      <c r="AU180" s="597"/>
      <c r="AV180" s="597"/>
      <c r="AW180" s="597"/>
      <c r="AX180" s="597"/>
      <c r="AY180" s="588"/>
      <c r="AZ180" s="598"/>
      <c r="BA180" s="599"/>
      <c r="BB180" s="599"/>
      <c r="BC180" s="599"/>
      <c r="BD180" s="599"/>
      <c r="BE180" s="600"/>
      <c r="BF180" s="601"/>
      <c r="BG180" s="602"/>
      <c r="BH180" s="600"/>
      <c r="BI180" s="600"/>
      <c r="BJ180" s="600"/>
      <c r="BK180" s="600"/>
    </row>
    <row r="181" spans="11:63" ht="16.5" hidden="1" customHeight="1">
      <c r="K181" s="406"/>
      <c r="L181" s="407"/>
      <c r="M181" s="407"/>
      <c r="N181" s="1182" t="s">
        <v>274</v>
      </c>
      <c r="O181" s="1182"/>
      <c r="P181" s="408"/>
      <c r="Q181" s="1182" t="s">
        <v>271</v>
      </c>
      <c r="R181" s="1182"/>
      <c r="S181" s="1179"/>
      <c r="AC181" s="588"/>
      <c r="AD181" s="589"/>
      <c r="AE181" s="589"/>
      <c r="AF181" s="590"/>
      <c r="AG181" s="590"/>
      <c r="AH181" s="591"/>
      <c r="AI181" s="591"/>
      <c r="AJ181" s="592"/>
      <c r="AK181" s="592"/>
      <c r="AL181" s="593"/>
      <c r="AM181" s="593"/>
      <c r="AN181" s="594"/>
      <c r="AO181" s="594"/>
      <c r="AP181" s="595"/>
      <c r="AQ181" s="595"/>
      <c r="AR181" s="596"/>
      <c r="AS181" s="596"/>
      <c r="AT181" s="596"/>
      <c r="AU181" s="597"/>
      <c r="AV181" s="597"/>
      <c r="AW181" s="597"/>
      <c r="AX181" s="597"/>
      <c r="AY181" s="588"/>
      <c r="AZ181" s="598"/>
      <c r="BA181" s="599"/>
      <c r="BB181" s="599"/>
      <c r="BC181" s="599"/>
      <c r="BD181" s="599"/>
      <c r="BE181" s="600"/>
      <c r="BF181" s="601"/>
      <c r="BG181" s="602"/>
      <c r="BH181" s="600"/>
      <c r="BI181" s="600"/>
      <c r="BJ181" s="600"/>
      <c r="BK181" s="600"/>
    </row>
    <row r="182" spans="11:63" ht="16.5" hidden="1" customHeight="1">
      <c r="K182" s="406"/>
      <c r="L182" s="407"/>
      <c r="M182" s="407"/>
      <c r="N182" s="1182" t="s">
        <v>275</v>
      </c>
      <c r="O182" s="1182"/>
      <c r="P182" s="408"/>
      <c r="Q182" s="1182" t="s">
        <v>272</v>
      </c>
      <c r="R182" s="1182"/>
      <c r="S182" s="1179"/>
      <c r="AC182" s="588"/>
      <c r="AD182" s="589"/>
      <c r="AE182" s="589"/>
      <c r="AF182" s="590"/>
      <c r="AG182" s="590"/>
      <c r="AH182" s="591"/>
      <c r="AI182" s="591"/>
      <c r="AJ182" s="592"/>
      <c r="AK182" s="592"/>
      <c r="AL182" s="593"/>
      <c r="AM182" s="593"/>
      <c r="AN182" s="594"/>
      <c r="AO182" s="594"/>
      <c r="AP182" s="595"/>
      <c r="AQ182" s="595"/>
      <c r="AR182" s="596"/>
      <c r="AS182" s="596"/>
      <c r="AT182" s="596"/>
      <c r="AU182" s="597"/>
      <c r="AV182" s="597"/>
      <c r="AW182" s="597"/>
      <c r="AX182" s="597"/>
      <c r="AY182" s="588"/>
      <c r="AZ182" s="598"/>
      <c r="BA182" s="599"/>
      <c r="BB182" s="599"/>
      <c r="BC182" s="599"/>
      <c r="BD182" s="599"/>
      <c r="BE182" s="600"/>
      <c r="BF182" s="601"/>
      <c r="BG182" s="602"/>
      <c r="BH182" s="600"/>
      <c r="BI182" s="600"/>
      <c r="BJ182" s="600"/>
      <c r="BK182" s="600"/>
    </row>
    <row r="183" spans="11:63" ht="16.5" hidden="1" customHeight="1">
      <c r="K183" s="406"/>
      <c r="L183" s="407"/>
      <c r="M183" s="407"/>
      <c r="N183" s="1182" t="s">
        <v>276</v>
      </c>
      <c r="O183" s="1182"/>
      <c r="P183" s="408"/>
      <c r="Q183" s="1182" t="s">
        <v>273</v>
      </c>
      <c r="R183" s="1182"/>
      <c r="S183" s="1179"/>
      <c r="AC183" s="588"/>
      <c r="AD183" s="589"/>
      <c r="AE183" s="589"/>
      <c r="AF183" s="590"/>
      <c r="AG183" s="590"/>
      <c r="AH183" s="591"/>
      <c r="AI183" s="591"/>
      <c r="AJ183" s="592"/>
      <c r="AK183" s="592"/>
      <c r="AL183" s="593"/>
      <c r="AM183" s="593"/>
      <c r="AN183" s="594"/>
      <c r="AO183" s="594"/>
      <c r="AP183" s="595"/>
      <c r="AQ183" s="595"/>
      <c r="AR183" s="596"/>
      <c r="AS183" s="596"/>
      <c r="AT183" s="596"/>
      <c r="AU183" s="597"/>
      <c r="AV183" s="597"/>
      <c r="AW183" s="597"/>
      <c r="AX183" s="597"/>
      <c r="AY183" s="588"/>
      <c r="AZ183" s="598"/>
      <c r="BA183" s="599"/>
      <c r="BB183" s="599"/>
      <c r="BC183" s="599"/>
      <c r="BD183" s="599"/>
      <c r="BE183" s="600"/>
      <c r="BF183" s="601"/>
      <c r="BG183" s="602"/>
      <c r="BH183" s="600"/>
      <c r="BI183" s="600"/>
      <c r="BJ183" s="600"/>
      <c r="BK183" s="600"/>
    </row>
    <row r="184" spans="11:63" ht="16.5" hidden="1" customHeight="1">
      <c r="K184" s="406"/>
      <c r="L184" s="407"/>
      <c r="M184" s="407"/>
      <c r="N184" s="1182" t="s">
        <v>277</v>
      </c>
      <c r="O184" s="1182"/>
      <c r="P184" s="408"/>
      <c r="Q184" s="1182" t="s">
        <v>274</v>
      </c>
      <c r="R184" s="1182"/>
      <c r="S184" s="1179"/>
      <c r="AC184" s="588"/>
      <c r="AD184" s="589"/>
      <c r="AE184" s="589"/>
      <c r="AF184" s="590"/>
      <c r="AG184" s="590"/>
      <c r="AH184" s="591"/>
      <c r="AI184" s="591"/>
      <c r="AJ184" s="592"/>
      <c r="AK184" s="592"/>
      <c r="AL184" s="593"/>
      <c r="AM184" s="593"/>
      <c r="AN184" s="594"/>
      <c r="AO184" s="594"/>
      <c r="AP184" s="595"/>
      <c r="AQ184" s="595"/>
      <c r="AR184" s="596"/>
      <c r="AS184" s="596"/>
      <c r="AT184" s="596"/>
      <c r="AU184" s="597"/>
      <c r="AV184" s="597"/>
      <c r="AW184" s="597"/>
      <c r="AX184" s="597"/>
      <c r="AY184" s="588"/>
      <c r="AZ184" s="598"/>
      <c r="BA184" s="599"/>
      <c r="BB184" s="599"/>
      <c r="BC184" s="599"/>
      <c r="BD184" s="599"/>
      <c r="BE184" s="600"/>
      <c r="BF184" s="601"/>
      <c r="BG184" s="602"/>
      <c r="BH184" s="600"/>
      <c r="BI184" s="600"/>
      <c r="BJ184" s="600"/>
      <c r="BK184" s="600"/>
    </row>
    <row r="185" spans="11:63" ht="16.5" hidden="1" customHeight="1">
      <c r="K185" s="406"/>
      <c r="L185" s="407"/>
      <c r="M185" s="407"/>
      <c r="N185" s="1182" t="s">
        <v>260</v>
      </c>
      <c r="O185" s="1182"/>
      <c r="P185" s="408"/>
      <c r="Q185" s="1182" t="s">
        <v>275</v>
      </c>
      <c r="R185" s="1182"/>
      <c r="S185" s="1179"/>
      <c r="AC185" s="588"/>
      <c r="AD185" s="589"/>
      <c r="AE185" s="589"/>
      <c r="AF185" s="590"/>
      <c r="AG185" s="590"/>
      <c r="AH185" s="591"/>
      <c r="AI185" s="591"/>
      <c r="AJ185" s="592"/>
      <c r="AK185" s="592"/>
      <c r="AL185" s="593"/>
      <c r="AM185" s="593"/>
      <c r="AN185" s="594"/>
      <c r="AO185" s="594"/>
      <c r="AP185" s="595"/>
      <c r="AQ185" s="595"/>
      <c r="AR185" s="596"/>
      <c r="AS185" s="596"/>
      <c r="AT185" s="596"/>
      <c r="AU185" s="597"/>
      <c r="AV185" s="597"/>
      <c r="AW185" s="597"/>
      <c r="AX185" s="597"/>
      <c r="AY185" s="588"/>
      <c r="AZ185" s="598"/>
      <c r="BA185" s="599"/>
      <c r="BB185" s="599"/>
      <c r="BC185" s="599"/>
      <c r="BD185" s="599"/>
      <c r="BE185" s="600"/>
      <c r="BF185" s="601"/>
      <c r="BG185" s="602"/>
      <c r="BH185" s="600"/>
      <c r="BI185" s="600"/>
      <c r="BJ185" s="600"/>
      <c r="BK185" s="600"/>
    </row>
    <row r="186" spans="11:63" ht="16.5" hidden="1" customHeight="1">
      <c r="K186" s="406"/>
      <c r="L186" s="407"/>
      <c r="M186" s="407"/>
      <c r="N186" s="1182" t="s">
        <v>278</v>
      </c>
      <c r="O186" s="1182"/>
      <c r="P186" s="408"/>
      <c r="Q186" s="1182" t="s">
        <v>276</v>
      </c>
      <c r="R186" s="1182"/>
      <c r="S186" s="1179"/>
      <c r="AC186" s="588"/>
      <c r="AD186" s="589"/>
      <c r="AE186" s="589"/>
      <c r="AF186" s="590"/>
      <c r="AG186" s="590"/>
      <c r="AH186" s="591"/>
      <c r="AI186" s="591"/>
      <c r="AJ186" s="592"/>
      <c r="AK186" s="592"/>
      <c r="AL186" s="593"/>
      <c r="AM186" s="593"/>
      <c r="AN186" s="594"/>
      <c r="AO186" s="594"/>
      <c r="AP186" s="595"/>
      <c r="AQ186" s="595"/>
      <c r="AR186" s="596"/>
      <c r="AS186" s="596"/>
      <c r="AT186" s="596"/>
      <c r="AU186" s="597"/>
      <c r="AV186" s="597"/>
      <c r="AW186" s="597"/>
      <c r="AX186" s="597"/>
      <c r="AY186" s="588"/>
      <c r="AZ186" s="598"/>
      <c r="BA186" s="599"/>
      <c r="BB186" s="599"/>
      <c r="BC186" s="599"/>
      <c r="BD186" s="599"/>
      <c r="BE186" s="600"/>
      <c r="BF186" s="601"/>
      <c r="BG186" s="602"/>
      <c r="BH186" s="600"/>
      <c r="BI186" s="600"/>
      <c r="BJ186" s="600"/>
      <c r="BK186" s="600"/>
    </row>
    <row r="187" spans="11:63" ht="16.5" hidden="1" customHeight="1">
      <c r="K187" s="406"/>
      <c r="L187" s="407"/>
      <c r="M187" s="407"/>
      <c r="N187" s="1182" t="s">
        <v>279</v>
      </c>
      <c r="O187" s="1182"/>
      <c r="P187" s="408"/>
      <c r="Q187" s="1182" t="s">
        <v>277</v>
      </c>
      <c r="R187" s="1182"/>
      <c r="S187" s="1179"/>
      <c r="AC187" s="588"/>
      <c r="AD187" s="589"/>
      <c r="AE187" s="589"/>
      <c r="AF187" s="590"/>
      <c r="AG187" s="590"/>
      <c r="AH187" s="591"/>
      <c r="AI187" s="591"/>
      <c r="AJ187" s="592"/>
      <c r="AK187" s="592"/>
      <c r="AL187" s="593"/>
      <c r="AM187" s="593"/>
      <c r="AN187" s="594"/>
      <c r="AO187" s="594"/>
      <c r="AP187" s="595"/>
      <c r="AQ187" s="595"/>
      <c r="AR187" s="596"/>
      <c r="AS187" s="596"/>
      <c r="AT187" s="596"/>
      <c r="AU187" s="597"/>
      <c r="AV187" s="597"/>
      <c r="AW187" s="597"/>
      <c r="AX187" s="597"/>
      <c r="AY187" s="588"/>
      <c r="AZ187" s="598"/>
      <c r="BA187" s="599"/>
      <c r="BB187" s="599"/>
      <c r="BC187" s="599"/>
      <c r="BD187" s="599"/>
      <c r="BE187" s="600"/>
      <c r="BF187" s="601"/>
      <c r="BG187" s="602"/>
      <c r="BH187" s="600"/>
      <c r="BI187" s="600"/>
      <c r="BJ187" s="600"/>
      <c r="BK187" s="600"/>
    </row>
    <row r="188" spans="11:63" ht="16.5" hidden="1" customHeight="1">
      <c r="K188" s="406"/>
      <c r="L188" s="407"/>
      <c r="M188" s="407"/>
      <c r="N188" s="1182" t="s">
        <v>280</v>
      </c>
      <c r="O188" s="1182"/>
      <c r="P188" s="408"/>
      <c r="Q188" s="1182" t="s">
        <v>260</v>
      </c>
      <c r="R188" s="1182"/>
      <c r="S188" s="1179"/>
      <c r="AC188" s="588"/>
      <c r="AD188" s="589"/>
      <c r="AE188" s="589"/>
      <c r="AF188" s="590"/>
      <c r="AG188" s="590"/>
      <c r="AH188" s="591"/>
      <c r="AI188" s="591"/>
      <c r="AJ188" s="592"/>
      <c r="AK188" s="592"/>
      <c r="AL188" s="593"/>
      <c r="AM188" s="593"/>
      <c r="AN188" s="594"/>
      <c r="AO188" s="594"/>
      <c r="AP188" s="595"/>
      <c r="AQ188" s="595"/>
      <c r="AR188" s="596"/>
      <c r="AS188" s="596"/>
      <c r="AT188" s="596"/>
      <c r="AU188" s="597"/>
      <c r="AV188" s="597"/>
      <c r="AW188" s="597"/>
      <c r="AX188" s="597"/>
      <c r="AY188" s="588"/>
      <c r="AZ188" s="598"/>
      <c r="BA188" s="599"/>
      <c r="BB188" s="599"/>
      <c r="BC188" s="599"/>
      <c r="BD188" s="599"/>
      <c r="BE188" s="600"/>
      <c r="BF188" s="601"/>
      <c r="BG188" s="602"/>
      <c r="BH188" s="600"/>
      <c r="BI188" s="600"/>
      <c r="BJ188" s="600"/>
      <c r="BK188" s="600"/>
    </row>
    <row r="189" spans="11:63" ht="16.5" hidden="1" customHeight="1">
      <c r="K189" s="406"/>
      <c r="L189" s="407"/>
      <c r="M189" s="407"/>
      <c r="N189" s="1182" t="s">
        <v>281</v>
      </c>
      <c r="O189" s="1182"/>
      <c r="P189" s="408"/>
      <c r="Q189" s="1182" t="s">
        <v>278</v>
      </c>
      <c r="R189" s="1182"/>
      <c r="S189" s="1179"/>
      <c r="AC189" s="588"/>
      <c r="AD189" s="589"/>
      <c r="AE189" s="589"/>
      <c r="AF189" s="590"/>
      <c r="AG189" s="590"/>
      <c r="AH189" s="591"/>
      <c r="AI189" s="591"/>
      <c r="AJ189" s="592"/>
      <c r="AK189" s="592"/>
      <c r="AL189" s="593"/>
      <c r="AM189" s="593"/>
      <c r="AN189" s="594"/>
      <c r="AO189" s="594"/>
      <c r="AP189" s="595"/>
      <c r="AQ189" s="595"/>
      <c r="AR189" s="596"/>
      <c r="AS189" s="596"/>
      <c r="AT189" s="596"/>
      <c r="AU189" s="597"/>
      <c r="AV189" s="597"/>
      <c r="AW189" s="597"/>
      <c r="AX189" s="597"/>
      <c r="AY189" s="588"/>
      <c r="AZ189" s="598"/>
      <c r="BA189" s="599"/>
      <c r="BB189" s="599"/>
      <c r="BC189" s="599"/>
      <c r="BD189" s="599"/>
      <c r="BE189" s="600"/>
      <c r="BF189" s="601"/>
      <c r="BG189" s="602"/>
      <c r="BH189" s="600"/>
      <c r="BI189" s="600"/>
      <c r="BJ189" s="600"/>
      <c r="BK189" s="600"/>
    </row>
    <row r="190" spans="11:63" ht="16.5" hidden="1" customHeight="1">
      <c r="K190" s="406"/>
      <c r="L190" s="407"/>
      <c r="M190" s="407"/>
      <c r="N190" s="1182" t="s">
        <v>282</v>
      </c>
      <c r="O190" s="1182"/>
      <c r="P190" s="408"/>
      <c r="Q190" s="1182" t="s">
        <v>279</v>
      </c>
      <c r="R190" s="1182"/>
      <c r="S190" s="1179"/>
      <c r="AC190" s="588"/>
      <c r="AD190" s="589"/>
      <c r="AE190" s="589"/>
      <c r="AF190" s="590"/>
      <c r="AG190" s="590"/>
      <c r="AH190" s="591"/>
      <c r="AI190" s="591"/>
      <c r="AJ190" s="592"/>
      <c r="AK190" s="592"/>
      <c r="AL190" s="593"/>
      <c r="AM190" s="593"/>
      <c r="AN190" s="594"/>
      <c r="AO190" s="594"/>
      <c r="AP190" s="595"/>
      <c r="AQ190" s="595"/>
      <c r="AR190" s="596"/>
      <c r="AS190" s="596"/>
      <c r="AT190" s="596"/>
      <c r="AU190" s="597"/>
      <c r="AV190" s="597"/>
      <c r="AW190" s="597"/>
      <c r="AX190" s="597"/>
      <c r="AY190" s="588"/>
      <c r="AZ190" s="598"/>
      <c r="BA190" s="599"/>
      <c r="BB190" s="599"/>
      <c r="BC190" s="599"/>
      <c r="BD190" s="599"/>
      <c r="BE190" s="600"/>
      <c r="BF190" s="601"/>
      <c r="BG190" s="602"/>
      <c r="BH190" s="600"/>
      <c r="BI190" s="600"/>
      <c r="BJ190" s="600"/>
      <c r="BK190" s="600"/>
    </row>
    <row r="191" spans="11:63" ht="16.5" hidden="1" customHeight="1">
      <c r="K191" s="406"/>
      <c r="L191" s="407"/>
      <c r="M191" s="407"/>
      <c r="N191" s="1182" t="s">
        <v>283</v>
      </c>
      <c r="O191" s="1182"/>
      <c r="P191" s="408"/>
      <c r="Q191" s="1182" t="s">
        <v>280</v>
      </c>
      <c r="R191" s="1182"/>
      <c r="S191" s="1179"/>
      <c r="AC191" s="588"/>
      <c r="AD191" s="589"/>
      <c r="AE191" s="589"/>
      <c r="AF191" s="590"/>
      <c r="AG191" s="590"/>
      <c r="AH191" s="591"/>
      <c r="AI191" s="591"/>
      <c r="AJ191" s="592"/>
      <c r="AK191" s="592"/>
      <c r="AL191" s="593"/>
      <c r="AM191" s="593"/>
      <c r="AN191" s="594"/>
      <c r="AO191" s="594"/>
      <c r="AP191" s="595"/>
      <c r="AQ191" s="595"/>
      <c r="AR191" s="596"/>
      <c r="AS191" s="596"/>
      <c r="AT191" s="596"/>
      <c r="AU191" s="597"/>
      <c r="AV191" s="597"/>
      <c r="AW191" s="597"/>
      <c r="AX191" s="597"/>
      <c r="AY191" s="588"/>
      <c r="AZ191" s="598"/>
      <c r="BA191" s="599"/>
      <c r="BB191" s="599"/>
      <c r="BC191" s="599"/>
      <c r="BD191" s="599"/>
      <c r="BE191" s="600"/>
      <c r="BF191" s="601"/>
      <c r="BG191" s="602"/>
      <c r="BH191" s="600"/>
      <c r="BI191" s="600"/>
      <c r="BJ191" s="600"/>
      <c r="BK191" s="600"/>
    </row>
    <row r="192" spans="11:63" ht="16.5" hidden="1" customHeight="1">
      <c r="K192" s="406"/>
      <c r="L192" s="407"/>
      <c r="M192" s="407"/>
      <c r="N192" s="1182" t="s">
        <v>284</v>
      </c>
      <c r="O192" s="1182"/>
      <c r="P192" s="408"/>
      <c r="Q192" s="1182" t="s">
        <v>281</v>
      </c>
      <c r="R192" s="1182"/>
      <c r="S192" s="1179"/>
      <c r="AC192" s="588"/>
      <c r="AD192" s="589"/>
      <c r="AE192" s="589"/>
      <c r="AF192" s="590"/>
      <c r="AG192" s="590"/>
      <c r="AH192" s="591"/>
      <c r="AI192" s="591"/>
      <c r="AJ192" s="592"/>
      <c r="AK192" s="592"/>
      <c r="AL192" s="593"/>
      <c r="AM192" s="593"/>
      <c r="AN192" s="594"/>
      <c r="AO192" s="594"/>
      <c r="AP192" s="595"/>
      <c r="AQ192" s="595"/>
      <c r="AR192" s="596"/>
      <c r="AS192" s="596"/>
      <c r="AT192" s="596"/>
      <c r="AU192" s="597"/>
      <c r="AV192" s="597"/>
      <c r="AW192" s="597"/>
      <c r="AX192" s="597"/>
      <c r="AY192" s="588"/>
      <c r="AZ192" s="598"/>
      <c r="BA192" s="599"/>
      <c r="BB192" s="599"/>
      <c r="BC192" s="599"/>
      <c r="BD192" s="599"/>
      <c r="BE192" s="600"/>
      <c r="BF192" s="601"/>
      <c r="BG192" s="602"/>
      <c r="BH192" s="600"/>
      <c r="BI192" s="600"/>
      <c r="BJ192" s="600"/>
      <c r="BK192" s="600"/>
    </row>
    <row r="193" spans="11:63" ht="16.5" hidden="1" customHeight="1">
      <c r="K193" s="406"/>
      <c r="L193" s="407"/>
      <c r="M193" s="407"/>
      <c r="N193" s="1182" t="s">
        <v>285</v>
      </c>
      <c r="O193" s="1182"/>
      <c r="P193" s="408"/>
      <c r="Q193" s="1182" t="s">
        <v>282</v>
      </c>
      <c r="R193" s="1182"/>
      <c r="S193" s="1179"/>
      <c r="AC193" s="588"/>
      <c r="AD193" s="589"/>
      <c r="AE193" s="589"/>
      <c r="AF193" s="590"/>
      <c r="AG193" s="590"/>
      <c r="AH193" s="591"/>
      <c r="AI193" s="591"/>
      <c r="AJ193" s="592"/>
      <c r="AK193" s="592"/>
      <c r="AL193" s="593"/>
      <c r="AM193" s="593"/>
      <c r="AN193" s="594"/>
      <c r="AO193" s="594"/>
      <c r="AP193" s="595"/>
      <c r="AQ193" s="595"/>
      <c r="AR193" s="596"/>
      <c r="AS193" s="596"/>
      <c r="AT193" s="596"/>
      <c r="AU193" s="597"/>
      <c r="AV193" s="597"/>
      <c r="AW193" s="597"/>
      <c r="AX193" s="597"/>
      <c r="AY193" s="588"/>
      <c r="AZ193" s="598"/>
      <c r="BA193" s="599"/>
      <c r="BB193" s="599"/>
      <c r="BC193" s="599"/>
      <c r="BD193" s="599"/>
      <c r="BE193" s="600"/>
      <c r="BF193" s="601"/>
      <c r="BG193" s="602"/>
      <c r="BH193" s="600"/>
      <c r="BI193" s="600"/>
      <c r="BJ193" s="600"/>
      <c r="BK193" s="600"/>
    </row>
    <row r="194" spans="11:63" ht="16.5" hidden="1" customHeight="1">
      <c r="K194" s="406"/>
      <c r="L194" s="407"/>
      <c r="M194" s="407"/>
      <c r="N194" s="1182" t="s">
        <v>286</v>
      </c>
      <c r="O194" s="1182"/>
      <c r="P194" s="408"/>
      <c r="Q194" s="1182" t="s">
        <v>283</v>
      </c>
      <c r="R194" s="1182"/>
      <c r="S194" s="1179"/>
      <c r="AC194" s="588"/>
      <c r="AD194" s="589"/>
      <c r="AE194" s="589"/>
      <c r="AF194" s="590"/>
      <c r="AG194" s="590"/>
      <c r="AH194" s="591"/>
      <c r="AI194" s="591"/>
      <c r="AJ194" s="592"/>
      <c r="AK194" s="592"/>
      <c r="AL194" s="593"/>
      <c r="AM194" s="593"/>
      <c r="AN194" s="594"/>
      <c r="AO194" s="594"/>
      <c r="AP194" s="595"/>
      <c r="AQ194" s="595"/>
      <c r="AR194" s="596"/>
      <c r="AS194" s="596"/>
      <c r="AT194" s="596"/>
      <c r="AU194" s="597"/>
      <c r="AV194" s="597"/>
      <c r="AW194" s="597"/>
      <c r="AX194" s="597"/>
      <c r="AY194" s="588"/>
      <c r="AZ194" s="598"/>
      <c r="BA194" s="599"/>
      <c r="BB194" s="599"/>
      <c r="BC194" s="599"/>
      <c r="BD194" s="599"/>
      <c r="BE194" s="600"/>
      <c r="BF194" s="601"/>
      <c r="BG194" s="602"/>
      <c r="BH194" s="600"/>
      <c r="BI194" s="600"/>
      <c r="BJ194" s="600"/>
      <c r="BK194" s="600"/>
    </row>
    <row r="195" spans="11:63" ht="16.5" hidden="1" customHeight="1">
      <c r="K195" s="406"/>
      <c r="L195" s="407"/>
      <c r="M195" s="407"/>
      <c r="N195" s="1182" t="s">
        <v>287</v>
      </c>
      <c r="O195" s="1182"/>
      <c r="P195" s="408"/>
      <c r="Q195" s="1182" t="s">
        <v>284</v>
      </c>
      <c r="R195" s="1182"/>
      <c r="S195" s="1179"/>
      <c r="AC195" s="588"/>
      <c r="AD195" s="589"/>
      <c r="AE195" s="589"/>
      <c r="AF195" s="590"/>
      <c r="AG195" s="590"/>
      <c r="AH195" s="591"/>
      <c r="AI195" s="591"/>
      <c r="AJ195" s="592"/>
      <c r="AK195" s="592"/>
      <c r="AL195" s="593"/>
      <c r="AM195" s="593"/>
      <c r="AN195" s="594"/>
      <c r="AO195" s="594"/>
      <c r="AP195" s="595"/>
      <c r="AQ195" s="595"/>
      <c r="AR195" s="596"/>
      <c r="AS195" s="596"/>
      <c r="AT195" s="596"/>
      <c r="AU195" s="597"/>
      <c r="AV195" s="597"/>
      <c r="AW195" s="597"/>
      <c r="AX195" s="597"/>
      <c r="AY195" s="588"/>
      <c r="AZ195" s="598"/>
      <c r="BA195" s="599"/>
      <c r="BB195" s="599"/>
      <c r="BC195" s="599"/>
      <c r="BD195" s="599"/>
      <c r="BE195" s="600"/>
      <c r="BF195" s="601"/>
      <c r="BG195" s="602"/>
      <c r="BH195" s="600"/>
      <c r="BI195" s="600"/>
      <c r="BJ195" s="600"/>
      <c r="BK195" s="600"/>
    </row>
    <row r="196" spans="11:63" ht="16.5" hidden="1" customHeight="1">
      <c r="K196" s="406"/>
      <c r="L196" s="407"/>
      <c r="M196" s="407"/>
      <c r="N196" s="1182" t="s">
        <v>288</v>
      </c>
      <c r="O196" s="1182"/>
      <c r="P196" s="408"/>
      <c r="Q196" s="1182" t="s">
        <v>285</v>
      </c>
      <c r="R196" s="1182"/>
      <c r="S196" s="1179"/>
      <c r="AC196" s="588"/>
      <c r="AD196" s="589"/>
      <c r="AE196" s="589"/>
      <c r="AF196" s="590"/>
      <c r="AG196" s="590"/>
      <c r="AH196" s="591"/>
      <c r="AI196" s="591"/>
      <c r="AJ196" s="592"/>
      <c r="AK196" s="592"/>
      <c r="AL196" s="593"/>
      <c r="AM196" s="593"/>
      <c r="AN196" s="594"/>
      <c r="AO196" s="594"/>
      <c r="AP196" s="595"/>
      <c r="AQ196" s="595"/>
      <c r="AR196" s="596"/>
      <c r="AS196" s="596"/>
      <c r="AT196" s="596"/>
      <c r="AU196" s="597"/>
      <c r="AV196" s="597"/>
      <c r="AW196" s="597"/>
      <c r="AX196" s="597"/>
      <c r="AY196" s="588"/>
      <c r="AZ196" s="598"/>
      <c r="BA196" s="599"/>
      <c r="BB196" s="599"/>
      <c r="BC196" s="599"/>
      <c r="BD196" s="599"/>
      <c r="BE196" s="600"/>
      <c r="BF196" s="601"/>
      <c r="BG196" s="602"/>
      <c r="BH196" s="600"/>
      <c r="BI196" s="600"/>
      <c r="BJ196" s="600"/>
      <c r="BK196" s="600"/>
    </row>
    <row r="197" spans="11:63" ht="16.5" hidden="1" customHeight="1">
      <c r="K197" s="406"/>
      <c r="L197" s="407"/>
      <c r="M197" s="407"/>
      <c r="N197" s="1182" t="s">
        <v>289</v>
      </c>
      <c r="O197" s="1182"/>
      <c r="P197" s="408"/>
      <c r="Q197" s="1182" t="s">
        <v>286</v>
      </c>
      <c r="R197" s="1182"/>
      <c r="S197" s="1179"/>
      <c r="AC197" s="588"/>
      <c r="AD197" s="589"/>
      <c r="AE197" s="589"/>
      <c r="AF197" s="590"/>
      <c r="AG197" s="590"/>
      <c r="AH197" s="591"/>
      <c r="AI197" s="591"/>
      <c r="AJ197" s="592"/>
      <c r="AK197" s="592"/>
      <c r="AL197" s="593"/>
      <c r="AM197" s="593"/>
      <c r="AN197" s="594"/>
      <c r="AO197" s="594"/>
      <c r="AP197" s="595"/>
      <c r="AQ197" s="595"/>
      <c r="AR197" s="596"/>
      <c r="AS197" s="596"/>
      <c r="AT197" s="596"/>
      <c r="AU197" s="597"/>
      <c r="AV197" s="597"/>
      <c r="AW197" s="597"/>
      <c r="AX197" s="597"/>
      <c r="AY197" s="588"/>
      <c r="AZ197" s="598"/>
      <c r="BA197" s="599"/>
      <c r="BB197" s="599"/>
      <c r="BC197" s="599"/>
      <c r="BD197" s="599"/>
      <c r="BE197" s="600"/>
      <c r="BF197" s="601"/>
      <c r="BG197" s="602"/>
      <c r="BH197" s="600"/>
      <c r="BI197" s="600"/>
      <c r="BJ197" s="600"/>
      <c r="BK197" s="600"/>
    </row>
    <row r="198" spans="11:63" ht="16.5" hidden="1" customHeight="1">
      <c r="K198" s="406"/>
      <c r="L198" s="407"/>
      <c r="M198" s="407"/>
      <c r="N198" s="1182" t="s">
        <v>290</v>
      </c>
      <c r="O198" s="1182"/>
      <c r="P198" s="408"/>
      <c r="Q198" s="1182" t="s">
        <v>287</v>
      </c>
      <c r="R198" s="1182"/>
      <c r="S198" s="1179"/>
      <c r="AC198" s="588"/>
      <c r="AD198" s="589"/>
      <c r="AE198" s="589"/>
      <c r="AF198" s="590"/>
      <c r="AG198" s="590"/>
      <c r="AH198" s="591"/>
      <c r="AI198" s="591"/>
      <c r="AJ198" s="592"/>
      <c r="AK198" s="592"/>
      <c r="AL198" s="593"/>
      <c r="AM198" s="593"/>
      <c r="AN198" s="594"/>
      <c r="AO198" s="594"/>
      <c r="AP198" s="595"/>
      <c r="AQ198" s="595"/>
      <c r="AR198" s="596"/>
      <c r="AS198" s="596"/>
      <c r="AT198" s="596"/>
      <c r="AU198" s="597"/>
      <c r="AV198" s="597"/>
      <c r="AW198" s="597"/>
      <c r="AX198" s="597"/>
      <c r="AY198" s="588"/>
      <c r="AZ198" s="598"/>
      <c r="BA198" s="599"/>
      <c r="BB198" s="599"/>
      <c r="BC198" s="599"/>
      <c r="BD198" s="599"/>
      <c r="BE198" s="600"/>
      <c r="BF198" s="601"/>
      <c r="BG198" s="602"/>
      <c r="BH198" s="600"/>
      <c r="BI198" s="600"/>
      <c r="BJ198" s="600"/>
      <c r="BK198" s="600"/>
    </row>
    <row r="199" spans="11:63" ht="16.5" hidden="1" customHeight="1">
      <c r="K199" s="406"/>
      <c r="L199" s="407"/>
      <c r="M199" s="407"/>
      <c r="N199" s="1182" t="s">
        <v>221</v>
      </c>
      <c r="O199" s="1182"/>
      <c r="P199" s="408"/>
      <c r="Q199" s="1182" t="s">
        <v>288</v>
      </c>
      <c r="R199" s="1182"/>
      <c r="S199" s="1179"/>
      <c r="AC199" s="588"/>
      <c r="AD199" s="589"/>
      <c r="AE199" s="589"/>
      <c r="AF199" s="590"/>
      <c r="AG199" s="590"/>
      <c r="AH199" s="591"/>
      <c r="AI199" s="591"/>
      <c r="AJ199" s="592"/>
      <c r="AK199" s="592"/>
      <c r="AL199" s="593"/>
      <c r="AM199" s="593"/>
      <c r="AN199" s="594"/>
      <c r="AO199" s="594"/>
      <c r="AP199" s="595"/>
      <c r="AQ199" s="595"/>
      <c r="AR199" s="596"/>
      <c r="AS199" s="596"/>
      <c r="AT199" s="596"/>
      <c r="AU199" s="597"/>
      <c r="AV199" s="597"/>
      <c r="AW199" s="597"/>
      <c r="AX199" s="597"/>
      <c r="AY199" s="588"/>
      <c r="AZ199" s="598"/>
      <c r="BA199" s="599"/>
      <c r="BB199" s="599"/>
      <c r="BC199" s="599"/>
      <c r="BD199" s="599"/>
      <c r="BE199" s="600"/>
      <c r="BF199" s="601"/>
      <c r="BG199" s="602"/>
      <c r="BH199" s="600"/>
      <c r="BI199" s="600"/>
      <c r="BJ199" s="600"/>
      <c r="BK199" s="600"/>
    </row>
    <row r="200" spans="11:63" ht="16.5" hidden="1" customHeight="1">
      <c r="K200" s="406"/>
      <c r="L200" s="407"/>
      <c r="M200" s="407"/>
      <c r="N200" s="1182"/>
      <c r="O200" s="1182"/>
      <c r="P200" s="408"/>
      <c r="Q200" s="1182" t="s">
        <v>289</v>
      </c>
      <c r="R200" s="1182"/>
      <c r="S200" s="1179"/>
      <c r="AC200" s="588"/>
      <c r="AD200" s="589"/>
      <c r="AE200" s="589"/>
      <c r="AF200" s="590"/>
      <c r="AG200" s="590"/>
      <c r="AH200" s="591"/>
      <c r="AI200" s="591"/>
      <c r="AJ200" s="592"/>
      <c r="AK200" s="592"/>
      <c r="AL200" s="593"/>
      <c r="AM200" s="593"/>
      <c r="AN200" s="594"/>
      <c r="AO200" s="594"/>
      <c r="AP200" s="595"/>
      <c r="AQ200" s="595"/>
      <c r="AR200" s="596"/>
      <c r="AS200" s="596"/>
      <c r="AT200" s="596"/>
      <c r="AU200" s="597"/>
      <c r="AV200" s="597"/>
      <c r="AW200" s="597"/>
      <c r="AX200" s="597"/>
      <c r="AY200" s="588"/>
      <c r="AZ200" s="598"/>
      <c r="BA200" s="599"/>
      <c r="BB200" s="599"/>
      <c r="BC200" s="599"/>
      <c r="BD200" s="599"/>
      <c r="BE200" s="600"/>
      <c r="BF200" s="601"/>
      <c r="BG200" s="602"/>
      <c r="BH200" s="600"/>
      <c r="BI200" s="600"/>
      <c r="BJ200" s="600"/>
      <c r="BK200" s="600"/>
    </row>
    <row r="201" spans="11:63" ht="16.5" hidden="1" customHeight="1">
      <c r="K201" s="406"/>
      <c r="L201" s="407"/>
      <c r="M201" s="407"/>
      <c r="N201" s="1182"/>
      <c r="O201" s="1182"/>
      <c r="P201" s="408"/>
      <c r="Q201" s="1182" t="s">
        <v>290</v>
      </c>
      <c r="R201" s="1182"/>
      <c r="S201" s="1179"/>
      <c r="AC201" s="588"/>
      <c r="AD201" s="589"/>
      <c r="AE201" s="589"/>
      <c r="AF201" s="590"/>
      <c r="AG201" s="590"/>
      <c r="AH201" s="591"/>
      <c r="AI201" s="591"/>
      <c r="AJ201" s="592"/>
      <c r="AK201" s="592"/>
      <c r="AL201" s="593"/>
      <c r="AM201" s="593"/>
      <c r="AN201" s="594"/>
      <c r="AO201" s="594"/>
      <c r="AP201" s="595"/>
      <c r="AQ201" s="595"/>
      <c r="AR201" s="596"/>
      <c r="AS201" s="596"/>
      <c r="AT201" s="596"/>
      <c r="AU201" s="597"/>
      <c r="AV201" s="597"/>
      <c r="AW201" s="597"/>
      <c r="AX201" s="597"/>
      <c r="AY201" s="588"/>
      <c r="AZ201" s="598"/>
      <c r="BA201" s="599"/>
      <c r="BB201" s="599"/>
      <c r="BC201" s="599"/>
      <c r="BD201" s="599"/>
      <c r="BE201" s="600"/>
      <c r="BF201" s="601"/>
      <c r="BG201" s="602"/>
      <c r="BH201" s="600"/>
      <c r="BI201" s="600"/>
      <c r="BJ201" s="600"/>
      <c r="BK201" s="600"/>
    </row>
    <row r="202" spans="11:63" ht="16.5" hidden="1" customHeight="1">
      <c r="K202" s="406"/>
      <c r="L202" s="407"/>
      <c r="M202" s="407"/>
      <c r="N202" s="1182"/>
      <c r="O202" s="1182"/>
      <c r="P202" s="408"/>
      <c r="Q202" s="1182" t="s">
        <v>221</v>
      </c>
      <c r="R202" s="1182"/>
      <c r="S202" s="1179"/>
      <c r="AC202" s="588"/>
      <c r="AD202" s="589"/>
      <c r="AE202" s="589"/>
      <c r="AF202" s="590"/>
      <c r="AG202" s="590"/>
      <c r="AH202" s="591"/>
      <c r="AI202" s="591"/>
      <c r="AJ202" s="592"/>
      <c r="AK202" s="592"/>
      <c r="AL202" s="593"/>
      <c r="AM202" s="593"/>
      <c r="AN202" s="594"/>
      <c r="AO202" s="594"/>
      <c r="AP202" s="595"/>
      <c r="AQ202" s="595"/>
      <c r="AR202" s="596"/>
      <c r="AS202" s="596"/>
      <c r="AT202" s="596"/>
      <c r="AU202" s="597"/>
      <c r="AV202" s="597"/>
      <c r="AW202" s="597"/>
      <c r="AX202" s="597"/>
      <c r="AY202" s="588"/>
      <c r="AZ202" s="598"/>
      <c r="BA202" s="599"/>
      <c r="BB202" s="599"/>
      <c r="BC202" s="599"/>
      <c r="BD202" s="599"/>
      <c r="BE202" s="600"/>
      <c r="BF202" s="601"/>
      <c r="BG202" s="602"/>
      <c r="BH202" s="600"/>
      <c r="BI202" s="600"/>
      <c r="BJ202" s="600"/>
      <c r="BK202" s="600"/>
    </row>
    <row r="203" spans="11:63" ht="16.5" hidden="1" customHeight="1">
      <c r="K203" s="406"/>
      <c r="L203" s="407"/>
      <c r="M203" s="407"/>
      <c r="N203" s="1182"/>
      <c r="O203" s="1182"/>
      <c r="P203" s="408"/>
      <c r="Q203" s="1182"/>
      <c r="R203" s="1182"/>
      <c r="S203" s="1179"/>
      <c r="AC203" s="588"/>
      <c r="AD203" s="589"/>
      <c r="AE203" s="589"/>
      <c r="AF203" s="590"/>
      <c r="AG203" s="590"/>
      <c r="AH203" s="591"/>
      <c r="AI203" s="591"/>
      <c r="AJ203" s="592"/>
      <c r="AK203" s="592"/>
      <c r="AL203" s="593"/>
      <c r="AM203" s="593"/>
      <c r="AN203" s="594"/>
      <c r="AO203" s="594"/>
      <c r="AP203" s="595"/>
      <c r="AQ203" s="595"/>
      <c r="AR203" s="596"/>
      <c r="AS203" s="596"/>
      <c r="AT203" s="596"/>
      <c r="AU203" s="597"/>
      <c r="AV203" s="597"/>
      <c r="AW203" s="597"/>
      <c r="AX203" s="597"/>
      <c r="AY203" s="588"/>
      <c r="AZ203" s="598"/>
      <c r="BA203" s="599"/>
      <c r="BB203" s="599"/>
      <c r="BC203" s="599"/>
      <c r="BD203" s="599"/>
      <c r="BE203" s="600"/>
      <c r="BF203" s="601"/>
      <c r="BG203" s="602"/>
      <c r="BH203" s="600"/>
      <c r="BI203" s="600"/>
      <c r="BJ203" s="600"/>
      <c r="BK203" s="600"/>
    </row>
    <row r="204" spans="11:63" ht="16.5" hidden="1" customHeight="1">
      <c r="K204" s="406"/>
      <c r="L204" s="407"/>
      <c r="M204" s="407"/>
      <c r="N204" s="1182"/>
      <c r="O204" s="1182"/>
      <c r="P204" s="408"/>
      <c r="Q204" s="1182"/>
      <c r="R204" s="1182"/>
      <c r="S204" s="1179"/>
      <c r="AC204" s="588"/>
      <c r="AD204" s="589"/>
      <c r="AE204" s="589"/>
      <c r="AF204" s="590"/>
      <c r="AG204" s="590"/>
      <c r="AH204" s="591"/>
      <c r="AI204" s="591"/>
      <c r="AJ204" s="592"/>
      <c r="AK204" s="592"/>
      <c r="AL204" s="593"/>
      <c r="AM204" s="593"/>
      <c r="AN204" s="594"/>
      <c r="AO204" s="594"/>
      <c r="AP204" s="595"/>
      <c r="AQ204" s="595"/>
      <c r="AR204" s="596"/>
      <c r="AS204" s="596"/>
      <c r="AT204" s="596"/>
      <c r="AU204" s="597"/>
      <c r="AV204" s="597"/>
      <c r="AW204" s="597"/>
      <c r="AX204" s="597"/>
      <c r="AY204" s="588"/>
      <c r="AZ204" s="598"/>
      <c r="BA204" s="599"/>
      <c r="BB204" s="599"/>
      <c r="BC204" s="599"/>
      <c r="BD204" s="599"/>
      <c r="BE204" s="600"/>
      <c r="BF204" s="601"/>
      <c r="BG204" s="602"/>
      <c r="BH204" s="600"/>
      <c r="BI204" s="600"/>
      <c r="BJ204" s="600"/>
      <c r="BK204" s="600"/>
    </row>
    <row r="205" spans="11:63" ht="16.5" hidden="1" customHeight="1">
      <c r="K205" s="406"/>
      <c r="L205" s="407"/>
      <c r="M205" s="407"/>
      <c r="N205" s="1182"/>
      <c r="O205" s="1182"/>
      <c r="P205" s="408"/>
      <c r="Q205" s="1182"/>
      <c r="R205" s="1182"/>
      <c r="S205" s="1179"/>
      <c r="AC205" s="588"/>
      <c r="AD205" s="589"/>
      <c r="AE205" s="589"/>
      <c r="AF205" s="590"/>
      <c r="AG205" s="590"/>
      <c r="AH205" s="591"/>
      <c r="AI205" s="591"/>
      <c r="AJ205" s="592"/>
      <c r="AK205" s="592"/>
      <c r="AL205" s="593"/>
      <c r="AM205" s="593"/>
      <c r="AN205" s="594"/>
      <c r="AO205" s="594"/>
      <c r="AP205" s="595"/>
      <c r="AQ205" s="595"/>
      <c r="AR205" s="596"/>
      <c r="AS205" s="596"/>
      <c r="AT205" s="596"/>
      <c r="AU205" s="597"/>
      <c r="AV205" s="597"/>
      <c r="AW205" s="597"/>
      <c r="AX205" s="597"/>
      <c r="AY205" s="588"/>
      <c r="AZ205" s="598"/>
      <c r="BA205" s="599"/>
      <c r="BB205" s="599"/>
      <c r="BC205" s="599"/>
      <c r="BD205" s="599"/>
      <c r="BE205" s="600"/>
      <c r="BF205" s="601"/>
      <c r="BG205" s="602"/>
      <c r="BH205" s="600"/>
      <c r="BI205" s="600"/>
      <c r="BJ205" s="600"/>
      <c r="BK205" s="600"/>
    </row>
    <row r="206" spans="11:63" ht="16.5" hidden="1" customHeight="1">
      <c r="K206" s="406"/>
      <c r="L206" s="407"/>
      <c r="M206" s="407"/>
      <c r="N206" s="1182"/>
      <c r="O206" s="1182"/>
      <c r="P206" s="408"/>
      <c r="Q206" s="1182"/>
      <c r="R206" s="1182"/>
      <c r="S206" s="1179"/>
      <c r="AC206" s="588"/>
      <c r="AD206" s="589"/>
      <c r="AE206" s="589"/>
      <c r="AF206" s="590"/>
      <c r="AG206" s="590"/>
      <c r="AH206" s="591"/>
      <c r="AI206" s="591"/>
      <c r="AJ206" s="592"/>
      <c r="AK206" s="592"/>
      <c r="AL206" s="593"/>
      <c r="AM206" s="593"/>
      <c r="AN206" s="594"/>
      <c r="AO206" s="594"/>
      <c r="AP206" s="595"/>
      <c r="AQ206" s="595"/>
      <c r="AR206" s="596"/>
      <c r="AS206" s="596"/>
      <c r="AT206" s="596"/>
      <c r="AU206" s="597"/>
      <c r="AV206" s="597"/>
      <c r="AW206" s="597"/>
      <c r="AX206" s="597"/>
      <c r="AY206" s="588"/>
      <c r="AZ206" s="598"/>
      <c r="BA206" s="599"/>
      <c r="BB206" s="599"/>
      <c r="BC206" s="599"/>
      <c r="BD206" s="599"/>
      <c r="BE206" s="600"/>
      <c r="BF206" s="601"/>
      <c r="BG206" s="602"/>
      <c r="BH206" s="600"/>
      <c r="BI206" s="600"/>
      <c r="BJ206" s="600"/>
      <c r="BK206" s="600"/>
    </row>
    <row r="207" spans="11:63" ht="16.5" hidden="1" customHeight="1">
      <c r="K207" s="406"/>
      <c r="L207" s="407"/>
      <c r="M207" s="407"/>
      <c r="N207" s="1182"/>
      <c r="O207" s="1182"/>
      <c r="P207" s="408"/>
      <c r="Q207" s="1182"/>
      <c r="R207" s="1182"/>
      <c r="S207" s="1179"/>
      <c r="AC207" s="588"/>
      <c r="AD207" s="589"/>
      <c r="AE207" s="589"/>
      <c r="AF207" s="590"/>
      <c r="AG207" s="590"/>
      <c r="AH207" s="591"/>
      <c r="AI207" s="591"/>
      <c r="AJ207" s="592"/>
      <c r="AK207" s="592"/>
      <c r="AL207" s="593"/>
      <c r="AM207" s="593"/>
      <c r="AN207" s="594"/>
      <c r="AO207" s="594"/>
      <c r="AP207" s="595"/>
      <c r="AQ207" s="595"/>
      <c r="AR207" s="596"/>
      <c r="AS207" s="596"/>
      <c r="AT207" s="596"/>
      <c r="AU207" s="597"/>
      <c r="AV207" s="597"/>
      <c r="AW207" s="597"/>
      <c r="AX207" s="597"/>
      <c r="AY207" s="588"/>
      <c r="AZ207" s="598"/>
      <c r="BA207" s="599"/>
      <c r="BB207" s="599"/>
      <c r="BC207" s="599"/>
      <c r="BD207" s="599"/>
      <c r="BE207" s="600"/>
      <c r="BF207" s="601"/>
      <c r="BG207" s="602"/>
      <c r="BH207" s="600"/>
      <c r="BI207" s="600"/>
      <c r="BJ207" s="600"/>
      <c r="BK207" s="600"/>
    </row>
    <row r="208" spans="11:63" ht="16.5" hidden="1" customHeight="1">
      <c r="K208" s="406"/>
      <c r="L208" s="407"/>
      <c r="M208" s="407"/>
      <c r="N208" s="1182"/>
      <c r="O208" s="1182"/>
      <c r="P208" s="408"/>
      <c r="Q208" s="1182"/>
      <c r="R208" s="1182"/>
      <c r="S208" s="1179"/>
      <c r="AC208" s="588"/>
      <c r="AD208" s="589"/>
      <c r="AE208" s="589"/>
      <c r="AF208" s="590"/>
      <c r="AG208" s="590"/>
      <c r="AH208" s="591"/>
      <c r="AI208" s="591"/>
      <c r="AJ208" s="592"/>
      <c r="AK208" s="592"/>
      <c r="AL208" s="593"/>
      <c r="AM208" s="593"/>
      <c r="AN208" s="594"/>
      <c r="AO208" s="594"/>
      <c r="AP208" s="595"/>
      <c r="AQ208" s="595"/>
      <c r="AR208" s="596"/>
      <c r="AS208" s="596"/>
      <c r="AT208" s="596"/>
      <c r="AU208" s="597"/>
      <c r="AV208" s="597"/>
      <c r="AW208" s="597"/>
      <c r="AX208" s="597"/>
      <c r="AY208" s="588"/>
      <c r="AZ208" s="598"/>
      <c r="BA208" s="599"/>
      <c r="BB208" s="599"/>
      <c r="BC208" s="599"/>
      <c r="BD208" s="599"/>
      <c r="BE208" s="600"/>
      <c r="BF208" s="601"/>
      <c r="BG208" s="602"/>
      <c r="BH208" s="600"/>
      <c r="BI208" s="600"/>
      <c r="BJ208" s="600"/>
      <c r="BK208" s="600"/>
    </row>
    <row r="209" spans="1:134" ht="16.5" hidden="1" customHeight="1">
      <c r="K209" s="406"/>
      <c r="L209" s="407"/>
      <c r="M209" s="407"/>
      <c r="N209" s="1182"/>
      <c r="O209" s="1182"/>
      <c r="P209" s="408"/>
      <c r="Q209" s="1182"/>
      <c r="R209" s="1182"/>
      <c r="S209" s="1179"/>
      <c r="AC209" s="588"/>
      <c r="AD209" s="589"/>
      <c r="AE209" s="589"/>
      <c r="AF209" s="590"/>
      <c r="AG209" s="590"/>
      <c r="AH209" s="591"/>
      <c r="AI209" s="591"/>
      <c r="AJ209" s="592"/>
      <c r="AK209" s="592"/>
      <c r="AL209" s="593"/>
      <c r="AM209" s="593"/>
      <c r="AN209" s="594"/>
      <c r="AO209" s="594"/>
      <c r="AP209" s="595"/>
      <c r="AQ209" s="595"/>
      <c r="AR209" s="596"/>
      <c r="AS209" s="596"/>
      <c r="AT209" s="596"/>
      <c r="AU209" s="597"/>
      <c r="AV209" s="597"/>
      <c r="AW209" s="597"/>
      <c r="AX209" s="597"/>
      <c r="AY209" s="588"/>
      <c r="AZ209" s="598"/>
      <c r="BA209" s="599"/>
      <c r="BB209" s="599"/>
      <c r="BC209" s="599"/>
      <c r="BD209" s="599"/>
      <c r="BE209" s="600"/>
      <c r="BF209" s="601"/>
      <c r="BG209" s="602"/>
      <c r="BH209" s="600"/>
      <c r="BI209" s="600"/>
      <c r="BJ209" s="600"/>
      <c r="BK209" s="600"/>
    </row>
    <row r="210" spans="1:134" ht="16.5" hidden="1" customHeight="1">
      <c r="K210" s="406"/>
      <c r="L210" s="407"/>
      <c r="M210" s="407"/>
      <c r="N210" s="1182"/>
      <c r="O210" s="1182"/>
      <c r="P210" s="408"/>
      <c r="Q210" s="1182"/>
      <c r="R210" s="1182"/>
      <c r="S210" s="1179"/>
      <c r="AC210" s="588"/>
      <c r="AD210" s="589"/>
      <c r="AE210" s="589"/>
      <c r="AF210" s="590"/>
      <c r="AG210" s="590"/>
      <c r="AH210" s="591"/>
      <c r="AI210" s="591"/>
      <c r="AJ210" s="592"/>
      <c r="AK210" s="592"/>
      <c r="AL210" s="593"/>
      <c r="AM210" s="593"/>
      <c r="AN210" s="594"/>
      <c r="AO210" s="594"/>
      <c r="AP210" s="595"/>
      <c r="AQ210" s="595"/>
      <c r="AR210" s="596"/>
      <c r="AS210" s="596"/>
      <c r="AT210" s="596"/>
      <c r="AU210" s="597"/>
      <c r="AV210" s="597"/>
      <c r="AW210" s="597"/>
      <c r="AX210" s="597"/>
      <c r="AY210" s="588"/>
      <c r="AZ210" s="598"/>
      <c r="BA210" s="599"/>
      <c r="BB210" s="599"/>
      <c r="BC210" s="599"/>
      <c r="BD210" s="599"/>
      <c r="BE210" s="600"/>
      <c r="BF210" s="601"/>
      <c r="BG210" s="602"/>
      <c r="BH210" s="600"/>
      <c r="BI210" s="600"/>
      <c r="BJ210" s="600"/>
      <c r="BK210" s="600"/>
    </row>
    <row r="211" spans="1:134" ht="16.5" hidden="1" customHeight="1">
      <c r="K211" s="406"/>
      <c r="L211" s="407"/>
      <c r="M211" s="407"/>
      <c r="N211" s="1182"/>
      <c r="O211" s="1182"/>
      <c r="P211" s="408"/>
      <c r="Q211" s="1182"/>
      <c r="R211" s="1182"/>
      <c r="S211" s="1179"/>
      <c r="AC211" s="588"/>
      <c r="AD211" s="589"/>
      <c r="AE211" s="589"/>
      <c r="AF211" s="590"/>
      <c r="AG211" s="590"/>
      <c r="AH211" s="591"/>
      <c r="AI211" s="591"/>
      <c r="AJ211" s="592"/>
      <c r="AK211" s="592"/>
      <c r="AL211" s="593"/>
      <c r="AM211" s="593"/>
      <c r="AN211" s="594"/>
      <c r="AO211" s="594"/>
      <c r="AP211" s="595"/>
      <c r="AQ211" s="595"/>
      <c r="AR211" s="596"/>
      <c r="AS211" s="596"/>
      <c r="AT211" s="596"/>
      <c r="AU211" s="597"/>
      <c r="AV211" s="597"/>
      <c r="AW211" s="597"/>
      <c r="AX211" s="597"/>
      <c r="AY211" s="588"/>
      <c r="AZ211" s="598"/>
      <c r="BA211" s="599"/>
      <c r="BB211" s="599"/>
      <c r="BC211" s="599"/>
      <c r="BD211" s="599"/>
      <c r="BE211" s="600"/>
      <c r="BF211" s="601"/>
      <c r="BG211" s="602"/>
      <c r="BH211" s="600"/>
      <c r="BI211" s="600"/>
      <c r="BJ211" s="600"/>
      <c r="BK211" s="600"/>
    </row>
    <row r="212" spans="1:134" ht="16.5" hidden="1" customHeight="1">
      <c r="K212" s="406"/>
      <c r="L212" s="407"/>
      <c r="M212" s="407"/>
      <c r="N212" s="1182"/>
      <c r="O212" s="1182"/>
      <c r="P212" s="408"/>
      <c r="Q212" s="1182"/>
      <c r="R212" s="1182"/>
      <c r="S212" s="1179"/>
      <c r="AC212" s="588"/>
      <c r="AD212" s="589"/>
      <c r="AE212" s="589"/>
      <c r="AF212" s="590"/>
      <c r="AG212" s="590"/>
      <c r="AH212" s="591"/>
      <c r="AI212" s="591"/>
      <c r="AJ212" s="592"/>
      <c r="AK212" s="592"/>
      <c r="AL212" s="593"/>
      <c r="AM212" s="593"/>
      <c r="AN212" s="594"/>
      <c r="AO212" s="594"/>
      <c r="AP212" s="595"/>
      <c r="AQ212" s="595"/>
      <c r="AR212" s="596"/>
      <c r="AS212" s="596"/>
      <c r="AT212" s="596"/>
      <c r="AU212" s="597"/>
      <c r="AV212" s="597"/>
      <c r="AW212" s="597"/>
      <c r="AX212" s="597"/>
      <c r="AY212" s="588"/>
      <c r="AZ212" s="598"/>
      <c r="BA212" s="599"/>
      <c r="BB212" s="599"/>
      <c r="BC212" s="599"/>
      <c r="BD212" s="599"/>
      <c r="BE212" s="600"/>
      <c r="BF212" s="601"/>
      <c r="BG212" s="602"/>
      <c r="BH212" s="600"/>
      <c r="BI212" s="600"/>
      <c r="BJ212" s="600"/>
      <c r="BK212" s="600"/>
    </row>
    <row r="213" spans="1:134" ht="12" customHeight="1">
      <c r="A213" s="423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504"/>
      <c r="M213" s="504"/>
      <c r="N213" s="504"/>
      <c r="O213" s="504"/>
      <c r="P213" s="505"/>
      <c r="Q213" s="505"/>
      <c r="R213" s="504"/>
      <c r="S213" s="423"/>
      <c r="T213" s="423"/>
      <c r="U213" s="423"/>
      <c r="V213" s="423"/>
      <c r="W213" s="423"/>
      <c r="X213" s="423"/>
      <c r="Y213" s="423"/>
      <c r="Z213" s="423"/>
      <c r="AA213" s="423"/>
      <c r="AB213" s="1735"/>
      <c r="AC213" s="432"/>
      <c r="AD213" s="603"/>
      <c r="AE213" s="603"/>
      <c r="AF213" s="604"/>
      <c r="AG213" s="604"/>
      <c r="AH213" s="605"/>
      <c r="AI213" s="605"/>
      <c r="AJ213" s="606"/>
      <c r="AK213" s="606"/>
      <c r="AL213" s="607"/>
      <c r="AM213" s="607"/>
      <c r="AN213" s="608"/>
      <c r="AO213" s="608"/>
      <c r="AP213" s="609"/>
      <c r="AQ213" s="609"/>
      <c r="AR213" s="610"/>
      <c r="AS213" s="610"/>
      <c r="AT213" s="610"/>
      <c r="AU213" s="611"/>
      <c r="AV213" s="611"/>
      <c r="AW213" s="611"/>
      <c r="AX213" s="611"/>
      <c r="AY213" s="432"/>
      <c r="AZ213" s="612"/>
      <c r="BA213" s="613"/>
      <c r="BB213" s="613"/>
      <c r="BC213" s="613"/>
      <c r="BD213" s="613"/>
      <c r="BE213" s="614"/>
      <c r="BF213" s="615"/>
      <c r="BG213" s="616"/>
      <c r="BH213" s="614"/>
      <c r="BI213" s="614"/>
      <c r="BJ213" s="614"/>
      <c r="BK213" s="614"/>
      <c r="BL213" s="423"/>
      <c r="BM213" s="423"/>
      <c r="BN213" s="423"/>
      <c r="BO213" s="423"/>
      <c r="BP213" s="423"/>
      <c r="BQ213" s="423"/>
      <c r="BR213" s="423"/>
      <c r="BS213" s="423"/>
      <c r="BT213" s="423"/>
      <c r="BU213" s="423"/>
      <c r="BV213" s="423"/>
      <c r="BW213" s="423"/>
      <c r="BX213" s="423"/>
      <c r="BY213" s="423"/>
      <c r="BZ213" s="423"/>
      <c r="CA213" s="423"/>
      <c r="CB213" s="423"/>
      <c r="CC213" s="423"/>
      <c r="CD213" s="423"/>
      <c r="CE213" s="423"/>
      <c r="CF213" s="423"/>
      <c r="CG213" s="423"/>
      <c r="CH213" s="423"/>
      <c r="CI213" s="423"/>
      <c r="CJ213" s="423"/>
      <c r="CK213" s="423"/>
      <c r="CL213" s="423"/>
      <c r="CM213" s="423"/>
      <c r="CN213" s="423"/>
      <c r="CO213" s="423"/>
      <c r="CP213" s="423"/>
      <c r="CQ213" s="423"/>
      <c r="CR213" s="423"/>
      <c r="CS213" s="423"/>
      <c r="CT213" s="423"/>
      <c r="CU213" s="423"/>
      <c r="CV213" s="423"/>
      <c r="CW213" s="423"/>
      <c r="CX213" s="423"/>
      <c r="CY213" s="423"/>
      <c r="CZ213" s="423"/>
      <c r="DA213" s="423"/>
      <c r="DB213" s="423"/>
      <c r="DC213" s="423"/>
      <c r="DD213" s="423"/>
      <c r="DE213" s="423"/>
      <c r="DF213" s="423"/>
      <c r="DG213" s="423"/>
      <c r="DH213" s="423"/>
      <c r="DI213" s="423"/>
      <c r="DJ213" s="423"/>
      <c r="DK213" s="423"/>
      <c r="DL213" s="423"/>
      <c r="DM213" s="423"/>
      <c r="DN213" s="423"/>
      <c r="DO213" s="423"/>
      <c r="DP213" s="423"/>
      <c r="DQ213" s="423"/>
      <c r="DR213" s="423"/>
      <c r="DS213" s="423"/>
      <c r="DT213" s="423"/>
      <c r="DU213" s="423"/>
      <c r="DV213" s="423"/>
      <c r="DW213" s="423"/>
      <c r="DX213" s="423"/>
      <c r="DY213" s="423"/>
      <c r="DZ213" s="423"/>
      <c r="EA213" s="423"/>
      <c r="EB213" s="423"/>
      <c r="EC213" s="423"/>
      <c r="ED213" s="423"/>
    </row>
    <row r="214" spans="1:134" ht="18" customHeight="1">
      <c r="A214" s="423"/>
      <c r="B214" s="617" t="s">
        <v>291</v>
      </c>
      <c r="C214" s="423"/>
      <c r="D214" s="423"/>
      <c r="E214" s="423"/>
      <c r="F214" s="423"/>
      <c r="G214" s="423"/>
      <c r="H214" s="423"/>
      <c r="I214" s="423"/>
      <c r="J214" s="423"/>
      <c r="K214" s="423"/>
      <c r="L214" s="504"/>
      <c r="M214" s="504"/>
      <c r="N214" s="504"/>
      <c r="O214" s="504"/>
      <c r="P214" s="505"/>
      <c r="Q214" s="873">
        <f>calc!T70</f>
        <v>44748.416666666664</v>
      </c>
      <c r="R214" s="519"/>
      <c r="S214" s="519"/>
      <c r="T214" s="519"/>
      <c r="U214" s="519"/>
      <c r="V214" s="519"/>
      <c r="W214" s="519"/>
      <c r="X214" s="519"/>
      <c r="Y214" s="618"/>
      <c r="Z214" s="618"/>
      <c r="AA214" s="618"/>
      <c r="AB214" s="1735"/>
      <c r="AC214" s="432"/>
      <c r="AD214" s="603"/>
      <c r="AE214" s="603"/>
      <c r="AF214" s="604"/>
      <c r="AG214" s="604"/>
      <c r="AH214" s="605"/>
      <c r="AI214" s="605"/>
      <c r="AJ214" s="606"/>
      <c r="AK214" s="606"/>
      <c r="AL214" s="607"/>
      <c r="AM214" s="607"/>
      <c r="AN214" s="608"/>
      <c r="AO214" s="608"/>
      <c r="AP214" s="609"/>
      <c r="AQ214" s="609"/>
      <c r="AR214" s="610"/>
      <c r="AS214" s="610"/>
      <c r="AT214" s="610"/>
      <c r="AU214" s="611"/>
      <c r="AV214" s="611"/>
      <c r="AW214" s="611"/>
      <c r="AX214" s="611"/>
      <c r="AY214" s="432"/>
      <c r="AZ214" s="612"/>
      <c r="BA214" s="613"/>
      <c r="BB214" s="613"/>
      <c r="BC214" s="613"/>
      <c r="BD214" s="613"/>
      <c r="BE214" s="614"/>
      <c r="BF214" s="615"/>
      <c r="BG214" s="616"/>
      <c r="BH214" s="614"/>
      <c r="BI214" s="614"/>
      <c r="BJ214" s="614"/>
      <c r="BK214" s="614"/>
      <c r="BL214" s="423"/>
      <c r="BM214" s="423"/>
      <c r="BN214" s="423"/>
      <c r="BO214" s="423"/>
      <c r="BP214" s="423"/>
      <c r="BQ214" s="423"/>
      <c r="BR214" s="423"/>
      <c r="BS214" s="423"/>
      <c r="BT214" s="423"/>
      <c r="BU214" s="423"/>
      <c r="BV214" s="423"/>
      <c r="BW214" s="423"/>
      <c r="BX214" s="423"/>
      <c r="BY214" s="423"/>
      <c r="BZ214" s="423"/>
      <c r="CA214" s="423"/>
      <c r="CB214" s="423"/>
      <c r="CC214" s="423"/>
      <c r="CD214" s="423"/>
      <c r="CE214" s="423"/>
      <c r="CF214" s="423"/>
      <c r="CG214" s="423"/>
      <c r="CH214" s="423"/>
      <c r="CI214" s="423"/>
      <c r="CJ214" s="423"/>
      <c r="CK214" s="423"/>
      <c r="CL214" s="423"/>
      <c r="CM214" s="423"/>
      <c r="CN214" s="423"/>
      <c r="CO214" s="423"/>
      <c r="CP214" s="423"/>
      <c r="CQ214" s="423"/>
      <c r="CR214" s="423"/>
      <c r="CS214" s="423"/>
      <c r="CT214" s="423"/>
      <c r="CU214" s="423"/>
      <c r="CV214" s="423"/>
      <c r="CW214" s="423"/>
      <c r="CX214" s="423"/>
      <c r="CY214" s="423"/>
      <c r="CZ214" s="423"/>
      <c r="DA214" s="423"/>
      <c r="DB214" s="423"/>
      <c r="DC214" s="423"/>
      <c r="DD214" s="423"/>
      <c r="DE214" s="423"/>
      <c r="DF214" s="423"/>
      <c r="DG214" s="423"/>
      <c r="DH214" s="423"/>
      <c r="DI214" s="423"/>
      <c r="DJ214" s="423"/>
      <c r="DK214" s="423"/>
      <c r="DL214" s="423"/>
      <c r="DM214" s="423"/>
      <c r="DN214" s="423"/>
      <c r="DO214" s="423"/>
      <c r="DP214" s="423"/>
      <c r="DQ214" s="423"/>
      <c r="DR214" s="423"/>
      <c r="DS214" s="423"/>
      <c r="DT214" s="423"/>
      <c r="DU214" s="423"/>
      <c r="DV214" s="423"/>
      <c r="DW214" s="423"/>
      <c r="DX214" s="423"/>
      <c r="DY214" s="423"/>
      <c r="DZ214" s="423"/>
      <c r="EA214" s="423"/>
      <c r="EB214" s="423"/>
      <c r="EC214" s="423"/>
      <c r="ED214" s="423"/>
    </row>
    <row r="215" spans="1:134" ht="16.5" customHeight="1" thickBot="1">
      <c r="A215" s="423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1585" t="s">
        <v>2870</v>
      </c>
      <c r="P215" s="1586" t="s">
        <v>219</v>
      </c>
      <c r="Q215" s="506" t="str">
        <f>calc!M70</f>
        <v>Valid Time:  1000Z 06 JUL 2022</v>
      </c>
      <c r="R215" s="423"/>
      <c r="S215" s="423"/>
      <c r="T215" s="423"/>
      <c r="U215" s="423"/>
      <c r="V215" s="423"/>
      <c r="W215" s="423"/>
      <c r="X215" s="423"/>
      <c r="Y215" s="423"/>
      <c r="Z215" s="423"/>
      <c r="AA215" s="423"/>
      <c r="AB215" s="1735"/>
      <c r="AC215" s="432"/>
      <c r="AD215" s="603"/>
      <c r="AE215" s="603"/>
      <c r="AF215" s="604"/>
      <c r="AG215" s="604"/>
      <c r="AH215" s="605"/>
      <c r="AI215" s="605"/>
      <c r="AJ215" s="606"/>
      <c r="AK215" s="606"/>
      <c r="AL215" s="607"/>
      <c r="AM215" s="607"/>
      <c r="AN215" s="608"/>
      <c r="AO215" s="608"/>
      <c r="AP215" s="609"/>
      <c r="AQ215" s="609"/>
      <c r="AR215" s="610"/>
      <c r="AS215" s="610"/>
      <c r="AT215" s="610"/>
      <c r="AU215" s="611"/>
      <c r="AV215" s="611"/>
      <c r="AW215" s="611"/>
      <c r="AX215" s="611"/>
      <c r="AY215" s="432"/>
      <c r="AZ215" s="612"/>
      <c r="BA215" s="613"/>
      <c r="BB215" s="613"/>
      <c r="BC215" s="613"/>
      <c r="BD215" s="613"/>
      <c r="BE215" s="614"/>
      <c r="BF215" s="615"/>
      <c r="BG215" s="616"/>
      <c r="BH215" s="614"/>
      <c r="BI215" s="614"/>
      <c r="BJ215" s="614"/>
      <c r="BK215" s="614"/>
      <c r="BL215" s="423"/>
      <c r="BM215" s="423"/>
      <c r="BN215" s="423"/>
      <c r="BO215" s="423"/>
      <c r="BP215" s="423"/>
      <c r="BQ215" s="423"/>
      <c r="BR215" s="423"/>
      <c r="BS215" s="423"/>
      <c r="BT215" s="423"/>
      <c r="BU215" s="423"/>
      <c r="BV215" s="423"/>
      <c r="BW215" s="423"/>
      <c r="BX215" s="423"/>
      <c r="BY215" s="423"/>
      <c r="BZ215" s="423"/>
      <c r="CA215" s="423"/>
      <c r="CB215" s="423"/>
      <c r="CC215" s="423"/>
      <c r="CD215" s="423"/>
      <c r="CE215" s="423"/>
      <c r="CF215" s="423"/>
      <c r="CG215" s="423"/>
      <c r="CH215" s="423"/>
      <c r="CI215" s="423"/>
      <c r="CJ215" s="423"/>
      <c r="CK215" s="423"/>
      <c r="CL215" s="423"/>
      <c r="CM215" s="423"/>
      <c r="CN215" s="423"/>
      <c r="CO215" s="423"/>
      <c r="CP215" s="423"/>
      <c r="CQ215" s="423"/>
      <c r="CR215" s="423"/>
      <c r="CS215" s="423"/>
      <c r="CT215" s="423"/>
      <c r="CU215" s="423"/>
      <c r="CV215" s="423"/>
      <c r="CW215" s="423"/>
      <c r="CX215" s="423"/>
      <c r="CY215" s="423"/>
      <c r="CZ215" s="423"/>
      <c r="DA215" s="423"/>
      <c r="DB215" s="423"/>
      <c r="DC215" s="423"/>
      <c r="DD215" s="423"/>
      <c r="DE215" s="423"/>
      <c r="DF215" s="423"/>
      <c r="DG215" s="423"/>
      <c r="DH215" s="423"/>
      <c r="DI215" s="423"/>
      <c r="DJ215" s="423"/>
      <c r="DK215" s="423"/>
      <c r="DL215" s="423"/>
      <c r="DM215" s="423"/>
      <c r="DN215" s="423"/>
      <c r="DO215" s="423"/>
      <c r="DP215" s="423"/>
      <c r="DQ215" s="423"/>
      <c r="DR215" s="423"/>
      <c r="DS215" s="423"/>
      <c r="DT215" s="423"/>
      <c r="DU215" s="423"/>
      <c r="DV215" s="423"/>
      <c r="DW215" s="423"/>
      <c r="DX215" s="423"/>
      <c r="DY215" s="423"/>
      <c r="DZ215" s="423"/>
      <c r="EA215" s="423"/>
      <c r="EB215" s="423"/>
      <c r="EC215" s="423"/>
      <c r="ED215" s="423"/>
    </row>
    <row r="216" spans="1:134" ht="18" customHeight="1" thickBot="1">
      <c r="A216" s="423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619"/>
      <c r="Q216" s="1857" t="s">
        <v>297</v>
      </c>
      <c r="R216" s="990" t="s">
        <v>292</v>
      </c>
      <c r="S216" s="988"/>
      <c r="T216" s="988"/>
      <c r="U216" s="989"/>
      <c r="V216" s="3172" t="s">
        <v>224</v>
      </c>
      <c r="W216" s="3172"/>
      <c r="X216" s="3172"/>
      <c r="Y216" s="3172"/>
      <c r="Z216" s="980"/>
      <c r="AA216" s="423"/>
      <c r="AB216" s="1735"/>
      <c r="AC216" s="3520" t="s">
        <v>45</v>
      </c>
      <c r="AD216" s="3521"/>
      <c r="AE216" s="3522"/>
      <c r="AF216" s="3338" t="s">
        <v>216</v>
      </c>
      <c r="AG216" s="3339"/>
      <c r="AH216" s="3339"/>
      <c r="AI216" s="3340"/>
      <c r="AJ216" s="3322" t="s">
        <v>225</v>
      </c>
      <c r="AK216" s="3323"/>
      <c r="AL216" s="3323"/>
      <c r="AM216" s="3323"/>
      <c r="AN216" s="3324"/>
      <c r="AO216" s="2995" t="s">
        <v>214</v>
      </c>
      <c r="AP216" s="2996"/>
      <c r="AQ216" s="2996"/>
      <c r="AR216" s="2996"/>
      <c r="AS216" s="2997"/>
      <c r="AT216" s="610"/>
      <c r="AU216" s="611"/>
      <c r="AV216" s="611"/>
      <c r="AW216" s="611"/>
      <c r="AX216" s="611"/>
      <c r="AY216" s="432"/>
      <c r="AZ216" s="612"/>
      <c r="BA216" s="613"/>
      <c r="BB216" s="613"/>
      <c r="BC216" s="613"/>
      <c r="BD216" s="613"/>
      <c r="BE216" s="614"/>
      <c r="BF216" s="615"/>
      <c r="BG216" s="616"/>
      <c r="BH216" s="614"/>
      <c r="BI216" s="614"/>
      <c r="BJ216" s="614"/>
      <c r="BK216" s="614"/>
      <c r="BL216" s="423"/>
      <c r="BM216" s="423"/>
      <c r="BN216" s="423"/>
      <c r="BO216" s="423"/>
      <c r="BP216" s="423"/>
      <c r="BQ216" s="423"/>
      <c r="BR216" s="423"/>
      <c r="BS216" s="423"/>
      <c r="BT216" s="423"/>
      <c r="BU216" s="423"/>
      <c r="BV216" s="423"/>
      <c r="BW216" s="423"/>
      <c r="BX216" s="423"/>
      <c r="BY216" s="423"/>
      <c r="BZ216" s="423"/>
      <c r="CA216" s="423"/>
      <c r="CB216" s="423"/>
      <c r="CC216" s="423"/>
      <c r="CD216" s="423"/>
      <c r="CE216" s="423"/>
      <c r="CF216" s="423"/>
      <c r="CG216" s="423"/>
      <c r="CH216" s="423"/>
      <c r="CI216" s="423"/>
      <c r="CJ216" s="423"/>
      <c r="CK216" s="423"/>
      <c r="CL216" s="423"/>
      <c r="CM216" s="423"/>
      <c r="CN216" s="423"/>
      <c r="CO216" s="423"/>
      <c r="CP216" s="423"/>
      <c r="CQ216" s="423"/>
      <c r="CR216" s="423"/>
      <c r="CS216" s="423"/>
      <c r="CT216" s="423"/>
      <c r="CU216" s="423"/>
      <c r="CV216" s="423"/>
      <c r="CW216" s="423"/>
      <c r="CX216" s="423"/>
      <c r="CY216" s="423"/>
      <c r="CZ216" s="423"/>
      <c r="DA216" s="423"/>
      <c r="DB216" s="423"/>
      <c r="DC216" s="423"/>
      <c r="DD216" s="423"/>
      <c r="DE216" s="423"/>
      <c r="DF216" s="423"/>
      <c r="DG216" s="423"/>
      <c r="DH216" s="423"/>
      <c r="DI216" s="423"/>
      <c r="DJ216" s="423"/>
      <c r="DK216" s="423"/>
      <c r="DL216" s="423"/>
      <c r="DM216" s="423"/>
      <c r="DN216" s="423"/>
      <c r="DO216" s="423"/>
      <c r="DP216" s="423"/>
      <c r="DQ216" s="423"/>
      <c r="DR216" s="423"/>
      <c r="DS216" s="423"/>
      <c r="DT216" s="423"/>
      <c r="DU216" s="423"/>
      <c r="DV216" s="423"/>
      <c r="DW216" s="423"/>
      <c r="DX216" s="423"/>
      <c r="DY216" s="423"/>
      <c r="DZ216" s="423"/>
      <c r="EA216" s="423"/>
      <c r="EB216" s="423"/>
      <c r="EC216" s="423"/>
      <c r="ED216" s="423"/>
    </row>
    <row r="217" spans="1:134" ht="16.5" customHeight="1" thickBot="1">
      <c r="A217" s="423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1585" t="s">
        <v>2871</v>
      </c>
      <c r="P217" s="1586" t="s">
        <v>219</v>
      </c>
      <c r="Q217" s="990"/>
      <c r="R217" s="990"/>
      <c r="S217" s="990"/>
      <c r="T217" s="990"/>
      <c r="U217" s="991"/>
      <c r="V217" s="3514" t="s">
        <v>216</v>
      </c>
      <c r="W217" s="3515"/>
      <c r="X217" s="3515"/>
      <c r="Y217" s="3516"/>
      <c r="Z217" s="507"/>
      <c r="AA217" s="423"/>
      <c r="AB217" s="1735"/>
      <c r="AC217" s="3523"/>
      <c r="AD217" s="3524"/>
      <c r="AE217" s="3525"/>
      <c r="AF217" s="3174" t="s">
        <v>294</v>
      </c>
      <c r="AG217" s="3175"/>
      <c r="AH217" s="3175" t="s">
        <v>295</v>
      </c>
      <c r="AI217" s="3209"/>
      <c r="AJ217" s="3174" t="s">
        <v>294</v>
      </c>
      <c r="AK217" s="3175"/>
      <c r="AL217" s="3175"/>
      <c r="AM217" s="3175" t="s">
        <v>296</v>
      </c>
      <c r="AN217" s="3209"/>
      <c r="AO217" s="3174" t="s">
        <v>294</v>
      </c>
      <c r="AP217" s="3175"/>
      <c r="AQ217" s="3175"/>
      <c r="AR217" s="3175" t="s">
        <v>296</v>
      </c>
      <c r="AS217" s="3209"/>
      <c r="AT217" s="610"/>
      <c r="AU217" s="611"/>
      <c r="AV217" s="611"/>
      <c r="AW217" s="611"/>
      <c r="AX217" s="611"/>
      <c r="AY217" s="432"/>
      <c r="AZ217" s="612"/>
      <c r="BA217" s="613"/>
      <c r="BB217" s="423"/>
      <c r="BC217" s="423"/>
      <c r="BD217" s="423"/>
      <c r="BE217" s="423"/>
      <c r="BF217" s="423"/>
      <c r="BG217" s="616"/>
      <c r="BH217" s="614"/>
      <c r="BI217" s="614"/>
      <c r="BJ217" s="614"/>
      <c r="BK217" s="614"/>
      <c r="BL217" s="423"/>
      <c r="BM217" s="423"/>
      <c r="BN217" s="423"/>
      <c r="BO217" s="423"/>
      <c r="BP217" s="423"/>
      <c r="BQ217" s="423"/>
      <c r="BR217" s="423"/>
      <c r="BS217" s="423"/>
      <c r="BT217" s="423"/>
      <c r="BU217" s="423"/>
      <c r="BV217" s="423"/>
      <c r="BW217" s="423"/>
      <c r="BX217" s="423"/>
      <c r="BY217" s="423"/>
      <c r="BZ217" s="423"/>
      <c r="CA217" s="423"/>
      <c r="CB217" s="423"/>
      <c r="CC217" s="423"/>
      <c r="CD217" s="423"/>
      <c r="CE217" s="423"/>
      <c r="CF217" s="423"/>
      <c r="CG217" s="423"/>
      <c r="CH217" s="423"/>
      <c r="CI217" s="423"/>
      <c r="CJ217" s="423"/>
      <c r="CK217" s="423"/>
      <c r="CL217" s="423"/>
      <c r="CM217" s="423"/>
      <c r="CN217" s="423"/>
      <c r="CO217" s="423"/>
      <c r="CP217" s="423"/>
      <c r="CQ217" s="423"/>
      <c r="CR217" s="423"/>
      <c r="CS217" s="423"/>
      <c r="CT217" s="423"/>
      <c r="CU217" s="423"/>
      <c r="CV217" s="423"/>
      <c r="CW217" s="423"/>
      <c r="CX217" s="423"/>
      <c r="CY217" s="423"/>
      <c r="CZ217" s="423"/>
      <c r="DA217" s="423"/>
      <c r="DB217" s="423"/>
      <c r="DC217" s="423"/>
      <c r="DD217" s="423"/>
      <c r="DE217" s="423"/>
      <c r="DF217" s="423"/>
      <c r="DG217" s="423"/>
      <c r="DH217" s="423"/>
      <c r="DI217" s="423"/>
      <c r="DJ217" s="423"/>
      <c r="DK217" s="423"/>
      <c r="DL217" s="423"/>
      <c r="DM217" s="423"/>
      <c r="DN217" s="423"/>
      <c r="DO217" s="423"/>
      <c r="DP217" s="423"/>
      <c r="DQ217" s="423"/>
      <c r="DR217" s="423"/>
      <c r="DS217" s="423"/>
      <c r="DT217" s="423"/>
      <c r="DU217" s="423"/>
      <c r="DV217" s="423"/>
      <c r="DW217" s="423"/>
      <c r="DX217" s="423"/>
      <c r="DY217" s="423"/>
      <c r="DZ217" s="423"/>
      <c r="EA217" s="423"/>
      <c r="EB217" s="423"/>
      <c r="EC217" s="423"/>
      <c r="ED217" s="423"/>
    </row>
    <row r="218" spans="1:134" ht="20.25" customHeight="1">
      <c r="A218" s="423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619"/>
      <c r="Q218" s="1599" t="s">
        <v>3016</v>
      </c>
      <c r="R218" s="990"/>
      <c r="S218" s="990"/>
      <c r="T218" s="990"/>
      <c r="U218" s="990"/>
      <c r="V218" s="990"/>
      <c r="W218" s="990"/>
      <c r="X218" s="990"/>
      <c r="Y218" s="990"/>
      <c r="Z218" s="990"/>
      <c r="AA218" s="983"/>
      <c r="AB218" s="1738"/>
      <c r="AC218" s="3186">
        <v>200</v>
      </c>
      <c r="AD218" s="3187"/>
      <c r="AE218" s="3188"/>
      <c r="AF218" s="3315" t="s">
        <v>2909</v>
      </c>
      <c r="AG218" s="3316"/>
      <c r="AH218" s="3327">
        <v>-18</v>
      </c>
      <c r="AI218" s="3328"/>
      <c r="AJ218" s="3170" t="str">
        <f>CONCATENATE(LOOKUP(AC218,calc!M77:M134,calc!O77:O134),LOOKUP(AC218,calc!M77:M134,calc!P77:P134))</f>
        <v>27020</v>
      </c>
      <c r="AK218" s="3171"/>
      <c r="AL218" s="3171"/>
      <c r="AM218" s="3171" t="str">
        <f>LOOKUP(AC218,calc!M77:M134,calc!R77:R134)</f>
        <v>-06</v>
      </c>
      <c r="AN218" s="3304"/>
      <c r="AO218" s="2998" t="str">
        <f>IF(V217="MANUAL",calc!U184,AJ218)</f>
        <v>28020</v>
      </c>
      <c r="AP218" s="2999"/>
      <c r="AQ218" s="2999"/>
      <c r="AR218" s="3317">
        <f>IF(V217="MANUAL",IF(ISERR(calc!S184),"",calc!S184),AM218)</f>
        <v>-18</v>
      </c>
      <c r="AS218" s="3318"/>
      <c r="AT218" s="610"/>
      <c r="AU218" s="611"/>
      <c r="AV218" s="620"/>
      <c r="AW218" s="611"/>
      <c r="AX218" s="611"/>
      <c r="AY218" s="432"/>
      <c r="AZ218" s="612"/>
      <c r="BA218" s="613"/>
      <c r="BB218" s="423"/>
      <c r="BC218" s="423"/>
      <c r="BD218" s="423"/>
      <c r="BE218" s="423"/>
      <c r="BF218" s="423"/>
      <c r="BG218" s="616"/>
      <c r="BH218" s="614"/>
      <c r="BI218" s="614"/>
      <c r="BJ218" s="614"/>
      <c r="BK218" s="614"/>
      <c r="BL218" s="423"/>
      <c r="BM218" s="423"/>
      <c r="BN218" s="423"/>
      <c r="BO218" s="423"/>
      <c r="BP218" s="423"/>
      <c r="BQ218" s="423"/>
      <c r="BR218" s="423"/>
      <c r="BS218" s="423"/>
      <c r="BT218" s="423"/>
      <c r="BU218" s="423"/>
      <c r="BV218" s="423"/>
      <c r="BW218" s="423"/>
      <c r="BX218" s="423"/>
      <c r="BY218" s="423"/>
      <c r="BZ218" s="423"/>
      <c r="CA218" s="423"/>
      <c r="CB218" s="423"/>
      <c r="CC218" s="423"/>
      <c r="CD218" s="423"/>
      <c r="CE218" s="423"/>
      <c r="CF218" s="423"/>
      <c r="CG218" s="423"/>
      <c r="CH218" s="423"/>
      <c r="CI218" s="423"/>
      <c r="CJ218" s="423"/>
      <c r="CK218" s="423"/>
      <c r="CL218" s="423"/>
      <c r="CM218" s="423"/>
      <c r="CN218" s="423"/>
      <c r="CO218" s="423"/>
      <c r="CP218" s="423"/>
      <c r="CQ218" s="423"/>
      <c r="CR218" s="423"/>
      <c r="CS218" s="423"/>
      <c r="CT218" s="423"/>
      <c r="CU218" s="423"/>
      <c r="CV218" s="423"/>
      <c r="CW218" s="423"/>
      <c r="CX218" s="423"/>
      <c r="CY218" s="423"/>
      <c r="CZ218" s="423"/>
      <c r="DA218" s="423"/>
      <c r="DB218" s="423"/>
      <c r="DC218" s="423"/>
      <c r="DD218" s="423"/>
      <c r="DE218" s="423"/>
      <c r="DF218" s="423"/>
      <c r="DG218" s="423"/>
      <c r="DH218" s="423"/>
      <c r="DI218" s="423"/>
      <c r="DJ218" s="423"/>
      <c r="DK218" s="423"/>
      <c r="DL218" s="423"/>
      <c r="DM218" s="423"/>
      <c r="DN218" s="423"/>
      <c r="DO218" s="423"/>
      <c r="DP218" s="423"/>
      <c r="DQ218" s="423"/>
      <c r="DR218" s="423"/>
      <c r="DS218" s="423"/>
      <c r="DT218" s="423"/>
      <c r="DU218" s="423"/>
      <c r="DV218" s="423"/>
      <c r="DW218" s="423"/>
      <c r="DX218" s="423"/>
      <c r="DY218" s="423"/>
      <c r="DZ218" s="423"/>
      <c r="EA218" s="423"/>
      <c r="EB218" s="423"/>
      <c r="EC218" s="423"/>
      <c r="ED218" s="423"/>
    </row>
    <row r="219" spans="1:134" ht="20.25" customHeight="1">
      <c r="A219" s="423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1600"/>
      <c r="R219" s="990"/>
      <c r="S219" s="990"/>
      <c r="T219" s="990"/>
      <c r="U219" s="990"/>
      <c r="V219" s="990"/>
      <c r="W219" s="990"/>
      <c r="X219" s="990"/>
      <c r="Y219" s="990"/>
      <c r="Z219" s="990"/>
      <c r="AA219" s="983"/>
      <c r="AB219" s="1738"/>
      <c r="AC219" s="3189">
        <v>180</v>
      </c>
      <c r="AD219" s="3190"/>
      <c r="AE219" s="3191"/>
      <c r="AF219" s="3315"/>
      <c r="AG219" s="3316"/>
      <c r="AH219" s="3327"/>
      <c r="AI219" s="3328"/>
      <c r="AJ219" s="3310" t="str">
        <f>CONCATENATE(LOOKUP(AC219,calc!M77:M134,calc!O77:O134),LOOKUP(AC219,calc!M77:M134,calc!P77:P134))</f>
        <v>26020</v>
      </c>
      <c r="AK219" s="3305"/>
      <c r="AL219" s="3305"/>
      <c r="AM219" s="3305" t="str">
        <f>LOOKUP(AC219,calc!M77:M134,calc!R77:R134)</f>
        <v>-02</v>
      </c>
      <c r="AN219" s="3306"/>
      <c r="AO219" s="3313" t="str">
        <f>IF(V217="MANUAL",calc!U180,AJ219)</f>
        <v>30020</v>
      </c>
      <c r="AP219" s="3314"/>
      <c r="AQ219" s="3314"/>
      <c r="AR219" s="3311">
        <f>IF(V217="MANUAL",IF(ISERR(calc!S180),"",calc!S180),AM219)</f>
        <v>-15.6</v>
      </c>
      <c r="AS219" s="3312"/>
      <c r="AT219" s="621"/>
      <c r="AU219" s="622"/>
      <c r="AV219" s="623"/>
      <c r="AW219" s="622"/>
      <c r="AX219" s="622"/>
      <c r="AY219" s="423"/>
      <c r="AZ219" s="423"/>
      <c r="BA219" s="423"/>
      <c r="BB219" s="423"/>
      <c r="BC219" s="423"/>
      <c r="BD219" s="423"/>
      <c r="BE219" s="423"/>
      <c r="BF219" s="423"/>
      <c r="BG219" s="423"/>
      <c r="BH219" s="423"/>
      <c r="BI219" s="423"/>
      <c r="BJ219" s="423"/>
      <c r="BK219" s="423"/>
      <c r="BL219" s="423"/>
      <c r="BM219" s="423"/>
      <c r="BN219" s="423"/>
      <c r="BO219" s="423"/>
      <c r="BP219" s="423"/>
      <c r="BQ219" s="423"/>
      <c r="BR219" s="423"/>
      <c r="BS219" s="423"/>
      <c r="BT219" s="423"/>
      <c r="BU219" s="423"/>
      <c r="BV219" s="423"/>
      <c r="BW219" s="423"/>
      <c r="BX219" s="423"/>
      <c r="BY219" s="423"/>
      <c r="BZ219" s="423"/>
      <c r="CA219" s="423"/>
      <c r="CB219" s="423"/>
      <c r="CC219" s="423"/>
      <c r="CD219" s="423"/>
      <c r="CE219" s="432"/>
      <c r="CF219" s="432"/>
      <c r="CG219" s="432"/>
      <c r="CH219" s="432"/>
      <c r="CI219" s="432"/>
      <c r="CJ219" s="432"/>
      <c r="CK219" s="432"/>
      <c r="CL219" s="432"/>
      <c r="CM219" s="432"/>
      <c r="CN219" s="432"/>
      <c r="CO219" s="432"/>
      <c r="CP219" s="432"/>
      <c r="CQ219" s="432"/>
      <c r="CR219" s="432"/>
      <c r="CS219" s="432"/>
      <c r="CT219" s="432"/>
      <c r="CU219" s="432"/>
      <c r="CV219" s="432"/>
      <c r="CW219" s="432"/>
      <c r="CX219" s="432"/>
      <c r="CY219" s="432"/>
      <c r="CZ219" s="432"/>
      <c r="DA219" s="432"/>
      <c r="DB219" s="432"/>
      <c r="DC219" s="432"/>
      <c r="DD219" s="432"/>
      <c r="DE219" s="432"/>
      <c r="DF219" s="423"/>
      <c r="DG219" s="423"/>
      <c r="DH219" s="423"/>
      <c r="DI219" s="423"/>
      <c r="DJ219" s="423"/>
      <c r="DK219" s="423"/>
      <c r="DL219" s="423"/>
      <c r="DM219" s="423"/>
      <c r="DN219" s="423"/>
      <c r="DO219" s="423"/>
      <c r="DP219" s="423"/>
      <c r="DQ219" s="423"/>
      <c r="DR219" s="423"/>
      <c r="DS219" s="423"/>
      <c r="DT219" s="423"/>
      <c r="DU219" s="423"/>
      <c r="DV219" s="423"/>
      <c r="DW219" s="423"/>
      <c r="DX219" s="423"/>
      <c r="DY219" s="423"/>
      <c r="DZ219" s="423"/>
      <c r="EA219" s="423"/>
      <c r="EB219" s="423"/>
      <c r="EC219" s="423"/>
      <c r="ED219" s="423"/>
    </row>
    <row r="220" spans="1:134" ht="20.25" customHeight="1">
      <c r="A220" s="423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1599" t="s">
        <v>2872</v>
      </c>
      <c r="R220" s="992"/>
      <c r="S220" s="992"/>
      <c r="T220" s="992"/>
      <c r="U220" s="992"/>
      <c r="V220" s="992"/>
      <c r="W220" s="993"/>
      <c r="X220" s="994"/>
      <c r="Y220" s="994"/>
      <c r="Z220" s="994"/>
      <c r="AA220" s="985"/>
      <c r="AB220" s="1739"/>
      <c r="AC220" s="3186">
        <v>150</v>
      </c>
      <c r="AD220" s="3187"/>
      <c r="AE220" s="3188"/>
      <c r="AF220" s="3315" t="s">
        <v>3120</v>
      </c>
      <c r="AG220" s="3316"/>
      <c r="AH220" s="3327">
        <v>-12</v>
      </c>
      <c r="AI220" s="3328"/>
      <c r="AJ220" s="3170" t="str">
        <f>CONCATENATE(LOOKUP(AC220,calc!M77:M134,calc!O77:O134),LOOKUP(AC220,calc!M77:M134,calc!P77:P134))</f>
        <v>25015</v>
      </c>
      <c r="AK220" s="3171"/>
      <c r="AL220" s="3171"/>
      <c r="AM220" s="3171" t="str">
        <f>LOOKUP(AC220,calc!M77:M134,calc!R77:R134)</f>
        <v>03</v>
      </c>
      <c r="AN220" s="3304"/>
      <c r="AO220" s="2998" t="str">
        <f>IF(V217="MANUAL",calc!U177,AJ220)</f>
        <v>32020</v>
      </c>
      <c r="AP220" s="2999"/>
      <c r="AQ220" s="2999"/>
      <c r="AR220" s="3317">
        <f>IF(V217="MANUAL",IF(ISERR(calc!S177),"",calc!S177),AM220)</f>
        <v>-12</v>
      </c>
      <c r="AS220" s="3318"/>
      <c r="AT220" s="432"/>
      <c r="AU220" s="432"/>
      <c r="AV220" s="432"/>
      <c r="AW220" s="432"/>
      <c r="AX220" s="432"/>
      <c r="AY220" s="625"/>
      <c r="AZ220" s="432"/>
      <c r="BA220" s="423"/>
      <c r="BB220" s="423"/>
      <c r="BC220" s="423"/>
      <c r="BD220" s="423"/>
      <c r="BE220" s="423"/>
      <c r="BF220" s="423"/>
      <c r="BG220" s="423"/>
      <c r="BH220" s="423"/>
      <c r="BI220" s="423"/>
      <c r="BJ220" s="423"/>
      <c r="BK220" s="423"/>
      <c r="BL220" s="423"/>
      <c r="BM220" s="423"/>
      <c r="BN220" s="423"/>
      <c r="BO220" s="423"/>
      <c r="BP220" s="423"/>
      <c r="BQ220" s="423"/>
      <c r="BR220" s="423"/>
      <c r="BS220" s="423"/>
      <c r="BT220" s="423"/>
      <c r="BU220" s="423"/>
      <c r="BV220" s="423"/>
      <c r="BW220" s="423"/>
      <c r="BX220" s="423"/>
      <c r="BY220" s="423"/>
      <c r="BZ220" s="423"/>
      <c r="CA220" s="423"/>
      <c r="CB220" s="423"/>
      <c r="CC220" s="423"/>
      <c r="CD220" s="423"/>
      <c r="CE220" s="432"/>
      <c r="CF220" s="509"/>
      <c r="CG220" s="509"/>
      <c r="CH220" s="509"/>
      <c r="CI220" s="509"/>
      <c r="CJ220" s="509"/>
      <c r="CK220" s="509"/>
      <c r="CL220" s="432"/>
      <c r="CM220" s="626"/>
      <c r="CN220" s="626"/>
      <c r="CO220" s="626"/>
      <c r="CP220" s="626"/>
      <c r="CQ220" s="626"/>
      <c r="CR220" s="626"/>
      <c r="CS220" s="626"/>
      <c r="CT220" s="626"/>
      <c r="CU220" s="626"/>
      <c r="CV220" s="509"/>
      <c r="CW220" s="509"/>
      <c r="CX220" s="509"/>
      <c r="CY220" s="509"/>
      <c r="CZ220" s="509"/>
      <c r="DA220" s="509"/>
      <c r="DB220" s="432"/>
      <c r="DC220" s="508"/>
      <c r="DD220" s="508"/>
      <c r="DE220" s="508"/>
      <c r="DF220" s="423"/>
      <c r="DG220" s="423"/>
      <c r="DH220" s="423"/>
      <c r="DI220" s="423"/>
      <c r="DJ220" s="423"/>
      <c r="DK220" s="423"/>
      <c r="DL220" s="423"/>
      <c r="DM220" s="423"/>
      <c r="DN220" s="423"/>
      <c r="DO220" s="423"/>
      <c r="DP220" s="423"/>
      <c r="DQ220" s="423"/>
      <c r="DR220" s="423"/>
      <c r="DS220" s="423"/>
      <c r="DT220" s="423"/>
      <c r="DU220" s="423"/>
      <c r="DV220" s="423"/>
      <c r="DW220" s="423"/>
      <c r="DX220" s="423"/>
      <c r="DY220" s="423"/>
      <c r="DZ220" s="423"/>
      <c r="EA220" s="423"/>
      <c r="EB220" s="423"/>
      <c r="EC220" s="423"/>
      <c r="ED220" s="423"/>
    </row>
    <row r="221" spans="1:134" ht="20.25" customHeight="1">
      <c r="A221" s="423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983"/>
      <c r="Q221" s="1600"/>
      <c r="R221" s="992"/>
      <c r="S221" s="992"/>
      <c r="T221" s="992"/>
      <c r="U221" s="992"/>
      <c r="V221" s="992"/>
      <c r="W221" s="993"/>
      <c r="X221" s="994"/>
      <c r="Y221" s="994"/>
      <c r="Z221" s="994"/>
      <c r="AA221" s="985"/>
      <c r="AB221" s="1739"/>
      <c r="AC221" s="3189">
        <v>140</v>
      </c>
      <c r="AD221" s="3190"/>
      <c r="AE221" s="3191"/>
      <c r="AF221" s="3315"/>
      <c r="AG221" s="3316"/>
      <c r="AH221" s="3327"/>
      <c r="AI221" s="3328"/>
      <c r="AJ221" s="3310" t="str">
        <f>CONCATENATE(LOOKUP(AC221,calc!M77:M134,calc!O77:O134),LOOKUP(AC221,calc!M77:M134,calc!P77:P134))</f>
        <v>25015</v>
      </c>
      <c r="AK221" s="3305"/>
      <c r="AL221" s="3305"/>
      <c r="AM221" s="3305" t="str">
        <f>LOOKUP(AC221,calc!M77:M134,calc!R77:R134)</f>
        <v>05</v>
      </c>
      <c r="AN221" s="3306"/>
      <c r="AO221" s="3313" t="str">
        <f>IF(V217="MANUAL",calc!U174,AJ221)</f>
        <v>32020</v>
      </c>
      <c r="AP221" s="3314"/>
      <c r="AQ221" s="3314"/>
      <c r="AR221" s="3311">
        <f>IF(V217="MANUAL",IF(ISERR(calc!S174),"",calc!S174),AM221)</f>
        <v>-8.4</v>
      </c>
      <c r="AS221" s="3312"/>
      <c r="AT221" s="432"/>
      <c r="AU221" s="432"/>
      <c r="AV221" s="432"/>
      <c r="AW221" s="432"/>
      <c r="AX221" s="432"/>
      <c r="AY221" s="432"/>
      <c r="AZ221" s="432"/>
      <c r="BA221" s="423"/>
      <c r="BB221" s="423"/>
      <c r="BC221" s="423"/>
      <c r="BD221" s="423"/>
      <c r="BE221" s="423"/>
      <c r="BF221" s="423"/>
      <c r="BG221" s="423"/>
      <c r="BH221" s="423"/>
      <c r="BI221" s="423"/>
      <c r="BJ221" s="423"/>
      <c r="BK221" s="423"/>
      <c r="BL221" s="423"/>
      <c r="BM221" s="423"/>
      <c r="BN221" s="423"/>
      <c r="BO221" s="423"/>
      <c r="BP221" s="423"/>
      <c r="BQ221" s="423"/>
      <c r="BR221" s="423"/>
      <c r="BS221" s="423"/>
      <c r="BT221" s="423"/>
      <c r="BU221" s="423"/>
      <c r="BV221" s="423"/>
      <c r="BW221" s="423"/>
      <c r="BX221" s="423"/>
      <c r="BY221" s="423"/>
      <c r="BZ221" s="423"/>
      <c r="CA221" s="423"/>
      <c r="CB221" s="423"/>
      <c r="CC221" s="423"/>
      <c r="CD221" s="423"/>
      <c r="CE221" s="432"/>
      <c r="CF221" s="627"/>
      <c r="CG221" s="628"/>
      <c r="CH221" s="628"/>
      <c r="CI221" s="628"/>
      <c r="CJ221" s="628"/>
      <c r="CK221" s="628"/>
      <c r="CL221" s="432"/>
      <c r="CM221" s="629"/>
      <c r="CN221" s="629"/>
      <c r="CO221" s="629"/>
      <c r="CP221" s="629"/>
      <c r="CQ221" s="629"/>
      <c r="CR221" s="629"/>
      <c r="CS221" s="629"/>
      <c r="CT221" s="629"/>
      <c r="CU221" s="629"/>
      <c r="CV221" s="630"/>
      <c r="CW221" s="631"/>
      <c r="CX221" s="510"/>
      <c r="CY221" s="510"/>
      <c r="CZ221" s="510"/>
      <c r="DA221" s="511"/>
      <c r="DB221" s="510"/>
      <c r="DC221" s="508"/>
      <c r="DD221" s="508"/>
      <c r="DE221" s="508"/>
      <c r="DF221" s="423"/>
      <c r="DG221" s="423"/>
      <c r="DH221" s="423"/>
      <c r="DI221" s="423"/>
      <c r="DJ221" s="423"/>
      <c r="DK221" s="423"/>
      <c r="DL221" s="423"/>
      <c r="DM221" s="423"/>
      <c r="DN221" s="423"/>
      <c r="DO221" s="423"/>
      <c r="DP221" s="423"/>
      <c r="DQ221" s="423"/>
      <c r="DR221" s="423"/>
      <c r="DS221" s="423"/>
      <c r="DT221" s="423"/>
      <c r="DU221" s="423"/>
      <c r="DV221" s="423"/>
      <c r="DW221" s="423"/>
      <c r="DX221" s="423"/>
      <c r="DY221" s="423"/>
      <c r="DZ221" s="423"/>
      <c r="EA221" s="423"/>
      <c r="EB221" s="423"/>
      <c r="EC221" s="423"/>
      <c r="ED221" s="423"/>
    </row>
    <row r="222" spans="1:134" ht="20.25" customHeight="1">
      <c r="A222" s="423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1599" t="s">
        <v>2873</v>
      </c>
      <c r="R222" s="990"/>
      <c r="S222" s="990"/>
      <c r="T222" s="990"/>
      <c r="U222" s="993"/>
      <c r="V222" s="995"/>
      <c r="W222" s="995"/>
      <c r="X222" s="995"/>
      <c r="Y222" s="995"/>
      <c r="Z222" s="995"/>
      <c r="AA222" s="432"/>
      <c r="AB222" s="695"/>
      <c r="AC222" s="3186">
        <v>120</v>
      </c>
      <c r="AD222" s="3187"/>
      <c r="AE222" s="3188"/>
      <c r="AF222" s="3315"/>
      <c r="AG222" s="3316"/>
      <c r="AH222" s="3327"/>
      <c r="AI222" s="3328"/>
      <c r="AJ222" s="3170" t="str">
        <f>CONCATENATE(LOOKUP(AC222,calc!M77:M134,calc!O77:O134),LOOKUP(AC222,calc!M77:M134,calc!P77:P134))</f>
        <v>26010</v>
      </c>
      <c r="AK222" s="3171"/>
      <c r="AL222" s="3171"/>
      <c r="AM222" s="3171" t="str">
        <f>LOOKUP(AC222,calc!M77:M134,calc!R77:R134)</f>
        <v>08</v>
      </c>
      <c r="AN222" s="3304"/>
      <c r="AO222" s="2998" t="str">
        <f>IF(V217="MANUAL",calc!U171,AJ222)</f>
        <v>31015</v>
      </c>
      <c r="AP222" s="2999"/>
      <c r="AQ222" s="2999"/>
      <c r="AR222" s="3317">
        <f>IF(V217="MANUAL",IF(ISERR(calc!S171),"",calc!S171),AM222)</f>
        <v>-1.2000000000000002</v>
      </c>
      <c r="AS222" s="3318"/>
      <c r="AT222" s="432"/>
      <c r="AU222" s="508"/>
      <c r="AV222" s="508"/>
      <c r="AW222" s="508"/>
      <c r="AX222" s="508"/>
      <c r="AY222" s="508"/>
      <c r="AZ222" s="432"/>
      <c r="BA222" s="423"/>
      <c r="BB222" s="423"/>
      <c r="BC222" s="423"/>
      <c r="BD222" s="423"/>
      <c r="BE222" s="423"/>
      <c r="BF222" s="423"/>
      <c r="BG222" s="423"/>
      <c r="BH222" s="423"/>
      <c r="BI222" s="423"/>
      <c r="BJ222" s="423"/>
      <c r="BK222" s="423"/>
      <c r="BL222" s="423"/>
      <c r="BM222" s="423"/>
      <c r="BN222" s="423"/>
      <c r="BO222" s="423"/>
      <c r="BP222" s="423"/>
      <c r="BQ222" s="423"/>
      <c r="BR222" s="423"/>
      <c r="BS222" s="423"/>
      <c r="BT222" s="423"/>
      <c r="BU222" s="423"/>
      <c r="BV222" s="423"/>
      <c r="BW222" s="423"/>
      <c r="BX222" s="423"/>
      <c r="BY222" s="423"/>
      <c r="BZ222" s="423"/>
      <c r="CA222" s="423"/>
      <c r="CB222" s="423"/>
      <c r="CC222" s="423"/>
      <c r="CD222" s="423"/>
      <c r="CE222" s="432"/>
      <c r="CF222" s="432"/>
      <c r="CG222" s="432"/>
      <c r="CH222" s="432"/>
      <c r="CI222" s="432"/>
      <c r="CJ222" s="432"/>
      <c r="CK222" s="432"/>
      <c r="CL222" s="432"/>
      <c r="CM222" s="432"/>
      <c r="CN222" s="512"/>
      <c r="CO222" s="512"/>
      <c r="CP222" s="432"/>
      <c r="CQ222" s="432"/>
      <c r="CR222" s="432"/>
      <c r="CS222" s="432"/>
      <c r="CT222" s="432"/>
      <c r="CU222" s="432"/>
      <c r="CV222" s="432"/>
      <c r="CW222" s="432"/>
      <c r="CX222" s="512"/>
      <c r="CY222" s="512"/>
      <c r="CZ222" s="432"/>
      <c r="DA222" s="432"/>
      <c r="DB222" s="432"/>
      <c r="DC222" s="432"/>
      <c r="DD222" s="432"/>
      <c r="DE222" s="432"/>
      <c r="DF222" s="423"/>
      <c r="DG222" s="423"/>
      <c r="DH222" s="423"/>
      <c r="DI222" s="423"/>
      <c r="DJ222" s="423"/>
      <c r="DK222" s="423"/>
      <c r="DL222" s="423"/>
      <c r="DM222" s="423"/>
      <c r="DN222" s="423"/>
      <c r="DO222" s="423"/>
      <c r="DP222" s="423"/>
      <c r="DQ222" s="423"/>
      <c r="DR222" s="423"/>
      <c r="DS222" s="423"/>
      <c r="DT222" s="423"/>
      <c r="DU222" s="423"/>
      <c r="DV222" s="423"/>
      <c r="DW222" s="423"/>
      <c r="DX222" s="423"/>
      <c r="DY222" s="423"/>
      <c r="DZ222" s="423"/>
      <c r="EA222" s="423"/>
      <c r="EB222" s="423"/>
      <c r="EC222" s="423"/>
      <c r="ED222" s="423"/>
    </row>
    <row r="223" spans="1:134" ht="20.25" customHeight="1">
      <c r="A223" s="423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1600"/>
      <c r="R223" s="990"/>
      <c r="S223" s="990"/>
      <c r="T223" s="990"/>
      <c r="U223" s="993"/>
      <c r="V223" s="995"/>
      <c r="W223" s="995"/>
      <c r="X223" s="995"/>
      <c r="Y223" s="995"/>
      <c r="Z223" s="995"/>
      <c r="AA223" s="432"/>
      <c r="AB223" s="695"/>
      <c r="AC223" s="3189">
        <v>100</v>
      </c>
      <c r="AD223" s="3190"/>
      <c r="AE223" s="3191"/>
      <c r="AF223" s="3315" t="s">
        <v>3119</v>
      </c>
      <c r="AG223" s="3316"/>
      <c r="AH223" s="3327">
        <v>6</v>
      </c>
      <c r="AI223" s="3328"/>
      <c r="AJ223" s="3310" t="str">
        <f>CONCATENATE(LOOKUP(AC223,calc!M77:M134,calc!O77:O134),LOOKUP(AC223,calc!M77:M134,calc!P77:P134))</f>
        <v>28010</v>
      </c>
      <c r="AK223" s="3305"/>
      <c r="AL223" s="3305"/>
      <c r="AM223" s="3305" t="str">
        <f>LOOKUP(AC223,calc!M77:M134,calc!R77:R134)</f>
        <v>12</v>
      </c>
      <c r="AN223" s="3306"/>
      <c r="AO223" s="3313" t="str">
        <f>IF(V217="MANUAL",calc!U168,AJ223)</f>
        <v>31015</v>
      </c>
      <c r="AP223" s="3314"/>
      <c r="AQ223" s="3314"/>
      <c r="AR223" s="3311">
        <f>IF(V217="MANUAL",IF(ISERR(calc!S168),"",calc!S168),AM223)</f>
        <v>6</v>
      </c>
      <c r="AS223" s="3312"/>
      <c r="AT223" s="432"/>
      <c r="AU223" s="508"/>
      <c r="AV223" s="508"/>
      <c r="AW223" s="508"/>
      <c r="AX223" s="508"/>
      <c r="AY223" s="508"/>
      <c r="AZ223" s="432"/>
      <c r="BA223" s="423"/>
      <c r="BB223" s="423"/>
      <c r="BC223" s="423"/>
      <c r="BD223" s="423"/>
      <c r="BE223" s="423"/>
      <c r="BF223" s="423"/>
      <c r="BG223" s="423"/>
      <c r="BH223" s="423"/>
      <c r="BI223" s="423"/>
      <c r="BJ223" s="423"/>
      <c r="BK223" s="423"/>
      <c r="BL223" s="423"/>
      <c r="BM223" s="423"/>
      <c r="BN223" s="423"/>
      <c r="BO223" s="423"/>
      <c r="BP223" s="423"/>
      <c r="BQ223" s="423"/>
      <c r="BR223" s="423"/>
      <c r="BS223" s="423"/>
      <c r="BT223" s="423"/>
      <c r="BU223" s="423"/>
      <c r="BV223" s="423"/>
      <c r="BW223" s="423"/>
      <c r="BX223" s="423"/>
      <c r="BY223" s="423"/>
      <c r="BZ223" s="423"/>
      <c r="CA223" s="423"/>
      <c r="CB223" s="423"/>
      <c r="CC223" s="423"/>
      <c r="CD223" s="423"/>
      <c r="CE223" s="432"/>
      <c r="CF223" s="432"/>
      <c r="CG223" s="432"/>
      <c r="CH223" s="432"/>
      <c r="CI223" s="432"/>
      <c r="CJ223" s="432"/>
      <c r="CK223" s="432"/>
      <c r="CL223" s="632"/>
      <c r="CM223" s="633"/>
      <c r="CN223" s="513"/>
      <c r="CO223" s="513"/>
      <c r="CP223" s="432"/>
      <c r="CQ223" s="432"/>
      <c r="CR223" s="432"/>
      <c r="CS223" s="432"/>
      <c r="CT223" s="432"/>
      <c r="CU223" s="634"/>
      <c r="CV223" s="634"/>
      <c r="CW223" s="432"/>
      <c r="CX223" s="513"/>
      <c r="CY223" s="513"/>
      <c r="CZ223" s="432"/>
      <c r="DA223" s="432"/>
      <c r="DB223" s="432"/>
      <c r="DC223" s="432"/>
      <c r="DD223" s="432"/>
      <c r="DE223" s="432"/>
      <c r="DF223" s="423"/>
      <c r="DG223" s="423"/>
      <c r="DH223" s="423"/>
      <c r="DI223" s="423"/>
      <c r="DJ223" s="423"/>
      <c r="DK223" s="423"/>
      <c r="DL223" s="423"/>
      <c r="DM223" s="423"/>
      <c r="DN223" s="423"/>
      <c r="DO223" s="423"/>
      <c r="DP223" s="423"/>
      <c r="DQ223" s="423"/>
      <c r="DR223" s="423"/>
      <c r="DS223" s="423"/>
      <c r="DT223" s="423"/>
      <c r="DU223" s="423"/>
      <c r="DV223" s="423"/>
      <c r="DW223" s="423"/>
      <c r="DX223" s="423"/>
      <c r="DY223" s="423"/>
      <c r="DZ223" s="423"/>
      <c r="EA223" s="423"/>
      <c r="EB223" s="423"/>
      <c r="EC223" s="423"/>
      <c r="ED223" s="423"/>
    </row>
    <row r="224" spans="1:134" ht="20.25" customHeight="1">
      <c r="A224" s="423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1599" t="s">
        <v>298</v>
      </c>
      <c r="R224" s="990"/>
      <c r="S224" s="990"/>
      <c r="T224" s="990"/>
      <c r="U224" s="993"/>
      <c r="V224" s="995"/>
      <c r="W224" s="995"/>
      <c r="X224" s="995"/>
      <c r="Y224" s="995"/>
      <c r="Z224" s="995"/>
      <c r="AA224" s="432"/>
      <c r="AB224" s="695"/>
      <c r="AC224" s="3186">
        <v>90</v>
      </c>
      <c r="AD224" s="3187"/>
      <c r="AE224" s="3188"/>
      <c r="AF224" s="3315"/>
      <c r="AG224" s="3316"/>
      <c r="AH224" s="3327"/>
      <c r="AI224" s="3328"/>
      <c r="AJ224" s="3170" t="str">
        <f>CONCATENATE(LOOKUP(AC224,calc!M77:M134,calc!O77:O134),LOOKUP(AC224,calc!M77:M134,calc!P77:P134))</f>
        <v>28010</v>
      </c>
      <c r="AK224" s="3171"/>
      <c r="AL224" s="3171"/>
      <c r="AM224" s="3171" t="str">
        <f>LOOKUP(AC224,calc!M77:M134,calc!R77:R134)</f>
        <v>14</v>
      </c>
      <c r="AN224" s="3304"/>
      <c r="AO224" s="2998" t="str">
        <f>IF(V217="MANUAL",calc!U165,AJ224)</f>
        <v>31015</v>
      </c>
      <c r="AP224" s="2999"/>
      <c r="AQ224" s="2999"/>
      <c r="AR224" s="3317">
        <f>IF(V217="MANUAL",IF(ISERR(calc!S165),"",calc!S165),AM224)</f>
        <v>9.5</v>
      </c>
      <c r="AS224" s="3318"/>
      <c r="AT224" s="432"/>
      <c r="AU224" s="432"/>
      <c r="AV224" s="432"/>
      <c r="AW224" s="432"/>
      <c r="AX224" s="432"/>
      <c r="AY224" s="432"/>
      <c r="AZ224" s="432"/>
      <c r="BA224" s="423"/>
      <c r="BB224" s="423"/>
      <c r="BC224" s="423"/>
      <c r="BD224" s="423"/>
      <c r="BE224" s="423"/>
      <c r="BF224" s="423"/>
      <c r="BG224" s="423"/>
      <c r="BH224" s="423"/>
      <c r="BI224" s="423"/>
      <c r="BJ224" s="423"/>
      <c r="BK224" s="423"/>
      <c r="BL224" s="423"/>
      <c r="BM224" s="423"/>
      <c r="BN224" s="423"/>
      <c r="BO224" s="423"/>
      <c r="BP224" s="423"/>
      <c r="BQ224" s="423"/>
      <c r="BR224" s="423"/>
      <c r="BS224" s="423"/>
      <c r="BT224" s="423"/>
      <c r="BU224" s="423"/>
      <c r="BV224" s="423"/>
      <c r="BW224" s="423"/>
      <c r="BX224" s="423"/>
      <c r="BY224" s="423"/>
      <c r="BZ224" s="423"/>
      <c r="CA224" s="423"/>
      <c r="CB224" s="423"/>
      <c r="CC224" s="423"/>
      <c r="CD224" s="423"/>
      <c r="CE224" s="432"/>
      <c r="CF224" s="432"/>
      <c r="CG224" s="432"/>
      <c r="CH224" s="432"/>
      <c r="CI224" s="432"/>
      <c r="CJ224" s="432"/>
      <c r="CK224" s="432"/>
      <c r="CL224" s="632"/>
      <c r="CM224" s="633"/>
      <c r="CN224" s="513"/>
      <c r="CO224" s="513"/>
      <c r="CP224" s="432"/>
      <c r="CQ224" s="432"/>
      <c r="CR224" s="432"/>
      <c r="CS224" s="432"/>
      <c r="CT224" s="432"/>
      <c r="CU224" s="432"/>
      <c r="CV224" s="432"/>
      <c r="CW224" s="432"/>
      <c r="CX224" s="513"/>
      <c r="CY224" s="513"/>
      <c r="CZ224" s="432"/>
      <c r="DA224" s="432"/>
      <c r="DB224" s="432"/>
      <c r="DC224" s="432"/>
      <c r="DD224" s="432"/>
      <c r="DE224" s="432"/>
      <c r="DF224" s="423"/>
      <c r="DG224" s="423"/>
      <c r="DH224" s="423"/>
      <c r="DI224" s="423"/>
      <c r="DJ224" s="423"/>
      <c r="DK224" s="423"/>
      <c r="DL224" s="423"/>
      <c r="DM224" s="423"/>
      <c r="DN224" s="423"/>
      <c r="DO224" s="423"/>
      <c r="DP224" s="423"/>
      <c r="DQ224" s="423"/>
      <c r="DR224" s="423"/>
      <c r="DS224" s="423"/>
      <c r="DT224" s="423"/>
      <c r="DU224" s="423"/>
      <c r="DV224" s="423"/>
      <c r="DW224" s="423"/>
      <c r="DX224" s="423"/>
      <c r="DY224" s="423"/>
      <c r="DZ224" s="423"/>
      <c r="EA224" s="423"/>
      <c r="EB224" s="423"/>
      <c r="EC224" s="423"/>
      <c r="ED224" s="423"/>
    </row>
    <row r="225" spans="1:134" ht="20.25" customHeight="1">
      <c r="A225" s="423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1600"/>
      <c r="R225" s="990"/>
      <c r="S225" s="990"/>
      <c r="T225" s="990"/>
      <c r="U225" s="990"/>
      <c r="V225" s="988"/>
      <c r="W225" s="988"/>
      <c r="X225" s="988"/>
      <c r="Y225" s="988"/>
      <c r="Z225" s="988"/>
      <c r="AA225" s="423"/>
      <c r="AB225" s="1735"/>
      <c r="AC225" s="3189">
        <v>80</v>
      </c>
      <c r="AD225" s="3190"/>
      <c r="AE225" s="3191"/>
      <c r="AF225" s="3315" t="s">
        <v>2908</v>
      </c>
      <c r="AG225" s="3316"/>
      <c r="AH225" s="3327">
        <v>13</v>
      </c>
      <c r="AI225" s="3328"/>
      <c r="AJ225" s="3310" t="str">
        <f>CONCATENATE(LOOKUP(AC225,calc!M77:M134,calc!O77:O134),LOOKUP(AC225,calc!M77:M134,calc!P77:P134))</f>
        <v>28010</v>
      </c>
      <c r="AK225" s="3305"/>
      <c r="AL225" s="3305"/>
      <c r="AM225" s="3305" t="str">
        <f>LOOKUP(AC225,calc!M77:M134,calc!R77:R134)</f>
        <v>16</v>
      </c>
      <c r="AN225" s="3306"/>
      <c r="AO225" s="3313" t="str">
        <f>IF(V217="MANUAL",calc!U162,AJ225)</f>
        <v>30015</v>
      </c>
      <c r="AP225" s="3314"/>
      <c r="AQ225" s="3314"/>
      <c r="AR225" s="3311">
        <f>IF(V217="MANUAL",IF(ISERR(calc!S162),"",calc!S162),AM225)</f>
        <v>13</v>
      </c>
      <c r="AS225" s="3312"/>
      <c r="AT225" s="423"/>
      <c r="AU225" s="432"/>
      <c r="AV225" s="432"/>
      <c r="AW225" s="432"/>
      <c r="AX225" s="432"/>
      <c r="AY225" s="432"/>
      <c r="AZ225" s="432"/>
      <c r="BA225" s="423"/>
      <c r="BB225" s="423"/>
      <c r="BC225" s="423"/>
      <c r="BD225" s="423"/>
      <c r="BE225" s="423"/>
      <c r="BF225" s="423"/>
      <c r="BG225" s="423"/>
      <c r="BH225" s="423"/>
      <c r="BI225" s="423"/>
      <c r="BJ225" s="423"/>
      <c r="BK225" s="423"/>
      <c r="BL225" s="423"/>
      <c r="BM225" s="423"/>
      <c r="BN225" s="423"/>
      <c r="BO225" s="423"/>
      <c r="BP225" s="423"/>
      <c r="BQ225" s="423"/>
      <c r="BR225" s="423"/>
      <c r="BS225" s="423"/>
      <c r="BT225" s="423"/>
      <c r="BU225" s="423"/>
      <c r="BV225" s="423"/>
      <c r="BW225" s="423"/>
      <c r="BX225" s="423"/>
      <c r="BY225" s="423"/>
      <c r="BZ225" s="423"/>
      <c r="CA225" s="423"/>
      <c r="CB225" s="423"/>
      <c r="CC225" s="423"/>
      <c r="CD225" s="423"/>
      <c r="CE225" s="432"/>
      <c r="CF225" s="432"/>
      <c r="CG225" s="432"/>
      <c r="CH225" s="432"/>
      <c r="CI225" s="432"/>
      <c r="CJ225" s="432"/>
      <c r="CK225" s="432"/>
      <c r="CL225" s="632"/>
      <c r="CM225" s="633"/>
      <c r="CN225" s="513"/>
      <c r="CO225" s="513"/>
      <c r="CP225" s="432"/>
      <c r="CQ225" s="432"/>
      <c r="CR225" s="432"/>
      <c r="CS225" s="432"/>
      <c r="CT225" s="432"/>
      <c r="CU225" s="432"/>
      <c r="CV225" s="432"/>
      <c r="CW225" s="432"/>
      <c r="CX225" s="513"/>
      <c r="CY225" s="513"/>
      <c r="CZ225" s="432"/>
      <c r="DA225" s="432"/>
      <c r="DB225" s="432"/>
      <c r="DC225" s="432"/>
      <c r="DD225" s="432"/>
      <c r="DE225" s="432"/>
      <c r="DF225" s="423"/>
      <c r="DG225" s="423"/>
      <c r="DH225" s="423"/>
      <c r="DI225" s="423"/>
      <c r="DJ225" s="423"/>
      <c r="DK225" s="423"/>
      <c r="DL225" s="423"/>
      <c r="DM225" s="423"/>
      <c r="DN225" s="423"/>
      <c r="DO225" s="423"/>
      <c r="DP225" s="423"/>
      <c r="DQ225" s="423"/>
      <c r="DR225" s="423"/>
      <c r="DS225" s="423"/>
      <c r="DT225" s="423"/>
      <c r="DU225" s="423"/>
      <c r="DV225" s="423"/>
      <c r="DW225" s="423"/>
      <c r="DX225" s="423"/>
      <c r="DY225" s="423"/>
      <c r="DZ225" s="423"/>
      <c r="EA225" s="423"/>
      <c r="EB225" s="423"/>
      <c r="EC225" s="423"/>
      <c r="ED225" s="423"/>
    </row>
    <row r="226" spans="1:134" ht="20.25" customHeight="1">
      <c r="A226" s="423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1599" t="s">
        <v>299</v>
      </c>
      <c r="R226" s="990"/>
      <c r="S226" s="990"/>
      <c r="T226" s="990"/>
      <c r="U226" s="990"/>
      <c r="V226" s="988"/>
      <c r="W226" s="988"/>
      <c r="X226" s="988"/>
      <c r="Y226" s="988"/>
      <c r="Z226" s="988"/>
      <c r="AA226" s="423"/>
      <c r="AB226" s="1735"/>
      <c r="AC226" s="3186">
        <v>70</v>
      </c>
      <c r="AD226" s="3187"/>
      <c r="AE226" s="3188"/>
      <c r="AF226" s="3315"/>
      <c r="AG226" s="3316"/>
      <c r="AH226" s="3327"/>
      <c r="AI226" s="3328"/>
      <c r="AJ226" s="3170" t="str">
        <f>CONCATENATE(LOOKUP(AC226,calc!M77:M134,calc!O77:O134),LOOKUP(AC226,calc!M77:M134,calc!P77:P134))</f>
        <v>28010</v>
      </c>
      <c r="AK226" s="3171"/>
      <c r="AL226" s="3171"/>
      <c r="AM226" s="3171" t="str">
        <f>LOOKUP(AC226,calc!M77:M134,calc!R77:R134)</f>
        <v>18</v>
      </c>
      <c r="AN226" s="3304"/>
      <c r="AO226" s="2998" t="str">
        <f>IF(V217="MANUAL",calc!U159,AJ226)</f>
        <v>30020</v>
      </c>
      <c r="AP226" s="2999"/>
      <c r="AQ226" s="2999"/>
      <c r="AR226" s="3317">
        <f>IF(V217="MANUAL",IF(ISERR(calc!S159),"",calc!S159),AM226)</f>
        <v>17.5</v>
      </c>
      <c r="AS226" s="3318"/>
      <c r="AT226" s="423"/>
      <c r="AU226" s="432"/>
      <c r="AV226" s="432"/>
      <c r="AW226" s="432"/>
      <c r="AX226" s="432"/>
      <c r="AY226" s="432"/>
      <c r="AZ226" s="432"/>
      <c r="BA226" s="423"/>
      <c r="BB226" s="423"/>
      <c r="BC226" s="423"/>
      <c r="BD226" s="423"/>
      <c r="BE226" s="423"/>
      <c r="BF226" s="423"/>
      <c r="BG226" s="423"/>
      <c r="BH226" s="423"/>
      <c r="BI226" s="423"/>
      <c r="BJ226" s="423"/>
      <c r="BK226" s="423"/>
      <c r="BL226" s="423"/>
      <c r="BM226" s="423"/>
      <c r="BN226" s="423"/>
      <c r="BO226" s="423"/>
      <c r="BP226" s="423"/>
      <c r="BQ226" s="423"/>
      <c r="BR226" s="423"/>
      <c r="BS226" s="423"/>
      <c r="BT226" s="423"/>
      <c r="BU226" s="423"/>
      <c r="BV226" s="423"/>
      <c r="BW226" s="423"/>
      <c r="BX226" s="423"/>
      <c r="BY226" s="423"/>
      <c r="BZ226" s="423"/>
      <c r="CA226" s="423"/>
      <c r="CB226" s="423"/>
      <c r="CC226" s="423"/>
      <c r="CD226" s="423"/>
      <c r="CE226" s="432"/>
      <c r="CF226" s="432"/>
      <c r="CG226" s="432"/>
      <c r="CH226" s="432"/>
      <c r="CI226" s="432"/>
      <c r="CJ226" s="432"/>
      <c r="CK226" s="432"/>
      <c r="CL226" s="632"/>
      <c r="CM226" s="633"/>
      <c r="CN226" s="513"/>
      <c r="CO226" s="513"/>
      <c r="CP226" s="432"/>
      <c r="CQ226" s="432"/>
      <c r="CR226" s="432"/>
      <c r="CS226" s="432"/>
      <c r="CT226" s="432"/>
      <c r="CU226" s="432"/>
      <c r="CV226" s="432"/>
      <c r="CW226" s="432"/>
      <c r="CX226" s="513"/>
      <c r="CY226" s="513"/>
      <c r="CZ226" s="432"/>
      <c r="DA226" s="432"/>
      <c r="DB226" s="432"/>
      <c r="DC226" s="432"/>
      <c r="DD226" s="432"/>
      <c r="DE226" s="432"/>
      <c r="DF226" s="423"/>
      <c r="DG226" s="423"/>
      <c r="DH226" s="423"/>
      <c r="DI226" s="423"/>
      <c r="DJ226" s="423"/>
      <c r="DK226" s="423"/>
      <c r="DL226" s="423"/>
      <c r="DM226" s="423"/>
      <c r="DN226" s="423"/>
      <c r="DO226" s="423"/>
      <c r="DP226" s="423"/>
      <c r="DQ226" s="423"/>
      <c r="DR226" s="423"/>
      <c r="DS226" s="423"/>
      <c r="DT226" s="423"/>
      <c r="DU226" s="423"/>
      <c r="DV226" s="423"/>
      <c r="DW226" s="423"/>
      <c r="DX226" s="423"/>
      <c r="DY226" s="423"/>
      <c r="DZ226" s="423"/>
      <c r="EA226" s="423"/>
      <c r="EB226" s="423"/>
      <c r="EC226" s="423"/>
      <c r="ED226" s="423"/>
    </row>
    <row r="227" spans="1:134" ht="20.25" customHeight="1">
      <c r="A227" s="423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1600" t="s">
        <v>301</v>
      </c>
      <c r="R227" s="990"/>
      <c r="S227" s="990"/>
      <c r="T227" s="990"/>
      <c r="U227" s="990"/>
      <c r="V227" s="990"/>
      <c r="W227" s="990"/>
      <c r="X227" s="990"/>
      <c r="Y227" s="990"/>
      <c r="Z227" s="990"/>
      <c r="AA227" s="983"/>
      <c r="AB227" s="1735"/>
      <c r="AC227" s="3189">
        <v>60</v>
      </c>
      <c r="AD227" s="3190"/>
      <c r="AE227" s="3191"/>
      <c r="AF227" s="3315" t="s">
        <v>3118</v>
      </c>
      <c r="AG227" s="3316"/>
      <c r="AH227" s="3327">
        <v>22</v>
      </c>
      <c r="AI227" s="3328"/>
      <c r="AJ227" s="3310" t="str">
        <f>CONCATENATE(LOOKUP(AC227,calc!M77:M134,calc!O77:O134),LOOKUP(AC227,calc!M77:M134,calc!P77:P134))</f>
        <v>28015</v>
      </c>
      <c r="AK227" s="3305"/>
      <c r="AL227" s="3305"/>
      <c r="AM227" s="3305" t="str">
        <f>LOOKUP(AC227,calc!M77:M134,calc!R77:R134)</f>
        <v>19</v>
      </c>
      <c r="AN227" s="3306"/>
      <c r="AO227" s="3313" t="str">
        <f>IF(V217="MANUAL",calc!U156,AJ227)</f>
        <v>29020</v>
      </c>
      <c r="AP227" s="3314"/>
      <c r="AQ227" s="3314"/>
      <c r="AR227" s="3311">
        <f>IF(V217="MANUAL",IF(ISERR(calc!S156),"",calc!S156),AM227)</f>
        <v>22</v>
      </c>
      <c r="AS227" s="3312"/>
      <c r="AT227" s="423"/>
      <c r="AU227" s="431"/>
      <c r="AV227" s="529"/>
      <c r="AW227" s="432"/>
      <c r="AX227" s="432"/>
      <c r="AY227" s="432"/>
      <c r="AZ227" s="432"/>
      <c r="BA227" s="423"/>
      <c r="BB227" s="423"/>
      <c r="BC227" s="423"/>
      <c r="BD227" s="423"/>
      <c r="BE227" s="423"/>
      <c r="BF227" s="423"/>
      <c r="BG227" s="423"/>
      <c r="BH227" s="423"/>
      <c r="BI227" s="423"/>
      <c r="BJ227" s="423"/>
      <c r="BK227" s="423"/>
      <c r="BL227" s="423"/>
      <c r="BM227" s="423"/>
      <c r="BN227" s="423"/>
      <c r="BO227" s="423"/>
      <c r="BP227" s="423"/>
      <c r="BQ227" s="423"/>
      <c r="BR227" s="423"/>
      <c r="BS227" s="423"/>
      <c r="BT227" s="423"/>
      <c r="BU227" s="423"/>
      <c r="BV227" s="423"/>
      <c r="BW227" s="423"/>
      <c r="BX227" s="423"/>
      <c r="BY227" s="423"/>
      <c r="BZ227" s="423"/>
      <c r="CA227" s="423"/>
      <c r="CB227" s="423"/>
      <c r="CC227" s="423"/>
      <c r="CD227" s="423"/>
      <c r="CE227" s="432"/>
      <c r="CF227" s="432"/>
      <c r="CG227" s="432"/>
      <c r="CH227" s="432"/>
      <c r="CI227" s="432"/>
      <c r="CJ227" s="432"/>
      <c r="CK227" s="432"/>
      <c r="CL227" s="632"/>
      <c r="CM227" s="633"/>
      <c r="CN227" s="513"/>
      <c r="CO227" s="513"/>
      <c r="CP227" s="432"/>
      <c r="CQ227" s="432"/>
      <c r="CR227" s="432"/>
      <c r="CS227" s="432"/>
      <c r="CT227" s="432"/>
      <c r="CU227" s="432"/>
      <c r="CV227" s="432"/>
      <c r="CW227" s="432"/>
      <c r="CX227" s="513"/>
      <c r="CY227" s="513"/>
      <c r="CZ227" s="432"/>
      <c r="DA227" s="432"/>
      <c r="DB227" s="432"/>
      <c r="DC227" s="432"/>
      <c r="DD227" s="432"/>
      <c r="DE227" s="432"/>
      <c r="DF227" s="423"/>
      <c r="DG227" s="423"/>
      <c r="DH227" s="423"/>
      <c r="DI227" s="423"/>
      <c r="DJ227" s="423"/>
      <c r="DK227" s="423"/>
      <c r="DL227" s="423"/>
      <c r="DM227" s="423"/>
      <c r="DN227" s="423"/>
      <c r="DO227" s="423"/>
      <c r="DP227" s="423"/>
      <c r="DQ227" s="423"/>
      <c r="DR227" s="423"/>
      <c r="DS227" s="423"/>
      <c r="DT227" s="423"/>
      <c r="DU227" s="423"/>
      <c r="DV227" s="423"/>
      <c r="DW227" s="423"/>
      <c r="DX227" s="423"/>
      <c r="DY227" s="423"/>
      <c r="DZ227" s="423"/>
      <c r="EA227" s="423"/>
      <c r="EB227" s="423"/>
      <c r="EC227" s="423"/>
      <c r="ED227" s="423"/>
    </row>
    <row r="228" spans="1:134" ht="20.25" customHeight="1">
      <c r="A228" s="423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1599" t="s">
        <v>3017</v>
      </c>
      <c r="R228" s="990"/>
      <c r="S228" s="990" t="s">
        <v>233</v>
      </c>
      <c r="T228" s="990"/>
      <c r="U228" s="990"/>
      <c r="V228" s="990"/>
      <c r="W228" s="990"/>
      <c r="X228" s="990"/>
      <c r="Y228" s="990"/>
      <c r="Z228" s="990"/>
      <c r="AA228" s="983"/>
      <c r="AB228" s="1735"/>
      <c r="AC228" s="3186">
        <v>50</v>
      </c>
      <c r="AD228" s="3187"/>
      <c r="AE228" s="3188"/>
      <c r="AF228" s="3315"/>
      <c r="AG228" s="3316"/>
      <c r="AH228" s="3327"/>
      <c r="AI228" s="3328"/>
      <c r="AJ228" s="3170" t="str">
        <f>CONCATENATE(LOOKUP(AC228,calc!M77:M134,calc!O77:O134),LOOKUP(AC228,calc!M77:M134,calc!P77:P134))</f>
        <v>27015</v>
      </c>
      <c r="AK228" s="3171"/>
      <c r="AL228" s="3171"/>
      <c r="AM228" s="3171" t="str">
        <f>LOOKUP(AC228,calc!M77:M134,calc!R77:R134)</f>
        <v>22</v>
      </c>
      <c r="AN228" s="3304"/>
      <c r="AO228" s="2998" t="str">
        <f>IF(V217="MANUAL",calc!U153,AJ228)</f>
        <v>29020</v>
      </c>
      <c r="AP228" s="2999"/>
      <c r="AQ228" s="2999"/>
      <c r="AR228" s="3317">
        <f>IF(V217="MANUAL",IF(ISERR(calc!S153),"",calc!S153),AM228)</f>
        <v>23.5</v>
      </c>
      <c r="AS228" s="3318"/>
      <c r="AT228" s="423"/>
      <c r="AU228" s="432"/>
      <c r="AV228" s="432"/>
      <c r="AW228" s="432"/>
      <c r="AX228" s="432"/>
      <c r="AY228" s="432"/>
      <c r="AZ228" s="432"/>
      <c r="BA228" s="423"/>
      <c r="BB228" s="423"/>
      <c r="BC228" s="423"/>
      <c r="BD228" s="423"/>
      <c r="BE228" s="423"/>
      <c r="BF228" s="423"/>
      <c r="BG228" s="423"/>
      <c r="BH228" s="423"/>
      <c r="BI228" s="423"/>
      <c r="BJ228" s="423"/>
      <c r="BK228" s="423"/>
      <c r="BL228" s="423"/>
      <c r="BM228" s="423"/>
      <c r="BN228" s="423"/>
      <c r="BO228" s="423"/>
      <c r="BP228" s="423"/>
      <c r="BQ228" s="423"/>
      <c r="BR228" s="423"/>
      <c r="BS228" s="423"/>
      <c r="BT228" s="423"/>
      <c r="BU228" s="423"/>
      <c r="BV228" s="423"/>
      <c r="BW228" s="423"/>
      <c r="BX228" s="423"/>
      <c r="BY228" s="423"/>
      <c r="BZ228" s="423"/>
      <c r="CA228" s="423"/>
      <c r="CB228" s="423"/>
      <c r="CC228" s="423"/>
      <c r="CD228" s="423"/>
      <c r="CE228" s="432"/>
      <c r="CF228" s="432"/>
      <c r="CG228" s="432"/>
      <c r="CH228" s="432"/>
      <c r="CI228" s="432"/>
      <c r="CJ228" s="432"/>
      <c r="CK228" s="432"/>
      <c r="CL228" s="632"/>
      <c r="CM228" s="633"/>
      <c r="CN228" s="513"/>
      <c r="CO228" s="513"/>
      <c r="CP228" s="432"/>
      <c r="CQ228" s="432"/>
      <c r="CR228" s="432"/>
      <c r="CS228" s="432"/>
      <c r="CT228" s="432"/>
      <c r="CU228" s="432"/>
      <c r="CV228" s="432"/>
      <c r="CW228" s="432"/>
      <c r="CX228" s="513"/>
      <c r="CY228" s="513"/>
      <c r="CZ228" s="432"/>
      <c r="DA228" s="432"/>
      <c r="DB228" s="432"/>
      <c r="DC228" s="432"/>
      <c r="DD228" s="432"/>
      <c r="DE228" s="432"/>
      <c r="DF228" s="423"/>
      <c r="DG228" s="423"/>
      <c r="DH228" s="423"/>
      <c r="DI228" s="423"/>
      <c r="DJ228" s="423"/>
      <c r="DK228" s="423"/>
      <c r="DL228" s="423"/>
      <c r="DM228" s="423"/>
      <c r="DN228" s="423"/>
      <c r="DO228" s="423"/>
      <c r="DP228" s="423"/>
      <c r="DQ228" s="423"/>
      <c r="DR228" s="423"/>
      <c r="DS228" s="423"/>
      <c r="DT228" s="423"/>
      <c r="DU228" s="423"/>
      <c r="DV228" s="423"/>
      <c r="DW228" s="423"/>
      <c r="DX228" s="423"/>
      <c r="DY228" s="423"/>
      <c r="DZ228" s="423"/>
      <c r="EA228" s="423"/>
      <c r="EB228" s="423"/>
      <c r="EC228" s="423"/>
      <c r="ED228" s="423"/>
    </row>
    <row r="229" spans="1:134" ht="20.25" customHeight="1">
      <c r="A229" s="423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1599" t="s">
        <v>3018</v>
      </c>
      <c r="R229" s="990" t="s">
        <v>300</v>
      </c>
      <c r="S229" s="990"/>
      <c r="T229" s="990"/>
      <c r="U229" s="990"/>
      <c r="V229" s="990"/>
      <c r="W229" s="990"/>
      <c r="X229" s="990"/>
      <c r="Y229" s="990"/>
      <c r="Z229" s="990"/>
      <c r="AA229" s="983"/>
      <c r="AB229" s="1735"/>
      <c r="AC229" s="3189">
        <v>40</v>
      </c>
      <c r="AD229" s="3190"/>
      <c r="AE229" s="3191"/>
      <c r="AF229" s="3315" t="s">
        <v>3117</v>
      </c>
      <c r="AG229" s="3316"/>
      <c r="AH229" s="3327">
        <v>25</v>
      </c>
      <c r="AI229" s="3328"/>
      <c r="AJ229" s="3310" t="str">
        <f>CONCATENATE(LOOKUP(AC229,calc!M77:M134,calc!O77:O134),LOOKUP(AC229,calc!M77:M134,calc!P77:P134))</f>
        <v>25015</v>
      </c>
      <c r="AK229" s="3305"/>
      <c r="AL229" s="3305"/>
      <c r="AM229" s="3305" t="str">
        <f>LOOKUP(AC229,calc!M77:M134,calc!R77:R134)</f>
        <v>24</v>
      </c>
      <c r="AN229" s="3306"/>
      <c r="AO229" s="3313" t="str">
        <f>IF(V217="MANUAL",calc!U150,AJ229)</f>
        <v>28015</v>
      </c>
      <c r="AP229" s="3314"/>
      <c r="AQ229" s="3314"/>
      <c r="AR229" s="3311">
        <f>IF(V217="MANUAL",IF(ISERR(calc!S150),"",calc!S150),AM229)</f>
        <v>25</v>
      </c>
      <c r="AS229" s="3312"/>
      <c r="AT229" s="423"/>
      <c r="AU229" s="432"/>
      <c r="AV229" s="432"/>
      <c r="AW229" s="432"/>
      <c r="AX229" s="432"/>
      <c r="AY229" s="432"/>
      <c r="AZ229" s="432"/>
      <c r="BA229" s="423"/>
      <c r="BB229" s="423"/>
      <c r="BC229" s="423"/>
      <c r="BD229" s="423"/>
      <c r="BE229" s="423"/>
      <c r="BF229" s="423"/>
      <c r="BG229" s="423"/>
      <c r="BH229" s="423"/>
      <c r="BI229" s="423"/>
      <c r="BJ229" s="423"/>
      <c r="BK229" s="423"/>
      <c r="BL229" s="423"/>
      <c r="BM229" s="423"/>
      <c r="BN229" s="423"/>
      <c r="BO229" s="423"/>
      <c r="BP229" s="423"/>
      <c r="BQ229" s="423"/>
      <c r="BR229" s="423"/>
      <c r="BS229" s="423"/>
      <c r="BT229" s="423"/>
      <c r="BU229" s="423"/>
      <c r="BV229" s="423"/>
      <c r="BW229" s="423"/>
      <c r="BX229" s="423"/>
      <c r="BY229" s="423"/>
      <c r="BZ229" s="423"/>
      <c r="CA229" s="423"/>
      <c r="CB229" s="423"/>
      <c r="CC229" s="423"/>
      <c r="CD229" s="423"/>
      <c r="CE229" s="432"/>
      <c r="CF229" s="432"/>
      <c r="CG229" s="432"/>
      <c r="CH229" s="432"/>
      <c r="CI229" s="432"/>
      <c r="CJ229" s="432"/>
      <c r="CK229" s="432"/>
      <c r="CL229" s="632"/>
      <c r="CM229" s="633"/>
      <c r="CN229" s="513"/>
      <c r="CO229" s="513"/>
      <c r="CP229" s="432"/>
      <c r="CQ229" s="432"/>
      <c r="CR229" s="432"/>
      <c r="CS229" s="432"/>
      <c r="CT229" s="432"/>
      <c r="CU229" s="432"/>
      <c r="CV229" s="432"/>
      <c r="CW229" s="432"/>
      <c r="CX229" s="513"/>
      <c r="CY229" s="513"/>
      <c r="CZ229" s="432"/>
      <c r="DA229" s="432"/>
      <c r="DB229" s="432"/>
      <c r="DC229" s="432"/>
      <c r="DD229" s="432"/>
      <c r="DE229" s="432"/>
      <c r="DF229" s="423"/>
      <c r="DG229" s="423"/>
      <c r="DH229" s="423"/>
      <c r="DI229" s="423"/>
      <c r="DJ229" s="423"/>
      <c r="DK229" s="423"/>
      <c r="DL229" s="423"/>
      <c r="DM229" s="423"/>
      <c r="DN229" s="423"/>
      <c r="DO229" s="423"/>
      <c r="DP229" s="423"/>
      <c r="DQ229" s="423"/>
      <c r="DR229" s="423"/>
      <c r="DS229" s="423"/>
      <c r="DT229" s="423"/>
      <c r="DU229" s="423"/>
      <c r="DV229" s="423"/>
      <c r="DW229" s="423"/>
      <c r="DX229" s="423"/>
      <c r="DY229" s="423"/>
      <c r="DZ229" s="423"/>
      <c r="EA229" s="423"/>
      <c r="EB229" s="423"/>
      <c r="EC229" s="423"/>
      <c r="ED229" s="423"/>
    </row>
    <row r="230" spans="1:134" ht="20.25" customHeight="1">
      <c r="A230" s="423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1599" t="s">
        <v>3019</v>
      </c>
      <c r="R230" s="990" t="s">
        <v>302</v>
      </c>
      <c r="S230" s="990"/>
      <c r="T230" s="990"/>
      <c r="U230" s="990"/>
      <c r="V230" s="990"/>
      <c r="W230" s="990"/>
      <c r="X230" s="990"/>
      <c r="Y230" s="990">
        <v>1</v>
      </c>
      <c r="Z230" s="990"/>
      <c r="AA230" s="983"/>
      <c r="AB230" s="1735"/>
      <c r="AC230" s="3186">
        <v>30</v>
      </c>
      <c r="AD230" s="3187"/>
      <c r="AE230" s="3188"/>
      <c r="AF230" s="3315"/>
      <c r="AG230" s="3316"/>
      <c r="AH230" s="3327"/>
      <c r="AI230" s="3328"/>
      <c r="AJ230" s="3170" t="str">
        <f>CONCATENATE(LOOKUP(AC230,calc!M77:M134,calc!O77:O134),LOOKUP(AC230,calc!M77:M134,calc!P77:P134))</f>
        <v>26015</v>
      </c>
      <c r="AK230" s="3171"/>
      <c r="AL230" s="3171"/>
      <c r="AM230" s="3171" t="str">
        <f>LOOKUP(AC230,calc!M77:M134,calc!R77:R134)</f>
        <v>27</v>
      </c>
      <c r="AN230" s="3304"/>
      <c r="AO230" s="2998" t="str">
        <f>IF(V217="MANUAL",calc!U147,AJ230)</f>
        <v>28015</v>
      </c>
      <c r="AP230" s="2999"/>
      <c r="AQ230" s="2999"/>
      <c r="AR230" s="3317">
        <f>IF(V217="MANUAL",IF(ISERR(calc!S147),"",calc!S147),AM230)</f>
        <v>26.5</v>
      </c>
      <c r="AS230" s="3318"/>
      <c r="AT230" s="423"/>
      <c r="AU230" s="432"/>
      <c r="AV230" s="432"/>
      <c r="AW230" s="432"/>
      <c r="AX230" s="432"/>
      <c r="AY230" s="432"/>
      <c r="AZ230" s="432"/>
      <c r="BA230" s="423"/>
      <c r="BB230" s="423"/>
      <c r="BC230" s="423"/>
      <c r="BD230" s="423"/>
      <c r="BE230" s="423"/>
      <c r="BF230" s="423"/>
      <c r="BG230" s="423"/>
      <c r="BH230" s="423"/>
      <c r="BI230" s="423"/>
      <c r="BJ230" s="423"/>
      <c r="BK230" s="423"/>
      <c r="BL230" s="423"/>
      <c r="BM230" s="423"/>
      <c r="BN230" s="423"/>
      <c r="BO230" s="423"/>
      <c r="BP230" s="423"/>
      <c r="BQ230" s="423"/>
      <c r="BR230" s="423"/>
      <c r="BS230" s="423"/>
      <c r="BT230" s="423"/>
      <c r="BU230" s="423"/>
      <c r="BV230" s="423"/>
      <c r="BW230" s="423"/>
      <c r="BX230" s="423"/>
      <c r="BY230" s="423"/>
      <c r="BZ230" s="423"/>
      <c r="CA230" s="423"/>
      <c r="CB230" s="423"/>
      <c r="CC230" s="423"/>
      <c r="CD230" s="423"/>
      <c r="CE230" s="432"/>
      <c r="CF230" s="432"/>
      <c r="CG230" s="432"/>
      <c r="CH230" s="432"/>
      <c r="CI230" s="432"/>
      <c r="CJ230" s="432"/>
      <c r="CK230" s="432"/>
      <c r="CL230" s="632"/>
      <c r="CM230" s="633"/>
      <c r="CN230" s="513"/>
      <c r="CO230" s="513"/>
      <c r="CP230" s="432"/>
      <c r="CQ230" s="432"/>
      <c r="CR230" s="432"/>
      <c r="CS230" s="432"/>
      <c r="CT230" s="432"/>
      <c r="CU230" s="432"/>
      <c r="CV230" s="432"/>
      <c r="CW230" s="432"/>
      <c r="CX230" s="513"/>
      <c r="CY230" s="513"/>
      <c r="CZ230" s="432"/>
      <c r="DA230" s="432"/>
      <c r="DB230" s="432"/>
      <c r="DC230" s="432"/>
      <c r="DD230" s="432"/>
      <c r="DE230" s="432"/>
      <c r="DF230" s="423"/>
      <c r="DG230" s="423"/>
      <c r="DH230" s="423"/>
      <c r="DI230" s="423"/>
      <c r="DJ230" s="423"/>
      <c r="DK230" s="423"/>
      <c r="DL230" s="423"/>
      <c r="DM230" s="423"/>
      <c r="DN230" s="423"/>
      <c r="DO230" s="423"/>
      <c r="DP230" s="423"/>
      <c r="DQ230" s="423"/>
      <c r="DR230" s="423"/>
      <c r="DS230" s="423"/>
      <c r="DT230" s="423"/>
      <c r="DU230" s="423"/>
      <c r="DV230" s="423"/>
      <c r="DW230" s="423"/>
      <c r="DX230" s="423"/>
      <c r="DY230" s="423"/>
      <c r="DZ230" s="423"/>
      <c r="EA230" s="423"/>
      <c r="EB230" s="423"/>
      <c r="EC230" s="423"/>
      <c r="ED230" s="423"/>
    </row>
    <row r="231" spans="1:134" ht="20.25" customHeight="1" thickBot="1">
      <c r="A231" s="423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1599" t="s">
        <v>3020</v>
      </c>
      <c r="R231" s="996" t="s">
        <v>303</v>
      </c>
      <c r="S231" s="996"/>
      <c r="T231" s="996"/>
      <c r="U231" s="990"/>
      <c r="V231" s="990"/>
      <c r="W231" s="990"/>
      <c r="X231" s="990"/>
      <c r="Y231" s="990"/>
      <c r="Z231" s="990"/>
      <c r="AA231" s="983"/>
      <c r="AB231" s="1735"/>
      <c r="AC231" s="3183">
        <v>20</v>
      </c>
      <c r="AD231" s="3184"/>
      <c r="AE231" s="3185"/>
      <c r="AF231" s="3315" t="s">
        <v>2907</v>
      </c>
      <c r="AG231" s="3316"/>
      <c r="AH231" s="3327">
        <v>28</v>
      </c>
      <c r="AI231" s="3328"/>
      <c r="AJ231" s="3010" t="str">
        <f>CONCATENATE(LOOKUP(AC231,calc!M77:M134,calc!O77:O134),LOOKUP(AC231,calc!M77:M134,calc!P77:P134))</f>
        <v>25015</v>
      </c>
      <c r="AK231" s="3011"/>
      <c r="AL231" s="3011"/>
      <c r="AM231" s="3011" t="str">
        <f>LOOKUP(AC231,calc!M77:M134,calc!R77:R134)</f>
        <v>27</v>
      </c>
      <c r="AN231" s="3384"/>
      <c r="AO231" s="3307" t="str">
        <f>IF(V217="MANUAL",calc!U143,AJ231)</f>
        <v>27015</v>
      </c>
      <c r="AP231" s="3308"/>
      <c r="AQ231" s="3308"/>
      <c r="AR231" s="3336">
        <f>IF(V217="MANUAL",IF(ISERR(calc!S143),"",calc!S143),AM231)</f>
        <v>28</v>
      </c>
      <c r="AS231" s="3337"/>
      <c r="AT231" s="423"/>
      <c r="AU231" s="432"/>
      <c r="AV231" s="432"/>
      <c r="AW231" s="432"/>
      <c r="AX231" s="432"/>
      <c r="AY231" s="432"/>
      <c r="AZ231" s="432"/>
      <c r="BA231" s="423"/>
      <c r="BB231" s="423"/>
      <c r="BC231" s="423"/>
      <c r="BD231" s="423"/>
      <c r="BE231" s="423"/>
      <c r="BF231" s="423"/>
      <c r="BG231" s="423"/>
      <c r="BH231" s="423"/>
      <c r="BI231" s="423"/>
      <c r="BJ231" s="423"/>
      <c r="BK231" s="423"/>
      <c r="BL231" s="423"/>
      <c r="BM231" s="423"/>
      <c r="BN231" s="423"/>
      <c r="BO231" s="423"/>
      <c r="BP231" s="423"/>
      <c r="BQ231" s="423"/>
      <c r="BR231" s="423"/>
      <c r="BS231" s="423"/>
      <c r="BT231" s="423"/>
      <c r="BU231" s="423"/>
      <c r="BV231" s="423"/>
      <c r="BW231" s="423"/>
      <c r="BX231" s="423"/>
      <c r="BY231" s="423"/>
      <c r="BZ231" s="423"/>
      <c r="CA231" s="423"/>
      <c r="CB231" s="423"/>
      <c r="CC231" s="423"/>
      <c r="CD231" s="423"/>
      <c r="CE231" s="432"/>
      <c r="CF231" s="432"/>
      <c r="CG231" s="432"/>
      <c r="CH231" s="432"/>
      <c r="CI231" s="432"/>
      <c r="CJ231" s="432"/>
      <c r="CK231" s="432"/>
      <c r="CL231" s="632"/>
      <c r="CM231" s="633"/>
      <c r="CN231" s="513"/>
      <c r="CO231" s="513"/>
      <c r="CP231" s="432"/>
      <c r="CQ231" s="432"/>
      <c r="CR231" s="432"/>
      <c r="CS231" s="432"/>
      <c r="CT231" s="432"/>
      <c r="CU231" s="432"/>
      <c r="CV231" s="432"/>
      <c r="CW231" s="432"/>
      <c r="CX231" s="513"/>
      <c r="CY231" s="513"/>
      <c r="CZ231" s="432"/>
      <c r="DA231" s="432"/>
      <c r="DB231" s="432"/>
      <c r="DC231" s="432"/>
      <c r="DD231" s="432"/>
      <c r="DE231" s="432"/>
      <c r="DF231" s="423"/>
      <c r="DG231" s="423"/>
      <c r="DH231" s="423"/>
      <c r="DI231" s="423"/>
      <c r="DJ231" s="423"/>
      <c r="DK231" s="423"/>
      <c r="DL231" s="423"/>
      <c r="DM231" s="423"/>
      <c r="DN231" s="423"/>
      <c r="DO231" s="423"/>
      <c r="DP231" s="423"/>
      <c r="DQ231" s="423"/>
      <c r="DR231" s="423"/>
      <c r="DS231" s="423"/>
      <c r="DT231" s="423"/>
      <c r="DU231" s="423"/>
      <c r="DV231" s="423"/>
      <c r="DW231" s="423"/>
      <c r="DX231" s="423"/>
      <c r="DY231" s="423"/>
      <c r="DZ231" s="423"/>
      <c r="EA231" s="423"/>
      <c r="EB231" s="423"/>
      <c r="EC231" s="423"/>
      <c r="ED231" s="423"/>
    </row>
    <row r="232" spans="1:134" ht="16.5" customHeight="1">
      <c r="A232" s="423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1599" t="s">
        <v>3021</v>
      </c>
      <c r="R232" s="996" t="s">
        <v>304</v>
      </c>
      <c r="S232" s="996"/>
      <c r="T232" s="996"/>
      <c r="U232" s="990"/>
      <c r="V232" s="990"/>
      <c r="W232" s="990"/>
      <c r="X232" s="990"/>
      <c r="Y232" s="990"/>
      <c r="Z232" s="990"/>
      <c r="AA232" s="983"/>
      <c r="AB232" s="1735"/>
      <c r="AC232" s="423"/>
      <c r="AD232" s="423"/>
      <c r="AE232" s="423"/>
      <c r="AF232" s="1015"/>
      <c r="AG232" s="1015"/>
      <c r="AH232" s="1015"/>
      <c r="AI232" s="1015"/>
      <c r="AJ232" s="423"/>
      <c r="AK232" s="423"/>
      <c r="AL232" s="423"/>
      <c r="AM232" s="423"/>
      <c r="AN232" s="423"/>
      <c r="AO232" s="423"/>
      <c r="AP232" s="423"/>
      <c r="AQ232" s="423"/>
      <c r="AR232" s="423"/>
      <c r="AS232" s="423"/>
      <c r="AT232" s="423"/>
      <c r="AU232" s="432"/>
      <c r="AV232" s="432"/>
      <c r="AW232" s="432"/>
      <c r="AX232" s="432"/>
      <c r="AY232" s="432"/>
      <c r="AZ232" s="432"/>
      <c r="BA232" s="423"/>
      <c r="BB232" s="423"/>
      <c r="BC232" s="423"/>
      <c r="BD232" s="423"/>
      <c r="BE232" s="423"/>
      <c r="BF232" s="423"/>
      <c r="BG232" s="423"/>
      <c r="BH232" s="423"/>
      <c r="BI232" s="423"/>
      <c r="BJ232" s="423"/>
      <c r="BK232" s="423"/>
      <c r="BL232" s="423"/>
      <c r="BM232" s="423"/>
      <c r="BN232" s="423"/>
      <c r="BO232" s="423"/>
      <c r="BP232" s="423"/>
      <c r="BQ232" s="423"/>
      <c r="BR232" s="423"/>
      <c r="BS232" s="423"/>
      <c r="BT232" s="423"/>
      <c r="BU232" s="423"/>
      <c r="BV232" s="423"/>
      <c r="BW232" s="423"/>
      <c r="BX232" s="423"/>
      <c r="BY232" s="423"/>
      <c r="BZ232" s="423"/>
      <c r="CA232" s="423"/>
      <c r="CB232" s="423"/>
      <c r="CC232" s="423"/>
      <c r="CD232" s="423"/>
      <c r="CE232" s="432"/>
      <c r="CF232" s="432"/>
      <c r="CG232" s="432"/>
      <c r="CH232" s="432"/>
      <c r="CI232" s="432"/>
      <c r="CJ232" s="432"/>
      <c r="CK232" s="432"/>
      <c r="CL232" s="632"/>
      <c r="CM232" s="633"/>
      <c r="CN232" s="513"/>
      <c r="CO232" s="513"/>
      <c r="CP232" s="432"/>
      <c r="CQ232" s="432"/>
      <c r="CR232" s="432"/>
      <c r="CS232" s="432"/>
      <c r="CT232" s="432"/>
      <c r="CU232" s="432"/>
      <c r="CV232" s="432"/>
      <c r="CW232" s="432"/>
      <c r="CX232" s="513"/>
      <c r="CY232" s="513"/>
      <c r="CZ232" s="432"/>
      <c r="DA232" s="432"/>
      <c r="DB232" s="432"/>
      <c r="DC232" s="432"/>
      <c r="DD232" s="432"/>
      <c r="DE232" s="432"/>
      <c r="DF232" s="423"/>
      <c r="DG232" s="423"/>
      <c r="DH232" s="423"/>
      <c r="DI232" s="423"/>
      <c r="DJ232" s="423"/>
      <c r="DK232" s="423"/>
      <c r="DL232" s="423"/>
      <c r="DM232" s="423"/>
      <c r="DN232" s="423"/>
      <c r="DO232" s="423"/>
      <c r="DP232" s="423"/>
      <c r="DQ232" s="423"/>
      <c r="DR232" s="423"/>
      <c r="DS232" s="423"/>
      <c r="DT232" s="423"/>
      <c r="DU232" s="423"/>
      <c r="DV232" s="423"/>
      <c r="DW232" s="423"/>
      <c r="DX232" s="423"/>
      <c r="DY232" s="423"/>
      <c r="DZ232" s="423"/>
      <c r="EA232" s="423"/>
      <c r="EB232" s="423"/>
      <c r="EC232" s="423"/>
      <c r="ED232" s="423"/>
    </row>
    <row r="233" spans="1:134" ht="16.5" customHeight="1">
      <c r="A233" s="423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1599" t="s">
        <v>3022</v>
      </c>
      <c r="R233" s="996" t="s">
        <v>305</v>
      </c>
      <c r="S233" s="996"/>
      <c r="T233" s="996"/>
      <c r="U233" s="990"/>
      <c r="V233" s="990"/>
      <c r="W233" s="990"/>
      <c r="X233" s="990"/>
      <c r="Y233" s="990"/>
      <c r="Z233" s="990"/>
      <c r="AA233" s="983"/>
      <c r="AB233" s="1735"/>
      <c r="AC233" s="423"/>
      <c r="AD233" s="423"/>
      <c r="AE233" s="423"/>
      <c r="AF233" s="423"/>
      <c r="AG233" s="423"/>
      <c r="AH233" s="423"/>
      <c r="AI233" s="423"/>
      <c r="AJ233" s="423"/>
      <c r="AK233" s="423"/>
      <c r="AL233" s="423"/>
      <c r="AM233" s="423"/>
      <c r="AN233" s="423"/>
      <c r="AO233" s="423"/>
      <c r="AP233" s="423"/>
      <c r="AQ233" s="423"/>
      <c r="AR233" s="423"/>
      <c r="AS233" s="423"/>
      <c r="AT233" s="423"/>
      <c r="AU233" s="432"/>
      <c r="AV233" s="432"/>
      <c r="AW233" s="432"/>
      <c r="AX233" s="432"/>
      <c r="AY233" s="432"/>
      <c r="AZ233" s="432"/>
      <c r="BA233" s="423"/>
      <c r="BB233" s="423"/>
      <c r="BC233" s="423"/>
      <c r="BD233" s="423"/>
      <c r="BE233" s="423"/>
      <c r="BF233" s="423"/>
      <c r="BG233" s="423"/>
      <c r="BH233" s="423"/>
      <c r="BI233" s="423"/>
      <c r="BJ233" s="423"/>
      <c r="BK233" s="423"/>
      <c r="BL233" s="423"/>
      <c r="BM233" s="423"/>
      <c r="BN233" s="423"/>
      <c r="BO233" s="423"/>
      <c r="BP233" s="423"/>
      <c r="BQ233" s="423"/>
      <c r="BR233" s="423"/>
      <c r="BS233" s="423"/>
      <c r="BT233" s="423"/>
      <c r="BU233" s="423"/>
      <c r="BV233" s="423"/>
      <c r="BW233" s="423"/>
      <c r="BX233" s="423"/>
      <c r="BY233" s="423"/>
      <c r="BZ233" s="423"/>
      <c r="CA233" s="423"/>
      <c r="CB233" s="423"/>
      <c r="CC233" s="423"/>
      <c r="CD233" s="423"/>
      <c r="CE233" s="432"/>
      <c r="CF233" s="432"/>
      <c r="CG233" s="432"/>
      <c r="CH233" s="432"/>
      <c r="CI233" s="432"/>
      <c r="CJ233" s="432"/>
      <c r="CK233" s="432"/>
      <c r="CL233" s="632"/>
      <c r="CM233" s="633"/>
      <c r="CN233" s="513"/>
      <c r="CO233" s="513"/>
      <c r="CP233" s="432"/>
      <c r="CQ233" s="432"/>
      <c r="CR233" s="432"/>
      <c r="CS233" s="432"/>
      <c r="CT233" s="432"/>
      <c r="CU233" s="432"/>
      <c r="CV233" s="432"/>
      <c r="CW233" s="432"/>
      <c r="CX233" s="513"/>
      <c r="CY233" s="513"/>
      <c r="CZ233" s="432"/>
      <c r="DA233" s="432"/>
      <c r="DB233" s="432"/>
      <c r="DC233" s="432"/>
      <c r="DD233" s="432"/>
      <c r="DE233" s="432"/>
      <c r="DF233" s="423"/>
      <c r="DG233" s="423"/>
      <c r="DH233" s="423"/>
      <c r="DI233" s="423"/>
      <c r="DJ233" s="423"/>
      <c r="DK233" s="423"/>
      <c r="DL233" s="423"/>
      <c r="DM233" s="423"/>
      <c r="DN233" s="423"/>
      <c r="DO233" s="423"/>
      <c r="DP233" s="423"/>
      <c r="DQ233" s="423"/>
      <c r="DR233" s="423"/>
      <c r="DS233" s="423"/>
      <c r="DT233" s="423"/>
      <c r="DU233" s="423"/>
      <c r="DV233" s="423"/>
      <c r="DW233" s="423"/>
      <c r="DX233" s="423"/>
      <c r="DY233" s="423"/>
      <c r="DZ233" s="423"/>
      <c r="EA233" s="423"/>
      <c r="EB233" s="423"/>
      <c r="EC233" s="423"/>
      <c r="ED233" s="423"/>
    </row>
    <row r="234" spans="1:134" ht="16.5" customHeight="1">
      <c r="A234" s="423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1599" t="s">
        <v>3023</v>
      </c>
      <c r="R234" s="996" t="s">
        <v>306</v>
      </c>
      <c r="S234" s="996"/>
      <c r="T234" s="996"/>
      <c r="U234" s="990"/>
      <c r="V234" s="990"/>
      <c r="W234" s="990"/>
      <c r="X234" s="990"/>
      <c r="Y234" s="990"/>
      <c r="Z234" s="990"/>
      <c r="AA234" s="983"/>
      <c r="AB234" s="1735"/>
      <c r="AC234" s="423"/>
      <c r="AD234" s="423"/>
      <c r="AE234" s="423"/>
      <c r="AF234" s="423"/>
      <c r="AG234" s="423"/>
      <c r="AH234" s="423"/>
      <c r="AI234" s="423"/>
      <c r="AJ234" s="423"/>
      <c r="AK234" s="423"/>
      <c r="AL234" s="423"/>
      <c r="AM234" s="423"/>
      <c r="AN234" s="423"/>
      <c r="AO234" s="423"/>
      <c r="AP234" s="423"/>
      <c r="AQ234" s="423"/>
      <c r="AR234" s="423"/>
      <c r="AS234" s="423"/>
      <c r="AT234" s="423"/>
      <c r="AU234" s="432"/>
      <c r="AV234" s="432"/>
      <c r="AW234" s="432"/>
      <c r="AX234" s="432"/>
      <c r="AY234" s="432"/>
      <c r="AZ234" s="432"/>
      <c r="BA234" s="423"/>
      <c r="BB234" s="423"/>
      <c r="BC234" s="423"/>
      <c r="BD234" s="423"/>
      <c r="BE234" s="423"/>
      <c r="BF234" s="423"/>
      <c r="BG234" s="423"/>
      <c r="BH234" s="423"/>
      <c r="BI234" s="423"/>
      <c r="BJ234" s="423"/>
      <c r="BK234" s="423"/>
      <c r="BL234" s="423"/>
      <c r="BM234" s="423"/>
      <c r="BN234" s="423"/>
      <c r="BO234" s="423"/>
      <c r="BP234" s="423"/>
      <c r="BQ234" s="423"/>
      <c r="BR234" s="423"/>
      <c r="BS234" s="423"/>
      <c r="BT234" s="423"/>
      <c r="BU234" s="423"/>
      <c r="BV234" s="423"/>
      <c r="BW234" s="423"/>
      <c r="BX234" s="423"/>
      <c r="BY234" s="423"/>
      <c r="BZ234" s="423"/>
      <c r="CA234" s="423"/>
      <c r="CB234" s="423"/>
      <c r="CC234" s="423"/>
      <c r="CD234" s="423"/>
      <c r="CE234" s="432"/>
      <c r="CF234" s="432"/>
      <c r="CG234" s="432"/>
      <c r="CH234" s="432"/>
      <c r="CI234" s="432"/>
      <c r="CJ234" s="432"/>
      <c r="CK234" s="432"/>
      <c r="CL234" s="632"/>
      <c r="CM234" s="633"/>
      <c r="CN234" s="513"/>
      <c r="CO234" s="513"/>
      <c r="CP234" s="432"/>
      <c r="CQ234" s="432"/>
      <c r="CR234" s="432"/>
      <c r="CS234" s="432"/>
      <c r="CT234" s="432"/>
      <c r="CU234" s="432"/>
      <c r="CV234" s="432"/>
      <c r="CW234" s="432"/>
      <c r="CX234" s="513"/>
      <c r="CY234" s="513"/>
      <c r="CZ234" s="432"/>
      <c r="DA234" s="432"/>
      <c r="DB234" s="432"/>
      <c r="DC234" s="432"/>
      <c r="DD234" s="432"/>
      <c r="DE234" s="432"/>
      <c r="DF234" s="423"/>
      <c r="DG234" s="423"/>
      <c r="DH234" s="423"/>
      <c r="DI234" s="423"/>
      <c r="DJ234" s="423"/>
      <c r="DK234" s="423"/>
      <c r="DL234" s="423"/>
      <c r="DM234" s="423"/>
      <c r="DN234" s="423"/>
      <c r="DO234" s="423"/>
      <c r="DP234" s="423"/>
      <c r="DQ234" s="423"/>
      <c r="DR234" s="423"/>
      <c r="DS234" s="423"/>
      <c r="DT234" s="423"/>
      <c r="DU234" s="423"/>
      <c r="DV234" s="423"/>
      <c r="DW234" s="423"/>
      <c r="DX234" s="423"/>
      <c r="DY234" s="423"/>
      <c r="DZ234" s="423"/>
      <c r="EA234" s="423"/>
      <c r="EB234" s="423"/>
      <c r="EC234" s="423"/>
      <c r="ED234" s="423"/>
    </row>
    <row r="235" spans="1:134" ht="16.5" customHeight="1">
      <c r="A235" s="423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1599" t="s">
        <v>3024</v>
      </c>
      <c r="R235" s="996" t="s">
        <v>307</v>
      </c>
      <c r="S235" s="996"/>
      <c r="T235" s="996"/>
      <c r="U235" s="990"/>
      <c r="V235" s="990"/>
      <c r="W235" s="990"/>
      <c r="X235" s="990"/>
      <c r="Y235" s="990"/>
      <c r="Z235" s="990"/>
      <c r="AA235" s="983"/>
      <c r="AB235" s="1735"/>
      <c r="AC235" s="423"/>
      <c r="AD235" s="423"/>
      <c r="AE235" s="423"/>
      <c r="AF235" s="423"/>
      <c r="AG235" s="423"/>
      <c r="AH235" s="423"/>
      <c r="AI235" s="423"/>
      <c r="AJ235" s="423"/>
      <c r="AK235" s="423"/>
      <c r="AL235" s="423"/>
      <c r="AM235" s="423"/>
      <c r="AN235" s="423"/>
      <c r="AO235" s="423"/>
      <c r="AP235" s="423"/>
      <c r="AQ235" s="423"/>
      <c r="AR235" s="423"/>
      <c r="AS235" s="423"/>
      <c r="AT235" s="423"/>
      <c r="AU235" s="432"/>
      <c r="AV235" s="432"/>
      <c r="AW235" s="432"/>
      <c r="AX235" s="432"/>
      <c r="AY235" s="432"/>
      <c r="AZ235" s="432"/>
      <c r="BA235" s="423"/>
      <c r="BB235" s="423"/>
      <c r="BC235" s="423"/>
      <c r="BD235" s="423"/>
      <c r="BE235" s="423"/>
      <c r="BF235" s="423"/>
      <c r="BG235" s="423"/>
      <c r="BH235" s="423"/>
      <c r="BI235" s="423"/>
      <c r="BJ235" s="423"/>
      <c r="BK235" s="423"/>
      <c r="BL235" s="423"/>
      <c r="BM235" s="423"/>
      <c r="BN235" s="423"/>
      <c r="BO235" s="423"/>
      <c r="BP235" s="423"/>
      <c r="BQ235" s="423"/>
      <c r="BR235" s="423"/>
      <c r="BS235" s="423"/>
      <c r="BT235" s="423"/>
      <c r="BU235" s="423"/>
      <c r="BV235" s="423"/>
      <c r="BW235" s="423"/>
      <c r="BX235" s="423"/>
      <c r="BY235" s="423"/>
      <c r="BZ235" s="423"/>
      <c r="CA235" s="423"/>
      <c r="CB235" s="423"/>
      <c r="CC235" s="423"/>
      <c r="CD235" s="423"/>
      <c r="CE235" s="432"/>
      <c r="CF235" s="432"/>
      <c r="CG235" s="432"/>
      <c r="CH235" s="432"/>
      <c r="CI235" s="432"/>
      <c r="CJ235" s="432"/>
      <c r="CK235" s="432"/>
      <c r="CL235" s="632"/>
      <c r="CM235" s="633"/>
      <c r="CN235" s="513"/>
      <c r="CO235" s="513"/>
      <c r="CP235" s="432"/>
      <c r="CQ235" s="432"/>
      <c r="CR235" s="432"/>
      <c r="CS235" s="432"/>
      <c r="CT235" s="432"/>
      <c r="CU235" s="432"/>
      <c r="CV235" s="432"/>
      <c r="CW235" s="432"/>
      <c r="CX235" s="513"/>
      <c r="CY235" s="513"/>
      <c r="CZ235" s="432"/>
      <c r="DA235" s="432"/>
      <c r="DB235" s="432"/>
      <c r="DC235" s="432"/>
      <c r="DD235" s="432"/>
      <c r="DE235" s="432"/>
      <c r="DF235" s="423"/>
      <c r="DG235" s="423"/>
      <c r="DH235" s="423"/>
      <c r="DI235" s="423"/>
      <c r="DJ235" s="423"/>
      <c r="DK235" s="423"/>
      <c r="DL235" s="423"/>
      <c r="DM235" s="423"/>
      <c r="DN235" s="423"/>
      <c r="DO235" s="423"/>
      <c r="DP235" s="423"/>
      <c r="DQ235" s="423"/>
      <c r="DR235" s="423"/>
      <c r="DS235" s="423"/>
      <c r="DT235" s="423"/>
      <c r="DU235" s="423"/>
      <c r="DV235" s="423"/>
      <c r="DW235" s="423"/>
      <c r="DX235" s="423"/>
      <c r="DY235" s="423"/>
      <c r="DZ235" s="423"/>
      <c r="EA235" s="423"/>
      <c r="EB235" s="423"/>
      <c r="EC235" s="423"/>
      <c r="ED235" s="423"/>
    </row>
    <row r="236" spans="1:134" ht="16.5" customHeight="1">
      <c r="A236" s="423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1599" t="s">
        <v>3025</v>
      </c>
      <c r="R236" s="996" t="s">
        <v>308</v>
      </c>
      <c r="S236" s="996"/>
      <c r="T236" s="996"/>
      <c r="U236" s="990"/>
      <c r="V236" s="990"/>
      <c r="W236" s="990"/>
      <c r="X236" s="990"/>
      <c r="Y236" s="990"/>
      <c r="Z236" s="990"/>
      <c r="AA236" s="983"/>
      <c r="AB236" s="1735"/>
      <c r="AC236" s="423"/>
      <c r="AD236" s="423"/>
      <c r="AE236" s="423"/>
      <c r="AF236" s="423"/>
      <c r="AG236" s="423"/>
      <c r="AH236" s="423"/>
      <c r="AI236" s="423"/>
      <c r="AJ236" s="423"/>
      <c r="AK236" s="423"/>
      <c r="AL236" s="423"/>
      <c r="AM236" s="423"/>
      <c r="AN236" s="423"/>
      <c r="AO236" s="423"/>
      <c r="AP236" s="423"/>
      <c r="AQ236" s="423"/>
      <c r="AR236" s="423"/>
      <c r="AS236" s="423"/>
      <c r="AT236" s="423"/>
      <c r="AU236" s="432"/>
      <c r="AV236" s="432"/>
      <c r="AW236" s="432"/>
      <c r="AX236" s="432"/>
      <c r="AY236" s="432"/>
      <c r="AZ236" s="432"/>
      <c r="BA236" s="423"/>
      <c r="BB236" s="423"/>
      <c r="BC236" s="423"/>
      <c r="BD236" s="423"/>
      <c r="BE236" s="423"/>
      <c r="BF236" s="423"/>
      <c r="BG236" s="423"/>
      <c r="BH236" s="423"/>
      <c r="BI236" s="423"/>
      <c r="BJ236" s="423"/>
      <c r="BK236" s="423"/>
      <c r="BL236" s="423"/>
      <c r="BM236" s="423"/>
      <c r="BN236" s="423"/>
      <c r="BO236" s="423"/>
      <c r="BP236" s="423"/>
      <c r="BQ236" s="423"/>
      <c r="BR236" s="423"/>
      <c r="BS236" s="423"/>
      <c r="BT236" s="423"/>
      <c r="BU236" s="423"/>
      <c r="BV236" s="423"/>
      <c r="BW236" s="423"/>
      <c r="BX236" s="423"/>
      <c r="BY236" s="423"/>
      <c r="BZ236" s="423"/>
      <c r="CA236" s="423"/>
      <c r="CB236" s="423"/>
      <c r="CC236" s="423"/>
      <c r="CD236" s="423"/>
      <c r="CE236" s="432"/>
      <c r="CF236" s="432"/>
      <c r="CG236" s="432"/>
      <c r="CH236" s="432"/>
      <c r="CI236" s="432"/>
      <c r="CJ236" s="432"/>
      <c r="CK236" s="432"/>
      <c r="CL236" s="632"/>
      <c r="CM236" s="633"/>
      <c r="CN236" s="513"/>
      <c r="CO236" s="513"/>
      <c r="CP236" s="432"/>
      <c r="CQ236" s="432"/>
      <c r="CR236" s="432"/>
      <c r="CS236" s="432"/>
      <c r="CT236" s="432"/>
      <c r="CU236" s="432"/>
      <c r="CV236" s="432"/>
      <c r="CW236" s="432"/>
      <c r="CX236" s="513"/>
      <c r="CY236" s="513"/>
      <c r="CZ236" s="432"/>
      <c r="DA236" s="432"/>
      <c r="DB236" s="432"/>
      <c r="DC236" s="432"/>
      <c r="DD236" s="432"/>
      <c r="DE236" s="432"/>
      <c r="DF236" s="423"/>
      <c r="DG236" s="423"/>
      <c r="DH236" s="423"/>
      <c r="DI236" s="423"/>
      <c r="DJ236" s="423"/>
      <c r="DK236" s="423"/>
      <c r="DL236" s="423"/>
      <c r="DM236" s="423"/>
      <c r="DN236" s="423"/>
      <c r="DO236" s="423"/>
      <c r="DP236" s="423"/>
      <c r="DQ236" s="423"/>
      <c r="DR236" s="423"/>
      <c r="DS236" s="423"/>
      <c r="DT236" s="423"/>
      <c r="DU236" s="423"/>
      <c r="DV236" s="423"/>
      <c r="DW236" s="423"/>
      <c r="DX236" s="423"/>
      <c r="DY236" s="423"/>
      <c r="DZ236" s="423"/>
      <c r="EA236" s="423"/>
      <c r="EB236" s="423"/>
      <c r="EC236" s="423"/>
      <c r="ED236" s="423"/>
    </row>
    <row r="237" spans="1:134" ht="16.5" customHeight="1">
      <c r="A237" s="423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1599" t="s">
        <v>3026</v>
      </c>
      <c r="R237" s="996"/>
      <c r="S237" s="996"/>
      <c r="T237" s="996"/>
      <c r="U237" s="990"/>
      <c r="V237" s="990"/>
      <c r="W237" s="990"/>
      <c r="X237" s="990"/>
      <c r="Y237" s="990"/>
      <c r="Z237" s="990"/>
      <c r="AA237" s="983"/>
      <c r="AB237" s="1735"/>
      <c r="AC237" s="423"/>
      <c r="AD237" s="423"/>
      <c r="AE237" s="423"/>
      <c r="AF237" s="423"/>
      <c r="AG237" s="423"/>
      <c r="AH237" s="423"/>
      <c r="AI237" s="423"/>
      <c r="AJ237" s="423"/>
      <c r="AK237" s="423"/>
      <c r="AL237" s="423"/>
      <c r="AM237" s="423"/>
      <c r="AN237" s="423"/>
      <c r="AO237" s="423"/>
      <c r="AP237" s="423"/>
      <c r="AQ237" s="423"/>
      <c r="AR237" s="423"/>
      <c r="AS237" s="423"/>
      <c r="AT237" s="423"/>
      <c r="AU237" s="432"/>
      <c r="AV237" s="432"/>
      <c r="AW237" s="432"/>
      <c r="AX237" s="432"/>
      <c r="AY237" s="432"/>
      <c r="AZ237" s="432"/>
      <c r="BA237" s="423"/>
      <c r="BB237" s="423"/>
      <c r="BC237" s="423"/>
      <c r="BD237" s="423"/>
      <c r="BE237" s="423"/>
      <c r="BF237" s="423"/>
      <c r="BG237" s="423"/>
      <c r="BH237" s="423"/>
      <c r="BI237" s="423"/>
      <c r="BJ237" s="423"/>
      <c r="BK237" s="423"/>
      <c r="BL237" s="423"/>
      <c r="BM237" s="423"/>
      <c r="BN237" s="423"/>
      <c r="BO237" s="423"/>
      <c r="BP237" s="423"/>
      <c r="BQ237" s="423"/>
      <c r="BR237" s="423"/>
      <c r="BS237" s="423"/>
      <c r="BT237" s="423"/>
      <c r="BU237" s="423"/>
      <c r="BV237" s="423"/>
      <c r="BW237" s="423"/>
      <c r="BX237" s="423"/>
      <c r="BY237" s="423"/>
      <c r="BZ237" s="423"/>
      <c r="CA237" s="423"/>
      <c r="CB237" s="423"/>
      <c r="CC237" s="423"/>
      <c r="CD237" s="423"/>
      <c r="CE237" s="432"/>
      <c r="CF237" s="635"/>
      <c r="CG237" s="635"/>
      <c r="CH237" s="432"/>
      <c r="CI237" s="432"/>
      <c r="CJ237" s="432"/>
      <c r="CK237" s="432"/>
      <c r="CL237" s="432"/>
      <c r="CM237" s="432"/>
      <c r="CN237" s="432"/>
      <c r="CO237" s="432"/>
      <c r="CP237" s="432"/>
      <c r="CQ237" s="432"/>
      <c r="CR237" s="432"/>
      <c r="CS237" s="432"/>
      <c r="CT237" s="432"/>
      <c r="CU237" s="432"/>
      <c r="CV237" s="432"/>
      <c r="CW237" s="432"/>
      <c r="CX237" s="432"/>
      <c r="CY237" s="432"/>
      <c r="CZ237" s="432"/>
      <c r="DA237" s="432"/>
      <c r="DB237" s="432"/>
      <c r="DC237" s="432"/>
      <c r="DD237" s="432"/>
      <c r="DE237" s="432"/>
      <c r="DF237" s="423"/>
      <c r="DG237" s="423"/>
      <c r="DH237" s="423"/>
      <c r="DI237" s="423"/>
      <c r="DJ237" s="423"/>
      <c r="DK237" s="423"/>
      <c r="DL237" s="423"/>
      <c r="DM237" s="423"/>
      <c r="DN237" s="423"/>
      <c r="DO237" s="423"/>
      <c r="DP237" s="423"/>
      <c r="DQ237" s="423"/>
      <c r="DR237" s="423"/>
      <c r="DS237" s="423"/>
      <c r="DT237" s="423"/>
      <c r="DU237" s="423"/>
      <c r="DV237" s="423"/>
      <c r="DW237" s="423"/>
      <c r="DX237" s="423"/>
      <c r="DY237" s="423"/>
      <c r="DZ237" s="423"/>
      <c r="EA237" s="423"/>
      <c r="EB237" s="423"/>
      <c r="EC237" s="423"/>
      <c r="ED237" s="423"/>
    </row>
    <row r="238" spans="1:134" ht="16.5" customHeight="1">
      <c r="A238" s="423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1599" t="s">
        <v>3027</v>
      </c>
      <c r="R238" s="996"/>
      <c r="S238" s="996"/>
      <c r="T238" s="996"/>
      <c r="U238" s="990"/>
      <c r="V238" s="990"/>
      <c r="W238" s="990"/>
      <c r="X238" s="990"/>
      <c r="Y238" s="990"/>
      <c r="Z238" s="990"/>
      <c r="AA238" s="983"/>
      <c r="AB238" s="1735"/>
      <c r="AC238" s="423"/>
      <c r="AD238" s="423"/>
      <c r="AE238" s="423"/>
      <c r="AF238" s="423"/>
      <c r="AG238" s="423"/>
      <c r="AH238" s="423"/>
      <c r="AI238" s="423"/>
      <c r="AJ238" s="423"/>
      <c r="AK238" s="423"/>
      <c r="AL238" s="423"/>
      <c r="AM238" s="423"/>
      <c r="AN238" s="423"/>
      <c r="AO238" s="423"/>
      <c r="AP238" s="423"/>
      <c r="AQ238" s="423"/>
      <c r="AR238" s="423"/>
      <c r="AS238" s="423"/>
      <c r="AT238" s="423"/>
      <c r="AU238" s="432"/>
      <c r="AV238" s="432"/>
      <c r="AW238" s="432"/>
      <c r="AX238" s="432"/>
      <c r="AY238" s="432"/>
      <c r="AZ238" s="432"/>
      <c r="BA238" s="423"/>
      <c r="BB238" s="423"/>
      <c r="BC238" s="423"/>
      <c r="BD238" s="423"/>
      <c r="BE238" s="423"/>
      <c r="BF238" s="423"/>
      <c r="BG238" s="423"/>
      <c r="BH238" s="423"/>
      <c r="BI238" s="423"/>
      <c r="BJ238" s="423"/>
      <c r="BK238" s="423"/>
      <c r="BL238" s="423"/>
      <c r="BM238" s="423"/>
      <c r="BN238" s="423"/>
      <c r="BO238" s="423"/>
      <c r="BP238" s="423"/>
      <c r="BQ238" s="423"/>
      <c r="BR238" s="423"/>
      <c r="BS238" s="423"/>
      <c r="BT238" s="423"/>
      <c r="BU238" s="423"/>
      <c r="BV238" s="423"/>
      <c r="BW238" s="423"/>
      <c r="BX238" s="423"/>
      <c r="BY238" s="423"/>
      <c r="BZ238" s="423"/>
      <c r="CA238" s="423"/>
      <c r="CB238" s="423"/>
      <c r="CC238" s="423"/>
      <c r="CD238" s="423"/>
      <c r="CE238" s="432"/>
      <c r="CF238" s="432"/>
      <c r="CG238" s="432"/>
      <c r="CH238" s="432"/>
      <c r="CI238" s="432"/>
      <c r="CJ238" s="432"/>
      <c r="CK238" s="432"/>
      <c r="CL238" s="432"/>
      <c r="CM238" s="432"/>
      <c r="CN238" s="432"/>
      <c r="CO238" s="432"/>
      <c r="CP238" s="432"/>
      <c r="CQ238" s="432"/>
      <c r="CR238" s="432"/>
      <c r="CS238" s="432"/>
      <c r="CT238" s="432"/>
      <c r="CU238" s="432"/>
      <c r="CV238" s="432"/>
      <c r="CW238" s="432"/>
      <c r="CX238" s="432"/>
      <c r="CY238" s="432"/>
      <c r="CZ238" s="432"/>
      <c r="DA238" s="432"/>
      <c r="DB238" s="432"/>
      <c r="DC238" s="432"/>
      <c r="DD238" s="432"/>
      <c r="DE238" s="432"/>
      <c r="DF238" s="423"/>
      <c r="DG238" s="423"/>
      <c r="DH238" s="423"/>
      <c r="DI238" s="423"/>
      <c r="DJ238" s="423"/>
      <c r="DK238" s="423"/>
      <c r="DL238" s="423"/>
      <c r="DM238" s="423"/>
      <c r="DN238" s="423"/>
      <c r="DO238" s="423"/>
      <c r="DP238" s="423"/>
      <c r="DQ238" s="423"/>
      <c r="DR238" s="423"/>
      <c r="DS238" s="423"/>
      <c r="DT238" s="423"/>
      <c r="DU238" s="423"/>
      <c r="DV238" s="423"/>
      <c r="DW238" s="423"/>
      <c r="DX238" s="423"/>
      <c r="DY238" s="423"/>
      <c r="DZ238" s="423"/>
      <c r="EA238" s="423"/>
      <c r="EB238" s="423"/>
      <c r="EC238" s="423"/>
      <c r="ED238" s="423"/>
    </row>
    <row r="239" spans="1:134" ht="12.75" hidden="1" customHeight="1">
      <c r="A239" s="423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1599" t="s">
        <v>3028</v>
      </c>
      <c r="R239" s="997"/>
      <c r="S239" s="997"/>
      <c r="T239" s="997"/>
      <c r="U239" s="990"/>
      <c r="V239" s="990"/>
      <c r="W239" s="990"/>
      <c r="X239" s="990"/>
      <c r="Y239" s="990"/>
      <c r="Z239" s="990"/>
      <c r="AA239" s="983"/>
      <c r="AB239" s="1735"/>
      <c r="AC239" s="423"/>
      <c r="AD239" s="423"/>
      <c r="AE239" s="423"/>
      <c r="AF239" s="423"/>
      <c r="AG239" s="423"/>
      <c r="AH239" s="423"/>
      <c r="AI239" s="423"/>
      <c r="AJ239" s="423"/>
      <c r="AK239" s="423"/>
      <c r="AL239" s="423"/>
      <c r="AM239" s="423"/>
      <c r="AN239" s="423"/>
      <c r="AO239" s="423"/>
      <c r="AP239" s="423"/>
      <c r="AQ239" s="423"/>
      <c r="AR239" s="423"/>
      <c r="AS239" s="423"/>
      <c r="AT239" s="423"/>
      <c r="AU239" s="432"/>
      <c r="AV239" s="432"/>
      <c r="AW239" s="432"/>
      <c r="AX239" s="432"/>
      <c r="AY239" s="432"/>
      <c r="AZ239" s="432"/>
      <c r="BA239" s="423"/>
      <c r="BB239" s="423"/>
      <c r="BC239" s="423"/>
      <c r="BD239" s="423"/>
      <c r="BE239" s="423"/>
      <c r="BF239" s="423"/>
      <c r="BG239" s="423"/>
      <c r="BH239" s="423"/>
      <c r="BI239" s="423"/>
      <c r="BJ239" s="423"/>
      <c r="BK239" s="423"/>
      <c r="BL239" s="423"/>
      <c r="BM239" s="423"/>
      <c r="BN239" s="423"/>
      <c r="BO239" s="423"/>
      <c r="BP239" s="423"/>
      <c r="BQ239" s="423"/>
      <c r="BR239" s="423"/>
      <c r="BS239" s="423"/>
      <c r="BT239" s="423"/>
      <c r="BU239" s="423"/>
      <c r="BV239" s="423"/>
      <c r="BW239" s="423"/>
      <c r="BX239" s="423"/>
      <c r="BY239" s="423"/>
      <c r="BZ239" s="423"/>
      <c r="CA239" s="423"/>
      <c r="CB239" s="423"/>
      <c r="CC239" s="423"/>
      <c r="CD239" s="423"/>
      <c r="CE239" s="432"/>
      <c r="CF239" s="432"/>
      <c r="CG239" s="432"/>
      <c r="CH239" s="432"/>
      <c r="CI239" s="432"/>
      <c r="CJ239" s="432"/>
      <c r="CK239" s="432"/>
      <c r="CL239" s="432"/>
      <c r="CM239" s="432"/>
      <c r="CN239" s="432"/>
      <c r="CO239" s="432"/>
      <c r="CP239" s="432"/>
      <c r="CQ239" s="432"/>
      <c r="CR239" s="432"/>
      <c r="CS239" s="432"/>
      <c r="CT239" s="432"/>
      <c r="CU239" s="432"/>
      <c r="CV239" s="432"/>
      <c r="CW239" s="432"/>
      <c r="CX239" s="432"/>
      <c r="CY239" s="432"/>
      <c r="CZ239" s="432"/>
      <c r="DA239" s="432"/>
      <c r="DB239" s="432"/>
      <c r="DC239" s="432"/>
      <c r="DD239" s="432"/>
      <c r="DE239" s="432"/>
      <c r="DF239" s="423"/>
      <c r="DG239" s="423"/>
      <c r="DH239" s="423"/>
      <c r="DI239" s="423"/>
      <c r="DJ239" s="423"/>
      <c r="DK239" s="423"/>
      <c r="DL239" s="423"/>
      <c r="DM239" s="423"/>
      <c r="DN239" s="423"/>
      <c r="DO239" s="423"/>
      <c r="DP239" s="423"/>
      <c r="DQ239" s="423"/>
      <c r="DR239" s="423"/>
      <c r="DS239" s="423"/>
      <c r="DT239" s="423"/>
      <c r="DU239" s="423"/>
      <c r="DV239" s="423"/>
      <c r="DW239" s="423"/>
      <c r="DX239" s="423"/>
      <c r="DY239" s="423"/>
      <c r="DZ239" s="423"/>
      <c r="EA239" s="423"/>
      <c r="EB239" s="423"/>
      <c r="EC239" s="423"/>
      <c r="ED239" s="423"/>
    </row>
    <row r="240" spans="1:134" ht="12" hidden="1" customHeight="1">
      <c r="A240" s="423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1599" t="s">
        <v>3029</v>
      </c>
      <c r="R240" s="996"/>
      <c r="S240" s="996"/>
      <c r="T240" s="996"/>
      <c r="U240" s="990"/>
      <c r="V240" s="990"/>
      <c r="W240" s="990"/>
      <c r="X240" s="990"/>
      <c r="Y240" s="990"/>
      <c r="Z240" s="990"/>
      <c r="AA240" s="983"/>
      <c r="AB240" s="1735"/>
      <c r="AC240" s="423"/>
      <c r="AD240" s="423"/>
      <c r="AE240" s="423"/>
      <c r="AF240" s="423"/>
      <c r="AG240" s="423"/>
      <c r="AH240" s="423"/>
      <c r="AI240" s="423"/>
      <c r="AJ240" s="423"/>
      <c r="AK240" s="423"/>
      <c r="AL240" s="423"/>
      <c r="AM240" s="423"/>
      <c r="AN240" s="423"/>
      <c r="AO240" s="423"/>
      <c r="AP240" s="423"/>
      <c r="AQ240" s="423"/>
      <c r="AR240" s="423"/>
      <c r="AS240" s="423"/>
      <c r="AT240" s="423"/>
      <c r="AU240" s="432"/>
      <c r="AV240" s="432"/>
      <c r="AW240" s="432"/>
      <c r="AX240" s="432"/>
      <c r="AY240" s="432"/>
      <c r="AZ240" s="432"/>
      <c r="BA240" s="423"/>
      <c r="BB240" s="423"/>
      <c r="BC240" s="423"/>
      <c r="BD240" s="423"/>
      <c r="BE240" s="423"/>
      <c r="BF240" s="423"/>
      <c r="BG240" s="423"/>
      <c r="BH240" s="423"/>
      <c r="BI240" s="423"/>
      <c r="BJ240" s="423"/>
      <c r="BK240" s="423"/>
      <c r="BL240" s="423"/>
      <c r="BM240" s="423"/>
      <c r="BN240" s="423"/>
      <c r="BO240" s="423"/>
      <c r="BP240" s="423"/>
      <c r="BQ240" s="423"/>
      <c r="BR240" s="423"/>
      <c r="BS240" s="423"/>
      <c r="BT240" s="423"/>
      <c r="BU240" s="423"/>
      <c r="BV240" s="423"/>
      <c r="BW240" s="423"/>
      <c r="BX240" s="423"/>
      <c r="BY240" s="423"/>
      <c r="BZ240" s="423"/>
      <c r="CA240" s="423"/>
      <c r="CB240" s="423"/>
      <c r="CC240" s="423"/>
      <c r="CD240" s="423"/>
      <c r="CE240" s="423"/>
      <c r="CF240" s="423"/>
      <c r="CG240" s="423"/>
      <c r="CH240" s="423"/>
      <c r="CI240" s="423"/>
      <c r="CJ240" s="423"/>
      <c r="CK240" s="423"/>
      <c r="CL240" s="423"/>
      <c r="CM240" s="423"/>
      <c r="CN240" s="423"/>
      <c r="CO240" s="423"/>
      <c r="CP240" s="423"/>
      <c r="CQ240" s="423"/>
      <c r="CR240" s="423"/>
      <c r="CS240" s="423"/>
      <c r="CT240" s="423"/>
      <c r="CU240" s="423"/>
      <c r="CV240" s="423"/>
      <c r="CW240" s="423"/>
      <c r="CX240" s="423"/>
      <c r="CY240" s="423"/>
      <c r="CZ240" s="423"/>
      <c r="DA240" s="423"/>
      <c r="DB240" s="423"/>
      <c r="DC240" s="423"/>
      <c r="DD240" s="423"/>
      <c r="DE240" s="423"/>
      <c r="DF240" s="423"/>
      <c r="DG240" s="423"/>
      <c r="DH240" s="423"/>
      <c r="DI240" s="423"/>
      <c r="DJ240" s="423"/>
      <c r="DK240" s="423"/>
      <c r="DL240" s="423"/>
      <c r="DM240" s="423"/>
      <c r="DN240" s="423"/>
      <c r="DO240" s="423"/>
      <c r="DP240" s="423"/>
      <c r="DQ240" s="423"/>
      <c r="DR240" s="423"/>
      <c r="DS240" s="423"/>
      <c r="DT240" s="423"/>
      <c r="DU240" s="423"/>
      <c r="DV240" s="423"/>
      <c r="DW240" s="423"/>
      <c r="DX240" s="423"/>
      <c r="DY240" s="423"/>
      <c r="DZ240" s="423"/>
      <c r="EA240" s="423"/>
      <c r="EB240" s="423"/>
      <c r="EC240" s="423"/>
      <c r="ED240" s="423"/>
    </row>
    <row r="241" spans="1:134" ht="6" hidden="1" customHeight="1">
      <c r="A241" s="423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1599" t="s">
        <v>3030</v>
      </c>
      <c r="R241" s="996"/>
      <c r="S241" s="996"/>
      <c r="T241" s="996"/>
      <c r="U241" s="990"/>
      <c r="V241" s="990"/>
      <c r="W241" s="990"/>
      <c r="X241" s="990"/>
      <c r="Y241" s="990"/>
      <c r="Z241" s="990"/>
      <c r="AA241" s="983"/>
      <c r="AB241" s="695"/>
      <c r="AC241" s="432"/>
      <c r="AD241" s="432"/>
      <c r="AE241" s="432"/>
      <c r="AF241" s="432"/>
      <c r="AG241" s="432"/>
      <c r="AH241" s="432"/>
      <c r="AI241" s="432"/>
      <c r="AJ241" s="432"/>
      <c r="AK241" s="432"/>
      <c r="AL241" s="432"/>
      <c r="AM241" s="432"/>
      <c r="AN241" s="423"/>
      <c r="AO241" s="423"/>
      <c r="AP241" s="423"/>
      <c r="AQ241" s="423"/>
      <c r="AR241" s="423"/>
      <c r="AS241" s="423"/>
      <c r="AT241" s="423"/>
      <c r="AU241" s="423"/>
      <c r="AV241" s="423"/>
      <c r="AW241" s="423"/>
      <c r="AX241" s="423"/>
      <c r="AY241" s="423"/>
      <c r="AZ241" s="423"/>
      <c r="BA241" s="423"/>
      <c r="BB241" s="423"/>
      <c r="BC241" s="423"/>
      <c r="BD241" s="423"/>
      <c r="BE241" s="423"/>
      <c r="BF241" s="423"/>
      <c r="BG241" s="423"/>
      <c r="BH241" s="423"/>
      <c r="BI241" s="423"/>
      <c r="BJ241" s="423"/>
      <c r="BK241" s="423"/>
      <c r="BL241" s="423"/>
      <c r="BM241" s="423"/>
      <c r="BN241" s="423"/>
      <c r="BO241" s="423"/>
      <c r="BP241" s="423"/>
      <c r="BQ241" s="423"/>
      <c r="BR241" s="423"/>
      <c r="BS241" s="423"/>
      <c r="BT241" s="423"/>
      <c r="BU241" s="423"/>
      <c r="BV241" s="423"/>
      <c r="BW241" s="423"/>
      <c r="BX241" s="423"/>
      <c r="BY241" s="423"/>
      <c r="BZ241" s="423"/>
      <c r="CA241" s="423"/>
      <c r="CB241" s="423"/>
      <c r="CC241" s="423"/>
      <c r="CD241" s="423"/>
      <c r="CE241" s="423"/>
      <c r="CF241" s="423"/>
      <c r="CG241" s="423"/>
      <c r="CH241" s="423"/>
      <c r="CI241" s="423"/>
      <c r="CJ241" s="423"/>
      <c r="CK241" s="423"/>
      <c r="CL241" s="423"/>
      <c r="CM241" s="423"/>
      <c r="CN241" s="423"/>
      <c r="CO241" s="423"/>
      <c r="CP241" s="423"/>
      <c r="CQ241" s="423"/>
      <c r="CR241" s="423"/>
      <c r="CS241" s="423"/>
      <c r="CT241" s="423"/>
      <c r="CU241" s="423"/>
      <c r="CV241" s="423"/>
      <c r="CW241" s="423"/>
      <c r="CX241" s="423"/>
      <c r="CY241" s="423"/>
      <c r="CZ241" s="423"/>
      <c r="DA241" s="423"/>
      <c r="DB241" s="423"/>
      <c r="DC241" s="423"/>
      <c r="DD241" s="423"/>
      <c r="DE241" s="423"/>
      <c r="DF241" s="423"/>
      <c r="DG241" s="423"/>
      <c r="DH241" s="423"/>
      <c r="DI241" s="423"/>
      <c r="DJ241" s="423"/>
      <c r="DK241" s="423"/>
      <c r="DL241" s="423"/>
      <c r="DM241" s="423"/>
      <c r="DN241" s="423"/>
      <c r="DO241" s="423"/>
      <c r="DP241" s="423"/>
      <c r="DQ241" s="423"/>
      <c r="DR241" s="423"/>
      <c r="DS241" s="423"/>
      <c r="DT241" s="423"/>
      <c r="DU241" s="423"/>
      <c r="DV241" s="423"/>
      <c r="DW241" s="423"/>
      <c r="DX241" s="423"/>
      <c r="DY241" s="423"/>
      <c r="DZ241" s="423"/>
      <c r="EA241" s="423"/>
      <c r="EB241" s="423"/>
      <c r="EC241" s="423"/>
      <c r="ED241" s="423"/>
    </row>
    <row r="242" spans="1:134" ht="6" hidden="1" customHeight="1">
      <c r="Q242" s="1597" t="s">
        <v>3031</v>
      </c>
      <c r="R242" s="998"/>
      <c r="S242" s="998"/>
      <c r="T242" s="998"/>
      <c r="U242" s="982"/>
      <c r="V242" s="982"/>
      <c r="W242" s="982"/>
      <c r="X242" s="982"/>
      <c r="Y242" s="982"/>
      <c r="Z242" s="982"/>
      <c r="AA242" s="984"/>
      <c r="AB242" s="1740"/>
      <c r="AC242" s="588"/>
      <c r="AD242" s="588"/>
      <c r="AE242" s="588"/>
      <c r="AF242" s="588"/>
      <c r="AG242" s="588"/>
      <c r="AH242" s="588"/>
      <c r="AI242" s="588"/>
      <c r="AJ242" s="588"/>
      <c r="AK242" s="588"/>
      <c r="AL242" s="588"/>
      <c r="AM242" s="588"/>
    </row>
    <row r="243" spans="1:134" ht="6" hidden="1" customHeight="1">
      <c r="Q243" s="1597" t="s">
        <v>3032</v>
      </c>
      <c r="R243" s="998"/>
      <c r="S243" s="998"/>
      <c r="T243" s="998"/>
      <c r="U243" s="982"/>
      <c r="V243" s="982"/>
      <c r="W243" s="982"/>
      <c r="X243" s="982"/>
      <c r="Y243" s="982"/>
      <c r="Z243" s="982"/>
      <c r="AA243" s="984"/>
      <c r="AB243" s="1740"/>
      <c r="AC243" s="588"/>
      <c r="AD243" s="588"/>
      <c r="AE243" s="588"/>
      <c r="AF243" s="588"/>
      <c r="AG243" s="588"/>
      <c r="AH243" s="588"/>
      <c r="AI243" s="588"/>
      <c r="AJ243" s="588"/>
      <c r="AK243" s="588"/>
      <c r="AL243" s="588"/>
      <c r="AM243" s="588"/>
    </row>
    <row r="244" spans="1:134" ht="6" hidden="1" customHeight="1">
      <c r="Q244" s="1597" t="s">
        <v>3033</v>
      </c>
      <c r="R244" s="998"/>
      <c r="S244" s="998"/>
      <c r="T244" s="998"/>
      <c r="U244" s="982"/>
      <c r="V244" s="982"/>
      <c r="W244" s="982"/>
      <c r="X244" s="982"/>
      <c r="Y244" s="982"/>
      <c r="Z244" s="982"/>
      <c r="AA244" s="984"/>
      <c r="AB244" s="1740"/>
      <c r="AC244" s="588"/>
      <c r="AD244" s="588"/>
      <c r="AE244" s="588"/>
      <c r="AF244" s="588"/>
      <c r="AG244" s="588"/>
      <c r="AH244" s="588"/>
      <c r="AI244" s="588"/>
      <c r="AJ244" s="588"/>
      <c r="AK244" s="588"/>
      <c r="AL244" s="588"/>
      <c r="AM244" s="588"/>
    </row>
    <row r="245" spans="1:134" ht="6" hidden="1" customHeight="1">
      <c r="Q245" s="1597" t="s">
        <v>3034</v>
      </c>
      <c r="R245" s="998"/>
      <c r="S245" s="998"/>
      <c r="T245" s="998"/>
      <c r="U245" s="982"/>
      <c r="V245" s="982"/>
      <c r="W245" s="982"/>
      <c r="X245" s="982"/>
      <c r="Y245" s="982"/>
      <c r="Z245" s="982"/>
      <c r="AA245" s="984"/>
      <c r="AB245" s="1740"/>
      <c r="AC245" s="588"/>
      <c r="AD245" s="588"/>
      <c r="AE245" s="588"/>
      <c r="AF245" s="588"/>
      <c r="AG245" s="588"/>
      <c r="AH245" s="588"/>
      <c r="AI245" s="588"/>
      <c r="AJ245" s="588"/>
      <c r="AK245" s="588"/>
      <c r="AL245" s="588"/>
      <c r="AM245" s="588"/>
    </row>
    <row r="246" spans="1:134" ht="6" hidden="1" customHeight="1">
      <c r="Q246" s="1597" t="s">
        <v>3035</v>
      </c>
      <c r="R246" s="998"/>
      <c r="S246" s="998"/>
      <c r="T246" s="998"/>
      <c r="U246" s="982"/>
      <c r="V246" s="982"/>
      <c r="W246" s="982"/>
      <c r="X246" s="982"/>
      <c r="Y246" s="982"/>
      <c r="Z246" s="982"/>
      <c r="AA246" s="984"/>
      <c r="AB246" s="1740"/>
      <c r="AC246" s="588"/>
      <c r="AD246" s="588"/>
      <c r="AE246" s="588"/>
      <c r="AF246" s="588"/>
      <c r="AG246" s="588"/>
      <c r="AH246" s="588"/>
      <c r="AI246" s="588"/>
      <c r="AJ246" s="588"/>
      <c r="AK246" s="588"/>
      <c r="AL246" s="588"/>
      <c r="AM246" s="588"/>
    </row>
    <row r="247" spans="1:134" ht="6" hidden="1" customHeight="1">
      <c r="Q247" s="1597" t="s">
        <v>3036</v>
      </c>
      <c r="R247" s="998"/>
      <c r="S247" s="998"/>
      <c r="T247" s="998"/>
      <c r="U247" s="982"/>
      <c r="V247" s="982"/>
      <c r="W247" s="982"/>
      <c r="X247" s="982"/>
      <c r="Y247" s="982"/>
      <c r="Z247" s="982"/>
      <c r="AA247" s="984"/>
      <c r="AB247" s="1740"/>
      <c r="AC247" s="588"/>
      <c r="AD247" s="588"/>
      <c r="AE247" s="588"/>
      <c r="AF247" s="588"/>
      <c r="AG247" s="588"/>
      <c r="AH247" s="588"/>
      <c r="AI247" s="588"/>
      <c r="AJ247" s="588"/>
      <c r="AK247" s="588"/>
      <c r="AL247" s="588"/>
      <c r="AM247" s="588"/>
    </row>
    <row r="248" spans="1:134" ht="6" hidden="1" customHeight="1">
      <c r="Q248" s="1597" t="s">
        <v>3037</v>
      </c>
      <c r="R248" s="998"/>
      <c r="S248" s="998"/>
      <c r="T248" s="998"/>
      <c r="U248" s="982"/>
      <c r="V248" s="982"/>
      <c r="W248" s="982"/>
      <c r="X248" s="982"/>
      <c r="Y248" s="982"/>
      <c r="Z248" s="982"/>
      <c r="AA248" s="984"/>
      <c r="AB248" s="1740"/>
      <c r="AC248" s="588"/>
      <c r="AD248" s="588"/>
      <c r="AE248" s="588"/>
      <c r="AF248" s="588"/>
      <c r="AG248" s="588"/>
      <c r="AH248" s="588"/>
      <c r="AI248" s="588"/>
      <c r="AJ248" s="588"/>
      <c r="AK248" s="588"/>
      <c r="AL248" s="588"/>
      <c r="AM248" s="588"/>
    </row>
    <row r="249" spans="1:134" ht="6" hidden="1" customHeight="1">
      <c r="Q249" s="1597" t="s">
        <v>3038</v>
      </c>
      <c r="R249" s="998"/>
      <c r="S249" s="998"/>
      <c r="T249" s="998"/>
      <c r="U249" s="982"/>
      <c r="V249" s="982"/>
      <c r="W249" s="982"/>
      <c r="X249" s="982"/>
      <c r="Y249" s="982"/>
      <c r="Z249" s="982"/>
      <c r="AA249" s="984"/>
      <c r="AB249" s="1740"/>
      <c r="AC249" s="588"/>
      <c r="AD249" s="588"/>
      <c r="AE249" s="588"/>
      <c r="AF249" s="588"/>
      <c r="AG249" s="588"/>
      <c r="AH249" s="588"/>
      <c r="AI249" s="588"/>
      <c r="AJ249" s="588"/>
      <c r="AK249" s="588"/>
      <c r="AL249" s="588"/>
      <c r="AM249" s="588"/>
    </row>
    <row r="250" spans="1:134" ht="6" hidden="1" customHeight="1">
      <c r="Q250" s="1597" t="s">
        <v>3039</v>
      </c>
      <c r="R250" s="998"/>
      <c r="S250" s="998"/>
      <c r="T250" s="998"/>
      <c r="U250" s="982"/>
      <c r="V250" s="982"/>
      <c r="W250" s="982"/>
      <c r="X250" s="982"/>
      <c r="Y250" s="982"/>
      <c r="Z250" s="982"/>
      <c r="AA250" s="984"/>
      <c r="AB250" s="1740"/>
      <c r="AC250" s="588"/>
      <c r="AD250" s="588"/>
      <c r="AE250" s="588"/>
      <c r="AF250" s="588"/>
      <c r="AG250" s="588"/>
      <c r="AH250" s="588"/>
      <c r="AI250" s="588"/>
      <c r="AJ250" s="588"/>
      <c r="AK250" s="588"/>
      <c r="AL250" s="588"/>
      <c r="AM250" s="588"/>
    </row>
    <row r="251" spans="1:134" ht="6" hidden="1" customHeight="1">
      <c r="Q251" s="1597" t="s">
        <v>3040</v>
      </c>
      <c r="R251" s="998"/>
      <c r="S251" s="998"/>
      <c r="T251" s="998"/>
      <c r="U251" s="982"/>
      <c r="V251" s="982"/>
      <c r="W251" s="982"/>
      <c r="X251" s="982"/>
      <c r="Y251" s="982"/>
      <c r="Z251" s="982"/>
      <c r="AA251" s="984"/>
      <c r="AB251" s="1740"/>
      <c r="AC251" s="588"/>
      <c r="AD251" s="588"/>
      <c r="AE251" s="588"/>
      <c r="AF251" s="588"/>
      <c r="AG251" s="588"/>
      <c r="AH251" s="588"/>
      <c r="AI251" s="588"/>
      <c r="AJ251" s="588"/>
      <c r="AK251" s="588"/>
      <c r="AL251" s="588"/>
      <c r="AM251" s="588"/>
    </row>
    <row r="252" spans="1:134" ht="6" hidden="1" customHeight="1">
      <c r="Q252" s="1597" t="s">
        <v>3041</v>
      </c>
      <c r="R252" s="998"/>
      <c r="S252" s="998"/>
      <c r="T252" s="998"/>
      <c r="U252" s="982"/>
      <c r="V252" s="982"/>
      <c r="W252" s="982"/>
      <c r="X252" s="982"/>
      <c r="Y252" s="982"/>
      <c r="Z252" s="982"/>
      <c r="AA252" s="984"/>
      <c r="AB252" s="1740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</row>
    <row r="253" spans="1:134" ht="6" hidden="1" customHeight="1">
      <c r="Q253" s="1597" t="s">
        <v>3042</v>
      </c>
      <c r="R253" s="998"/>
      <c r="S253" s="998"/>
      <c r="T253" s="998"/>
      <c r="U253" s="982"/>
      <c r="V253" s="982"/>
      <c r="W253" s="982"/>
      <c r="X253" s="982"/>
      <c r="Y253" s="982"/>
      <c r="Z253" s="982"/>
      <c r="AA253" s="984"/>
      <c r="AB253" s="1740"/>
      <c r="AC253" s="588"/>
      <c r="AD253" s="588"/>
      <c r="AE253" s="588"/>
      <c r="AF253" s="588"/>
      <c r="AG253" s="588"/>
      <c r="AH253" s="588"/>
      <c r="AI253" s="588"/>
      <c r="AJ253" s="588"/>
      <c r="AK253" s="588"/>
      <c r="AL253" s="588"/>
      <c r="AM253" s="588"/>
    </row>
    <row r="254" spans="1:134" ht="6" hidden="1" customHeight="1">
      <c r="Q254" s="1597" t="s">
        <v>3043</v>
      </c>
      <c r="R254" s="998"/>
      <c r="S254" s="998"/>
      <c r="T254" s="998"/>
      <c r="U254" s="982"/>
      <c r="V254" s="982"/>
      <c r="W254" s="982"/>
      <c r="X254" s="982"/>
      <c r="Y254" s="982"/>
      <c r="Z254" s="982"/>
      <c r="AA254" s="984"/>
      <c r="AB254" s="1740"/>
      <c r="AC254" s="588"/>
      <c r="AD254" s="588"/>
      <c r="AE254" s="588"/>
      <c r="AF254" s="588"/>
      <c r="AG254" s="588"/>
      <c r="AH254" s="588"/>
      <c r="AI254" s="588"/>
      <c r="AJ254" s="588"/>
      <c r="AK254" s="588"/>
      <c r="AL254" s="588"/>
      <c r="AM254" s="588"/>
    </row>
    <row r="255" spans="1:134" ht="6" hidden="1" customHeight="1">
      <c r="Q255" s="1597" t="s">
        <v>3044</v>
      </c>
      <c r="R255" s="998"/>
      <c r="S255" s="998"/>
      <c r="T255" s="998"/>
      <c r="U255" s="982"/>
      <c r="V255" s="982"/>
      <c r="W255" s="982"/>
      <c r="X255" s="982"/>
      <c r="Y255" s="982"/>
      <c r="Z255" s="982"/>
      <c r="AA255" s="984"/>
      <c r="AB255" s="1740"/>
      <c r="AC255" s="588"/>
      <c r="AD255" s="588"/>
      <c r="AE255" s="588"/>
      <c r="AF255" s="588"/>
      <c r="AG255" s="588"/>
      <c r="AH255" s="588"/>
      <c r="AI255" s="588"/>
      <c r="AJ255" s="588"/>
      <c r="AK255" s="588"/>
      <c r="AL255" s="588"/>
      <c r="AM255" s="588"/>
    </row>
    <row r="256" spans="1:134" ht="6" hidden="1" customHeight="1">
      <c r="Q256" s="1597" t="s">
        <v>3045</v>
      </c>
      <c r="R256" s="998"/>
      <c r="S256" s="998"/>
      <c r="T256" s="998"/>
      <c r="U256" s="982"/>
      <c r="V256" s="982"/>
      <c r="W256" s="982"/>
      <c r="X256" s="982"/>
      <c r="Y256" s="982"/>
      <c r="Z256" s="982"/>
      <c r="AA256" s="984"/>
      <c r="AB256" s="1740"/>
      <c r="AC256" s="588"/>
      <c r="AD256" s="588"/>
      <c r="AE256" s="588"/>
      <c r="AF256" s="588"/>
      <c r="AG256" s="588"/>
      <c r="AH256" s="588"/>
      <c r="AI256" s="588"/>
      <c r="AJ256" s="588"/>
      <c r="AK256" s="588"/>
      <c r="AL256" s="588"/>
      <c r="AM256" s="588"/>
    </row>
    <row r="257" spans="17:39" ht="6" hidden="1" customHeight="1">
      <c r="Q257" s="1597" t="s">
        <v>3046</v>
      </c>
      <c r="R257" s="998"/>
      <c r="S257" s="998"/>
      <c r="T257" s="998"/>
      <c r="U257" s="982"/>
      <c r="V257" s="982"/>
      <c r="W257" s="982"/>
      <c r="X257" s="982"/>
      <c r="Y257" s="982"/>
      <c r="Z257" s="982"/>
      <c r="AA257" s="984"/>
      <c r="AB257" s="1740"/>
      <c r="AC257" s="588"/>
      <c r="AD257" s="588"/>
      <c r="AE257" s="588"/>
      <c r="AF257" s="588"/>
      <c r="AG257" s="588"/>
      <c r="AH257" s="588"/>
      <c r="AI257" s="588"/>
      <c r="AJ257" s="588"/>
      <c r="AK257" s="588"/>
      <c r="AL257" s="588"/>
      <c r="AM257" s="588"/>
    </row>
    <row r="258" spans="17:39" ht="6" hidden="1" customHeight="1">
      <c r="Q258" s="1597" t="s">
        <v>3047</v>
      </c>
      <c r="R258" s="998"/>
      <c r="S258" s="998"/>
      <c r="T258" s="998"/>
      <c r="U258" s="982"/>
      <c r="V258" s="982"/>
      <c r="W258" s="982"/>
      <c r="X258" s="982"/>
      <c r="Y258" s="982"/>
      <c r="Z258" s="982"/>
      <c r="AA258" s="984"/>
      <c r="AB258" s="1740"/>
      <c r="AC258" s="588"/>
      <c r="AD258" s="588"/>
      <c r="AE258" s="588"/>
      <c r="AF258" s="588"/>
      <c r="AG258" s="588"/>
      <c r="AH258" s="588"/>
      <c r="AI258" s="588"/>
      <c r="AJ258" s="588"/>
      <c r="AK258" s="588"/>
      <c r="AL258" s="588"/>
      <c r="AM258" s="588"/>
    </row>
    <row r="259" spans="17:39" ht="6" hidden="1" customHeight="1">
      <c r="Q259" s="1597" t="s">
        <v>3048</v>
      </c>
      <c r="R259" s="998"/>
      <c r="S259" s="998"/>
      <c r="T259" s="998"/>
      <c r="U259" s="982"/>
      <c r="V259" s="982"/>
      <c r="W259" s="982"/>
      <c r="X259" s="982"/>
      <c r="Y259" s="982"/>
      <c r="Z259" s="982"/>
      <c r="AA259" s="984"/>
      <c r="AB259" s="1740"/>
      <c r="AC259" s="588"/>
      <c r="AD259" s="588"/>
      <c r="AE259" s="588"/>
      <c r="AF259" s="588"/>
      <c r="AG259" s="588"/>
      <c r="AH259" s="588"/>
      <c r="AI259" s="588"/>
      <c r="AJ259" s="588"/>
      <c r="AK259" s="588"/>
      <c r="AL259" s="588"/>
      <c r="AM259" s="588"/>
    </row>
    <row r="260" spans="17:39" ht="6" hidden="1" customHeight="1">
      <c r="Q260" s="1597" t="s">
        <v>3049</v>
      </c>
      <c r="R260" s="998"/>
      <c r="S260" s="998"/>
      <c r="T260" s="998"/>
      <c r="U260" s="982"/>
      <c r="V260" s="982"/>
      <c r="W260" s="982"/>
      <c r="X260" s="982"/>
      <c r="Y260" s="982"/>
      <c r="Z260" s="982"/>
      <c r="AA260" s="984"/>
      <c r="AB260" s="1740"/>
      <c r="AC260" s="588"/>
      <c r="AD260" s="588"/>
      <c r="AE260" s="588"/>
      <c r="AF260" s="588"/>
      <c r="AG260" s="588"/>
      <c r="AH260" s="588"/>
      <c r="AI260" s="588"/>
      <c r="AJ260" s="588"/>
      <c r="AK260" s="588"/>
      <c r="AL260" s="588"/>
      <c r="AM260" s="588"/>
    </row>
    <row r="261" spans="17:39" ht="6" hidden="1" customHeight="1">
      <c r="Q261" s="1597" t="s">
        <v>3050</v>
      </c>
      <c r="R261" s="998"/>
      <c r="S261" s="998"/>
      <c r="T261" s="998"/>
      <c r="U261" s="982"/>
      <c r="V261" s="982"/>
      <c r="W261" s="982"/>
      <c r="X261" s="982"/>
      <c r="Y261" s="982"/>
      <c r="Z261" s="982"/>
      <c r="AA261" s="984"/>
      <c r="AB261" s="1740"/>
      <c r="AC261" s="588"/>
      <c r="AD261" s="588"/>
      <c r="AE261" s="588"/>
      <c r="AF261" s="588"/>
      <c r="AG261" s="588"/>
      <c r="AH261" s="588"/>
      <c r="AI261" s="588"/>
      <c r="AJ261" s="588"/>
      <c r="AK261" s="588"/>
      <c r="AL261" s="588"/>
      <c r="AM261" s="588"/>
    </row>
    <row r="262" spans="17:39" ht="6" hidden="1" customHeight="1">
      <c r="Q262" s="1597" t="s">
        <v>3051</v>
      </c>
      <c r="R262" s="998"/>
      <c r="S262" s="998"/>
      <c r="T262" s="998"/>
      <c r="U262" s="982"/>
      <c r="V262" s="982"/>
      <c r="W262" s="982"/>
      <c r="X262" s="982"/>
      <c r="Y262" s="982"/>
      <c r="Z262" s="982"/>
      <c r="AA262" s="984"/>
      <c r="AB262" s="1740"/>
      <c r="AC262" s="588"/>
      <c r="AD262" s="588"/>
      <c r="AE262" s="588"/>
      <c r="AF262" s="588"/>
      <c r="AG262" s="588"/>
      <c r="AH262" s="588"/>
      <c r="AI262" s="588"/>
      <c r="AJ262" s="588"/>
      <c r="AK262" s="588"/>
      <c r="AL262" s="588"/>
      <c r="AM262" s="588"/>
    </row>
    <row r="263" spans="17:39" ht="6" hidden="1" customHeight="1">
      <c r="Q263" s="1597" t="s">
        <v>3052</v>
      </c>
      <c r="R263" s="998"/>
      <c r="S263" s="998"/>
      <c r="T263" s="998"/>
      <c r="U263" s="982"/>
      <c r="V263" s="982"/>
      <c r="W263" s="982"/>
      <c r="X263" s="982"/>
      <c r="Y263" s="982"/>
      <c r="Z263" s="982"/>
      <c r="AA263" s="984"/>
      <c r="AB263" s="1740"/>
      <c r="AC263" s="588"/>
      <c r="AD263" s="588"/>
      <c r="AE263" s="588"/>
      <c r="AF263" s="588"/>
      <c r="AG263" s="588"/>
      <c r="AH263" s="588"/>
      <c r="AI263" s="588"/>
      <c r="AJ263" s="588"/>
      <c r="AK263" s="588"/>
      <c r="AL263" s="588"/>
      <c r="AM263" s="588"/>
    </row>
    <row r="264" spans="17:39" ht="6" hidden="1" customHeight="1">
      <c r="Q264" s="1597" t="s">
        <v>3053</v>
      </c>
      <c r="R264" s="998"/>
      <c r="S264" s="998"/>
      <c r="T264" s="998"/>
      <c r="U264" s="982"/>
      <c r="V264" s="982"/>
      <c r="W264" s="982"/>
      <c r="X264" s="982"/>
      <c r="Y264" s="982"/>
      <c r="Z264" s="982"/>
      <c r="AA264" s="984"/>
      <c r="AB264" s="1740"/>
      <c r="AC264" s="588"/>
      <c r="AD264" s="588"/>
      <c r="AE264" s="588"/>
      <c r="AF264" s="588"/>
      <c r="AG264" s="588"/>
      <c r="AH264" s="588"/>
      <c r="AI264" s="588"/>
      <c r="AJ264" s="588"/>
      <c r="AK264" s="588"/>
      <c r="AL264" s="588"/>
      <c r="AM264" s="588"/>
    </row>
    <row r="265" spans="17:39" ht="6" hidden="1" customHeight="1">
      <c r="Q265" s="1597" t="s">
        <v>3054</v>
      </c>
      <c r="R265" s="998"/>
      <c r="S265" s="998"/>
      <c r="T265" s="998"/>
      <c r="U265" s="982"/>
      <c r="V265" s="982"/>
      <c r="W265" s="982"/>
      <c r="X265" s="982"/>
      <c r="Y265" s="982"/>
      <c r="Z265" s="982"/>
      <c r="AA265" s="984"/>
      <c r="AB265" s="1740"/>
      <c r="AC265" s="588"/>
      <c r="AD265" s="588"/>
      <c r="AE265" s="588"/>
      <c r="AF265" s="588"/>
      <c r="AG265" s="588"/>
      <c r="AH265" s="588"/>
      <c r="AI265" s="588"/>
      <c r="AJ265" s="588"/>
      <c r="AK265" s="588"/>
      <c r="AL265" s="588"/>
      <c r="AM265" s="588"/>
    </row>
    <row r="266" spans="17:39" ht="6" hidden="1" customHeight="1">
      <c r="Q266" s="1597" t="s">
        <v>3055</v>
      </c>
      <c r="R266" s="998"/>
      <c r="S266" s="998"/>
      <c r="T266" s="998"/>
      <c r="U266" s="982"/>
      <c r="V266" s="982"/>
      <c r="W266" s="982"/>
      <c r="X266" s="982"/>
      <c r="Y266" s="982"/>
      <c r="Z266" s="982"/>
      <c r="AA266" s="984"/>
      <c r="AB266" s="1740"/>
      <c r="AC266" s="588"/>
      <c r="AD266" s="588"/>
      <c r="AE266" s="588"/>
      <c r="AF266" s="588"/>
      <c r="AG266" s="588"/>
      <c r="AH266" s="588"/>
      <c r="AI266" s="588"/>
      <c r="AJ266" s="588"/>
      <c r="AK266" s="588"/>
      <c r="AL266" s="588"/>
      <c r="AM266" s="588"/>
    </row>
    <row r="267" spans="17:39" ht="6" hidden="1" customHeight="1">
      <c r="Q267" s="1597" t="s">
        <v>3056</v>
      </c>
      <c r="R267" s="998"/>
      <c r="S267" s="998"/>
      <c r="T267" s="998"/>
      <c r="U267" s="982"/>
      <c r="V267" s="982"/>
      <c r="W267" s="982"/>
      <c r="X267" s="982"/>
      <c r="Y267" s="982"/>
      <c r="Z267" s="982"/>
      <c r="AA267" s="984"/>
      <c r="AB267" s="1740"/>
      <c r="AC267" s="588"/>
      <c r="AD267" s="588"/>
      <c r="AE267" s="588"/>
      <c r="AF267" s="588"/>
      <c r="AG267" s="588"/>
      <c r="AH267" s="588"/>
      <c r="AI267" s="588"/>
      <c r="AJ267" s="588"/>
      <c r="AK267" s="588"/>
      <c r="AL267" s="588"/>
      <c r="AM267" s="588"/>
    </row>
    <row r="268" spans="17:39" ht="6" hidden="1" customHeight="1">
      <c r="Q268" s="1597" t="s">
        <v>3057</v>
      </c>
      <c r="R268" s="998"/>
      <c r="S268" s="998"/>
      <c r="T268" s="998"/>
      <c r="U268" s="982"/>
      <c r="V268" s="982"/>
      <c r="W268" s="982"/>
      <c r="X268" s="982"/>
      <c r="Y268" s="982"/>
      <c r="Z268" s="982"/>
      <c r="AA268" s="984"/>
      <c r="AB268" s="1740"/>
      <c r="AC268" s="588"/>
      <c r="AD268" s="588"/>
      <c r="AE268" s="588"/>
      <c r="AF268" s="588"/>
      <c r="AG268" s="588"/>
      <c r="AH268" s="588"/>
      <c r="AI268" s="588"/>
      <c r="AJ268" s="588"/>
      <c r="AK268" s="588"/>
      <c r="AL268" s="588"/>
      <c r="AM268" s="588"/>
    </row>
    <row r="269" spans="17:39" ht="6" hidden="1" customHeight="1">
      <c r="Q269" s="1597" t="s">
        <v>2905</v>
      </c>
      <c r="R269" s="998"/>
      <c r="S269" s="998"/>
      <c r="T269" s="998"/>
      <c r="U269" s="982"/>
      <c r="V269" s="982"/>
      <c r="W269" s="982"/>
      <c r="X269" s="982"/>
      <c r="Y269" s="982"/>
      <c r="Z269" s="982"/>
      <c r="AA269" s="984"/>
      <c r="AB269" s="1740"/>
      <c r="AC269" s="588"/>
      <c r="AD269" s="588"/>
      <c r="AE269" s="588"/>
      <c r="AF269" s="588"/>
      <c r="AG269" s="588"/>
      <c r="AH269" s="588"/>
      <c r="AI269" s="588"/>
      <c r="AJ269" s="588"/>
      <c r="AK269" s="588"/>
      <c r="AL269" s="588"/>
      <c r="AM269" s="588"/>
    </row>
    <row r="270" spans="17:39" ht="6" hidden="1" customHeight="1">
      <c r="Q270" s="1597" t="s">
        <v>2906</v>
      </c>
      <c r="R270" s="998"/>
      <c r="S270" s="998"/>
      <c r="T270" s="998"/>
      <c r="U270" s="982"/>
      <c r="V270" s="982"/>
      <c r="W270" s="982"/>
      <c r="X270" s="982"/>
      <c r="Y270" s="982"/>
      <c r="Z270" s="982"/>
      <c r="AA270" s="984"/>
      <c r="AB270" s="1740"/>
      <c r="AC270" s="588"/>
      <c r="AD270" s="588"/>
      <c r="AE270" s="588"/>
      <c r="AF270" s="588"/>
      <c r="AG270" s="588"/>
      <c r="AH270" s="588"/>
      <c r="AI270" s="588"/>
      <c r="AJ270" s="588"/>
      <c r="AK270" s="588"/>
      <c r="AL270" s="588"/>
      <c r="AM270" s="588"/>
    </row>
    <row r="271" spans="17:39" ht="6" hidden="1" customHeight="1">
      <c r="Q271" s="981"/>
      <c r="R271" s="998"/>
      <c r="S271" s="998"/>
      <c r="T271" s="998"/>
      <c r="U271" s="982"/>
      <c r="V271" s="982"/>
      <c r="W271" s="982"/>
      <c r="X271" s="982"/>
      <c r="Y271" s="982"/>
      <c r="Z271" s="982"/>
      <c r="AA271" s="984"/>
      <c r="AB271" s="1740"/>
      <c r="AC271" s="588"/>
      <c r="AD271" s="588"/>
      <c r="AE271" s="588"/>
      <c r="AF271" s="588"/>
      <c r="AG271" s="588"/>
      <c r="AH271" s="588"/>
      <c r="AI271" s="588"/>
      <c r="AJ271" s="588"/>
      <c r="AK271" s="588"/>
      <c r="AL271" s="588"/>
      <c r="AM271" s="588"/>
    </row>
    <row r="272" spans="17:39" ht="6" hidden="1" customHeight="1">
      <c r="Q272" s="981" t="s">
        <v>293</v>
      </c>
      <c r="R272" s="998"/>
      <c r="S272" s="998"/>
      <c r="T272" s="998"/>
      <c r="U272" s="982"/>
      <c r="V272" s="982"/>
      <c r="W272" s="982"/>
      <c r="X272" s="982"/>
      <c r="Y272" s="982"/>
      <c r="Z272" s="982"/>
      <c r="AA272" s="984"/>
      <c r="AB272" s="1740"/>
      <c r="AC272" s="588"/>
      <c r="AD272" s="588"/>
      <c r="AE272" s="588"/>
      <c r="AF272" s="588"/>
      <c r="AG272" s="588"/>
      <c r="AH272" s="588"/>
      <c r="AI272" s="588"/>
      <c r="AJ272" s="588"/>
      <c r="AK272" s="588"/>
      <c r="AL272" s="588"/>
      <c r="AM272" s="588"/>
    </row>
    <row r="273" spans="1:243" ht="6" hidden="1" customHeight="1">
      <c r="Q273" s="981"/>
      <c r="R273" s="998"/>
      <c r="S273" s="998"/>
      <c r="T273" s="998"/>
      <c r="U273" s="982"/>
      <c r="V273" s="982"/>
      <c r="W273" s="982"/>
      <c r="X273" s="982"/>
      <c r="Y273" s="982"/>
      <c r="Z273" s="982"/>
      <c r="AA273" s="984"/>
      <c r="AB273" s="1740"/>
      <c r="AC273" s="588"/>
      <c r="AD273" s="588"/>
      <c r="AE273" s="588"/>
      <c r="AF273" s="588"/>
      <c r="AG273" s="588"/>
      <c r="AH273" s="588"/>
      <c r="AI273" s="588"/>
      <c r="AJ273" s="588"/>
      <c r="AK273" s="588"/>
      <c r="AL273" s="588"/>
      <c r="AM273" s="588"/>
    </row>
    <row r="274" spans="1:243" ht="6" hidden="1" customHeight="1">
      <c r="Q274" s="981"/>
      <c r="R274" s="998"/>
      <c r="S274" s="998"/>
      <c r="T274" s="998"/>
      <c r="U274" s="982"/>
      <c r="V274" s="982"/>
      <c r="W274" s="982"/>
      <c r="X274" s="982"/>
      <c r="Y274" s="982"/>
      <c r="Z274" s="982"/>
      <c r="AA274" s="984"/>
      <c r="AB274" s="1740"/>
      <c r="AC274" s="588"/>
      <c r="AD274" s="588"/>
      <c r="AE274" s="588"/>
      <c r="AF274" s="588"/>
      <c r="AG274" s="588"/>
      <c r="AH274" s="588"/>
      <c r="AI274" s="588"/>
      <c r="AJ274" s="588"/>
      <c r="AK274" s="588"/>
      <c r="AL274" s="588"/>
      <c r="AM274" s="588"/>
    </row>
    <row r="275" spans="1:243" ht="6" hidden="1" customHeight="1">
      <c r="Q275" s="981" t="s">
        <v>293</v>
      </c>
      <c r="R275" s="998"/>
      <c r="S275" s="998"/>
      <c r="T275" s="998"/>
      <c r="U275" s="982"/>
      <c r="V275" s="982"/>
      <c r="W275" s="982"/>
      <c r="X275" s="982"/>
      <c r="Y275" s="982"/>
      <c r="Z275" s="982"/>
      <c r="AA275" s="984"/>
      <c r="AB275" s="1740"/>
      <c r="AC275" s="588"/>
      <c r="AD275" s="588"/>
      <c r="AE275" s="588"/>
      <c r="AF275" s="588"/>
      <c r="AG275" s="588"/>
      <c r="AH275" s="588"/>
      <c r="AI275" s="588"/>
      <c r="AJ275" s="588"/>
      <c r="AK275" s="588"/>
      <c r="AL275" s="588"/>
      <c r="AM275" s="588"/>
    </row>
    <row r="276" spans="1:243" ht="6" hidden="1" customHeight="1">
      <c r="Q276" s="981"/>
      <c r="R276" s="998"/>
      <c r="S276" s="998"/>
      <c r="T276" s="998"/>
      <c r="U276" s="982"/>
      <c r="V276" s="982"/>
      <c r="W276" s="982"/>
      <c r="X276" s="982"/>
      <c r="Y276" s="982"/>
      <c r="Z276" s="982"/>
      <c r="AA276" s="984"/>
      <c r="AB276" s="1740"/>
      <c r="AC276" s="588"/>
      <c r="AD276" s="588"/>
      <c r="AE276" s="588"/>
      <c r="AF276" s="588"/>
      <c r="AG276" s="588"/>
      <c r="AH276" s="588"/>
      <c r="AI276" s="588"/>
      <c r="AJ276" s="588"/>
      <c r="AK276" s="588"/>
      <c r="AL276" s="588"/>
      <c r="AM276" s="588"/>
    </row>
    <row r="277" spans="1:243" ht="6" hidden="1" customHeight="1">
      <c r="Q277" s="981"/>
      <c r="R277" s="998"/>
      <c r="S277" s="998"/>
      <c r="T277" s="998"/>
      <c r="U277" s="982"/>
      <c r="V277" s="982"/>
      <c r="W277" s="982"/>
      <c r="X277" s="982"/>
      <c r="Y277" s="982"/>
      <c r="Z277" s="982"/>
      <c r="AA277" s="984"/>
      <c r="AB277" s="1740"/>
      <c r="AC277" s="588"/>
      <c r="AD277" s="588"/>
      <c r="AE277" s="588"/>
      <c r="AF277" s="588"/>
      <c r="AG277" s="588"/>
      <c r="AH277" s="588"/>
      <c r="AI277" s="588"/>
      <c r="AJ277" s="588"/>
      <c r="AK277" s="588"/>
      <c r="AL277" s="588"/>
      <c r="AM277" s="588"/>
    </row>
    <row r="278" spans="1:243" ht="6" hidden="1" customHeight="1">
      <c r="Q278" s="981"/>
      <c r="R278" s="998"/>
      <c r="S278" s="998"/>
      <c r="T278" s="998"/>
      <c r="U278" s="982"/>
      <c r="V278" s="982"/>
      <c r="W278" s="982"/>
      <c r="X278" s="982"/>
      <c r="Y278" s="982"/>
      <c r="Z278" s="982"/>
      <c r="AA278" s="984"/>
      <c r="AB278" s="1740"/>
      <c r="AC278" s="588"/>
      <c r="AD278" s="588"/>
      <c r="AE278" s="588"/>
      <c r="AF278" s="588"/>
      <c r="AG278" s="588"/>
      <c r="AH278" s="588"/>
      <c r="AI278" s="588"/>
      <c r="AJ278" s="588"/>
      <c r="AK278" s="588"/>
      <c r="AL278" s="588"/>
      <c r="AM278" s="588"/>
    </row>
    <row r="279" spans="1:243" ht="6" hidden="1" customHeight="1">
      <c r="Q279" s="981"/>
      <c r="R279" s="998"/>
      <c r="S279" s="998"/>
      <c r="T279" s="998"/>
      <c r="U279" s="982"/>
      <c r="V279" s="982"/>
      <c r="W279" s="982"/>
      <c r="X279" s="982"/>
      <c r="Y279" s="982"/>
      <c r="Z279" s="982"/>
      <c r="AA279" s="984"/>
      <c r="AB279" s="1740"/>
      <c r="AC279" s="588"/>
      <c r="AD279" s="588"/>
      <c r="AE279" s="588"/>
      <c r="AF279" s="588"/>
      <c r="AG279" s="588"/>
      <c r="AH279" s="588"/>
      <c r="AI279" s="588"/>
      <c r="AJ279" s="588"/>
      <c r="AK279" s="588"/>
      <c r="AL279" s="588"/>
      <c r="AM279" s="588"/>
    </row>
    <row r="280" spans="1:243" ht="6" hidden="1" customHeight="1">
      <c r="Q280" s="981"/>
      <c r="R280" s="998"/>
      <c r="S280" s="998"/>
      <c r="T280" s="998"/>
      <c r="U280" s="982"/>
      <c r="V280" s="982"/>
      <c r="W280" s="982"/>
      <c r="X280" s="982"/>
      <c r="Y280" s="982"/>
      <c r="Z280" s="982"/>
      <c r="AA280" s="984"/>
      <c r="AB280" s="1740"/>
      <c r="AC280" s="588"/>
      <c r="AD280" s="588"/>
      <c r="AE280" s="588"/>
      <c r="AF280" s="588"/>
      <c r="AG280" s="588"/>
      <c r="AH280" s="588"/>
      <c r="AI280" s="588"/>
      <c r="AJ280" s="588"/>
      <c r="AK280" s="588"/>
      <c r="AL280" s="588"/>
      <c r="AM280" s="588"/>
    </row>
    <row r="281" spans="1:243" ht="6" hidden="1" customHeight="1">
      <c r="Q281" s="981"/>
      <c r="R281" s="982"/>
      <c r="S281" s="982"/>
      <c r="T281" s="982"/>
      <c r="U281" s="982"/>
      <c r="V281" s="982"/>
      <c r="W281" s="982"/>
      <c r="X281" s="982"/>
      <c r="Y281" s="982"/>
      <c r="Z281" s="982"/>
      <c r="AA281" s="984"/>
      <c r="AB281" s="1740"/>
      <c r="AC281" s="588"/>
      <c r="AD281" s="588"/>
      <c r="AE281" s="588"/>
      <c r="AF281" s="588"/>
      <c r="AG281" s="588"/>
      <c r="AH281" s="588"/>
      <c r="AI281" s="588"/>
      <c r="AJ281" s="588"/>
      <c r="AK281" s="588"/>
      <c r="AL281" s="588"/>
      <c r="AM281" s="588"/>
    </row>
    <row r="282" spans="1:243" ht="6" hidden="1" customHeight="1">
      <c r="Q282" s="982"/>
      <c r="R282" s="982"/>
      <c r="S282" s="982"/>
      <c r="T282" s="982"/>
      <c r="U282" s="982"/>
      <c r="V282" s="982"/>
      <c r="W282" s="982"/>
      <c r="X282" s="982"/>
      <c r="Y282" s="982"/>
      <c r="Z282" s="982"/>
      <c r="AA282" s="984"/>
      <c r="AB282" s="1740"/>
      <c r="AC282" s="588"/>
      <c r="AD282" s="588"/>
      <c r="AE282" s="588"/>
      <c r="AF282" s="588"/>
      <c r="AG282" s="588"/>
      <c r="AH282" s="588"/>
      <c r="AI282" s="588"/>
      <c r="AJ282" s="588"/>
      <c r="AK282" s="588"/>
      <c r="AL282" s="588"/>
      <c r="AM282" s="588"/>
    </row>
    <row r="283" spans="1:243" ht="6" hidden="1" customHeight="1">
      <c r="Q283" s="982"/>
      <c r="R283" s="982"/>
      <c r="S283" s="982"/>
      <c r="T283" s="982"/>
      <c r="U283" s="982"/>
      <c r="V283" s="982"/>
      <c r="W283" s="982"/>
      <c r="X283" s="982"/>
      <c r="Y283" s="982"/>
      <c r="Z283" s="982"/>
      <c r="AA283" s="984"/>
      <c r="AB283" s="1740"/>
      <c r="AC283" s="588"/>
      <c r="AD283" s="588"/>
      <c r="AE283" s="588"/>
      <c r="AF283" s="588"/>
      <c r="AG283" s="588"/>
      <c r="AH283" s="588"/>
      <c r="AI283" s="588"/>
      <c r="AJ283" s="588"/>
      <c r="AK283" s="588"/>
      <c r="AL283" s="588"/>
      <c r="AM283" s="588"/>
    </row>
    <row r="284" spans="1:243" ht="6" hidden="1" customHeight="1">
      <c r="Q284" s="982"/>
      <c r="R284" s="982"/>
      <c r="S284" s="982"/>
      <c r="T284" s="982"/>
      <c r="U284" s="982"/>
      <c r="V284" s="982"/>
      <c r="W284" s="982"/>
      <c r="X284" s="982"/>
      <c r="Y284" s="982"/>
      <c r="Z284" s="982"/>
      <c r="AA284" s="984"/>
      <c r="AB284" s="1740"/>
      <c r="AC284" s="588"/>
      <c r="AD284" s="588"/>
      <c r="AE284" s="588"/>
      <c r="AF284" s="588"/>
      <c r="AG284" s="588"/>
      <c r="AH284" s="588"/>
      <c r="AI284" s="588"/>
      <c r="AJ284" s="588"/>
      <c r="AK284" s="588"/>
      <c r="AL284" s="588"/>
      <c r="AM284" s="588"/>
    </row>
    <row r="285" spans="1:243" ht="6" hidden="1" customHeight="1">
      <c r="Q285" s="982"/>
      <c r="R285" s="982"/>
      <c r="S285" s="982"/>
      <c r="T285" s="982"/>
      <c r="U285" s="982"/>
      <c r="V285" s="982"/>
      <c r="W285" s="982"/>
      <c r="X285" s="982"/>
      <c r="Y285" s="982"/>
      <c r="Z285" s="982"/>
      <c r="AA285" s="984"/>
      <c r="AB285" s="1740"/>
      <c r="AC285" s="588"/>
      <c r="AD285" s="588"/>
      <c r="AE285" s="588"/>
      <c r="AF285" s="588"/>
      <c r="AG285" s="588"/>
      <c r="AH285" s="588"/>
      <c r="AI285" s="588"/>
      <c r="AJ285" s="588"/>
      <c r="AK285" s="588"/>
      <c r="AL285" s="588"/>
      <c r="AM285" s="588"/>
    </row>
    <row r="286" spans="1:243" ht="6" hidden="1" customHeight="1">
      <c r="Q286" s="979"/>
      <c r="R286" s="1598"/>
      <c r="S286" s="1598"/>
      <c r="T286" s="1598"/>
      <c r="U286" s="1598"/>
      <c r="AB286" s="1740"/>
      <c r="AC286" s="588"/>
      <c r="AD286" s="588"/>
      <c r="AE286" s="588"/>
      <c r="AF286" s="588"/>
      <c r="AG286" s="588"/>
      <c r="AH286" s="588"/>
      <c r="AI286" s="588"/>
      <c r="AJ286" s="588"/>
      <c r="AK286" s="588"/>
      <c r="AL286" s="588"/>
      <c r="AM286" s="588"/>
      <c r="BB286" s="636"/>
    </row>
    <row r="287" spans="1:243" ht="12" hidden="1" customHeight="1">
      <c r="A287" s="485"/>
      <c r="B287" s="485"/>
      <c r="C287" s="485"/>
      <c r="D287" s="485"/>
      <c r="E287" s="485"/>
      <c r="F287" s="485"/>
      <c r="G287" s="485"/>
      <c r="H287" s="485"/>
      <c r="I287" s="485"/>
      <c r="J287" s="485"/>
      <c r="K287" s="485"/>
      <c r="L287" s="485"/>
      <c r="M287" s="485"/>
      <c r="N287" s="485"/>
      <c r="O287" s="485"/>
      <c r="P287" s="485"/>
      <c r="Q287" s="485"/>
      <c r="R287" s="485"/>
      <c r="S287" s="485"/>
      <c r="T287" s="485"/>
      <c r="U287" s="485"/>
      <c r="V287" s="485"/>
      <c r="W287" s="485"/>
      <c r="X287" s="485"/>
      <c r="Y287" s="485"/>
      <c r="Z287" s="485"/>
      <c r="AA287" s="485"/>
      <c r="AB287" s="640"/>
      <c r="AC287" s="535"/>
      <c r="AD287" s="535"/>
      <c r="AE287" s="535"/>
      <c r="AF287" s="535"/>
      <c r="AG287" s="535"/>
      <c r="AH287" s="535"/>
      <c r="AI287" s="535"/>
      <c r="AJ287" s="535"/>
      <c r="AK287" s="535"/>
      <c r="AL287" s="535"/>
      <c r="AM287" s="3329" t="str">
        <f>IF(BB288&lt;AD80,"CAUTION:  The Mission Forecast covers less than a 12-hour period.","")</f>
        <v/>
      </c>
      <c r="AN287" s="3329"/>
      <c r="AO287" s="3329"/>
      <c r="AP287" s="3329"/>
      <c r="AQ287" s="3329"/>
      <c r="AR287" s="3329"/>
      <c r="AS287" s="3329"/>
      <c r="AT287" s="3329"/>
      <c r="AU287" s="3329"/>
      <c r="AV287" s="3329"/>
      <c r="AW287" s="3329"/>
      <c r="AX287" s="3329"/>
      <c r="AY287" s="3329"/>
      <c r="AZ287" s="3329"/>
      <c r="BA287" s="485"/>
      <c r="BB287" s="637"/>
      <c r="BC287" s="485"/>
      <c r="BD287" s="485"/>
      <c r="BE287" s="485"/>
      <c r="BF287" s="485"/>
      <c r="BG287" s="485"/>
      <c r="BH287" s="485"/>
      <c r="BI287" s="485"/>
      <c r="BJ287" s="485"/>
      <c r="BK287" s="3217" t="str">
        <f>IF(AND(BE290&lt;&gt;"",BE290=AE290,BS290&lt;&gt;AV290),"CAUTION: The valid times do not correspond with the previous forecast block.","")</f>
        <v/>
      </c>
      <c r="BL287" s="3217"/>
      <c r="BM287" s="3217"/>
      <c r="BN287" s="3217"/>
      <c r="BO287" s="3217"/>
      <c r="BP287" s="3217"/>
      <c r="BQ287" s="3217"/>
      <c r="BR287" s="3217"/>
      <c r="BS287" s="3217"/>
      <c r="BT287" s="3217"/>
      <c r="BU287" s="3217"/>
      <c r="BV287" s="3217"/>
      <c r="BW287" s="3217"/>
      <c r="BX287" s="3217"/>
      <c r="BY287" s="3217"/>
      <c r="BZ287" s="3217"/>
      <c r="CA287" s="485"/>
      <c r="CB287" s="485"/>
      <c r="CC287" s="485"/>
      <c r="CD287" s="485"/>
      <c r="CE287" s="485"/>
      <c r="CF287" s="485"/>
      <c r="CG287" s="485"/>
      <c r="CH287" s="485"/>
      <c r="CI287" s="485"/>
      <c r="CJ287" s="485"/>
      <c r="CK287" s="3217" t="str">
        <f>IF(AND(CE290&lt;&gt;"",CE290=BE290,CS290&lt;&gt;BV290),"CAUTION: The valid times do not correspond with the previous forecast block.","")</f>
        <v/>
      </c>
      <c r="CL287" s="3217"/>
      <c r="CM287" s="3217"/>
      <c r="CN287" s="3217"/>
      <c r="CO287" s="3217"/>
      <c r="CP287" s="3217"/>
      <c r="CQ287" s="3217"/>
      <c r="CR287" s="3217"/>
      <c r="CS287" s="3217"/>
      <c r="CT287" s="3217"/>
      <c r="CU287" s="3217"/>
      <c r="CV287" s="3217"/>
      <c r="CW287" s="3217"/>
      <c r="CX287" s="3217"/>
      <c r="CY287" s="3217"/>
      <c r="CZ287" s="3217"/>
      <c r="DA287" s="485"/>
      <c r="DB287" s="485"/>
      <c r="DC287" s="485"/>
      <c r="DD287" s="485"/>
      <c r="DE287" s="485"/>
      <c r="DF287" s="485"/>
      <c r="DG287" s="485"/>
      <c r="DH287" s="485"/>
      <c r="DI287" s="485"/>
      <c r="DJ287" s="485"/>
      <c r="DK287" s="3217" t="str">
        <f>IF(AND(DE290&lt;&gt;"",DE290=CE290,DS290&lt;&gt;CV290),"CAUTION: The valid times do not correspond with the previous forecast block.","")</f>
        <v/>
      </c>
      <c r="DL287" s="3217"/>
      <c r="DM287" s="3217"/>
      <c r="DN287" s="3217"/>
      <c r="DO287" s="3217"/>
      <c r="DP287" s="3217"/>
      <c r="DQ287" s="3217"/>
      <c r="DR287" s="3217"/>
      <c r="DS287" s="3217"/>
      <c r="DT287" s="3217"/>
      <c r="DU287" s="3217"/>
      <c r="DV287" s="3217"/>
      <c r="DW287" s="3217"/>
      <c r="DX287" s="3217"/>
      <c r="DY287" s="3217"/>
      <c r="DZ287" s="3217"/>
      <c r="EA287" s="485"/>
      <c r="EB287" s="485"/>
      <c r="EC287" s="485"/>
      <c r="ED287" s="485"/>
      <c r="EE287" s="485"/>
      <c r="EF287" s="485"/>
      <c r="EG287" s="485"/>
      <c r="EH287" s="485"/>
      <c r="EI287" s="485"/>
      <c r="EJ287" s="485"/>
      <c r="EK287" s="485"/>
      <c r="EL287" s="485"/>
      <c r="EM287" s="485"/>
      <c r="EN287" s="485"/>
      <c r="EO287" s="485"/>
      <c r="EP287" s="485"/>
      <c r="EQ287" s="485"/>
      <c r="ER287" s="485"/>
      <c r="ES287" s="485"/>
      <c r="ET287" s="485"/>
      <c r="EU287" s="485"/>
      <c r="EV287" s="485"/>
      <c r="EW287" s="485"/>
      <c r="EX287" s="485"/>
      <c r="EY287" s="485"/>
      <c r="EZ287" s="485"/>
      <c r="FA287" s="485"/>
      <c r="FB287" s="485"/>
      <c r="FC287" s="485"/>
      <c r="FD287" s="485"/>
      <c r="FE287" s="485"/>
      <c r="FF287" s="485"/>
      <c r="FG287" s="485"/>
      <c r="FH287" s="485"/>
      <c r="FI287" s="485"/>
      <c r="FJ287" s="485"/>
      <c r="FK287" s="485"/>
      <c r="FL287" s="485"/>
      <c r="FM287" s="485"/>
      <c r="FN287" s="485"/>
      <c r="FO287" s="485"/>
      <c r="FP287" s="485"/>
      <c r="FQ287" s="485"/>
      <c r="FR287" s="485"/>
      <c r="FS287" s="485"/>
      <c r="FT287" s="485"/>
      <c r="FU287" s="485"/>
      <c r="FV287" s="485"/>
      <c r="FW287" s="485"/>
      <c r="FX287" s="485"/>
      <c r="FY287" s="485"/>
      <c r="FZ287" s="485"/>
      <c r="GA287" s="485"/>
      <c r="GB287" s="485"/>
      <c r="GC287" s="485"/>
      <c r="GD287" s="485"/>
      <c r="GE287" s="485"/>
      <c r="GF287" s="485"/>
      <c r="GG287" s="485"/>
      <c r="GH287" s="485"/>
      <c r="GI287" s="485"/>
      <c r="GJ287" s="485"/>
      <c r="GK287" s="485"/>
      <c r="GL287" s="485"/>
      <c r="GM287" s="485"/>
      <c r="GN287" s="485"/>
      <c r="GO287" s="485"/>
      <c r="GP287" s="485"/>
      <c r="GQ287" s="485"/>
      <c r="GR287" s="485"/>
      <c r="GS287" s="485"/>
      <c r="GT287" s="485"/>
      <c r="GU287" s="485"/>
      <c r="GV287" s="485"/>
      <c r="GW287" s="485"/>
      <c r="GX287" s="485"/>
      <c r="GY287" s="485"/>
      <c r="GZ287" s="485"/>
      <c r="HA287" s="485"/>
      <c r="HB287" s="485"/>
      <c r="HC287" s="485"/>
      <c r="HD287" s="485"/>
      <c r="HE287" s="485"/>
      <c r="HF287" s="485"/>
      <c r="HG287" s="485"/>
      <c r="HH287" s="485"/>
      <c r="HI287" s="485"/>
      <c r="HJ287" s="485"/>
      <c r="HK287" s="485"/>
      <c r="HL287" s="485"/>
      <c r="HM287" s="485"/>
      <c r="HN287" s="485"/>
      <c r="HO287" s="485"/>
      <c r="HP287" s="485"/>
      <c r="HQ287" s="485"/>
      <c r="HR287" s="485"/>
      <c r="HS287" s="485"/>
      <c r="HT287" s="485"/>
      <c r="HU287" s="485"/>
      <c r="HV287" s="485"/>
      <c r="HW287" s="485"/>
      <c r="HX287" s="485"/>
      <c r="HY287" s="485"/>
      <c r="HZ287" s="485"/>
      <c r="IA287" s="485"/>
      <c r="IB287" s="485"/>
      <c r="IC287" s="485"/>
      <c r="ID287" s="485"/>
      <c r="IE287" s="485"/>
      <c r="IF287" s="485"/>
      <c r="IG287" s="485"/>
      <c r="IH287" s="485"/>
      <c r="II287" s="485"/>
    </row>
    <row r="288" spans="1:243" ht="33" customHeight="1" thickBot="1">
      <c r="A288" s="485"/>
      <c r="B288" s="638" t="s">
        <v>309</v>
      </c>
      <c r="C288" s="485"/>
      <c r="D288" s="485"/>
      <c r="E288" s="485"/>
      <c r="F288" s="485"/>
      <c r="G288" s="485"/>
      <c r="H288" s="485"/>
      <c r="I288" s="485"/>
      <c r="J288" s="485"/>
      <c r="K288" s="485"/>
      <c r="L288" s="485"/>
      <c r="M288" s="485"/>
      <c r="N288" s="485"/>
      <c r="O288" s="485"/>
      <c r="P288" s="485"/>
      <c r="Q288" s="485"/>
      <c r="R288" s="485"/>
      <c r="S288" s="639"/>
      <c r="T288" s="639"/>
      <c r="U288" s="485"/>
      <c r="V288" s="639"/>
      <c r="W288" s="485"/>
      <c r="X288" s="639"/>
      <c r="Y288" s="639"/>
      <c r="Z288" s="639"/>
      <c r="AA288" s="485"/>
      <c r="AB288" s="1736"/>
      <c r="AC288" s="639"/>
      <c r="AD288" s="640"/>
      <c r="AE288" s="640"/>
      <c r="AF288" s="640"/>
      <c r="AG288" s="640"/>
      <c r="AH288" s="640"/>
      <c r="AI288" s="640"/>
      <c r="AJ288" s="640"/>
      <c r="AK288" s="640"/>
      <c r="AL288" s="640"/>
      <c r="AM288" s="3330"/>
      <c r="AN288" s="3330"/>
      <c r="AO288" s="3330"/>
      <c r="AP288" s="3330"/>
      <c r="AQ288" s="3330"/>
      <c r="AR288" s="3330"/>
      <c r="AS288" s="3330"/>
      <c r="AT288" s="3330"/>
      <c r="AU288" s="3330"/>
      <c r="AV288" s="3330"/>
      <c r="AW288" s="3330"/>
      <c r="AX288" s="3330"/>
      <c r="AY288" s="3330"/>
      <c r="AZ288" s="3330"/>
      <c r="BA288" s="640"/>
      <c r="BB288" s="1804">
        <f>MAX(AZ290,IF(BE290="",AZ290,BZ290+0.001),IF(CE290="",AZ290,CZ290+0.001),IF(DE290="",AZ290,DZ290+0.001))</f>
        <v>44748.875</v>
      </c>
      <c r="BC288" s="640"/>
      <c r="BD288" s="640"/>
      <c r="BE288" s="641" t="s">
        <v>310</v>
      </c>
      <c r="BF288" s="640"/>
      <c r="BG288" s="640"/>
      <c r="BH288" s="640"/>
      <c r="BI288" s="640"/>
      <c r="BJ288" s="640"/>
      <c r="BK288" s="3218"/>
      <c r="BL288" s="3218"/>
      <c r="BM288" s="3218"/>
      <c r="BN288" s="3218"/>
      <c r="BO288" s="3218"/>
      <c r="BP288" s="3218"/>
      <c r="BQ288" s="3218"/>
      <c r="BR288" s="3218"/>
      <c r="BS288" s="3218"/>
      <c r="BT288" s="3218"/>
      <c r="BU288" s="3218"/>
      <c r="BV288" s="3218"/>
      <c r="BW288" s="3218"/>
      <c r="BX288" s="3218"/>
      <c r="BY288" s="3218"/>
      <c r="BZ288" s="3218"/>
      <c r="CA288" s="640"/>
      <c r="CB288" s="640"/>
      <c r="CC288" s="640"/>
      <c r="CD288" s="485"/>
      <c r="CE288" s="485"/>
      <c r="CF288" s="485"/>
      <c r="CG288" s="485"/>
      <c r="CH288" s="485"/>
      <c r="CI288" s="485"/>
      <c r="CJ288" s="485"/>
      <c r="CK288" s="3218"/>
      <c r="CL288" s="3218"/>
      <c r="CM288" s="3218"/>
      <c r="CN288" s="3218"/>
      <c r="CO288" s="3218"/>
      <c r="CP288" s="3218"/>
      <c r="CQ288" s="3218"/>
      <c r="CR288" s="3218"/>
      <c r="CS288" s="3218"/>
      <c r="CT288" s="3218"/>
      <c r="CU288" s="3218"/>
      <c r="CV288" s="3218"/>
      <c r="CW288" s="3218"/>
      <c r="CX288" s="3218"/>
      <c r="CY288" s="3218"/>
      <c r="CZ288" s="3218"/>
      <c r="DA288" s="485"/>
      <c r="DB288" s="485"/>
      <c r="DC288" s="485"/>
      <c r="DD288" s="485"/>
      <c r="DE288" s="485"/>
      <c r="DF288" s="485"/>
      <c r="DG288" s="485"/>
      <c r="DH288" s="485"/>
      <c r="DI288" s="485"/>
      <c r="DJ288" s="485"/>
      <c r="DK288" s="3218"/>
      <c r="DL288" s="3218"/>
      <c r="DM288" s="3218"/>
      <c r="DN288" s="3218"/>
      <c r="DO288" s="3218"/>
      <c r="DP288" s="3218"/>
      <c r="DQ288" s="3218"/>
      <c r="DR288" s="3218"/>
      <c r="DS288" s="3218"/>
      <c r="DT288" s="3218"/>
      <c r="DU288" s="3218"/>
      <c r="DV288" s="3218"/>
      <c r="DW288" s="3218"/>
      <c r="DX288" s="3218"/>
      <c r="DY288" s="3218"/>
      <c r="DZ288" s="3218"/>
      <c r="EA288" s="485"/>
      <c r="EB288" s="485"/>
      <c r="EC288" s="485"/>
      <c r="ED288" s="485"/>
      <c r="EE288" s="485"/>
      <c r="EF288" s="485"/>
      <c r="EG288" s="485"/>
      <c r="EH288" s="485"/>
      <c r="EI288" s="485"/>
      <c r="EJ288" s="485"/>
      <c r="EK288" s="485"/>
      <c r="EL288" s="485"/>
      <c r="EM288" s="485"/>
      <c r="EN288" s="485"/>
      <c r="EO288" s="485"/>
      <c r="EP288" s="485"/>
      <c r="EQ288" s="485"/>
      <c r="ER288" s="485"/>
      <c r="ES288" s="485"/>
      <c r="ET288" s="485"/>
      <c r="EU288" s="485"/>
      <c r="EV288" s="485"/>
      <c r="EW288" s="485"/>
      <c r="EX288" s="485"/>
      <c r="EY288" s="485"/>
      <c r="EZ288" s="485"/>
      <c r="FA288" s="485"/>
      <c r="FB288" s="485"/>
      <c r="FC288" s="485"/>
      <c r="FD288" s="485"/>
      <c r="FE288" s="485"/>
      <c r="FF288" s="485"/>
      <c r="FG288" s="485"/>
      <c r="FH288" s="485"/>
      <c r="FI288" s="485"/>
      <c r="FJ288" s="485"/>
      <c r="FK288" s="485"/>
      <c r="FL288" s="485"/>
      <c r="FM288" s="485"/>
      <c r="FN288" s="485"/>
      <c r="FO288" s="485"/>
      <c r="FP288" s="485"/>
      <c r="FQ288" s="485"/>
      <c r="FR288" s="485"/>
      <c r="FS288" s="485"/>
      <c r="FT288" s="485"/>
      <c r="FU288" s="485"/>
      <c r="FV288" s="485"/>
      <c r="FW288" s="485"/>
      <c r="FX288" s="485"/>
      <c r="FY288" s="485"/>
      <c r="FZ288" s="485"/>
      <c r="GA288" s="485"/>
      <c r="GB288" s="485"/>
      <c r="GC288" s="485"/>
      <c r="GD288" s="485"/>
      <c r="GE288" s="485"/>
      <c r="GF288" s="485"/>
      <c r="GG288" s="485"/>
      <c r="GH288" s="485"/>
      <c r="GI288" s="485"/>
      <c r="GJ288" s="485"/>
      <c r="GK288" s="485"/>
      <c r="GL288" s="485"/>
      <c r="GM288" s="485"/>
      <c r="GN288" s="485"/>
      <c r="GO288" s="485"/>
      <c r="GP288" s="485"/>
      <c r="GQ288" s="485"/>
      <c r="GR288" s="485"/>
      <c r="GS288" s="485"/>
      <c r="GT288" s="485"/>
      <c r="GU288" s="485"/>
      <c r="GV288" s="485"/>
      <c r="GW288" s="485"/>
      <c r="GX288" s="485"/>
      <c r="GY288" s="485"/>
      <c r="GZ288" s="485"/>
      <c r="HA288" s="485"/>
      <c r="HB288" s="485"/>
      <c r="HC288" s="485"/>
      <c r="HD288" s="485"/>
      <c r="HE288" s="485"/>
      <c r="HF288" s="485"/>
      <c r="HG288" s="485"/>
      <c r="HH288" s="485"/>
      <c r="HI288" s="485"/>
      <c r="HJ288" s="485"/>
      <c r="HK288" s="485"/>
      <c r="HL288" s="485"/>
      <c r="HM288" s="485"/>
      <c r="HN288" s="485"/>
      <c r="HO288" s="485"/>
      <c r="HP288" s="485"/>
      <c r="HQ288" s="485"/>
      <c r="HR288" s="485"/>
      <c r="HS288" s="485"/>
      <c r="HT288" s="485"/>
      <c r="HU288" s="485"/>
      <c r="HV288" s="485"/>
      <c r="HW288" s="485"/>
      <c r="HX288" s="485"/>
      <c r="HY288" s="485"/>
      <c r="HZ288" s="485"/>
      <c r="IA288" s="485"/>
      <c r="IB288" s="485"/>
      <c r="IC288" s="485"/>
      <c r="ID288" s="485"/>
      <c r="IE288" s="485"/>
      <c r="IF288" s="485"/>
      <c r="IG288" s="485"/>
      <c r="IH288" s="485"/>
      <c r="II288" s="485"/>
    </row>
    <row r="289" spans="1:243" ht="21" customHeight="1" thickBot="1">
      <c r="A289" s="485"/>
      <c r="B289" s="485"/>
      <c r="C289" s="485"/>
      <c r="D289" s="485"/>
      <c r="E289" s="485"/>
      <c r="F289" s="485"/>
      <c r="G289" s="485"/>
      <c r="H289" s="485"/>
      <c r="I289" s="485"/>
      <c r="J289" s="485"/>
      <c r="K289" s="485"/>
      <c r="L289" s="485"/>
      <c r="M289" s="485"/>
      <c r="N289" s="485"/>
      <c r="O289" s="485"/>
      <c r="P289" s="485"/>
      <c r="Q289" s="485"/>
      <c r="R289" s="642"/>
      <c r="S289" s="642"/>
      <c r="T289" s="642"/>
      <c r="U289" s="642"/>
      <c r="V289" s="642"/>
      <c r="W289" s="642"/>
      <c r="X289" s="2966" t="s">
        <v>311</v>
      </c>
      <c r="Y289" s="2966"/>
      <c r="Z289" s="2966"/>
      <c r="AA289" s="2967"/>
      <c r="AB289" s="1741"/>
      <c r="AC289" s="1838"/>
      <c r="AD289" s="1838"/>
      <c r="AE289" s="1839" t="s">
        <v>312</v>
      </c>
      <c r="AF289" s="3012">
        <v>1</v>
      </c>
      <c r="AG289" s="3013"/>
      <c r="AH289" s="1838"/>
      <c r="AI289" s="1838"/>
      <c r="AJ289" s="1838"/>
      <c r="AK289" s="1838"/>
      <c r="AL289" s="1838"/>
      <c r="AM289" s="1838"/>
      <c r="AN289" s="1838"/>
      <c r="AO289" s="1838"/>
      <c r="AP289" s="1838"/>
      <c r="AQ289" s="3331"/>
      <c r="AR289" s="3332"/>
      <c r="AS289" s="3024" t="s">
        <v>313</v>
      </c>
      <c r="AT289" s="3024"/>
      <c r="AU289" s="3024"/>
      <c r="AV289" s="3024" t="s">
        <v>314</v>
      </c>
      <c r="AW289" s="3024"/>
      <c r="AX289" s="3024"/>
      <c r="AY289" s="643"/>
      <c r="AZ289" s="644"/>
      <c r="BA289" s="645"/>
      <c r="BB289" s="646"/>
      <c r="BC289" s="1838"/>
      <c r="BD289" s="1838"/>
      <c r="BE289" s="1839" t="s">
        <v>312</v>
      </c>
      <c r="BF289" s="3012">
        <v>2</v>
      </c>
      <c r="BG289" s="3013"/>
      <c r="BH289" s="1838"/>
      <c r="BI289" s="1838"/>
      <c r="BJ289" s="1838"/>
      <c r="BK289" s="1838"/>
      <c r="BL289" s="1838"/>
      <c r="BM289" s="1838"/>
      <c r="BN289" s="1838"/>
      <c r="BO289" s="1838"/>
      <c r="BP289" s="1838"/>
      <c r="BQ289" s="3200"/>
      <c r="BR289" s="3200"/>
      <c r="BS289" s="3024" t="s">
        <v>313</v>
      </c>
      <c r="BT289" s="3024"/>
      <c r="BU289" s="3024"/>
      <c r="BV289" s="3024" t="s">
        <v>314</v>
      </c>
      <c r="BW289" s="3024"/>
      <c r="BX289" s="3024"/>
      <c r="BY289" s="1842"/>
      <c r="BZ289" s="1843"/>
      <c r="CA289" s="645"/>
      <c r="CB289" s="646"/>
      <c r="CC289" s="1838"/>
      <c r="CD289" s="1838"/>
      <c r="CE289" s="1839" t="s">
        <v>312</v>
      </c>
      <c r="CF289" s="3012">
        <v>3</v>
      </c>
      <c r="CG289" s="3013"/>
      <c r="CH289" s="1838"/>
      <c r="CI289" s="1838"/>
      <c r="CJ289" s="1838"/>
      <c r="CK289" s="1838"/>
      <c r="CL289" s="1838"/>
      <c r="CM289" s="1838"/>
      <c r="CN289" s="1838"/>
      <c r="CO289" s="1838"/>
      <c r="CP289" s="1838"/>
      <c r="CQ289" s="647"/>
      <c r="CR289" s="643"/>
      <c r="CS289" s="3024" t="s">
        <v>313</v>
      </c>
      <c r="CT289" s="3024"/>
      <c r="CU289" s="3024"/>
      <c r="CV289" s="3024" t="s">
        <v>314</v>
      </c>
      <c r="CW289" s="3024"/>
      <c r="CX289" s="3024"/>
      <c r="CY289" s="1842"/>
      <c r="CZ289" s="1843"/>
      <c r="DA289" s="645"/>
      <c r="DB289" s="648"/>
      <c r="DC289" s="1838"/>
      <c r="DD289" s="1838"/>
      <c r="DE289" s="1839" t="s">
        <v>312</v>
      </c>
      <c r="DF289" s="3012">
        <v>4</v>
      </c>
      <c r="DG289" s="3013"/>
      <c r="DH289" s="1838"/>
      <c r="DI289" s="1838"/>
      <c r="DJ289" s="1838"/>
      <c r="DK289" s="1838"/>
      <c r="DL289" s="1838"/>
      <c r="DM289" s="1838"/>
      <c r="DN289" s="1838"/>
      <c r="DO289" s="1838"/>
      <c r="DP289" s="1838"/>
      <c r="DQ289" s="647"/>
      <c r="DR289" s="643"/>
      <c r="DS289" s="3024" t="s">
        <v>313</v>
      </c>
      <c r="DT289" s="3024"/>
      <c r="DU289" s="3024"/>
      <c r="DV289" s="3024" t="s">
        <v>314</v>
      </c>
      <c r="DW289" s="3024"/>
      <c r="DX289" s="3024"/>
      <c r="DY289" s="1842"/>
      <c r="DZ289" s="1843"/>
      <c r="EA289" s="485"/>
      <c r="EB289" s="485"/>
      <c r="EC289" s="485"/>
      <c r="ED289" s="485"/>
      <c r="EE289" s="485"/>
      <c r="EF289" s="485"/>
      <c r="EG289" s="485"/>
      <c r="EH289" s="485"/>
      <c r="EI289" s="485"/>
      <c r="EJ289" s="485"/>
      <c r="EK289" s="485"/>
      <c r="EL289" s="485"/>
      <c r="EM289" s="485"/>
      <c r="EN289" s="485"/>
      <c r="EO289" s="485"/>
      <c r="EP289" s="485"/>
      <c r="EQ289" s="485"/>
      <c r="ER289" s="485"/>
      <c r="ES289" s="485"/>
      <c r="ET289" s="485"/>
      <c r="EU289" s="485"/>
      <c r="EV289" s="485"/>
      <c r="EW289" s="485"/>
      <c r="EX289" s="485"/>
      <c r="EY289" s="485"/>
      <c r="EZ289" s="485"/>
      <c r="FA289" s="485"/>
      <c r="FB289" s="485"/>
      <c r="FC289" s="485"/>
      <c r="FD289" s="485"/>
      <c r="FE289" s="485"/>
      <c r="FF289" s="485"/>
      <c r="FG289" s="485"/>
      <c r="FH289" s="485"/>
      <c r="FI289" s="485"/>
      <c r="FJ289" s="485"/>
      <c r="FK289" s="485"/>
      <c r="FL289" s="485"/>
      <c r="FM289" s="485"/>
      <c r="FN289" s="485"/>
      <c r="FO289" s="485"/>
      <c r="FP289" s="485"/>
      <c r="FQ289" s="485"/>
      <c r="FR289" s="485"/>
      <c r="FS289" s="485"/>
      <c r="FT289" s="485"/>
      <c r="FU289" s="485"/>
      <c r="FV289" s="485"/>
      <c r="FW289" s="485"/>
      <c r="FX289" s="485"/>
      <c r="FY289" s="485"/>
      <c r="FZ289" s="485"/>
      <c r="GA289" s="485"/>
      <c r="GB289" s="485"/>
      <c r="GC289" s="485"/>
      <c r="GD289" s="485"/>
      <c r="GE289" s="485"/>
      <c r="GF289" s="485"/>
      <c r="GG289" s="485"/>
      <c r="GH289" s="485"/>
      <c r="GI289" s="485"/>
      <c r="GJ289" s="485"/>
      <c r="GK289" s="485"/>
      <c r="GL289" s="485"/>
      <c r="GM289" s="485"/>
      <c r="GN289" s="485"/>
      <c r="GO289" s="485"/>
      <c r="GP289" s="485"/>
      <c r="GQ289" s="485"/>
      <c r="GR289" s="485"/>
      <c r="GS289" s="485"/>
      <c r="GT289" s="485"/>
      <c r="GU289" s="485"/>
      <c r="GV289" s="485"/>
      <c r="GW289" s="485"/>
      <c r="GX289" s="485"/>
      <c r="GY289" s="485"/>
      <c r="GZ289" s="485"/>
      <c r="HA289" s="485"/>
      <c r="HB289" s="485"/>
      <c r="HC289" s="485"/>
      <c r="HD289" s="485"/>
      <c r="HE289" s="485"/>
      <c r="HF289" s="485"/>
      <c r="HG289" s="485"/>
      <c r="HH289" s="485"/>
      <c r="HI289" s="485"/>
      <c r="HJ289" s="485"/>
      <c r="HK289" s="485"/>
      <c r="HL289" s="485"/>
      <c r="HM289" s="485"/>
      <c r="HN289" s="485"/>
      <c r="HO289" s="485"/>
      <c r="HP289" s="485"/>
      <c r="HQ289" s="485"/>
      <c r="HR289" s="485"/>
      <c r="HS289" s="485"/>
      <c r="HT289" s="485"/>
      <c r="HU289" s="485"/>
      <c r="HV289" s="485"/>
      <c r="HW289" s="485"/>
      <c r="HX289" s="485"/>
      <c r="HY289" s="485"/>
      <c r="HZ289" s="485"/>
      <c r="IA289" s="485"/>
      <c r="IB289" s="485"/>
      <c r="IC289" s="485"/>
      <c r="ID289" s="485"/>
      <c r="IE289" s="485"/>
      <c r="IF289" s="485"/>
      <c r="IG289" s="485"/>
      <c r="IH289" s="485"/>
      <c r="II289" s="485"/>
    </row>
    <row r="290" spans="1:243" s="655" customFormat="1" ht="16.5" customHeight="1" thickBot="1">
      <c r="A290" s="649"/>
      <c r="B290" s="649"/>
      <c r="C290" s="649"/>
      <c r="D290" s="649"/>
      <c r="E290" s="649"/>
      <c r="F290" s="649"/>
      <c r="G290" s="649"/>
      <c r="H290" s="649"/>
      <c r="I290" s="649"/>
      <c r="J290" s="649"/>
      <c r="K290" s="649"/>
      <c r="L290" s="649"/>
      <c r="M290" s="649"/>
      <c r="N290" s="649"/>
      <c r="O290" s="649"/>
      <c r="P290" s="649"/>
      <c r="Q290" s="649"/>
      <c r="R290" s="642"/>
      <c r="S290" s="642"/>
      <c r="T290" s="642"/>
      <c r="U290" s="642"/>
      <c r="V290" s="642"/>
      <c r="W290" s="642"/>
      <c r="X290" s="2966"/>
      <c r="Y290" s="2966"/>
      <c r="Z290" s="2966"/>
      <c r="AA290" s="2967"/>
      <c r="AB290" s="1742"/>
      <c r="AC290" s="1723" t="s">
        <v>315</v>
      </c>
      <c r="AD290" s="650"/>
      <c r="AE290" s="3163" t="s">
        <v>316</v>
      </c>
      <c r="AF290" s="3164"/>
      <c r="AG290" s="3164"/>
      <c r="AH290" s="3164"/>
      <c r="AI290" s="3164"/>
      <c r="AJ290" s="3164"/>
      <c r="AK290" s="3164"/>
      <c r="AL290" s="3164"/>
      <c r="AM290" s="3165"/>
      <c r="AN290" s="650"/>
      <c r="AO290" s="650" t="s">
        <v>317</v>
      </c>
      <c r="AP290" s="650"/>
      <c r="AQ290" s="651"/>
      <c r="AR290" s="650"/>
      <c r="AS290" s="3334">
        <f>IF(OR(AC6="",AF6=""),HOUR(AO2)*100,VALUE(LEFT(AF6,2))*100)</f>
        <v>900</v>
      </c>
      <c r="AT290" s="3335"/>
      <c r="AU290" s="1664" t="s">
        <v>318</v>
      </c>
      <c r="AV290" s="3168">
        <v>2100</v>
      </c>
      <c r="AW290" s="3169"/>
      <c r="AX290" s="1665" t="s">
        <v>318</v>
      </c>
      <c r="AY290" s="1840">
        <f>LEFT(TEXT(AS290,"0000"),2)/24+RIGHT(TEXT(AS290,"0000"),2)/1440+$Q$6</f>
        <v>44748.375</v>
      </c>
      <c r="AZ290" s="1841">
        <f>LEFT(TEXT(AV290,"0000"),2)/24+RIGHT(TEXT(AV2697,"0000"),2)/1440+(IF(AV290&gt;$AS$290,$Q$6,$Q$6+1))</f>
        <v>44748.875</v>
      </c>
      <c r="BA290" s="652"/>
      <c r="BB290" s="653"/>
      <c r="BC290" s="1723" t="s">
        <v>315</v>
      </c>
      <c r="BD290" s="650"/>
      <c r="BE290" s="3163"/>
      <c r="BF290" s="3164"/>
      <c r="BG290" s="3164"/>
      <c r="BH290" s="3164"/>
      <c r="BI290" s="3164"/>
      <c r="BJ290" s="3164"/>
      <c r="BK290" s="3164"/>
      <c r="BL290" s="3164"/>
      <c r="BM290" s="3165"/>
      <c r="BN290" s="650"/>
      <c r="BO290" s="650" t="s">
        <v>317</v>
      </c>
      <c r="BP290" s="650"/>
      <c r="BQ290" s="651"/>
      <c r="BR290" s="650"/>
      <c r="BS290" s="3168"/>
      <c r="BT290" s="3169"/>
      <c r="BU290" s="1665" t="s">
        <v>318</v>
      </c>
      <c r="BV290" s="3168"/>
      <c r="BW290" s="3169"/>
      <c r="BX290" s="1665" t="s">
        <v>318</v>
      </c>
      <c r="BY290" s="1840">
        <f>IF(BE290=AE290,LEFT(TEXT(BS290,"0000"),2)/24+RIGHT(TEXT(BS290,"0000"),2)/1440+IF(BS290&gt;AS290,$Q$6,$Q$6+1),LEFT(TEXT(BS290,"0000"),2)/24+RIGHT(TEXT(BS290,"0000"),2)/1440+$Q$6)</f>
        <v>44748</v>
      </c>
      <c r="BZ290" s="1841">
        <f>LEFT(TEXT(BV290,"0000"),2)/24+RIGHT(TEXT(BV2697,"0000"),2)/1440+(IF(BV290&gt;$AS$290,$Q$6,$Q$6+1))</f>
        <v>44749</v>
      </c>
      <c r="CA290" s="652"/>
      <c r="CB290" s="653"/>
      <c r="CC290" s="1723" t="s">
        <v>315</v>
      </c>
      <c r="CD290" s="650"/>
      <c r="CE290" s="3163"/>
      <c r="CF290" s="3164"/>
      <c r="CG290" s="3164"/>
      <c r="CH290" s="3164"/>
      <c r="CI290" s="3164"/>
      <c r="CJ290" s="3164"/>
      <c r="CK290" s="3164"/>
      <c r="CL290" s="3164"/>
      <c r="CM290" s="3165"/>
      <c r="CN290" s="650"/>
      <c r="CO290" s="650" t="s">
        <v>317</v>
      </c>
      <c r="CP290" s="650"/>
      <c r="CQ290" s="651"/>
      <c r="CR290" s="650"/>
      <c r="CS290" s="3168">
        <v>2300</v>
      </c>
      <c r="CT290" s="3169"/>
      <c r="CU290" s="1665" t="s">
        <v>318</v>
      </c>
      <c r="CV290" s="3168">
        <v>300</v>
      </c>
      <c r="CW290" s="3169"/>
      <c r="CX290" s="1665" t="s">
        <v>318</v>
      </c>
      <c r="CY290" s="1840">
        <f>LEFT(TEXT(CS290,"0000"),2)/24+RIGHT(TEXT(CS290,"0000"),2)/1440+IF(CS290&gt;AS290,$Q$6,$Q$6+1)</f>
        <v>44748.958333333336</v>
      </c>
      <c r="CZ290" s="1841">
        <f>LEFT(TEXT(CV290,"0000"),2)/24+RIGHT(TEXT(CV2697,"0000"),2)/1440+(IF(CV290&gt;$AS$290,$Q$6,$Q$6+1))</f>
        <v>44749.125</v>
      </c>
      <c r="DA290" s="652"/>
      <c r="DB290" s="654"/>
      <c r="DC290" s="1723" t="s">
        <v>315</v>
      </c>
      <c r="DD290" s="650"/>
      <c r="DE290" s="3163"/>
      <c r="DF290" s="3164"/>
      <c r="DG290" s="3164"/>
      <c r="DH290" s="3164"/>
      <c r="DI290" s="3164"/>
      <c r="DJ290" s="3164"/>
      <c r="DK290" s="3164"/>
      <c r="DL290" s="3164"/>
      <c r="DM290" s="3165"/>
      <c r="DN290" s="650"/>
      <c r="DO290" s="650" t="s">
        <v>317</v>
      </c>
      <c r="DP290" s="650"/>
      <c r="DQ290" s="651"/>
      <c r="DR290" s="650"/>
      <c r="DS290" s="3168"/>
      <c r="DT290" s="3169"/>
      <c r="DU290" s="1665" t="s">
        <v>318</v>
      </c>
      <c r="DV290" s="3168"/>
      <c r="DW290" s="3169"/>
      <c r="DX290" s="1665" t="s">
        <v>318</v>
      </c>
      <c r="DY290" s="1840">
        <f>LEFT(TEXT(DS290,"0000"),2)/24+RIGHT(TEXT(DS290,"0000"),2)/1440+IF(DS290&gt;AS290,$Q$6,$Q$6+1)</f>
        <v>44749</v>
      </c>
      <c r="DZ290" s="1841">
        <f>LEFT(TEXT(DV290,"0000"),2)/24+RIGHT(TEXT(DV2697,"0000"),2)/1440+(IF(DV290&gt;$AS$290,$Q$6,$Q$6+1))</f>
        <v>44749</v>
      </c>
      <c r="EA290" s="649"/>
      <c r="EB290" s="649"/>
      <c r="EC290" s="649"/>
      <c r="ED290" s="649"/>
      <c r="EE290" s="649"/>
      <c r="EF290" s="649"/>
      <c r="EG290" s="649"/>
      <c r="EH290" s="649"/>
      <c r="EI290" s="649"/>
      <c r="EJ290" s="649"/>
      <c r="EK290" s="649"/>
      <c r="EL290" s="649"/>
      <c r="EM290" s="649"/>
      <c r="EN290" s="649"/>
      <c r="EO290" s="649"/>
      <c r="EP290" s="649"/>
      <c r="EQ290" s="649"/>
      <c r="ER290" s="649"/>
      <c r="ES290" s="649"/>
      <c r="ET290" s="649"/>
      <c r="EU290" s="649"/>
      <c r="EV290" s="649"/>
      <c r="EW290" s="649"/>
      <c r="EX290" s="649"/>
      <c r="EY290" s="649"/>
      <c r="EZ290" s="649"/>
      <c r="FA290" s="649"/>
      <c r="FB290" s="649"/>
      <c r="FC290" s="649"/>
      <c r="FD290" s="649"/>
      <c r="FE290" s="649"/>
      <c r="FF290" s="649"/>
      <c r="FG290" s="649"/>
      <c r="FH290" s="649"/>
      <c r="FI290" s="649"/>
      <c r="FJ290" s="649"/>
      <c r="FK290" s="649"/>
      <c r="FL290" s="649"/>
      <c r="FM290" s="649"/>
      <c r="FN290" s="649"/>
      <c r="FO290" s="649"/>
      <c r="FP290" s="649"/>
      <c r="FQ290" s="649"/>
      <c r="FR290" s="649"/>
      <c r="FS290" s="649"/>
      <c r="FT290" s="649"/>
      <c r="FU290" s="649"/>
      <c r="FV290" s="649"/>
      <c r="FW290" s="649"/>
      <c r="FX290" s="649"/>
      <c r="FY290" s="649"/>
      <c r="FZ290" s="649"/>
      <c r="GA290" s="649"/>
      <c r="GB290" s="649"/>
      <c r="GC290" s="649"/>
      <c r="GD290" s="649"/>
      <c r="GE290" s="649"/>
      <c r="GF290" s="649"/>
      <c r="GG290" s="649"/>
      <c r="GH290" s="649"/>
      <c r="GI290" s="649"/>
      <c r="GJ290" s="649"/>
      <c r="GK290" s="649"/>
      <c r="GL290" s="649"/>
      <c r="GM290" s="649"/>
      <c r="GN290" s="649"/>
      <c r="GO290" s="649"/>
      <c r="GP290" s="649"/>
      <c r="GQ290" s="649"/>
      <c r="GR290" s="649"/>
      <c r="GS290" s="649"/>
      <c r="GT290" s="649"/>
      <c r="GU290" s="649"/>
      <c r="GV290" s="649"/>
      <c r="GW290" s="649"/>
      <c r="GX290" s="649"/>
      <c r="GY290" s="649"/>
      <c r="GZ290" s="649"/>
      <c r="HA290" s="649"/>
      <c r="HB290" s="649"/>
      <c r="HC290" s="649"/>
      <c r="HD290" s="649"/>
      <c r="HE290" s="649"/>
      <c r="HF290" s="649"/>
      <c r="HG290" s="649"/>
      <c r="HH290" s="649"/>
      <c r="HI290" s="649"/>
      <c r="HJ290" s="649"/>
      <c r="HK290" s="649"/>
      <c r="HL290" s="649"/>
      <c r="HM290" s="649"/>
      <c r="HN290" s="649"/>
      <c r="HO290" s="649"/>
      <c r="HP290" s="649"/>
      <c r="HQ290" s="649"/>
      <c r="HR290" s="649"/>
      <c r="HS290" s="649"/>
      <c r="HT290" s="649"/>
      <c r="HU290" s="649"/>
      <c r="HV290" s="649"/>
      <c r="HW290" s="649"/>
      <c r="HX290" s="649"/>
      <c r="HY290" s="649"/>
      <c r="HZ290" s="649"/>
      <c r="IA290" s="649"/>
      <c r="IB290" s="649"/>
      <c r="IC290" s="649"/>
      <c r="ID290" s="649"/>
      <c r="IE290" s="649"/>
      <c r="IF290" s="649"/>
      <c r="IG290" s="649"/>
      <c r="IH290" s="649"/>
      <c r="II290" s="649"/>
    </row>
    <row r="291" spans="1:243" ht="12.75" customHeight="1" thickBot="1">
      <c r="A291" s="485"/>
      <c r="B291" s="485"/>
      <c r="C291" s="485"/>
      <c r="D291" s="485"/>
      <c r="E291" s="485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642"/>
      <c r="S291" s="642"/>
      <c r="T291" s="642"/>
      <c r="U291" s="642"/>
      <c r="V291" s="642"/>
      <c r="W291" s="642"/>
      <c r="X291" s="642"/>
      <c r="Y291" s="3017">
        <f>COUNTA(AE290,BE290,CE290,DE290)</f>
        <v>1</v>
      </c>
      <c r="Z291" s="3018"/>
      <c r="AA291" s="872"/>
      <c r="AB291" s="1742"/>
      <c r="AC291" s="1703"/>
      <c r="AD291" s="1703"/>
      <c r="AE291" s="1703"/>
      <c r="AF291" s="1703"/>
      <c r="AG291" s="1703"/>
      <c r="AH291" s="1703"/>
      <c r="AI291" s="1703"/>
      <c r="AJ291" s="1703"/>
      <c r="AK291" s="1703"/>
      <c r="AL291" s="1703"/>
      <c r="AM291" s="1703"/>
      <c r="AN291" s="1703"/>
      <c r="AO291" s="1703"/>
      <c r="AP291" s="1703"/>
      <c r="AQ291" s="685"/>
      <c r="AR291" s="1703"/>
      <c r="AS291" s="1704" t="s">
        <v>319</v>
      </c>
      <c r="AT291" s="3047">
        <f>MROUND(((IF(AV290&lt;AS290,(Y4+AS290/2400)+1-((AS290-AV290)/2400),Y4+(AV290/2400)))-(Y4+AS290/2400))/2+(Y4+AS290/2400),1/24)</f>
        <v>0.625</v>
      </c>
      <c r="AU291" s="3047"/>
      <c r="AV291" s="3219">
        <f>AW292/24+(IF(AW292*100&lt;$AS$290,$Q$6+1,$Q$6))</f>
        <v>44748.666666666664</v>
      </c>
      <c r="AW291" s="3219"/>
      <c r="AX291" s="1663"/>
      <c r="AY291" s="3215">
        <f>AY292/24+(IF(AY292*100&lt;$AS$290,$Q$6+1,$Q$6))</f>
        <v>44748.875</v>
      </c>
      <c r="AZ291" s="3216"/>
      <c r="BA291" s="657"/>
      <c r="BB291" s="658"/>
      <c r="BC291" s="1703"/>
      <c r="BD291" s="1703"/>
      <c r="BE291" s="1703"/>
      <c r="BF291" s="1703"/>
      <c r="BG291" s="1703"/>
      <c r="BH291" s="1703"/>
      <c r="BI291" s="1703"/>
      <c r="BJ291" s="1703"/>
      <c r="BK291" s="1703"/>
      <c r="BL291" s="1703"/>
      <c r="BM291" s="1703"/>
      <c r="BN291" s="1703"/>
      <c r="BO291" s="1703"/>
      <c r="BP291" s="1703"/>
      <c r="BQ291" s="685"/>
      <c r="BR291" s="1703"/>
      <c r="BS291" s="1704" t="s">
        <v>319</v>
      </c>
      <c r="BT291" s="3047">
        <f>MROUND(((IF(BV290&lt;BS290,(Y4+BS290/2400)+1-((BS290-BV290)/2400),Y4+(BV290/2400)))-(Y4+BS290/2400))/2+(Y4+BS290/2400),1/24)</f>
        <v>0</v>
      </c>
      <c r="BU291" s="3047"/>
      <c r="BV291" s="3219">
        <f>BW292/24+(IF(BW292*100&lt;$AS$290,$Q$6+1,$Q$6))</f>
        <v>44749</v>
      </c>
      <c r="BW291" s="3219"/>
      <c r="BX291" s="1663"/>
      <c r="BY291" s="3215">
        <f>BY292/24+(IF(BY292*100&lt;$AS$290,$Q$6+1,$Q$6))</f>
        <v>44749</v>
      </c>
      <c r="BZ291" s="3216"/>
      <c r="CA291" s="657"/>
      <c r="CB291" s="658"/>
      <c r="CC291" s="1703"/>
      <c r="CD291" s="1703"/>
      <c r="CE291" s="1703"/>
      <c r="CF291" s="1703"/>
      <c r="CG291" s="1703"/>
      <c r="CH291" s="1703"/>
      <c r="CI291" s="1703"/>
      <c r="CJ291" s="1703"/>
      <c r="CK291" s="1703"/>
      <c r="CL291" s="1703"/>
      <c r="CM291" s="1703"/>
      <c r="CN291" s="1703"/>
      <c r="CO291" s="1703"/>
      <c r="CP291" s="1703"/>
      <c r="CQ291" s="685"/>
      <c r="CR291" s="1703"/>
      <c r="CS291" s="1704" t="s">
        <v>319</v>
      </c>
      <c r="CT291" s="3047">
        <f>MROUND(((IF(CV290&lt;CS290,(Y4+CS290/2400)+1-((CS290-CV290)/2400),Y4+(CV290/2400)))-(Y4+CS290/2400))/2+(Y4+CS290/2400),1/24)</f>
        <v>1.0416666666666665</v>
      </c>
      <c r="CU291" s="3047"/>
      <c r="CV291" s="3219">
        <f>CW292/24+(IF(CW292*100&lt;$AS$290,$Q$6+1,$Q$6))</f>
        <v>44749</v>
      </c>
      <c r="CW291" s="3219"/>
      <c r="CX291" s="1663"/>
      <c r="CY291" s="3215">
        <f>CY292/24+(IF(CY292*100&lt;$AS$290,$Q$6+1,$Q$6))</f>
        <v>44749</v>
      </c>
      <c r="CZ291" s="3216"/>
      <c r="DA291" s="657"/>
      <c r="DB291" s="659"/>
      <c r="DC291" s="1703"/>
      <c r="DD291" s="1703"/>
      <c r="DE291" s="1703"/>
      <c r="DF291" s="1703"/>
      <c r="DG291" s="1703"/>
      <c r="DH291" s="1703"/>
      <c r="DI291" s="1703"/>
      <c r="DJ291" s="1703"/>
      <c r="DK291" s="1703"/>
      <c r="DL291" s="1703"/>
      <c r="DM291" s="1703"/>
      <c r="DN291" s="1703"/>
      <c r="DO291" s="1703"/>
      <c r="DP291" s="1703"/>
      <c r="DQ291" s="685"/>
      <c r="DR291" s="1703"/>
      <c r="DS291" s="1704" t="s">
        <v>319</v>
      </c>
      <c r="DT291" s="3047">
        <f>MROUND(((IF(DV290&lt;DS290,(Y4+DS290/2400)+1-((DS290-DV290)/2400),Y4+(DV290/2400)))-(Y4+DS290/2400))/2+(Y4+DS290/2400),1/24)</f>
        <v>0</v>
      </c>
      <c r="DU291" s="3047"/>
      <c r="DV291" s="3219">
        <f>DW292/24+(IF(DW292*100&lt;$AS$290,$Q$6+1,$Q$6))</f>
        <v>44749</v>
      </c>
      <c r="DW291" s="3219"/>
      <c r="DX291" s="1663"/>
      <c r="DY291" s="3215">
        <f>DY292/24+(IF(DY292*100&lt;$AS$290,$Q$6+1,$Q$6))</f>
        <v>44749</v>
      </c>
      <c r="DZ291" s="3216"/>
      <c r="EA291" s="485"/>
      <c r="EB291" s="485"/>
      <c r="EC291" s="485"/>
      <c r="ED291" s="485"/>
      <c r="EE291" s="485"/>
      <c r="EF291" s="485"/>
      <c r="EG291" s="485"/>
      <c r="EH291" s="485"/>
      <c r="EI291" s="485"/>
      <c r="EJ291" s="485"/>
      <c r="EK291" s="485"/>
      <c r="EL291" s="485"/>
      <c r="EM291" s="485"/>
      <c r="EN291" s="485"/>
      <c r="EO291" s="485"/>
      <c r="EP291" s="485"/>
      <c r="EQ291" s="485"/>
      <c r="ER291" s="485"/>
      <c r="ES291" s="485"/>
      <c r="ET291" s="485"/>
      <c r="EU291" s="485"/>
      <c r="EV291" s="485"/>
      <c r="EW291" s="485"/>
      <c r="EX291" s="485"/>
      <c r="EY291" s="485"/>
      <c r="EZ291" s="485"/>
      <c r="FA291" s="485"/>
      <c r="FB291" s="485"/>
      <c r="FC291" s="485"/>
      <c r="FD291" s="485"/>
      <c r="FE291" s="485"/>
      <c r="FF291" s="485"/>
      <c r="FG291" s="485"/>
      <c r="FH291" s="485"/>
      <c r="FI291" s="485"/>
      <c r="FJ291" s="485"/>
      <c r="FK291" s="485"/>
      <c r="FL291" s="485"/>
      <c r="FM291" s="485"/>
      <c r="FN291" s="485"/>
      <c r="FO291" s="485"/>
      <c r="FP291" s="485"/>
      <c r="FQ291" s="485"/>
      <c r="FR291" s="485"/>
      <c r="FS291" s="485"/>
      <c r="FT291" s="485"/>
      <c r="FU291" s="485"/>
      <c r="FV291" s="485"/>
      <c r="FW291" s="485"/>
      <c r="FX291" s="485"/>
      <c r="FY291" s="485"/>
      <c r="FZ291" s="485"/>
      <c r="GA291" s="485"/>
      <c r="GB291" s="485"/>
      <c r="GC291" s="485"/>
      <c r="GD291" s="485"/>
      <c r="GE291" s="485"/>
      <c r="GF291" s="485"/>
      <c r="GG291" s="485"/>
      <c r="GH291" s="485"/>
      <c r="GI291" s="485"/>
      <c r="GJ291" s="485"/>
      <c r="GK291" s="485"/>
      <c r="GL291" s="485"/>
      <c r="GM291" s="485"/>
      <c r="GN291" s="485"/>
      <c r="GO291" s="485"/>
      <c r="GP291" s="485"/>
      <c r="GQ291" s="485"/>
      <c r="GR291" s="485"/>
      <c r="GS291" s="485"/>
      <c r="GT291" s="485"/>
      <c r="GU291" s="485"/>
      <c r="GV291" s="485"/>
      <c r="GW291" s="485"/>
      <c r="GX291" s="485"/>
      <c r="GY291" s="485"/>
      <c r="GZ291" s="485"/>
      <c r="HA291" s="485"/>
      <c r="HB291" s="485"/>
      <c r="HC291" s="485"/>
      <c r="HD291" s="485"/>
      <c r="HE291" s="485"/>
      <c r="HF291" s="485"/>
      <c r="HG291" s="485"/>
      <c r="HH291" s="485"/>
      <c r="HI291" s="485"/>
      <c r="HJ291" s="485"/>
      <c r="HK291" s="485"/>
      <c r="HL291" s="485"/>
      <c r="HM291" s="485"/>
      <c r="HN291" s="485"/>
      <c r="HO291" s="485"/>
      <c r="HP291" s="485"/>
      <c r="HQ291" s="485"/>
      <c r="HR291" s="485"/>
      <c r="HS291" s="485"/>
      <c r="HT291" s="485"/>
      <c r="HU291" s="485"/>
      <c r="HV291" s="485"/>
      <c r="HW291" s="485"/>
      <c r="HX291" s="485"/>
      <c r="HY291" s="485"/>
      <c r="HZ291" s="485"/>
      <c r="IA291" s="485"/>
      <c r="IB291" s="485"/>
      <c r="IC291" s="485"/>
      <c r="ID291" s="485"/>
      <c r="IE291" s="485"/>
      <c r="IF291" s="485"/>
      <c r="IG291" s="485"/>
      <c r="IH291" s="485"/>
      <c r="II291" s="485"/>
    </row>
    <row r="292" spans="1:243" ht="16.5" customHeight="1" thickBot="1">
      <c r="A292" s="485"/>
      <c r="B292" s="485"/>
      <c r="C292" s="485"/>
      <c r="D292" s="485"/>
      <c r="E292" s="485"/>
      <c r="F292" s="485"/>
      <c r="G292" s="485"/>
      <c r="H292" s="485"/>
      <c r="I292" s="485"/>
      <c r="J292" s="485"/>
      <c r="K292" s="485"/>
      <c r="L292" s="485"/>
      <c r="M292" s="485"/>
      <c r="N292" s="485"/>
      <c r="O292" s="485"/>
      <c r="P292" s="485"/>
      <c r="Q292" s="485"/>
      <c r="R292" s="642"/>
      <c r="S292" s="642"/>
      <c r="T292" s="642"/>
      <c r="U292" s="642"/>
      <c r="V292" s="642"/>
      <c r="W292" s="642"/>
      <c r="X292" s="642"/>
      <c r="Y292" s="3019"/>
      <c r="Z292" s="3020"/>
      <c r="AA292" s="872"/>
      <c r="AB292" s="3158" t="s">
        <v>320</v>
      </c>
      <c r="AC292" s="3159"/>
      <c r="AD292" s="3159"/>
      <c r="AE292" s="3159"/>
      <c r="AF292" s="3159"/>
      <c r="AG292" s="3159"/>
      <c r="AH292" s="3159"/>
      <c r="AI292" s="3159"/>
      <c r="AJ292" s="3159"/>
      <c r="AK292" s="3159"/>
      <c r="AL292" s="3159"/>
      <c r="AM292" s="3159"/>
      <c r="AN292" s="3159"/>
      <c r="AO292" s="3160"/>
      <c r="AP292" s="3037" t="s">
        <v>321</v>
      </c>
      <c r="AQ292" s="3038"/>
      <c r="AR292" s="3038"/>
      <c r="AS292" s="3038"/>
      <c r="AT292" s="1797"/>
      <c r="AU292" s="1797"/>
      <c r="AV292" s="1798" t="s">
        <v>322</v>
      </c>
      <c r="AW292" s="1783">
        <v>16</v>
      </c>
      <c r="AX292" s="1799" t="s">
        <v>323</v>
      </c>
      <c r="AY292" s="1783">
        <v>21</v>
      </c>
      <c r="AZ292" s="1800" t="s">
        <v>318</v>
      </c>
      <c r="BA292" s="1777"/>
      <c r="BB292" s="3158" t="s">
        <v>320</v>
      </c>
      <c r="BC292" s="3159"/>
      <c r="BD292" s="3159"/>
      <c r="BE292" s="3159"/>
      <c r="BF292" s="3159"/>
      <c r="BG292" s="3159"/>
      <c r="BH292" s="3159"/>
      <c r="BI292" s="3159"/>
      <c r="BJ292" s="3159"/>
      <c r="BK292" s="3159"/>
      <c r="BL292" s="3159"/>
      <c r="BM292" s="3159"/>
      <c r="BN292" s="3159"/>
      <c r="BO292" s="3160"/>
      <c r="BP292" s="3037" t="s">
        <v>321</v>
      </c>
      <c r="BQ292" s="3038"/>
      <c r="BR292" s="3038"/>
      <c r="BS292" s="3038"/>
      <c r="BT292" s="1797"/>
      <c r="BU292" s="1797"/>
      <c r="BV292" s="1798" t="s">
        <v>322</v>
      </c>
      <c r="BW292" s="1783"/>
      <c r="BX292" s="1799" t="s">
        <v>323</v>
      </c>
      <c r="BY292" s="1783"/>
      <c r="BZ292" s="1800" t="s">
        <v>318</v>
      </c>
      <c r="CA292" s="1777"/>
      <c r="CB292" s="3158" t="s">
        <v>320</v>
      </c>
      <c r="CC292" s="3159"/>
      <c r="CD292" s="3159"/>
      <c r="CE292" s="3159"/>
      <c r="CF292" s="3159"/>
      <c r="CG292" s="3159"/>
      <c r="CH292" s="3159"/>
      <c r="CI292" s="3159"/>
      <c r="CJ292" s="3159"/>
      <c r="CK292" s="3159"/>
      <c r="CL292" s="3159"/>
      <c r="CM292" s="3159"/>
      <c r="CN292" s="3159"/>
      <c r="CO292" s="3160"/>
      <c r="CP292" s="3037" t="s">
        <v>321</v>
      </c>
      <c r="CQ292" s="3038"/>
      <c r="CR292" s="3038"/>
      <c r="CS292" s="3038"/>
      <c r="CT292" s="1797"/>
      <c r="CU292" s="1797"/>
      <c r="CV292" s="1798" t="s">
        <v>322</v>
      </c>
      <c r="CW292" s="1783"/>
      <c r="CX292" s="1799" t="s">
        <v>323</v>
      </c>
      <c r="CY292" s="1783"/>
      <c r="CZ292" s="1800" t="s">
        <v>318</v>
      </c>
      <c r="DA292" s="1777"/>
      <c r="DB292" s="3158" t="s">
        <v>320</v>
      </c>
      <c r="DC292" s="3159"/>
      <c r="DD292" s="3159"/>
      <c r="DE292" s="3159"/>
      <c r="DF292" s="3159"/>
      <c r="DG292" s="3159"/>
      <c r="DH292" s="3159"/>
      <c r="DI292" s="3159"/>
      <c r="DJ292" s="3159"/>
      <c r="DK292" s="3159"/>
      <c r="DL292" s="3159"/>
      <c r="DM292" s="3159"/>
      <c r="DN292" s="3159"/>
      <c r="DO292" s="3160"/>
      <c r="DP292" s="3037" t="s">
        <v>321</v>
      </c>
      <c r="DQ292" s="3038"/>
      <c r="DR292" s="3038"/>
      <c r="DS292" s="3038"/>
      <c r="DT292" s="1797"/>
      <c r="DU292" s="1797"/>
      <c r="DV292" s="1798" t="s">
        <v>322</v>
      </c>
      <c r="DW292" s="1783"/>
      <c r="DX292" s="1799" t="s">
        <v>323</v>
      </c>
      <c r="DY292" s="1783"/>
      <c r="DZ292" s="1800" t="s">
        <v>318</v>
      </c>
      <c r="EA292" s="485"/>
      <c r="EB292" s="485"/>
      <c r="EC292" s="485"/>
      <c r="ED292" s="485"/>
      <c r="EE292" s="485"/>
      <c r="EF292" s="485"/>
      <c r="EG292" s="485"/>
      <c r="EH292" s="485"/>
      <c r="EI292" s="485"/>
      <c r="EJ292" s="485"/>
      <c r="EK292" s="485"/>
      <c r="EL292" s="485"/>
      <c r="EM292" s="485"/>
      <c r="EN292" s="485"/>
      <c r="EO292" s="485"/>
      <c r="EP292" s="485"/>
      <c r="EQ292" s="485"/>
      <c r="ER292" s="485"/>
      <c r="ES292" s="485"/>
      <c r="ET292" s="485"/>
      <c r="EU292" s="485"/>
      <c r="EV292" s="485"/>
      <c r="EW292" s="485"/>
      <c r="EX292" s="485"/>
      <c r="EY292" s="485"/>
      <c r="EZ292" s="485"/>
      <c r="FA292" s="485"/>
      <c r="FB292" s="485"/>
      <c r="FC292" s="485"/>
      <c r="FD292" s="485"/>
      <c r="FE292" s="485"/>
      <c r="FF292" s="485"/>
      <c r="FG292" s="485"/>
      <c r="FH292" s="485"/>
      <c r="FI292" s="485"/>
      <c r="FJ292" s="485"/>
      <c r="FK292" s="485"/>
      <c r="FL292" s="485"/>
      <c r="FM292" s="485"/>
      <c r="FN292" s="485"/>
      <c r="FO292" s="485"/>
      <c r="FP292" s="485"/>
      <c r="FQ292" s="485"/>
      <c r="FR292" s="485"/>
      <c r="FS292" s="485"/>
      <c r="FT292" s="485"/>
      <c r="FU292" s="485"/>
      <c r="FV292" s="485"/>
      <c r="FW292" s="485"/>
      <c r="FX292" s="485"/>
      <c r="FY292" s="485"/>
      <c r="FZ292" s="485"/>
      <c r="GA292" s="485"/>
      <c r="GB292" s="485"/>
      <c r="GC292" s="485"/>
      <c r="GD292" s="485"/>
      <c r="GE292" s="485"/>
      <c r="GF292" s="485"/>
      <c r="GG292" s="485"/>
      <c r="GH292" s="485"/>
      <c r="GI292" s="485"/>
      <c r="GJ292" s="485"/>
      <c r="GK292" s="485"/>
      <c r="GL292" s="485"/>
      <c r="GM292" s="485"/>
      <c r="GN292" s="485"/>
      <c r="GO292" s="485"/>
      <c r="GP292" s="485"/>
      <c r="GQ292" s="485"/>
      <c r="GR292" s="485"/>
      <c r="GS292" s="485"/>
      <c r="GT292" s="485"/>
      <c r="GU292" s="485"/>
      <c r="GV292" s="485"/>
      <c r="GW292" s="485"/>
      <c r="GX292" s="485"/>
      <c r="GY292" s="485"/>
      <c r="GZ292" s="485"/>
      <c r="HA292" s="485"/>
      <c r="HB292" s="485"/>
      <c r="HC292" s="485"/>
      <c r="HD292" s="485"/>
      <c r="HE292" s="485"/>
      <c r="HF292" s="485"/>
      <c r="HG292" s="485"/>
      <c r="HH292" s="485"/>
      <c r="HI292" s="485"/>
      <c r="HJ292" s="485"/>
      <c r="HK292" s="485"/>
      <c r="HL292" s="485"/>
      <c r="HM292" s="485"/>
      <c r="HN292" s="485"/>
      <c r="HO292" s="485"/>
      <c r="HP292" s="485"/>
      <c r="HQ292" s="485"/>
      <c r="HR292" s="485"/>
      <c r="HS292" s="485"/>
      <c r="HT292" s="485"/>
      <c r="HU292" s="485"/>
      <c r="HV292" s="485"/>
      <c r="HW292" s="485"/>
      <c r="HX292" s="485"/>
      <c r="HY292" s="485"/>
      <c r="HZ292" s="485"/>
      <c r="IA292" s="485"/>
      <c r="IB292" s="485"/>
      <c r="IC292" s="485"/>
      <c r="ID292" s="485"/>
      <c r="IE292" s="485"/>
      <c r="IF292" s="485"/>
      <c r="IG292" s="485"/>
      <c r="IH292" s="485"/>
      <c r="II292" s="485"/>
    </row>
    <row r="293" spans="1:243" s="664" customFormat="1" ht="26.25" customHeight="1">
      <c r="A293" s="539"/>
      <c r="B293" s="539"/>
      <c r="C293" s="539"/>
      <c r="D293" s="539"/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39"/>
      <c r="P293" s="539"/>
      <c r="Q293" s="539"/>
      <c r="R293" s="662"/>
      <c r="S293" s="662"/>
      <c r="T293" s="662"/>
      <c r="U293" s="662"/>
      <c r="V293" s="662"/>
      <c r="W293" s="662"/>
      <c r="X293" s="662"/>
      <c r="Y293" s="663"/>
      <c r="Z293" s="663"/>
      <c r="AA293" s="660"/>
      <c r="AB293" s="1705" t="s">
        <v>324</v>
      </c>
      <c r="AC293" s="1706"/>
      <c r="AD293" s="1706"/>
      <c r="AE293" s="1706"/>
      <c r="AF293" s="1706"/>
      <c r="AG293" s="1706"/>
      <c r="AH293" s="1706"/>
      <c r="AI293" s="1706"/>
      <c r="AJ293" s="1706"/>
      <c r="AK293" s="1706"/>
      <c r="AL293" s="1706"/>
      <c r="AM293" s="1706"/>
      <c r="AN293" s="1706"/>
      <c r="AO293" s="1706"/>
      <c r="AP293" s="2990" t="str">
        <f>IF(AW292="","",IF(OR(AV291&lt;AY290,AV291&gt;AZ290,AY291&gt;AZ290),"WARNING:    The TEMPO valid times fall outside the block valid period.",""))</f>
        <v/>
      </c>
      <c r="AQ293" s="2991"/>
      <c r="AR293" s="2991"/>
      <c r="AS293" s="2991"/>
      <c r="AT293" s="2991"/>
      <c r="AU293" s="2991"/>
      <c r="AV293" s="2991"/>
      <c r="AW293" s="2991"/>
      <c r="AX293" s="2991"/>
      <c r="AY293" s="2991"/>
      <c r="AZ293" s="2992"/>
      <c r="BA293" s="661"/>
      <c r="BB293" s="1705" t="s">
        <v>324</v>
      </c>
      <c r="BC293" s="1706"/>
      <c r="BD293" s="1706"/>
      <c r="BE293" s="1706"/>
      <c r="BF293" s="1706"/>
      <c r="BG293" s="1706"/>
      <c r="BH293" s="1706"/>
      <c r="BI293" s="1706"/>
      <c r="BJ293" s="1706"/>
      <c r="BK293" s="1706"/>
      <c r="BL293" s="1706"/>
      <c r="BM293" s="1706"/>
      <c r="BN293" s="1706"/>
      <c r="BO293" s="1706"/>
      <c r="BP293" s="2990" t="str">
        <f>IF(OR(BE290="",BW292=""),"",IF(OR(BV291&lt;BY290,BV291&gt;BZ290,BY291&gt;BZ290),"WARNING:    The TEMPO valid times fall outside the block valid period.",""))</f>
        <v/>
      </c>
      <c r="BQ293" s="2991"/>
      <c r="BR293" s="2991"/>
      <c r="BS293" s="2991"/>
      <c r="BT293" s="2991"/>
      <c r="BU293" s="2991"/>
      <c r="BV293" s="2991"/>
      <c r="BW293" s="2991"/>
      <c r="BX293" s="2991"/>
      <c r="BY293" s="2991"/>
      <c r="BZ293" s="2992"/>
      <c r="CA293" s="661"/>
      <c r="CB293" s="1705" t="s">
        <v>324</v>
      </c>
      <c r="CC293" s="1706"/>
      <c r="CD293" s="1706"/>
      <c r="CE293" s="1706"/>
      <c r="CF293" s="1706"/>
      <c r="CG293" s="1706"/>
      <c r="CH293" s="1706"/>
      <c r="CI293" s="1706"/>
      <c r="CJ293" s="1706"/>
      <c r="CK293" s="1706"/>
      <c r="CL293" s="1706"/>
      <c r="CM293" s="1706"/>
      <c r="CN293" s="1706"/>
      <c r="CO293" s="1706"/>
      <c r="CP293" s="2990" t="str">
        <f>IF(OR(CE290="",CW292=""),"",IF(OR(CV291&lt;CY290,CV291&gt;CZ290,CY291&gt;CZ290),"WARNING:    The TEMPO valid times fall outside the block valid period.",""))</f>
        <v/>
      </c>
      <c r="CQ293" s="2991"/>
      <c r="CR293" s="2991"/>
      <c r="CS293" s="2991"/>
      <c r="CT293" s="2991"/>
      <c r="CU293" s="2991"/>
      <c r="CV293" s="2991"/>
      <c r="CW293" s="2991"/>
      <c r="CX293" s="2991"/>
      <c r="CY293" s="2991"/>
      <c r="CZ293" s="2992"/>
      <c r="DA293" s="661"/>
      <c r="DB293" s="1705" t="s">
        <v>324</v>
      </c>
      <c r="DC293" s="1706"/>
      <c r="DD293" s="1706"/>
      <c r="DE293" s="1706"/>
      <c r="DF293" s="1706"/>
      <c r="DG293" s="1706"/>
      <c r="DH293" s="1706"/>
      <c r="DI293" s="1706"/>
      <c r="DJ293" s="1706"/>
      <c r="DK293" s="1706"/>
      <c r="DL293" s="1706"/>
      <c r="DM293" s="1706"/>
      <c r="DN293" s="1706"/>
      <c r="DO293" s="1706"/>
      <c r="DP293" s="2990" t="str">
        <f>IF(OR(DE290="",DW292=""),"",IF(OR(DV291&lt;DY290,DV291&gt;DZ290,DY291&gt;DZ290),"WARNING:    The TEMPO valid times fall outside the block valid period.",""))</f>
        <v/>
      </c>
      <c r="DQ293" s="2991"/>
      <c r="DR293" s="2991"/>
      <c r="DS293" s="2991"/>
      <c r="DT293" s="2991"/>
      <c r="DU293" s="2991"/>
      <c r="DV293" s="2991"/>
      <c r="DW293" s="2991"/>
      <c r="DX293" s="2991"/>
      <c r="DY293" s="2991"/>
      <c r="DZ293" s="2992"/>
      <c r="EA293" s="539"/>
      <c r="EB293" s="539"/>
      <c r="EC293" s="539"/>
      <c r="ED293" s="539"/>
      <c r="EE293" s="539"/>
      <c r="EF293" s="539"/>
      <c r="EG293" s="539"/>
      <c r="EH293" s="539"/>
      <c r="EI293" s="539"/>
      <c r="EJ293" s="539"/>
      <c r="EK293" s="539"/>
      <c r="EL293" s="539"/>
      <c r="EM293" s="539"/>
      <c r="EN293" s="539"/>
      <c r="EO293" s="539"/>
      <c r="EP293" s="539"/>
      <c r="EQ293" s="539"/>
      <c r="ER293" s="539"/>
      <c r="ES293" s="539"/>
      <c r="ET293" s="539"/>
      <c r="EU293" s="539"/>
      <c r="EV293" s="539"/>
      <c r="EW293" s="539"/>
      <c r="EX293" s="539"/>
      <c r="EY293" s="539"/>
      <c r="EZ293" s="539"/>
      <c r="FA293" s="539"/>
      <c r="FB293" s="539"/>
      <c r="FC293" s="539"/>
      <c r="FD293" s="539"/>
      <c r="FE293" s="539"/>
      <c r="FF293" s="539"/>
      <c r="FG293" s="539"/>
      <c r="FH293" s="539"/>
      <c r="FI293" s="539"/>
      <c r="FJ293" s="539"/>
      <c r="FK293" s="539"/>
      <c r="FL293" s="539"/>
      <c r="FM293" s="539"/>
      <c r="FN293" s="539"/>
      <c r="FO293" s="539"/>
      <c r="FP293" s="539"/>
      <c r="FQ293" s="539"/>
      <c r="FR293" s="539"/>
      <c r="FS293" s="539"/>
      <c r="FT293" s="539"/>
      <c r="FU293" s="539"/>
      <c r="FV293" s="539"/>
      <c r="FW293" s="539"/>
      <c r="FX293" s="539"/>
      <c r="FY293" s="539"/>
      <c r="FZ293" s="539"/>
      <c r="GA293" s="539"/>
      <c r="GB293" s="539"/>
      <c r="GC293" s="539"/>
      <c r="GD293" s="539"/>
      <c r="GE293" s="539"/>
      <c r="GF293" s="539"/>
      <c r="GG293" s="539"/>
      <c r="GH293" s="539"/>
      <c r="GI293" s="539"/>
      <c r="GJ293" s="539"/>
      <c r="GK293" s="539"/>
      <c r="GL293" s="539"/>
      <c r="GM293" s="539"/>
      <c r="GN293" s="539"/>
      <c r="GO293" s="539"/>
      <c r="GP293" s="539"/>
      <c r="GQ293" s="539"/>
      <c r="GR293" s="539"/>
      <c r="GS293" s="539"/>
      <c r="GT293" s="539"/>
      <c r="GU293" s="539"/>
      <c r="GV293" s="539"/>
      <c r="GW293" s="539"/>
      <c r="GX293" s="539"/>
      <c r="GY293" s="539"/>
      <c r="GZ293" s="539"/>
      <c r="HA293" s="539"/>
      <c r="HB293" s="539"/>
      <c r="HC293" s="539"/>
      <c r="HD293" s="539"/>
      <c r="HE293" s="539"/>
      <c r="HF293" s="539"/>
      <c r="HG293" s="539"/>
      <c r="HH293" s="539"/>
      <c r="HI293" s="539"/>
      <c r="HJ293" s="539"/>
      <c r="HK293" s="539"/>
      <c r="HL293" s="539"/>
      <c r="HM293" s="539"/>
      <c r="HN293" s="539"/>
      <c r="HO293" s="539"/>
      <c r="HP293" s="539"/>
      <c r="HQ293" s="539"/>
      <c r="HR293" s="539"/>
      <c r="HS293" s="539"/>
      <c r="HT293" s="539"/>
      <c r="HU293" s="539"/>
      <c r="HV293" s="539"/>
      <c r="HW293" s="539"/>
      <c r="HX293" s="539"/>
      <c r="HY293" s="539"/>
      <c r="HZ293" s="539"/>
      <c r="IA293" s="539"/>
      <c r="IB293" s="539"/>
      <c r="IC293" s="539"/>
      <c r="ID293" s="539"/>
      <c r="IE293" s="539"/>
      <c r="IF293" s="539"/>
      <c r="IG293" s="539"/>
      <c r="IH293" s="539"/>
      <c r="II293" s="539"/>
    </row>
    <row r="294" spans="1:243" s="664" customFormat="1" ht="14.25" customHeight="1" thickBot="1">
      <c r="A294" s="539"/>
      <c r="B294" s="539"/>
      <c r="C294" s="539"/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39"/>
      <c r="P294" s="539"/>
      <c r="Q294" s="539"/>
      <c r="R294" s="662"/>
      <c r="S294" s="662"/>
      <c r="T294" s="662"/>
      <c r="U294" s="662"/>
      <c r="V294" s="662"/>
      <c r="W294" s="662"/>
      <c r="X294" s="662"/>
      <c r="Y294" s="663"/>
      <c r="Z294" s="663"/>
      <c r="AA294" s="539"/>
      <c r="AB294" s="3154" t="s">
        <v>325</v>
      </c>
      <c r="AC294" s="3155"/>
      <c r="AD294" s="3155"/>
      <c r="AE294" s="3155"/>
      <c r="AF294" s="1672"/>
      <c r="AG294" s="1672"/>
      <c r="AH294" s="2986" t="s">
        <v>326</v>
      </c>
      <c r="AI294" s="2986"/>
      <c r="AJ294" s="2986" t="s">
        <v>327</v>
      </c>
      <c r="AK294" s="2986"/>
      <c r="AL294" s="3137" t="s">
        <v>328</v>
      </c>
      <c r="AM294" s="3137"/>
      <c r="AN294" s="1673"/>
      <c r="AO294" s="1674"/>
      <c r="AP294" s="1724"/>
      <c r="AQ294" s="1712"/>
      <c r="AR294" s="1712"/>
      <c r="AS294" s="1712"/>
      <c r="AT294" s="3049" t="s">
        <v>326</v>
      </c>
      <c r="AU294" s="3049"/>
      <c r="AV294" s="3049" t="s">
        <v>327</v>
      </c>
      <c r="AW294" s="3049"/>
      <c r="AX294" s="3023" t="s">
        <v>328</v>
      </c>
      <c r="AY294" s="3023"/>
      <c r="AZ294" s="1650"/>
      <c r="BA294" s="665"/>
      <c r="BB294" s="3154" t="s">
        <v>325</v>
      </c>
      <c r="BC294" s="3155"/>
      <c r="BD294" s="3155"/>
      <c r="BE294" s="3155"/>
      <c r="BF294" s="1672"/>
      <c r="BG294" s="1672"/>
      <c r="BH294" s="2986" t="s">
        <v>326</v>
      </c>
      <c r="BI294" s="2986"/>
      <c r="BJ294" s="2986" t="s">
        <v>327</v>
      </c>
      <c r="BK294" s="2986"/>
      <c r="BL294" s="3137" t="s">
        <v>328</v>
      </c>
      <c r="BM294" s="3137"/>
      <c r="BN294" s="1673"/>
      <c r="BO294" s="1674"/>
      <c r="BP294" s="1724"/>
      <c r="BQ294" s="1712"/>
      <c r="BR294" s="1712"/>
      <c r="BS294" s="1712"/>
      <c r="BT294" s="3049" t="s">
        <v>326</v>
      </c>
      <c r="BU294" s="3049"/>
      <c r="BV294" s="3049" t="s">
        <v>327</v>
      </c>
      <c r="BW294" s="3049"/>
      <c r="BX294" s="3023" t="s">
        <v>328</v>
      </c>
      <c r="BY294" s="3023"/>
      <c r="BZ294" s="1650"/>
      <c r="CA294" s="665"/>
      <c r="CB294" s="3154" t="s">
        <v>325</v>
      </c>
      <c r="CC294" s="3155"/>
      <c r="CD294" s="3155"/>
      <c r="CE294" s="3155"/>
      <c r="CF294" s="1672"/>
      <c r="CG294" s="1672"/>
      <c r="CH294" s="2986" t="s">
        <v>326</v>
      </c>
      <c r="CI294" s="2986"/>
      <c r="CJ294" s="2986" t="s">
        <v>327</v>
      </c>
      <c r="CK294" s="2986"/>
      <c r="CL294" s="3137" t="s">
        <v>328</v>
      </c>
      <c r="CM294" s="3137"/>
      <c r="CN294" s="1673"/>
      <c r="CO294" s="1674"/>
      <c r="CP294" s="1724"/>
      <c r="CQ294" s="1712"/>
      <c r="CR294" s="1712"/>
      <c r="CS294" s="1712"/>
      <c r="CT294" s="3049" t="s">
        <v>326</v>
      </c>
      <c r="CU294" s="3049"/>
      <c r="CV294" s="3049" t="s">
        <v>327</v>
      </c>
      <c r="CW294" s="3049"/>
      <c r="CX294" s="3023" t="s">
        <v>328</v>
      </c>
      <c r="CY294" s="3023"/>
      <c r="CZ294" s="1650"/>
      <c r="DA294" s="665"/>
      <c r="DB294" s="3154" t="s">
        <v>325</v>
      </c>
      <c r="DC294" s="3155"/>
      <c r="DD294" s="3155"/>
      <c r="DE294" s="3155"/>
      <c r="DF294" s="1672"/>
      <c r="DG294" s="1672"/>
      <c r="DH294" s="2986" t="s">
        <v>326</v>
      </c>
      <c r="DI294" s="2986"/>
      <c r="DJ294" s="2986" t="s">
        <v>327</v>
      </c>
      <c r="DK294" s="2986"/>
      <c r="DL294" s="3137" t="s">
        <v>328</v>
      </c>
      <c r="DM294" s="3137"/>
      <c r="DN294" s="1673"/>
      <c r="DO294" s="1674"/>
      <c r="DP294" s="1724"/>
      <c r="DQ294" s="1712"/>
      <c r="DR294" s="1712"/>
      <c r="DS294" s="1712"/>
      <c r="DT294" s="3049" t="s">
        <v>326</v>
      </c>
      <c r="DU294" s="3049"/>
      <c r="DV294" s="3049" t="s">
        <v>327</v>
      </c>
      <c r="DW294" s="3049"/>
      <c r="DX294" s="3023" t="s">
        <v>328</v>
      </c>
      <c r="DY294" s="3023"/>
      <c r="DZ294" s="1650"/>
      <c r="EA294" s="539"/>
      <c r="EB294" s="539"/>
      <c r="EC294" s="539"/>
      <c r="ED294" s="539"/>
      <c r="EE294" s="539"/>
      <c r="EF294" s="539"/>
      <c r="EG294" s="539"/>
      <c r="EH294" s="539"/>
      <c r="EI294" s="539"/>
      <c r="EJ294" s="539"/>
      <c r="EK294" s="539"/>
      <c r="EL294" s="539"/>
      <c r="EM294" s="539"/>
      <c r="EN294" s="539"/>
      <c r="EO294" s="539"/>
      <c r="EP294" s="539"/>
      <c r="EQ294" s="539"/>
      <c r="ER294" s="539"/>
      <c r="ES294" s="539"/>
      <c r="ET294" s="539"/>
      <c r="EU294" s="539"/>
      <c r="EV294" s="539"/>
      <c r="EW294" s="539"/>
      <c r="EX294" s="539"/>
      <c r="EY294" s="539"/>
      <c r="EZ294" s="539"/>
      <c r="FA294" s="539"/>
      <c r="FB294" s="539"/>
      <c r="FC294" s="539"/>
      <c r="FD294" s="539"/>
      <c r="FE294" s="539"/>
      <c r="FF294" s="539"/>
      <c r="FG294" s="539"/>
      <c r="FH294" s="539"/>
      <c r="FI294" s="539"/>
      <c r="FJ294" s="539"/>
      <c r="FK294" s="539"/>
      <c r="FL294" s="539"/>
      <c r="FM294" s="539"/>
      <c r="FN294" s="539"/>
      <c r="FO294" s="539"/>
      <c r="FP294" s="539"/>
      <c r="FQ294" s="539"/>
      <c r="FR294" s="539"/>
      <c r="FS294" s="539"/>
      <c r="FT294" s="539"/>
      <c r="FU294" s="539"/>
      <c r="FV294" s="539"/>
      <c r="FW294" s="539"/>
      <c r="FX294" s="539"/>
      <c r="FY294" s="539"/>
      <c r="FZ294" s="539"/>
      <c r="GA294" s="539"/>
      <c r="GB294" s="539"/>
      <c r="GC294" s="539"/>
      <c r="GD294" s="539"/>
      <c r="GE294" s="539"/>
      <c r="GF294" s="539"/>
      <c r="GG294" s="539"/>
      <c r="GH294" s="539"/>
      <c r="GI294" s="539"/>
      <c r="GJ294" s="539"/>
      <c r="GK294" s="539"/>
      <c r="GL294" s="539"/>
      <c r="GM294" s="539"/>
      <c r="GN294" s="539"/>
      <c r="GO294" s="539"/>
      <c r="GP294" s="539"/>
      <c r="GQ294" s="539"/>
      <c r="GR294" s="539"/>
      <c r="GS294" s="539"/>
      <c r="GT294" s="539"/>
      <c r="GU294" s="539"/>
      <c r="GV294" s="539"/>
      <c r="GW294" s="539"/>
      <c r="GX294" s="539"/>
      <c r="GY294" s="539"/>
      <c r="GZ294" s="539"/>
      <c r="HA294" s="539"/>
      <c r="HB294" s="539"/>
      <c r="HC294" s="539"/>
      <c r="HD294" s="539"/>
      <c r="HE294" s="539"/>
      <c r="HF294" s="539"/>
      <c r="HG294" s="539"/>
      <c r="HH294" s="539"/>
      <c r="HI294" s="539"/>
      <c r="HJ294" s="539"/>
      <c r="HK294" s="539"/>
      <c r="HL294" s="539"/>
      <c r="HM294" s="539"/>
      <c r="HN294" s="539"/>
      <c r="HO294" s="539"/>
      <c r="HP294" s="539"/>
      <c r="HQ294" s="539"/>
      <c r="HR294" s="539"/>
      <c r="HS294" s="539"/>
      <c r="HT294" s="539"/>
      <c r="HU294" s="539"/>
      <c r="HV294" s="539"/>
      <c r="HW294" s="539"/>
      <c r="HX294" s="539"/>
      <c r="HY294" s="539"/>
      <c r="HZ294" s="539"/>
      <c r="IA294" s="539"/>
      <c r="IB294" s="539"/>
      <c r="IC294" s="539"/>
      <c r="ID294" s="539"/>
      <c r="IE294" s="539"/>
      <c r="IF294" s="539"/>
      <c r="IG294" s="539"/>
      <c r="IH294" s="539"/>
      <c r="II294" s="539"/>
    </row>
    <row r="295" spans="1:243" s="664" customFormat="1" ht="16.5" customHeight="1" thickTop="1" thickBot="1">
      <c r="A295" s="539"/>
      <c r="B295" s="539"/>
      <c r="C295" s="539"/>
      <c r="D295" s="539"/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39"/>
      <c r="P295" s="539"/>
      <c r="Q295" s="539"/>
      <c r="R295" s="662"/>
      <c r="S295" s="662"/>
      <c r="T295" s="662"/>
      <c r="U295" s="662"/>
      <c r="V295" s="662"/>
      <c r="W295" s="662"/>
      <c r="X295" s="662"/>
      <c r="Y295" s="663"/>
      <c r="Z295" s="663"/>
      <c r="AA295" s="539"/>
      <c r="AB295" s="3154"/>
      <c r="AC295" s="3155"/>
      <c r="AD295" s="3155"/>
      <c r="AE295" s="3155"/>
      <c r="AF295" s="2968"/>
      <c r="AG295" s="2969"/>
      <c r="AH295" s="3152" t="s">
        <v>2675</v>
      </c>
      <c r="AI295" s="3153"/>
      <c r="AJ295" s="3039">
        <v>10</v>
      </c>
      <c r="AK295" s="3040"/>
      <c r="AL295" s="2951"/>
      <c r="AM295" s="2952"/>
      <c r="AN295" s="1673"/>
      <c r="AO295" s="1674"/>
      <c r="AP295" s="1724"/>
      <c r="AQ295" s="1712"/>
      <c r="AR295" s="1712"/>
      <c r="AS295" s="1713" t="s">
        <v>330</v>
      </c>
      <c r="AT295" s="3142" t="s">
        <v>2679</v>
      </c>
      <c r="AU295" s="3143"/>
      <c r="AV295" s="3144">
        <v>12</v>
      </c>
      <c r="AW295" s="3145"/>
      <c r="AX295" s="2949">
        <v>20</v>
      </c>
      <c r="AY295" s="2950"/>
      <c r="AZ295" s="1650"/>
      <c r="BA295" s="665"/>
      <c r="BB295" s="3154"/>
      <c r="BC295" s="3155"/>
      <c r="BD295" s="3155"/>
      <c r="BE295" s="3155"/>
      <c r="BF295" s="2968"/>
      <c r="BG295" s="2969"/>
      <c r="BH295" s="3152"/>
      <c r="BI295" s="3153"/>
      <c r="BJ295" s="3039"/>
      <c r="BK295" s="3040"/>
      <c r="BL295" s="2951"/>
      <c r="BM295" s="2952"/>
      <c r="BN295" s="1673"/>
      <c r="BO295" s="1674"/>
      <c r="BP295" s="1724"/>
      <c r="BQ295" s="1712"/>
      <c r="BR295" s="1712"/>
      <c r="BS295" s="1713" t="s">
        <v>330</v>
      </c>
      <c r="BT295" s="3142"/>
      <c r="BU295" s="3143"/>
      <c r="BV295" s="3144"/>
      <c r="BW295" s="3145"/>
      <c r="BX295" s="2949"/>
      <c r="BY295" s="2950"/>
      <c r="BZ295" s="1650"/>
      <c r="CA295" s="665"/>
      <c r="CB295" s="3154"/>
      <c r="CC295" s="3155"/>
      <c r="CD295" s="3155"/>
      <c r="CE295" s="3155"/>
      <c r="CF295" s="2968"/>
      <c r="CG295" s="2969"/>
      <c r="CH295" s="3152"/>
      <c r="CI295" s="3153"/>
      <c r="CJ295" s="3039"/>
      <c r="CK295" s="3040"/>
      <c r="CL295" s="2951"/>
      <c r="CM295" s="2952"/>
      <c r="CN295" s="1673"/>
      <c r="CO295" s="1674"/>
      <c r="CP295" s="1724"/>
      <c r="CQ295" s="1712"/>
      <c r="CR295" s="1712"/>
      <c r="CS295" s="1713" t="s">
        <v>330</v>
      </c>
      <c r="CT295" s="3142"/>
      <c r="CU295" s="3143"/>
      <c r="CV295" s="3144"/>
      <c r="CW295" s="3145"/>
      <c r="CX295" s="2949"/>
      <c r="CY295" s="2950"/>
      <c r="CZ295" s="1650"/>
      <c r="DA295" s="665"/>
      <c r="DB295" s="3154"/>
      <c r="DC295" s="3155"/>
      <c r="DD295" s="3155"/>
      <c r="DE295" s="3155"/>
      <c r="DF295" s="2968"/>
      <c r="DG295" s="2969"/>
      <c r="DH295" s="3152"/>
      <c r="DI295" s="3153"/>
      <c r="DJ295" s="3039"/>
      <c r="DK295" s="3040"/>
      <c r="DL295" s="2951"/>
      <c r="DM295" s="2952"/>
      <c r="DN295" s="1673"/>
      <c r="DO295" s="1674"/>
      <c r="DP295" s="1724"/>
      <c r="DQ295" s="1712"/>
      <c r="DR295" s="1712"/>
      <c r="DS295" s="1713" t="s">
        <v>330</v>
      </c>
      <c r="DT295" s="3142"/>
      <c r="DU295" s="3143"/>
      <c r="DV295" s="3144"/>
      <c r="DW295" s="3145"/>
      <c r="DX295" s="2949"/>
      <c r="DY295" s="2950"/>
      <c r="DZ295" s="1650"/>
      <c r="EA295" s="539"/>
      <c r="EB295" s="539"/>
      <c r="EC295" s="539"/>
      <c r="ED295" s="539"/>
      <c r="EE295" s="539"/>
      <c r="EF295" s="539"/>
      <c r="EG295" s="539"/>
      <c r="EH295" s="539"/>
      <c r="EI295" s="539"/>
      <c r="EJ295" s="539"/>
      <c r="EK295" s="539"/>
      <c r="EL295" s="539"/>
      <c r="EM295" s="539"/>
      <c r="EN295" s="539"/>
      <c r="EO295" s="539"/>
      <c r="EP295" s="539"/>
      <c r="EQ295" s="539"/>
      <c r="ER295" s="539"/>
      <c r="ES295" s="539"/>
      <c r="ET295" s="539"/>
      <c r="EU295" s="539"/>
      <c r="EV295" s="539"/>
      <c r="EW295" s="539"/>
      <c r="EX295" s="539"/>
      <c r="EY295" s="539"/>
      <c r="EZ295" s="539"/>
      <c r="FA295" s="539"/>
      <c r="FB295" s="539"/>
      <c r="FC295" s="539"/>
      <c r="FD295" s="539"/>
      <c r="FE295" s="539"/>
      <c r="FF295" s="539"/>
      <c r="FG295" s="539"/>
      <c r="FH295" s="539"/>
      <c r="FI295" s="539"/>
      <c r="FJ295" s="539"/>
      <c r="FK295" s="539"/>
      <c r="FL295" s="539"/>
      <c r="FM295" s="539"/>
      <c r="FN295" s="539"/>
      <c r="FO295" s="539"/>
      <c r="FP295" s="539"/>
      <c r="FQ295" s="539"/>
      <c r="FR295" s="539"/>
      <c r="FS295" s="539"/>
      <c r="FT295" s="539"/>
      <c r="FU295" s="539"/>
      <c r="FV295" s="539"/>
      <c r="FW295" s="539"/>
      <c r="FX295" s="539"/>
      <c r="FY295" s="539"/>
      <c r="FZ295" s="539"/>
      <c r="GA295" s="539"/>
      <c r="GB295" s="539"/>
      <c r="GC295" s="539"/>
      <c r="GD295" s="539"/>
      <c r="GE295" s="539"/>
      <c r="GF295" s="539"/>
      <c r="GG295" s="539"/>
      <c r="GH295" s="539"/>
      <c r="GI295" s="539"/>
      <c r="GJ295" s="539"/>
      <c r="GK295" s="539"/>
      <c r="GL295" s="539"/>
      <c r="GM295" s="539"/>
      <c r="GN295" s="539"/>
      <c r="GO295" s="539"/>
      <c r="GP295" s="539"/>
      <c r="GQ295" s="539"/>
      <c r="GR295" s="539"/>
      <c r="GS295" s="539"/>
      <c r="GT295" s="539"/>
      <c r="GU295" s="539"/>
      <c r="GV295" s="539"/>
      <c r="GW295" s="539"/>
      <c r="GX295" s="539"/>
      <c r="GY295" s="539"/>
      <c r="GZ295" s="539"/>
      <c r="HA295" s="539"/>
      <c r="HB295" s="539"/>
      <c r="HC295" s="539"/>
      <c r="HD295" s="539"/>
      <c r="HE295" s="539"/>
      <c r="HF295" s="539"/>
      <c r="HG295" s="539"/>
      <c r="HH295" s="539"/>
      <c r="HI295" s="539"/>
      <c r="HJ295" s="539"/>
      <c r="HK295" s="539"/>
      <c r="HL295" s="539"/>
      <c r="HM295" s="539"/>
      <c r="HN295" s="539"/>
      <c r="HO295" s="539"/>
      <c r="HP295" s="539"/>
      <c r="HQ295" s="539"/>
      <c r="HR295" s="539"/>
      <c r="HS295" s="539"/>
      <c r="HT295" s="539"/>
      <c r="HU295" s="539"/>
      <c r="HV295" s="539"/>
      <c r="HW295" s="539"/>
      <c r="HX295" s="539"/>
      <c r="HY295" s="539"/>
      <c r="HZ295" s="539"/>
      <c r="IA295" s="539"/>
      <c r="IB295" s="539"/>
      <c r="IC295" s="539"/>
      <c r="ID295" s="539"/>
      <c r="IE295" s="539"/>
      <c r="IF295" s="539"/>
      <c r="IG295" s="539"/>
      <c r="IH295" s="539"/>
      <c r="II295" s="539"/>
    </row>
    <row r="296" spans="1:243" s="664" customFormat="1" ht="16.5" customHeight="1" thickTop="1">
      <c r="A296" s="539"/>
      <c r="B296" s="539"/>
      <c r="C296" s="539"/>
      <c r="D296" s="539"/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39"/>
      <c r="P296" s="539"/>
      <c r="Q296" s="539"/>
      <c r="R296" s="662"/>
      <c r="S296" s="662"/>
      <c r="T296" s="662"/>
      <c r="U296" s="662"/>
      <c r="V296" s="662"/>
      <c r="W296" s="662"/>
      <c r="X296" s="662"/>
      <c r="Y296" s="663"/>
      <c r="Z296" s="663"/>
      <c r="AA296" s="539"/>
      <c r="AB296" s="3156"/>
      <c r="AC296" s="3157"/>
      <c r="AD296" s="3157"/>
      <c r="AE296" s="3157"/>
      <c r="AF296" s="2965" t="s">
        <v>331</v>
      </c>
      <c r="AG296" s="2965"/>
      <c r="AH296" s="2964" t="s">
        <v>326</v>
      </c>
      <c r="AI296" s="2964"/>
      <c r="AJ296" s="2964" t="s">
        <v>327</v>
      </c>
      <c r="AK296" s="2964"/>
      <c r="AL296" s="1675"/>
      <c r="AM296" s="1676"/>
      <c r="AN296" s="1675"/>
      <c r="AO296" s="1677"/>
      <c r="AP296" s="1725"/>
      <c r="AQ296" s="1646"/>
      <c r="AR296" s="1646"/>
      <c r="AS296" s="1646"/>
      <c r="AT296" s="1647"/>
      <c r="AU296" s="1647"/>
      <c r="AV296" s="1647"/>
      <c r="AW296" s="1647"/>
      <c r="AX296" s="1648"/>
      <c r="AY296" s="1648"/>
      <c r="AZ296" s="1649"/>
      <c r="BA296" s="665"/>
      <c r="BB296" s="3156"/>
      <c r="BC296" s="3157"/>
      <c r="BD296" s="3157"/>
      <c r="BE296" s="3157"/>
      <c r="BF296" s="2965" t="s">
        <v>331</v>
      </c>
      <c r="BG296" s="2965"/>
      <c r="BH296" s="2964" t="s">
        <v>326</v>
      </c>
      <c r="BI296" s="2964"/>
      <c r="BJ296" s="2964" t="s">
        <v>327</v>
      </c>
      <c r="BK296" s="2964"/>
      <c r="BL296" s="1675"/>
      <c r="BM296" s="1676"/>
      <c r="BN296" s="1675"/>
      <c r="BO296" s="1677"/>
      <c r="BP296" s="1725"/>
      <c r="BQ296" s="1646"/>
      <c r="BR296" s="1646"/>
      <c r="BS296" s="1646"/>
      <c r="BT296" s="1647"/>
      <c r="BU296" s="1647"/>
      <c r="BV296" s="1647"/>
      <c r="BW296" s="1647"/>
      <c r="BX296" s="1648"/>
      <c r="BY296" s="1648"/>
      <c r="BZ296" s="1649"/>
      <c r="CA296" s="665"/>
      <c r="CB296" s="3156"/>
      <c r="CC296" s="3157"/>
      <c r="CD296" s="3157"/>
      <c r="CE296" s="3157"/>
      <c r="CF296" s="2965" t="s">
        <v>331</v>
      </c>
      <c r="CG296" s="2965"/>
      <c r="CH296" s="2964" t="s">
        <v>326</v>
      </c>
      <c r="CI296" s="2964"/>
      <c r="CJ296" s="2964" t="s">
        <v>327</v>
      </c>
      <c r="CK296" s="2964"/>
      <c r="CL296" s="1675"/>
      <c r="CM296" s="1676"/>
      <c r="CN296" s="1675"/>
      <c r="CO296" s="1677"/>
      <c r="CP296" s="1725"/>
      <c r="CQ296" s="1646"/>
      <c r="CR296" s="1646"/>
      <c r="CS296" s="1646"/>
      <c r="CT296" s="1647"/>
      <c r="CU296" s="1647"/>
      <c r="CV296" s="1647"/>
      <c r="CW296" s="1647"/>
      <c r="CX296" s="1648"/>
      <c r="CY296" s="1648"/>
      <c r="CZ296" s="1649"/>
      <c r="DA296" s="665"/>
      <c r="DB296" s="3156"/>
      <c r="DC296" s="3157"/>
      <c r="DD296" s="3157"/>
      <c r="DE296" s="3157"/>
      <c r="DF296" s="2965" t="s">
        <v>331</v>
      </c>
      <c r="DG296" s="2965"/>
      <c r="DH296" s="2964" t="s">
        <v>326</v>
      </c>
      <c r="DI296" s="2964"/>
      <c r="DJ296" s="2964" t="s">
        <v>327</v>
      </c>
      <c r="DK296" s="2964"/>
      <c r="DL296" s="1675"/>
      <c r="DM296" s="1676"/>
      <c r="DN296" s="1675"/>
      <c r="DO296" s="1677"/>
      <c r="DP296" s="1725"/>
      <c r="DQ296" s="1646"/>
      <c r="DR296" s="1646"/>
      <c r="DS296" s="1646"/>
      <c r="DT296" s="1647"/>
      <c r="DU296" s="1647"/>
      <c r="DV296" s="1647"/>
      <c r="DW296" s="1647"/>
      <c r="DX296" s="1648"/>
      <c r="DY296" s="1648"/>
      <c r="DZ296" s="1649"/>
      <c r="EA296" s="539"/>
      <c r="EB296" s="539"/>
      <c r="EC296" s="539"/>
      <c r="ED296" s="539"/>
      <c r="EE296" s="539"/>
      <c r="EF296" s="539"/>
      <c r="EG296" s="539"/>
      <c r="EH296" s="539"/>
      <c r="EI296" s="539"/>
      <c r="EJ296" s="539"/>
      <c r="EK296" s="539"/>
      <c r="EL296" s="539"/>
      <c r="EM296" s="539"/>
      <c r="EN296" s="539"/>
      <c r="EO296" s="539"/>
      <c r="EP296" s="539"/>
      <c r="EQ296" s="539"/>
      <c r="ER296" s="539"/>
      <c r="ES296" s="539"/>
      <c r="ET296" s="539"/>
      <c r="EU296" s="539"/>
      <c r="EV296" s="539"/>
      <c r="EW296" s="539"/>
      <c r="EX296" s="539"/>
      <c r="EY296" s="539"/>
      <c r="EZ296" s="539"/>
      <c r="FA296" s="539"/>
      <c r="FB296" s="539"/>
      <c r="FC296" s="539"/>
      <c r="FD296" s="539"/>
      <c r="FE296" s="539"/>
      <c r="FF296" s="539"/>
      <c r="FG296" s="539"/>
      <c r="FH296" s="539"/>
      <c r="FI296" s="539"/>
      <c r="FJ296" s="539"/>
      <c r="FK296" s="539"/>
      <c r="FL296" s="539"/>
      <c r="FM296" s="539"/>
      <c r="FN296" s="539"/>
      <c r="FO296" s="539"/>
      <c r="FP296" s="539"/>
      <c r="FQ296" s="539"/>
      <c r="FR296" s="539"/>
      <c r="FS296" s="539"/>
      <c r="FT296" s="539"/>
      <c r="FU296" s="539"/>
      <c r="FV296" s="539"/>
      <c r="FW296" s="539"/>
      <c r="FX296" s="539"/>
      <c r="FY296" s="539"/>
      <c r="FZ296" s="539"/>
      <c r="GA296" s="539"/>
      <c r="GB296" s="539"/>
      <c r="GC296" s="539"/>
      <c r="GD296" s="539"/>
      <c r="GE296" s="539"/>
      <c r="GF296" s="539"/>
      <c r="GG296" s="539"/>
      <c r="GH296" s="539"/>
      <c r="GI296" s="539"/>
      <c r="GJ296" s="539"/>
      <c r="GK296" s="539"/>
      <c r="GL296" s="539"/>
      <c r="GM296" s="539"/>
      <c r="GN296" s="539"/>
      <c r="GO296" s="539"/>
      <c r="GP296" s="539"/>
      <c r="GQ296" s="539"/>
      <c r="GR296" s="539"/>
      <c r="GS296" s="539"/>
      <c r="GT296" s="539"/>
      <c r="GU296" s="539"/>
      <c r="GV296" s="539"/>
      <c r="GW296" s="539"/>
      <c r="GX296" s="539"/>
      <c r="GY296" s="539"/>
      <c r="GZ296" s="539"/>
      <c r="HA296" s="539"/>
      <c r="HB296" s="539"/>
      <c r="HC296" s="539"/>
      <c r="HD296" s="539"/>
      <c r="HE296" s="539"/>
      <c r="HF296" s="539"/>
      <c r="HG296" s="539"/>
      <c r="HH296" s="539"/>
      <c r="HI296" s="539"/>
      <c r="HJ296" s="539"/>
      <c r="HK296" s="539"/>
      <c r="HL296" s="539"/>
      <c r="HM296" s="539"/>
      <c r="HN296" s="539"/>
      <c r="HO296" s="539"/>
      <c r="HP296" s="539"/>
      <c r="HQ296" s="539"/>
      <c r="HR296" s="539"/>
      <c r="HS296" s="539"/>
      <c r="HT296" s="539"/>
      <c r="HU296" s="539"/>
      <c r="HV296" s="539"/>
      <c r="HW296" s="539"/>
      <c r="HX296" s="539"/>
      <c r="HY296" s="539"/>
      <c r="HZ296" s="539"/>
      <c r="IA296" s="539"/>
      <c r="IB296" s="539"/>
      <c r="IC296" s="539"/>
      <c r="ID296" s="539"/>
      <c r="IE296" s="539"/>
      <c r="IF296" s="539"/>
      <c r="IG296" s="539"/>
      <c r="IH296" s="539"/>
      <c r="II296" s="539"/>
    </row>
    <row r="297" spans="1:243" s="664" customFormat="1" ht="18" customHeight="1">
      <c r="A297" s="539"/>
      <c r="B297" s="539"/>
      <c r="C297" s="539"/>
      <c r="D297" s="539"/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39"/>
      <c r="P297" s="539"/>
      <c r="Q297" s="539"/>
      <c r="R297" s="662"/>
      <c r="S297" s="662"/>
      <c r="T297" s="662"/>
      <c r="U297" s="662"/>
      <c r="V297" s="662"/>
      <c r="W297" s="662"/>
      <c r="X297" s="662"/>
      <c r="Y297" s="663"/>
      <c r="Z297" s="663"/>
      <c r="AA297" s="666"/>
      <c r="AB297" s="1681" t="s">
        <v>332</v>
      </c>
      <c r="AC297" s="1678"/>
      <c r="AD297" s="1678"/>
      <c r="AE297" s="1678"/>
      <c r="AF297" s="1678"/>
      <c r="AG297" s="2959" t="s">
        <v>333</v>
      </c>
      <c r="AH297" s="2959"/>
      <c r="AI297" s="2959"/>
      <c r="AJ297" s="2959" t="s">
        <v>334</v>
      </c>
      <c r="AK297" s="2959"/>
      <c r="AL297" s="2959"/>
      <c r="AM297" s="2959"/>
      <c r="AN297" s="1679"/>
      <c r="AO297" s="1680"/>
      <c r="AP297" s="1726"/>
      <c r="AQ297" s="1660"/>
      <c r="AR297" s="3073" t="s">
        <v>333</v>
      </c>
      <c r="AS297" s="3073"/>
      <c r="AT297" s="3073"/>
      <c r="AU297" s="3073" t="s">
        <v>334</v>
      </c>
      <c r="AV297" s="3073"/>
      <c r="AW297" s="3073"/>
      <c r="AX297" s="3073"/>
      <c r="AY297" s="1658"/>
      <c r="AZ297" s="1662"/>
      <c r="BA297" s="667"/>
      <c r="BB297" s="1681" t="s">
        <v>332</v>
      </c>
      <c r="BC297" s="1678"/>
      <c r="BD297" s="1678"/>
      <c r="BE297" s="1678"/>
      <c r="BF297" s="1678"/>
      <c r="BG297" s="2959" t="s">
        <v>333</v>
      </c>
      <c r="BH297" s="2959"/>
      <c r="BI297" s="2959"/>
      <c r="BJ297" s="2959" t="s">
        <v>334</v>
      </c>
      <c r="BK297" s="2959"/>
      <c r="BL297" s="2959"/>
      <c r="BM297" s="2959"/>
      <c r="BN297" s="1679"/>
      <c r="BO297" s="1680"/>
      <c r="BP297" s="1726"/>
      <c r="BQ297" s="1660"/>
      <c r="BR297" s="3073" t="s">
        <v>333</v>
      </c>
      <c r="BS297" s="3073"/>
      <c r="BT297" s="3073"/>
      <c r="BU297" s="3073" t="s">
        <v>334</v>
      </c>
      <c r="BV297" s="3073"/>
      <c r="BW297" s="3073"/>
      <c r="BX297" s="3073"/>
      <c r="BY297" s="1658"/>
      <c r="BZ297" s="1662"/>
      <c r="CA297" s="667"/>
      <c r="CB297" s="1681" t="s">
        <v>332</v>
      </c>
      <c r="CC297" s="1678"/>
      <c r="CD297" s="1678"/>
      <c r="CE297" s="1678"/>
      <c r="CF297" s="1678"/>
      <c r="CG297" s="2959" t="s">
        <v>333</v>
      </c>
      <c r="CH297" s="2959"/>
      <c r="CI297" s="2959"/>
      <c r="CJ297" s="2959" t="s">
        <v>334</v>
      </c>
      <c r="CK297" s="2959"/>
      <c r="CL297" s="2959"/>
      <c r="CM297" s="2959"/>
      <c r="CN297" s="1679"/>
      <c r="CO297" s="1680"/>
      <c r="CP297" s="1726"/>
      <c r="CQ297" s="1660"/>
      <c r="CR297" s="3073" t="s">
        <v>333</v>
      </c>
      <c r="CS297" s="3073"/>
      <c r="CT297" s="3073"/>
      <c r="CU297" s="3073" t="s">
        <v>334</v>
      </c>
      <c r="CV297" s="3073"/>
      <c r="CW297" s="3073"/>
      <c r="CX297" s="3073"/>
      <c r="CY297" s="1658"/>
      <c r="CZ297" s="1662"/>
      <c r="DA297" s="667"/>
      <c r="DB297" s="1681" t="s">
        <v>332</v>
      </c>
      <c r="DC297" s="1678"/>
      <c r="DD297" s="1678"/>
      <c r="DE297" s="1678"/>
      <c r="DF297" s="1678"/>
      <c r="DG297" s="2959" t="s">
        <v>333</v>
      </c>
      <c r="DH297" s="2959"/>
      <c r="DI297" s="2959"/>
      <c r="DJ297" s="2959" t="s">
        <v>334</v>
      </c>
      <c r="DK297" s="2959"/>
      <c r="DL297" s="2959"/>
      <c r="DM297" s="2959"/>
      <c r="DN297" s="1679"/>
      <c r="DO297" s="1680"/>
      <c r="DP297" s="1726"/>
      <c r="DQ297" s="1660"/>
      <c r="DR297" s="3073" t="s">
        <v>333</v>
      </c>
      <c r="DS297" s="3073"/>
      <c r="DT297" s="3073"/>
      <c r="DU297" s="3073" t="s">
        <v>334</v>
      </c>
      <c r="DV297" s="3073"/>
      <c r="DW297" s="3073"/>
      <c r="DX297" s="3073"/>
      <c r="DY297" s="1658"/>
      <c r="DZ297" s="1662"/>
      <c r="EA297" s="539"/>
      <c r="EB297" s="539"/>
      <c r="EC297" s="539"/>
      <c r="ED297" s="539"/>
      <c r="EE297" s="539"/>
      <c r="EF297" s="539"/>
      <c r="EG297" s="539"/>
      <c r="EH297" s="539"/>
      <c r="EI297" s="539"/>
      <c r="EJ297" s="539"/>
      <c r="EK297" s="539"/>
      <c r="EL297" s="539"/>
      <c r="EM297" s="539"/>
      <c r="EN297" s="539"/>
      <c r="EO297" s="539"/>
      <c r="EP297" s="539"/>
      <c r="EQ297" s="539"/>
      <c r="ER297" s="539"/>
      <c r="ES297" s="539"/>
      <c r="ET297" s="539"/>
      <c r="EU297" s="539"/>
      <c r="EV297" s="539"/>
      <c r="EW297" s="539"/>
      <c r="EX297" s="539"/>
      <c r="EY297" s="539"/>
      <c r="EZ297" s="539"/>
      <c r="FA297" s="539"/>
      <c r="FB297" s="539"/>
      <c r="FC297" s="539"/>
      <c r="FD297" s="539"/>
      <c r="FE297" s="539"/>
      <c r="FF297" s="539"/>
      <c r="FG297" s="539"/>
      <c r="FH297" s="539"/>
      <c r="FI297" s="539"/>
      <c r="FJ297" s="539"/>
      <c r="FK297" s="539"/>
      <c r="FL297" s="539"/>
      <c r="FM297" s="539"/>
      <c r="FN297" s="539"/>
      <c r="FO297" s="539"/>
      <c r="FP297" s="539"/>
      <c r="FQ297" s="539"/>
      <c r="FR297" s="539"/>
      <c r="FS297" s="539"/>
      <c r="FT297" s="539"/>
      <c r="FU297" s="539"/>
      <c r="FV297" s="539"/>
      <c r="FW297" s="539"/>
      <c r="FX297" s="539"/>
      <c r="FY297" s="539"/>
      <c r="FZ297" s="539"/>
      <c r="GA297" s="539"/>
      <c r="GB297" s="539"/>
      <c r="GC297" s="539"/>
      <c r="GD297" s="539"/>
      <c r="GE297" s="539"/>
      <c r="GF297" s="539"/>
      <c r="GG297" s="539"/>
      <c r="GH297" s="539"/>
      <c r="GI297" s="539"/>
      <c r="GJ297" s="539"/>
      <c r="GK297" s="539"/>
      <c r="GL297" s="539"/>
      <c r="GM297" s="539"/>
      <c r="GN297" s="539"/>
      <c r="GO297" s="539"/>
      <c r="GP297" s="539"/>
      <c r="GQ297" s="539"/>
      <c r="GR297" s="539"/>
      <c r="GS297" s="539"/>
      <c r="GT297" s="539"/>
      <c r="GU297" s="539"/>
      <c r="GV297" s="539"/>
      <c r="GW297" s="539"/>
      <c r="GX297" s="539"/>
      <c r="GY297" s="539"/>
      <c r="GZ297" s="539"/>
      <c r="HA297" s="539"/>
      <c r="HB297" s="539"/>
      <c r="HC297" s="539"/>
      <c r="HD297" s="539"/>
      <c r="HE297" s="539"/>
      <c r="HF297" s="539"/>
      <c r="HG297" s="539"/>
      <c r="HH297" s="539"/>
      <c r="HI297" s="539"/>
      <c r="HJ297" s="539"/>
      <c r="HK297" s="539"/>
      <c r="HL297" s="539"/>
      <c r="HM297" s="539"/>
      <c r="HN297" s="539"/>
      <c r="HO297" s="539"/>
      <c r="HP297" s="539"/>
      <c r="HQ297" s="539"/>
      <c r="HR297" s="539"/>
      <c r="HS297" s="539"/>
      <c r="HT297" s="539"/>
      <c r="HU297" s="539"/>
      <c r="HV297" s="539"/>
      <c r="HW297" s="539"/>
      <c r="HX297" s="539"/>
      <c r="HY297" s="539"/>
      <c r="HZ297" s="539"/>
      <c r="IA297" s="539"/>
      <c r="IB297" s="539"/>
      <c r="IC297" s="539"/>
      <c r="ID297" s="539"/>
      <c r="IE297" s="539"/>
      <c r="IF297" s="539"/>
      <c r="IG297" s="539"/>
      <c r="IH297" s="539"/>
      <c r="II297" s="539"/>
    </row>
    <row r="298" spans="1:243" s="664" customFormat="1" ht="16.5" customHeight="1">
      <c r="A298" s="539"/>
      <c r="B298" s="539"/>
      <c r="C298" s="539"/>
      <c r="D298" s="539"/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39"/>
      <c r="P298" s="539"/>
      <c r="Q298" s="539"/>
      <c r="R298" s="662"/>
      <c r="S298" s="662"/>
      <c r="T298" s="662"/>
      <c r="U298" s="662"/>
      <c r="V298" s="662"/>
      <c r="W298" s="662"/>
      <c r="X298" s="662"/>
      <c r="Y298" s="668"/>
      <c r="Z298" s="668"/>
      <c r="AA298" s="666"/>
      <c r="AB298" s="1651"/>
      <c r="AC298" s="1678"/>
      <c r="AD298" s="1678"/>
      <c r="AE298" s="1678"/>
      <c r="AF298" s="1678"/>
      <c r="AG298" s="2934" t="s">
        <v>335</v>
      </c>
      <c r="AH298" s="2935"/>
      <c r="AI298" s="2936"/>
      <c r="AJ298" s="2987"/>
      <c r="AK298" s="2988"/>
      <c r="AL298" s="2988"/>
      <c r="AM298" s="2989"/>
      <c r="AN298" s="1659"/>
      <c r="AO298" s="1680"/>
      <c r="AP298" s="1727"/>
      <c r="AQ298" s="1660"/>
      <c r="AR298" s="2940" t="s">
        <v>407</v>
      </c>
      <c r="AS298" s="2960"/>
      <c r="AT298" s="2941"/>
      <c r="AU298" s="2961" t="s">
        <v>2899</v>
      </c>
      <c r="AV298" s="2962"/>
      <c r="AW298" s="2962"/>
      <c r="AX298" s="2963"/>
      <c r="AY298" s="1660"/>
      <c r="AZ298" s="1661"/>
      <c r="BA298" s="667"/>
      <c r="BB298" s="1651"/>
      <c r="BC298" s="1678"/>
      <c r="BD298" s="1678"/>
      <c r="BE298" s="1678"/>
      <c r="BF298" s="1678"/>
      <c r="BG298" s="2934"/>
      <c r="BH298" s="2935"/>
      <c r="BI298" s="2936"/>
      <c r="BJ298" s="2987"/>
      <c r="BK298" s="2988"/>
      <c r="BL298" s="2988"/>
      <c r="BM298" s="2989"/>
      <c r="BN298" s="1659"/>
      <c r="BO298" s="1680"/>
      <c r="BP298" s="1727"/>
      <c r="BQ298" s="1660"/>
      <c r="BR298" s="2940"/>
      <c r="BS298" s="2960"/>
      <c r="BT298" s="2941"/>
      <c r="BU298" s="2961"/>
      <c r="BV298" s="2962"/>
      <c r="BW298" s="2962"/>
      <c r="BX298" s="2963"/>
      <c r="BY298" s="1660"/>
      <c r="BZ298" s="1661"/>
      <c r="CA298" s="667"/>
      <c r="CB298" s="1651"/>
      <c r="CC298" s="1678"/>
      <c r="CD298" s="1678"/>
      <c r="CE298" s="1678"/>
      <c r="CF298" s="1678"/>
      <c r="CG298" s="2934"/>
      <c r="CH298" s="2935"/>
      <c r="CI298" s="2936"/>
      <c r="CJ298" s="2987"/>
      <c r="CK298" s="2988"/>
      <c r="CL298" s="2988"/>
      <c r="CM298" s="2989"/>
      <c r="CN298" s="1659"/>
      <c r="CO298" s="1680"/>
      <c r="CP298" s="1727"/>
      <c r="CQ298" s="1660"/>
      <c r="CR298" s="2940"/>
      <c r="CS298" s="2960"/>
      <c r="CT298" s="2941"/>
      <c r="CU298" s="2961"/>
      <c r="CV298" s="2962"/>
      <c r="CW298" s="2962"/>
      <c r="CX298" s="2963"/>
      <c r="CY298" s="1660"/>
      <c r="CZ298" s="1661"/>
      <c r="DA298" s="667"/>
      <c r="DB298" s="1651"/>
      <c r="DC298" s="1678"/>
      <c r="DD298" s="1678"/>
      <c r="DE298" s="1678"/>
      <c r="DF298" s="1678"/>
      <c r="DG298" s="2934"/>
      <c r="DH298" s="2935"/>
      <c r="DI298" s="2936"/>
      <c r="DJ298" s="2987"/>
      <c r="DK298" s="2988"/>
      <c r="DL298" s="2988"/>
      <c r="DM298" s="2989"/>
      <c r="DN298" s="1659"/>
      <c r="DO298" s="1680"/>
      <c r="DP298" s="1727"/>
      <c r="DQ298" s="1660"/>
      <c r="DR298" s="2940"/>
      <c r="DS298" s="2960"/>
      <c r="DT298" s="2941"/>
      <c r="DU298" s="2961"/>
      <c r="DV298" s="2962"/>
      <c r="DW298" s="2962"/>
      <c r="DX298" s="2963"/>
      <c r="DY298" s="1660"/>
      <c r="DZ298" s="1661"/>
      <c r="EA298" s="539"/>
      <c r="EB298" s="539"/>
      <c r="EC298" s="539"/>
      <c r="ED298" s="539"/>
      <c r="EE298" s="539"/>
      <c r="EF298" s="539"/>
      <c r="EG298" s="539"/>
      <c r="EH298" s="539"/>
      <c r="EI298" s="539"/>
      <c r="EJ298" s="539"/>
      <c r="EK298" s="539"/>
      <c r="EL298" s="539"/>
      <c r="EM298" s="539"/>
      <c r="EN298" s="539"/>
      <c r="EO298" s="539"/>
      <c r="EP298" s="539"/>
      <c r="EQ298" s="539"/>
      <c r="ER298" s="539"/>
      <c r="ES298" s="539"/>
      <c r="ET298" s="539"/>
      <c r="EU298" s="539"/>
      <c r="EV298" s="539"/>
      <c r="EW298" s="539"/>
      <c r="EX298" s="539"/>
      <c r="EY298" s="539"/>
      <c r="EZ298" s="539"/>
      <c r="FA298" s="539"/>
      <c r="FB298" s="539"/>
      <c r="FC298" s="539"/>
      <c r="FD298" s="539"/>
      <c r="FE298" s="539"/>
      <c r="FF298" s="539"/>
      <c r="FG298" s="539"/>
      <c r="FH298" s="539"/>
      <c r="FI298" s="539"/>
      <c r="FJ298" s="539"/>
      <c r="FK298" s="539"/>
      <c r="FL298" s="539"/>
      <c r="FM298" s="539"/>
      <c r="FN298" s="539"/>
      <c r="FO298" s="539"/>
      <c r="FP298" s="539"/>
      <c r="FQ298" s="539"/>
      <c r="FR298" s="539"/>
      <c r="FS298" s="539"/>
      <c r="FT298" s="539"/>
      <c r="FU298" s="539"/>
      <c r="FV298" s="539"/>
      <c r="FW298" s="539"/>
      <c r="FX298" s="539"/>
      <c r="FY298" s="539"/>
      <c r="FZ298" s="539"/>
      <c r="GA298" s="539"/>
      <c r="GB298" s="539"/>
      <c r="GC298" s="539"/>
      <c r="GD298" s="539"/>
      <c r="GE298" s="539"/>
      <c r="GF298" s="539"/>
      <c r="GG298" s="539"/>
      <c r="GH298" s="539"/>
      <c r="GI298" s="539"/>
      <c r="GJ298" s="539"/>
      <c r="GK298" s="539"/>
      <c r="GL298" s="539"/>
      <c r="GM298" s="539"/>
      <c r="GN298" s="539"/>
      <c r="GO298" s="539"/>
      <c r="GP298" s="539"/>
      <c r="GQ298" s="539"/>
      <c r="GR298" s="539"/>
      <c r="GS298" s="539"/>
      <c r="GT298" s="539"/>
      <c r="GU298" s="539"/>
      <c r="GV298" s="539"/>
      <c r="GW298" s="539"/>
      <c r="GX298" s="539"/>
      <c r="GY298" s="539"/>
      <c r="GZ298" s="539"/>
      <c r="HA298" s="539"/>
      <c r="HB298" s="539"/>
      <c r="HC298" s="539"/>
      <c r="HD298" s="539"/>
      <c r="HE298" s="539"/>
      <c r="HF298" s="539"/>
      <c r="HG298" s="539"/>
      <c r="HH298" s="539"/>
      <c r="HI298" s="539"/>
      <c r="HJ298" s="539"/>
      <c r="HK298" s="539"/>
      <c r="HL298" s="539"/>
      <c r="HM298" s="539"/>
      <c r="HN298" s="539"/>
      <c r="HO298" s="539"/>
      <c r="HP298" s="539"/>
      <c r="HQ298" s="539"/>
      <c r="HR298" s="539"/>
      <c r="HS298" s="539"/>
      <c r="HT298" s="539"/>
      <c r="HU298" s="539"/>
      <c r="HV298" s="539"/>
      <c r="HW298" s="539"/>
      <c r="HX298" s="539"/>
      <c r="HY298" s="539"/>
      <c r="HZ298" s="539"/>
      <c r="IA298" s="539"/>
      <c r="IB298" s="539"/>
      <c r="IC298" s="539"/>
      <c r="ID298" s="539"/>
      <c r="IE298" s="539"/>
      <c r="IF298" s="539"/>
      <c r="IG298" s="539"/>
      <c r="IH298" s="539"/>
      <c r="II298" s="539"/>
    </row>
    <row r="299" spans="1:243" s="664" customFormat="1" ht="12" customHeight="1">
      <c r="A299" s="539"/>
      <c r="B299" s="539"/>
      <c r="C299" s="539"/>
      <c r="D299" s="539"/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39"/>
      <c r="P299" s="539"/>
      <c r="Q299" s="539"/>
      <c r="R299" s="662"/>
      <c r="S299" s="662"/>
      <c r="T299" s="662"/>
      <c r="U299" s="662"/>
      <c r="V299" s="662"/>
      <c r="W299" s="662"/>
      <c r="X299" s="662"/>
      <c r="Y299" s="663"/>
      <c r="Z299" s="663"/>
      <c r="AA299" s="539"/>
      <c r="AB299" s="1743"/>
      <c r="AC299" s="1682"/>
      <c r="AD299" s="1682"/>
      <c r="AE299" s="1682"/>
      <c r="AF299" s="1682"/>
      <c r="AG299" s="1682"/>
      <c r="AH299" s="2942" t="str">
        <f>IF(AG298&lt;&gt;"",AG298&amp;"SM","")</f>
        <v>7SM</v>
      </c>
      <c r="AI299" s="2942"/>
      <c r="AJ299" s="2942"/>
      <c r="AK299" s="2942" t="str">
        <f>IF(OR(AJ298="NONE",AJ298=""),"",AJ298)</f>
        <v/>
      </c>
      <c r="AL299" s="2942"/>
      <c r="AM299" s="2942"/>
      <c r="AN299" s="2970"/>
      <c r="AO299" s="1683"/>
      <c r="AP299" s="1728"/>
      <c r="AQ299" s="1652"/>
      <c r="AR299" s="1652"/>
      <c r="AS299" s="1652"/>
      <c r="AT299" s="3007" t="str">
        <f>IF(AND(AR298="",AND(AK299&lt;&gt;"",AG298&lt;&gt;"7"),OR(AU298="NONE",AU298="NSW")),"7SM",IF(OR(AR298=AG298,AR298=""),"",CONCATENATE(AR298,"SM")))</f>
        <v>3SM</v>
      </c>
      <c r="AU299" s="3007"/>
      <c r="AV299" s="3007"/>
      <c r="AW299" s="2953" t="str">
        <f>IF(OR(AND(OR(AU298="NSW",AU298="NONE"),AK299&lt;&gt;""),AND(AT299="7SM",OR(AU298="NONE",AU298="NSW",AND(AU298="",AK299&lt;&gt;"")))),"NSW",IF(OR(AU298="",AU298="NONE",AU298="NSW",AND(AU298=AJ298,OR(AR298=AG298,AR298=""))),"",AU298))</f>
        <v>TSRA</v>
      </c>
      <c r="AX299" s="2954"/>
      <c r="AY299" s="2954"/>
      <c r="AZ299" s="2955"/>
      <c r="BA299" s="665"/>
      <c r="BB299" s="1743"/>
      <c r="BC299" s="1682"/>
      <c r="BD299" s="1682"/>
      <c r="BE299" s="1682"/>
      <c r="BF299" s="1682"/>
      <c r="BG299" s="1682"/>
      <c r="BH299" s="2942" t="str">
        <f>IF(BG298&lt;&gt;"",BG298&amp;"SM","")</f>
        <v/>
      </c>
      <c r="BI299" s="2942"/>
      <c r="BJ299" s="2942"/>
      <c r="BK299" s="2942" t="str">
        <f>IF(OR(BJ298="NONE",BJ298=""),"",BJ298)</f>
        <v/>
      </c>
      <c r="BL299" s="2942"/>
      <c r="BM299" s="2942"/>
      <c r="BN299" s="2970"/>
      <c r="BO299" s="1683"/>
      <c r="BP299" s="1728"/>
      <c r="BQ299" s="1652"/>
      <c r="BR299" s="1652"/>
      <c r="BS299" s="1652"/>
      <c r="BT299" s="3007" t="str">
        <f>IF(AND(BR298="",AND(BK299&lt;&gt;"",BG298&lt;&gt;"7"),OR(BU298="NONE",BU298="NSW")),"7SM",IF(OR(BR298=BG298,BR298=""),"",CONCATENATE(BR298,"SM")))</f>
        <v/>
      </c>
      <c r="BU299" s="3007"/>
      <c r="BV299" s="3007"/>
      <c r="BW299" s="2953" t="str">
        <f>IF(OR(AND(OR(BU298="NSW",BU298="NONE"),BK299&lt;&gt;""),AND(BT299="7SM",OR(BU298="NONE",BU298="NSW",AND(BU298="",BK299&lt;&gt;"")))),"NSW",IF(OR(BU298="",BU298="NONE",BU298="NSW",AND(BU298=BJ298,OR(BR298=BG298,BR298=""))),"",BU298))</f>
        <v/>
      </c>
      <c r="BX299" s="2954"/>
      <c r="BY299" s="2954"/>
      <c r="BZ299" s="2955"/>
      <c r="CA299" s="665"/>
      <c r="CB299" s="1743"/>
      <c r="CC299" s="1682"/>
      <c r="CD299" s="1682"/>
      <c r="CE299" s="1682"/>
      <c r="CF299" s="1682"/>
      <c r="CG299" s="1682"/>
      <c r="CH299" s="2942" t="str">
        <f>IF(CG298&lt;&gt;"",CG298&amp;"SM","")</f>
        <v/>
      </c>
      <c r="CI299" s="2942"/>
      <c r="CJ299" s="2942"/>
      <c r="CK299" s="2942" t="str">
        <f>IF(OR(CJ298="NONE",CJ298=""),"",CJ298)</f>
        <v/>
      </c>
      <c r="CL299" s="2942"/>
      <c r="CM299" s="2942"/>
      <c r="CN299" s="2970"/>
      <c r="CO299" s="1683"/>
      <c r="CP299" s="1728"/>
      <c r="CQ299" s="1652"/>
      <c r="CR299" s="1652"/>
      <c r="CS299" s="1652"/>
      <c r="CT299" s="3007" t="str">
        <f>IF(AND(CR298="",AND(CK299&lt;&gt;"",CG298&lt;&gt;"7"),OR(CU298="NONE",CU298="NSW")),"7SM",IF(OR(CR298=CG298,CR298=""),"",CONCATENATE(CR298,"SM")))</f>
        <v/>
      </c>
      <c r="CU299" s="3007"/>
      <c r="CV299" s="3007"/>
      <c r="CW299" s="2953" t="str">
        <f>IF(OR(AND(OR(CU298="NSW",CU298="NONE"),CK299&lt;&gt;""),AND(CT299="7SM",OR(CU298="NONE",CU298="NSW",AND(CU298="",CK299&lt;&gt;"")))),"NSW",IF(OR(CU298="",CU298="NONE",CU298="NSW",AND(CU298=CJ298,OR(CR298=CG298,CR298=""))),"",CU298))</f>
        <v/>
      </c>
      <c r="CX299" s="2954"/>
      <c r="CY299" s="2954"/>
      <c r="CZ299" s="2955"/>
      <c r="DA299" s="665"/>
      <c r="DB299" s="1743"/>
      <c r="DC299" s="1682"/>
      <c r="DD299" s="1682"/>
      <c r="DE299" s="1682"/>
      <c r="DF299" s="1682"/>
      <c r="DG299" s="1682"/>
      <c r="DH299" s="2942" t="str">
        <f>IF(DG298&lt;&gt;"",DG298&amp;"SM","")</f>
        <v/>
      </c>
      <c r="DI299" s="2942"/>
      <c r="DJ299" s="2942"/>
      <c r="DK299" s="2942" t="str">
        <f>IF(OR(DJ298="NONE",DJ298=""),"",DJ298)</f>
        <v/>
      </c>
      <c r="DL299" s="2942"/>
      <c r="DM299" s="2942"/>
      <c r="DN299" s="2970"/>
      <c r="DO299" s="1683"/>
      <c r="DP299" s="1728"/>
      <c r="DQ299" s="1652"/>
      <c r="DR299" s="1652"/>
      <c r="DS299" s="1652"/>
      <c r="DT299" s="3007" t="str">
        <f>IF(AND(DR298="",AND(DK299&lt;&gt;"",DG298&lt;&gt;"7"),OR(DU298="NONE",DU298="NSW")),"7SM",IF(OR(DR298=DG298,DR298=""),"",CONCATENATE(DR298,"SM")))</f>
        <v/>
      </c>
      <c r="DU299" s="3007"/>
      <c r="DV299" s="3007"/>
      <c r="DW299" s="2953" t="str">
        <f>IF(OR(AND(OR(DU298="NSW",DU298="NONE"),DK299&lt;&gt;""),AND(DT299="7SM",OR(DU298="NONE",DU298="NSW",AND(DU298="",DK299&lt;&gt;"")))),"NSW",IF(OR(DU298="",DU298="NONE",DU298="NSW",AND(DU298=DJ298,OR(DR298=DG298,DR298=""))),"",DU298))</f>
        <v/>
      </c>
      <c r="DX299" s="2954"/>
      <c r="DY299" s="2954"/>
      <c r="DZ299" s="2955"/>
      <c r="EA299" s="539"/>
      <c r="EB299" s="539"/>
      <c r="EC299" s="539"/>
      <c r="ED299" s="539"/>
      <c r="EE299" s="539"/>
      <c r="EF299" s="539"/>
      <c r="EG299" s="539"/>
      <c r="EH299" s="539"/>
      <c r="EI299" s="539"/>
      <c r="EJ299" s="539"/>
      <c r="EK299" s="539"/>
      <c r="EL299" s="539"/>
      <c r="EM299" s="539"/>
      <c r="EN299" s="539"/>
      <c r="EO299" s="539"/>
      <c r="EP299" s="539"/>
      <c r="EQ299" s="539"/>
      <c r="ER299" s="539"/>
      <c r="ES299" s="539"/>
      <c r="ET299" s="539"/>
      <c r="EU299" s="539"/>
      <c r="EV299" s="539"/>
      <c r="EW299" s="539"/>
      <c r="EX299" s="539"/>
      <c r="EY299" s="539"/>
      <c r="EZ299" s="539"/>
      <c r="FA299" s="539"/>
      <c r="FB299" s="539"/>
      <c r="FC299" s="539"/>
      <c r="FD299" s="539"/>
      <c r="FE299" s="539"/>
      <c r="FF299" s="539"/>
      <c r="FG299" s="539"/>
      <c r="FH299" s="539"/>
      <c r="FI299" s="539"/>
      <c r="FJ299" s="539"/>
      <c r="FK299" s="539"/>
      <c r="FL299" s="539"/>
      <c r="FM299" s="539"/>
      <c r="FN299" s="539"/>
      <c r="FO299" s="539"/>
      <c r="FP299" s="539"/>
      <c r="FQ299" s="539"/>
      <c r="FR299" s="539"/>
      <c r="FS299" s="539"/>
      <c r="FT299" s="539"/>
      <c r="FU299" s="539"/>
      <c r="FV299" s="539"/>
      <c r="FW299" s="539"/>
      <c r="FX299" s="539"/>
      <c r="FY299" s="539"/>
      <c r="FZ299" s="539"/>
      <c r="GA299" s="539"/>
      <c r="GB299" s="539"/>
      <c r="GC299" s="539"/>
      <c r="GD299" s="539"/>
      <c r="GE299" s="539"/>
      <c r="GF299" s="539"/>
      <c r="GG299" s="539"/>
      <c r="GH299" s="539"/>
      <c r="GI299" s="539"/>
      <c r="GJ299" s="539"/>
      <c r="GK299" s="539"/>
      <c r="GL299" s="539"/>
      <c r="GM299" s="539"/>
      <c r="GN299" s="539"/>
      <c r="GO299" s="539"/>
      <c r="GP299" s="539"/>
      <c r="GQ299" s="539"/>
      <c r="GR299" s="539"/>
      <c r="GS299" s="539"/>
      <c r="GT299" s="539"/>
      <c r="GU299" s="539"/>
      <c r="GV299" s="539"/>
      <c r="GW299" s="539"/>
      <c r="GX299" s="539"/>
      <c r="GY299" s="539"/>
      <c r="GZ299" s="539"/>
      <c r="HA299" s="539"/>
      <c r="HB299" s="539"/>
      <c r="HC299" s="539"/>
      <c r="HD299" s="539"/>
      <c r="HE299" s="539"/>
      <c r="HF299" s="539"/>
      <c r="HG299" s="539"/>
      <c r="HH299" s="539"/>
      <c r="HI299" s="539"/>
      <c r="HJ299" s="539"/>
      <c r="HK299" s="539"/>
      <c r="HL299" s="539"/>
      <c r="HM299" s="539"/>
      <c r="HN299" s="539"/>
      <c r="HO299" s="539"/>
      <c r="HP299" s="539"/>
      <c r="HQ299" s="539"/>
      <c r="HR299" s="539"/>
      <c r="HS299" s="539"/>
      <c r="HT299" s="539"/>
      <c r="HU299" s="539"/>
      <c r="HV299" s="539"/>
      <c r="HW299" s="539"/>
      <c r="HX299" s="539"/>
      <c r="HY299" s="539"/>
      <c r="HZ299" s="539"/>
      <c r="IA299" s="539"/>
      <c r="IB299" s="539"/>
      <c r="IC299" s="539"/>
      <c r="ID299" s="539"/>
      <c r="IE299" s="539"/>
      <c r="IF299" s="539"/>
      <c r="IG299" s="539"/>
      <c r="IH299" s="539"/>
      <c r="II299" s="539"/>
    </row>
    <row r="300" spans="1:243" s="664" customFormat="1" ht="18" customHeight="1">
      <c r="A300" s="539"/>
      <c r="B300" s="539"/>
      <c r="C300" s="539"/>
      <c r="D300" s="539"/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39"/>
      <c r="P300" s="539"/>
      <c r="Q300" s="539"/>
      <c r="R300" s="662"/>
      <c r="S300" s="662"/>
      <c r="T300" s="662"/>
      <c r="U300" s="662"/>
      <c r="V300" s="662"/>
      <c r="W300" s="662"/>
      <c r="X300" s="662"/>
      <c r="Y300" s="663"/>
      <c r="Z300" s="663"/>
      <c r="AA300" s="539"/>
      <c r="AB300" s="1692" t="s">
        <v>336</v>
      </c>
      <c r="AC300" s="1693"/>
      <c r="AD300" s="1694"/>
      <c r="AE300" s="1694"/>
      <c r="AF300" s="2971" t="s">
        <v>337</v>
      </c>
      <c r="AG300" s="2971"/>
      <c r="AH300" s="2971"/>
      <c r="AI300" s="2971" t="s">
        <v>338</v>
      </c>
      <c r="AJ300" s="2971"/>
      <c r="AK300" s="2971" t="s">
        <v>339</v>
      </c>
      <c r="AL300" s="2971"/>
      <c r="AM300" s="2948" t="s">
        <v>340</v>
      </c>
      <c r="AN300" s="2948"/>
      <c r="AO300" s="1695"/>
      <c r="AP300" s="1729"/>
      <c r="AQ300" s="2956" t="s">
        <v>337</v>
      </c>
      <c r="AR300" s="2956"/>
      <c r="AS300" s="2956"/>
      <c r="AT300" s="2956" t="s">
        <v>338</v>
      </c>
      <c r="AU300" s="2956"/>
      <c r="AV300" s="2956" t="s">
        <v>339</v>
      </c>
      <c r="AW300" s="2956"/>
      <c r="AX300" s="1720" t="s">
        <v>340</v>
      </c>
      <c r="AY300" s="1721"/>
      <c r="AZ300" s="1653"/>
      <c r="BA300" s="667"/>
      <c r="BB300" s="1692" t="s">
        <v>336</v>
      </c>
      <c r="BC300" s="1693"/>
      <c r="BD300" s="1694"/>
      <c r="BE300" s="1694"/>
      <c r="BF300" s="2971" t="s">
        <v>337</v>
      </c>
      <c r="BG300" s="2971"/>
      <c r="BH300" s="2971"/>
      <c r="BI300" s="2971" t="s">
        <v>338</v>
      </c>
      <c r="BJ300" s="2971"/>
      <c r="BK300" s="2971" t="s">
        <v>339</v>
      </c>
      <c r="BL300" s="2971"/>
      <c r="BM300" s="2948" t="s">
        <v>340</v>
      </c>
      <c r="BN300" s="2948"/>
      <c r="BO300" s="1695"/>
      <c r="BP300" s="1729"/>
      <c r="BQ300" s="2956" t="s">
        <v>337</v>
      </c>
      <c r="BR300" s="2956"/>
      <c r="BS300" s="2956"/>
      <c r="BT300" s="2956" t="s">
        <v>338</v>
      </c>
      <c r="BU300" s="2956"/>
      <c r="BV300" s="2956" t="s">
        <v>339</v>
      </c>
      <c r="BW300" s="2956"/>
      <c r="BX300" s="1720" t="s">
        <v>340</v>
      </c>
      <c r="BY300" s="1721"/>
      <c r="BZ300" s="1653"/>
      <c r="CA300" s="665"/>
      <c r="CB300" s="1692" t="s">
        <v>336</v>
      </c>
      <c r="CC300" s="1693"/>
      <c r="CD300" s="1694"/>
      <c r="CE300" s="1694"/>
      <c r="CF300" s="2971" t="s">
        <v>337</v>
      </c>
      <c r="CG300" s="2971"/>
      <c r="CH300" s="2971"/>
      <c r="CI300" s="2971" t="s">
        <v>338</v>
      </c>
      <c r="CJ300" s="2971"/>
      <c r="CK300" s="2971" t="s">
        <v>339</v>
      </c>
      <c r="CL300" s="2971"/>
      <c r="CM300" s="2948" t="s">
        <v>340</v>
      </c>
      <c r="CN300" s="2948"/>
      <c r="CO300" s="1695"/>
      <c r="CP300" s="1729"/>
      <c r="CQ300" s="2956" t="s">
        <v>337</v>
      </c>
      <c r="CR300" s="2956"/>
      <c r="CS300" s="2956"/>
      <c r="CT300" s="2956" t="s">
        <v>338</v>
      </c>
      <c r="CU300" s="2956"/>
      <c r="CV300" s="2956" t="s">
        <v>339</v>
      </c>
      <c r="CW300" s="2956"/>
      <c r="CX300" s="1720" t="s">
        <v>340</v>
      </c>
      <c r="CY300" s="1721"/>
      <c r="CZ300" s="1653"/>
      <c r="DA300" s="665"/>
      <c r="DB300" s="1692" t="s">
        <v>336</v>
      </c>
      <c r="DC300" s="1693"/>
      <c r="DD300" s="1694"/>
      <c r="DE300" s="1694"/>
      <c r="DF300" s="2971" t="s">
        <v>337</v>
      </c>
      <c r="DG300" s="2971"/>
      <c r="DH300" s="2971"/>
      <c r="DI300" s="2971" t="s">
        <v>338</v>
      </c>
      <c r="DJ300" s="2971"/>
      <c r="DK300" s="2971" t="s">
        <v>339</v>
      </c>
      <c r="DL300" s="2971"/>
      <c r="DM300" s="2948" t="s">
        <v>340</v>
      </c>
      <c r="DN300" s="2948"/>
      <c r="DO300" s="1695"/>
      <c r="DP300" s="1729"/>
      <c r="DQ300" s="2956" t="s">
        <v>337</v>
      </c>
      <c r="DR300" s="2956"/>
      <c r="DS300" s="2956"/>
      <c r="DT300" s="2956" t="s">
        <v>338</v>
      </c>
      <c r="DU300" s="2956"/>
      <c r="DV300" s="2956" t="s">
        <v>339</v>
      </c>
      <c r="DW300" s="2956"/>
      <c r="DX300" s="1720" t="s">
        <v>340</v>
      </c>
      <c r="DY300" s="1721"/>
      <c r="DZ300" s="1653"/>
      <c r="EA300" s="539"/>
      <c r="EB300" s="539"/>
      <c r="EC300" s="539"/>
      <c r="ED300" s="539"/>
      <c r="EE300" s="539"/>
      <c r="EF300" s="539"/>
      <c r="EG300" s="539"/>
      <c r="EH300" s="539"/>
      <c r="EI300" s="539"/>
      <c r="EJ300" s="539"/>
      <c r="EK300" s="539"/>
      <c r="EL300" s="539"/>
      <c r="EM300" s="539"/>
      <c r="EN300" s="539"/>
      <c r="EO300" s="539"/>
      <c r="EP300" s="539"/>
      <c r="EQ300" s="539"/>
      <c r="ER300" s="539"/>
      <c r="ES300" s="539"/>
      <c r="ET300" s="539"/>
      <c r="EU300" s="539"/>
      <c r="EV300" s="539"/>
      <c r="EW300" s="539"/>
      <c r="EX300" s="539"/>
      <c r="EY300" s="539"/>
      <c r="EZ300" s="539"/>
      <c r="FA300" s="539"/>
      <c r="FB300" s="539"/>
      <c r="FC300" s="539"/>
      <c r="FD300" s="539"/>
      <c r="FE300" s="539"/>
      <c r="FF300" s="539"/>
      <c r="FG300" s="539"/>
      <c r="FH300" s="539"/>
      <c r="FI300" s="539"/>
      <c r="FJ300" s="539"/>
      <c r="FK300" s="539"/>
      <c r="FL300" s="539"/>
      <c r="FM300" s="539"/>
      <c r="FN300" s="539"/>
      <c r="FO300" s="539"/>
      <c r="FP300" s="539"/>
      <c r="FQ300" s="539"/>
      <c r="FR300" s="539"/>
      <c r="FS300" s="539"/>
      <c r="FT300" s="539"/>
      <c r="FU300" s="539"/>
      <c r="FV300" s="539"/>
      <c r="FW300" s="539"/>
      <c r="FX300" s="539"/>
      <c r="FY300" s="539"/>
      <c r="FZ300" s="539"/>
      <c r="GA300" s="539"/>
      <c r="GB300" s="539"/>
      <c r="GC300" s="539"/>
      <c r="GD300" s="539"/>
      <c r="GE300" s="539"/>
      <c r="GF300" s="539"/>
      <c r="GG300" s="539"/>
      <c r="GH300" s="539"/>
      <c r="GI300" s="539"/>
      <c r="GJ300" s="539"/>
      <c r="GK300" s="539"/>
      <c r="GL300" s="539"/>
      <c r="GM300" s="539"/>
      <c r="GN300" s="539"/>
      <c r="GO300" s="539"/>
      <c r="GP300" s="539"/>
      <c r="GQ300" s="539"/>
      <c r="GR300" s="539"/>
      <c r="GS300" s="539"/>
      <c r="GT300" s="539"/>
      <c r="GU300" s="539"/>
      <c r="GV300" s="539"/>
      <c r="GW300" s="539"/>
      <c r="GX300" s="539"/>
      <c r="GY300" s="539"/>
      <c r="GZ300" s="539"/>
      <c r="HA300" s="539"/>
      <c r="HB300" s="539"/>
      <c r="HC300" s="539"/>
      <c r="HD300" s="539"/>
      <c r="HE300" s="539"/>
      <c r="HF300" s="539"/>
      <c r="HG300" s="539"/>
      <c r="HH300" s="539"/>
      <c r="HI300" s="539"/>
      <c r="HJ300" s="539"/>
      <c r="HK300" s="539"/>
      <c r="HL300" s="539"/>
      <c r="HM300" s="539"/>
      <c r="HN300" s="539"/>
      <c r="HO300" s="539"/>
      <c r="HP300" s="539"/>
      <c r="HQ300" s="539"/>
      <c r="HR300" s="539"/>
      <c r="HS300" s="539"/>
      <c r="HT300" s="539"/>
      <c r="HU300" s="539"/>
      <c r="HV300" s="539"/>
      <c r="HW300" s="539"/>
      <c r="HX300" s="539"/>
      <c r="HY300" s="539"/>
      <c r="HZ300" s="539"/>
      <c r="IA300" s="539"/>
      <c r="IB300" s="539"/>
      <c r="IC300" s="539"/>
      <c r="ID300" s="539"/>
      <c r="IE300" s="539"/>
      <c r="IF300" s="539"/>
      <c r="IG300" s="539"/>
      <c r="IH300" s="539"/>
      <c r="II300" s="539"/>
    </row>
    <row r="301" spans="1:243" s="673" customFormat="1" ht="16.5" customHeight="1">
      <c r="A301" s="670"/>
      <c r="B301" s="670"/>
      <c r="C301" s="670"/>
      <c r="D301" s="670"/>
      <c r="E301" s="670"/>
      <c r="F301" s="670"/>
      <c r="G301" s="670"/>
      <c r="H301" s="670"/>
      <c r="I301" s="670"/>
      <c r="J301" s="670"/>
      <c r="K301" s="670"/>
      <c r="L301" s="670"/>
      <c r="M301" s="670"/>
      <c r="N301" s="670"/>
      <c r="O301" s="670"/>
      <c r="P301" s="670"/>
      <c r="Q301" s="670"/>
      <c r="R301" s="662"/>
      <c r="S301" s="662"/>
      <c r="T301" s="662"/>
      <c r="U301" s="662"/>
      <c r="V301" s="662"/>
      <c r="W301" s="662"/>
      <c r="X301" s="662"/>
      <c r="Y301" s="668"/>
      <c r="Z301" s="668"/>
      <c r="AA301" s="670"/>
      <c r="AB301" s="2980" t="s">
        <v>341</v>
      </c>
      <c r="AC301" s="2981"/>
      <c r="AD301" s="2981"/>
      <c r="AE301" s="2981"/>
      <c r="AF301" s="2934" t="s">
        <v>464</v>
      </c>
      <c r="AG301" s="2935"/>
      <c r="AH301" s="2936"/>
      <c r="AI301" s="2946">
        <v>40</v>
      </c>
      <c r="AJ301" s="2947"/>
      <c r="AK301" s="2946">
        <v>50</v>
      </c>
      <c r="AL301" s="2947"/>
      <c r="AM301" s="2940"/>
      <c r="AN301" s="2941"/>
      <c r="AO301" s="1702"/>
      <c r="AP301" s="1730"/>
      <c r="AQ301" s="2940" t="s">
        <v>342</v>
      </c>
      <c r="AR301" s="2960"/>
      <c r="AS301" s="2941"/>
      <c r="AT301" s="2957">
        <v>40</v>
      </c>
      <c r="AU301" s="2958"/>
      <c r="AV301" s="2957"/>
      <c r="AW301" s="2958"/>
      <c r="AX301" s="2978"/>
      <c r="AY301" s="2979"/>
      <c r="AZ301" s="1656"/>
      <c r="BA301" s="671"/>
      <c r="BB301" s="2980" t="s">
        <v>341</v>
      </c>
      <c r="BC301" s="2981"/>
      <c r="BD301" s="2981"/>
      <c r="BE301" s="2981"/>
      <c r="BF301" s="2934"/>
      <c r="BG301" s="2935"/>
      <c r="BH301" s="2936"/>
      <c r="BI301" s="2946"/>
      <c r="BJ301" s="2947"/>
      <c r="BK301" s="2946"/>
      <c r="BL301" s="2947"/>
      <c r="BM301" s="2940"/>
      <c r="BN301" s="2941"/>
      <c r="BO301" s="1702"/>
      <c r="BP301" s="1730"/>
      <c r="BQ301" s="2940"/>
      <c r="BR301" s="2960"/>
      <c r="BS301" s="2941"/>
      <c r="BT301" s="2957"/>
      <c r="BU301" s="2958"/>
      <c r="BV301" s="2957"/>
      <c r="BW301" s="2958"/>
      <c r="BX301" s="2978"/>
      <c r="BY301" s="2979"/>
      <c r="BZ301" s="1656"/>
      <c r="CA301" s="672"/>
      <c r="CB301" s="2980" t="s">
        <v>341</v>
      </c>
      <c r="CC301" s="2981"/>
      <c r="CD301" s="2981"/>
      <c r="CE301" s="2981"/>
      <c r="CF301" s="2934"/>
      <c r="CG301" s="2935"/>
      <c r="CH301" s="2936"/>
      <c r="CI301" s="2946"/>
      <c r="CJ301" s="2947"/>
      <c r="CK301" s="2946"/>
      <c r="CL301" s="2947"/>
      <c r="CM301" s="2940"/>
      <c r="CN301" s="2941"/>
      <c r="CO301" s="1702"/>
      <c r="CP301" s="1730"/>
      <c r="CQ301" s="2940"/>
      <c r="CR301" s="2960"/>
      <c r="CS301" s="2941"/>
      <c r="CT301" s="2957"/>
      <c r="CU301" s="2958"/>
      <c r="CV301" s="2957"/>
      <c r="CW301" s="2958"/>
      <c r="CX301" s="2978"/>
      <c r="CY301" s="2979"/>
      <c r="CZ301" s="1656"/>
      <c r="DA301" s="672"/>
      <c r="DB301" s="2980" t="s">
        <v>341</v>
      </c>
      <c r="DC301" s="2981"/>
      <c r="DD301" s="2981"/>
      <c r="DE301" s="2981"/>
      <c r="DF301" s="2934"/>
      <c r="DG301" s="2935"/>
      <c r="DH301" s="2936"/>
      <c r="DI301" s="2946"/>
      <c r="DJ301" s="2947"/>
      <c r="DK301" s="2946"/>
      <c r="DL301" s="2947"/>
      <c r="DM301" s="2940"/>
      <c r="DN301" s="2941"/>
      <c r="DO301" s="1702"/>
      <c r="DP301" s="1730"/>
      <c r="DQ301" s="2940"/>
      <c r="DR301" s="2960"/>
      <c r="DS301" s="2941"/>
      <c r="DT301" s="2957"/>
      <c r="DU301" s="2958"/>
      <c r="DV301" s="2957"/>
      <c r="DW301" s="2958"/>
      <c r="DX301" s="2978"/>
      <c r="DY301" s="2979"/>
      <c r="DZ301" s="1656"/>
      <c r="EA301" s="670"/>
      <c r="EB301" s="670"/>
      <c r="EC301" s="670"/>
      <c r="ED301" s="670"/>
      <c r="EE301" s="670"/>
      <c r="EF301" s="670"/>
      <c r="EG301" s="670"/>
      <c r="EH301" s="670"/>
      <c r="EI301" s="670"/>
      <c r="EJ301" s="670"/>
      <c r="EK301" s="670"/>
      <c r="EL301" s="670"/>
      <c r="EM301" s="670"/>
      <c r="EN301" s="670"/>
      <c r="EO301" s="670"/>
      <c r="EP301" s="670"/>
      <c r="EQ301" s="670"/>
      <c r="ER301" s="670"/>
      <c r="ES301" s="670"/>
      <c r="ET301" s="670"/>
      <c r="EU301" s="670"/>
      <c r="EV301" s="670"/>
      <c r="EW301" s="670"/>
      <c r="EX301" s="670"/>
      <c r="EY301" s="670"/>
      <c r="EZ301" s="670"/>
      <c r="FA301" s="670"/>
      <c r="FB301" s="670"/>
      <c r="FC301" s="670"/>
      <c r="FD301" s="670"/>
      <c r="FE301" s="670"/>
      <c r="FF301" s="670"/>
      <c r="FG301" s="670"/>
      <c r="FH301" s="670"/>
      <c r="FI301" s="670"/>
      <c r="FJ301" s="670"/>
      <c r="FK301" s="670"/>
      <c r="FL301" s="670"/>
      <c r="FM301" s="670"/>
      <c r="FN301" s="670"/>
      <c r="FO301" s="670"/>
      <c r="FP301" s="670"/>
      <c r="FQ301" s="670"/>
      <c r="FR301" s="670"/>
      <c r="FS301" s="670"/>
      <c r="FT301" s="670"/>
      <c r="FU301" s="670"/>
      <c r="FV301" s="670"/>
      <c r="FW301" s="670"/>
      <c r="FX301" s="670"/>
      <c r="FY301" s="670"/>
      <c r="FZ301" s="670"/>
      <c r="GA301" s="670"/>
      <c r="GB301" s="670"/>
      <c r="GC301" s="670"/>
      <c r="GD301" s="670"/>
      <c r="GE301" s="670"/>
      <c r="GF301" s="670"/>
      <c r="GG301" s="670"/>
      <c r="GH301" s="670"/>
      <c r="GI301" s="670"/>
      <c r="GJ301" s="670"/>
      <c r="GK301" s="670"/>
      <c r="GL301" s="670"/>
      <c r="GM301" s="670"/>
      <c r="GN301" s="670"/>
      <c r="GO301" s="670"/>
      <c r="GP301" s="670"/>
      <c r="GQ301" s="670"/>
      <c r="GR301" s="670"/>
      <c r="GS301" s="670"/>
      <c r="GT301" s="670"/>
      <c r="GU301" s="670"/>
      <c r="GV301" s="670"/>
      <c r="GW301" s="670"/>
      <c r="GX301" s="670"/>
      <c r="GY301" s="670"/>
      <c r="GZ301" s="670"/>
      <c r="HA301" s="670"/>
      <c r="HB301" s="670"/>
      <c r="HC301" s="670"/>
      <c r="HD301" s="670"/>
      <c r="HE301" s="670"/>
      <c r="HF301" s="670"/>
      <c r="HG301" s="670"/>
      <c r="HH301" s="670"/>
      <c r="HI301" s="670"/>
      <c r="HJ301" s="670"/>
      <c r="HK301" s="670"/>
      <c r="HL301" s="670"/>
      <c r="HM301" s="670"/>
      <c r="HN301" s="670"/>
      <c r="HO301" s="670"/>
      <c r="HP301" s="670"/>
      <c r="HQ301" s="670"/>
      <c r="HR301" s="670"/>
      <c r="HS301" s="670"/>
      <c r="HT301" s="670"/>
      <c r="HU301" s="670"/>
      <c r="HV301" s="670"/>
      <c r="HW301" s="670"/>
      <c r="HX301" s="670"/>
      <c r="HY301" s="670"/>
      <c r="HZ301" s="670"/>
      <c r="IA301" s="670"/>
      <c r="IB301" s="670"/>
      <c r="IC301" s="670"/>
      <c r="ID301" s="670"/>
      <c r="IE301" s="670"/>
      <c r="IF301" s="670"/>
      <c r="IG301" s="670"/>
      <c r="IH301" s="670"/>
      <c r="II301" s="670"/>
    </row>
    <row r="302" spans="1:243" s="664" customFormat="1" ht="12" customHeight="1">
      <c r="A302" s="539"/>
      <c r="B302" s="539"/>
      <c r="C302" s="539"/>
      <c r="D302" s="539"/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39"/>
      <c r="P302" s="539"/>
      <c r="Q302" s="539"/>
      <c r="R302" s="662"/>
      <c r="S302" s="662"/>
      <c r="T302" s="662"/>
      <c r="U302" s="662"/>
      <c r="V302" s="662"/>
      <c r="W302" s="662"/>
      <c r="X302" s="662"/>
      <c r="Y302" s="663"/>
      <c r="Z302" s="663"/>
      <c r="AA302" s="539"/>
      <c r="AB302" s="2980"/>
      <c r="AC302" s="2981"/>
      <c r="AD302" s="2981"/>
      <c r="AE302" s="2981"/>
      <c r="AF302" s="1695"/>
      <c r="AG302" s="1695"/>
      <c r="AH302" s="1695"/>
      <c r="AI302" s="1695"/>
      <c r="AJ302" s="1695"/>
      <c r="AK302" s="1695"/>
      <c r="AL302" s="1695"/>
      <c r="AM302" s="1695"/>
      <c r="AN302" s="1695"/>
      <c r="AO302" s="1695"/>
      <c r="AP302" s="1729"/>
      <c r="AQ302" s="1657"/>
      <c r="AR302" s="1657"/>
      <c r="AS302" s="1657"/>
      <c r="AT302" s="1657"/>
      <c r="AU302" s="1657"/>
      <c r="AV302" s="1657"/>
      <c r="AW302" s="1657"/>
      <c r="AX302" s="1657"/>
      <c r="AY302" s="1657"/>
      <c r="AZ302" s="1654"/>
      <c r="BA302" s="665"/>
      <c r="BB302" s="2980"/>
      <c r="BC302" s="2981"/>
      <c r="BD302" s="2981"/>
      <c r="BE302" s="2981"/>
      <c r="BF302" s="1695"/>
      <c r="BG302" s="1695"/>
      <c r="BH302" s="1695"/>
      <c r="BI302" s="1695"/>
      <c r="BJ302" s="1695"/>
      <c r="BK302" s="1695"/>
      <c r="BL302" s="1695"/>
      <c r="BM302" s="1695"/>
      <c r="BN302" s="1695"/>
      <c r="BO302" s="1695"/>
      <c r="BP302" s="1729"/>
      <c r="BQ302" s="1657"/>
      <c r="BR302" s="1657"/>
      <c r="BS302" s="1657"/>
      <c r="BT302" s="1657"/>
      <c r="BU302" s="1657"/>
      <c r="BV302" s="1657"/>
      <c r="BW302" s="1657"/>
      <c r="BX302" s="1657"/>
      <c r="BY302" s="1657"/>
      <c r="BZ302" s="1654"/>
      <c r="CA302" s="665"/>
      <c r="CB302" s="2980"/>
      <c r="CC302" s="2981"/>
      <c r="CD302" s="2981"/>
      <c r="CE302" s="2981"/>
      <c r="CF302" s="1695"/>
      <c r="CG302" s="1695"/>
      <c r="CH302" s="1695"/>
      <c r="CI302" s="1695"/>
      <c r="CJ302" s="1695"/>
      <c r="CK302" s="1695"/>
      <c r="CL302" s="1695"/>
      <c r="CM302" s="1695"/>
      <c r="CN302" s="1695"/>
      <c r="CO302" s="1695"/>
      <c r="CP302" s="1729"/>
      <c r="CQ302" s="1657"/>
      <c r="CR302" s="1657"/>
      <c r="CS302" s="1657"/>
      <c r="CT302" s="1657"/>
      <c r="CU302" s="1657"/>
      <c r="CV302" s="1657"/>
      <c r="CW302" s="1657"/>
      <c r="CX302" s="1657"/>
      <c r="CY302" s="1657"/>
      <c r="CZ302" s="1654"/>
      <c r="DA302" s="665"/>
      <c r="DB302" s="2980"/>
      <c r="DC302" s="2981"/>
      <c r="DD302" s="2981"/>
      <c r="DE302" s="2981"/>
      <c r="DF302" s="1695"/>
      <c r="DG302" s="1695"/>
      <c r="DH302" s="1695"/>
      <c r="DI302" s="1695"/>
      <c r="DJ302" s="1695"/>
      <c r="DK302" s="1695"/>
      <c r="DL302" s="1695"/>
      <c r="DM302" s="1695"/>
      <c r="DN302" s="1695"/>
      <c r="DO302" s="1695"/>
      <c r="DP302" s="1729"/>
      <c r="DQ302" s="1657"/>
      <c r="DR302" s="1657"/>
      <c r="DS302" s="1657"/>
      <c r="DT302" s="1657"/>
      <c r="DU302" s="1657"/>
      <c r="DV302" s="1657"/>
      <c r="DW302" s="1657"/>
      <c r="DX302" s="1657"/>
      <c r="DY302" s="1657"/>
      <c r="DZ302" s="1654"/>
      <c r="EA302" s="539"/>
      <c r="EB302" s="539"/>
      <c r="EC302" s="539"/>
      <c r="ED302" s="539"/>
      <c r="EE302" s="539"/>
      <c r="EF302" s="539"/>
      <c r="EG302" s="539"/>
      <c r="EH302" s="539"/>
      <c r="EI302" s="539"/>
      <c r="EJ302" s="539"/>
      <c r="EK302" s="539"/>
      <c r="EL302" s="539"/>
      <c r="EM302" s="539"/>
      <c r="EN302" s="539"/>
      <c r="EO302" s="539"/>
      <c r="EP302" s="539"/>
      <c r="EQ302" s="539"/>
      <c r="ER302" s="539"/>
      <c r="ES302" s="539"/>
      <c r="ET302" s="539"/>
      <c r="EU302" s="539"/>
      <c r="EV302" s="539"/>
      <c r="EW302" s="539"/>
      <c r="EX302" s="539"/>
      <c r="EY302" s="539"/>
      <c r="EZ302" s="539"/>
      <c r="FA302" s="539"/>
      <c r="FB302" s="539"/>
      <c r="FC302" s="539"/>
      <c r="FD302" s="539"/>
      <c r="FE302" s="539"/>
      <c r="FF302" s="539"/>
      <c r="FG302" s="539"/>
      <c r="FH302" s="539"/>
      <c r="FI302" s="539"/>
      <c r="FJ302" s="539"/>
      <c r="FK302" s="539"/>
      <c r="FL302" s="539"/>
      <c r="FM302" s="539"/>
      <c r="FN302" s="539"/>
      <c r="FO302" s="539"/>
      <c r="FP302" s="539"/>
      <c r="FQ302" s="539"/>
      <c r="FR302" s="539"/>
      <c r="FS302" s="539"/>
      <c r="FT302" s="539"/>
      <c r="FU302" s="539"/>
      <c r="FV302" s="539"/>
      <c r="FW302" s="539"/>
      <c r="FX302" s="539"/>
      <c r="FY302" s="539"/>
      <c r="FZ302" s="539"/>
      <c r="GA302" s="539"/>
      <c r="GB302" s="539"/>
      <c r="GC302" s="539"/>
      <c r="GD302" s="539"/>
      <c r="GE302" s="539"/>
      <c r="GF302" s="539"/>
      <c r="GG302" s="539"/>
      <c r="GH302" s="539"/>
      <c r="GI302" s="539"/>
      <c r="GJ302" s="539"/>
      <c r="GK302" s="539"/>
      <c r="GL302" s="539"/>
      <c r="GM302" s="539"/>
      <c r="GN302" s="539"/>
      <c r="GO302" s="539"/>
      <c r="GP302" s="539"/>
      <c r="GQ302" s="539"/>
      <c r="GR302" s="539"/>
      <c r="GS302" s="539"/>
      <c r="GT302" s="539"/>
      <c r="GU302" s="539"/>
      <c r="GV302" s="539"/>
      <c r="GW302" s="539"/>
      <c r="GX302" s="539"/>
      <c r="GY302" s="539"/>
      <c r="GZ302" s="539"/>
      <c r="HA302" s="539"/>
      <c r="HB302" s="539"/>
      <c r="HC302" s="539"/>
      <c r="HD302" s="539"/>
      <c r="HE302" s="539"/>
      <c r="HF302" s="539"/>
      <c r="HG302" s="539"/>
      <c r="HH302" s="539"/>
      <c r="HI302" s="539"/>
      <c r="HJ302" s="539"/>
      <c r="HK302" s="539"/>
      <c r="HL302" s="539"/>
      <c r="HM302" s="539"/>
      <c r="HN302" s="539"/>
      <c r="HO302" s="539"/>
      <c r="HP302" s="539"/>
      <c r="HQ302" s="539"/>
      <c r="HR302" s="539"/>
      <c r="HS302" s="539"/>
      <c r="HT302" s="539"/>
      <c r="HU302" s="539"/>
      <c r="HV302" s="539"/>
      <c r="HW302" s="539"/>
      <c r="HX302" s="539"/>
      <c r="HY302" s="539"/>
      <c r="HZ302" s="539"/>
      <c r="IA302" s="539"/>
      <c r="IB302" s="539"/>
      <c r="IC302" s="539"/>
      <c r="ID302" s="539"/>
      <c r="IE302" s="539"/>
      <c r="IF302" s="539"/>
      <c r="IG302" s="539"/>
      <c r="IH302" s="539"/>
      <c r="II302" s="539"/>
    </row>
    <row r="303" spans="1:243" s="664" customFormat="1" ht="16.5" customHeight="1">
      <c r="A303" s="539"/>
      <c r="B303" s="539"/>
      <c r="C303" s="539"/>
      <c r="D303" s="539"/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39"/>
      <c r="P303" s="539"/>
      <c r="Q303" s="539"/>
      <c r="R303" s="662"/>
      <c r="S303" s="662"/>
      <c r="T303" s="662"/>
      <c r="U303" s="662"/>
      <c r="V303" s="662"/>
      <c r="W303" s="662"/>
      <c r="X303" s="662"/>
      <c r="Y303" s="663"/>
      <c r="Z303" s="663"/>
      <c r="AA303" s="539"/>
      <c r="AB303" s="3139" t="s">
        <v>344</v>
      </c>
      <c r="AC303" s="3140"/>
      <c r="AD303" s="3140"/>
      <c r="AE303" s="3141"/>
      <c r="AF303" s="2934" t="s">
        <v>342</v>
      </c>
      <c r="AG303" s="2935"/>
      <c r="AH303" s="2936"/>
      <c r="AI303" s="2946">
        <v>250</v>
      </c>
      <c r="AJ303" s="2947"/>
      <c r="AK303" s="2946">
        <v>280</v>
      </c>
      <c r="AL303" s="2947"/>
      <c r="AM303" s="2940" t="s">
        <v>310</v>
      </c>
      <c r="AN303" s="2941"/>
      <c r="AO303" s="1695"/>
      <c r="AP303" s="1729"/>
      <c r="AQ303" s="2940"/>
      <c r="AR303" s="2960"/>
      <c r="AS303" s="2941"/>
      <c r="AT303" s="2957"/>
      <c r="AU303" s="2958"/>
      <c r="AV303" s="2957"/>
      <c r="AW303" s="2958"/>
      <c r="AX303" s="2978"/>
      <c r="AY303" s="2979"/>
      <c r="AZ303" s="1655"/>
      <c r="BA303" s="675"/>
      <c r="BB303" s="3139" t="s">
        <v>344</v>
      </c>
      <c r="BC303" s="3140"/>
      <c r="BD303" s="3140"/>
      <c r="BE303" s="3141"/>
      <c r="BF303" s="2934"/>
      <c r="BG303" s="2935"/>
      <c r="BH303" s="2936"/>
      <c r="BI303" s="2946"/>
      <c r="BJ303" s="2947"/>
      <c r="BK303" s="2946"/>
      <c r="BL303" s="2947"/>
      <c r="BM303" s="2940"/>
      <c r="BN303" s="2941"/>
      <c r="BO303" s="1695"/>
      <c r="BP303" s="1729"/>
      <c r="BQ303" s="2940"/>
      <c r="BR303" s="2960"/>
      <c r="BS303" s="2941"/>
      <c r="BT303" s="2957"/>
      <c r="BU303" s="2958"/>
      <c r="BV303" s="2957"/>
      <c r="BW303" s="2958"/>
      <c r="BX303" s="2978"/>
      <c r="BY303" s="2979"/>
      <c r="BZ303" s="1655"/>
      <c r="CA303" s="675"/>
      <c r="CB303" s="3139" t="s">
        <v>344</v>
      </c>
      <c r="CC303" s="3140"/>
      <c r="CD303" s="3140"/>
      <c r="CE303" s="3141"/>
      <c r="CF303" s="2934"/>
      <c r="CG303" s="2935"/>
      <c r="CH303" s="2936"/>
      <c r="CI303" s="2946"/>
      <c r="CJ303" s="2947"/>
      <c r="CK303" s="2946"/>
      <c r="CL303" s="2947"/>
      <c r="CM303" s="2940"/>
      <c r="CN303" s="2941"/>
      <c r="CO303" s="1695"/>
      <c r="CP303" s="1729"/>
      <c r="CQ303" s="2940"/>
      <c r="CR303" s="2960"/>
      <c r="CS303" s="2941"/>
      <c r="CT303" s="2957"/>
      <c r="CU303" s="2958"/>
      <c r="CV303" s="2957"/>
      <c r="CW303" s="2958"/>
      <c r="CX303" s="2978"/>
      <c r="CY303" s="2979"/>
      <c r="CZ303" s="1655"/>
      <c r="DA303" s="675"/>
      <c r="DB303" s="3139" t="s">
        <v>344</v>
      </c>
      <c r="DC303" s="3140"/>
      <c r="DD303" s="3140"/>
      <c r="DE303" s="3141"/>
      <c r="DF303" s="2934"/>
      <c r="DG303" s="2935"/>
      <c r="DH303" s="2936"/>
      <c r="DI303" s="2946"/>
      <c r="DJ303" s="2947"/>
      <c r="DK303" s="2946"/>
      <c r="DL303" s="2947"/>
      <c r="DM303" s="2940"/>
      <c r="DN303" s="2941"/>
      <c r="DO303" s="1695"/>
      <c r="DP303" s="1729"/>
      <c r="DQ303" s="2940"/>
      <c r="DR303" s="2960"/>
      <c r="DS303" s="2941"/>
      <c r="DT303" s="2957"/>
      <c r="DU303" s="2958"/>
      <c r="DV303" s="2957"/>
      <c r="DW303" s="2958"/>
      <c r="DX303" s="2978"/>
      <c r="DY303" s="2979"/>
      <c r="DZ303" s="1655"/>
      <c r="EA303" s="539"/>
      <c r="EB303" s="539"/>
      <c r="EC303" s="539"/>
      <c r="ED303" s="539"/>
      <c r="EE303" s="539"/>
      <c r="EF303" s="539"/>
      <c r="EG303" s="539"/>
      <c r="EH303" s="539"/>
      <c r="EI303" s="539"/>
      <c r="EJ303" s="539"/>
      <c r="EK303" s="539"/>
      <c r="EL303" s="539"/>
      <c r="EM303" s="539"/>
      <c r="EN303" s="539"/>
      <c r="EO303" s="539"/>
      <c r="EP303" s="539"/>
      <c r="EQ303" s="539"/>
      <c r="ER303" s="539"/>
      <c r="ES303" s="539"/>
      <c r="ET303" s="539"/>
      <c r="EU303" s="539"/>
      <c r="EV303" s="539"/>
      <c r="EW303" s="539"/>
      <c r="EX303" s="539"/>
      <c r="EY303" s="539"/>
      <c r="EZ303" s="539"/>
      <c r="FA303" s="539"/>
      <c r="FB303" s="539"/>
      <c r="FC303" s="539"/>
      <c r="FD303" s="539"/>
      <c r="FE303" s="539"/>
      <c r="FF303" s="539"/>
      <c r="FG303" s="539"/>
      <c r="FH303" s="539"/>
      <c r="FI303" s="539"/>
      <c r="FJ303" s="539"/>
      <c r="FK303" s="539"/>
      <c r="FL303" s="539"/>
      <c r="FM303" s="539"/>
      <c r="FN303" s="539"/>
      <c r="FO303" s="539"/>
      <c r="FP303" s="539"/>
      <c r="FQ303" s="539"/>
      <c r="FR303" s="539"/>
      <c r="FS303" s="539"/>
      <c r="FT303" s="539"/>
      <c r="FU303" s="539"/>
      <c r="FV303" s="539"/>
      <c r="FW303" s="539"/>
      <c r="FX303" s="539"/>
      <c r="FY303" s="539"/>
      <c r="FZ303" s="539"/>
      <c r="GA303" s="539"/>
      <c r="GB303" s="539"/>
      <c r="GC303" s="539"/>
      <c r="GD303" s="539"/>
      <c r="GE303" s="539"/>
      <c r="GF303" s="539"/>
      <c r="GG303" s="539"/>
      <c r="GH303" s="539"/>
      <c r="GI303" s="539"/>
      <c r="GJ303" s="539"/>
      <c r="GK303" s="539"/>
      <c r="GL303" s="539"/>
      <c r="GM303" s="539"/>
      <c r="GN303" s="539"/>
      <c r="GO303" s="539"/>
      <c r="GP303" s="539"/>
      <c r="GQ303" s="539"/>
      <c r="GR303" s="539"/>
      <c r="GS303" s="539"/>
      <c r="GT303" s="539"/>
      <c r="GU303" s="539"/>
      <c r="GV303" s="539"/>
      <c r="GW303" s="539"/>
      <c r="GX303" s="539"/>
      <c r="GY303" s="539"/>
      <c r="GZ303" s="539"/>
      <c r="HA303" s="539"/>
      <c r="HB303" s="539"/>
      <c r="HC303" s="539"/>
      <c r="HD303" s="539"/>
      <c r="HE303" s="539"/>
      <c r="HF303" s="539"/>
      <c r="HG303" s="539"/>
      <c r="HH303" s="539"/>
      <c r="HI303" s="539"/>
      <c r="HJ303" s="539"/>
      <c r="HK303" s="539"/>
      <c r="HL303" s="539"/>
      <c r="HM303" s="539"/>
      <c r="HN303" s="539"/>
      <c r="HO303" s="539"/>
      <c r="HP303" s="539"/>
      <c r="HQ303" s="539"/>
      <c r="HR303" s="539"/>
      <c r="HS303" s="539"/>
      <c r="HT303" s="539"/>
      <c r="HU303" s="539"/>
      <c r="HV303" s="539"/>
      <c r="HW303" s="539"/>
      <c r="HX303" s="539"/>
      <c r="HY303" s="539"/>
      <c r="HZ303" s="539"/>
      <c r="IA303" s="539"/>
      <c r="IB303" s="539"/>
      <c r="IC303" s="539"/>
      <c r="ID303" s="539"/>
      <c r="IE303" s="539"/>
      <c r="IF303" s="539"/>
      <c r="IG303" s="539"/>
      <c r="IH303" s="539"/>
      <c r="II303" s="539"/>
    </row>
    <row r="304" spans="1:243" s="664" customFormat="1" ht="12" customHeight="1">
      <c r="A304" s="539"/>
      <c r="B304" s="539"/>
      <c r="C304" s="539"/>
      <c r="D304" s="539"/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39"/>
      <c r="P304" s="539"/>
      <c r="Q304" s="539"/>
      <c r="R304" s="662"/>
      <c r="S304" s="662"/>
      <c r="T304" s="662"/>
      <c r="U304" s="662"/>
      <c r="V304" s="662"/>
      <c r="W304" s="662"/>
      <c r="X304" s="662"/>
      <c r="Y304" s="668"/>
      <c r="Z304" s="668"/>
      <c r="AA304" s="539"/>
      <c r="AB304" s="1714"/>
      <c r="AC304" s="1715"/>
      <c r="AD304" s="1696"/>
      <c r="AE304" s="1715"/>
      <c r="AF304" s="1722"/>
      <c r="AG304" s="1722"/>
      <c r="AH304" s="1722"/>
      <c r="AI304" s="1722"/>
      <c r="AJ304" s="1722"/>
      <c r="AK304" s="1722"/>
      <c r="AL304" s="1722"/>
      <c r="AM304" s="1698"/>
      <c r="AN304" s="1695"/>
      <c r="AO304" s="1695"/>
      <c r="AP304" s="1729"/>
      <c r="AQ304" s="682"/>
      <c r="AR304" s="682"/>
      <c r="AS304" s="682"/>
      <c r="AT304" s="682"/>
      <c r="AU304" s="682"/>
      <c r="AV304" s="682"/>
      <c r="AW304" s="682"/>
      <c r="AX304" s="684"/>
      <c r="AY304" s="684"/>
      <c r="AZ304" s="1655"/>
      <c r="BA304" s="675"/>
      <c r="BB304" s="1714"/>
      <c r="BC304" s="1715"/>
      <c r="BD304" s="1696"/>
      <c r="BE304" s="1715"/>
      <c r="BF304" s="1722"/>
      <c r="BG304" s="1722"/>
      <c r="BH304" s="1722"/>
      <c r="BI304" s="1722"/>
      <c r="BJ304" s="1722"/>
      <c r="BK304" s="1722"/>
      <c r="BL304" s="1722"/>
      <c r="BM304" s="1698"/>
      <c r="BN304" s="1695"/>
      <c r="BO304" s="1695"/>
      <c r="BP304" s="1729"/>
      <c r="BQ304" s="682"/>
      <c r="BR304" s="682"/>
      <c r="BS304" s="682"/>
      <c r="BT304" s="682"/>
      <c r="BU304" s="682"/>
      <c r="BV304" s="682"/>
      <c r="BW304" s="682"/>
      <c r="BX304" s="684"/>
      <c r="BY304" s="684"/>
      <c r="BZ304" s="1655"/>
      <c r="CA304" s="675"/>
      <c r="CB304" s="1714"/>
      <c r="CC304" s="1715"/>
      <c r="CD304" s="1696"/>
      <c r="CE304" s="1715"/>
      <c r="CF304" s="1722"/>
      <c r="CG304" s="1722"/>
      <c r="CH304" s="1722"/>
      <c r="CI304" s="1722"/>
      <c r="CJ304" s="1722"/>
      <c r="CK304" s="1722"/>
      <c r="CL304" s="1722"/>
      <c r="CM304" s="1698"/>
      <c r="CN304" s="1695"/>
      <c r="CO304" s="1695"/>
      <c r="CP304" s="1729"/>
      <c r="CQ304" s="682"/>
      <c r="CR304" s="682"/>
      <c r="CS304" s="682"/>
      <c r="CT304" s="682"/>
      <c r="CU304" s="682"/>
      <c r="CV304" s="682"/>
      <c r="CW304" s="682"/>
      <c r="CX304" s="684"/>
      <c r="CY304" s="684"/>
      <c r="CZ304" s="1655"/>
      <c r="DA304" s="675"/>
      <c r="DB304" s="1714"/>
      <c r="DC304" s="1715"/>
      <c r="DD304" s="1696"/>
      <c r="DE304" s="1715"/>
      <c r="DF304" s="1722"/>
      <c r="DG304" s="1722"/>
      <c r="DH304" s="1722"/>
      <c r="DI304" s="1722"/>
      <c r="DJ304" s="1722"/>
      <c r="DK304" s="1722"/>
      <c r="DL304" s="1722"/>
      <c r="DM304" s="1698"/>
      <c r="DN304" s="1695"/>
      <c r="DO304" s="1695"/>
      <c r="DP304" s="1729"/>
      <c r="DQ304" s="682"/>
      <c r="DR304" s="682"/>
      <c r="DS304" s="682"/>
      <c r="DT304" s="682"/>
      <c r="DU304" s="682"/>
      <c r="DV304" s="682"/>
      <c r="DW304" s="682"/>
      <c r="DX304" s="684"/>
      <c r="DY304" s="684"/>
      <c r="DZ304" s="1655"/>
      <c r="EA304" s="539"/>
      <c r="EB304" s="539"/>
      <c r="EC304" s="539"/>
      <c r="ED304" s="539"/>
      <c r="EE304" s="539"/>
      <c r="EF304" s="539"/>
      <c r="EG304" s="539"/>
      <c r="EH304" s="539"/>
      <c r="EI304" s="539"/>
      <c r="EJ304" s="539"/>
      <c r="EK304" s="539"/>
      <c r="EL304" s="539"/>
      <c r="EM304" s="539"/>
      <c r="EN304" s="539"/>
      <c r="EO304" s="539"/>
      <c r="EP304" s="539"/>
      <c r="EQ304" s="539"/>
      <c r="ER304" s="539"/>
      <c r="ES304" s="539"/>
      <c r="ET304" s="539"/>
      <c r="EU304" s="539"/>
      <c r="EV304" s="539"/>
      <c r="EW304" s="539"/>
      <c r="EX304" s="539"/>
      <c r="EY304" s="539"/>
      <c r="EZ304" s="539"/>
      <c r="FA304" s="539"/>
      <c r="FB304" s="539"/>
      <c r="FC304" s="539"/>
      <c r="FD304" s="539"/>
      <c r="FE304" s="539"/>
      <c r="FF304" s="539"/>
      <c r="FG304" s="539"/>
      <c r="FH304" s="539"/>
      <c r="FI304" s="539"/>
      <c r="FJ304" s="539"/>
      <c r="FK304" s="539"/>
      <c r="FL304" s="539"/>
      <c r="FM304" s="539"/>
      <c r="FN304" s="539"/>
      <c r="FO304" s="539"/>
      <c r="FP304" s="539"/>
      <c r="FQ304" s="539"/>
      <c r="FR304" s="539"/>
      <c r="FS304" s="539"/>
      <c r="FT304" s="539"/>
      <c r="FU304" s="539"/>
      <c r="FV304" s="539"/>
      <c r="FW304" s="539"/>
      <c r="FX304" s="539"/>
      <c r="FY304" s="539"/>
      <c r="FZ304" s="539"/>
      <c r="GA304" s="539"/>
      <c r="GB304" s="539"/>
      <c r="GC304" s="539"/>
      <c r="GD304" s="539"/>
      <c r="GE304" s="539"/>
      <c r="GF304" s="539"/>
      <c r="GG304" s="539"/>
      <c r="GH304" s="539"/>
      <c r="GI304" s="539"/>
      <c r="GJ304" s="539"/>
      <c r="GK304" s="539"/>
      <c r="GL304" s="539"/>
      <c r="GM304" s="539"/>
      <c r="GN304" s="539"/>
      <c r="GO304" s="539"/>
      <c r="GP304" s="539"/>
      <c r="GQ304" s="539"/>
      <c r="GR304" s="539"/>
      <c r="GS304" s="539"/>
      <c r="GT304" s="539"/>
      <c r="GU304" s="539"/>
      <c r="GV304" s="539"/>
      <c r="GW304" s="539"/>
      <c r="GX304" s="539"/>
      <c r="GY304" s="539"/>
      <c r="GZ304" s="539"/>
      <c r="HA304" s="539"/>
      <c r="HB304" s="539"/>
      <c r="HC304" s="539"/>
      <c r="HD304" s="539"/>
      <c r="HE304" s="539"/>
      <c r="HF304" s="539"/>
      <c r="HG304" s="539"/>
      <c r="HH304" s="539"/>
      <c r="HI304" s="539"/>
      <c r="HJ304" s="539"/>
      <c r="HK304" s="539"/>
      <c r="HL304" s="539"/>
      <c r="HM304" s="539"/>
      <c r="HN304" s="539"/>
      <c r="HO304" s="539"/>
      <c r="HP304" s="539"/>
      <c r="HQ304" s="539"/>
      <c r="HR304" s="539"/>
      <c r="HS304" s="539"/>
      <c r="HT304" s="539"/>
      <c r="HU304" s="539"/>
      <c r="HV304" s="539"/>
      <c r="HW304" s="539"/>
      <c r="HX304" s="539"/>
      <c r="HY304" s="539"/>
      <c r="HZ304" s="539"/>
      <c r="IA304" s="539"/>
      <c r="IB304" s="539"/>
      <c r="IC304" s="539"/>
      <c r="ID304" s="539"/>
      <c r="IE304" s="539"/>
      <c r="IF304" s="539"/>
      <c r="IG304" s="539"/>
      <c r="IH304" s="539"/>
      <c r="II304" s="539"/>
    </row>
    <row r="305" spans="1:243" s="664" customFormat="1" ht="16.5" customHeight="1">
      <c r="A305" s="539"/>
      <c r="B305" s="539"/>
      <c r="C305" s="539"/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39"/>
      <c r="P305" s="539"/>
      <c r="Q305" s="539"/>
      <c r="R305" s="662"/>
      <c r="S305" s="662"/>
      <c r="T305" s="662"/>
      <c r="U305" s="662"/>
      <c r="V305" s="662"/>
      <c r="W305" s="662"/>
      <c r="X305" s="662"/>
      <c r="Y305" s="668"/>
      <c r="Z305" s="668"/>
      <c r="AA305" s="539"/>
      <c r="AB305" s="3139" t="s">
        <v>346</v>
      </c>
      <c r="AC305" s="3140"/>
      <c r="AD305" s="3140"/>
      <c r="AE305" s="3141"/>
      <c r="AF305" s="2934"/>
      <c r="AG305" s="2935"/>
      <c r="AH305" s="2936"/>
      <c r="AI305" s="2946"/>
      <c r="AJ305" s="2947"/>
      <c r="AK305" s="2946"/>
      <c r="AL305" s="2947"/>
      <c r="AM305" s="2940"/>
      <c r="AN305" s="2941"/>
      <c r="AO305" s="1695"/>
      <c r="AP305" s="2972" t="str">
        <f>IF(OR(AF301="NONE",AF301=""),"NONE",IF(AND(ISNUMBER(FIND("-",AF301)),AM301&lt;&gt;""),RIGHT(AF301,3),AF301)&amp;IF(AM301&lt;&gt;""," LYRD","")&amp;" "&amp;TEXT(AI301,"000")&amp;"/"&amp;TEXT(AK301,"000"))&amp;"   "&amp;IF(AF303="","",IF(AND(ISNUMBER(FIND("-",AF303)),AM303&lt;&gt;""),RIGHT(AF303,3),AF303)&amp;IF(AM303&lt;&gt;""," LYRD","")&amp;" "&amp;TEXT(AI303,"000")&amp;"/"&amp;TEXT(AK303,"000"))</f>
        <v>SCT 040/050   BKN LYRD 250/280</v>
      </c>
      <c r="AQ305" s="2973"/>
      <c r="AR305" s="2973"/>
      <c r="AS305" s="2973"/>
      <c r="AT305" s="2973"/>
      <c r="AU305" s="2973"/>
      <c r="AV305" s="2973"/>
      <c r="AW305" s="2973"/>
      <c r="AX305" s="2973"/>
      <c r="AY305" s="2973"/>
      <c r="AZ305" s="2974"/>
      <c r="BA305" s="675"/>
      <c r="BB305" s="3139" t="s">
        <v>346</v>
      </c>
      <c r="BC305" s="3140"/>
      <c r="BD305" s="3140"/>
      <c r="BE305" s="3141"/>
      <c r="BF305" s="2934"/>
      <c r="BG305" s="2935"/>
      <c r="BH305" s="2936"/>
      <c r="BI305" s="2946"/>
      <c r="BJ305" s="2947"/>
      <c r="BK305" s="2946"/>
      <c r="BL305" s="2947"/>
      <c r="BM305" s="2940"/>
      <c r="BN305" s="2941"/>
      <c r="BO305" s="1695"/>
      <c r="BP305" s="2972" t="str">
        <f>IF(OR(BF301="NONE",BF301=""),"NONE",IF(AND(ISNUMBER(FIND("-",BF301)),BM301&lt;&gt;""),RIGHT(BF301,3),BF301)&amp;IF(BM301&lt;&gt;""," LYRD","")&amp;" "&amp;TEXT(BI301,"000")&amp;"/"&amp;TEXT(BK301,"000"))&amp;"   "&amp;IF(BF303="","",IF(AND(ISNUMBER(FIND("-",BF303)),BM303&lt;&gt;""),RIGHT(BF303,3),BF303)&amp;IF(BM303&lt;&gt;""," LYRD","")&amp;" "&amp;TEXT(BI303,"000")&amp;"/"&amp;TEXT(BK303,"000"))</f>
        <v xml:space="preserve">NONE   </v>
      </c>
      <c r="BQ305" s="2973"/>
      <c r="BR305" s="2973"/>
      <c r="BS305" s="2973"/>
      <c r="BT305" s="2973"/>
      <c r="BU305" s="2973"/>
      <c r="BV305" s="2973"/>
      <c r="BW305" s="2973"/>
      <c r="BX305" s="2973"/>
      <c r="BY305" s="2973"/>
      <c r="BZ305" s="2974"/>
      <c r="CA305" s="675"/>
      <c r="CB305" s="3139" t="s">
        <v>346</v>
      </c>
      <c r="CC305" s="3140"/>
      <c r="CD305" s="3140"/>
      <c r="CE305" s="3141"/>
      <c r="CF305" s="2934"/>
      <c r="CG305" s="2935"/>
      <c r="CH305" s="2936"/>
      <c r="CI305" s="2946"/>
      <c r="CJ305" s="2947"/>
      <c r="CK305" s="2946"/>
      <c r="CL305" s="2947"/>
      <c r="CM305" s="2940"/>
      <c r="CN305" s="2941"/>
      <c r="CO305" s="1695"/>
      <c r="CP305" s="2972" t="str">
        <f>IF(OR(CF301="NONE",CF301=""),"NONE",IF(AND(ISNUMBER(FIND("-",CF301)),CM301&lt;&gt;""),RIGHT(CF301,3),CF301)&amp;IF(CM301&lt;&gt;""," LYRD","")&amp;" "&amp;TEXT(CI301,"000")&amp;"/"&amp;TEXT(CK301,"000"))&amp;"   "&amp;IF(CF303="","",IF(AND(ISNUMBER(FIND("-",CF303)),CM303&lt;&gt;""),RIGHT(CF303,3),CF303)&amp;IF(CM303&lt;&gt;""," LYRD","")&amp;" "&amp;TEXT(CI303,"000")&amp;"/"&amp;TEXT(CK303,"000"))</f>
        <v xml:space="preserve">NONE   </v>
      </c>
      <c r="CQ305" s="2973"/>
      <c r="CR305" s="2973"/>
      <c r="CS305" s="2973"/>
      <c r="CT305" s="2973"/>
      <c r="CU305" s="2973"/>
      <c r="CV305" s="2973"/>
      <c r="CW305" s="2973"/>
      <c r="CX305" s="2973"/>
      <c r="CY305" s="2973"/>
      <c r="CZ305" s="2974"/>
      <c r="DA305" s="675"/>
      <c r="DB305" s="3139" t="s">
        <v>346</v>
      </c>
      <c r="DC305" s="3140"/>
      <c r="DD305" s="3140"/>
      <c r="DE305" s="3141"/>
      <c r="DF305" s="2934"/>
      <c r="DG305" s="2935"/>
      <c r="DH305" s="2936"/>
      <c r="DI305" s="2946"/>
      <c r="DJ305" s="2947"/>
      <c r="DK305" s="2946"/>
      <c r="DL305" s="2947"/>
      <c r="DM305" s="2940"/>
      <c r="DN305" s="2941"/>
      <c r="DO305" s="1695"/>
      <c r="DP305" s="2972" t="str">
        <f>IF(OR(DF301="NONE",DF301=""),"NONE",IF(AND(ISNUMBER(FIND("-",DF301)),DM301&lt;&gt;""),RIGHT(DF301,3),DF301)&amp;IF(DM301&lt;&gt;""," LYRD","")&amp;" "&amp;TEXT(DI301,"000")&amp;"/"&amp;TEXT(DK301,"000"))&amp;"   "&amp;IF(DF303="","",IF(AND(ISNUMBER(FIND("-",DF303)),DM303&lt;&gt;""),RIGHT(DF303,3),DF303)&amp;IF(DM303&lt;&gt;""," LYRD","")&amp;" "&amp;TEXT(DI303,"000")&amp;"/"&amp;TEXT(DK303,"000"))</f>
        <v xml:space="preserve">NONE   </v>
      </c>
      <c r="DQ305" s="2973"/>
      <c r="DR305" s="2973"/>
      <c r="DS305" s="2973"/>
      <c r="DT305" s="2973"/>
      <c r="DU305" s="2973"/>
      <c r="DV305" s="2973"/>
      <c r="DW305" s="2973"/>
      <c r="DX305" s="2973"/>
      <c r="DY305" s="2973"/>
      <c r="DZ305" s="2974"/>
      <c r="EA305" s="539"/>
      <c r="EB305" s="539"/>
      <c r="EC305" s="539"/>
      <c r="ED305" s="539"/>
      <c r="EE305" s="539"/>
      <c r="EF305" s="539"/>
      <c r="EG305" s="539"/>
      <c r="EH305" s="539"/>
      <c r="EI305" s="539"/>
      <c r="EJ305" s="539"/>
      <c r="EK305" s="539"/>
      <c r="EL305" s="539"/>
      <c r="EM305" s="539"/>
      <c r="EN305" s="539"/>
      <c r="EO305" s="539"/>
      <c r="EP305" s="539"/>
      <c r="EQ305" s="539"/>
      <c r="ER305" s="539"/>
      <c r="ES305" s="539"/>
      <c r="ET305" s="539"/>
      <c r="EU305" s="539"/>
      <c r="EV305" s="539"/>
      <c r="EW305" s="539"/>
      <c r="EX305" s="539"/>
      <c r="EY305" s="539"/>
      <c r="EZ305" s="539"/>
      <c r="FA305" s="539"/>
      <c r="FB305" s="539"/>
      <c r="FC305" s="539"/>
      <c r="FD305" s="539"/>
      <c r="FE305" s="539"/>
      <c r="FF305" s="539"/>
      <c r="FG305" s="539"/>
      <c r="FH305" s="539"/>
      <c r="FI305" s="539"/>
      <c r="FJ305" s="539"/>
      <c r="FK305" s="539"/>
      <c r="FL305" s="539"/>
      <c r="FM305" s="539"/>
      <c r="FN305" s="539"/>
      <c r="FO305" s="539"/>
      <c r="FP305" s="539"/>
      <c r="FQ305" s="539"/>
      <c r="FR305" s="539"/>
      <c r="FS305" s="539"/>
      <c r="FT305" s="539"/>
      <c r="FU305" s="539"/>
      <c r="FV305" s="539"/>
      <c r="FW305" s="539"/>
      <c r="FX305" s="539"/>
      <c r="FY305" s="539"/>
      <c r="FZ305" s="539"/>
      <c r="GA305" s="539"/>
      <c r="GB305" s="539"/>
      <c r="GC305" s="539"/>
      <c r="GD305" s="539"/>
      <c r="GE305" s="539"/>
      <c r="GF305" s="539"/>
      <c r="GG305" s="539"/>
      <c r="GH305" s="539"/>
      <c r="GI305" s="539"/>
      <c r="GJ305" s="539"/>
      <c r="GK305" s="539"/>
      <c r="GL305" s="539"/>
      <c r="GM305" s="539"/>
      <c r="GN305" s="539"/>
      <c r="GO305" s="539"/>
      <c r="GP305" s="539"/>
      <c r="GQ305" s="539"/>
      <c r="GR305" s="539"/>
      <c r="GS305" s="539"/>
      <c r="GT305" s="539"/>
      <c r="GU305" s="539"/>
      <c r="GV305" s="539"/>
      <c r="GW305" s="539"/>
      <c r="GX305" s="539"/>
      <c r="GY305" s="539"/>
      <c r="GZ305" s="539"/>
      <c r="HA305" s="539"/>
      <c r="HB305" s="539"/>
      <c r="HC305" s="539"/>
      <c r="HD305" s="539"/>
      <c r="HE305" s="539"/>
      <c r="HF305" s="539"/>
      <c r="HG305" s="539"/>
      <c r="HH305" s="539"/>
      <c r="HI305" s="539"/>
      <c r="HJ305" s="539"/>
      <c r="HK305" s="539"/>
      <c r="HL305" s="539"/>
      <c r="HM305" s="539"/>
      <c r="HN305" s="539"/>
      <c r="HO305" s="539"/>
      <c r="HP305" s="539"/>
      <c r="HQ305" s="539"/>
      <c r="HR305" s="539"/>
      <c r="HS305" s="539"/>
      <c r="HT305" s="539"/>
      <c r="HU305" s="539"/>
      <c r="HV305" s="539"/>
      <c r="HW305" s="539"/>
      <c r="HX305" s="539"/>
      <c r="HY305" s="539"/>
      <c r="HZ305" s="539"/>
      <c r="IA305" s="539"/>
      <c r="IB305" s="539"/>
      <c r="IC305" s="539"/>
      <c r="ID305" s="539"/>
      <c r="IE305" s="539"/>
      <c r="IF305" s="539"/>
      <c r="IG305" s="539"/>
      <c r="IH305" s="539"/>
      <c r="II305" s="539"/>
    </row>
    <row r="306" spans="1:243" s="664" customFormat="1" ht="12" customHeight="1">
      <c r="A306" s="539"/>
      <c r="B306" s="539"/>
      <c r="C306" s="539"/>
      <c r="D306" s="539"/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39"/>
      <c r="P306" s="539"/>
      <c r="Q306" s="539"/>
      <c r="R306" s="676"/>
      <c r="S306" s="676"/>
      <c r="T306" s="676"/>
      <c r="U306" s="676"/>
      <c r="V306" s="676"/>
      <c r="W306" s="676"/>
      <c r="X306" s="676"/>
      <c r="Y306" s="677"/>
      <c r="Z306" s="677"/>
      <c r="AA306" s="539"/>
      <c r="AB306" s="1714"/>
      <c r="AC306" s="1715"/>
      <c r="AD306" s="1715"/>
      <c r="AE306" s="1715"/>
      <c r="AF306" s="1695"/>
      <c r="AG306" s="1695"/>
      <c r="AH306" s="1695"/>
      <c r="AI306" s="1695"/>
      <c r="AJ306" s="1695"/>
      <c r="AK306" s="1695"/>
      <c r="AL306" s="1695"/>
      <c r="AM306" s="1695"/>
      <c r="AN306" s="1695"/>
      <c r="AO306" s="1695"/>
      <c r="AP306" s="2975"/>
      <c r="AQ306" s="2976"/>
      <c r="AR306" s="2976"/>
      <c r="AS306" s="2976"/>
      <c r="AT306" s="2976"/>
      <c r="AU306" s="2976"/>
      <c r="AV306" s="2976"/>
      <c r="AW306" s="2976"/>
      <c r="AX306" s="2976"/>
      <c r="AY306" s="2976"/>
      <c r="AZ306" s="2977"/>
      <c r="BA306" s="675"/>
      <c r="BB306" s="1714"/>
      <c r="BC306" s="1715"/>
      <c r="BD306" s="1715"/>
      <c r="BE306" s="1715"/>
      <c r="BF306" s="1695"/>
      <c r="BG306" s="1695"/>
      <c r="BH306" s="1695"/>
      <c r="BI306" s="1695"/>
      <c r="BJ306" s="1695"/>
      <c r="BK306" s="1695"/>
      <c r="BL306" s="1695"/>
      <c r="BM306" s="1695"/>
      <c r="BN306" s="1695"/>
      <c r="BO306" s="1695"/>
      <c r="BP306" s="2975"/>
      <c r="BQ306" s="2976"/>
      <c r="BR306" s="2976"/>
      <c r="BS306" s="2976"/>
      <c r="BT306" s="2976"/>
      <c r="BU306" s="2976"/>
      <c r="BV306" s="2976"/>
      <c r="BW306" s="2976"/>
      <c r="BX306" s="2976"/>
      <c r="BY306" s="2976"/>
      <c r="BZ306" s="2977"/>
      <c r="CA306" s="675"/>
      <c r="CB306" s="1714"/>
      <c r="CC306" s="1715"/>
      <c r="CD306" s="1715"/>
      <c r="CE306" s="1715"/>
      <c r="CF306" s="1695"/>
      <c r="CG306" s="1695"/>
      <c r="CH306" s="1695"/>
      <c r="CI306" s="1695"/>
      <c r="CJ306" s="1695"/>
      <c r="CK306" s="1695"/>
      <c r="CL306" s="1695"/>
      <c r="CM306" s="1695"/>
      <c r="CN306" s="1695"/>
      <c r="CO306" s="1695"/>
      <c r="CP306" s="2975"/>
      <c r="CQ306" s="2976"/>
      <c r="CR306" s="2976"/>
      <c r="CS306" s="2976"/>
      <c r="CT306" s="2976"/>
      <c r="CU306" s="2976"/>
      <c r="CV306" s="2976"/>
      <c r="CW306" s="2976"/>
      <c r="CX306" s="2976"/>
      <c r="CY306" s="2976"/>
      <c r="CZ306" s="2977"/>
      <c r="DA306" s="675"/>
      <c r="DB306" s="1714"/>
      <c r="DC306" s="1715"/>
      <c r="DD306" s="1715"/>
      <c r="DE306" s="1715"/>
      <c r="DF306" s="1695"/>
      <c r="DG306" s="1695"/>
      <c r="DH306" s="1695"/>
      <c r="DI306" s="1695"/>
      <c r="DJ306" s="1695"/>
      <c r="DK306" s="1695"/>
      <c r="DL306" s="1695"/>
      <c r="DM306" s="1695"/>
      <c r="DN306" s="1695"/>
      <c r="DO306" s="1695"/>
      <c r="DP306" s="2975"/>
      <c r="DQ306" s="2976"/>
      <c r="DR306" s="2976"/>
      <c r="DS306" s="2976"/>
      <c r="DT306" s="2976"/>
      <c r="DU306" s="2976"/>
      <c r="DV306" s="2976"/>
      <c r="DW306" s="2976"/>
      <c r="DX306" s="2976"/>
      <c r="DY306" s="2976"/>
      <c r="DZ306" s="2977"/>
      <c r="EA306" s="539"/>
      <c r="EB306" s="539"/>
      <c r="EC306" s="539"/>
      <c r="ED306" s="539"/>
      <c r="EE306" s="539"/>
      <c r="EF306" s="539"/>
      <c r="EG306" s="539"/>
      <c r="EH306" s="539"/>
      <c r="EI306" s="539"/>
      <c r="EJ306" s="539"/>
      <c r="EK306" s="539"/>
      <c r="EL306" s="539"/>
      <c r="EM306" s="539"/>
      <c r="EN306" s="539"/>
      <c r="EO306" s="539"/>
      <c r="EP306" s="539"/>
      <c r="EQ306" s="539"/>
      <c r="ER306" s="539"/>
      <c r="ES306" s="539"/>
      <c r="ET306" s="539"/>
      <c r="EU306" s="539"/>
      <c r="EV306" s="539"/>
      <c r="EW306" s="539"/>
      <c r="EX306" s="539"/>
      <c r="EY306" s="539"/>
      <c r="EZ306" s="539"/>
      <c r="FA306" s="539"/>
      <c r="FB306" s="539"/>
      <c r="FC306" s="539"/>
      <c r="FD306" s="539"/>
      <c r="FE306" s="539"/>
      <c r="FF306" s="539"/>
      <c r="FG306" s="539"/>
      <c r="FH306" s="539"/>
      <c r="FI306" s="539"/>
      <c r="FJ306" s="539"/>
      <c r="FK306" s="539"/>
      <c r="FL306" s="539"/>
      <c r="FM306" s="539"/>
      <c r="FN306" s="539"/>
      <c r="FO306" s="539"/>
      <c r="FP306" s="539"/>
      <c r="FQ306" s="539"/>
      <c r="FR306" s="539"/>
      <c r="FS306" s="539"/>
      <c r="FT306" s="539"/>
      <c r="FU306" s="539"/>
      <c r="FV306" s="539"/>
      <c r="FW306" s="539"/>
      <c r="FX306" s="539"/>
      <c r="FY306" s="539"/>
      <c r="FZ306" s="539"/>
      <c r="GA306" s="539"/>
      <c r="GB306" s="539"/>
      <c r="GC306" s="539"/>
      <c r="GD306" s="539"/>
      <c r="GE306" s="539"/>
      <c r="GF306" s="539"/>
      <c r="GG306" s="539"/>
      <c r="GH306" s="539"/>
      <c r="GI306" s="539"/>
      <c r="GJ306" s="539"/>
      <c r="GK306" s="539"/>
      <c r="GL306" s="539"/>
      <c r="GM306" s="539"/>
      <c r="GN306" s="539"/>
      <c r="GO306" s="539"/>
      <c r="GP306" s="539"/>
      <c r="GQ306" s="539"/>
      <c r="GR306" s="539"/>
      <c r="GS306" s="539"/>
      <c r="GT306" s="539"/>
      <c r="GU306" s="539"/>
      <c r="GV306" s="539"/>
      <c r="GW306" s="539"/>
      <c r="GX306" s="539"/>
      <c r="GY306" s="539"/>
      <c r="GZ306" s="539"/>
      <c r="HA306" s="539"/>
      <c r="HB306" s="539"/>
      <c r="HC306" s="539"/>
      <c r="HD306" s="539"/>
      <c r="HE306" s="539"/>
      <c r="HF306" s="539"/>
      <c r="HG306" s="539"/>
      <c r="HH306" s="539"/>
      <c r="HI306" s="539"/>
      <c r="HJ306" s="539"/>
      <c r="HK306" s="539"/>
      <c r="HL306" s="539"/>
      <c r="HM306" s="539"/>
      <c r="HN306" s="539"/>
      <c r="HO306" s="539"/>
      <c r="HP306" s="539"/>
      <c r="HQ306" s="539"/>
      <c r="HR306" s="539"/>
      <c r="HS306" s="539"/>
      <c r="HT306" s="539"/>
      <c r="HU306" s="539"/>
      <c r="HV306" s="539"/>
      <c r="HW306" s="539"/>
      <c r="HX306" s="539"/>
      <c r="HY306" s="539"/>
      <c r="HZ306" s="539"/>
      <c r="IA306" s="539"/>
      <c r="IB306" s="539"/>
      <c r="IC306" s="539"/>
      <c r="ID306" s="539"/>
      <c r="IE306" s="539"/>
      <c r="IF306" s="539"/>
      <c r="IG306" s="539"/>
      <c r="IH306" s="539"/>
      <c r="II306" s="539"/>
    </row>
    <row r="307" spans="1:243" s="664" customFormat="1" ht="16.5" customHeight="1">
      <c r="A307" s="539"/>
      <c r="B307" s="539"/>
      <c r="C307" s="539"/>
      <c r="D307" s="539"/>
      <c r="E307" s="539"/>
      <c r="F307" s="539"/>
      <c r="G307" s="539"/>
      <c r="H307" s="539"/>
      <c r="I307" s="539"/>
      <c r="J307" s="539"/>
      <c r="K307" s="539"/>
      <c r="L307" s="539"/>
      <c r="M307" s="539"/>
      <c r="N307" s="539"/>
      <c r="O307" s="539"/>
      <c r="P307" s="539"/>
      <c r="Q307" s="539"/>
      <c r="R307" s="676"/>
      <c r="S307" s="676"/>
      <c r="T307" s="676"/>
      <c r="U307" s="676"/>
      <c r="V307" s="676"/>
      <c r="W307" s="676"/>
      <c r="X307" s="676"/>
      <c r="Y307" s="677"/>
      <c r="Z307" s="677"/>
      <c r="AA307" s="539"/>
      <c r="AB307" s="3139" t="s">
        <v>347</v>
      </c>
      <c r="AC307" s="3140"/>
      <c r="AD307" s="3140"/>
      <c r="AE307" s="3141"/>
      <c r="AF307" s="2934"/>
      <c r="AG307" s="2935"/>
      <c r="AH307" s="2936"/>
      <c r="AI307" s="2946"/>
      <c r="AJ307" s="2947"/>
      <c r="AK307" s="2946"/>
      <c r="AL307" s="2947"/>
      <c r="AM307" s="2940"/>
      <c r="AN307" s="2941"/>
      <c r="AO307" s="1695"/>
      <c r="AP307" s="3041" t="str">
        <f>IF(AF305&lt;&gt;"",IF(AND(ISNUMBER(FIND("-",AF305)),AM305&lt;&gt;""),RIGHT(AF305,3),AF305)&amp;IF(AM305&lt;&gt;""," LYRD","")&amp;" "&amp;TEXT(AI305,"000")&amp;"/"&amp;TEXT(AK305,"000"),IF(AQ301&lt;&gt;"","TEMPO:  "&amp;IF(AND(ISNUMBER(FIND("-",AQ301)),AX301&lt;&gt;""),RIGHT(AQ301,3),AQ301)&amp;IF(AX301&lt;&gt;""," LYRD","")&amp;" "&amp;TEXT(AT301,"000")&amp;"/"&amp;TEXT(AV301,"000"),""))&amp;"   "&amp;IF(AND(AF307&lt;&gt;"",AQ301=""),IF(AND(ISNUMBER(FIND("-",AF307)),AM307&lt;&gt;""),RIGHT(AF307,3),AF307)&amp;IF(AM307&lt;&gt;""," LYRD","")&amp;" "&amp;TEXT(AI307,"000")&amp;"/"&amp;TEXT(AK307,"000"),IF(AND(AF305&lt;&gt;"",AQ301&lt;&gt;""),"TEMPO:  "&amp;IF(AND(ISNUMBER(FIND("-",AQ301)),AX301&lt;&gt;""),RIGHT(AQ301,3),AQ301)&amp;IF(AX301&lt;&gt;""," LYRD","")&amp;" "&amp;TEXT(AT301,"000")&amp;"/"&amp;TEXT(AV301,"000"),IF(AQ303&lt;&gt;"",IF(AND(ISNUMBER(FIND("-",AQ303)),AX303&lt;&gt;""),"   "&amp;RIGHT(AQ303,3),AQ303)&amp;IF(AX303&lt;&gt;""," LYRD","")&amp;" "&amp;TEXT(AT303,"000")&amp;"/"&amp;TEXT(AV303,"000"),"")))</f>
        <v xml:space="preserve">TEMPO:  BKN 040/000   </v>
      </c>
      <c r="AQ307" s="3042"/>
      <c r="AR307" s="3042"/>
      <c r="AS307" s="3042"/>
      <c r="AT307" s="3042"/>
      <c r="AU307" s="3042"/>
      <c r="AV307" s="3042"/>
      <c r="AW307" s="3042"/>
      <c r="AX307" s="3042"/>
      <c r="AY307" s="3042"/>
      <c r="AZ307" s="3043"/>
      <c r="BA307" s="675"/>
      <c r="BB307" s="3139" t="s">
        <v>347</v>
      </c>
      <c r="BC307" s="3140"/>
      <c r="BD307" s="3140"/>
      <c r="BE307" s="3141"/>
      <c r="BF307" s="2934"/>
      <c r="BG307" s="2935"/>
      <c r="BH307" s="2936"/>
      <c r="BI307" s="2946"/>
      <c r="BJ307" s="2947"/>
      <c r="BK307" s="2946"/>
      <c r="BL307" s="2947"/>
      <c r="BM307" s="2940"/>
      <c r="BN307" s="2941"/>
      <c r="BO307" s="1695"/>
      <c r="BP307" s="3041" t="str">
        <f>IF(BF305&lt;&gt;"",IF(AND(ISNUMBER(FIND("-",BF305)),BM305&lt;&gt;""),RIGHT(BF305,3),BF305)&amp;IF(BM305&lt;&gt;""," LYRD","")&amp;" "&amp;TEXT(BI305,"000")&amp;"/"&amp;TEXT(BK305,"000"),IF(BQ301&lt;&gt;"","TEMPO:  "&amp;IF(AND(ISNUMBER(FIND("-",BQ301)),BX301&lt;&gt;""),RIGHT(BQ301,3),BQ301)&amp;IF(BX301&lt;&gt;""," LYRD","")&amp;" "&amp;TEXT(BT301,"000")&amp;"/"&amp;TEXT(BV301,"000"),""))&amp;"   "&amp;IF(AND(BF307&lt;&gt;"",BQ301=""),IF(AND(ISNUMBER(FIND("-",BF307)),BM307&lt;&gt;""),RIGHT(BF307,3),BF307)&amp;IF(BM307&lt;&gt;""," LYRD","")&amp;" "&amp;TEXT(BI307,"000")&amp;"/"&amp;TEXT(BK307,"000"),IF(AND(BF305&lt;&gt;"",BQ301&lt;&gt;""),"TEMPO:  "&amp;IF(AND(ISNUMBER(FIND("-",BQ301)),BX301&lt;&gt;""),RIGHT(BQ301,3),BQ301)&amp;IF(BX301&lt;&gt;""," LYRD","")&amp;" "&amp;TEXT(BT301,"000")&amp;"/"&amp;TEXT(BV301,"000"),IF(BQ303&lt;&gt;"",IF(AND(ISNUMBER(FIND("-",BQ303)),BX303&lt;&gt;""),"   "&amp;RIGHT(BQ303,3),BQ303)&amp;IF(BX303&lt;&gt;""," LYRD","")&amp;" "&amp;TEXT(BT303,"000")&amp;"/"&amp;TEXT(BV303,"000"),"")))</f>
        <v xml:space="preserve">   </v>
      </c>
      <c r="BQ307" s="3042"/>
      <c r="BR307" s="3042"/>
      <c r="BS307" s="3042"/>
      <c r="BT307" s="3042"/>
      <c r="BU307" s="3042"/>
      <c r="BV307" s="3042"/>
      <c r="BW307" s="3042"/>
      <c r="BX307" s="3042"/>
      <c r="BY307" s="3042"/>
      <c r="BZ307" s="3043"/>
      <c r="CA307" s="675"/>
      <c r="CB307" s="3139" t="s">
        <v>347</v>
      </c>
      <c r="CC307" s="3140"/>
      <c r="CD307" s="3140"/>
      <c r="CE307" s="3141"/>
      <c r="CF307" s="2934"/>
      <c r="CG307" s="2935"/>
      <c r="CH307" s="2936"/>
      <c r="CI307" s="2946"/>
      <c r="CJ307" s="2947"/>
      <c r="CK307" s="2946"/>
      <c r="CL307" s="2947"/>
      <c r="CM307" s="2940"/>
      <c r="CN307" s="2941"/>
      <c r="CO307" s="1695"/>
      <c r="CP307" s="3041" t="str">
        <f>IF(CF305&lt;&gt;"",IF(AND(ISNUMBER(FIND("-",CF305)),CM305&lt;&gt;""),RIGHT(CF305,3),CF305)&amp;IF(CM305&lt;&gt;""," LYRD","")&amp;" "&amp;TEXT(CI305,"000")&amp;"/"&amp;TEXT(CK305,"000"),IF(CQ301&lt;&gt;"","TEMPO:  "&amp;IF(AND(ISNUMBER(FIND("-",CQ301)),CX301&lt;&gt;""),RIGHT(CQ301,3),CQ301)&amp;IF(CX301&lt;&gt;""," LYRD","")&amp;" "&amp;TEXT(CT301,"000")&amp;"/"&amp;TEXT(CV301,"000"),""))&amp;"   "&amp;IF(AND(CF307&lt;&gt;"",CQ301=""),IF(AND(ISNUMBER(FIND("-",CF307)),CM307&lt;&gt;""),RIGHT(CF307,3),CF307)&amp;IF(CM307&lt;&gt;""," LYRD","")&amp;" "&amp;TEXT(CI307,"000")&amp;"/"&amp;TEXT(CK307,"000"),IF(AND(CF305&lt;&gt;"",CQ301&lt;&gt;""),"TEMPO:  "&amp;IF(AND(ISNUMBER(FIND("-",CQ301)),CX301&lt;&gt;""),RIGHT(CQ301,3),CQ301)&amp;IF(CX301&lt;&gt;""," LYRD","")&amp;" "&amp;TEXT(CT301,"000")&amp;"/"&amp;TEXT(CV301,"000"),IF(CQ303&lt;&gt;"",IF(AND(ISNUMBER(FIND("-",CQ303)),CX303&lt;&gt;""),"   "&amp;RIGHT(CQ303,3),CQ303)&amp;IF(CX303&lt;&gt;""," LYRD","")&amp;" "&amp;TEXT(CT303,"000")&amp;"/"&amp;TEXT(CV303,"000"),"")))</f>
        <v xml:space="preserve">   </v>
      </c>
      <c r="CQ307" s="3042"/>
      <c r="CR307" s="3042"/>
      <c r="CS307" s="3042"/>
      <c r="CT307" s="3042"/>
      <c r="CU307" s="3042"/>
      <c r="CV307" s="3042"/>
      <c r="CW307" s="3042"/>
      <c r="CX307" s="3042"/>
      <c r="CY307" s="3042"/>
      <c r="CZ307" s="3043"/>
      <c r="DA307" s="675"/>
      <c r="DB307" s="3139" t="s">
        <v>347</v>
      </c>
      <c r="DC307" s="3140"/>
      <c r="DD307" s="3140"/>
      <c r="DE307" s="3141"/>
      <c r="DF307" s="2934"/>
      <c r="DG307" s="2935"/>
      <c r="DH307" s="2936"/>
      <c r="DI307" s="2946"/>
      <c r="DJ307" s="2947"/>
      <c r="DK307" s="2946"/>
      <c r="DL307" s="2947"/>
      <c r="DM307" s="2940"/>
      <c r="DN307" s="2941"/>
      <c r="DO307" s="1695"/>
      <c r="DP307" s="3041" t="str">
        <f>IF(DF305&lt;&gt;"",IF(AND(ISNUMBER(FIND("-",DF305)),DM305&lt;&gt;""),RIGHT(DF305,3),DF305)&amp;IF(DM305&lt;&gt;""," LYRD","")&amp;" "&amp;TEXT(DI305,"000")&amp;"/"&amp;TEXT(DK305,"000"),IF(DQ301&lt;&gt;"","TEMPO:  "&amp;IF(AND(ISNUMBER(FIND("-",DQ301)),DX301&lt;&gt;""),RIGHT(DQ301,3),DQ301)&amp;IF(DX301&lt;&gt;""," LYRD","")&amp;" "&amp;TEXT(DT301,"000")&amp;"/"&amp;TEXT(DV301,"000"),""))&amp;"   "&amp;IF(AND(DF307&lt;&gt;"",DQ301=""),IF(AND(ISNUMBER(FIND("-",DF307)),DM307&lt;&gt;""),RIGHT(DF307,3),DF307)&amp;IF(DM307&lt;&gt;""," LYRD","")&amp;" "&amp;TEXT(DI307,"000")&amp;"/"&amp;TEXT(DK307,"000"),IF(AND(DF305&lt;&gt;"",DQ301&lt;&gt;""),"TEMPO:  "&amp;IF(AND(ISNUMBER(FIND("-",DQ301)),DX301&lt;&gt;""),RIGHT(DQ301,3),DQ301)&amp;IF(DX301&lt;&gt;""," LYRD","")&amp;" "&amp;TEXT(DT301,"000")&amp;"/"&amp;TEXT(DV301,"000"),IF(DQ303&lt;&gt;"",IF(AND(ISNUMBER(FIND("-",DQ303)),DX303&lt;&gt;""),"   "&amp;RIGHT(DQ303,3),DQ303)&amp;IF(DX303&lt;&gt;""," LYRD","")&amp;" "&amp;TEXT(DT303,"000")&amp;"/"&amp;TEXT(DV303,"000"),"")))</f>
        <v xml:space="preserve">   </v>
      </c>
      <c r="DQ307" s="3042"/>
      <c r="DR307" s="3042"/>
      <c r="DS307" s="3042"/>
      <c r="DT307" s="3042"/>
      <c r="DU307" s="3042"/>
      <c r="DV307" s="3042"/>
      <c r="DW307" s="3042"/>
      <c r="DX307" s="3042"/>
      <c r="DY307" s="3042"/>
      <c r="DZ307" s="3043"/>
      <c r="EA307" s="539"/>
      <c r="EB307" s="539"/>
      <c r="EC307" s="539"/>
      <c r="ED307" s="539"/>
      <c r="EE307" s="539"/>
      <c r="EF307" s="539"/>
      <c r="EG307" s="539"/>
      <c r="EH307" s="539"/>
      <c r="EI307" s="539"/>
      <c r="EJ307" s="539"/>
      <c r="EK307" s="539"/>
      <c r="EL307" s="539"/>
      <c r="EM307" s="539"/>
      <c r="EN307" s="539"/>
      <c r="EO307" s="539"/>
      <c r="EP307" s="539"/>
      <c r="EQ307" s="539"/>
      <c r="ER307" s="539"/>
      <c r="ES307" s="539"/>
      <c r="ET307" s="539"/>
      <c r="EU307" s="539"/>
      <c r="EV307" s="539"/>
      <c r="EW307" s="539"/>
      <c r="EX307" s="539"/>
      <c r="EY307" s="539"/>
      <c r="EZ307" s="539"/>
      <c r="FA307" s="539"/>
      <c r="FB307" s="539"/>
      <c r="FC307" s="539"/>
      <c r="FD307" s="539"/>
      <c r="FE307" s="539"/>
      <c r="FF307" s="539"/>
      <c r="FG307" s="539"/>
      <c r="FH307" s="539"/>
      <c r="FI307" s="539"/>
      <c r="FJ307" s="539"/>
      <c r="FK307" s="539"/>
      <c r="FL307" s="539"/>
      <c r="FM307" s="539"/>
      <c r="FN307" s="539"/>
      <c r="FO307" s="539"/>
      <c r="FP307" s="539"/>
      <c r="FQ307" s="539"/>
      <c r="FR307" s="539"/>
      <c r="FS307" s="539"/>
      <c r="FT307" s="539"/>
      <c r="FU307" s="539"/>
      <c r="FV307" s="539"/>
      <c r="FW307" s="539"/>
      <c r="FX307" s="539"/>
      <c r="FY307" s="539"/>
      <c r="FZ307" s="539"/>
      <c r="GA307" s="539"/>
      <c r="GB307" s="539"/>
      <c r="GC307" s="539"/>
      <c r="GD307" s="539"/>
      <c r="GE307" s="539"/>
      <c r="GF307" s="539"/>
      <c r="GG307" s="539"/>
      <c r="GH307" s="539"/>
      <c r="GI307" s="539"/>
      <c r="GJ307" s="539"/>
      <c r="GK307" s="539"/>
      <c r="GL307" s="539"/>
      <c r="GM307" s="539"/>
      <c r="GN307" s="539"/>
      <c r="GO307" s="539"/>
      <c r="GP307" s="539"/>
      <c r="GQ307" s="539"/>
      <c r="GR307" s="539"/>
      <c r="GS307" s="539"/>
      <c r="GT307" s="539"/>
      <c r="GU307" s="539"/>
      <c r="GV307" s="539"/>
      <c r="GW307" s="539"/>
      <c r="GX307" s="539"/>
      <c r="GY307" s="539"/>
      <c r="GZ307" s="539"/>
      <c r="HA307" s="539"/>
      <c r="HB307" s="539"/>
      <c r="HC307" s="539"/>
      <c r="HD307" s="539"/>
      <c r="HE307" s="539"/>
      <c r="HF307" s="539"/>
      <c r="HG307" s="539"/>
      <c r="HH307" s="539"/>
      <c r="HI307" s="539"/>
      <c r="HJ307" s="539"/>
      <c r="HK307" s="539"/>
      <c r="HL307" s="539"/>
      <c r="HM307" s="539"/>
      <c r="HN307" s="539"/>
      <c r="HO307" s="539"/>
      <c r="HP307" s="539"/>
      <c r="HQ307" s="539"/>
      <c r="HR307" s="539"/>
      <c r="HS307" s="539"/>
      <c r="HT307" s="539"/>
      <c r="HU307" s="539"/>
      <c r="HV307" s="539"/>
      <c r="HW307" s="539"/>
      <c r="HX307" s="539"/>
      <c r="HY307" s="539"/>
      <c r="HZ307" s="539"/>
      <c r="IA307" s="539"/>
      <c r="IB307" s="539"/>
      <c r="IC307" s="539"/>
      <c r="ID307" s="539"/>
      <c r="IE307" s="539"/>
      <c r="IF307" s="539"/>
      <c r="IG307" s="539"/>
      <c r="IH307" s="539"/>
      <c r="II307" s="539"/>
    </row>
    <row r="308" spans="1:243" s="664" customFormat="1" ht="12" customHeight="1">
      <c r="A308" s="539"/>
      <c r="B308" s="539"/>
      <c r="C308" s="539"/>
      <c r="D308" s="539"/>
      <c r="E308" s="539"/>
      <c r="F308" s="539"/>
      <c r="G308" s="539"/>
      <c r="H308" s="539"/>
      <c r="I308" s="539"/>
      <c r="J308" s="539"/>
      <c r="K308" s="539"/>
      <c r="L308" s="539"/>
      <c r="M308" s="539"/>
      <c r="N308" s="539"/>
      <c r="O308" s="539"/>
      <c r="P308" s="539"/>
      <c r="Q308" s="539"/>
      <c r="R308" s="676"/>
      <c r="S308" s="676"/>
      <c r="T308" s="676"/>
      <c r="U308" s="676"/>
      <c r="V308" s="676"/>
      <c r="W308" s="676"/>
      <c r="X308" s="676"/>
      <c r="Y308" s="677"/>
      <c r="Z308" s="677"/>
      <c r="AA308" s="539"/>
      <c r="AB308" s="1744"/>
      <c r="AC308" s="1697"/>
      <c r="AD308" s="1697"/>
      <c r="AE308" s="1697"/>
      <c r="AF308" s="1699"/>
      <c r="AG308" s="1700"/>
      <c r="AH308" s="1700"/>
      <c r="AI308" s="1700"/>
      <c r="AJ308" s="1700"/>
      <c r="AK308" s="1701"/>
      <c r="AL308" s="1701"/>
      <c r="AM308" s="1701"/>
      <c r="AN308" s="1701"/>
      <c r="AO308" s="1701"/>
      <c r="AP308" s="3044"/>
      <c r="AQ308" s="3045"/>
      <c r="AR308" s="3045"/>
      <c r="AS308" s="3045"/>
      <c r="AT308" s="3045"/>
      <c r="AU308" s="3045"/>
      <c r="AV308" s="3045"/>
      <c r="AW308" s="3045"/>
      <c r="AX308" s="3045"/>
      <c r="AY308" s="3045"/>
      <c r="AZ308" s="3046"/>
      <c r="BA308" s="678"/>
      <c r="BB308" s="1744"/>
      <c r="BC308" s="1697"/>
      <c r="BD308" s="1697"/>
      <c r="BE308" s="1697"/>
      <c r="BF308" s="1699"/>
      <c r="BG308" s="1700"/>
      <c r="BH308" s="1700"/>
      <c r="BI308" s="1700"/>
      <c r="BJ308" s="1700"/>
      <c r="BK308" s="1701"/>
      <c r="BL308" s="1701"/>
      <c r="BM308" s="1701"/>
      <c r="BN308" s="1701"/>
      <c r="BO308" s="1701"/>
      <c r="BP308" s="3044"/>
      <c r="BQ308" s="3045"/>
      <c r="BR308" s="3045"/>
      <c r="BS308" s="3045"/>
      <c r="BT308" s="3045"/>
      <c r="BU308" s="3045"/>
      <c r="BV308" s="3045"/>
      <c r="BW308" s="3045"/>
      <c r="BX308" s="3045"/>
      <c r="BY308" s="3045"/>
      <c r="BZ308" s="3046"/>
      <c r="CA308" s="678"/>
      <c r="CB308" s="1744"/>
      <c r="CC308" s="1697"/>
      <c r="CD308" s="1697"/>
      <c r="CE308" s="1697"/>
      <c r="CF308" s="1699"/>
      <c r="CG308" s="1700"/>
      <c r="CH308" s="1700"/>
      <c r="CI308" s="1700"/>
      <c r="CJ308" s="1700"/>
      <c r="CK308" s="1701"/>
      <c r="CL308" s="1701"/>
      <c r="CM308" s="1701"/>
      <c r="CN308" s="1701"/>
      <c r="CO308" s="1701"/>
      <c r="CP308" s="3044"/>
      <c r="CQ308" s="3045"/>
      <c r="CR308" s="3045"/>
      <c r="CS308" s="3045"/>
      <c r="CT308" s="3045"/>
      <c r="CU308" s="3045"/>
      <c r="CV308" s="3045"/>
      <c r="CW308" s="3045"/>
      <c r="CX308" s="3045"/>
      <c r="CY308" s="3045"/>
      <c r="CZ308" s="3046"/>
      <c r="DA308" s="678"/>
      <c r="DB308" s="1744"/>
      <c r="DC308" s="1697"/>
      <c r="DD308" s="1697"/>
      <c r="DE308" s="1697"/>
      <c r="DF308" s="1699"/>
      <c r="DG308" s="1700"/>
      <c r="DH308" s="1700"/>
      <c r="DI308" s="1700"/>
      <c r="DJ308" s="1700"/>
      <c r="DK308" s="1701"/>
      <c r="DL308" s="1701"/>
      <c r="DM308" s="1701"/>
      <c r="DN308" s="1701"/>
      <c r="DO308" s="1701"/>
      <c r="DP308" s="3044"/>
      <c r="DQ308" s="3045"/>
      <c r="DR308" s="3045"/>
      <c r="DS308" s="3045"/>
      <c r="DT308" s="3045"/>
      <c r="DU308" s="3045"/>
      <c r="DV308" s="3045"/>
      <c r="DW308" s="3045"/>
      <c r="DX308" s="3045"/>
      <c r="DY308" s="3045"/>
      <c r="DZ308" s="3046"/>
      <c r="EA308" s="539"/>
      <c r="EB308" s="539"/>
      <c r="EC308" s="539"/>
      <c r="ED308" s="539"/>
      <c r="EE308" s="539"/>
      <c r="EF308" s="539"/>
      <c r="EG308" s="539"/>
      <c r="EH308" s="539"/>
      <c r="EI308" s="539"/>
      <c r="EJ308" s="539"/>
      <c r="EK308" s="539"/>
      <c r="EL308" s="539"/>
      <c r="EM308" s="539"/>
      <c r="EN308" s="539"/>
      <c r="EO308" s="539"/>
      <c r="EP308" s="539"/>
      <c r="EQ308" s="539"/>
      <c r="ER308" s="539"/>
      <c r="ES308" s="539"/>
      <c r="ET308" s="539"/>
      <c r="EU308" s="539"/>
      <c r="EV308" s="539"/>
      <c r="EW308" s="539"/>
      <c r="EX308" s="539"/>
      <c r="EY308" s="539"/>
      <c r="EZ308" s="539"/>
      <c r="FA308" s="539"/>
      <c r="FB308" s="539"/>
      <c r="FC308" s="539"/>
      <c r="FD308" s="539"/>
      <c r="FE308" s="539"/>
      <c r="FF308" s="539"/>
      <c r="FG308" s="539"/>
      <c r="FH308" s="539"/>
      <c r="FI308" s="539"/>
      <c r="FJ308" s="539"/>
      <c r="FK308" s="539"/>
      <c r="FL308" s="539"/>
      <c r="FM308" s="539"/>
      <c r="FN308" s="539"/>
      <c r="FO308" s="539"/>
      <c r="FP308" s="539"/>
      <c r="FQ308" s="539"/>
      <c r="FR308" s="539"/>
      <c r="FS308" s="539"/>
      <c r="FT308" s="539"/>
      <c r="FU308" s="539"/>
      <c r="FV308" s="539"/>
      <c r="FW308" s="539"/>
      <c r="FX308" s="539"/>
      <c r="FY308" s="539"/>
      <c r="FZ308" s="539"/>
      <c r="GA308" s="539"/>
      <c r="GB308" s="539"/>
      <c r="GC308" s="539"/>
      <c r="GD308" s="539"/>
      <c r="GE308" s="539"/>
      <c r="GF308" s="539"/>
      <c r="GG308" s="539"/>
      <c r="GH308" s="539"/>
      <c r="GI308" s="539"/>
      <c r="GJ308" s="539"/>
      <c r="GK308" s="539"/>
      <c r="GL308" s="539"/>
      <c r="GM308" s="539"/>
      <c r="GN308" s="539"/>
      <c r="GO308" s="539"/>
      <c r="GP308" s="539"/>
      <c r="GQ308" s="539"/>
      <c r="GR308" s="539"/>
      <c r="GS308" s="539"/>
      <c r="GT308" s="539"/>
      <c r="GU308" s="539"/>
      <c r="GV308" s="539"/>
      <c r="GW308" s="539"/>
      <c r="GX308" s="539"/>
      <c r="GY308" s="539"/>
      <c r="GZ308" s="539"/>
      <c r="HA308" s="539"/>
      <c r="HB308" s="539"/>
      <c r="HC308" s="539"/>
      <c r="HD308" s="539"/>
      <c r="HE308" s="539"/>
      <c r="HF308" s="539"/>
      <c r="HG308" s="539"/>
      <c r="HH308" s="539"/>
      <c r="HI308" s="539"/>
      <c r="HJ308" s="539"/>
      <c r="HK308" s="539"/>
      <c r="HL308" s="539"/>
      <c r="HM308" s="539"/>
      <c r="HN308" s="539"/>
      <c r="HO308" s="539"/>
      <c r="HP308" s="539"/>
      <c r="HQ308" s="539"/>
      <c r="HR308" s="539"/>
      <c r="HS308" s="539"/>
      <c r="HT308" s="539"/>
      <c r="HU308" s="539"/>
      <c r="HV308" s="539"/>
      <c r="HW308" s="539"/>
      <c r="HX308" s="539"/>
      <c r="HY308" s="539"/>
      <c r="HZ308" s="539"/>
      <c r="IA308" s="539"/>
      <c r="IB308" s="539"/>
      <c r="IC308" s="539"/>
      <c r="ID308" s="539"/>
      <c r="IE308" s="539"/>
      <c r="IF308" s="539"/>
      <c r="IG308" s="539"/>
      <c r="IH308" s="539"/>
      <c r="II308" s="539"/>
    </row>
    <row r="309" spans="1:243" s="664" customFormat="1" ht="16.5" customHeight="1">
      <c r="A309" s="539"/>
      <c r="B309" s="539"/>
      <c r="C309" s="539"/>
      <c r="D309" s="539"/>
      <c r="E309" s="539"/>
      <c r="F309" s="539"/>
      <c r="G309" s="539"/>
      <c r="H309" s="539"/>
      <c r="I309" s="539"/>
      <c r="J309" s="539"/>
      <c r="K309" s="539"/>
      <c r="L309" s="539"/>
      <c r="M309" s="539"/>
      <c r="N309" s="539"/>
      <c r="O309" s="539"/>
      <c r="P309" s="539"/>
      <c r="Q309" s="668"/>
      <c r="R309" s="679"/>
      <c r="S309" s="679"/>
      <c r="T309" s="679"/>
      <c r="U309" s="679"/>
      <c r="V309" s="679"/>
      <c r="W309" s="679"/>
      <c r="X309" s="679"/>
      <c r="Y309" s="680"/>
      <c r="Z309" s="680"/>
      <c r="AA309" s="681"/>
      <c r="AB309" s="1745" t="s">
        <v>348</v>
      </c>
      <c r="AC309" s="1667"/>
      <c r="AD309" s="1684"/>
      <c r="AE309" s="1718"/>
      <c r="AF309" s="1719"/>
      <c r="AG309" s="2944" t="s">
        <v>349</v>
      </c>
      <c r="AH309" s="2944"/>
      <c r="AI309" s="2944"/>
      <c r="AJ309" s="2944"/>
      <c r="AK309" s="2944" t="s">
        <v>350</v>
      </c>
      <c r="AL309" s="2944"/>
      <c r="AM309" s="2944"/>
      <c r="AN309" s="2944"/>
      <c r="AO309" s="1685"/>
      <c r="AP309" s="1731"/>
      <c r="AQ309" s="1716"/>
      <c r="AR309" s="1717"/>
      <c r="AS309" s="2937" t="s">
        <v>351</v>
      </c>
      <c r="AT309" s="2937"/>
      <c r="AU309" s="2937"/>
      <c r="AV309" s="2937"/>
      <c r="AW309" s="2937" t="s">
        <v>350</v>
      </c>
      <c r="AX309" s="2937"/>
      <c r="AY309" s="2937"/>
      <c r="AZ309" s="2938"/>
      <c r="BA309" s="678"/>
      <c r="BB309" s="1745" t="s">
        <v>348</v>
      </c>
      <c r="BC309" s="1667"/>
      <c r="BD309" s="1684"/>
      <c r="BE309" s="1718"/>
      <c r="BF309" s="1719"/>
      <c r="BG309" s="2944" t="s">
        <v>349</v>
      </c>
      <c r="BH309" s="2944"/>
      <c r="BI309" s="2944"/>
      <c r="BJ309" s="2944"/>
      <c r="BK309" s="2944" t="s">
        <v>350</v>
      </c>
      <c r="BL309" s="2944"/>
      <c r="BM309" s="2944"/>
      <c r="BN309" s="2944"/>
      <c r="BO309" s="1685"/>
      <c r="BP309" s="1731"/>
      <c r="BQ309" s="1716"/>
      <c r="BR309" s="1717"/>
      <c r="BS309" s="2937" t="s">
        <v>351</v>
      </c>
      <c r="BT309" s="2937"/>
      <c r="BU309" s="2937"/>
      <c r="BV309" s="2937"/>
      <c r="BW309" s="2937" t="s">
        <v>350</v>
      </c>
      <c r="BX309" s="2937"/>
      <c r="BY309" s="2937"/>
      <c r="BZ309" s="2938"/>
      <c r="CA309" s="683"/>
      <c r="CB309" s="1745" t="s">
        <v>348</v>
      </c>
      <c r="CC309" s="1667"/>
      <c r="CD309" s="1684"/>
      <c r="CE309" s="1718"/>
      <c r="CF309" s="1719"/>
      <c r="CG309" s="2944" t="s">
        <v>349</v>
      </c>
      <c r="CH309" s="2944"/>
      <c r="CI309" s="2944"/>
      <c r="CJ309" s="2944"/>
      <c r="CK309" s="2944" t="s">
        <v>350</v>
      </c>
      <c r="CL309" s="2944"/>
      <c r="CM309" s="2944"/>
      <c r="CN309" s="2944"/>
      <c r="CO309" s="1685"/>
      <c r="CP309" s="1731"/>
      <c r="CQ309" s="1716"/>
      <c r="CR309" s="1717"/>
      <c r="CS309" s="2937" t="s">
        <v>351</v>
      </c>
      <c r="CT309" s="2937"/>
      <c r="CU309" s="2937"/>
      <c r="CV309" s="2937"/>
      <c r="CW309" s="2937" t="s">
        <v>350</v>
      </c>
      <c r="CX309" s="2937"/>
      <c r="CY309" s="2937"/>
      <c r="CZ309" s="2938"/>
      <c r="DA309" s="683"/>
      <c r="DB309" s="1745" t="s">
        <v>348</v>
      </c>
      <c r="DC309" s="1667"/>
      <c r="DD309" s="1684"/>
      <c r="DE309" s="1718"/>
      <c r="DF309" s="1719"/>
      <c r="DG309" s="2944" t="s">
        <v>349</v>
      </c>
      <c r="DH309" s="2944"/>
      <c r="DI309" s="2944"/>
      <c r="DJ309" s="2944"/>
      <c r="DK309" s="2944" t="s">
        <v>350</v>
      </c>
      <c r="DL309" s="2944"/>
      <c r="DM309" s="2944"/>
      <c r="DN309" s="2944"/>
      <c r="DO309" s="1685"/>
      <c r="DP309" s="1731"/>
      <c r="DQ309" s="1716"/>
      <c r="DR309" s="1717"/>
      <c r="DS309" s="2937" t="s">
        <v>351</v>
      </c>
      <c r="DT309" s="2937"/>
      <c r="DU309" s="2937"/>
      <c r="DV309" s="2937"/>
      <c r="DW309" s="2937" t="s">
        <v>350</v>
      </c>
      <c r="DX309" s="2937"/>
      <c r="DY309" s="2937"/>
      <c r="DZ309" s="2938"/>
      <c r="EA309" s="539"/>
      <c r="EB309" s="539"/>
      <c r="EC309" s="539"/>
      <c r="ED309" s="539"/>
      <c r="EE309" s="539"/>
      <c r="EF309" s="539"/>
      <c r="EG309" s="539"/>
      <c r="EH309" s="539"/>
      <c r="EI309" s="539"/>
      <c r="EJ309" s="539"/>
      <c r="EK309" s="539"/>
      <c r="EL309" s="539"/>
      <c r="EM309" s="539"/>
      <c r="EN309" s="539"/>
      <c r="EO309" s="539"/>
      <c r="EP309" s="539"/>
      <c r="EQ309" s="539"/>
      <c r="ER309" s="539"/>
      <c r="ES309" s="539"/>
      <c r="ET309" s="539"/>
      <c r="EU309" s="539"/>
      <c r="EV309" s="539"/>
      <c r="EW309" s="539"/>
      <c r="EX309" s="539"/>
      <c r="EY309" s="539"/>
      <c r="EZ309" s="539"/>
      <c r="FA309" s="539"/>
      <c r="FB309" s="539"/>
      <c r="FC309" s="539"/>
      <c r="FD309" s="539"/>
      <c r="FE309" s="539"/>
      <c r="FF309" s="539"/>
      <c r="FG309" s="539"/>
      <c r="FH309" s="539"/>
      <c r="FI309" s="539"/>
      <c r="FJ309" s="539"/>
      <c r="FK309" s="539"/>
      <c r="FL309" s="539"/>
      <c r="FM309" s="539"/>
      <c r="FN309" s="539"/>
      <c r="FO309" s="539"/>
      <c r="FP309" s="539"/>
      <c r="FQ309" s="539"/>
      <c r="FR309" s="539"/>
      <c r="FS309" s="539"/>
      <c r="FT309" s="539"/>
      <c r="FU309" s="539"/>
      <c r="FV309" s="539"/>
      <c r="FW309" s="539"/>
      <c r="FX309" s="539"/>
      <c r="FY309" s="539"/>
      <c r="FZ309" s="539"/>
      <c r="GA309" s="539"/>
      <c r="GB309" s="539"/>
      <c r="GC309" s="539"/>
      <c r="GD309" s="539"/>
      <c r="GE309" s="539"/>
      <c r="GF309" s="539"/>
      <c r="GG309" s="539"/>
      <c r="GH309" s="539"/>
      <c r="GI309" s="539"/>
      <c r="GJ309" s="539"/>
      <c r="GK309" s="539"/>
      <c r="GL309" s="539"/>
      <c r="GM309" s="539"/>
      <c r="GN309" s="539"/>
      <c r="GO309" s="539"/>
      <c r="GP309" s="539"/>
      <c r="GQ309" s="539"/>
      <c r="GR309" s="539"/>
      <c r="GS309" s="539"/>
      <c r="GT309" s="539"/>
      <c r="GU309" s="539"/>
      <c r="GV309" s="539"/>
      <c r="GW309" s="539"/>
      <c r="GX309" s="539"/>
      <c r="GY309" s="539"/>
      <c r="GZ309" s="539"/>
      <c r="HA309" s="539"/>
      <c r="HB309" s="539"/>
      <c r="HC309" s="539"/>
      <c r="HD309" s="539"/>
      <c r="HE309" s="539"/>
      <c r="HF309" s="539"/>
      <c r="HG309" s="539"/>
      <c r="HH309" s="539"/>
      <c r="HI309" s="539"/>
      <c r="HJ309" s="539"/>
      <c r="HK309" s="539"/>
      <c r="HL309" s="539"/>
      <c r="HM309" s="539"/>
      <c r="HN309" s="539"/>
      <c r="HO309" s="539"/>
      <c r="HP309" s="539"/>
      <c r="HQ309" s="539"/>
      <c r="HR309" s="539"/>
      <c r="HS309" s="539"/>
      <c r="HT309" s="539"/>
      <c r="HU309" s="539"/>
      <c r="HV309" s="539"/>
      <c r="HW309" s="539"/>
      <c r="HX309" s="539"/>
      <c r="HY309" s="539"/>
      <c r="HZ309" s="539"/>
      <c r="IA309" s="539"/>
      <c r="IB309" s="539"/>
      <c r="IC309" s="539"/>
      <c r="ID309" s="539"/>
      <c r="IE309" s="539"/>
      <c r="IF309" s="539"/>
      <c r="IG309" s="539"/>
      <c r="IH309" s="539"/>
      <c r="II309" s="539"/>
    </row>
    <row r="310" spans="1:243" s="664" customFormat="1" ht="12.75" customHeight="1">
      <c r="A310" s="539"/>
      <c r="B310" s="539"/>
      <c r="C310" s="539"/>
      <c r="D310" s="539"/>
      <c r="E310" s="539"/>
      <c r="F310" s="539"/>
      <c r="G310" s="539"/>
      <c r="H310" s="539"/>
      <c r="I310" s="539"/>
      <c r="J310" s="539"/>
      <c r="K310" s="539"/>
      <c r="L310" s="539"/>
      <c r="M310" s="539"/>
      <c r="N310" s="539"/>
      <c r="O310" s="539"/>
      <c r="P310" s="539"/>
      <c r="Q310" s="668"/>
      <c r="R310" s="679"/>
      <c r="S310" s="679"/>
      <c r="T310" s="679"/>
      <c r="U310" s="679"/>
      <c r="V310" s="679"/>
      <c r="W310" s="679"/>
      <c r="X310" s="679"/>
      <c r="Y310" s="680"/>
      <c r="Z310" s="680"/>
      <c r="AA310" s="681"/>
      <c r="AB310" s="3034" t="s">
        <v>352</v>
      </c>
      <c r="AC310" s="3035"/>
      <c r="AD310" s="3035"/>
      <c r="AE310" s="2933" t="s">
        <v>353</v>
      </c>
      <c r="AF310" s="2933"/>
      <c r="AG310" s="2945"/>
      <c r="AH310" s="2945"/>
      <c r="AI310" s="2945"/>
      <c r="AJ310" s="2945"/>
      <c r="AK310" s="2945"/>
      <c r="AL310" s="2945"/>
      <c r="AM310" s="2945"/>
      <c r="AN310" s="2945"/>
      <c r="AO310" s="1685"/>
      <c r="AP310" s="1732"/>
      <c r="AQ310" s="3036" t="s">
        <v>353</v>
      </c>
      <c r="AR310" s="3036"/>
      <c r="AS310" s="2939"/>
      <c r="AT310" s="2939"/>
      <c r="AU310" s="2939"/>
      <c r="AV310" s="2939"/>
      <c r="AW310" s="2939"/>
      <c r="AX310" s="2939"/>
      <c r="AY310" s="2939"/>
      <c r="AZ310" s="2938"/>
      <c r="BA310" s="665"/>
      <c r="BB310" s="3034" t="s">
        <v>352</v>
      </c>
      <c r="BC310" s="3035"/>
      <c r="BD310" s="3035"/>
      <c r="BE310" s="2933" t="s">
        <v>353</v>
      </c>
      <c r="BF310" s="2933"/>
      <c r="BG310" s="2945"/>
      <c r="BH310" s="2945"/>
      <c r="BI310" s="2945"/>
      <c r="BJ310" s="2945"/>
      <c r="BK310" s="2945"/>
      <c r="BL310" s="2945"/>
      <c r="BM310" s="2945"/>
      <c r="BN310" s="2945"/>
      <c r="BO310" s="1685"/>
      <c r="BP310" s="1732"/>
      <c r="BQ310" s="3036" t="s">
        <v>353</v>
      </c>
      <c r="BR310" s="3036"/>
      <c r="BS310" s="2939"/>
      <c r="BT310" s="2939"/>
      <c r="BU310" s="2939"/>
      <c r="BV310" s="2939"/>
      <c r="BW310" s="2939"/>
      <c r="BX310" s="2939"/>
      <c r="BY310" s="2939"/>
      <c r="BZ310" s="2938"/>
      <c r="CA310" s="683"/>
      <c r="CB310" s="3034" t="s">
        <v>352</v>
      </c>
      <c r="CC310" s="3035"/>
      <c r="CD310" s="3035"/>
      <c r="CE310" s="2933" t="s">
        <v>353</v>
      </c>
      <c r="CF310" s="2933"/>
      <c r="CG310" s="2945"/>
      <c r="CH310" s="2945"/>
      <c r="CI310" s="2945"/>
      <c r="CJ310" s="2945"/>
      <c r="CK310" s="2945"/>
      <c r="CL310" s="2945"/>
      <c r="CM310" s="2945"/>
      <c r="CN310" s="2945"/>
      <c r="CO310" s="1685"/>
      <c r="CP310" s="1732"/>
      <c r="CQ310" s="3036" t="s">
        <v>353</v>
      </c>
      <c r="CR310" s="3036"/>
      <c r="CS310" s="2939"/>
      <c r="CT310" s="2939"/>
      <c r="CU310" s="2939"/>
      <c r="CV310" s="2939"/>
      <c r="CW310" s="2939"/>
      <c r="CX310" s="2939"/>
      <c r="CY310" s="2939"/>
      <c r="CZ310" s="2938"/>
      <c r="DA310" s="683"/>
      <c r="DB310" s="3034" t="s">
        <v>352</v>
      </c>
      <c r="DC310" s="3035"/>
      <c r="DD310" s="3035"/>
      <c r="DE310" s="2933" t="s">
        <v>353</v>
      </c>
      <c r="DF310" s="2933"/>
      <c r="DG310" s="2945"/>
      <c r="DH310" s="2945"/>
      <c r="DI310" s="2945"/>
      <c r="DJ310" s="2945"/>
      <c r="DK310" s="2945"/>
      <c r="DL310" s="2945"/>
      <c r="DM310" s="2945"/>
      <c r="DN310" s="2945"/>
      <c r="DO310" s="1685"/>
      <c r="DP310" s="1732"/>
      <c r="DQ310" s="3036" t="s">
        <v>353</v>
      </c>
      <c r="DR310" s="3036"/>
      <c r="DS310" s="2939"/>
      <c r="DT310" s="2939"/>
      <c r="DU310" s="2939"/>
      <c r="DV310" s="2939"/>
      <c r="DW310" s="2939"/>
      <c r="DX310" s="2939"/>
      <c r="DY310" s="2939"/>
      <c r="DZ310" s="2938"/>
      <c r="EA310" s="539"/>
      <c r="EB310" s="539"/>
      <c r="EC310" s="539"/>
      <c r="ED310" s="539"/>
      <c r="EE310" s="539"/>
      <c r="EF310" s="539"/>
      <c r="EG310" s="539"/>
      <c r="EH310" s="539"/>
      <c r="EI310" s="539"/>
      <c r="EJ310" s="539"/>
      <c r="EK310" s="539"/>
      <c r="EL310" s="539"/>
      <c r="EM310" s="539"/>
      <c r="EN310" s="539"/>
      <c r="EO310" s="539"/>
      <c r="EP310" s="539"/>
      <c r="EQ310" s="539"/>
      <c r="ER310" s="539"/>
      <c r="ES310" s="539"/>
      <c r="ET310" s="539"/>
      <c r="EU310" s="539"/>
      <c r="EV310" s="539"/>
      <c r="EW310" s="539"/>
      <c r="EX310" s="539"/>
      <c r="EY310" s="539"/>
      <c r="EZ310" s="539"/>
      <c r="FA310" s="539"/>
      <c r="FB310" s="539"/>
      <c r="FC310" s="539"/>
      <c r="FD310" s="539"/>
      <c r="FE310" s="539"/>
      <c r="FF310" s="539"/>
      <c r="FG310" s="539"/>
      <c r="FH310" s="539"/>
      <c r="FI310" s="539"/>
      <c r="FJ310" s="539"/>
      <c r="FK310" s="539"/>
      <c r="FL310" s="539"/>
      <c r="FM310" s="539"/>
      <c r="FN310" s="539"/>
      <c r="FO310" s="539"/>
      <c r="FP310" s="539"/>
      <c r="FQ310" s="539"/>
      <c r="FR310" s="539"/>
      <c r="FS310" s="539"/>
      <c r="FT310" s="539"/>
      <c r="FU310" s="539"/>
      <c r="FV310" s="539"/>
      <c r="FW310" s="539"/>
      <c r="FX310" s="539"/>
      <c r="FY310" s="539"/>
      <c r="FZ310" s="539"/>
      <c r="GA310" s="539"/>
      <c r="GB310" s="539"/>
      <c r="GC310" s="539"/>
      <c r="GD310" s="539"/>
      <c r="GE310" s="539"/>
      <c r="GF310" s="539"/>
      <c r="GG310" s="539"/>
      <c r="GH310" s="539"/>
      <c r="GI310" s="539"/>
      <c r="GJ310" s="539"/>
      <c r="GK310" s="539"/>
      <c r="GL310" s="539"/>
      <c r="GM310" s="539"/>
      <c r="GN310" s="539"/>
      <c r="GO310" s="539"/>
      <c r="GP310" s="539"/>
      <c r="GQ310" s="539"/>
      <c r="GR310" s="539"/>
      <c r="GS310" s="539"/>
      <c r="GT310" s="539"/>
      <c r="GU310" s="539"/>
      <c r="GV310" s="539"/>
      <c r="GW310" s="539"/>
      <c r="GX310" s="539"/>
      <c r="GY310" s="539"/>
      <c r="GZ310" s="539"/>
      <c r="HA310" s="539"/>
      <c r="HB310" s="539"/>
      <c r="HC310" s="539"/>
      <c r="HD310" s="539"/>
      <c r="HE310" s="539"/>
      <c r="HF310" s="539"/>
      <c r="HG310" s="539"/>
      <c r="HH310" s="539"/>
      <c r="HI310" s="539"/>
      <c r="HJ310" s="539"/>
      <c r="HK310" s="539"/>
      <c r="HL310" s="539"/>
      <c r="HM310" s="539"/>
      <c r="HN310" s="539"/>
      <c r="HO310" s="539"/>
      <c r="HP310" s="539"/>
      <c r="HQ310" s="539"/>
      <c r="HR310" s="539"/>
      <c r="HS310" s="539"/>
      <c r="HT310" s="539"/>
      <c r="HU310" s="539"/>
      <c r="HV310" s="539"/>
      <c r="HW310" s="539"/>
      <c r="HX310" s="539"/>
      <c r="HY310" s="539"/>
      <c r="HZ310" s="539"/>
      <c r="IA310" s="539"/>
      <c r="IB310" s="539"/>
      <c r="IC310" s="539"/>
      <c r="ID310" s="539"/>
      <c r="IE310" s="539"/>
      <c r="IF310" s="539"/>
      <c r="IG310" s="539"/>
      <c r="IH310" s="539"/>
      <c r="II310" s="539"/>
    </row>
    <row r="311" spans="1:243" s="664" customFormat="1" ht="16.5" customHeight="1">
      <c r="A311" s="539"/>
      <c r="B311" s="539"/>
      <c r="C311" s="539"/>
      <c r="D311" s="539"/>
      <c r="E311" s="539"/>
      <c r="F311" s="539"/>
      <c r="G311" s="539"/>
      <c r="H311" s="539"/>
      <c r="I311" s="539"/>
      <c r="J311" s="539"/>
      <c r="K311" s="539"/>
      <c r="L311" s="539"/>
      <c r="M311" s="539"/>
      <c r="N311" s="539"/>
      <c r="O311" s="539"/>
      <c r="P311" s="539"/>
      <c r="Q311" s="668"/>
      <c r="R311" s="679"/>
      <c r="S311" s="679"/>
      <c r="T311" s="679"/>
      <c r="U311" s="679"/>
      <c r="V311" s="679"/>
      <c r="W311" s="679"/>
      <c r="X311" s="679"/>
      <c r="Y311" s="680"/>
      <c r="Z311" s="680"/>
      <c r="AA311" s="681"/>
      <c r="AB311" s="3034"/>
      <c r="AC311" s="3035"/>
      <c r="AD311" s="3035"/>
      <c r="AE311" s="2934" t="s">
        <v>192</v>
      </c>
      <c r="AF311" s="2936"/>
      <c r="AG311" s="2934"/>
      <c r="AH311" s="2935"/>
      <c r="AI311" s="2935"/>
      <c r="AJ311" s="2936"/>
      <c r="AK311" s="2934"/>
      <c r="AL311" s="2935"/>
      <c r="AM311" s="2935"/>
      <c r="AN311" s="2936"/>
      <c r="AO311" s="1691"/>
      <c r="AP311" s="1733"/>
      <c r="AQ311" s="2940" t="s">
        <v>395</v>
      </c>
      <c r="AR311" s="2941"/>
      <c r="AS311" s="2940" t="s">
        <v>3121</v>
      </c>
      <c r="AT311" s="2960"/>
      <c r="AU311" s="2960"/>
      <c r="AV311" s="2941"/>
      <c r="AW311" s="2940" t="s">
        <v>2684</v>
      </c>
      <c r="AX311" s="2960"/>
      <c r="AY311" s="2960"/>
      <c r="AZ311" s="1801"/>
      <c r="BA311" s="665"/>
      <c r="BB311" s="3034"/>
      <c r="BC311" s="3035"/>
      <c r="BD311" s="3035"/>
      <c r="BE311" s="2934"/>
      <c r="BF311" s="2936"/>
      <c r="BG311" s="2934"/>
      <c r="BH311" s="2935"/>
      <c r="BI311" s="2935"/>
      <c r="BJ311" s="2936"/>
      <c r="BK311" s="2934"/>
      <c r="BL311" s="2935"/>
      <c r="BM311" s="2935"/>
      <c r="BN311" s="2936"/>
      <c r="BO311" s="1691"/>
      <c r="BP311" s="1733"/>
      <c r="BQ311" s="2940"/>
      <c r="BR311" s="2941"/>
      <c r="BS311" s="2940"/>
      <c r="BT311" s="2960"/>
      <c r="BU311" s="2960"/>
      <c r="BV311" s="2941"/>
      <c r="BW311" s="2940"/>
      <c r="BX311" s="2960"/>
      <c r="BY311" s="2960"/>
      <c r="BZ311" s="1801"/>
      <c r="CA311" s="683"/>
      <c r="CB311" s="3034"/>
      <c r="CC311" s="3035"/>
      <c r="CD311" s="3035"/>
      <c r="CE311" s="2934"/>
      <c r="CF311" s="2936"/>
      <c r="CG311" s="2934"/>
      <c r="CH311" s="2935"/>
      <c r="CI311" s="2935"/>
      <c r="CJ311" s="2936"/>
      <c r="CK311" s="2934"/>
      <c r="CL311" s="2935"/>
      <c r="CM311" s="2935"/>
      <c r="CN311" s="2936"/>
      <c r="CO311" s="1691"/>
      <c r="CP311" s="1733"/>
      <c r="CQ311" s="2940"/>
      <c r="CR311" s="2941"/>
      <c r="CS311" s="2940"/>
      <c r="CT311" s="2960"/>
      <c r="CU311" s="2960"/>
      <c r="CV311" s="2941"/>
      <c r="CW311" s="2940"/>
      <c r="CX311" s="2960"/>
      <c r="CY311" s="2960"/>
      <c r="CZ311" s="1801"/>
      <c r="DA311" s="683"/>
      <c r="DB311" s="3034"/>
      <c r="DC311" s="3035"/>
      <c r="DD311" s="3035"/>
      <c r="DE311" s="2934"/>
      <c r="DF311" s="2936"/>
      <c r="DG311" s="2934"/>
      <c r="DH311" s="2935"/>
      <c r="DI311" s="2935"/>
      <c r="DJ311" s="2936"/>
      <c r="DK311" s="2934"/>
      <c r="DL311" s="2935"/>
      <c r="DM311" s="2935"/>
      <c r="DN311" s="2936"/>
      <c r="DO311" s="1691"/>
      <c r="DP311" s="1733"/>
      <c r="DQ311" s="2940"/>
      <c r="DR311" s="2941"/>
      <c r="DS311" s="2940"/>
      <c r="DT311" s="2960"/>
      <c r="DU311" s="2960"/>
      <c r="DV311" s="2941"/>
      <c r="DW311" s="2940"/>
      <c r="DX311" s="2960"/>
      <c r="DY311" s="2960"/>
      <c r="DZ311" s="1801"/>
      <c r="EA311" s="539"/>
      <c r="EB311" s="539"/>
      <c r="EC311" s="539"/>
      <c r="ED311" s="539"/>
      <c r="EE311" s="539"/>
      <c r="EF311" s="539"/>
      <c r="EG311" s="539"/>
      <c r="EH311" s="539"/>
      <c r="EI311" s="539"/>
      <c r="EJ311" s="539"/>
      <c r="EK311" s="539"/>
      <c r="EL311" s="539"/>
      <c r="EM311" s="539"/>
      <c r="EN311" s="539"/>
      <c r="EO311" s="539"/>
      <c r="EP311" s="539"/>
      <c r="EQ311" s="539"/>
      <c r="ER311" s="539"/>
      <c r="ES311" s="539"/>
      <c r="ET311" s="539"/>
      <c r="EU311" s="539"/>
      <c r="EV311" s="539"/>
      <c r="EW311" s="539"/>
      <c r="EX311" s="539"/>
      <c r="EY311" s="539"/>
      <c r="EZ311" s="539"/>
      <c r="FA311" s="539"/>
      <c r="FB311" s="539"/>
      <c r="FC311" s="539"/>
      <c r="FD311" s="539"/>
      <c r="FE311" s="539"/>
      <c r="FF311" s="539"/>
      <c r="FG311" s="539"/>
      <c r="FH311" s="539"/>
      <c r="FI311" s="539"/>
      <c r="FJ311" s="539"/>
      <c r="FK311" s="539"/>
      <c r="FL311" s="539"/>
      <c r="FM311" s="539"/>
      <c r="FN311" s="539"/>
      <c r="FO311" s="539"/>
      <c r="FP311" s="539"/>
      <c r="FQ311" s="539"/>
      <c r="FR311" s="539"/>
      <c r="FS311" s="539"/>
      <c r="FT311" s="539"/>
      <c r="FU311" s="539"/>
      <c r="FV311" s="539"/>
      <c r="FW311" s="539"/>
      <c r="FX311" s="539"/>
      <c r="FY311" s="539"/>
      <c r="FZ311" s="539"/>
      <c r="GA311" s="539"/>
      <c r="GB311" s="539"/>
      <c r="GC311" s="539"/>
      <c r="GD311" s="539"/>
      <c r="GE311" s="539"/>
      <c r="GF311" s="539"/>
      <c r="GG311" s="539"/>
      <c r="GH311" s="539"/>
      <c r="GI311" s="539"/>
      <c r="GJ311" s="539"/>
      <c r="GK311" s="539"/>
      <c r="GL311" s="539"/>
      <c r="GM311" s="539"/>
      <c r="GN311" s="539"/>
      <c r="GO311" s="539"/>
      <c r="GP311" s="539"/>
      <c r="GQ311" s="539"/>
      <c r="GR311" s="539"/>
      <c r="GS311" s="539"/>
      <c r="GT311" s="539"/>
      <c r="GU311" s="539"/>
      <c r="GV311" s="539"/>
      <c r="GW311" s="539"/>
      <c r="GX311" s="539"/>
      <c r="GY311" s="539"/>
      <c r="GZ311" s="539"/>
      <c r="HA311" s="539"/>
      <c r="HB311" s="539"/>
      <c r="HC311" s="539"/>
      <c r="HD311" s="539"/>
      <c r="HE311" s="539"/>
      <c r="HF311" s="539"/>
      <c r="HG311" s="539"/>
      <c r="HH311" s="539"/>
      <c r="HI311" s="539"/>
      <c r="HJ311" s="539"/>
      <c r="HK311" s="539"/>
      <c r="HL311" s="539"/>
      <c r="HM311" s="539"/>
      <c r="HN311" s="539"/>
      <c r="HO311" s="539"/>
      <c r="HP311" s="539"/>
      <c r="HQ311" s="539"/>
      <c r="HR311" s="539"/>
      <c r="HS311" s="539"/>
      <c r="HT311" s="539"/>
      <c r="HU311" s="539"/>
      <c r="HV311" s="539"/>
      <c r="HW311" s="539"/>
      <c r="HX311" s="539"/>
      <c r="HY311" s="539"/>
      <c r="HZ311" s="539"/>
      <c r="IA311" s="539"/>
      <c r="IB311" s="539"/>
      <c r="IC311" s="539"/>
      <c r="ID311" s="539"/>
      <c r="IE311" s="539"/>
      <c r="IF311" s="539"/>
      <c r="IG311" s="539"/>
      <c r="IH311" s="539"/>
      <c r="II311" s="539"/>
    </row>
    <row r="312" spans="1:243" s="664" customFormat="1" ht="12" customHeight="1">
      <c r="A312" s="539"/>
      <c r="B312" s="539"/>
      <c r="C312" s="539"/>
      <c r="D312" s="539"/>
      <c r="E312" s="539"/>
      <c r="F312" s="539"/>
      <c r="G312" s="539"/>
      <c r="H312" s="539"/>
      <c r="I312" s="539"/>
      <c r="J312" s="539"/>
      <c r="K312" s="539"/>
      <c r="L312" s="539"/>
      <c r="M312" s="539"/>
      <c r="N312" s="539"/>
      <c r="O312" s="539"/>
      <c r="P312" s="539"/>
      <c r="Q312" s="668"/>
      <c r="R312" s="642"/>
      <c r="S312" s="642"/>
      <c r="T312" s="642"/>
      <c r="U312" s="642"/>
      <c r="V312" s="642"/>
      <c r="W312" s="642"/>
      <c r="X312" s="642"/>
      <c r="Y312" s="656"/>
      <c r="Z312" s="656"/>
      <c r="AA312" s="681"/>
      <c r="AB312" s="1746"/>
      <c r="AC312" s="1668"/>
      <c r="AD312" s="1668"/>
      <c r="AE312" s="1668"/>
      <c r="AF312" s="1668"/>
      <c r="AG312" s="1668"/>
      <c r="AH312" s="1668"/>
      <c r="AI312" s="1668"/>
      <c r="AJ312" s="1686"/>
      <c r="AK312" s="1686"/>
      <c r="AL312" s="1687"/>
      <c r="AM312" s="1687"/>
      <c r="AN312" s="1687"/>
      <c r="AO312" s="1688"/>
      <c r="AP312" s="1734"/>
      <c r="AQ312" s="1670"/>
      <c r="AR312" s="1670"/>
      <c r="AS312" s="1670"/>
      <c r="AT312" s="1670"/>
      <c r="AU312" s="1671"/>
      <c r="AV312" s="1708"/>
      <c r="AW312" s="1707"/>
      <c r="AX312" s="1707"/>
      <c r="AY312" s="1710"/>
      <c r="AZ312" s="1709"/>
      <c r="BA312" s="665"/>
      <c r="BB312" s="1746"/>
      <c r="BC312" s="1668"/>
      <c r="BD312" s="1668"/>
      <c r="BE312" s="1668"/>
      <c r="BF312" s="1668"/>
      <c r="BG312" s="1668"/>
      <c r="BH312" s="1668"/>
      <c r="BI312" s="1668"/>
      <c r="BJ312" s="1686"/>
      <c r="BK312" s="1686"/>
      <c r="BL312" s="1687"/>
      <c r="BM312" s="1687"/>
      <c r="BN312" s="1687"/>
      <c r="BO312" s="1688"/>
      <c r="BP312" s="1734"/>
      <c r="BQ312" s="1670"/>
      <c r="BR312" s="1670"/>
      <c r="BS312" s="1670"/>
      <c r="BT312" s="1670"/>
      <c r="BU312" s="1671"/>
      <c r="BV312" s="1708"/>
      <c r="BW312" s="1707"/>
      <c r="BX312" s="1707"/>
      <c r="BY312" s="1710"/>
      <c r="BZ312" s="1709"/>
      <c r="CA312" s="683"/>
      <c r="CB312" s="1746"/>
      <c r="CC312" s="1668"/>
      <c r="CD312" s="1668"/>
      <c r="CE312" s="1668"/>
      <c r="CF312" s="1668"/>
      <c r="CG312" s="1668"/>
      <c r="CH312" s="1668"/>
      <c r="CI312" s="1668"/>
      <c r="CJ312" s="1686"/>
      <c r="CK312" s="1686"/>
      <c r="CL312" s="1687"/>
      <c r="CM312" s="1687"/>
      <c r="CN312" s="1687"/>
      <c r="CO312" s="1688"/>
      <c r="CP312" s="1734"/>
      <c r="CQ312" s="1670"/>
      <c r="CR312" s="1670"/>
      <c r="CS312" s="1670"/>
      <c r="CT312" s="1670"/>
      <c r="CU312" s="1671"/>
      <c r="CV312" s="1708"/>
      <c r="CW312" s="1707"/>
      <c r="CX312" s="1707"/>
      <c r="CY312" s="1710"/>
      <c r="CZ312" s="1709"/>
      <c r="DA312" s="683"/>
      <c r="DB312" s="1746"/>
      <c r="DC312" s="1668"/>
      <c r="DD312" s="1668"/>
      <c r="DE312" s="1668"/>
      <c r="DF312" s="1668"/>
      <c r="DG312" s="1668"/>
      <c r="DH312" s="1668"/>
      <c r="DI312" s="1668"/>
      <c r="DJ312" s="1686"/>
      <c r="DK312" s="1686"/>
      <c r="DL312" s="1687"/>
      <c r="DM312" s="1687"/>
      <c r="DN312" s="1687"/>
      <c r="DO312" s="1688"/>
      <c r="DP312" s="1734"/>
      <c r="DQ312" s="1670"/>
      <c r="DR312" s="1670"/>
      <c r="DS312" s="1670"/>
      <c r="DT312" s="1670"/>
      <c r="DU312" s="1671"/>
      <c r="DV312" s="1708"/>
      <c r="DW312" s="1707"/>
      <c r="DX312" s="1707"/>
      <c r="DY312" s="1710"/>
      <c r="DZ312" s="1709"/>
      <c r="EA312" s="539"/>
      <c r="EB312" s="539"/>
      <c r="EC312" s="539"/>
      <c r="ED312" s="539"/>
      <c r="EE312" s="539"/>
      <c r="EF312" s="539"/>
      <c r="EG312" s="539"/>
      <c r="EH312" s="539"/>
      <c r="EI312" s="539"/>
      <c r="EJ312" s="539"/>
      <c r="EK312" s="539"/>
      <c r="EL312" s="539"/>
      <c r="EM312" s="539"/>
      <c r="EN312" s="539"/>
      <c r="EO312" s="539"/>
      <c r="EP312" s="539"/>
      <c r="EQ312" s="539"/>
      <c r="ER312" s="539"/>
      <c r="ES312" s="539"/>
      <c r="ET312" s="539"/>
      <c r="EU312" s="539"/>
      <c r="EV312" s="539"/>
      <c r="EW312" s="539"/>
      <c r="EX312" s="539"/>
      <c r="EY312" s="539"/>
      <c r="EZ312" s="539"/>
      <c r="FA312" s="539"/>
      <c r="FB312" s="539"/>
      <c r="FC312" s="539"/>
      <c r="FD312" s="539"/>
      <c r="FE312" s="539"/>
      <c r="FF312" s="539"/>
      <c r="FG312" s="539"/>
      <c r="FH312" s="539"/>
      <c r="FI312" s="539"/>
      <c r="FJ312" s="539"/>
      <c r="FK312" s="539"/>
      <c r="FL312" s="539"/>
      <c r="FM312" s="539"/>
      <c r="FN312" s="539"/>
      <c r="FO312" s="539"/>
      <c r="FP312" s="539"/>
      <c r="FQ312" s="539"/>
      <c r="FR312" s="539"/>
      <c r="FS312" s="539"/>
      <c r="FT312" s="539"/>
      <c r="FU312" s="539"/>
      <c r="FV312" s="539"/>
      <c r="FW312" s="539"/>
      <c r="FX312" s="539"/>
      <c r="FY312" s="539"/>
      <c r="FZ312" s="539"/>
      <c r="GA312" s="539"/>
      <c r="GB312" s="539"/>
      <c r="GC312" s="539"/>
      <c r="GD312" s="539"/>
      <c r="GE312" s="539"/>
      <c r="GF312" s="539"/>
      <c r="GG312" s="539"/>
      <c r="GH312" s="539"/>
      <c r="GI312" s="539"/>
      <c r="GJ312" s="539"/>
      <c r="GK312" s="539"/>
      <c r="GL312" s="539"/>
      <c r="GM312" s="539"/>
      <c r="GN312" s="539"/>
      <c r="GO312" s="539"/>
      <c r="GP312" s="539"/>
      <c r="GQ312" s="539"/>
      <c r="GR312" s="539"/>
      <c r="GS312" s="539"/>
      <c r="GT312" s="539"/>
      <c r="GU312" s="539"/>
      <c r="GV312" s="539"/>
      <c r="GW312" s="539"/>
      <c r="GX312" s="539"/>
      <c r="GY312" s="539"/>
      <c r="GZ312" s="539"/>
      <c r="HA312" s="539"/>
      <c r="HB312" s="539"/>
      <c r="HC312" s="539"/>
      <c r="HD312" s="539"/>
      <c r="HE312" s="539"/>
      <c r="HF312" s="539"/>
      <c r="HG312" s="539"/>
      <c r="HH312" s="539"/>
      <c r="HI312" s="539"/>
      <c r="HJ312" s="539"/>
      <c r="HK312" s="539"/>
      <c r="HL312" s="539"/>
      <c r="HM312" s="539"/>
      <c r="HN312" s="539"/>
      <c r="HO312" s="539"/>
      <c r="HP312" s="539"/>
      <c r="HQ312" s="539"/>
      <c r="HR312" s="539"/>
      <c r="HS312" s="539"/>
      <c r="HT312" s="539"/>
      <c r="HU312" s="539"/>
      <c r="HV312" s="539"/>
      <c r="HW312" s="539"/>
      <c r="HX312" s="539"/>
      <c r="HY312" s="539"/>
      <c r="HZ312" s="539"/>
      <c r="IA312" s="539"/>
      <c r="IB312" s="539"/>
      <c r="IC312" s="539"/>
      <c r="ID312" s="539"/>
      <c r="IE312" s="539"/>
      <c r="IF312" s="539"/>
      <c r="IG312" s="539"/>
      <c r="IH312" s="539"/>
      <c r="II312" s="539"/>
    </row>
    <row r="313" spans="1:243" s="664" customFormat="1" ht="16.5" customHeight="1">
      <c r="A313" s="539"/>
      <c r="B313" s="539"/>
      <c r="C313" s="539"/>
      <c r="D313" s="539"/>
      <c r="E313" s="539"/>
      <c r="F313" s="539"/>
      <c r="G313" s="539"/>
      <c r="H313" s="539"/>
      <c r="I313" s="539"/>
      <c r="J313" s="539"/>
      <c r="K313" s="539"/>
      <c r="L313" s="539"/>
      <c r="M313" s="539"/>
      <c r="N313" s="539"/>
      <c r="O313" s="539"/>
      <c r="P313" s="539"/>
      <c r="Q313" s="668"/>
      <c r="R313" s="686"/>
      <c r="S313" s="686"/>
      <c r="T313" s="686"/>
      <c r="U313" s="686"/>
      <c r="V313" s="686"/>
      <c r="W313" s="686"/>
      <c r="X313" s="686"/>
      <c r="Y313" s="686"/>
      <c r="Z313" s="686"/>
      <c r="AA313" s="681"/>
      <c r="AB313" s="1711"/>
      <c r="AC313" s="3021" t="s">
        <v>356</v>
      </c>
      <c r="AD313" s="3022"/>
      <c r="AE313" s="2934"/>
      <c r="AF313" s="2936"/>
      <c r="AG313" s="2934"/>
      <c r="AH313" s="2935"/>
      <c r="AI313" s="2935"/>
      <c r="AJ313" s="2936"/>
      <c r="AK313" s="2934"/>
      <c r="AL313" s="2935"/>
      <c r="AM313" s="2935"/>
      <c r="AN313" s="2936"/>
      <c r="AO313" s="1691"/>
      <c r="AP313" s="1733"/>
      <c r="AQ313" s="3014"/>
      <c r="AR313" s="3016"/>
      <c r="AS313" s="3014"/>
      <c r="AT313" s="3015"/>
      <c r="AU313" s="3015"/>
      <c r="AV313" s="3016"/>
      <c r="AW313" s="3014"/>
      <c r="AX313" s="3015"/>
      <c r="AY313" s="3015"/>
      <c r="AZ313" s="1801"/>
      <c r="BA313" s="665"/>
      <c r="BB313" s="1711"/>
      <c r="BC313" s="3021" t="s">
        <v>356</v>
      </c>
      <c r="BD313" s="3022"/>
      <c r="BE313" s="2934"/>
      <c r="BF313" s="2936"/>
      <c r="BG313" s="2934"/>
      <c r="BH313" s="2935"/>
      <c r="BI313" s="2935"/>
      <c r="BJ313" s="2936"/>
      <c r="BK313" s="2934"/>
      <c r="BL313" s="2935"/>
      <c r="BM313" s="2935"/>
      <c r="BN313" s="2936"/>
      <c r="BO313" s="1691"/>
      <c r="BP313" s="1733"/>
      <c r="BQ313" s="2940"/>
      <c r="BR313" s="2941"/>
      <c r="BS313" s="2940"/>
      <c r="BT313" s="2960"/>
      <c r="BU313" s="2960"/>
      <c r="BV313" s="2941"/>
      <c r="BW313" s="2940"/>
      <c r="BX313" s="2960"/>
      <c r="BY313" s="2960"/>
      <c r="BZ313" s="1801"/>
      <c r="CA313" s="687"/>
      <c r="CB313" s="1711"/>
      <c r="CC313" s="3021" t="s">
        <v>356</v>
      </c>
      <c r="CD313" s="3022"/>
      <c r="CE313" s="2934"/>
      <c r="CF313" s="2936"/>
      <c r="CG313" s="2934"/>
      <c r="CH313" s="2935"/>
      <c r="CI313" s="2935"/>
      <c r="CJ313" s="2936"/>
      <c r="CK313" s="2934"/>
      <c r="CL313" s="2935"/>
      <c r="CM313" s="2935"/>
      <c r="CN313" s="2936"/>
      <c r="CO313" s="1691"/>
      <c r="CP313" s="1733"/>
      <c r="CQ313" s="2940"/>
      <c r="CR313" s="2941"/>
      <c r="CS313" s="2940"/>
      <c r="CT313" s="2960"/>
      <c r="CU313" s="2960"/>
      <c r="CV313" s="2941"/>
      <c r="CW313" s="2940"/>
      <c r="CX313" s="2960"/>
      <c r="CY313" s="2960"/>
      <c r="CZ313" s="1801"/>
      <c r="DA313" s="687"/>
      <c r="DB313" s="1711"/>
      <c r="DC313" s="3021" t="s">
        <v>356</v>
      </c>
      <c r="DD313" s="3022"/>
      <c r="DE313" s="2934"/>
      <c r="DF313" s="2936"/>
      <c r="DG313" s="2934"/>
      <c r="DH313" s="2935"/>
      <c r="DI313" s="2935"/>
      <c r="DJ313" s="2936"/>
      <c r="DK313" s="2934"/>
      <c r="DL313" s="2935"/>
      <c r="DM313" s="2935"/>
      <c r="DN313" s="2936"/>
      <c r="DO313" s="1691"/>
      <c r="DP313" s="1733"/>
      <c r="DQ313" s="2940"/>
      <c r="DR313" s="2941"/>
      <c r="DS313" s="2940"/>
      <c r="DT313" s="2960"/>
      <c r="DU313" s="2960"/>
      <c r="DV313" s="2941"/>
      <c r="DW313" s="2940"/>
      <c r="DX313" s="2960"/>
      <c r="DY313" s="2960"/>
      <c r="DZ313" s="1801"/>
      <c r="EA313" s="539"/>
      <c r="EB313" s="539"/>
      <c r="EC313" s="539"/>
      <c r="ED313" s="539"/>
      <c r="EE313" s="539"/>
      <c r="EF313" s="539"/>
      <c r="EG313" s="539"/>
      <c r="EH313" s="539"/>
      <c r="EI313" s="539"/>
      <c r="EJ313" s="539"/>
      <c r="EK313" s="539"/>
      <c r="EL313" s="539"/>
      <c r="EM313" s="539"/>
      <c r="EN313" s="539"/>
      <c r="EO313" s="539"/>
      <c r="EP313" s="539"/>
      <c r="EQ313" s="539"/>
      <c r="ER313" s="539"/>
      <c r="ES313" s="539"/>
      <c r="ET313" s="539"/>
      <c r="EU313" s="539"/>
      <c r="EV313" s="539"/>
      <c r="EW313" s="539"/>
      <c r="EX313" s="539"/>
      <c r="EY313" s="539"/>
      <c r="EZ313" s="539"/>
      <c r="FA313" s="539"/>
      <c r="FB313" s="539"/>
      <c r="FC313" s="539"/>
      <c r="FD313" s="539"/>
      <c r="FE313" s="539"/>
      <c r="FF313" s="539"/>
      <c r="FG313" s="539"/>
      <c r="FH313" s="539"/>
      <c r="FI313" s="539"/>
      <c r="FJ313" s="539"/>
      <c r="FK313" s="539"/>
      <c r="FL313" s="539"/>
      <c r="FM313" s="539"/>
      <c r="FN313" s="539"/>
      <c r="FO313" s="539"/>
      <c r="FP313" s="539"/>
      <c r="FQ313" s="539"/>
      <c r="FR313" s="539"/>
      <c r="FS313" s="539"/>
      <c r="FT313" s="539"/>
      <c r="FU313" s="539"/>
      <c r="FV313" s="539"/>
      <c r="FW313" s="539"/>
      <c r="FX313" s="539"/>
      <c r="FY313" s="539"/>
      <c r="FZ313" s="539"/>
      <c r="GA313" s="539"/>
      <c r="GB313" s="539"/>
      <c r="GC313" s="539"/>
      <c r="GD313" s="539"/>
      <c r="GE313" s="539"/>
      <c r="GF313" s="539"/>
      <c r="GG313" s="539"/>
      <c r="GH313" s="539"/>
      <c r="GI313" s="539"/>
      <c r="GJ313" s="539"/>
      <c r="GK313" s="539"/>
      <c r="GL313" s="539"/>
      <c r="GM313" s="539"/>
      <c r="GN313" s="539"/>
      <c r="GO313" s="539"/>
      <c r="GP313" s="539"/>
      <c r="GQ313" s="539"/>
      <c r="GR313" s="539"/>
      <c r="GS313" s="539"/>
      <c r="GT313" s="539"/>
      <c r="GU313" s="539"/>
      <c r="GV313" s="539"/>
      <c r="GW313" s="539"/>
      <c r="GX313" s="539"/>
      <c r="GY313" s="539"/>
      <c r="GZ313" s="539"/>
      <c r="HA313" s="539"/>
      <c r="HB313" s="539"/>
      <c r="HC313" s="539"/>
      <c r="HD313" s="539"/>
      <c r="HE313" s="539"/>
      <c r="HF313" s="539"/>
      <c r="HG313" s="539"/>
      <c r="HH313" s="539"/>
      <c r="HI313" s="539"/>
      <c r="HJ313" s="539"/>
      <c r="HK313" s="539"/>
      <c r="HL313" s="539"/>
      <c r="HM313" s="539"/>
      <c r="HN313" s="539"/>
      <c r="HO313" s="539"/>
      <c r="HP313" s="539"/>
      <c r="HQ313" s="539"/>
      <c r="HR313" s="539"/>
      <c r="HS313" s="539"/>
      <c r="HT313" s="539"/>
      <c r="HU313" s="539"/>
      <c r="HV313" s="539"/>
      <c r="HW313" s="539"/>
      <c r="HX313" s="539"/>
      <c r="HY313" s="539"/>
      <c r="HZ313" s="539"/>
      <c r="IA313" s="539"/>
      <c r="IB313" s="539"/>
      <c r="IC313" s="539"/>
      <c r="ID313" s="539"/>
      <c r="IE313" s="539"/>
      <c r="IF313" s="539"/>
      <c r="IG313" s="539"/>
      <c r="IH313" s="539"/>
      <c r="II313" s="539"/>
    </row>
    <row r="314" spans="1:243" s="664" customFormat="1" ht="12" customHeight="1">
      <c r="A314" s="539"/>
      <c r="B314" s="539"/>
      <c r="C314" s="539"/>
      <c r="D314" s="539"/>
      <c r="E314" s="539"/>
      <c r="F314" s="539"/>
      <c r="G314" s="539"/>
      <c r="H314" s="539"/>
      <c r="I314" s="539"/>
      <c r="J314" s="539"/>
      <c r="K314" s="539"/>
      <c r="L314" s="539"/>
      <c r="M314" s="539"/>
      <c r="N314" s="539"/>
      <c r="O314" s="539"/>
      <c r="P314" s="539"/>
      <c r="Q314" s="668"/>
      <c r="R314" s="686"/>
      <c r="S314" s="686"/>
      <c r="T314" s="686"/>
      <c r="U314" s="686"/>
      <c r="V314" s="686"/>
      <c r="W314" s="686"/>
      <c r="X314" s="686"/>
      <c r="Y314" s="686"/>
      <c r="Z314" s="686"/>
      <c r="AA314" s="681"/>
      <c r="AB314" s="1746"/>
      <c r="AC314" s="1669"/>
      <c r="AD314" s="1689"/>
      <c r="AE314" s="1689"/>
      <c r="AF314" s="1689"/>
      <c r="AG314" s="1689"/>
      <c r="AH314" s="1689"/>
      <c r="AI314" s="1689"/>
      <c r="AJ314" s="1689"/>
      <c r="AK314" s="1689"/>
      <c r="AL314" s="1689"/>
      <c r="AM314" s="1689"/>
      <c r="AN314" s="1689"/>
      <c r="AO314" s="1690"/>
      <c r="AP314" s="3228" t="str">
        <f>IF(AND(AW292&lt;&gt;"",AE290&lt;&gt;"",COUNTA(AT295,AV295,AX295,AR298,AU298,AQ301,AQ303,AQ311,AQ313)&lt;1),"WARNING: You have selected a TEMPO time period, but have not selected any TEMPO conditions.",IF(AND(AE290&lt;&gt;"",COUNTA(AT295,AV295,AX295,AR298,AU298,AQ301,AQ303,AQ311,AQ313)&gt;0,OR(AW292="",AY292="")),"WARNING: You have selected TEMPO conditions, but do not have a valid time period.",""))</f>
        <v/>
      </c>
      <c r="AQ314" s="3229"/>
      <c r="AR314" s="3229"/>
      <c r="AS314" s="3229"/>
      <c r="AT314" s="3229"/>
      <c r="AU314" s="3229"/>
      <c r="AV314" s="3229"/>
      <c r="AW314" s="3229"/>
      <c r="AX314" s="3229"/>
      <c r="AY314" s="3229"/>
      <c r="AZ314" s="3230"/>
      <c r="BA314" s="665"/>
      <c r="BB314" s="1666"/>
      <c r="BC314" s="1669"/>
      <c r="BD314" s="1689"/>
      <c r="BE314" s="1689"/>
      <c r="BF314" s="1689"/>
      <c r="BG314" s="1689"/>
      <c r="BH314" s="1689"/>
      <c r="BI314" s="1689"/>
      <c r="BJ314" s="1689"/>
      <c r="BK314" s="1689"/>
      <c r="BL314" s="1689"/>
      <c r="BM314" s="1689"/>
      <c r="BN314" s="1689"/>
      <c r="BO314" s="1690"/>
      <c r="BP314" s="3228" t="str">
        <f>IF(AND(BW292&lt;&gt;"",BE290&lt;&gt;"",COUNTA(BT295,BV295,BX295,BR298,BU298,BQ301,BQ303,BQ311,BQ313)&lt;1),"WARNING: You have selected a TEMPO time period, but have not selected any TEMPO conditions.",IF(AND(BE290&lt;&gt;"",COUNTA(BT295,BV295,BX295,BR298,BU298,BQ301,BQ303,BQ311,BQ313)&gt;0,OR(BW292="",BY292="")),"WARNING: You have selected TEMPO conditions, but do not have a valid time period.",""))</f>
        <v/>
      </c>
      <c r="BQ314" s="3229"/>
      <c r="BR314" s="3229"/>
      <c r="BS314" s="3229"/>
      <c r="BT314" s="3229"/>
      <c r="BU314" s="3229"/>
      <c r="BV314" s="3229"/>
      <c r="BW314" s="3229"/>
      <c r="BX314" s="3229"/>
      <c r="BY314" s="3229"/>
      <c r="BZ314" s="3230"/>
      <c r="CA314" s="687"/>
      <c r="CB314" s="1666"/>
      <c r="CC314" s="1669"/>
      <c r="CD314" s="1689"/>
      <c r="CE314" s="1689"/>
      <c r="CF314" s="1689"/>
      <c r="CG314" s="1689"/>
      <c r="CH314" s="1689"/>
      <c r="CI314" s="1689"/>
      <c r="CJ314" s="1689"/>
      <c r="CK314" s="1689"/>
      <c r="CL314" s="1689"/>
      <c r="CM314" s="1689"/>
      <c r="CN314" s="1689"/>
      <c r="CO314" s="1690"/>
      <c r="CP314" s="3228" t="str">
        <f>IF(AND(CW292&lt;&gt;"",CE290&lt;&gt;"",COUNTA(CT295,CV295,CX295,CR298,CU298,CQ301,CQ303,CQ311,CQ313)&lt;1),"WARNING: You have selected a TEMPO time period, but have not selected any TEMPO conditions.",IF(AND(CE290&lt;&gt;"",COUNTA(CT295,CV295,CX295,CR298,CU298,CQ301,CQ303,CQ311,CQ313)&gt;0,OR(CW292="",CY292="")),"WARNING: You have selected TEMPO conditions, but do not have a valid time period.",""))</f>
        <v/>
      </c>
      <c r="CQ314" s="3229"/>
      <c r="CR314" s="3229"/>
      <c r="CS314" s="3229"/>
      <c r="CT314" s="3229"/>
      <c r="CU314" s="3229"/>
      <c r="CV314" s="3229"/>
      <c r="CW314" s="3229"/>
      <c r="CX314" s="3229"/>
      <c r="CY314" s="3229"/>
      <c r="CZ314" s="3230"/>
      <c r="DA314" s="687"/>
      <c r="DB314" s="1666"/>
      <c r="DC314" s="1669"/>
      <c r="DD314" s="1689"/>
      <c r="DE314" s="1689"/>
      <c r="DF314" s="1689"/>
      <c r="DG314" s="1689"/>
      <c r="DH314" s="1689"/>
      <c r="DI314" s="1689"/>
      <c r="DJ314" s="1689"/>
      <c r="DK314" s="1689"/>
      <c r="DL314" s="1689"/>
      <c r="DM314" s="1689"/>
      <c r="DN314" s="1689"/>
      <c r="DO314" s="1690"/>
      <c r="DP314" s="3228" t="str">
        <f>IF(AND(DW292&lt;&gt;"",DE290&lt;&gt;"",COUNTA(DT295,DV295,DX295,DR298,DU298,DQ301,DQ303,DQ311,DQ313)&lt;1),"WARNING: You have selected a TEMPO time period, but have not selected any TEMPO conditions.",IF(AND(DE290&lt;&gt;"",COUNTA(DT295,DV295,DX295,DR298,DU298,DQ301,DQ303,DQ311,DQ313)&gt;0,OR(DW292="",DY292="")),"WARNING: You have selected TEMPO conditions, but do not have a valid time period.",""))</f>
        <v/>
      </c>
      <c r="DQ314" s="3229"/>
      <c r="DR314" s="3229"/>
      <c r="DS314" s="3229"/>
      <c r="DT314" s="3229"/>
      <c r="DU314" s="3229"/>
      <c r="DV314" s="3229"/>
      <c r="DW314" s="3229"/>
      <c r="DX314" s="3229"/>
      <c r="DY314" s="3229"/>
      <c r="DZ314" s="3230"/>
      <c r="EA314" s="539"/>
      <c r="EB314" s="539"/>
      <c r="EC314" s="539"/>
      <c r="ED314" s="539"/>
      <c r="EE314" s="539"/>
      <c r="EF314" s="539"/>
      <c r="EG314" s="539"/>
      <c r="EH314" s="539"/>
      <c r="EI314" s="539"/>
      <c r="EJ314" s="539"/>
      <c r="EK314" s="539"/>
      <c r="EL314" s="539"/>
      <c r="EM314" s="539"/>
      <c r="EN314" s="539"/>
      <c r="EO314" s="539"/>
      <c r="EP314" s="539"/>
      <c r="EQ314" s="539"/>
      <c r="ER314" s="539"/>
      <c r="ES314" s="539"/>
      <c r="ET314" s="539"/>
      <c r="EU314" s="539"/>
      <c r="EV314" s="539"/>
      <c r="EW314" s="539"/>
      <c r="EX314" s="539"/>
      <c r="EY314" s="539"/>
      <c r="EZ314" s="539"/>
      <c r="FA314" s="539"/>
      <c r="FB314" s="539"/>
      <c r="FC314" s="539"/>
      <c r="FD314" s="539"/>
      <c r="FE314" s="539"/>
      <c r="FF314" s="539"/>
      <c r="FG314" s="539"/>
      <c r="FH314" s="539"/>
      <c r="FI314" s="539"/>
      <c r="FJ314" s="539"/>
      <c r="FK314" s="539"/>
      <c r="FL314" s="539"/>
      <c r="FM314" s="539"/>
      <c r="FN314" s="539"/>
      <c r="FO314" s="539"/>
      <c r="FP314" s="539"/>
      <c r="FQ314" s="539"/>
      <c r="FR314" s="539"/>
      <c r="FS314" s="539"/>
      <c r="FT314" s="539"/>
      <c r="FU314" s="539"/>
      <c r="FV314" s="539"/>
      <c r="FW314" s="539"/>
      <c r="FX314" s="539"/>
      <c r="FY314" s="539"/>
      <c r="FZ314" s="539"/>
      <c r="GA314" s="539"/>
      <c r="GB314" s="539"/>
      <c r="GC314" s="539"/>
      <c r="GD314" s="539"/>
      <c r="GE314" s="539"/>
      <c r="GF314" s="539"/>
      <c r="GG314" s="539"/>
      <c r="GH314" s="539"/>
      <c r="GI314" s="539"/>
      <c r="GJ314" s="539"/>
      <c r="GK314" s="539"/>
      <c r="GL314" s="539"/>
      <c r="GM314" s="539"/>
      <c r="GN314" s="539"/>
      <c r="GO314" s="539"/>
      <c r="GP314" s="539"/>
      <c r="GQ314" s="539"/>
      <c r="GR314" s="539"/>
      <c r="GS314" s="539"/>
      <c r="GT314" s="539"/>
      <c r="GU314" s="539"/>
      <c r="GV314" s="539"/>
      <c r="GW314" s="539"/>
      <c r="GX314" s="539"/>
      <c r="GY314" s="539"/>
      <c r="GZ314" s="539"/>
      <c r="HA314" s="539"/>
      <c r="HB314" s="539"/>
      <c r="HC314" s="539"/>
      <c r="HD314" s="539"/>
      <c r="HE314" s="539"/>
      <c r="HF314" s="539"/>
      <c r="HG314" s="539"/>
      <c r="HH314" s="539"/>
      <c r="HI314" s="539"/>
      <c r="HJ314" s="539"/>
      <c r="HK314" s="539"/>
      <c r="HL314" s="539"/>
      <c r="HM314" s="539"/>
      <c r="HN314" s="539"/>
      <c r="HO314" s="539"/>
      <c r="HP314" s="539"/>
      <c r="HQ314" s="539"/>
      <c r="HR314" s="539"/>
      <c r="HS314" s="539"/>
      <c r="HT314" s="539"/>
      <c r="HU314" s="539"/>
      <c r="HV314" s="539"/>
      <c r="HW314" s="539"/>
      <c r="HX314" s="539"/>
      <c r="HY314" s="539"/>
      <c r="HZ314" s="539"/>
      <c r="IA314" s="539"/>
      <c r="IB314" s="539"/>
      <c r="IC314" s="539"/>
      <c r="ID314" s="539"/>
      <c r="IE314" s="539"/>
      <c r="IF314" s="539"/>
      <c r="IG314" s="539"/>
      <c r="IH314" s="539"/>
      <c r="II314" s="539"/>
    </row>
    <row r="315" spans="1:243" s="664" customFormat="1" ht="16.5" customHeight="1">
      <c r="A315" s="539"/>
      <c r="B315" s="539"/>
      <c r="C315" s="539"/>
      <c r="D315" s="539"/>
      <c r="E315" s="539"/>
      <c r="F315" s="539"/>
      <c r="G315" s="539"/>
      <c r="H315" s="539"/>
      <c r="I315" s="539"/>
      <c r="J315" s="539"/>
      <c r="K315" s="539"/>
      <c r="L315" s="539"/>
      <c r="M315" s="539"/>
      <c r="N315" s="539"/>
      <c r="O315" s="539"/>
      <c r="P315" s="539"/>
      <c r="Q315" s="668"/>
      <c r="R315" s="686"/>
      <c r="S315" s="686"/>
      <c r="T315" s="686"/>
      <c r="U315" s="686"/>
      <c r="V315" s="686"/>
      <c r="W315" s="686"/>
      <c r="X315" s="686"/>
      <c r="Y315" s="686"/>
      <c r="Z315" s="686"/>
      <c r="AA315" s="681"/>
      <c r="AB315" s="1711"/>
      <c r="AC315" s="3021" t="s">
        <v>357</v>
      </c>
      <c r="AD315" s="3022"/>
      <c r="AE315" s="2934"/>
      <c r="AF315" s="2936"/>
      <c r="AG315" s="2934"/>
      <c r="AH315" s="2935"/>
      <c r="AI315" s="2935"/>
      <c r="AJ315" s="2936"/>
      <c r="AK315" s="2934"/>
      <c r="AL315" s="2935"/>
      <c r="AM315" s="2935"/>
      <c r="AN315" s="2936"/>
      <c r="AO315" s="1691"/>
      <c r="AP315" s="3228"/>
      <c r="AQ315" s="3229"/>
      <c r="AR315" s="3229"/>
      <c r="AS315" s="3229"/>
      <c r="AT315" s="3229"/>
      <c r="AU315" s="3229"/>
      <c r="AV315" s="3229"/>
      <c r="AW315" s="3229"/>
      <c r="AX315" s="3229"/>
      <c r="AY315" s="3229"/>
      <c r="AZ315" s="3230"/>
      <c r="BA315" s="665"/>
      <c r="BB315" s="1711"/>
      <c r="BC315" s="3021" t="s">
        <v>357</v>
      </c>
      <c r="BD315" s="3022"/>
      <c r="BE315" s="2934"/>
      <c r="BF315" s="2936"/>
      <c r="BG315" s="2934"/>
      <c r="BH315" s="2935"/>
      <c r="BI315" s="2935"/>
      <c r="BJ315" s="2936"/>
      <c r="BK315" s="2934"/>
      <c r="BL315" s="2935"/>
      <c r="BM315" s="2935"/>
      <c r="BN315" s="2936"/>
      <c r="BO315" s="1691"/>
      <c r="BP315" s="3228"/>
      <c r="BQ315" s="3229"/>
      <c r="BR315" s="3229"/>
      <c r="BS315" s="3229"/>
      <c r="BT315" s="3229"/>
      <c r="BU315" s="3229"/>
      <c r="BV315" s="3229"/>
      <c r="BW315" s="3229"/>
      <c r="BX315" s="3229"/>
      <c r="BY315" s="3229"/>
      <c r="BZ315" s="3230"/>
      <c r="CA315" s="688"/>
      <c r="CB315" s="1711"/>
      <c r="CC315" s="3021" t="s">
        <v>357</v>
      </c>
      <c r="CD315" s="3022"/>
      <c r="CE315" s="2934"/>
      <c r="CF315" s="2936"/>
      <c r="CG315" s="2934"/>
      <c r="CH315" s="2935"/>
      <c r="CI315" s="2935"/>
      <c r="CJ315" s="2936"/>
      <c r="CK315" s="2934"/>
      <c r="CL315" s="2935"/>
      <c r="CM315" s="2935"/>
      <c r="CN315" s="2936"/>
      <c r="CO315" s="1691"/>
      <c r="CP315" s="3228"/>
      <c r="CQ315" s="3229"/>
      <c r="CR315" s="3229"/>
      <c r="CS315" s="3229"/>
      <c r="CT315" s="3229"/>
      <c r="CU315" s="3229"/>
      <c r="CV315" s="3229"/>
      <c r="CW315" s="3229"/>
      <c r="CX315" s="3229"/>
      <c r="CY315" s="3229"/>
      <c r="CZ315" s="3230"/>
      <c r="DA315" s="687"/>
      <c r="DB315" s="1711"/>
      <c r="DC315" s="3021" t="s">
        <v>357</v>
      </c>
      <c r="DD315" s="3022"/>
      <c r="DE315" s="2934"/>
      <c r="DF315" s="2936"/>
      <c r="DG315" s="2934"/>
      <c r="DH315" s="2935"/>
      <c r="DI315" s="2935"/>
      <c r="DJ315" s="2936"/>
      <c r="DK315" s="2934"/>
      <c r="DL315" s="2935"/>
      <c r="DM315" s="2935"/>
      <c r="DN315" s="2936"/>
      <c r="DO315" s="1691"/>
      <c r="DP315" s="3228"/>
      <c r="DQ315" s="3229"/>
      <c r="DR315" s="3229"/>
      <c r="DS315" s="3229"/>
      <c r="DT315" s="3229"/>
      <c r="DU315" s="3229"/>
      <c r="DV315" s="3229"/>
      <c r="DW315" s="3229"/>
      <c r="DX315" s="3229"/>
      <c r="DY315" s="3229"/>
      <c r="DZ315" s="3230"/>
      <c r="EA315" s="539"/>
      <c r="EB315" s="539"/>
      <c r="EC315" s="539"/>
      <c r="ED315" s="539"/>
      <c r="EE315" s="539"/>
      <c r="EF315" s="539"/>
      <c r="EG315" s="539"/>
      <c r="EH315" s="539"/>
      <c r="EI315" s="539"/>
      <c r="EJ315" s="539"/>
      <c r="EK315" s="539"/>
      <c r="EL315" s="539"/>
      <c r="EM315" s="539"/>
      <c r="EN315" s="539"/>
      <c r="EO315" s="539"/>
      <c r="EP315" s="539"/>
      <c r="EQ315" s="539"/>
      <c r="ER315" s="539"/>
      <c r="ES315" s="539"/>
      <c r="ET315" s="539"/>
      <c r="EU315" s="539"/>
      <c r="EV315" s="539"/>
      <c r="EW315" s="539"/>
      <c r="EX315" s="539"/>
      <c r="EY315" s="539"/>
      <c r="EZ315" s="539"/>
      <c r="FA315" s="539"/>
      <c r="FB315" s="539"/>
      <c r="FC315" s="539"/>
      <c r="FD315" s="539"/>
      <c r="FE315" s="539"/>
      <c r="FF315" s="539"/>
      <c r="FG315" s="539"/>
      <c r="FH315" s="539"/>
      <c r="FI315" s="539"/>
      <c r="FJ315" s="539"/>
      <c r="FK315" s="539"/>
      <c r="FL315" s="539"/>
      <c r="FM315" s="539"/>
      <c r="FN315" s="539"/>
      <c r="FO315" s="539"/>
      <c r="FP315" s="539"/>
      <c r="FQ315" s="539"/>
      <c r="FR315" s="539"/>
      <c r="FS315" s="539"/>
      <c r="FT315" s="539"/>
      <c r="FU315" s="539"/>
      <c r="FV315" s="539"/>
      <c r="FW315" s="539"/>
      <c r="FX315" s="539"/>
      <c r="FY315" s="539"/>
      <c r="FZ315" s="539"/>
      <c r="GA315" s="539"/>
      <c r="GB315" s="539"/>
      <c r="GC315" s="539"/>
      <c r="GD315" s="539"/>
      <c r="GE315" s="539"/>
      <c r="GF315" s="539"/>
      <c r="GG315" s="539"/>
      <c r="GH315" s="539"/>
      <c r="GI315" s="539"/>
      <c r="GJ315" s="539"/>
      <c r="GK315" s="539"/>
      <c r="GL315" s="539"/>
      <c r="GM315" s="539"/>
      <c r="GN315" s="539"/>
      <c r="GO315" s="539"/>
      <c r="GP315" s="539"/>
      <c r="GQ315" s="539"/>
      <c r="GR315" s="539"/>
      <c r="GS315" s="539"/>
      <c r="GT315" s="539"/>
      <c r="GU315" s="539"/>
      <c r="GV315" s="539"/>
      <c r="GW315" s="539"/>
      <c r="GX315" s="539"/>
      <c r="GY315" s="539"/>
      <c r="GZ315" s="539"/>
      <c r="HA315" s="539"/>
      <c r="HB315" s="539"/>
      <c r="HC315" s="539"/>
      <c r="HD315" s="539"/>
      <c r="HE315" s="539"/>
      <c r="HF315" s="539"/>
      <c r="HG315" s="539"/>
      <c r="HH315" s="539"/>
      <c r="HI315" s="539"/>
      <c r="HJ315" s="539"/>
      <c r="HK315" s="539"/>
      <c r="HL315" s="539"/>
      <c r="HM315" s="539"/>
      <c r="HN315" s="539"/>
      <c r="HO315" s="539"/>
      <c r="HP315" s="539"/>
      <c r="HQ315" s="539"/>
      <c r="HR315" s="539"/>
      <c r="HS315" s="539"/>
      <c r="HT315" s="539"/>
      <c r="HU315" s="539"/>
      <c r="HV315" s="539"/>
      <c r="HW315" s="539"/>
      <c r="HX315" s="539"/>
      <c r="HY315" s="539"/>
      <c r="HZ315" s="539"/>
      <c r="IA315" s="539"/>
      <c r="IB315" s="539"/>
      <c r="IC315" s="539"/>
      <c r="ID315" s="539"/>
      <c r="IE315" s="539"/>
      <c r="IF315" s="539"/>
      <c r="IG315" s="539"/>
      <c r="IH315" s="539"/>
      <c r="II315" s="539"/>
    </row>
    <row r="316" spans="1:243" s="664" customFormat="1" ht="12" customHeight="1" thickBot="1">
      <c r="A316" s="539"/>
      <c r="B316" s="539"/>
      <c r="C316" s="539"/>
      <c r="D316" s="539"/>
      <c r="E316" s="539"/>
      <c r="F316" s="539"/>
      <c r="G316" s="539"/>
      <c r="H316" s="539"/>
      <c r="I316" s="539"/>
      <c r="J316" s="539"/>
      <c r="K316" s="539"/>
      <c r="L316" s="539"/>
      <c r="M316" s="539"/>
      <c r="N316" s="539"/>
      <c r="O316" s="539"/>
      <c r="P316" s="539"/>
      <c r="Q316" s="668"/>
      <c r="R316" s="686"/>
      <c r="S316" s="686"/>
      <c r="T316" s="686"/>
      <c r="U316" s="686"/>
      <c r="V316" s="686"/>
      <c r="W316" s="686"/>
      <c r="X316" s="686"/>
      <c r="Y316" s="686"/>
      <c r="Z316" s="686"/>
      <c r="AA316" s="681"/>
      <c r="AB316" s="1711"/>
      <c r="AC316" s="1911"/>
      <c r="AD316" s="1911"/>
      <c r="AE316" s="1802"/>
      <c r="AF316" s="1802"/>
      <c r="AG316" s="1802"/>
      <c r="AH316" s="1802"/>
      <c r="AI316" s="1802"/>
      <c r="AJ316" s="1802"/>
      <c r="AK316" s="1802"/>
      <c r="AL316" s="1802"/>
      <c r="AM316" s="1802"/>
      <c r="AN316" s="1802"/>
      <c r="AO316" s="1691"/>
      <c r="AP316" s="3228"/>
      <c r="AQ316" s="3229"/>
      <c r="AR316" s="3229"/>
      <c r="AS316" s="3229"/>
      <c r="AT316" s="3229"/>
      <c r="AU316" s="3229"/>
      <c r="AV316" s="3229"/>
      <c r="AW316" s="3229"/>
      <c r="AX316" s="3229"/>
      <c r="AY316" s="3229"/>
      <c r="AZ316" s="3230"/>
      <c r="BA316" s="665"/>
      <c r="BB316" s="1711"/>
      <c r="BC316" s="1911"/>
      <c r="BD316" s="1911"/>
      <c r="BE316" s="1802"/>
      <c r="BF316" s="1802"/>
      <c r="BG316" s="1802"/>
      <c r="BH316" s="1802"/>
      <c r="BI316" s="1802"/>
      <c r="BJ316" s="1802"/>
      <c r="BK316" s="1802"/>
      <c r="BL316" s="1802"/>
      <c r="BM316" s="1802"/>
      <c r="BN316" s="1802"/>
      <c r="BO316" s="1691"/>
      <c r="BP316" s="3228"/>
      <c r="BQ316" s="3229"/>
      <c r="BR316" s="3229"/>
      <c r="BS316" s="3229"/>
      <c r="BT316" s="3229"/>
      <c r="BU316" s="3229"/>
      <c r="BV316" s="3229"/>
      <c r="BW316" s="3229"/>
      <c r="BX316" s="3229"/>
      <c r="BY316" s="3229"/>
      <c r="BZ316" s="3230"/>
      <c r="CA316" s="688"/>
      <c r="CB316" s="1711"/>
      <c r="CC316" s="1911"/>
      <c r="CD316" s="1911"/>
      <c r="CE316" s="1802"/>
      <c r="CF316" s="1802"/>
      <c r="CG316" s="1802"/>
      <c r="CH316" s="1802"/>
      <c r="CI316" s="1802"/>
      <c r="CJ316" s="1802"/>
      <c r="CK316" s="1802"/>
      <c r="CL316" s="1802"/>
      <c r="CM316" s="1802"/>
      <c r="CN316" s="1802"/>
      <c r="CO316" s="1691"/>
      <c r="CP316" s="3228"/>
      <c r="CQ316" s="3229"/>
      <c r="CR316" s="3229"/>
      <c r="CS316" s="3229"/>
      <c r="CT316" s="3229"/>
      <c r="CU316" s="3229"/>
      <c r="CV316" s="3229"/>
      <c r="CW316" s="3229"/>
      <c r="CX316" s="3229"/>
      <c r="CY316" s="3229"/>
      <c r="CZ316" s="3230"/>
      <c r="DA316" s="687"/>
      <c r="DB316" s="1711"/>
      <c r="DC316" s="1911"/>
      <c r="DD316" s="1911"/>
      <c r="DE316" s="1802"/>
      <c r="DF316" s="1802"/>
      <c r="DG316" s="1802"/>
      <c r="DH316" s="1802"/>
      <c r="DI316" s="1802"/>
      <c r="DJ316" s="1802"/>
      <c r="DK316" s="1802"/>
      <c r="DL316" s="1802"/>
      <c r="DM316" s="1802"/>
      <c r="DN316" s="1802"/>
      <c r="DO316" s="1691"/>
      <c r="DP316" s="3228"/>
      <c r="DQ316" s="3229"/>
      <c r="DR316" s="3229"/>
      <c r="DS316" s="3229"/>
      <c r="DT316" s="3229"/>
      <c r="DU316" s="3229"/>
      <c r="DV316" s="3229"/>
      <c r="DW316" s="3229"/>
      <c r="DX316" s="3229"/>
      <c r="DY316" s="3229"/>
      <c r="DZ316" s="3230"/>
      <c r="EA316" s="539"/>
      <c r="EB316" s="539"/>
      <c r="EC316" s="539"/>
      <c r="ED316" s="539"/>
      <c r="EE316" s="539"/>
      <c r="EF316" s="539"/>
      <c r="EG316" s="539"/>
      <c r="EH316" s="539"/>
      <c r="EI316" s="539"/>
      <c r="EJ316" s="539"/>
      <c r="EK316" s="539"/>
      <c r="EL316" s="539"/>
      <c r="EM316" s="539"/>
      <c r="EN316" s="539"/>
      <c r="EO316" s="539"/>
      <c r="EP316" s="539"/>
      <c r="EQ316" s="539"/>
      <c r="ER316" s="539"/>
      <c r="ES316" s="539"/>
      <c r="ET316" s="539"/>
      <c r="EU316" s="539"/>
      <c r="EV316" s="539"/>
      <c r="EW316" s="539"/>
      <c r="EX316" s="539"/>
      <c r="EY316" s="539"/>
      <c r="EZ316" s="539"/>
      <c r="FA316" s="539"/>
      <c r="FB316" s="539"/>
      <c r="FC316" s="539"/>
      <c r="FD316" s="539"/>
      <c r="FE316" s="539"/>
      <c r="FF316" s="539"/>
      <c r="FG316" s="539"/>
      <c r="FH316" s="539"/>
      <c r="FI316" s="539"/>
      <c r="FJ316" s="539"/>
      <c r="FK316" s="539"/>
      <c r="FL316" s="539"/>
      <c r="FM316" s="539"/>
      <c r="FN316" s="539"/>
      <c r="FO316" s="539"/>
      <c r="FP316" s="539"/>
      <c r="FQ316" s="539"/>
      <c r="FR316" s="539"/>
      <c r="FS316" s="539"/>
      <c r="FT316" s="539"/>
      <c r="FU316" s="539"/>
      <c r="FV316" s="539"/>
      <c r="FW316" s="539"/>
      <c r="FX316" s="539"/>
      <c r="FY316" s="539"/>
      <c r="FZ316" s="539"/>
      <c r="GA316" s="539"/>
      <c r="GB316" s="539"/>
      <c r="GC316" s="539"/>
      <c r="GD316" s="539"/>
      <c r="GE316" s="539"/>
      <c r="GF316" s="539"/>
      <c r="GG316" s="539"/>
      <c r="GH316" s="539"/>
      <c r="GI316" s="539"/>
      <c r="GJ316" s="539"/>
      <c r="GK316" s="539"/>
      <c r="GL316" s="539"/>
      <c r="GM316" s="539"/>
      <c r="GN316" s="539"/>
      <c r="GO316" s="539"/>
      <c r="GP316" s="539"/>
      <c r="GQ316" s="539"/>
      <c r="GR316" s="539"/>
      <c r="GS316" s="539"/>
      <c r="GT316" s="539"/>
      <c r="GU316" s="539"/>
      <c r="GV316" s="539"/>
      <c r="GW316" s="539"/>
      <c r="GX316" s="539"/>
      <c r="GY316" s="539"/>
      <c r="GZ316" s="539"/>
      <c r="HA316" s="539"/>
      <c r="HB316" s="539"/>
      <c r="HC316" s="539"/>
      <c r="HD316" s="539"/>
      <c r="HE316" s="539"/>
      <c r="HF316" s="539"/>
      <c r="HG316" s="539"/>
      <c r="HH316" s="539"/>
      <c r="HI316" s="539"/>
      <c r="HJ316" s="539"/>
      <c r="HK316" s="539"/>
      <c r="HL316" s="539"/>
      <c r="HM316" s="539"/>
      <c r="HN316" s="539"/>
      <c r="HO316" s="539"/>
      <c r="HP316" s="539"/>
      <c r="HQ316" s="539"/>
      <c r="HR316" s="539"/>
      <c r="HS316" s="539"/>
      <c r="HT316" s="539"/>
      <c r="HU316" s="539"/>
      <c r="HV316" s="539"/>
      <c r="HW316" s="539"/>
      <c r="HX316" s="539"/>
      <c r="HY316" s="539"/>
      <c r="HZ316" s="539"/>
      <c r="IA316" s="539"/>
      <c r="IB316" s="539"/>
      <c r="IC316" s="539"/>
      <c r="ID316" s="539"/>
      <c r="IE316" s="539"/>
      <c r="IF316" s="539"/>
      <c r="IG316" s="539"/>
      <c r="IH316" s="539"/>
      <c r="II316" s="539"/>
    </row>
    <row r="317" spans="1:243" s="664" customFormat="1" ht="16.5" customHeight="1">
      <c r="A317" s="539"/>
      <c r="B317" s="539"/>
      <c r="C317" s="539"/>
      <c r="D317" s="539"/>
      <c r="E317" s="539"/>
      <c r="F317" s="539"/>
      <c r="G317" s="539"/>
      <c r="H317" s="539"/>
      <c r="I317" s="539"/>
      <c r="J317" s="539"/>
      <c r="K317" s="539"/>
      <c r="L317" s="539"/>
      <c r="M317" s="539"/>
      <c r="N317" s="539"/>
      <c r="O317" s="539"/>
      <c r="P317" s="539"/>
      <c r="Q317" s="668"/>
      <c r="R317" s="686"/>
      <c r="S317" s="686"/>
      <c r="T317" s="686"/>
      <c r="U317" s="686"/>
      <c r="V317" s="686"/>
      <c r="W317" s="686"/>
      <c r="X317" s="686"/>
      <c r="Y317" s="686"/>
      <c r="Z317" s="686"/>
      <c r="AA317" s="681"/>
      <c r="AB317" s="1766">
        <f>IF(AE311&lt;&gt;"",1,0)+IF(AND(AE311&lt;&gt;"",AE313&lt;&gt;""),1,0)+IF(AND(AE311&lt;&gt;"",AE313&lt;&gt;"",AE315&lt;&gt;""),1,0)+IF(AQ311&lt;&gt;"",1,0)+IF(AND(AQ311&lt;&gt;"",AQ313&lt;&gt;""),1,0)</f>
        <v>2</v>
      </c>
      <c r="AC317" s="1772"/>
      <c r="AD317" s="1772"/>
      <c r="AE317" s="3065" t="str">
        <f>IF(AND(AE311&lt;&gt;"NONE",AE311&lt;&gt;""),AG311&amp;" "&amp;AE311&amp;IF(AE311="TS"," TOPS "," ")&amp;AK311,IF(AND(AQ311&lt;&gt;"",AQ313=""),"TEMPO: "&amp;AS311&amp;" "&amp;AQ311&amp;IF(AQ311=" TS","TOPS "," ")&amp;AW311,IF(AND(AQ311&lt;&gt;"",AQ313&lt;&gt;""),"","NONE")))</f>
        <v>TEMPO: ISOLD TS 350</v>
      </c>
      <c r="AF317" s="3066"/>
      <c r="AG317" s="3066"/>
      <c r="AH317" s="3066"/>
      <c r="AI317" s="3066"/>
      <c r="AJ317" s="3066"/>
      <c r="AK317" s="3066"/>
      <c r="AL317" s="3066"/>
      <c r="AM317" s="3066"/>
      <c r="AN317" s="3066"/>
      <c r="AO317" s="3066"/>
      <c r="AP317" s="3066"/>
      <c r="AQ317" s="3066"/>
      <c r="AR317" s="3066"/>
      <c r="AS317" s="3066"/>
      <c r="AT317" s="3066"/>
      <c r="AU317" s="3066"/>
      <c r="AV317" s="3066"/>
      <c r="AW317" s="3067"/>
      <c r="AX317" s="1773"/>
      <c r="AY317" s="1773"/>
      <c r="AZ317" s="1769"/>
      <c r="BA317" s="665"/>
      <c r="BB317" s="1766">
        <f>IF(BE311&lt;&gt;"",1,0)+IF(AND(BE311&lt;&gt;"",BE313&lt;&gt;""),1,0)+IF(AND(BE311&lt;&gt;"",BE313&lt;&gt;"",BE315&lt;&gt;""),1,0)+IF(BQ311&lt;&gt;"",1,0)+IF(AND(BQ311&lt;&gt;"",BQ313&lt;&gt;""),1,0)</f>
        <v>0</v>
      </c>
      <c r="BC317" s="1772"/>
      <c r="BD317" s="1772"/>
      <c r="BE317" s="3065" t="str">
        <f>IF(AND(BE311&lt;&gt;"NONE",BE311&lt;&gt;""),BG311&amp;" "&amp;BE311&amp;IF(BE311="TS"," TOPS "," ")&amp;BK311,IF(AND(BQ311&lt;&gt;"",BQ313=""),"TEMPO: "&amp;BS311&amp;" "&amp;BQ311&amp;IF(BQ311=" TS","TOPS "," ")&amp;BW311,IF(AND(BQ311&lt;&gt;"",BQ313&lt;&gt;""),"","NONE")))</f>
        <v>NONE</v>
      </c>
      <c r="BF317" s="3066"/>
      <c r="BG317" s="3066"/>
      <c r="BH317" s="3066"/>
      <c r="BI317" s="3066"/>
      <c r="BJ317" s="3066"/>
      <c r="BK317" s="3066"/>
      <c r="BL317" s="3066"/>
      <c r="BM317" s="3066"/>
      <c r="BN317" s="3066"/>
      <c r="BO317" s="3066"/>
      <c r="BP317" s="3066"/>
      <c r="BQ317" s="3066"/>
      <c r="BR317" s="3066"/>
      <c r="BS317" s="3066"/>
      <c r="BT317" s="3066"/>
      <c r="BU317" s="3066"/>
      <c r="BV317" s="3066"/>
      <c r="BW317" s="3067"/>
      <c r="BX317" s="1773"/>
      <c r="BY317" s="1773"/>
      <c r="BZ317" s="1769"/>
      <c r="CA317" s="688"/>
      <c r="CB317" s="1766">
        <f>IF(CE311&lt;&gt;"",1,0)+IF(AND(CE311&lt;&gt;"",CE313&lt;&gt;""),1,0)+IF(AND(CE311&lt;&gt;"",CE313&lt;&gt;"",CE315&lt;&gt;""),1,0)+IF(CQ311&lt;&gt;"",1,0)+IF(AND(CQ311&lt;&gt;"",CQ313&lt;&gt;""),1,0)</f>
        <v>0</v>
      </c>
      <c r="CC317" s="1772"/>
      <c r="CD317" s="1772"/>
      <c r="CE317" s="3065" t="str">
        <f>IF(AND(CE311&lt;&gt;"NONE",CE311&lt;&gt;""),CG311&amp;" "&amp;CE311&amp;IF(CE311="TS"," TOPS "," ")&amp;CK311,IF(AND(CQ311&lt;&gt;"",CQ313=""),"TEMPO: "&amp;CS311&amp;" "&amp;CQ311&amp;IF(CQ311=" TS","TOPS "," ")&amp;CW311,IF(AND(CQ311&lt;&gt;"",CQ313&lt;&gt;""),"","NONE")))</f>
        <v>NONE</v>
      </c>
      <c r="CF317" s="3066"/>
      <c r="CG317" s="3066"/>
      <c r="CH317" s="3066"/>
      <c r="CI317" s="3066"/>
      <c r="CJ317" s="3066"/>
      <c r="CK317" s="3066"/>
      <c r="CL317" s="3066"/>
      <c r="CM317" s="3066"/>
      <c r="CN317" s="3066"/>
      <c r="CO317" s="3066"/>
      <c r="CP317" s="3066"/>
      <c r="CQ317" s="3066"/>
      <c r="CR317" s="3066"/>
      <c r="CS317" s="3066"/>
      <c r="CT317" s="3066"/>
      <c r="CU317" s="3066"/>
      <c r="CV317" s="3066"/>
      <c r="CW317" s="3067"/>
      <c r="CX317" s="1773"/>
      <c r="CY317" s="1773"/>
      <c r="CZ317" s="1769"/>
      <c r="DA317" s="687"/>
      <c r="DB317" s="1766">
        <f>IF(DE311&lt;&gt;"",1,0)+IF(AND(DE311&lt;&gt;"",DE313&lt;&gt;""),1,0)+IF(AND(DE311&lt;&gt;"",DE313&lt;&gt;"",DE315&lt;&gt;""),1,0)+IF(DQ311&lt;&gt;"",1,0)+IF(AND(DQ311&lt;&gt;"",DQ313&lt;&gt;""),1,0)</f>
        <v>0</v>
      </c>
      <c r="DC317" s="1772"/>
      <c r="DD317" s="1772"/>
      <c r="DE317" s="3065" t="str">
        <f>IF(AND(DE311&lt;&gt;"NONE",DE311&lt;&gt;""),DG311&amp;" "&amp;DE311&amp;IF(DE311="TS"," TOPS "," ")&amp;DK311,IF(AND(DQ311&lt;&gt;"",DQ313=""),"TEMPO: "&amp;DS311&amp;" "&amp;DQ311&amp;IF(DQ311=" TS","TOPS "," ")&amp;DW311,IF(AND(DQ311&lt;&gt;"",DQ313&lt;&gt;""),"","NONE")))</f>
        <v>NONE</v>
      </c>
      <c r="DF317" s="3066"/>
      <c r="DG317" s="3066"/>
      <c r="DH317" s="3066"/>
      <c r="DI317" s="3066"/>
      <c r="DJ317" s="3066"/>
      <c r="DK317" s="3066"/>
      <c r="DL317" s="3066"/>
      <c r="DM317" s="3066"/>
      <c r="DN317" s="3066"/>
      <c r="DO317" s="3066"/>
      <c r="DP317" s="3066"/>
      <c r="DQ317" s="3066"/>
      <c r="DR317" s="3066"/>
      <c r="DS317" s="3066"/>
      <c r="DT317" s="3066"/>
      <c r="DU317" s="3066"/>
      <c r="DV317" s="3066"/>
      <c r="DW317" s="3067"/>
      <c r="DX317" s="1773"/>
      <c r="DY317" s="1773"/>
      <c r="DZ317" s="1769"/>
      <c r="EA317" s="539"/>
      <c r="EB317" s="539"/>
      <c r="EC317" s="539"/>
      <c r="ED317" s="539"/>
      <c r="EE317" s="539"/>
      <c r="EF317" s="539"/>
      <c r="EG317" s="539"/>
      <c r="EH317" s="539"/>
      <c r="EI317" s="539"/>
      <c r="EJ317" s="539"/>
      <c r="EK317" s="539"/>
      <c r="EL317" s="539"/>
      <c r="EM317" s="539"/>
      <c r="EN317" s="539"/>
      <c r="EO317" s="539"/>
      <c r="EP317" s="539"/>
      <c r="EQ317" s="539"/>
      <c r="ER317" s="539"/>
      <c r="ES317" s="539"/>
      <c r="ET317" s="539"/>
      <c r="EU317" s="539"/>
      <c r="EV317" s="539"/>
      <c r="EW317" s="539"/>
      <c r="EX317" s="539"/>
      <c r="EY317" s="539"/>
      <c r="EZ317" s="539"/>
      <c r="FA317" s="539"/>
      <c r="FB317" s="539"/>
      <c r="FC317" s="539"/>
      <c r="FD317" s="539"/>
      <c r="FE317" s="539"/>
      <c r="FF317" s="539"/>
      <c r="FG317" s="539"/>
      <c r="FH317" s="539"/>
      <c r="FI317" s="539"/>
      <c r="FJ317" s="539"/>
      <c r="FK317" s="539"/>
      <c r="FL317" s="539"/>
      <c r="FM317" s="539"/>
      <c r="FN317" s="539"/>
      <c r="FO317" s="539"/>
      <c r="FP317" s="539"/>
      <c r="FQ317" s="539"/>
      <c r="FR317" s="539"/>
      <c r="FS317" s="539"/>
      <c r="FT317" s="539"/>
      <c r="FU317" s="539"/>
      <c r="FV317" s="539"/>
      <c r="FW317" s="539"/>
      <c r="FX317" s="539"/>
      <c r="FY317" s="539"/>
      <c r="FZ317" s="539"/>
      <c r="GA317" s="539"/>
      <c r="GB317" s="539"/>
      <c r="GC317" s="539"/>
      <c r="GD317" s="539"/>
      <c r="GE317" s="539"/>
      <c r="GF317" s="539"/>
      <c r="GG317" s="539"/>
      <c r="GH317" s="539"/>
      <c r="GI317" s="539"/>
      <c r="GJ317" s="539"/>
      <c r="GK317" s="539"/>
      <c r="GL317" s="539"/>
      <c r="GM317" s="539"/>
      <c r="GN317" s="539"/>
      <c r="GO317" s="539"/>
      <c r="GP317" s="539"/>
      <c r="GQ317" s="539"/>
      <c r="GR317" s="539"/>
      <c r="GS317" s="539"/>
      <c r="GT317" s="539"/>
      <c r="GU317" s="539"/>
      <c r="GV317" s="539"/>
      <c r="GW317" s="539"/>
      <c r="GX317" s="539"/>
      <c r="GY317" s="539"/>
      <c r="GZ317" s="539"/>
      <c r="HA317" s="539"/>
      <c r="HB317" s="539"/>
      <c r="HC317" s="539"/>
      <c r="HD317" s="539"/>
      <c r="HE317" s="539"/>
      <c r="HF317" s="539"/>
      <c r="HG317" s="539"/>
      <c r="HH317" s="539"/>
      <c r="HI317" s="539"/>
      <c r="HJ317" s="539"/>
      <c r="HK317" s="539"/>
      <c r="HL317" s="539"/>
      <c r="HM317" s="539"/>
      <c r="HN317" s="539"/>
      <c r="HO317" s="539"/>
      <c r="HP317" s="539"/>
      <c r="HQ317" s="539"/>
      <c r="HR317" s="539"/>
      <c r="HS317" s="539"/>
      <c r="HT317" s="539"/>
      <c r="HU317" s="539"/>
      <c r="HV317" s="539"/>
      <c r="HW317" s="539"/>
      <c r="HX317" s="539"/>
      <c r="HY317" s="539"/>
      <c r="HZ317" s="539"/>
      <c r="IA317" s="539"/>
      <c r="IB317" s="539"/>
      <c r="IC317" s="539"/>
      <c r="ID317" s="539"/>
      <c r="IE317" s="539"/>
      <c r="IF317" s="539"/>
      <c r="IG317" s="539"/>
      <c r="IH317" s="539"/>
      <c r="II317" s="539"/>
    </row>
    <row r="318" spans="1:243" s="664" customFormat="1" ht="18" customHeight="1" thickBot="1">
      <c r="A318" s="539"/>
      <c r="B318" s="539"/>
      <c r="C318" s="539"/>
      <c r="D318" s="539"/>
      <c r="E318" s="539"/>
      <c r="F318" s="539"/>
      <c r="G318" s="539"/>
      <c r="H318" s="539"/>
      <c r="I318" s="539"/>
      <c r="J318" s="539"/>
      <c r="K318" s="539"/>
      <c r="L318" s="539"/>
      <c r="M318" s="539"/>
      <c r="N318" s="539"/>
      <c r="O318" s="539"/>
      <c r="P318" s="539"/>
      <c r="Q318" s="668"/>
      <c r="R318" s="686"/>
      <c r="S318" s="686"/>
      <c r="T318" s="686"/>
      <c r="U318" s="686"/>
      <c r="V318" s="686"/>
      <c r="W318" s="686"/>
      <c r="X318" s="686"/>
      <c r="Y318" s="686"/>
      <c r="Z318" s="686"/>
      <c r="AA318" s="681"/>
      <c r="AB318" s="1711"/>
      <c r="AC318" s="1767"/>
      <c r="AD318" s="1771"/>
      <c r="AE318" s="3070" t="str">
        <f>IF(AE313&lt;&gt;"",AG313&amp;" "&amp;AE313&amp;" "&amp;AK313,IF(OR(AND(AE311&lt;&gt;"",AE311&lt;&gt;"NONE",AQ311&lt;&gt;""),AND(OR(AE311="",AE311="NONE"),AQ311&lt;&gt;"",AQ313&lt;&gt;"")),"TEMPO: "&amp;AS311&amp;" "&amp;AQ311&amp;IF(AQ311="TS"," TOPS "," ")&amp;AW311,""))&amp;IF(AE315&lt;&gt;"",",  "&amp;AG315&amp;" "&amp;AE315&amp;" "&amp;AK315,IF(AND(AE311&lt;&gt;"",AE313&lt;&gt;"",AQ311&lt;&gt;""),",  TEMPO: "&amp;AS311&amp;" "&amp;AQ311&amp;IF(AQ311="TS"," TOPS "," ")&amp;AW311,IF(AND(AE313="",AE315="",AQ311&lt;&gt;"",AQ313&lt;&gt;""),",  "&amp;AS313&amp;" "&amp;AQ313&amp;" "&amp;AW313,"")))</f>
        <v/>
      </c>
      <c r="AF318" s="3071"/>
      <c r="AG318" s="3071"/>
      <c r="AH318" s="3071"/>
      <c r="AI318" s="3071"/>
      <c r="AJ318" s="3071"/>
      <c r="AK318" s="3071"/>
      <c r="AL318" s="3071"/>
      <c r="AM318" s="3071"/>
      <c r="AN318" s="3071"/>
      <c r="AO318" s="3071"/>
      <c r="AP318" s="3071"/>
      <c r="AQ318" s="3071"/>
      <c r="AR318" s="3071"/>
      <c r="AS318" s="3071"/>
      <c r="AT318" s="3071"/>
      <c r="AU318" s="3071"/>
      <c r="AV318" s="3071"/>
      <c r="AW318" s="3072"/>
      <c r="AX318" s="1770"/>
      <c r="AY318" s="1768"/>
      <c r="AZ318" s="1765"/>
      <c r="BA318" s="665"/>
      <c r="BB318" s="1711"/>
      <c r="BC318" s="1767"/>
      <c r="BD318" s="1771"/>
      <c r="BE318" s="3070" t="str">
        <f>IF(BE313&lt;&gt;"",BG313&amp;" "&amp;BE313&amp;" "&amp;BK313,IF(OR(AND(BE311&lt;&gt;"",BE311&lt;&gt;"NONE",BQ311&lt;&gt;""),AND(OR(BE311="",BE311="NONE"),BQ311&lt;&gt;"",BQ313&lt;&gt;"")),"TEMPO: "&amp;BS311&amp;" "&amp;BQ311&amp;IF(BQ311="TS"," TOPS "," ")&amp;BW311,""))&amp;IF(BE315&lt;&gt;"",",  "&amp;BG315&amp;" "&amp;BE315&amp;" "&amp;BK315,IF(AND(BE311&lt;&gt;"",BE313&lt;&gt;"",BQ311&lt;&gt;""),",  TEMPO: "&amp;BS311&amp;" "&amp;BQ311&amp;IF(BQ311="TS"," TOPS "," ")&amp;BW311,IF(AND(BE313="",BE315="",BQ311&lt;&gt;"",BQ313&lt;&gt;""),",  "&amp;BS313&amp;" "&amp;BQ313&amp;" "&amp;BW313,"")))</f>
        <v/>
      </c>
      <c r="BF318" s="3071"/>
      <c r="BG318" s="3071"/>
      <c r="BH318" s="3071"/>
      <c r="BI318" s="3071"/>
      <c r="BJ318" s="3071"/>
      <c r="BK318" s="3071"/>
      <c r="BL318" s="3071"/>
      <c r="BM318" s="3071"/>
      <c r="BN318" s="3071"/>
      <c r="BO318" s="3071"/>
      <c r="BP318" s="3071"/>
      <c r="BQ318" s="3071"/>
      <c r="BR318" s="3071"/>
      <c r="BS318" s="3071"/>
      <c r="BT318" s="3071"/>
      <c r="BU318" s="3071"/>
      <c r="BV318" s="3071"/>
      <c r="BW318" s="3072"/>
      <c r="BX318" s="1770"/>
      <c r="BY318" s="1768"/>
      <c r="BZ318" s="1765"/>
      <c r="CA318" s="688"/>
      <c r="CB318" s="1711"/>
      <c r="CC318" s="1767"/>
      <c r="CD318" s="1771"/>
      <c r="CE318" s="3070" t="str">
        <f>IF(CE313&lt;&gt;"",CG313&amp;" "&amp;CE313&amp;" "&amp;CK313,IF(OR(AND(CE311&lt;&gt;"",CE311&lt;&gt;"NONE",CQ311&lt;&gt;""),AND(OR(CE311="",CE311="NONE"),CQ311&lt;&gt;"",CQ313&lt;&gt;"")),"TEMPO: "&amp;CS311&amp;" "&amp;CQ311&amp;IF(CQ311="TS"," TOPS "," ")&amp;CW311,""))&amp;IF(CE315&lt;&gt;"",",  "&amp;CG315&amp;" "&amp;CE315&amp;" "&amp;CK315,IF(AND(CE311&lt;&gt;"",CE313&lt;&gt;"",CQ311&lt;&gt;""),",  TEMPO: "&amp;CS311&amp;" "&amp;CQ311&amp;IF(CQ311="TS"," TOPS "," ")&amp;CW311,IF(AND(CE313="",CE315="",CQ311&lt;&gt;"",CQ313&lt;&gt;""),",  "&amp;CS313&amp;" "&amp;CQ313&amp;" "&amp;CW313,"")))</f>
        <v/>
      </c>
      <c r="CF318" s="3071"/>
      <c r="CG318" s="3071"/>
      <c r="CH318" s="3071"/>
      <c r="CI318" s="3071"/>
      <c r="CJ318" s="3071"/>
      <c r="CK318" s="3071"/>
      <c r="CL318" s="3071"/>
      <c r="CM318" s="3071"/>
      <c r="CN318" s="3071"/>
      <c r="CO318" s="3071"/>
      <c r="CP318" s="3071"/>
      <c r="CQ318" s="3071"/>
      <c r="CR318" s="3071"/>
      <c r="CS318" s="3071"/>
      <c r="CT318" s="3071"/>
      <c r="CU318" s="3071"/>
      <c r="CV318" s="3071"/>
      <c r="CW318" s="3072"/>
      <c r="CX318" s="1770"/>
      <c r="CY318" s="1768"/>
      <c r="CZ318" s="1765"/>
      <c r="DA318" s="687"/>
      <c r="DB318" s="1711"/>
      <c r="DC318" s="1767"/>
      <c r="DD318" s="1771"/>
      <c r="DE318" s="3070" t="str">
        <f>IF(DE313&lt;&gt;"",DG313&amp;" "&amp;DE313&amp;" "&amp;DK313,IF(OR(AND(DE311&lt;&gt;"",DE311&lt;&gt;"NONE",DQ311&lt;&gt;""),AND(OR(DE311="",DE311="NONE"),DQ311&lt;&gt;"",DQ313&lt;&gt;"")),"TEMPO: "&amp;DS311&amp;" "&amp;DQ311&amp;IF(DQ311="TS"," TOPS "," ")&amp;DW311,""))&amp;IF(DE315&lt;&gt;"",",  "&amp;DG315&amp;" "&amp;DE315&amp;" "&amp;DK315,IF(AND(DE311&lt;&gt;"",DE313&lt;&gt;"",DQ311&lt;&gt;""),",  TEMPO: "&amp;DS311&amp;" "&amp;DQ311&amp;IF(DQ311="TS"," TOPS "," ")&amp;DW311,IF(AND(DE313="",DE315="",DQ311&lt;&gt;"",DQ313&lt;&gt;""),",  "&amp;DS313&amp;" "&amp;DQ313&amp;" "&amp;DW313,"")))</f>
        <v/>
      </c>
      <c r="DF318" s="3071"/>
      <c r="DG318" s="3071"/>
      <c r="DH318" s="3071"/>
      <c r="DI318" s="3071"/>
      <c r="DJ318" s="3071"/>
      <c r="DK318" s="3071"/>
      <c r="DL318" s="3071"/>
      <c r="DM318" s="3071"/>
      <c r="DN318" s="3071"/>
      <c r="DO318" s="3071"/>
      <c r="DP318" s="3071"/>
      <c r="DQ318" s="3071"/>
      <c r="DR318" s="3071"/>
      <c r="DS318" s="3071"/>
      <c r="DT318" s="3071"/>
      <c r="DU318" s="3071"/>
      <c r="DV318" s="3071"/>
      <c r="DW318" s="3072"/>
      <c r="DX318" s="1770"/>
      <c r="DY318" s="1768"/>
      <c r="DZ318" s="1765"/>
      <c r="EA318" s="539"/>
      <c r="EB318" s="539"/>
      <c r="EC318" s="539"/>
      <c r="ED318" s="539"/>
      <c r="EE318" s="539"/>
      <c r="EF318" s="539"/>
      <c r="EG318" s="539"/>
      <c r="EH318" s="539"/>
      <c r="EI318" s="539"/>
      <c r="EJ318" s="539"/>
      <c r="EK318" s="539"/>
      <c r="EL318" s="539"/>
      <c r="EM318" s="539"/>
      <c r="EN318" s="539"/>
      <c r="EO318" s="539"/>
      <c r="EP318" s="539"/>
      <c r="EQ318" s="539"/>
      <c r="ER318" s="539"/>
      <c r="ES318" s="539"/>
      <c r="ET318" s="539"/>
      <c r="EU318" s="539"/>
      <c r="EV318" s="539"/>
      <c r="EW318" s="539"/>
      <c r="EX318" s="539"/>
      <c r="EY318" s="539"/>
      <c r="EZ318" s="539"/>
      <c r="FA318" s="539"/>
      <c r="FB318" s="539"/>
      <c r="FC318" s="539"/>
      <c r="FD318" s="539"/>
      <c r="FE318" s="539"/>
      <c r="FF318" s="539"/>
      <c r="FG318" s="539"/>
      <c r="FH318" s="539"/>
      <c r="FI318" s="539"/>
      <c r="FJ318" s="539"/>
      <c r="FK318" s="539"/>
      <c r="FL318" s="539"/>
      <c r="FM318" s="539"/>
      <c r="FN318" s="539"/>
      <c r="FO318" s="539"/>
      <c r="FP318" s="539"/>
      <c r="FQ318" s="539"/>
      <c r="FR318" s="539"/>
      <c r="FS318" s="539"/>
      <c r="FT318" s="539"/>
      <c r="FU318" s="539"/>
      <c r="FV318" s="539"/>
      <c r="FW318" s="539"/>
      <c r="FX318" s="539"/>
      <c r="FY318" s="539"/>
      <c r="FZ318" s="539"/>
      <c r="GA318" s="539"/>
      <c r="GB318" s="539"/>
      <c r="GC318" s="539"/>
      <c r="GD318" s="539"/>
      <c r="GE318" s="539"/>
      <c r="GF318" s="539"/>
      <c r="GG318" s="539"/>
      <c r="GH318" s="539"/>
      <c r="GI318" s="539"/>
      <c r="GJ318" s="539"/>
      <c r="GK318" s="539"/>
      <c r="GL318" s="539"/>
      <c r="GM318" s="539"/>
      <c r="GN318" s="539"/>
      <c r="GO318" s="539"/>
      <c r="GP318" s="539"/>
      <c r="GQ318" s="539"/>
      <c r="GR318" s="539"/>
      <c r="GS318" s="539"/>
      <c r="GT318" s="539"/>
      <c r="GU318" s="539"/>
      <c r="GV318" s="539"/>
      <c r="GW318" s="539"/>
      <c r="GX318" s="539"/>
      <c r="GY318" s="539"/>
      <c r="GZ318" s="539"/>
      <c r="HA318" s="539"/>
      <c r="HB318" s="539"/>
      <c r="HC318" s="539"/>
      <c r="HD318" s="539"/>
      <c r="HE318" s="539"/>
      <c r="HF318" s="539"/>
      <c r="HG318" s="539"/>
      <c r="HH318" s="539"/>
      <c r="HI318" s="539"/>
      <c r="HJ318" s="539"/>
      <c r="HK318" s="539"/>
      <c r="HL318" s="539"/>
      <c r="HM318" s="539"/>
      <c r="HN318" s="539"/>
      <c r="HO318" s="539"/>
      <c r="HP318" s="539"/>
      <c r="HQ318" s="539"/>
      <c r="HR318" s="539"/>
      <c r="HS318" s="539"/>
      <c r="HT318" s="539"/>
      <c r="HU318" s="539"/>
      <c r="HV318" s="539"/>
      <c r="HW318" s="539"/>
      <c r="HX318" s="539"/>
      <c r="HY318" s="539"/>
      <c r="HZ318" s="539"/>
      <c r="IA318" s="539"/>
      <c r="IB318" s="539"/>
      <c r="IC318" s="539"/>
      <c r="ID318" s="539"/>
      <c r="IE318" s="539"/>
      <c r="IF318" s="539"/>
      <c r="IG318" s="539"/>
      <c r="IH318" s="539"/>
      <c r="II318" s="539"/>
    </row>
    <row r="319" spans="1:243" s="664" customFormat="1" ht="11.25" customHeight="1">
      <c r="A319" s="539"/>
      <c r="B319" s="539"/>
      <c r="C319" s="539"/>
      <c r="D319" s="539"/>
      <c r="E319" s="539"/>
      <c r="F319" s="539"/>
      <c r="G319" s="539"/>
      <c r="H319" s="539"/>
      <c r="I319" s="539"/>
      <c r="J319" s="539"/>
      <c r="K319" s="539"/>
      <c r="L319" s="539"/>
      <c r="M319" s="539"/>
      <c r="N319" s="539"/>
      <c r="O319" s="539"/>
      <c r="P319" s="539"/>
      <c r="Q319" s="668"/>
      <c r="R319" s="668"/>
      <c r="S319" s="668"/>
      <c r="T319" s="668"/>
      <c r="U319" s="668"/>
      <c r="V319" s="668"/>
      <c r="W319" s="668"/>
      <c r="X319" s="668"/>
      <c r="Y319" s="668"/>
      <c r="Z319" s="668"/>
      <c r="AA319" s="668"/>
      <c r="AB319" s="1755" t="s">
        <v>358</v>
      </c>
      <c r="AC319" s="1756"/>
      <c r="AD319" s="1757"/>
      <c r="AE319" s="1758" t="s">
        <v>359</v>
      </c>
      <c r="AF319" s="1910">
        <f>AJ295</f>
        <v>10</v>
      </c>
      <c r="AG319" s="1910">
        <f>IF(AF295&lt;&gt;"",0,IF(AL295="",0,AL295))</f>
        <v>0</v>
      </c>
      <c r="AH319" s="1910">
        <f>IF(OR(AF295&lt;&gt;"",AV295=""),0,AV295)</f>
        <v>12</v>
      </c>
      <c r="AI319" s="1910">
        <f>IF(OR(AF295&lt;&gt;"",AX295=""),0,AX295)</f>
        <v>20</v>
      </c>
      <c r="AJ319" s="1759" t="s">
        <v>360</v>
      </c>
      <c r="AK319" s="1760">
        <f>IF(MID(AG298,2,1)="/",(LEFT(AG298)*1)/(RIGHT(AG298)*1),AG298*1)</f>
        <v>7</v>
      </c>
      <c r="AL319" s="1760">
        <f>IF(AR298="","",IF(MID(AR298,2,1)="/",(LEFT(AR298)*1)/(RIGHT(AR298)*1),AR298*1))</f>
        <v>3</v>
      </c>
      <c r="AM319" s="1761" t="str">
        <f>IF(OR(AJ298="NONE",AJ298=""),"",IF(OR(ISNUMBER(FIND("DZ",AJ298)),ISNUMBER(FIND("RA",AJ298)),ISNUMBER(FIND("SN",AJ298)),ISNUMBER(FIND("PL",AJ298)),ISNUMBER(FIND("IC",AJ298)),ISNUMBER(FIND("GS",AJ298)),ISNUMBER(FIND("SG",AJ298)),ISNUMBER(FIND("GR",AJ298))),"PR","WX"))</f>
        <v/>
      </c>
      <c r="AN319" s="1761" t="str">
        <f>IF(OR(AU298="NONE",AU298=""),"",IF(OR(ISNUMBER(FIND("DZ",AU298)),ISNUMBER(FIND("RA",AU298)),ISNUMBER(FIND("SN",AU298)),ISNUMBER(FIND("PL",AU298)),ISNUMBER(FIND("IC",AU298)),ISNUMBER(FIND("GS",AU298)),ISNUMBER(FIND("SG",AU298)),ISNUMBER(FIND("GR",AU298))),"PR","WX"))</f>
        <v>PR</v>
      </c>
      <c r="AO319" s="1759" t="s">
        <v>361</v>
      </c>
      <c r="AP319" s="3009">
        <f>IF(OR(ISNUMBER(FIND("BKN",AF301)),ISNUMBER(FIND("OVC",AF301))),AI301*1,IF(OR(ISNUMBER(FIND("BKN",AF303)),ISNUMBER(FIND("OVC",AF303))),AI303*1,IF(OR(ISNUMBER(FIND("BKN",AF305)),ISNUMBER(FIND("OVC",AF305))),AI305*1,IF(AND(AQ301="",OR(ISNUMBER(FIND("BKN",AF307)),ISNUMBER(FIND("OVC",AF307)))),AI307*1,"NONE"))))</f>
        <v>250</v>
      </c>
      <c r="AQ319" s="3009"/>
      <c r="AR319" s="3009">
        <f>IF(OR(ISNUMBER(FIND("BKN",AQ301)),ISNUMBER(FIND("OVC",AQ301))),AT301*1,IF(AND(AF305="",OR(ISNUMBER(FIND("BKN",AQ303)),ISNUMBER(FIND("OVC",AQ303)))),AT303*1,"NONE"))</f>
        <v>40</v>
      </c>
      <c r="AS319" s="3009"/>
      <c r="AT319" s="1758" t="s">
        <v>362</v>
      </c>
      <c r="AU319" s="3009" t="str">
        <f>IF(AE311&lt;&gt;"TS","",IF(AG311="ISOLD","ISOLD","YES"))</f>
        <v/>
      </c>
      <c r="AV319" s="3009"/>
      <c r="AW319" s="3074" t="str">
        <f>IF(OR(AE315&lt;&gt;"",AQ311&lt;&gt;"TS"),"",IF(AS311="ISOLD","ISOLD","YES"))</f>
        <v>ISOLD</v>
      </c>
      <c r="AX319" s="3074"/>
      <c r="AY319" s="1762"/>
      <c r="AZ319" s="1763"/>
      <c r="BA319" s="689"/>
      <c r="BB319" s="1755" t="s">
        <v>358</v>
      </c>
      <c r="BC319" s="1756"/>
      <c r="BD319" s="1757"/>
      <c r="BE319" s="1758" t="s">
        <v>359</v>
      </c>
      <c r="BF319" s="1910">
        <f>BJ295</f>
        <v>0</v>
      </c>
      <c r="BG319" s="1910">
        <f>IF(BF295&lt;&gt;"",0,IF(BL295="",0,BL295))</f>
        <v>0</v>
      </c>
      <c r="BH319" s="1910">
        <f>IF(OR(BF295&lt;&gt;"",BV295=""),0,BV295)</f>
        <v>0</v>
      </c>
      <c r="BI319" s="1910">
        <f>IF(OR(BF295&lt;&gt;"",BX295=""),0,BX295)</f>
        <v>0</v>
      </c>
      <c r="BJ319" s="1759" t="s">
        <v>360</v>
      </c>
      <c r="BK319" s="1760">
        <f>IF(MID(BG298,2,1)="/",(LEFT(BG298)*1)/(RIGHT(BG298)*1),BG298*1)</f>
        <v>0</v>
      </c>
      <c r="BL319" s="1760" t="str">
        <f>IF(BR298="","",IF(MID(BR298,2,1)="/",(LEFT(BR298)*1)/(RIGHT(BR298)*1),BR298*1))</f>
        <v/>
      </c>
      <c r="BM319" s="1761" t="str">
        <f>IF(OR(BJ298="NONE",BJ298=""),"",IF(OR(ISNUMBER(FIND("DZ",BJ298)),ISNUMBER(FIND("RA",BJ298)),ISNUMBER(FIND("SN",BJ298)),ISNUMBER(FIND("PL",BJ298)),ISNUMBER(FIND("IC",BJ298)),ISNUMBER(FIND("GS",BJ298)),ISNUMBER(FIND("SG",BJ298)),ISNUMBER(FIND("GR",BJ298))),"PR","WX"))</f>
        <v/>
      </c>
      <c r="BN319" s="1761" t="str">
        <f>IF(OR(BU298="NONE",BU298=""),"",IF(OR(ISNUMBER(FIND("DZ",BU298)),ISNUMBER(FIND("RA",BU298)),ISNUMBER(FIND("SN",BU298)),ISNUMBER(FIND("PL",BU298)),ISNUMBER(FIND("IC",BU298)),ISNUMBER(FIND("GS",BU298)),ISNUMBER(FIND("SG",BU298)),ISNUMBER(FIND("GR",BU298))),"PR","WX"))</f>
        <v/>
      </c>
      <c r="BO319" s="1759" t="s">
        <v>361</v>
      </c>
      <c r="BP319" s="3009" t="str">
        <f>IF(OR(ISNUMBER(FIND("BKN",BF301)),ISNUMBER(FIND("OVC",BF301))),BI301*1,IF(OR(ISNUMBER(FIND("BKN",BF303)),ISNUMBER(FIND("OVC",BF303))),BI303*1,IF(OR(ISNUMBER(FIND("BKN",BF305)),ISNUMBER(FIND("OVC",BF305))),BI305*1,IF(AND(BQ301="",OR(ISNUMBER(FIND("BKN",BF307)),ISNUMBER(FIND("OVC",BF307)))),BI307*1,"NONE"))))</f>
        <v>NONE</v>
      </c>
      <c r="BQ319" s="3009"/>
      <c r="BR319" s="3009" t="str">
        <f>IF(OR(ISNUMBER(FIND("BKN",BQ301)),ISNUMBER(FIND("OVC",BQ301))),BT301*1,IF(AND(BF305="",OR(ISNUMBER(FIND("BKN",BQ303)),ISNUMBER(FIND("OVC",BQ303)))),BT303*1,"NONE"))</f>
        <v>NONE</v>
      </c>
      <c r="BS319" s="3009"/>
      <c r="BT319" s="1758" t="s">
        <v>362</v>
      </c>
      <c r="BU319" s="3009" t="str">
        <f>IF(BE311&lt;&gt;"TS","",IF(BG311="ISOLD","ISOLD","YES"))</f>
        <v/>
      </c>
      <c r="BV319" s="3009"/>
      <c r="BW319" s="3074" t="str">
        <f>IF(OR(BE315&lt;&gt;"",BQ311&lt;&gt;"TS"),"",IF(BS311="ISOLD","ISOLD","YES"))</f>
        <v/>
      </c>
      <c r="BX319" s="3074"/>
      <c r="BY319" s="1762"/>
      <c r="BZ319" s="1763"/>
      <c r="CA319" s="1764"/>
      <c r="CB319" s="1755" t="s">
        <v>358</v>
      </c>
      <c r="CC319" s="1756"/>
      <c r="CD319" s="1757"/>
      <c r="CE319" s="1758" t="s">
        <v>359</v>
      </c>
      <c r="CF319" s="1910">
        <f>CJ295</f>
        <v>0</v>
      </c>
      <c r="CG319" s="1910">
        <f>IF(CF295&lt;&gt;"",0,IF(CL295="",0,CL295))</f>
        <v>0</v>
      </c>
      <c r="CH319" s="1910">
        <f>IF(OR(CF295&lt;&gt;"",CV295=""),0,CV295)</f>
        <v>0</v>
      </c>
      <c r="CI319" s="1910">
        <f>IF(OR(CF295&lt;&gt;"",CX295=""),0,CX295)</f>
        <v>0</v>
      </c>
      <c r="CJ319" s="1759" t="s">
        <v>360</v>
      </c>
      <c r="CK319" s="1760">
        <f>IF(MID(CG298,2,1)="/",(LEFT(CG298)*1)/(RIGHT(CG298)*1),CG298*1)</f>
        <v>0</v>
      </c>
      <c r="CL319" s="1760" t="str">
        <f>IF(CR298="","",IF(MID(CR298,2,1)="/",(LEFT(CR298)*1)/(RIGHT(CR298)*1),CR298*1))</f>
        <v/>
      </c>
      <c r="CM319" s="1761" t="str">
        <f>IF(OR(CJ298="NONE",CJ298=""),"",IF(OR(ISNUMBER(FIND("DZ",CJ298)),ISNUMBER(FIND("RA",CJ298)),ISNUMBER(FIND("SN",CJ298)),ISNUMBER(FIND("PL",CJ298)),ISNUMBER(FIND("IC",CJ298)),ISNUMBER(FIND("GS",CJ298)),ISNUMBER(FIND("SG",CJ298)),ISNUMBER(FIND("GR",CJ298))),"PR","WX"))</f>
        <v/>
      </c>
      <c r="CN319" s="1761" t="str">
        <f>IF(OR(CU298="NONE",CU298=""),"",IF(OR(ISNUMBER(FIND("DZ",CU298)),ISNUMBER(FIND("RA",CU298)),ISNUMBER(FIND("SN",CU298)),ISNUMBER(FIND("PL",CU298)),ISNUMBER(FIND("IC",CU298)),ISNUMBER(FIND("GS",CU298)),ISNUMBER(FIND("SG",CU298)),ISNUMBER(FIND("GR",CU298))),"PR","WX"))</f>
        <v/>
      </c>
      <c r="CO319" s="1759" t="s">
        <v>361</v>
      </c>
      <c r="CP319" s="3009" t="str">
        <f>IF(OR(ISNUMBER(FIND("BKN",CF301)),ISNUMBER(FIND("OVC",CF301))),CI301*1,IF(OR(ISNUMBER(FIND("BKN",CF303)),ISNUMBER(FIND("OVC",CF303))),CI303*1,IF(OR(ISNUMBER(FIND("BKN",CF305)),ISNUMBER(FIND("OVC",CF305))),CI305*1,IF(AND(CQ301="",OR(ISNUMBER(FIND("BKN",CF307)),ISNUMBER(FIND("OVC",CF307)))),CI307*1,"NONE"))))</f>
        <v>NONE</v>
      </c>
      <c r="CQ319" s="3009"/>
      <c r="CR319" s="3009" t="str">
        <f>IF(OR(ISNUMBER(FIND("BKN",CQ301)),ISNUMBER(FIND("OVC",CQ301))),CT301*1,IF(AND(CF305="",OR(ISNUMBER(FIND("BKN",CQ303)),ISNUMBER(FIND("OVC",CQ303)))),CT303*1,"NONE"))</f>
        <v>NONE</v>
      </c>
      <c r="CS319" s="3009"/>
      <c r="CT319" s="1758" t="s">
        <v>362</v>
      </c>
      <c r="CU319" s="3009" t="str">
        <f>IF(CE311&lt;&gt;"TS","",IF(CG311="ISOLD","ISOLD","YES"))</f>
        <v/>
      </c>
      <c r="CV319" s="3009"/>
      <c r="CW319" s="3074" t="str">
        <f>IF(OR(CE315&lt;&gt;"",CQ311&lt;&gt;"TS"),"",IF(CS311="ISOLD","ISOLD","YES"))</f>
        <v/>
      </c>
      <c r="CX319" s="3074"/>
      <c r="CY319" s="1762"/>
      <c r="CZ319" s="1763"/>
      <c r="DA319" s="1764"/>
      <c r="DB319" s="1755" t="s">
        <v>358</v>
      </c>
      <c r="DC319" s="1756"/>
      <c r="DD319" s="1757"/>
      <c r="DE319" s="1758" t="s">
        <v>359</v>
      </c>
      <c r="DF319" s="1910">
        <f>DJ295</f>
        <v>0</v>
      </c>
      <c r="DG319" s="1910">
        <f>IF(DF295&lt;&gt;"",0,IF(DL295="",0,DL295))</f>
        <v>0</v>
      </c>
      <c r="DH319" s="1910">
        <f>IF(OR(DF295&lt;&gt;"",DV295=""),0,DV295)</f>
        <v>0</v>
      </c>
      <c r="DI319" s="1910">
        <f>IF(OR(DF295&lt;&gt;"",DX295=""),0,DX295)</f>
        <v>0</v>
      </c>
      <c r="DJ319" s="1759" t="s">
        <v>360</v>
      </c>
      <c r="DK319" s="1760">
        <f>IF(MID(DG298,2,1)="/",(LEFT(DG298)*1)/(RIGHT(DG298)*1),DG298*1)</f>
        <v>0</v>
      </c>
      <c r="DL319" s="1760" t="str">
        <f>IF(DR298="","",IF(MID(DR298,2,1)="/",(LEFT(DR298)*1)/(RIGHT(DR298)*1),DR298*1))</f>
        <v/>
      </c>
      <c r="DM319" s="1761" t="str">
        <f>IF(OR(DJ298="NONE",DJ298=""),"",IF(OR(ISNUMBER(FIND("DZ",DJ298)),ISNUMBER(FIND("RA",DJ298)),ISNUMBER(FIND("SN",DJ298)),ISNUMBER(FIND("PL",DJ298)),ISNUMBER(FIND("IC",DJ298)),ISNUMBER(FIND("GS",DJ298)),ISNUMBER(FIND("SG",DJ298)),ISNUMBER(FIND("GR",DJ298))),"PR","WX"))</f>
        <v/>
      </c>
      <c r="DN319" s="1761" t="str">
        <f>IF(OR(DU298="NONE",DU298=""),"",IF(OR(ISNUMBER(FIND("DZ",DU298)),ISNUMBER(FIND("RA",DU298)),ISNUMBER(FIND("SN",DU298)),ISNUMBER(FIND("PL",DU298)),ISNUMBER(FIND("IC",DU298)),ISNUMBER(FIND("GS",DU298)),ISNUMBER(FIND("SG",DU298)),ISNUMBER(FIND("GR",DU298))),"PR","WX"))</f>
        <v/>
      </c>
      <c r="DO319" s="1759" t="s">
        <v>361</v>
      </c>
      <c r="DP319" s="3009" t="str">
        <f>IF(OR(ISNUMBER(FIND("BKN",DF301)),ISNUMBER(FIND("OVC",DF301))),DI301*1,IF(OR(ISNUMBER(FIND("BKN",DF303)),ISNUMBER(FIND("OVC",DF303))),DI303*1,IF(OR(ISNUMBER(FIND("BKN",DF305)),ISNUMBER(FIND("OVC",DF305))),DI305*1,IF(AND(DQ301="",OR(ISNUMBER(FIND("BKN",DF307)),ISNUMBER(FIND("OVC",DF307)))),DI307*1,"NONE"))))</f>
        <v>NONE</v>
      </c>
      <c r="DQ319" s="3009"/>
      <c r="DR319" s="3009" t="str">
        <f>IF(OR(ISNUMBER(FIND("BKN",DQ301)),ISNUMBER(FIND("OVC",DQ301))),DT301*1,IF(AND(DF305="",OR(ISNUMBER(FIND("BKN",DQ303)),ISNUMBER(FIND("OVC",DQ303)))),DT303*1,"NONE"))</f>
        <v>NONE</v>
      </c>
      <c r="DS319" s="3009"/>
      <c r="DT319" s="1758" t="s">
        <v>362</v>
      </c>
      <c r="DU319" s="3009" t="str">
        <f>IF(DE311&lt;&gt;"TS","",IF(DG311="ISOLD","ISOLD","YES"))</f>
        <v/>
      </c>
      <c r="DV319" s="3009"/>
      <c r="DW319" s="3074" t="str">
        <f>IF(OR(DE315&lt;&gt;"",DQ311&lt;&gt;"TS"),"",IF(DS311="ISOLD","ISOLD","YES"))</f>
        <v/>
      </c>
      <c r="DX319" s="3074"/>
      <c r="DY319" s="1762"/>
      <c r="DZ319" s="1763"/>
      <c r="EA319" s="539"/>
      <c r="EB319" s="539"/>
      <c r="EC319" s="539"/>
      <c r="ED319" s="539"/>
      <c r="EE319" s="539"/>
      <c r="EF319" s="539"/>
      <c r="EG319" s="539"/>
      <c r="EH319" s="539"/>
      <c r="EI319" s="539"/>
      <c r="EJ319" s="539"/>
      <c r="EK319" s="539"/>
      <c r="EL319" s="539"/>
      <c r="EM319" s="539"/>
      <c r="EN319" s="539"/>
      <c r="EO319" s="539"/>
      <c r="EP319" s="539"/>
      <c r="EQ319" s="539"/>
      <c r="ER319" s="539"/>
      <c r="ES319" s="539"/>
      <c r="ET319" s="539"/>
      <c r="EU319" s="539"/>
      <c r="EV319" s="539"/>
      <c r="EW319" s="539"/>
      <c r="EX319" s="539"/>
      <c r="EY319" s="539"/>
      <c r="EZ319" s="539"/>
      <c r="FA319" s="539"/>
      <c r="FB319" s="539"/>
      <c r="FC319" s="539"/>
      <c r="FD319" s="539"/>
      <c r="FE319" s="539"/>
      <c r="FF319" s="539"/>
      <c r="FG319" s="539"/>
      <c r="FH319" s="539"/>
      <c r="FI319" s="539"/>
      <c r="FJ319" s="539"/>
      <c r="FK319" s="539"/>
      <c r="FL319" s="539"/>
      <c r="FM319" s="539"/>
      <c r="FN319" s="539"/>
      <c r="FO319" s="539"/>
      <c r="FP319" s="539"/>
      <c r="FQ319" s="539"/>
      <c r="FR319" s="539"/>
      <c r="FS319" s="539"/>
      <c r="FT319" s="539"/>
      <c r="FU319" s="539"/>
      <c r="FV319" s="539"/>
      <c r="FW319" s="539"/>
      <c r="FX319" s="539"/>
      <c r="FY319" s="539"/>
      <c r="FZ319" s="539"/>
      <c r="GA319" s="539"/>
      <c r="GB319" s="539"/>
      <c r="GC319" s="539"/>
      <c r="GD319" s="539"/>
      <c r="GE319" s="539"/>
      <c r="GF319" s="539"/>
      <c r="GG319" s="539"/>
      <c r="GH319" s="539"/>
      <c r="GI319" s="539"/>
      <c r="GJ319" s="539"/>
      <c r="GK319" s="539"/>
      <c r="GL319" s="539"/>
      <c r="GM319" s="539"/>
      <c r="GN319" s="539"/>
      <c r="GO319" s="539"/>
      <c r="GP319" s="539"/>
      <c r="GQ319" s="539"/>
      <c r="GR319" s="539"/>
      <c r="GS319" s="539"/>
      <c r="GT319" s="539"/>
      <c r="GU319" s="539"/>
      <c r="GV319" s="539"/>
      <c r="GW319" s="539"/>
      <c r="GX319" s="539"/>
      <c r="GY319" s="539"/>
      <c r="GZ319" s="539"/>
      <c r="HA319" s="539"/>
      <c r="HB319" s="539"/>
      <c r="HC319" s="539"/>
      <c r="HD319" s="539"/>
      <c r="HE319" s="539"/>
      <c r="HF319" s="539"/>
      <c r="HG319" s="539"/>
      <c r="HH319" s="539"/>
      <c r="HI319" s="539"/>
      <c r="HJ319" s="539"/>
      <c r="HK319" s="539"/>
      <c r="HL319" s="539"/>
      <c r="HM319" s="539"/>
      <c r="HN319" s="539"/>
      <c r="HO319" s="539"/>
      <c r="HP319" s="539"/>
      <c r="HQ319" s="539"/>
      <c r="HR319" s="539"/>
      <c r="HS319" s="539"/>
      <c r="HT319" s="539"/>
      <c r="HU319" s="539"/>
      <c r="HV319" s="539"/>
      <c r="HW319" s="539"/>
      <c r="HX319" s="539"/>
      <c r="HY319" s="539"/>
      <c r="HZ319" s="539"/>
      <c r="IA319" s="539"/>
      <c r="IB319" s="539"/>
      <c r="IC319" s="539"/>
      <c r="ID319" s="539"/>
      <c r="IE319" s="539"/>
      <c r="IF319" s="539"/>
      <c r="IG319" s="539"/>
      <c r="IH319" s="539"/>
      <c r="II319" s="539"/>
    </row>
    <row r="320" spans="1:243" s="664" customFormat="1" ht="11.25" customHeight="1" thickBot="1">
      <c r="A320" s="539"/>
      <c r="B320" s="539"/>
      <c r="C320" s="539"/>
      <c r="D320" s="539"/>
      <c r="E320" s="539"/>
      <c r="F320" s="539"/>
      <c r="G320" s="539"/>
      <c r="H320" s="539"/>
      <c r="I320" s="539"/>
      <c r="J320" s="539"/>
      <c r="K320" s="539"/>
      <c r="L320" s="539"/>
      <c r="M320" s="539"/>
      <c r="N320" s="539"/>
      <c r="O320" s="539"/>
      <c r="P320" s="539"/>
      <c r="Q320" s="668"/>
      <c r="R320" s="668"/>
      <c r="S320" s="668"/>
      <c r="T320" s="668"/>
      <c r="U320" s="668"/>
      <c r="V320" s="668"/>
      <c r="W320" s="668"/>
      <c r="X320" s="668"/>
      <c r="Y320" s="668"/>
      <c r="Z320" s="668"/>
      <c r="AA320" s="668"/>
      <c r="AB320" s="1774" t="s">
        <v>363</v>
      </c>
      <c r="AC320" s="3060" t="str">
        <f>IF(AE311="ICING",IF(AG311="","",AG311),IF(AE313="ICING",IF(AG313="","",AG313),IF(AE315="ICING",IF(AG315="","",AG315),"")))</f>
        <v/>
      </c>
      <c r="AD320" s="3060"/>
      <c r="AE320" s="3058" t="str">
        <f>IF(AC320="","",IF(AE311="ICING",IF(LEFT(AK311,3)="SFC",0,VALUE(LEFT(AK311,3))),IF(AE313="ICING",IF(LEFT(AK313,3)="SFC",0,VALUE(LEFT(AK313,3))),IF(AE315="ICING",IF(LEFT(AK315,3)="SFC",0,VALUE(LEFT(AK315,3)))))))</f>
        <v/>
      </c>
      <c r="AF320" s="3058"/>
      <c r="AG320" s="2943" t="str">
        <f>IF(AQ311="ICING",IF(OR(AE315&lt;&gt;"",AS311=""),"",AS311),IF(AQ313="ICING",IF(OR(AE313&lt;&gt;"",AS313=""),"",AS313),""))</f>
        <v/>
      </c>
      <c r="AH320" s="2943"/>
      <c r="AI320" s="3058" t="str">
        <f>IF(AG320="","",IF(AQ311="ICING",IF(LEFT(AW311,3)="SFC",0,VALUE(LEFT(AW311,3))),IF(AQ313="ICING",IF(LEFT(AW313,3)="SFC",0,VALUE(LEFT(AW313,3))),"")))</f>
        <v/>
      </c>
      <c r="AJ320" s="3058"/>
      <c r="AK320" s="1775" t="s">
        <v>364</v>
      </c>
      <c r="AL320" s="1775"/>
      <c r="AM320" s="3060" t="str">
        <f>IF(AE311="TURB",IF(AG311="","",AG311),IF(AE313="TURB",IF(AG313="","",AG313),IF(AE315="TURB",IF(AG315="","",AG315),"")))</f>
        <v/>
      </c>
      <c r="AN320" s="3060"/>
      <c r="AO320" s="3058" t="str">
        <f>IF(AM320="","",IF(AE311="TURB",IF(LEFT(AK311,3)="SFC",0,VALUE(LEFT(AK311,3))),IF(AE313="TURB",IF(LEFT(AK313,3)="SFC",0,VALUE(LEFT(AK313,3))),IF(AE315="TURB",IF(LEFT(AK315,3)="SFC",0,VALUE(LEFT(AK315,3)))))))</f>
        <v/>
      </c>
      <c r="AP320" s="3058"/>
      <c r="AQ320" s="3057" t="str">
        <f>IF(AQ311="TURB",IF(OR(AE315&lt;&gt;"",AS311=""),"",AS311),IF(AQ313="TURB",IF(OR(AE313&lt;&gt;"",AS313=""),"",AS313),""))</f>
        <v/>
      </c>
      <c r="AR320" s="3057"/>
      <c r="AS320" s="3058" t="str">
        <f>IF(AQ320="","",IF(AQ311="TURB",IF(LEFT(AW311,3)="SFC",0,VALUE(LEFT(AW311,3))),IF(AQ313="TURB",IF(LEFT(AW313,3)="SFC",0,VALUE(LEFT(AW313,3))),"")))</f>
        <v/>
      </c>
      <c r="AT320" s="3058"/>
      <c r="AU320" s="1775" t="s">
        <v>365</v>
      </c>
      <c r="AV320" s="1775"/>
      <c r="AW320" s="3060" t="str">
        <f>IF(OR(AE311="LLWS",AE313="LLWS",AE315="LLWS"),"LLWS","")</f>
        <v/>
      </c>
      <c r="AX320" s="3060"/>
      <c r="AY320" s="3060" t="str">
        <f>IF(OR(AND(AQ311="LLWS",AE315=""),AND(AQ313="LLWS",AE313="")),"LLWS","")</f>
        <v/>
      </c>
      <c r="AZ320" s="3138"/>
      <c r="BA320" s="689"/>
      <c r="BB320" s="1774" t="s">
        <v>363</v>
      </c>
      <c r="BC320" s="3060" t="str">
        <f>IF(BE311="ICING",IF(BG311="","",BG311),IF(BE313="ICING",IF(BG313="","",BG313),IF(BE315="ICING",IF(BG315="","",BG315),"")))</f>
        <v/>
      </c>
      <c r="BD320" s="3060"/>
      <c r="BE320" s="3058" t="str">
        <f>IF(BC320="","",IF(BE311="ICING",IF(LEFT(BK311,3)="SFC",0,VALUE(LEFT(BK311,3))),IF(BE313="ICING",IF(LEFT(BK313,3)="SFC",0,VALUE(LEFT(BK313,3))),IF(BE315="ICING",IF(LEFT(BK315,3)="SFC",0,VALUE(LEFT(BK315,3)))))))</f>
        <v/>
      </c>
      <c r="BF320" s="3058"/>
      <c r="BG320" s="2943" t="str">
        <f>IF(BQ311="ICING",IF(OR(BE315&lt;&gt;"",BS311=""),"",BS311),IF(BQ313="ICING",IF(OR(BE313&lt;&gt;"",BS313=""),"",BS313),""))</f>
        <v/>
      </c>
      <c r="BH320" s="2943"/>
      <c r="BI320" s="3058" t="str">
        <f>IF(BG320="","",IF(BQ311="ICING",IF(LEFT(BW311,3)="SFC",0,VALUE(LEFT(BW311,3))),IF(BQ313="ICING",IF(LEFT(BW313,3)="SFC",0,VALUE(LEFT(BW313,3))),"")))</f>
        <v/>
      </c>
      <c r="BJ320" s="3058"/>
      <c r="BK320" s="1775" t="s">
        <v>364</v>
      </c>
      <c r="BL320" s="1775"/>
      <c r="BM320" s="3060" t="str">
        <f>IF(BE311="TURB",IF(BG311="","",BG311),IF(BE313="TURB",IF(BG313="","",BG313),IF(BE315="TURB",IF(BG315="","",BG315),"")))</f>
        <v/>
      </c>
      <c r="BN320" s="3060"/>
      <c r="BO320" s="3058" t="str">
        <f>IF(BM320="","",IF(BE311="TURB",IF(LEFT(BK311,3)="SFC",0,VALUE(LEFT(BK311,3))),IF(BE313="TURB",IF(LEFT(BK313,3)="SFC",0,VALUE(LEFT(BK313,3))),IF(BE315="TURB",IF(LEFT(BK315,3)="SFC",0,VALUE(LEFT(BK315,3)))))))</f>
        <v/>
      </c>
      <c r="BP320" s="3058"/>
      <c r="BQ320" s="3057" t="str">
        <f>IF(BQ311="TURB",IF(OR(BE315&lt;&gt;"",BS311=""),"",BS311),IF(BQ313="TURB",IF(OR(BE313&lt;&gt;"",BS313=""),"",BS313),""))</f>
        <v/>
      </c>
      <c r="BR320" s="3057"/>
      <c r="BS320" s="3058" t="str">
        <f>IF(BQ320="","",IF(BQ311="TURB",IF(LEFT(BW311,3)="SFC",0,VALUE(LEFT(BW311,3))),IF(BQ313="TURB",IF(LEFT(BW313,3)="SFC",0,VALUE(LEFT(BW313,3))),"")))</f>
        <v/>
      </c>
      <c r="BT320" s="3058"/>
      <c r="BU320" s="1775" t="s">
        <v>365</v>
      </c>
      <c r="BV320" s="1775"/>
      <c r="BW320" s="3060" t="str">
        <f>IF(OR(BE311="LLWS",BE313="LLWS",BE315="LLWS"),"LLWS","")</f>
        <v/>
      </c>
      <c r="BX320" s="3060"/>
      <c r="BY320" s="3060" t="str">
        <f>IF(OR(AND(BQ311="LLWS",BE315=""),AND(BQ313="LLWS",BE313="")),"LLWS","")</f>
        <v/>
      </c>
      <c r="BZ320" s="3138"/>
      <c r="CA320" s="1764"/>
      <c r="CB320" s="1774" t="s">
        <v>363</v>
      </c>
      <c r="CC320" s="3060" t="str">
        <f>IF(CE311="ICING",IF(CG311="","",CG311),IF(CE313="ICING",IF(CG313="","",CG313),IF(CE315="ICING",IF(CG315="","",CG315),"")))</f>
        <v/>
      </c>
      <c r="CD320" s="3060"/>
      <c r="CE320" s="3058" t="str">
        <f>IF(CC320="","",IF(CE311="ICING",IF(LEFT(CK311,3)="SFC",0,VALUE(LEFT(CK311,3))),IF(CE313="ICING",IF(LEFT(CK313,3)="SFC",0,VALUE(LEFT(CK313,3))),IF(CE315="ICING",IF(LEFT(CK315,3)="SFC",0,VALUE(LEFT(CK315,3)))))))</f>
        <v/>
      </c>
      <c r="CF320" s="3058"/>
      <c r="CG320" s="2943" t="str">
        <f>IF(CQ311="ICING",IF(OR(CE315&lt;&gt;"",CS311=""),"",CS311),IF(CQ313="ICING",IF(OR(CE313&lt;&gt;"",CS313=""),"",CS313),""))</f>
        <v/>
      </c>
      <c r="CH320" s="2943"/>
      <c r="CI320" s="3058" t="str">
        <f>IF(CG320="","",IF(CQ311="ICING",IF(LEFT(CW311,3)="SFC",0,VALUE(LEFT(CW311,3))),IF(CQ313="ICING",IF(LEFT(CW313,3)="SFC",0,VALUE(LEFT(CW313,3))),"")))</f>
        <v/>
      </c>
      <c r="CJ320" s="3058"/>
      <c r="CK320" s="1775" t="s">
        <v>364</v>
      </c>
      <c r="CL320" s="1775"/>
      <c r="CM320" s="3060" t="str">
        <f>IF(CE311="TURB",IF(CG311="","",CG311),IF(CE313="TURB",IF(CG313="","",CG313),IF(CE315="TURB",IF(CG315="","",CG315),"")))</f>
        <v/>
      </c>
      <c r="CN320" s="3060"/>
      <c r="CO320" s="3058" t="str">
        <f>IF(CM320="","",IF(CE311="TURB",IF(LEFT(CK311,3)="SFC",0,VALUE(LEFT(CK311,3))),IF(CE313="TURB",IF(LEFT(CK313,3)="SFC",0,VALUE(LEFT(CK313,3))),IF(CE315="TURB",IF(LEFT(CK315,3)="SFC",0,VALUE(LEFT(CK315,3)))))))</f>
        <v/>
      </c>
      <c r="CP320" s="3058"/>
      <c r="CQ320" s="3057" t="str">
        <f>IF(CQ311="TURB",IF(OR(CE315&lt;&gt;"",CS311=""),"",CS311),IF(CQ313="TURB",IF(OR(CE313&lt;&gt;"",CS313=""),"",CS313),""))</f>
        <v/>
      </c>
      <c r="CR320" s="3057"/>
      <c r="CS320" s="3058" t="str">
        <f>IF(CQ320="","",IF(CQ311="TURB",IF(LEFT(CW311,3)="SFC",0,VALUE(LEFT(CW311,3))),IF(CQ313="TURB",IF(LEFT(CW313,3)="SFC",0,VALUE(LEFT(CW313,3))),"")))</f>
        <v/>
      </c>
      <c r="CT320" s="3058"/>
      <c r="CU320" s="1775" t="s">
        <v>365</v>
      </c>
      <c r="CV320" s="1775"/>
      <c r="CW320" s="3060" t="str">
        <f>IF(OR(CE311="LLWS",CE313="LLWS",CE315="LLWS"),"LLWS","")</f>
        <v/>
      </c>
      <c r="CX320" s="3060"/>
      <c r="CY320" s="3060" t="str">
        <f>IF(OR(AND(CQ311="LLWS",CE315=""),AND(CQ313="LLWS",CE313="")),"LLWS","")</f>
        <v/>
      </c>
      <c r="CZ320" s="3138"/>
      <c r="DA320" s="1776"/>
      <c r="DB320" s="1774" t="s">
        <v>363</v>
      </c>
      <c r="DC320" s="3060" t="str">
        <f>IF(DE311="ICING",IF(DG311="","",DG311),IF(DE313="ICING",IF(DG313="","",DG313),IF(DE315="ICING",IF(DG315="","",DG315),"")))</f>
        <v/>
      </c>
      <c r="DD320" s="3060"/>
      <c r="DE320" s="3058" t="str">
        <f>IF(DC320="","",IF(DE311="ICING",IF(LEFT(DK311,3)="SFC",0,VALUE(LEFT(DK311,3))),IF(DE313="ICING",IF(LEFT(DK313,3)="SFC",0,VALUE(LEFT(DK313,3))),IF(DE315="ICING",IF(LEFT(DK315,3)="SFC",0,VALUE(LEFT(DK315,3)))))))</f>
        <v/>
      </c>
      <c r="DF320" s="3058"/>
      <c r="DG320" s="2943" t="str">
        <f>IF(DQ311="ICING",IF(OR(DE315&lt;&gt;"",DS311=""),"",DS311),IF(DQ313="ICING",IF(OR(DE313&lt;&gt;"",DS313=""),"",DS313),""))</f>
        <v/>
      </c>
      <c r="DH320" s="2943"/>
      <c r="DI320" s="3058" t="str">
        <f>IF(DG320="","",IF(DQ311="ICING",IF(LEFT(DW311,3)="SFC",0,VALUE(LEFT(DW311,3))),IF(DQ313="ICING",IF(LEFT(DW313,3)="SFC",0,VALUE(LEFT(DW313,3))),"")))</f>
        <v/>
      </c>
      <c r="DJ320" s="3058"/>
      <c r="DK320" s="1775" t="s">
        <v>364</v>
      </c>
      <c r="DL320" s="1775"/>
      <c r="DM320" s="3060" t="str">
        <f>IF(DE311="TURB",IF(DG311="","",DG311),IF(DE313="TURB",IF(DG313="","",DG313),IF(DE315="TURB",IF(DG315="","",DG315),"")))</f>
        <v/>
      </c>
      <c r="DN320" s="3060"/>
      <c r="DO320" s="3058" t="str">
        <f>IF(DM320="","",IF(DE311="TURB",IF(LEFT(DK311,3)="SFC",0,VALUE(LEFT(DK311,3))),IF(DE313="TURB",IF(LEFT(DK313,3)="SFC",0,VALUE(LEFT(DK313,3))),IF(DE315="TURB",IF(LEFT(DK315,3)="SFC",0,VALUE(LEFT(DK315,3)))))))</f>
        <v/>
      </c>
      <c r="DP320" s="3058"/>
      <c r="DQ320" s="3057" t="str">
        <f>IF(DQ311="TURB",IF(OR(DE315&lt;&gt;"",DS311=""),"",DS311),IF(DQ313="TURB",IF(OR(DE313&lt;&gt;"",DS313=""),"",DS313),""))</f>
        <v/>
      </c>
      <c r="DR320" s="3057"/>
      <c r="DS320" s="3058" t="str">
        <f>IF(DQ320="","",IF(DQ311="TURB",IF(LEFT(DW311,3)="SFC",0,VALUE(LEFT(DW311,3))),IF(DQ313="TURB",IF(LEFT(DW313,3)="SFC",0,VALUE(LEFT(DW313,3))),"")))</f>
        <v/>
      </c>
      <c r="DT320" s="3058"/>
      <c r="DU320" s="1775" t="s">
        <v>365</v>
      </c>
      <c r="DV320" s="1775"/>
      <c r="DW320" s="3060" t="str">
        <f>IF(OR(DE311="LLWS",DE313="LLWS",DE315="LLWS"),"LLWS","")</f>
        <v/>
      </c>
      <c r="DX320" s="3060"/>
      <c r="DY320" s="3060" t="str">
        <f>IF(OR(AND(DQ311="LLWS",DE315=""),AND(DQ313="LLWS",DE313="")),"LLWS","")</f>
        <v/>
      </c>
      <c r="DZ320" s="3138"/>
      <c r="EA320" s="539"/>
      <c r="EB320" s="539"/>
      <c r="EC320" s="539"/>
      <c r="ED320" s="539"/>
      <c r="EE320" s="539"/>
      <c r="EF320" s="539"/>
      <c r="EG320" s="539"/>
      <c r="EH320" s="539"/>
      <c r="EI320" s="539"/>
      <c r="EJ320" s="539"/>
      <c r="EK320" s="539"/>
      <c r="EL320" s="539"/>
      <c r="EM320" s="539"/>
      <c r="EN320" s="539"/>
      <c r="EO320" s="539"/>
      <c r="EP320" s="539"/>
      <c r="EQ320" s="539"/>
      <c r="ER320" s="539"/>
      <c r="ES320" s="539"/>
      <c r="ET320" s="539"/>
      <c r="EU320" s="539"/>
      <c r="EV320" s="539"/>
      <c r="EW320" s="539"/>
      <c r="EX320" s="539"/>
      <c r="EY320" s="539"/>
      <c r="EZ320" s="539"/>
      <c r="FA320" s="539"/>
      <c r="FB320" s="539"/>
      <c r="FC320" s="539"/>
      <c r="FD320" s="539"/>
      <c r="FE320" s="539"/>
      <c r="FF320" s="539"/>
      <c r="FG320" s="539"/>
      <c r="FH320" s="539"/>
      <c r="FI320" s="539"/>
      <c r="FJ320" s="539"/>
      <c r="FK320" s="539"/>
      <c r="FL320" s="539"/>
      <c r="FM320" s="539"/>
      <c r="FN320" s="539"/>
      <c r="FO320" s="539"/>
      <c r="FP320" s="539"/>
      <c r="FQ320" s="539"/>
      <c r="FR320" s="539"/>
      <c r="FS320" s="539"/>
      <c r="FT320" s="539"/>
      <c r="FU320" s="539"/>
      <c r="FV320" s="539"/>
      <c r="FW320" s="539"/>
      <c r="FX320" s="539"/>
      <c r="FY320" s="539"/>
      <c r="FZ320" s="539"/>
      <c r="GA320" s="539"/>
      <c r="GB320" s="539"/>
      <c r="GC320" s="539"/>
      <c r="GD320" s="539"/>
      <c r="GE320" s="539"/>
      <c r="GF320" s="539"/>
      <c r="GG320" s="539"/>
      <c r="GH320" s="539"/>
      <c r="GI320" s="539"/>
      <c r="GJ320" s="539"/>
      <c r="GK320" s="539"/>
      <c r="GL320" s="539"/>
      <c r="GM320" s="539"/>
      <c r="GN320" s="539"/>
      <c r="GO320" s="539"/>
      <c r="GP320" s="539"/>
      <c r="GQ320" s="539"/>
      <c r="GR320" s="539"/>
      <c r="GS320" s="539"/>
      <c r="GT320" s="539"/>
      <c r="GU320" s="539"/>
      <c r="GV320" s="539"/>
      <c r="GW320" s="539"/>
      <c r="GX320" s="539"/>
      <c r="GY320" s="539"/>
      <c r="GZ320" s="539"/>
      <c r="HA320" s="539"/>
      <c r="HB320" s="539"/>
      <c r="HC320" s="539"/>
      <c r="HD320" s="539"/>
      <c r="HE320" s="539"/>
      <c r="HF320" s="539"/>
      <c r="HG320" s="539"/>
      <c r="HH320" s="539"/>
      <c r="HI320" s="539"/>
      <c r="HJ320" s="539"/>
      <c r="HK320" s="539"/>
      <c r="HL320" s="539"/>
      <c r="HM320" s="539"/>
      <c r="HN320" s="539"/>
      <c r="HO320" s="539"/>
      <c r="HP320" s="539"/>
      <c r="HQ320" s="539"/>
      <c r="HR320" s="539"/>
      <c r="HS320" s="539"/>
      <c r="HT320" s="539"/>
      <c r="HU320" s="539"/>
      <c r="HV320" s="539"/>
      <c r="HW320" s="539"/>
      <c r="HX320" s="539"/>
      <c r="HY320" s="539"/>
      <c r="HZ320" s="539"/>
      <c r="IA320" s="539"/>
      <c r="IB320" s="539"/>
      <c r="IC320" s="539"/>
      <c r="ID320" s="539"/>
      <c r="IE320" s="539"/>
      <c r="IF320" s="539"/>
      <c r="IG320" s="539"/>
      <c r="IH320" s="539"/>
      <c r="II320" s="539"/>
    </row>
    <row r="321" spans="2:201" s="539" customFormat="1" ht="26.25" customHeight="1">
      <c r="AB321" s="1747"/>
      <c r="AC321" s="691"/>
      <c r="AD321" s="691"/>
      <c r="AE321" s="691"/>
      <c r="AF321" s="692"/>
      <c r="AG321" s="692"/>
      <c r="AH321" s="692"/>
      <c r="AI321" s="674"/>
      <c r="AJ321" s="674"/>
      <c r="AK321" s="689"/>
      <c r="AL321" s="689"/>
      <c r="AM321" s="667"/>
      <c r="AN321" s="667"/>
      <c r="AO321" s="691"/>
      <c r="AP321" s="691"/>
      <c r="AQ321" s="691"/>
      <c r="AR321" s="691"/>
      <c r="AS321" s="691"/>
      <c r="AT321" s="691"/>
      <c r="AU321" s="692"/>
      <c r="AV321" s="1045"/>
      <c r="AW321" s="1046"/>
      <c r="AX321" s="1046"/>
      <c r="AY321" s="1046"/>
      <c r="AZ321" s="1046"/>
      <c r="BA321" s="689"/>
      <c r="BB321" s="1044"/>
      <c r="BC321" s="691"/>
      <c r="BD321" s="691"/>
      <c r="BE321" s="691"/>
      <c r="BF321" s="692"/>
      <c r="BG321" s="692"/>
      <c r="BH321" s="692"/>
      <c r="BI321" s="674"/>
      <c r="BJ321" s="674"/>
      <c r="BK321" s="689"/>
      <c r="BL321" s="689"/>
      <c r="BM321" s="667"/>
      <c r="BN321" s="667"/>
      <c r="BO321" s="691"/>
      <c r="BP321" s="691"/>
      <c r="BQ321" s="691"/>
      <c r="BR321" s="691"/>
      <c r="BS321" s="691"/>
      <c r="BT321" s="691"/>
      <c r="BU321" s="692"/>
      <c r="BV321" s="1045"/>
      <c r="BW321" s="1046"/>
      <c r="BX321" s="1046"/>
      <c r="BY321" s="1046"/>
      <c r="BZ321" s="1046"/>
      <c r="CA321" s="690"/>
      <c r="CB321" s="1044"/>
      <c r="CC321" s="691"/>
      <c r="CD321" s="691"/>
      <c r="CE321" s="691"/>
      <c r="CF321" s="692"/>
      <c r="CG321" s="692"/>
      <c r="CH321" s="692"/>
      <c r="CI321" s="674"/>
      <c r="CJ321" s="674"/>
      <c r="CK321" s="689"/>
      <c r="CL321" s="689"/>
      <c r="CM321" s="667"/>
      <c r="CN321" s="667"/>
      <c r="CO321" s="691"/>
      <c r="CP321" s="691"/>
      <c r="CQ321" s="691"/>
      <c r="CR321" s="691"/>
      <c r="CS321" s="691"/>
      <c r="CT321" s="691"/>
      <c r="CU321" s="692"/>
      <c r="CV321" s="1045"/>
      <c r="CW321" s="1046"/>
      <c r="CX321" s="1046"/>
      <c r="CY321" s="1046"/>
      <c r="CZ321" s="1046"/>
      <c r="DA321" s="690"/>
      <c r="DB321" s="1044"/>
      <c r="DC321" s="691"/>
      <c r="DD321" s="691"/>
      <c r="DE321" s="691"/>
      <c r="DF321" s="692"/>
      <c r="DG321" s="692"/>
      <c r="DH321" s="692"/>
      <c r="DI321" s="674"/>
      <c r="DJ321" s="674"/>
      <c r="DK321" s="689"/>
      <c r="DL321" s="689"/>
      <c r="DM321" s="667"/>
      <c r="DN321" s="667"/>
      <c r="DO321" s="691"/>
      <c r="DP321" s="691"/>
      <c r="DQ321" s="691"/>
      <c r="DR321" s="691"/>
      <c r="DS321" s="691"/>
      <c r="DT321" s="691"/>
      <c r="DU321" s="692"/>
      <c r="DV321" s="1045"/>
      <c r="DW321" s="1046"/>
      <c r="DX321" s="1046"/>
      <c r="DY321" s="1046"/>
      <c r="DZ321" s="1046"/>
    </row>
    <row r="322" spans="2:201" s="539" customFormat="1" ht="19.5" customHeight="1">
      <c r="B322" s="639" t="s">
        <v>366</v>
      </c>
      <c r="L322" s="1165" t="s">
        <v>367</v>
      </c>
      <c r="M322" s="1047"/>
      <c r="N322" s="1047"/>
      <c r="O322" s="1047"/>
      <c r="P322" s="1047"/>
      <c r="Q322" s="1047"/>
      <c r="R322" s="1047"/>
      <c r="S322" s="1047"/>
      <c r="T322" s="1047"/>
      <c r="U322" s="1047"/>
      <c r="V322" s="1047"/>
      <c r="W322" s="1047"/>
      <c r="X322" s="1047"/>
      <c r="Y322" s="1047"/>
      <c r="Z322" s="1047"/>
      <c r="AA322" s="1047"/>
      <c r="AB322" s="3053">
        <f>AB326</f>
        <v>44748.374999999993</v>
      </c>
      <c r="AC322" s="3053"/>
      <c r="AD322" s="3053"/>
      <c r="AE322" s="3053" t="str">
        <f>IF(DAY(AE326)=DAY(AB326),"",AE326)</f>
        <v/>
      </c>
      <c r="AF322" s="3053"/>
      <c r="AG322" s="3053"/>
      <c r="AH322" s="3053" t="str">
        <f>IF(DAY(AH326)=DAY(AE326),"",AH326)</f>
        <v/>
      </c>
      <c r="AI322" s="3053"/>
      <c r="AJ322" s="3053"/>
      <c r="AK322" s="3053" t="str">
        <f>IF(DAY(AK326)=DAY(AH326),"",AK326)</f>
        <v/>
      </c>
      <c r="AL322" s="3053"/>
      <c r="AM322" s="3053"/>
      <c r="AN322" s="3053" t="str">
        <f>IF(DAY(AN326)=DAY(AK326),"",AN326)</f>
        <v/>
      </c>
      <c r="AO322" s="3053"/>
      <c r="AP322" s="3053"/>
      <c r="AQ322" s="3068" t="str">
        <f>IF(DAY(AQ326)=DAY(AN326),"",AQ326)</f>
        <v/>
      </c>
      <c r="AR322" s="3068"/>
      <c r="AS322" s="3068"/>
      <c r="AT322" s="3053" t="str">
        <f>IF(DAY(AT326)=DAY(AQ326),"",AT326)</f>
        <v/>
      </c>
      <c r="AU322" s="3053"/>
      <c r="AV322" s="3053"/>
      <c r="AW322" s="3053" t="str">
        <f>IF(DAY(AW326)=DAY(AT326),"",AW326)</f>
        <v/>
      </c>
      <c r="AX322" s="3053"/>
      <c r="AY322" s="3053"/>
      <c r="AZ322" s="3053" t="str">
        <f>IF(DAY(AZ326)=DAY(AW326),"",AZ326)</f>
        <v/>
      </c>
      <c r="BA322" s="3053"/>
      <c r="BB322" s="3053"/>
      <c r="BC322" s="3053" t="str">
        <f>IF(DAY(BC326)=DAY(AZ326),"",BC326)</f>
        <v/>
      </c>
      <c r="BD322" s="3053"/>
      <c r="BE322" s="3053"/>
      <c r="BF322" s="3053" t="str">
        <f>IF(DAY(BF326)=DAY(BC326),"",BF326)</f>
        <v/>
      </c>
      <c r="BG322" s="3053"/>
      <c r="BH322" s="3053"/>
      <c r="BI322" s="3053" t="str">
        <f>IF(DAY(BI326)=DAY(BF326),"",BI326)</f>
        <v/>
      </c>
      <c r="BJ322" s="3053"/>
      <c r="BK322" s="3053"/>
      <c r="BL322" s="3053" t="str">
        <f>IF(DAY(BL326)=DAY(BI326),"",BL326)</f>
        <v/>
      </c>
      <c r="BM322" s="3053"/>
      <c r="BN322" s="3053"/>
      <c r="BO322" s="3056" t="str">
        <f>IF(DAY(BO326)=DAY(BL326),"",BO326)</f>
        <v/>
      </c>
      <c r="BP322" s="3056"/>
      <c r="BQ322" s="3056"/>
      <c r="BR322" s="3056">
        <f>IF(DAY(BR326)=DAY(BO326),"",BR326)</f>
        <v>44749.083333333328</v>
      </c>
      <c r="BS322" s="3056"/>
      <c r="BT322" s="3056"/>
      <c r="BU322" s="3056" t="str">
        <f>IF(DAY(BU326)=DAY(BR326),"",BU326)</f>
        <v/>
      </c>
      <c r="BV322" s="3056"/>
      <c r="BW322" s="3056"/>
      <c r="BX322" s="3056" t="str">
        <f>IF(DAY(BX326)=DAY(BU326),"",BX326)</f>
        <v/>
      </c>
      <c r="BY322" s="3056"/>
      <c r="BZ322" s="3056"/>
      <c r="CA322" s="3056" t="str">
        <f>IF(DAY(CA326)=DAY(BX326),"",CA326)</f>
        <v/>
      </c>
      <c r="CB322" s="3056"/>
      <c r="CC322" s="3056"/>
      <c r="CD322" s="3056" t="str">
        <f>IF(DAY(CD326)=DAY(CA326),"",CD326)</f>
        <v/>
      </c>
      <c r="CE322" s="3056"/>
      <c r="CF322" s="3056"/>
      <c r="CG322" s="3056" t="str">
        <f>IF(DAY(CG326)=DAY(CD326),"",CG326)</f>
        <v/>
      </c>
      <c r="CH322" s="3056"/>
      <c r="CI322" s="3056"/>
      <c r="CJ322" s="3056" t="str">
        <f>IF(DAY(CJ326)=DAY(CG326),"",CJ326)</f>
        <v/>
      </c>
      <c r="CK322" s="3056"/>
      <c r="CL322" s="3056"/>
      <c r="CM322" s="3056" t="str">
        <f>IF(DAY(CM326)=DAY(CJ326),"",CM326)</f>
        <v/>
      </c>
      <c r="CN322" s="3056"/>
      <c r="CO322" s="3056"/>
      <c r="CP322" s="3056">
        <f>IF(DAY(CP326)=DAY(CM326),"",CP326)</f>
        <v>44750.083333333328</v>
      </c>
      <c r="CQ322" s="3056"/>
      <c r="CR322" s="3056"/>
      <c r="CS322" s="3056" t="str">
        <f>IF(DAY(CS326)=DAY(CP326),"",CS326)</f>
        <v/>
      </c>
      <c r="CT322" s="3056"/>
      <c r="CU322" s="3056"/>
      <c r="CV322" s="3056" t="str">
        <f>IF(DAY(CV326)=DAY(CS326),"",CV326)</f>
        <v/>
      </c>
      <c r="CW322" s="3056"/>
      <c r="CX322" s="3056"/>
      <c r="CY322" s="3056" t="str">
        <f>IF(DAY(CY326)=DAY(CV326),"",CY326)</f>
        <v/>
      </c>
      <c r="CZ322" s="3056"/>
      <c r="DA322" s="3056"/>
      <c r="DB322" s="3056" t="str">
        <f>IF(DAY(DB326)=DAY(CY326),"",DB326)</f>
        <v/>
      </c>
      <c r="DC322" s="3056"/>
      <c r="DD322" s="3056"/>
      <c r="DE322" s="3056" t="str">
        <f>IF(DAY(DE326)=DAY(DB326),"",DE326)</f>
        <v/>
      </c>
      <c r="DF322" s="3056"/>
      <c r="DG322" s="3056"/>
      <c r="DH322" s="3056" t="str">
        <f>IF(DAY(DH326)=DAY(DE326),"",DH326)</f>
        <v/>
      </c>
      <c r="DI322" s="3056"/>
      <c r="DJ322" s="3056"/>
      <c r="DK322" s="3056" t="str">
        <f>IF(DAY(DK326)=DAY(DH326),"",DK326)</f>
        <v/>
      </c>
      <c r="DL322" s="3056"/>
      <c r="DM322" s="3056"/>
      <c r="DN322" s="3056">
        <f>IF(DAY(DN326)=DAY(DK326),"",DN326)</f>
        <v>44751.083333333328</v>
      </c>
      <c r="DO322" s="3056"/>
      <c r="DP322" s="3056"/>
      <c r="DQ322" s="3056" t="str">
        <f>IF(DAY(DQ326)=DAY(DN326),"",DQ326)</f>
        <v/>
      </c>
      <c r="DR322" s="3056"/>
      <c r="DS322" s="3056"/>
      <c r="DT322" s="3056" t="str">
        <f>IF(DAY(DT326)=DAY(DQ326),"",DT326)</f>
        <v/>
      </c>
      <c r="DU322" s="3056"/>
      <c r="DV322" s="3056"/>
      <c r="DW322" s="3056" t="str">
        <f>IF(DAY(DW326)=DAY(DT326),"",DW326)</f>
        <v/>
      </c>
      <c r="DX322" s="3056"/>
      <c r="DY322" s="3056"/>
      <c r="DZ322" s="3056" t="str">
        <f>IF(DAY(DZ326)=DAY(DW326),"",DZ326)</f>
        <v/>
      </c>
      <c r="EA322" s="3056"/>
      <c r="EB322" s="3056"/>
      <c r="EC322" s="3056" t="str">
        <f>IF(DAY(EC326)=DAY(DZ326),"",EC326)</f>
        <v/>
      </c>
      <c r="ED322" s="3056"/>
      <c r="EE322" s="3056"/>
      <c r="EF322" s="3056" t="str">
        <f>IF(DAY(EF326)=DAY(EC326),"",EF326)</f>
        <v/>
      </c>
      <c r="EG322" s="3056"/>
      <c r="EH322" s="3056"/>
      <c r="EI322" s="3056" t="str">
        <f>IF(DAY(EI326)=DAY(EF326),"",EI326)</f>
        <v/>
      </c>
      <c r="EJ322" s="3056"/>
      <c r="EK322" s="3056"/>
      <c r="EL322" s="3056">
        <f>IF(DAY(EL326)=DAY(EI326),"",EL326)</f>
        <v>44752.083333333328</v>
      </c>
      <c r="EM322" s="3056"/>
      <c r="EN322" s="3056"/>
      <c r="EO322" s="3056" t="str">
        <f>IF(DAY(EO326)=DAY(EL326),"",EO326)</f>
        <v/>
      </c>
      <c r="EP322" s="3056"/>
      <c r="EQ322" s="3056"/>
      <c r="ER322" s="3056" t="str">
        <f>IF(DAY(ER326)=DAY(EO326),"",ER326)</f>
        <v/>
      </c>
      <c r="ES322" s="3056"/>
      <c r="ET322" s="3056"/>
      <c r="EU322" s="3056" t="str">
        <f>IF(DAY(EU326)=DAY(ER326),"",EU326)</f>
        <v/>
      </c>
      <c r="EV322" s="3056"/>
      <c r="EW322" s="3056"/>
      <c r="EX322" s="3056" t="str">
        <f>IF(DAY(EX326)=DAY(EU326),"",EX326)</f>
        <v/>
      </c>
      <c r="EY322" s="3056"/>
      <c r="EZ322" s="3056"/>
      <c r="FA322" s="3056" t="str">
        <f>IF(DAY(FA326)=DAY(EX326),"",FA326)</f>
        <v/>
      </c>
      <c r="FB322" s="3056"/>
      <c r="FC322" s="3056"/>
      <c r="FD322" s="3056" t="str">
        <f>IF(DAY(FD326)=DAY(FA326),"",FD326)</f>
        <v/>
      </c>
      <c r="FE322" s="3056"/>
      <c r="FF322" s="3056"/>
      <c r="FG322" s="3056" t="str">
        <f>IF(DAY(FG326)=DAY(FD326),"",FG326)</f>
        <v/>
      </c>
      <c r="FH322" s="3056"/>
      <c r="FI322" s="3056"/>
      <c r="FJ322" s="3056">
        <f>IF(DAY(FJ326)=DAY(FG326),"",FJ326)</f>
        <v>44753.083333333328</v>
      </c>
      <c r="FK322" s="3056"/>
      <c r="FL322" s="3056"/>
      <c r="FM322" s="3056" t="str">
        <f>IF(DAY(FM326)=DAY(FJ326),"",FM326)</f>
        <v/>
      </c>
      <c r="FN322" s="3056"/>
      <c r="FO322" s="3056"/>
      <c r="FP322" s="3056" t="str">
        <f>IF(DAY(FP326)=DAY(FM326),"",FP326)</f>
        <v/>
      </c>
      <c r="FQ322" s="3056"/>
      <c r="FR322" s="3056"/>
      <c r="FS322" s="3056" t="str">
        <f>IF(DAY(FS326)=DAY(FP326),"",FS326)</f>
        <v/>
      </c>
      <c r="FT322" s="3056"/>
      <c r="FU322" s="3056"/>
      <c r="FV322" s="3056" t="str">
        <f>IF(DAY(FV326)=DAY(FS326),"",FV326)</f>
        <v/>
      </c>
      <c r="FW322" s="3056"/>
      <c r="FX322" s="3056"/>
      <c r="FY322" s="3056" t="str">
        <f>IF(DAY(FY326)=DAY(FV326),"",FY326)</f>
        <v/>
      </c>
      <c r="FZ322" s="3056"/>
      <c r="GA322" s="3056"/>
      <c r="GB322" s="3056" t="str">
        <f>IF(DAY(GB326)=DAY(FY326),"",GB326)</f>
        <v/>
      </c>
      <c r="GC322" s="3056"/>
      <c r="GD322" s="3056"/>
      <c r="GE322" s="3056" t="str">
        <f>IF(DAY(GE326)=DAY(GB326),"",GE326)</f>
        <v/>
      </c>
      <c r="GF322" s="3056"/>
      <c r="GG322" s="3056"/>
      <c r="GH322" s="3056">
        <f>IF(DAY(GH326)=DAY(GE326),"",GH326)</f>
        <v>44754.083333333328</v>
      </c>
      <c r="GI322" s="3056"/>
      <c r="GJ322" s="3056"/>
      <c r="GK322" s="3056" t="str">
        <f>IF(DAY(GK326)=DAY(GH326),"",GK326)</f>
        <v/>
      </c>
      <c r="GL322" s="3056"/>
      <c r="GM322" s="3056"/>
      <c r="GN322" s="3056" t="str">
        <f>IF(DAY(GN326)=DAY(GK326),"",GN326)</f>
        <v/>
      </c>
      <c r="GO322" s="3056"/>
      <c r="GP322" s="3056"/>
      <c r="GQ322" s="3056" t="str">
        <f>IF(DAY(GQ326)=DAY(GN326),"",GQ326)</f>
        <v/>
      </c>
      <c r="GR322" s="3056"/>
      <c r="GS322" s="3056"/>
    </row>
    <row r="323" spans="2:201" s="539" customFormat="1" ht="17.25" customHeight="1">
      <c r="B323" s="1176" t="s">
        <v>368</v>
      </c>
      <c r="L323" s="1166"/>
      <c r="M323" s="1047"/>
      <c r="N323" s="1047"/>
      <c r="O323" s="1047"/>
      <c r="P323" s="1047"/>
      <c r="Q323" s="1047"/>
      <c r="R323" s="1047"/>
      <c r="S323" s="1047"/>
      <c r="T323" s="1047"/>
      <c r="U323" s="1047"/>
      <c r="V323" s="1047"/>
      <c r="W323" s="1047"/>
      <c r="X323" s="1047"/>
      <c r="Y323" s="1047"/>
      <c r="Z323" s="1047"/>
      <c r="AA323" s="1047"/>
      <c r="AB323" s="3053"/>
      <c r="AC323" s="3053"/>
      <c r="AD323" s="3053"/>
      <c r="AE323" s="3053"/>
      <c r="AF323" s="3053"/>
      <c r="AG323" s="3053"/>
      <c r="AH323" s="3053"/>
      <c r="AI323" s="3053"/>
      <c r="AJ323" s="3053"/>
      <c r="AK323" s="3053"/>
      <c r="AL323" s="3053"/>
      <c r="AM323" s="3053"/>
      <c r="AN323" s="3053"/>
      <c r="AO323" s="3053"/>
      <c r="AP323" s="3053"/>
      <c r="AQ323" s="3068"/>
      <c r="AR323" s="3068"/>
      <c r="AS323" s="3068"/>
      <c r="AT323" s="3053"/>
      <c r="AU323" s="3053"/>
      <c r="AV323" s="3053"/>
      <c r="AW323" s="3053"/>
      <c r="AX323" s="3053"/>
      <c r="AY323" s="3053"/>
      <c r="AZ323" s="3053"/>
      <c r="BA323" s="3053"/>
      <c r="BB323" s="3053"/>
      <c r="BC323" s="3053"/>
      <c r="BD323" s="3053"/>
      <c r="BE323" s="3053"/>
      <c r="BF323" s="3053"/>
      <c r="BG323" s="3053"/>
      <c r="BH323" s="3053"/>
      <c r="BI323" s="3053"/>
      <c r="BJ323" s="3053"/>
      <c r="BK323" s="3053"/>
      <c r="BL323" s="3053"/>
      <c r="BM323" s="3053"/>
      <c r="BN323" s="3053"/>
      <c r="BO323" s="3056"/>
      <c r="BP323" s="3056"/>
      <c r="BQ323" s="3056"/>
      <c r="BR323" s="3056"/>
      <c r="BS323" s="3056"/>
      <c r="BT323" s="3056"/>
      <c r="BU323" s="3056"/>
      <c r="BV323" s="3056"/>
      <c r="BW323" s="3056"/>
      <c r="BX323" s="3056"/>
      <c r="BY323" s="3056"/>
      <c r="BZ323" s="3056"/>
      <c r="CA323" s="3056"/>
      <c r="CB323" s="3056"/>
      <c r="CC323" s="3056"/>
      <c r="CD323" s="3056"/>
      <c r="CE323" s="3056"/>
      <c r="CF323" s="3056"/>
      <c r="CG323" s="3056"/>
      <c r="CH323" s="3056"/>
      <c r="CI323" s="3056"/>
      <c r="CJ323" s="3056"/>
      <c r="CK323" s="3056"/>
      <c r="CL323" s="3056"/>
      <c r="CM323" s="3056"/>
      <c r="CN323" s="3056"/>
      <c r="CO323" s="3056"/>
      <c r="CP323" s="3056"/>
      <c r="CQ323" s="3056"/>
      <c r="CR323" s="3056"/>
      <c r="CS323" s="3056"/>
      <c r="CT323" s="3056"/>
      <c r="CU323" s="3056"/>
      <c r="CV323" s="3056"/>
      <c r="CW323" s="3056"/>
      <c r="CX323" s="3056"/>
      <c r="CY323" s="3056"/>
      <c r="CZ323" s="3056"/>
      <c r="DA323" s="3056"/>
      <c r="DB323" s="3056"/>
      <c r="DC323" s="3056"/>
      <c r="DD323" s="3056"/>
      <c r="DE323" s="3056"/>
      <c r="DF323" s="3056"/>
      <c r="DG323" s="3056"/>
      <c r="DH323" s="3056"/>
      <c r="DI323" s="3056"/>
      <c r="DJ323" s="3056"/>
      <c r="DK323" s="3056"/>
      <c r="DL323" s="3056"/>
      <c r="DM323" s="3056"/>
      <c r="DN323" s="3056"/>
      <c r="DO323" s="3056"/>
      <c r="DP323" s="3056"/>
      <c r="DQ323" s="3056"/>
      <c r="DR323" s="3056"/>
      <c r="DS323" s="3056"/>
      <c r="DT323" s="3056"/>
      <c r="DU323" s="3056"/>
      <c r="DV323" s="3056"/>
      <c r="DW323" s="3056"/>
      <c r="DX323" s="3056"/>
      <c r="DY323" s="3056"/>
      <c r="DZ323" s="3056"/>
      <c r="EA323" s="3056"/>
      <c r="EB323" s="3056"/>
      <c r="EC323" s="3056"/>
      <c r="ED323" s="3056"/>
      <c r="EE323" s="3056"/>
      <c r="EF323" s="3056"/>
      <c r="EG323" s="3056"/>
      <c r="EH323" s="3056"/>
      <c r="EI323" s="3056"/>
      <c r="EJ323" s="3056"/>
      <c r="EK323" s="3056"/>
      <c r="EL323" s="3056"/>
      <c r="EM323" s="3056"/>
      <c r="EN323" s="3056"/>
      <c r="EO323" s="3056"/>
      <c r="EP323" s="3056"/>
      <c r="EQ323" s="3056"/>
      <c r="ER323" s="3056"/>
      <c r="ES323" s="3056"/>
      <c r="ET323" s="3056"/>
      <c r="EU323" s="3056"/>
      <c r="EV323" s="3056"/>
      <c r="EW323" s="3056"/>
      <c r="EX323" s="3056"/>
      <c r="EY323" s="3056"/>
      <c r="EZ323" s="3056"/>
      <c r="FA323" s="3056"/>
      <c r="FB323" s="3056"/>
      <c r="FC323" s="3056"/>
      <c r="FD323" s="3056"/>
      <c r="FE323" s="3056"/>
      <c r="FF323" s="3056"/>
      <c r="FG323" s="3056"/>
      <c r="FH323" s="3056"/>
      <c r="FI323" s="3056"/>
      <c r="FJ323" s="3056"/>
      <c r="FK323" s="3056"/>
      <c r="FL323" s="3056"/>
      <c r="FM323" s="3056"/>
      <c r="FN323" s="3056"/>
      <c r="FO323" s="3056"/>
      <c r="FP323" s="3056"/>
      <c r="FQ323" s="3056"/>
      <c r="FR323" s="3056"/>
      <c r="FS323" s="3056"/>
      <c r="FT323" s="3056"/>
      <c r="FU323" s="3056"/>
      <c r="FV323" s="3056"/>
      <c r="FW323" s="3056"/>
      <c r="FX323" s="3056"/>
      <c r="FY323" s="3056"/>
      <c r="FZ323" s="3056"/>
      <c r="GA323" s="3056"/>
      <c r="GB323" s="3056"/>
      <c r="GC323" s="3056"/>
      <c r="GD323" s="3056"/>
      <c r="GE323" s="3056"/>
      <c r="GF323" s="3056"/>
      <c r="GG323" s="3056"/>
      <c r="GH323" s="3056"/>
      <c r="GI323" s="3056"/>
      <c r="GJ323" s="3056"/>
      <c r="GK323" s="3056"/>
      <c r="GL323" s="3056"/>
      <c r="GM323" s="3056"/>
      <c r="GN323" s="3056"/>
      <c r="GO323" s="3056"/>
      <c r="GP323" s="3056"/>
      <c r="GQ323" s="3056"/>
      <c r="GR323" s="3056"/>
      <c r="GS323" s="3056"/>
    </row>
    <row r="324" spans="2:201" s="539" customFormat="1" ht="16.5" customHeight="1">
      <c r="L324" s="1166" t="s">
        <v>3058</v>
      </c>
      <c r="M324" s="1047"/>
      <c r="N324" s="1047"/>
      <c r="O324" s="1047"/>
      <c r="P324" s="1047"/>
      <c r="Q324" s="1047"/>
      <c r="R324" s="1047"/>
      <c r="S324" s="1047"/>
      <c r="T324" s="1047"/>
      <c r="U324" s="1047"/>
      <c r="V324" s="1047"/>
      <c r="W324" s="1047"/>
      <c r="X324" s="1047"/>
      <c r="Y324" s="1047"/>
      <c r="Z324" s="1047"/>
      <c r="AA324" s="1047"/>
      <c r="AB324" s="3054"/>
      <c r="AC324" s="3054"/>
      <c r="AD324" s="3054"/>
      <c r="AE324" s="3054"/>
      <c r="AF324" s="3054"/>
      <c r="AG324" s="3054"/>
      <c r="AH324" s="3054"/>
      <c r="AI324" s="3054"/>
      <c r="AJ324" s="3054"/>
      <c r="AK324" s="3054"/>
      <c r="AL324" s="3054"/>
      <c r="AM324" s="3054"/>
      <c r="AN324" s="3054"/>
      <c r="AO324" s="3054"/>
      <c r="AP324" s="3054"/>
      <c r="AQ324" s="3069"/>
      <c r="AR324" s="3069"/>
      <c r="AS324" s="3069"/>
      <c r="AT324" s="3054"/>
      <c r="AU324" s="3054"/>
      <c r="AV324" s="3054"/>
      <c r="AW324" s="3054"/>
      <c r="AX324" s="3054"/>
      <c r="AY324" s="3054"/>
      <c r="AZ324" s="3054"/>
      <c r="BA324" s="3054"/>
      <c r="BB324" s="3054"/>
      <c r="BC324" s="3054"/>
      <c r="BD324" s="3054"/>
      <c r="BE324" s="3054"/>
      <c r="BF324" s="3054"/>
      <c r="BG324" s="3054"/>
      <c r="BH324" s="3054"/>
      <c r="BI324" s="3054"/>
      <c r="BJ324" s="3054"/>
      <c r="BK324" s="3054"/>
      <c r="BL324" s="3054"/>
      <c r="BM324" s="3054"/>
      <c r="BN324" s="3054"/>
      <c r="BO324" s="3056"/>
      <c r="BP324" s="3056"/>
      <c r="BQ324" s="3056"/>
      <c r="BR324" s="3056"/>
      <c r="BS324" s="3056"/>
      <c r="BT324" s="3056"/>
      <c r="BU324" s="3056"/>
      <c r="BV324" s="3056"/>
      <c r="BW324" s="3056"/>
      <c r="BX324" s="3056"/>
      <c r="BY324" s="3056"/>
      <c r="BZ324" s="3056"/>
      <c r="CA324" s="3056"/>
      <c r="CB324" s="3056"/>
      <c r="CC324" s="3056"/>
      <c r="CD324" s="3056"/>
      <c r="CE324" s="3056"/>
      <c r="CF324" s="3056"/>
      <c r="CG324" s="3056"/>
      <c r="CH324" s="3056"/>
      <c r="CI324" s="3056"/>
      <c r="CJ324" s="3056"/>
      <c r="CK324" s="3056"/>
      <c r="CL324" s="3056"/>
      <c r="CM324" s="3056"/>
      <c r="CN324" s="3056"/>
      <c r="CO324" s="3056"/>
      <c r="CP324" s="3056"/>
      <c r="CQ324" s="3056"/>
      <c r="CR324" s="3056"/>
      <c r="CS324" s="3056"/>
      <c r="CT324" s="3056"/>
      <c r="CU324" s="3056"/>
      <c r="CV324" s="3056"/>
      <c r="CW324" s="3056"/>
      <c r="CX324" s="3056"/>
      <c r="CY324" s="3056"/>
      <c r="CZ324" s="3056"/>
      <c r="DA324" s="3056"/>
      <c r="DB324" s="3056"/>
      <c r="DC324" s="3056"/>
      <c r="DD324" s="3056"/>
      <c r="DE324" s="3056"/>
      <c r="DF324" s="3056"/>
      <c r="DG324" s="3056"/>
      <c r="DH324" s="3056"/>
      <c r="DI324" s="3056"/>
      <c r="DJ324" s="3056"/>
      <c r="DK324" s="3056"/>
      <c r="DL324" s="3056"/>
      <c r="DM324" s="3056"/>
      <c r="DN324" s="3056"/>
      <c r="DO324" s="3056"/>
      <c r="DP324" s="3056"/>
      <c r="DQ324" s="3056"/>
      <c r="DR324" s="3056"/>
      <c r="DS324" s="3056"/>
      <c r="DT324" s="3056"/>
      <c r="DU324" s="3056"/>
      <c r="DV324" s="3056"/>
      <c r="DW324" s="3056"/>
      <c r="DX324" s="3056"/>
      <c r="DY324" s="3056"/>
      <c r="DZ324" s="3056"/>
      <c r="EA324" s="3056"/>
      <c r="EB324" s="3056"/>
      <c r="EC324" s="3056"/>
      <c r="ED324" s="3056"/>
      <c r="EE324" s="3056"/>
      <c r="EF324" s="3056"/>
      <c r="EG324" s="3056"/>
      <c r="EH324" s="3056"/>
      <c r="EI324" s="3056"/>
      <c r="EJ324" s="3056"/>
      <c r="EK324" s="3056"/>
      <c r="EL324" s="3056"/>
      <c r="EM324" s="3056"/>
      <c r="EN324" s="3056"/>
      <c r="EO324" s="3056"/>
      <c r="EP324" s="3056"/>
      <c r="EQ324" s="3056"/>
      <c r="ER324" s="3056"/>
      <c r="ES324" s="3056"/>
      <c r="ET324" s="3056"/>
      <c r="EU324" s="3056"/>
      <c r="EV324" s="3056"/>
      <c r="EW324" s="3056"/>
      <c r="EX324" s="3056"/>
      <c r="EY324" s="3056"/>
      <c r="EZ324" s="3056"/>
      <c r="FA324" s="3056"/>
      <c r="FB324" s="3056"/>
      <c r="FC324" s="3056"/>
      <c r="FD324" s="3056"/>
      <c r="FE324" s="3056"/>
      <c r="FF324" s="3056"/>
      <c r="FG324" s="3056"/>
      <c r="FH324" s="3056"/>
      <c r="FI324" s="3056"/>
      <c r="FJ324" s="3056"/>
      <c r="FK324" s="3056"/>
      <c r="FL324" s="3056"/>
      <c r="FM324" s="3056"/>
      <c r="FN324" s="3056"/>
      <c r="FO324" s="3056"/>
      <c r="FP324" s="3056"/>
      <c r="FQ324" s="3056"/>
      <c r="FR324" s="3056"/>
      <c r="FS324" s="3056"/>
      <c r="FT324" s="3056"/>
      <c r="FU324" s="3056"/>
      <c r="FV324" s="3056"/>
      <c r="FW324" s="3056"/>
      <c r="FX324" s="3056"/>
      <c r="FY324" s="3056"/>
      <c r="FZ324" s="3056"/>
      <c r="GA324" s="3056"/>
      <c r="GB324" s="3056"/>
      <c r="GC324" s="3056"/>
      <c r="GD324" s="3056"/>
      <c r="GE324" s="3056"/>
      <c r="GF324" s="3056"/>
      <c r="GG324" s="3056"/>
      <c r="GH324" s="3056"/>
      <c r="GI324" s="3056"/>
      <c r="GJ324" s="3056"/>
      <c r="GK324" s="3056"/>
      <c r="GL324" s="3056"/>
      <c r="GM324" s="3056"/>
      <c r="GN324" s="3056"/>
      <c r="GO324" s="3056"/>
      <c r="GP324" s="3056"/>
      <c r="GQ324" s="3056"/>
      <c r="GR324" s="3056"/>
      <c r="GS324" s="3056"/>
    </row>
    <row r="325" spans="2:201" s="532" customFormat="1" ht="18" customHeight="1">
      <c r="B325" s="1175"/>
      <c r="L325" s="1167" t="s">
        <v>3059</v>
      </c>
      <c r="M325" s="1062"/>
      <c r="N325" s="1062"/>
      <c r="O325" s="1062"/>
      <c r="P325" s="1062"/>
      <c r="Q325" s="1062"/>
      <c r="R325" s="1062"/>
      <c r="S325" s="1062"/>
      <c r="T325" s="1062"/>
      <c r="U325" s="1062"/>
      <c r="V325" s="1062"/>
      <c r="W325" s="1062"/>
      <c r="X325" s="1062"/>
      <c r="Y325" s="1062"/>
      <c r="Z325" s="1062"/>
      <c r="AA325" s="1912" t="s">
        <v>369</v>
      </c>
      <c r="AB325" s="3536">
        <f>MROUND(AF68,1/24)</f>
        <v>44748.541666666664</v>
      </c>
      <c r="AC325" s="3536"/>
      <c r="AD325" s="3536"/>
      <c r="AE325" s="3055">
        <f>MROUND(AB325+1/24,1/24)</f>
        <v>44748.583333333328</v>
      </c>
      <c r="AF325" s="3055"/>
      <c r="AG325" s="3055"/>
      <c r="AH325" s="3055">
        <f>MROUND(AE325+1/24,1/24)</f>
        <v>44748.625</v>
      </c>
      <c r="AI325" s="3055"/>
      <c r="AJ325" s="3055"/>
      <c r="AK325" s="3055">
        <f>MROUND(AH325+1/24,1/24)</f>
        <v>44748.666666666664</v>
      </c>
      <c r="AL325" s="3055"/>
      <c r="AM325" s="3055"/>
      <c r="AN325" s="3055">
        <f>MROUND(AK325+1/24,1/24)</f>
        <v>44748.708333333328</v>
      </c>
      <c r="AO325" s="3055"/>
      <c r="AP325" s="3055"/>
      <c r="AQ325" s="3055">
        <f>MROUND(AN325+1/24,1/24)</f>
        <v>44748.75</v>
      </c>
      <c r="AR325" s="3055"/>
      <c r="AS325" s="3055"/>
      <c r="AT325" s="3055">
        <f>MROUND(AQ325+1/24,1/24)</f>
        <v>44748.791666666664</v>
      </c>
      <c r="AU325" s="3055"/>
      <c r="AV325" s="3055"/>
      <c r="AW325" s="3055">
        <f>MROUND(AT325+1/24,1/24)</f>
        <v>44748.833333333328</v>
      </c>
      <c r="AX325" s="3055"/>
      <c r="AY325" s="3055"/>
      <c r="AZ325" s="3055">
        <f>MROUND(AW325+1/24,1/24)</f>
        <v>44748.875</v>
      </c>
      <c r="BA325" s="3055"/>
      <c r="BB325" s="3055"/>
      <c r="BC325" s="3055">
        <f>MROUND(AZ325+1/24,1/24)</f>
        <v>44748.916666666664</v>
      </c>
      <c r="BD325" s="3055"/>
      <c r="BE325" s="3055"/>
      <c r="BF325" s="3055">
        <f>MROUND(BC325+1/24,1/24)</f>
        <v>44748.958333333328</v>
      </c>
      <c r="BG325" s="3055"/>
      <c r="BH325" s="3055"/>
      <c r="BI325" s="3055">
        <f>MROUND(BF325+1/24,1/24)</f>
        <v>44749</v>
      </c>
      <c r="BJ325" s="3055"/>
      <c r="BK325" s="3055"/>
      <c r="BL325" s="3055">
        <f>MROUND(BI325+1/24,1/24)</f>
        <v>44749.041666666664</v>
      </c>
      <c r="BM325" s="3055"/>
      <c r="BN325" s="3055"/>
      <c r="BO325" s="3055">
        <f>IF(MOD(HOUR(BL325),3)=0,MROUND(BL325+1/8,1/24),IF(MOD(HOUR(BL325)-1,3)=0,MROUND(BL325+2/24,1/24),MROUND(BL325+1/24,1/24)))</f>
        <v>44749.125</v>
      </c>
      <c r="BP325" s="3055"/>
      <c r="BQ325" s="3055"/>
      <c r="BR325" s="3055">
        <f>MROUND(BO325+1/8,1/24)</f>
        <v>44749.25</v>
      </c>
      <c r="BS325" s="3055"/>
      <c r="BT325" s="3055"/>
      <c r="BU325" s="3055">
        <f>MROUND(BR325+1/8,1/24)</f>
        <v>44749.375</v>
      </c>
      <c r="BV325" s="3055"/>
      <c r="BW325" s="3055"/>
      <c r="BX325" s="3055">
        <f>MROUND(BU325+1/8,1/24)</f>
        <v>44749.5</v>
      </c>
      <c r="BY325" s="3055"/>
      <c r="BZ325" s="3055"/>
      <c r="CA325" s="3055">
        <f>MROUND(BX325+1/8,1/24)</f>
        <v>44749.625</v>
      </c>
      <c r="CB325" s="3055"/>
      <c r="CC325" s="3055"/>
      <c r="CD325" s="3055">
        <f>MROUND(CA325+1/8,1/24)</f>
        <v>44749.75</v>
      </c>
      <c r="CE325" s="3055"/>
      <c r="CF325" s="3055"/>
      <c r="CG325" s="3055">
        <f>MROUND(CD325+1/8,1/24)</f>
        <v>44749.875</v>
      </c>
      <c r="CH325" s="3055"/>
      <c r="CI325" s="3055"/>
      <c r="CJ325" s="3055">
        <f>MROUND(CG325+1/8,1/24)</f>
        <v>44750</v>
      </c>
      <c r="CK325" s="3055"/>
      <c r="CL325" s="3055"/>
      <c r="CM325" s="3055">
        <f>MROUND(CJ325+1/8,1/24)</f>
        <v>44750.125</v>
      </c>
      <c r="CN325" s="3055"/>
      <c r="CO325" s="3055"/>
      <c r="CP325" s="3055">
        <f>MROUND(CM325+1/8,1/24)</f>
        <v>44750.25</v>
      </c>
      <c r="CQ325" s="3055"/>
      <c r="CR325" s="3055"/>
      <c r="CS325" s="3055">
        <f>MROUND(CP325+1/8,1/24)</f>
        <v>44750.375</v>
      </c>
      <c r="CT325" s="3055"/>
      <c r="CU325" s="3055"/>
      <c r="CV325" s="3055">
        <f>MROUND(CS325+1/8,1/24)</f>
        <v>44750.5</v>
      </c>
      <c r="CW325" s="3055"/>
      <c r="CX325" s="3055"/>
      <c r="CY325" s="3055">
        <f>MROUND(CV325+1/8,1/24)</f>
        <v>44750.625</v>
      </c>
      <c r="CZ325" s="3055"/>
      <c r="DA325" s="3055"/>
      <c r="DB325" s="3055">
        <f>MROUND(CY325+1/8,1/24)</f>
        <v>44750.75</v>
      </c>
      <c r="DC325" s="3055"/>
      <c r="DD325" s="3055"/>
      <c r="DE325" s="3055">
        <f>MROUND(DB325+1/8,1/24)</f>
        <v>44750.875</v>
      </c>
      <c r="DF325" s="3055"/>
      <c r="DG325" s="3055"/>
      <c r="DH325" s="3055">
        <f>MROUND(DE325+1/8,1/24)</f>
        <v>44751</v>
      </c>
      <c r="DI325" s="3055"/>
      <c r="DJ325" s="3055"/>
      <c r="DK325" s="3055">
        <f>MROUND(DH325+1/8,1/24)</f>
        <v>44751.125</v>
      </c>
      <c r="DL325" s="3055"/>
      <c r="DM325" s="3055"/>
      <c r="DN325" s="3055">
        <f>MROUND(DK325+1/8,1/24)</f>
        <v>44751.25</v>
      </c>
      <c r="DO325" s="3055"/>
      <c r="DP325" s="3055"/>
      <c r="DQ325" s="3055">
        <f>MROUND(DN325+1/8,1/24)</f>
        <v>44751.375</v>
      </c>
      <c r="DR325" s="3055"/>
      <c r="DS325" s="3055"/>
      <c r="DT325" s="3055">
        <f>MROUND(DQ325+1/8,1/24)</f>
        <v>44751.5</v>
      </c>
      <c r="DU325" s="3055"/>
      <c r="DV325" s="3055"/>
      <c r="DW325" s="3055">
        <f>MROUND(DT325+1/8,1/24)</f>
        <v>44751.625</v>
      </c>
      <c r="DX325" s="3055"/>
      <c r="DY325" s="3055"/>
      <c r="DZ325" s="3055">
        <f>MROUND(DW325+1/8,1/24)</f>
        <v>44751.75</v>
      </c>
      <c r="EA325" s="3055"/>
      <c r="EB325" s="3055"/>
      <c r="EC325" s="3055">
        <f>MROUND(DZ325+1/8,1/24)</f>
        <v>44751.875</v>
      </c>
      <c r="ED325" s="3055"/>
      <c r="EE325" s="3055"/>
      <c r="EF325" s="3055">
        <f>MROUND(EC325+1/8,1/24)</f>
        <v>44752</v>
      </c>
      <c r="EG325" s="3055"/>
      <c r="EH325" s="3055"/>
      <c r="EI325" s="3055">
        <f>MROUND(EF325+1/8,1/24)</f>
        <v>44752.125</v>
      </c>
      <c r="EJ325" s="3055"/>
      <c r="EK325" s="3055"/>
      <c r="EL325" s="3055">
        <f>MROUND(EI325+1/8,1/24)</f>
        <v>44752.25</v>
      </c>
      <c r="EM325" s="3055"/>
      <c r="EN325" s="3055"/>
      <c r="EO325" s="3055">
        <f>MROUND(EL325+1/8,1/24)</f>
        <v>44752.375</v>
      </c>
      <c r="EP325" s="3055"/>
      <c r="EQ325" s="3055"/>
      <c r="ER325" s="3055">
        <f>MROUND(EO325+1/8,1/24)</f>
        <v>44752.5</v>
      </c>
      <c r="ES325" s="3055"/>
      <c r="ET325" s="3055"/>
      <c r="EU325" s="3055">
        <f>MROUND(ER325+1/8,1/24)</f>
        <v>44752.625</v>
      </c>
      <c r="EV325" s="3055"/>
      <c r="EW325" s="3055"/>
      <c r="EX325" s="3055">
        <f>MROUND(EU325+1/8,1/24)</f>
        <v>44752.75</v>
      </c>
      <c r="EY325" s="3055"/>
      <c r="EZ325" s="3055"/>
      <c r="FA325" s="3055">
        <f>MROUND(EX325+1/8,1/24)</f>
        <v>44752.875</v>
      </c>
      <c r="FB325" s="3055"/>
      <c r="FC325" s="3055"/>
      <c r="FD325" s="3055">
        <f>MROUND(FA325+1/8,1/24)</f>
        <v>44753</v>
      </c>
      <c r="FE325" s="3055"/>
      <c r="FF325" s="3055"/>
      <c r="FG325" s="3055">
        <f>MROUND(FD325+1/8,1/24)</f>
        <v>44753.125</v>
      </c>
      <c r="FH325" s="3055"/>
      <c r="FI325" s="3055"/>
      <c r="FJ325" s="3055">
        <f>MROUND(FG325+1/8,1/24)</f>
        <v>44753.25</v>
      </c>
      <c r="FK325" s="3055"/>
      <c r="FL325" s="3055"/>
      <c r="FM325" s="3055">
        <f>MROUND(FJ325+1/8,1/24)</f>
        <v>44753.375</v>
      </c>
      <c r="FN325" s="3055"/>
      <c r="FO325" s="3055"/>
      <c r="FP325" s="3055">
        <f>MROUND(FM325+1/8,1/24)</f>
        <v>44753.5</v>
      </c>
      <c r="FQ325" s="3055"/>
      <c r="FR325" s="3055"/>
      <c r="FS325" s="3055">
        <f>MROUND(FP325+1/8,1/24)</f>
        <v>44753.625</v>
      </c>
      <c r="FT325" s="3055"/>
      <c r="FU325" s="3055"/>
      <c r="FV325" s="3055">
        <f>MROUND(FS325+1/8,1/24)</f>
        <v>44753.75</v>
      </c>
      <c r="FW325" s="3055"/>
      <c r="FX325" s="3055"/>
      <c r="FY325" s="3055">
        <f>MROUND(FV325+1/8,1/24)</f>
        <v>44753.875</v>
      </c>
      <c r="FZ325" s="3055"/>
      <c r="GA325" s="3055"/>
      <c r="GB325" s="3055">
        <f>MROUND(FY325+1/8,1/24)</f>
        <v>44754</v>
      </c>
      <c r="GC325" s="3055"/>
      <c r="GD325" s="3055"/>
      <c r="GE325" s="3055">
        <f>MROUND(GB325+1/8,1/24)</f>
        <v>44754.125</v>
      </c>
      <c r="GF325" s="3055"/>
      <c r="GG325" s="3055"/>
      <c r="GH325" s="3055">
        <f>MROUND(GE325+1/8,1/24)</f>
        <v>44754.25</v>
      </c>
      <c r="GI325" s="3055"/>
      <c r="GJ325" s="3055"/>
      <c r="GK325" s="3055">
        <f>MROUND(GH325+1/8,1/24)</f>
        <v>44754.375</v>
      </c>
      <c r="GL325" s="3055"/>
      <c r="GM325" s="3055"/>
      <c r="GN325" s="3055">
        <f>MROUND(GK325+1/8,1/24)</f>
        <v>44754.5</v>
      </c>
      <c r="GO325" s="3055"/>
      <c r="GP325" s="3055"/>
      <c r="GQ325" s="3055">
        <f>MROUND(GN325+1/8,1/24)</f>
        <v>44754.625</v>
      </c>
      <c r="GR325" s="3055"/>
      <c r="GS325" s="3055"/>
    </row>
    <row r="326" spans="2:201" s="532" customFormat="1" ht="18" customHeight="1">
      <c r="B326" s="567"/>
      <c r="L326" s="1167" t="s">
        <v>3060</v>
      </c>
      <c r="M326" s="1062"/>
      <c r="N326" s="1062"/>
      <c r="O326" s="1062"/>
      <c r="P326" s="1062"/>
      <c r="Q326" s="1062"/>
      <c r="R326" s="1062"/>
      <c r="S326" s="1062"/>
      <c r="T326" s="3064" t="s">
        <v>370</v>
      </c>
      <c r="U326" s="3064"/>
      <c r="V326" s="3064"/>
      <c r="W326" s="3064"/>
      <c r="X326" s="1062"/>
      <c r="Y326" s="1062"/>
      <c r="Z326" s="1062"/>
      <c r="AA326" s="1912" t="s">
        <v>371</v>
      </c>
      <c r="AB326" s="3050">
        <f>IF(LOOKUP(AB325,'Light Data '!$N$5:$N$17,'Light Data '!$P$5:$P$17)="S",AB325+$AA$4/24,AB325+$AA$4/24+1/24)</f>
        <v>44748.374999999993</v>
      </c>
      <c r="AC326" s="3050"/>
      <c r="AD326" s="3050"/>
      <c r="AE326" s="3050">
        <f>IF(LOOKUP(AE325,'Light Data '!$N$5:$N$17,'Light Data '!$P$5:$P$17)="S",AE325+$AA$4/24,AE325+$AA$4/24+1/24)</f>
        <v>44748.416666666657</v>
      </c>
      <c r="AF326" s="3050"/>
      <c r="AG326" s="3050"/>
      <c r="AH326" s="3050">
        <f>IF(LOOKUP(AH325,'Light Data '!$N$5:$N$17,'Light Data '!$P$5:$P$17)="S",AH325+$AA$4/24,AH325+$AA$4/24+1/24)</f>
        <v>44748.458333333328</v>
      </c>
      <c r="AI326" s="3050"/>
      <c r="AJ326" s="3050"/>
      <c r="AK326" s="3050">
        <f>IF(LOOKUP(AK325,'Light Data '!$N$5:$N$17,'Light Data '!$P$5:$P$17)="S",AK325+$AA$4/24,AK325+$AA$4/24+1/24)</f>
        <v>44748.499999999993</v>
      </c>
      <c r="AL326" s="3050"/>
      <c r="AM326" s="3050"/>
      <c r="AN326" s="3050">
        <f>IF(LOOKUP(AN325,'Light Data '!$N$5:$N$17,'Light Data '!$P$5:$P$17)="S",AN325+$AA$4/24,AN325+$AA$4/24+1/24)</f>
        <v>44748.541666666657</v>
      </c>
      <c r="AO326" s="3050"/>
      <c r="AP326" s="3050"/>
      <c r="AQ326" s="3050">
        <f>IF(LOOKUP(AQ325,'Light Data '!$N$5:$N$17,'Light Data '!$P$5:$P$17)="S",AQ325+$AA$4/24,AQ325+$AA$4/24+1/24)</f>
        <v>44748.583333333328</v>
      </c>
      <c r="AR326" s="3050"/>
      <c r="AS326" s="3050"/>
      <c r="AT326" s="3050">
        <f>IF(LOOKUP(AT325,'Light Data '!$N$5:$N$17,'Light Data '!$P$5:$P$17)="S",AT325+$AA$4/24,AT325+$AA$4/24+1/24)</f>
        <v>44748.624999999993</v>
      </c>
      <c r="AU326" s="3050"/>
      <c r="AV326" s="3050"/>
      <c r="AW326" s="3050">
        <f>IF(LOOKUP(AW325,'Light Data '!$N$5:$N$17,'Light Data '!$P$5:$P$17)="S",AW325+$AA$4/24,AW325+$AA$4/24+1/24)</f>
        <v>44748.666666666657</v>
      </c>
      <c r="AX326" s="3050"/>
      <c r="AY326" s="3050"/>
      <c r="AZ326" s="3050">
        <f>IF(LOOKUP(AZ325,'Light Data '!$N$5:$N$17,'Light Data '!$P$5:$P$17)="S",AZ325+$AA$4/24,AZ325+$AA$4/24+1/24)</f>
        <v>44748.708333333328</v>
      </c>
      <c r="BA326" s="3050"/>
      <c r="BB326" s="3050"/>
      <c r="BC326" s="3050">
        <f>IF(LOOKUP(BC325,'Light Data '!$N$5:$N$17,'Light Data '!$P$5:$P$17)="S",BC325+$AA$4/24,BC325+$AA$4/24+1/24)</f>
        <v>44748.749999999993</v>
      </c>
      <c r="BD326" s="3050"/>
      <c r="BE326" s="3050"/>
      <c r="BF326" s="3050">
        <f>IF(LOOKUP(BF325,'Light Data '!$N$5:$N$17,'Light Data '!$P$5:$P$17)="S",BF325+$AA$4/24,BF325+$AA$4/24+1/24)</f>
        <v>44748.791666666657</v>
      </c>
      <c r="BG326" s="3050"/>
      <c r="BH326" s="3050"/>
      <c r="BI326" s="3050">
        <f>IF(LOOKUP(BI325,'Light Data '!$N$5:$N$17,'Light Data '!$P$5:$P$17)="S",BI325+$AA$4/24,BI325+$AA$4/24+1/24)</f>
        <v>44748.833333333328</v>
      </c>
      <c r="BJ326" s="3050"/>
      <c r="BK326" s="3050"/>
      <c r="BL326" s="3050">
        <f>IF(LOOKUP(BL325,'Light Data '!$N$5:$N$17,'Light Data '!$P$5:$P$17)="S",BL325+$AA$4/24,BL325+$AA$4/24+1/24)</f>
        <v>44748.874999999993</v>
      </c>
      <c r="BM326" s="3050"/>
      <c r="BN326" s="3050"/>
      <c r="BO326" s="3050">
        <f>IF(LOOKUP(BO325,'Light Data '!$N$5:$N$17,'Light Data '!$P$5:$P$17)="S",BO325+$AA$4/24,BO325+$AA$4/24+1/24)</f>
        <v>44748.958333333328</v>
      </c>
      <c r="BP326" s="3050"/>
      <c r="BQ326" s="3050"/>
      <c r="BR326" s="3050">
        <f>IF(LOOKUP(BR325,'Light Data '!$N$5:$N$17,'Light Data '!$P$5:$P$17)="S",BR325+$AA$4/24,BR325+$AA$4/24+1/24)</f>
        <v>44749.083333333328</v>
      </c>
      <c r="BS326" s="3050"/>
      <c r="BT326" s="3050"/>
      <c r="BU326" s="3050">
        <f>IF(LOOKUP(BU325,'Light Data '!$N$5:$N$17,'Light Data '!$P$5:$P$17)="S",BU325+$AA$4/24,BU325+$AA$4/24+1/24)</f>
        <v>44749.208333333328</v>
      </c>
      <c r="BV326" s="3050"/>
      <c r="BW326" s="3050"/>
      <c r="BX326" s="3050">
        <f>IF(LOOKUP(BX325,'Light Data '!$N$5:$N$17,'Light Data '!$P$5:$P$17)="S",BX325+$AA$4/24,BX325+$AA$4/24+1/24)</f>
        <v>44749.333333333328</v>
      </c>
      <c r="BY326" s="3050"/>
      <c r="BZ326" s="3050"/>
      <c r="CA326" s="3050">
        <f>IF(LOOKUP(CA325,'Light Data '!$N$5:$N$17,'Light Data '!$P$5:$P$17)="S",CA325+$AA$4/24,CA325+$AA$4/24+1/24)</f>
        <v>44749.458333333328</v>
      </c>
      <c r="CB326" s="3050"/>
      <c r="CC326" s="3050"/>
      <c r="CD326" s="3050">
        <f>IF(LOOKUP(CD325,'Light Data '!$N$5:$N$17,'Light Data '!$P$5:$P$17)="S",CD325+$AA$4/24,CD325+$AA$4/24+1/24)</f>
        <v>44749.583333333328</v>
      </c>
      <c r="CE326" s="3050"/>
      <c r="CF326" s="3050"/>
      <c r="CG326" s="3050">
        <f>IF(LOOKUP(CG325,'Light Data '!$N$5:$N$17,'Light Data '!$P$5:$P$17)="S",CG325+$AA$4/24,CG325+$AA$4/24+1/24)</f>
        <v>44749.708333333328</v>
      </c>
      <c r="CH326" s="3050"/>
      <c r="CI326" s="3050"/>
      <c r="CJ326" s="3050">
        <f>IF(LOOKUP(CJ325,'Light Data '!$N$5:$N$17,'Light Data '!$P$5:$P$17)="S",CJ325+$AA$4/24,CJ325+$AA$4/24+1/24)</f>
        <v>44749.833333333328</v>
      </c>
      <c r="CK326" s="3050"/>
      <c r="CL326" s="3050"/>
      <c r="CM326" s="3050">
        <f>IF(LOOKUP(CM325,'Light Data '!$N$5:$N$17,'Light Data '!$P$5:$P$17)="S",CM325+$AA$4/24,CM325+$AA$4/24+1/24)</f>
        <v>44749.958333333328</v>
      </c>
      <c r="CN326" s="3050"/>
      <c r="CO326" s="3050"/>
      <c r="CP326" s="3050">
        <f>IF(LOOKUP(CP325,'Light Data '!$N$5:$N$17,'Light Data '!$P$5:$P$17)="S",CP325+$AA$4/24,CP325+$AA$4/24+1/24)</f>
        <v>44750.083333333328</v>
      </c>
      <c r="CQ326" s="3050"/>
      <c r="CR326" s="3050"/>
      <c r="CS326" s="3050">
        <f>IF(LOOKUP(CS325,'Light Data '!$N$5:$N$17,'Light Data '!$P$5:$P$17)="S",CS325+$AA$4/24,CS325+$AA$4/24+1/24)</f>
        <v>44750.208333333328</v>
      </c>
      <c r="CT326" s="3050"/>
      <c r="CU326" s="3050"/>
      <c r="CV326" s="3050">
        <f>IF(LOOKUP(CV325,'Light Data '!$N$5:$N$17,'Light Data '!$P$5:$P$17)="S",CV325+$AA$4/24,CV325+$AA$4/24+1/24)</f>
        <v>44750.333333333328</v>
      </c>
      <c r="CW326" s="3050"/>
      <c r="CX326" s="3050"/>
      <c r="CY326" s="3050">
        <f>IF(LOOKUP(CY325,'Light Data '!$N$5:$N$17,'Light Data '!$P$5:$P$17)="S",CY325+$AA$4/24,CY325+$AA$4/24+1/24)</f>
        <v>44750.458333333328</v>
      </c>
      <c r="CZ326" s="3050"/>
      <c r="DA326" s="3050"/>
      <c r="DB326" s="3050">
        <f>IF(LOOKUP(DB325,'Light Data '!$N$5:$N$17,'Light Data '!$P$5:$P$17)="S",DB325+$AA$4/24,DB325+$AA$4/24+1/24)</f>
        <v>44750.583333333328</v>
      </c>
      <c r="DC326" s="3050"/>
      <c r="DD326" s="3050"/>
      <c r="DE326" s="3050">
        <f>IF(LOOKUP(DE325,'Light Data '!$N$5:$N$17,'Light Data '!$P$5:$P$17)="S",DE325+$AA$4/24,DE325+$AA$4/24+1/24)</f>
        <v>44750.708333333328</v>
      </c>
      <c r="DF326" s="3050"/>
      <c r="DG326" s="3050"/>
      <c r="DH326" s="3050">
        <f>IF(LOOKUP(DH325,'Light Data '!$N$5:$N$17,'Light Data '!$P$5:$P$17)="S",DH325+$AA$4/24,DH325+$AA$4/24+1/24)</f>
        <v>44750.833333333328</v>
      </c>
      <c r="DI326" s="3050"/>
      <c r="DJ326" s="3050"/>
      <c r="DK326" s="3050">
        <f>IF(LOOKUP(DK325,'Light Data '!$N$5:$N$17,'Light Data '!$P$5:$P$17)="S",DK325+$AA$4/24,DK325+$AA$4/24+1/24)</f>
        <v>44750.958333333328</v>
      </c>
      <c r="DL326" s="3050"/>
      <c r="DM326" s="3050"/>
      <c r="DN326" s="3050">
        <f>IF(LOOKUP(DN325,'Light Data '!$N$5:$N$17,'Light Data '!$P$5:$P$17)="S",DN325+$AA$4/24,DN325+$AA$4/24+1/24)</f>
        <v>44751.083333333328</v>
      </c>
      <c r="DO326" s="3050"/>
      <c r="DP326" s="3050"/>
      <c r="DQ326" s="3050">
        <f>IF(LOOKUP(DQ325,'Light Data '!$N$5:$N$17,'Light Data '!$P$5:$P$17)="S",DQ325+$AA$4/24,DQ325+$AA$4/24+1/24)</f>
        <v>44751.208333333328</v>
      </c>
      <c r="DR326" s="3050"/>
      <c r="DS326" s="3050"/>
      <c r="DT326" s="3050">
        <f>IF(LOOKUP(DT325,'Light Data '!$N$5:$N$17,'Light Data '!$P$5:$P$17)="S",DT325+$AA$4/24,DT325+$AA$4/24+1/24)</f>
        <v>44751.333333333328</v>
      </c>
      <c r="DU326" s="3050"/>
      <c r="DV326" s="3050"/>
      <c r="DW326" s="3050">
        <f>IF(LOOKUP(DW325,'Light Data '!$N$5:$N$17,'Light Data '!$P$5:$P$17)="S",DW325+$AA$4/24,DW325+$AA$4/24+1/24)</f>
        <v>44751.458333333328</v>
      </c>
      <c r="DX326" s="3050"/>
      <c r="DY326" s="3050"/>
      <c r="DZ326" s="3050">
        <f>IF(LOOKUP(DZ325,'Light Data '!$N$5:$N$17,'Light Data '!$P$5:$P$17)="S",DZ325+$AA$4/24,DZ325+$AA$4/24+1/24)</f>
        <v>44751.583333333328</v>
      </c>
      <c r="EA326" s="3050"/>
      <c r="EB326" s="3050"/>
      <c r="EC326" s="3050">
        <f>IF(LOOKUP(EC325,'Light Data '!$N$5:$N$17,'Light Data '!$P$5:$P$17)="S",EC325+$AA$4/24,EC325+$AA$4/24+1/24)</f>
        <v>44751.708333333328</v>
      </c>
      <c r="ED326" s="3050"/>
      <c r="EE326" s="3050"/>
      <c r="EF326" s="3050">
        <f>IF(LOOKUP(EF325,'Light Data '!$N$5:$N$17,'Light Data '!$P$5:$P$17)="S",EF325+$AA$4/24,EF325+$AA$4/24+1/24)</f>
        <v>44751.833333333328</v>
      </c>
      <c r="EG326" s="3050"/>
      <c r="EH326" s="3050"/>
      <c r="EI326" s="3050">
        <f>IF(LOOKUP(EI325,'Light Data '!$N$5:$N$17,'Light Data '!$P$5:$P$17)="S",EI325+$AA$4/24,EI325+$AA$4/24+1/24)</f>
        <v>44751.958333333328</v>
      </c>
      <c r="EJ326" s="3050"/>
      <c r="EK326" s="3050"/>
      <c r="EL326" s="3050">
        <f>IF(LOOKUP(EL325,'Light Data '!$N$5:$N$17,'Light Data '!$P$5:$P$17)="S",EL325+$AA$4/24,EL325+$AA$4/24+1/24)</f>
        <v>44752.083333333328</v>
      </c>
      <c r="EM326" s="3050"/>
      <c r="EN326" s="3050"/>
      <c r="EO326" s="3050">
        <f>IF(LOOKUP(EO325,'Light Data '!$N$5:$N$17,'Light Data '!$P$5:$P$17)="S",EO325+$AA$4/24,EO325+$AA$4/24+1/24)</f>
        <v>44752.208333333328</v>
      </c>
      <c r="EP326" s="3050"/>
      <c r="EQ326" s="3050"/>
      <c r="ER326" s="3050">
        <f>IF(LOOKUP(ER325,'Light Data '!$N$5:$N$17,'Light Data '!$P$5:$P$17)="S",ER325+$AA$4/24,ER325+$AA$4/24+1/24)</f>
        <v>44752.333333333328</v>
      </c>
      <c r="ES326" s="3050"/>
      <c r="ET326" s="3050"/>
      <c r="EU326" s="3050">
        <f>IF(LOOKUP(EU325,'Light Data '!$N$5:$N$17,'Light Data '!$P$5:$P$17)="S",EU325+$AA$4/24,EU325+$AA$4/24+1/24)</f>
        <v>44752.458333333328</v>
      </c>
      <c r="EV326" s="3050"/>
      <c r="EW326" s="3050"/>
      <c r="EX326" s="3050">
        <f>IF(LOOKUP(EX325,'Light Data '!$N$5:$N$17,'Light Data '!$P$5:$P$17)="S",EX325+$AA$4/24,EX325+$AA$4/24+1/24)</f>
        <v>44752.583333333328</v>
      </c>
      <c r="EY326" s="3050"/>
      <c r="EZ326" s="3050"/>
      <c r="FA326" s="3050">
        <f>IF(LOOKUP(FA325,'Light Data '!$N$5:$N$17,'Light Data '!$P$5:$P$17)="S",FA325+$AA$4/24,FA325+$AA$4/24+1/24)</f>
        <v>44752.708333333328</v>
      </c>
      <c r="FB326" s="3050"/>
      <c r="FC326" s="3050"/>
      <c r="FD326" s="3050">
        <f>IF(LOOKUP(FD325,'Light Data '!$N$5:$N$17,'Light Data '!$P$5:$P$17)="S",FD325+$AA$4/24,FD325+$AA$4/24+1/24)</f>
        <v>44752.833333333328</v>
      </c>
      <c r="FE326" s="3050"/>
      <c r="FF326" s="3050"/>
      <c r="FG326" s="3050">
        <f>IF(LOOKUP(FG325,'Light Data '!$N$5:$N$17,'Light Data '!$P$5:$P$17)="S",FG325+$AA$4/24,FG325+$AA$4/24+1/24)</f>
        <v>44752.958333333328</v>
      </c>
      <c r="FH326" s="3050"/>
      <c r="FI326" s="3050"/>
      <c r="FJ326" s="3050">
        <f>IF(LOOKUP(FJ325,'Light Data '!$N$5:$N$17,'Light Data '!$P$5:$P$17)="S",FJ325+$AA$4/24,FJ325+$AA$4/24+1/24)</f>
        <v>44753.083333333328</v>
      </c>
      <c r="FK326" s="3050"/>
      <c r="FL326" s="3050"/>
      <c r="FM326" s="3050">
        <f>IF(LOOKUP(FM325,'Light Data '!$N$5:$N$17,'Light Data '!$P$5:$P$17)="S",FM325+$AA$4/24,FM325+$AA$4/24+1/24)</f>
        <v>44753.208333333328</v>
      </c>
      <c r="FN326" s="3050"/>
      <c r="FO326" s="3050"/>
      <c r="FP326" s="3050">
        <f>IF(LOOKUP(FP325,'Light Data '!$N$5:$N$17,'Light Data '!$P$5:$P$17)="S",FP325+$AA$4/24,FP325+$AA$4/24+1/24)</f>
        <v>44753.333333333328</v>
      </c>
      <c r="FQ326" s="3050"/>
      <c r="FR326" s="3050"/>
      <c r="FS326" s="3050">
        <f>IF(LOOKUP(FS325,'Light Data '!$N$5:$N$17,'Light Data '!$P$5:$P$17)="S",FS325+$AA$4/24,FS325+$AA$4/24+1/24)</f>
        <v>44753.458333333328</v>
      </c>
      <c r="FT326" s="3050"/>
      <c r="FU326" s="3050"/>
      <c r="FV326" s="3050">
        <f>IF(LOOKUP(FV325,'Light Data '!$N$5:$N$17,'Light Data '!$P$5:$P$17)="S",FV325+$AA$4/24,FV325+$AA$4/24+1/24)</f>
        <v>44753.583333333328</v>
      </c>
      <c r="FW326" s="3050"/>
      <c r="FX326" s="3050"/>
      <c r="FY326" s="3050">
        <f>IF(LOOKUP(FY325,'Light Data '!$N$5:$N$17,'Light Data '!$P$5:$P$17)="S",FY325+$AA$4/24,FY325+$AA$4/24+1/24)</f>
        <v>44753.708333333328</v>
      </c>
      <c r="FZ326" s="3050"/>
      <c r="GA326" s="3050"/>
      <c r="GB326" s="3050">
        <f>IF(LOOKUP(GB325,'Light Data '!$N$5:$N$17,'Light Data '!$P$5:$P$17)="S",GB325+$AA$4/24,GB325+$AA$4/24+1/24)</f>
        <v>44753.833333333328</v>
      </c>
      <c r="GC326" s="3050"/>
      <c r="GD326" s="3050"/>
      <c r="GE326" s="3050">
        <f>IF(LOOKUP(GE325,'Light Data '!$N$5:$N$17,'Light Data '!$P$5:$P$17)="S",GE325+$AA$4/24,GE325+$AA$4/24+1/24)</f>
        <v>44753.958333333328</v>
      </c>
      <c r="GF326" s="3050"/>
      <c r="GG326" s="3050"/>
      <c r="GH326" s="3050">
        <f>IF(LOOKUP(GH325,'Light Data '!$N$5:$N$17,'Light Data '!$P$5:$P$17)="S",GH325+$AA$4/24,GH325+$AA$4/24+1/24)</f>
        <v>44754.083333333328</v>
      </c>
      <c r="GI326" s="3050"/>
      <c r="GJ326" s="3050"/>
      <c r="GK326" s="3050">
        <f>IF(LOOKUP(GK325,'Light Data '!$N$5:$N$17,'Light Data '!$P$5:$P$17)="S",GK325+$AA$4/24,GK325+$AA$4/24+1/24)</f>
        <v>44754.208333333328</v>
      </c>
      <c r="GL326" s="3050"/>
      <c r="GM326" s="3050"/>
      <c r="GN326" s="3050">
        <f>IF(LOOKUP(GN325,'Light Data '!$N$5:$N$17,'Light Data '!$P$5:$P$17)="S",GN325+$AA$4/24,GN325+$AA$4/24+1/24)</f>
        <v>44754.333333333328</v>
      </c>
      <c r="GO326" s="3050"/>
      <c r="GP326" s="3050"/>
      <c r="GQ326" s="3050">
        <f>IF(LOOKUP(GQ325,'Light Data '!$N$5:$N$17,'Light Data '!$P$5:$P$17)="S",GQ325+$AA$4/24,GQ325+$AA$4/24+1/24)</f>
        <v>44754.458333333328</v>
      </c>
      <c r="GR326" s="3050"/>
      <c r="GS326" s="3050"/>
    </row>
    <row r="327" spans="2:201" s="539" customFormat="1" ht="6" customHeight="1">
      <c r="L327" s="1166" t="s">
        <v>3061</v>
      </c>
      <c r="M327" s="1047"/>
      <c r="N327" s="1047"/>
      <c r="O327" s="1047"/>
      <c r="P327" s="1047"/>
      <c r="Q327" s="1047"/>
      <c r="R327" s="1047"/>
      <c r="S327" s="1047"/>
      <c r="T327" s="3064"/>
      <c r="U327" s="3064"/>
      <c r="V327" s="3064"/>
      <c r="W327" s="3064"/>
      <c r="X327" s="1047"/>
      <c r="Y327" s="1047"/>
      <c r="Z327" s="1047"/>
      <c r="AB327" s="1100"/>
      <c r="AC327" s="1100"/>
      <c r="AD327" s="1101"/>
      <c r="AE327" s="1101"/>
      <c r="AF327" s="1102"/>
      <c r="AG327" s="1102"/>
      <c r="AH327" s="1102"/>
      <c r="AI327" s="1102"/>
      <c r="AJ327" s="1102"/>
      <c r="AK327" s="1102"/>
      <c r="AL327" s="1170"/>
      <c r="AM327" s="1170"/>
      <c r="AN327" s="1103"/>
      <c r="AO327" s="1103"/>
      <c r="AP327" s="1104"/>
      <c r="AQ327" s="1104"/>
      <c r="AR327" s="1102"/>
      <c r="AS327" s="1102"/>
      <c r="AT327" s="1102"/>
      <c r="AU327" s="1102"/>
      <c r="AV327" s="1102"/>
      <c r="AW327" s="1102"/>
      <c r="AX327" s="1170"/>
      <c r="AY327" s="1170"/>
      <c r="AZ327" s="1103"/>
      <c r="BA327" s="1103"/>
      <c r="BB327" s="1091"/>
      <c r="BC327" s="1092"/>
      <c r="BD327" s="1092"/>
      <c r="BE327" s="1092"/>
      <c r="BF327" s="1093"/>
      <c r="BG327" s="1093"/>
      <c r="BH327" s="1093"/>
      <c r="BI327" s="1094"/>
      <c r="BJ327" s="1094"/>
      <c r="BK327" s="1095"/>
      <c r="BL327" s="1095"/>
      <c r="BM327" s="1096"/>
      <c r="BN327" s="1096"/>
      <c r="BO327" s="1092"/>
      <c r="BP327" s="1092"/>
      <c r="BQ327" s="1092"/>
      <c r="BR327" s="1092"/>
      <c r="BS327" s="1092"/>
      <c r="BT327" s="1092"/>
      <c r="BU327" s="1093"/>
      <c r="BV327" s="1097"/>
      <c r="BW327" s="1098"/>
      <c r="BX327" s="1098"/>
      <c r="BY327" s="1098"/>
      <c r="BZ327" s="1098"/>
      <c r="CA327" s="1099"/>
      <c r="CB327" s="1091"/>
      <c r="CC327" s="1092"/>
      <c r="CD327" s="1092"/>
      <c r="CE327" s="1092"/>
      <c r="CF327" s="1093"/>
      <c r="CG327" s="1093"/>
      <c r="CH327" s="1093"/>
      <c r="CI327" s="1094"/>
      <c r="CJ327" s="1094"/>
      <c r="CK327" s="1095"/>
      <c r="CL327" s="1095"/>
      <c r="CM327" s="1096"/>
      <c r="CN327" s="1096"/>
      <c r="CO327" s="1092"/>
      <c r="CP327" s="1092"/>
      <c r="CQ327" s="1092"/>
      <c r="CR327" s="1092"/>
      <c r="CS327" s="1092"/>
      <c r="CT327" s="1092"/>
      <c r="CU327" s="1093"/>
      <c r="CV327" s="1097"/>
      <c r="CW327" s="1098"/>
      <c r="CX327" s="1098"/>
      <c r="CY327" s="1098"/>
      <c r="CZ327" s="1098"/>
      <c r="DA327" s="1099"/>
      <c r="DB327" s="1091"/>
      <c r="DC327" s="1092"/>
      <c r="DD327" s="1092"/>
      <c r="DE327" s="1092"/>
      <c r="DF327" s="1093"/>
      <c r="DG327" s="1093"/>
      <c r="DH327" s="1093"/>
      <c r="DI327" s="1094"/>
      <c r="DJ327" s="1094"/>
      <c r="DK327" s="1095"/>
      <c r="DL327" s="1095"/>
      <c r="DM327" s="1096"/>
      <c r="DN327" s="1096"/>
      <c r="DO327" s="1092"/>
      <c r="DP327" s="1092"/>
      <c r="DQ327" s="1092"/>
      <c r="DR327" s="1092"/>
      <c r="DS327" s="1092"/>
      <c r="DT327" s="1092"/>
      <c r="DU327" s="1093"/>
      <c r="DV327" s="1097"/>
      <c r="DW327" s="1098"/>
      <c r="DX327" s="1098"/>
      <c r="DY327" s="1098"/>
      <c r="DZ327" s="1098"/>
      <c r="EA327" s="1091"/>
      <c r="EB327" s="1091"/>
      <c r="EC327" s="1091"/>
      <c r="ED327" s="1091"/>
      <c r="EE327" s="1091"/>
      <c r="EF327" s="1091"/>
      <c r="EG327" s="1091"/>
      <c r="EH327" s="1091"/>
      <c r="EI327" s="1091"/>
      <c r="EJ327" s="1091"/>
      <c r="EK327" s="1091"/>
      <c r="EL327" s="1091"/>
      <c r="EM327" s="1091"/>
      <c r="EN327" s="1091"/>
      <c r="EO327" s="1091"/>
      <c r="EP327" s="1091"/>
      <c r="EQ327" s="1091"/>
      <c r="ER327" s="1091"/>
      <c r="ES327" s="1091"/>
      <c r="ET327" s="1091"/>
      <c r="EU327" s="1091"/>
      <c r="EV327" s="1091"/>
      <c r="EW327" s="1091"/>
      <c r="EX327" s="1091"/>
      <c r="EY327" s="1091"/>
      <c r="EZ327" s="1091"/>
      <c r="FA327" s="1091"/>
      <c r="FB327" s="1091"/>
      <c r="FC327" s="1091"/>
      <c r="FD327" s="1091"/>
      <c r="FE327" s="1091"/>
      <c r="FF327" s="1091"/>
      <c r="FG327" s="1091"/>
      <c r="FH327" s="1091"/>
      <c r="FI327" s="1091"/>
      <c r="FJ327" s="1091"/>
      <c r="FK327" s="1091"/>
      <c r="FL327" s="1091"/>
      <c r="FM327" s="1091"/>
      <c r="FN327" s="1091"/>
      <c r="FO327" s="1091"/>
      <c r="FP327" s="1091"/>
      <c r="FQ327" s="1091"/>
      <c r="FR327" s="1091"/>
      <c r="FS327" s="1091"/>
      <c r="FT327" s="1091"/>
      <c r="FU327" s="1091"/>
      <c r="FV327" s="1091"/>
      <c r="FW327" s="1091"/>
      <c r="FX327" s="1091"/>
      <c r="FY327" s="1091"/>
      <c r="FZ327" s="1091"/>
      <c r="GA327" s="1091"/>
      <c r="GB327" s="1091"/>
      <c r="GC327" s="1091"/>
      <c r="GD327" s="1091"/>
      <c r="GE327" s="1091"/>
      <c r="GF327" s="1091"/>
      <c r="GG327" s="1091"/>
      <c r="GH327" s="1091"/>
      <c r="GI327" s="1091"/>
      <c r="GJ327" s="1091"/>
      <c r="GK327" s="1091"/>
      <c r="GL327" s="1091"/>
      <c r="GM327" s="1091"/>
      <c r="GN327" s="1091"/>
      <c r="GO327" s="1091"/>
      <c r="GP327" s="1091"/>
      <c r="GQ327" s="1091"/>
      <c r="GR327" s="1091"/>
      <c r="GS327" s="1091"/>
    </row>
    <row r="328" spans="2:201" s="539" customFormat="1" ht="15" customHeight="1">
      <c r="L328" s="1166" t="s">
        <v>3062</v>
      </c>
      <c r="M328" s="1047"/>
      <c r="N328" s="1047"/>
      <c r="O328" s="1047"/>
      <c r="P328" s="1047"/>
      <c r="Q328" s="1047"/>
      <c r="R328" s="1047"/>
      <c r="S328" s="1047"/>
      <c r="T328" s="3059" t="s">
        <v>372</v>
      </c>
      <c r="U328" s="3059"/>
      <c r="V328" s="3059"/>
      <c r="W328" s="3059"/>
      <c r="X328" s="533"/>
      <c r="Y328" s="533"/>
      <c r="Z328" s="533"/>
      <c r="AA328" s="1071" t="s">
        <v>373</v>
      </c>
      <c r="AB328" s="3051" t="str">
        <f>IF(AB329="NA","NA",IF(OR(AB329="SKC",AB329="SCT",AB329="FEW"),"NO CIG",IF(INDEX(calc!$AO$207:$AO$389,MATCH(AB325,calc!$AC$207:$AC$389,1))="","NA",INDEX(calc!$L$189:$L$196,MATCH(INDEX(calc!$AO$207:$AO$389,MATCH(AB325,calc!$AC$207:$AC$389,1)),calc!$K$189:$K$196,0))&amp;"~"&amp;INDEX(calc!$M$189:$M$196,MATCH(INDEX(calc!$AO$207:$AO$389,MATCH(AB325,calc!$AC$207:$AC$389,1)),calc!$K$189:$K$196,0)))))</f>
        <v>NO CIG</v>
      </c>
      <c r="AC328" s="3052"/>
      <c r="AD328" s="3052"/>
      <c r="AE328" s="3051" t="str">
        <f>IF(AE329="NA","NA",IF(OR(AE329="SKC",AE329="SCT",AE329="FEW"),"NO CIG",IF(INDEX(calc!$AO$207:$AO$389,MATCH(AE325,calc!$AC$207:$AC$389,1))="","NA",INDEX(calc!$L$189:$L$196,MATCH(INDEX(calc!$AO$207:$AO$389,MATCH(AE325,calc!$AC$207:$AC$389,1)),calc!$K$189:$K$196,0))&amp;"~"&amp;INDEX(calc!$M$189:$M$196,MATCH(INDEX(calc!$AO$207:$AO$389,MATCH(AE325,calc!$AC$207:$AC$389,1)),calc!$K$189:$K$196,0)))))</f>
        <v>130~300</v>
      </c>
      <c r="AF328" s="3052"/>
      <c r="AG328" s="3052"/>
      <c r="AH328" s="3051" t="str">
        <f>IF(AH329="NA","NA",IF(OR(AH329="SKC",AH329="SCT",AH329="FEW"),"NO CIG",IF(INDEX(calc!$AO$207:$AO$389,MATCH(AH325,calc!$AC$207:$AC$389,1))="","NA",INDEX(calc!$L$189:$L$196,MATCH(INDEX(calc!$AO$207:$AO$389,MATCH(AH325,calc!$AC$207:$AC$389,1)),calc!$K$189:$K$196,0))&amp;"~"&amp;INDEX(calc!$M$189:$M$196,MATCH(INDEX(calc!$AO$207:$AO$389,MATCH(AH325,calc!$AC$207:$AC$389,1)),calc!$K$189:$K$196,0)))))</f>
        <v>130~300</v>
      </c>
      <c r="AI328" s="3052"/>
      <c r="AJ328" s="3052"/>
      <c r="AK328" s="3051" t="str">
        <f>IF(AK329="NA","NA",IF(OR(AK329="SKC",AK329="SCT",AK329="FEW"),"NO CIG",IF(INDEX(calc!$AO$207:$AO$389,MATCH(AK325,calc!$AC$207:$AC$389,1))="","NA",INDEX(calc!$L$189:$L$196,MATCH(INDEX(calc!$AO$207:$AO$389,MATCH(AK325,calc!$AC$207:$AC$389,1)),calc!$K$189:$K$196,0))&amp;"~"&amp;INDEX(calc!$M$189:$M$196,MATCH(INDEX(calc!$AO$207:$AO$389,MATCH(AK325,calc!$AC$207:$AC$389,1)),calc!$K$189:$K$196,0)))))</f>
        <v>NO CIG</v>
      </c>
      <c r="AL328" s="3052"/>
      <c r="AM328" s="3052"/>
      <c r="AN328" s="3051" t="str">
        <f>IF(AN329="NA","NA",IF(OR(AN329="SKC",AN329="SCT",AN329="FEW"),"NO CIG",IF(INDEX(calc!$AO$207:$AO$389,MATCH(AN325,calc!$AC$207:$AC$389,1))="","NA",INDEX(calc!$L$189:$L$196,MATCH(INDEX(calc!$AO$207:$AO$389,MATCH(AN325,calc!$AC$207:$AC$389,1)),calc!$K$189:$K$196,0))&amp;"~"&amp;INDEX(calc!$M$189:$M$196,MATCH(INDEX(calc!$AO$207:$AO$389,MATCH(AN325,calc!$AC$207:$AC$389,1)),calc!$K$189:$K$196,0)))))</f>
        <v>130~300</v>
      </c>
      <c r="AO328" s="3052"/>
      <c r="AP328" s="3052"/>
      <c r="AQ328" s="3051" t="str">
        <f>IF(AQ329="NA","NA",IF(OR(AQ329="SKC",AQ329="SCT",AQ329="FEW"),"NO CIG",IF(INDEX(calc!$AO$207:$AO$389,MATCH(AQ325,calc!$AC$207:$AC$389,1))="","NA",INDEX(calc!$L$189:$L$196,MATCH(INDEX(calc!$AO$207:$AO$389,MATCH(AQ325,calc!$AC$207:$AC$389,1)),calc!$K$189:$K$196,0))&amp;"~"&amp;INDEX(calc!$M$189:$M$196,MATCH(INDEX(calc!$AO$207:$AO$389,MATCH(AQ325,calc!$AC$207:$AC$389,1)),calc!$K$189:$K$196,0)))))</f>
        <v>130~300</v>
      </c>
      <c r="AR328" s="3052"/>
      <c r="AS328" s="3052"/>
      <c r="AT328" s="3051" t="str">
        <f>IF(AT329="NA","NA",IF(OR(AT329="SKC",AT329="SCT",AT329="FEW"),"NO CIG",IF(INDEX(calc!$AO$207:$AO$389,MATCH(AT325,calc!$AC$207:$AC$389,1))="","NA",INDEX(calc!$L$189:$L$196,MATCH(INDEX(calc!$AO$207:$AO$389,MATCH(AT325,calc!$AC$207:$AC$389,1)),calc!$K$189:$K$196,0))&amp;"~"&amp;INDEX(calc!$M$189:$M$196,MATCH(INDEX(calc!$AO$207:$AO$389,MATCH(AT325,calc!$AC$207:$AC$389,1)),calc!$K$189:$K$196,0)))))</f>
        <v>130~300</v>
      </c>
      <c r="AU328" s="3052"/>
      <c r="AV328" s="3052"/>
      <c r="AW328" s="3051" t="str">
        <f>IF(AW329="NA","NA",IF(OR(AW329="SKC",AW329="SCT",AW329="FEW"),"NO CIG",IF(INDEX(calc!$AO$207:$AO$389,MATCH(AW325,calc!$AC$207:$AC$389,1))="","NA",INDEX(calc!$L$189:$L$196,MATCH(INDEX(calc!$AO$207:$AO$389,MATCH(AW325,calc!$AC$207:$AC$389,1)),calc!$K$189:$K$196,0))&amp;"~"&amp;INDEX(calc!$M$189:$M$196,MATCH(INDEX(calc!$AO$207:$AO$389,MATCH(AW325,calc!$AC$207:$AC$389,1)),calc!$K$189:$K$196,0)))))</f>
        <v>130~300</v>
      </c>
      <c r="AX328" s="3052"/>
      <c r="AY328" s="3052"/>
      <c r="AZ328" s="3051" t="str">
        <f>IF(AZ329="NA","NA",IF(OR(AZ329="SKC",AZ329="SCT",AZ329="FEW"),"NO CIG",IF(INDEX(calc!$AO$207:$AO$389,MATCH(AZ325,calc!$AC$207:$AC$389,1))="","NA",INDEX(calc!$L$189:$L$196,MATCH(INDEX(calc!$AO$207:$AO$389,MATCH(AZ325,calc!$AC$207:$AC$389,1)),calc!$K$189:$K$196,0))&amp;"~"&amp;INDEX(calc!$M$189:$M$196,MATCH(INDEX(calc!$AO$207:$AO$389,MATCH(AZ325,calc!$AC$207:$AC$389,1)),calc!$K$189:$K$196,0)))))</f>
        <v>130~300</v>
      </c>
      <c r="BA328" s="3052"/>
      <c r="BB328" s="3052"/>
      <c r="BC328" s="3051" t="str">
        <f>IF(BC329="NA","NA",IF(OR(BC329="SKC",BC329="SCT",BC329="FEW"),"NO CIG",IF(INDEX(calc!$AO$207:$AO$389,MATCH(BC325,calc!$AC$207:$AC$389,1))="","NA",INDEX(calc!$L$189:$L$196,MATCH(INDEX(calc!$AO$207:$AO$389,MATCH(BC325,calc!$AC$207:$AC$389,1)),calc!$K$189:$K$196,0))&amp;"~"&amp;INDEX(calc!$M$189:$M$196,MATCH(INDEX(calc!$AO$207:$AO$389,MATCH(BC325,calc!$AC$207:$AC$389,1)),calc!$K$189:$K$196,0)))))</f>
        <v>NO CIG</v>
      </c>
      <c r="BD328" s="3052"/>
      <c r="BE328" s="3052"/>
      <c r="BF328" s="3051" t="str">
        <f>IF(BF329="NA","NA",IF(OR(BF329="SKC",BF329="SCT",BF329="FEW"),"NO CIG",IF(INDEX(calc!$AO$207:$AO$389,MATCH(BF325,calc!$AC$207:$AC$389,1))="","NA",INDEX(calc!$L$189:$L$196,MATCH(INDEX(calc!$AO$207:$AO$389,MATCH(BF325,calc!$AC$207:$AC$389,1)),calc!$K$189:$K$196,0))&amp;"~"&amp;INDEX(calc!$M$189:$M$196,MATCH(INDEX(calc!$AO$207:$AO$389,MATCH(BF325,calc!$AC$207:$AC$389,1)),calc!$K$189:$K$196,0)))))</f>
        <v>NO CIG</v>
      </c>
      <c r="BG328" s="3052"/>
      <c r="BH328" s="3052"/>
      <c r="BI328" s="3051" t="str">
        <f>IF(BI329="NA","NA",IF(OR(BI329="SKC",BI329="SCT",BI329="FEW"),"NO CIG",IF(INDEX(calc!$AO$207:$AO$389,MATCH(BI325,calc!$AC$207:$AC$389,1))="","NA",INDEX(calc!$L$189:$L$196,MATCH(INDEX(calc!$AO$207:$AO$389,MATCH(BI325,calc!$AC$207:$AC$389,1)),calc!$K$189:$K$196,0))&amp;"~"&amp;INDEX(calc!$M$189:$M$196,MATCH(INDEX(calc!$AO$207:$AO$389,MATCH(BI325,calc!$AC$207:$AC$389,1)),calc!$K$189:$K$196,0)))))</f>
        <v>NO CIG</v>
      </c>
      <c r="BJ328" s="3052"/>
      <c r="BK328" s="3052"/>
      <c r="BL328" s="3051" t="str">
        <f>IF(BL329="NA","NA",IF(OR(BL329="SKC",BL329="SCT",BL329="FEW"),"NO CIG",IF(INDEX(calc!$AO$207:$AO$389,MATCH(BL325,calc!$AC$207:$AC$389,1))="","NA",INDEX(calc!$L$189:$L$196,MATCH(INDEX(calc!$AO$207:$AO$389,MATCH(BL325,calc!$AC$207:$AC$389,1)),calc!$K$189:$K$196,0))&amp;"~"&amp;INDEX(calc!$M$189:$M$196,MATCH(INDEX(calc!$AO$207:$AO$389,MATCH(BL325,calc!$AC$207:$AC$389,1)),calc!$K$189:$K$196,0)))))</f>
        <v>130~300</v>
      </c>
      <c r="BM328" s="3052"/>
      <c r="BN328" s="3052"/>
      <c r="BO328" s="3051" t="str">
        <f>IF(BO329="NA","NA",IF(OR(BO329="SKC",BO329="SCT",BO329="FEW"),"NO CIG",IF(INDEX(calc!$AO$207:$AO$389,MATCH(BO325,calc!$AC$207:$AC$389,1))="","NA",INDEX(calc!$L$189:$L$196,MATCH(INDEX(calc!$AO$207:$AO$389,MATCH(BO325,calc!$AC$207:$AC$389,1)),calc!$K$189:$K$196,0))&amp;"~"&amp;INDEX(calc!$M$189:$M$196,MATCH(INDEX(calc!$AO$207:$AO$389,MATCH(BO325,calc!$AC$207:$AC$389,1)),calc!$K$189:$K$196,0)))))</f>
        <v>NA</v>
      </c>
      <c r="BP328" s="3052"/>
      <c r="BQ328" s="3052"/>
      <c r="BR328" s="3051" t="str">
        <f>IF(BR329="NA","NA",IF(OR(BR329="SKC",BR329="SCT",BR329="FEW"),"NO CIG",IF(INDEX(calc!$AO$207:$AO$389,MATCH(BR325,calc!$AC$207:$AC$389,1))="","NA",INDEX(calc!$L$189:$L$196,MATCH(INDEX(calc!$AO$207:$AO$389,MATCH(BR325,calc!$AC$207:$AC$389,1)),calc!$K$189:$K$196,0))&amp;"~"&amp;INDEX(calc!$M$189:$M$196,MATCH(INDEX(calc!$AO$207:$AO$389,MATCH(BR325,calc!$AC$207:$AC$389,1)),calc!$K$189:$K$196,0)))))</f>
        <v>NA</v>
      </c>
      <c r="BS328" s="3052"/>
      <c r="BT328" s="3052"/>
      <c r="BU328" s="3051" t="str">
        <f>IF(BU329="NA","NA",IF(OR(BU329="SKC",BU329="SCT",BU329="FEW"),"NO CIG",IF(INDEX(calc!$AO$207:$AO$389,MATCH(BU325,calc!$AC$207:$AC$389,1))="","NA",INDEX(calc!$L$189:$L$196,MATCH(INDEX(calc!$AO$207:$AO$389,MATCH(BU325,calc!$AC$207:$AC$389,1)),calc!$K$189:$K$196,0))&amp;"~"&amp;INDEX(calc!$M$189:$M$196,MATCH(INDEX(calc!$AO$207:$AO$389,MATCH(BU325,calc!$AC$207:$AC$389,1)),calc!$K$189:$K$196,0)))))</f>
        <v>NA</v>
      </c>
      <c r="BV328" s="3052"/>
      <c r="BW328" s="3052"/>
      <c r="BX328" s="3051" t="str">
        <f>IF(BX329="NA","NA",IF(OR(BX329="SKC",BX329="SCT",BX329="FEW"),"NO CIG",IF(INDEX(calc!$AO$207:$AO$389,MATCH(BX325,calc!$AC$207:$AC$389,1))="","NA",INDEX(calc!$L$189:$L$196,MATCH(INDEX(calc!$AO$207:$AO$389,MATCH(BX325,calc!$AC$207:$AC$389,1)),calc!$K$189:$K$196,0))&amp;"~"&amp;INDEX(calc!$M$189:$M$196,MATCH(INDEX(calc!$AO$207:$AO$389,MATCH(BX325,calc!$AC$207:$AC$389,1)),calc!$K$189:$K$196,0)))))</f>
        <v>NA</v>
      </c>
      <c r="BY328" s="3052"/>
      <c r="BZ328" s="3052"/>
      <c r="CA328" s="3051" t="str">
        <f>IF(CA329="NA","NA",IF(OR(CA329="SKC",CA329="SCT",CA329="FEW"),"NO CIG",IF(INDEX(calc!$AO$207:$AO$389,MATCH(CA325,calc!$AC$207:$AC$389,1))="","NA",INDEX(calc!$L$189:$L$196,MATCH(INDEX(calc!$AO$207:$AO$389,MATCH(CA325,calc!$AC$207:$AC$389,1)),calc!$K$189:$K$196,0))&amp;"~"&amp;INDEX(calc!$M$189:$M$196,MATCH(INDEX(calc!$AO$207:$AO$389,MATCH(CA325,calc!$AC$207:$AC$389,1)),calc!$K$189:$K$196,0)))))</f>
        <v>NA</v>
      </c>
      <c r="CB328" s="3052"/>
      <c r="CC328" s="3052"/>
      <c r="CD328" s="3051" t="str">
        <f>IF(CD329="NA","NA",IF(OR(CD329="SKC",CD329="SCT",CD329="FEW"),"NO CIG",IF(INDEX(calc!$AO$207:$AO$389,MATCH(CD325,calc!$AC$207:$AC$389,1))="","NA",INDEX(calc!$L$189:$L$196,MATCH(INDEX(calc!$AO$207:$AO$389,MATCH(CD325,calc!$AC$207:$AC$389,1)),calc!$K$189:$K$196,0))&amp;"~"&amp;INDEX(calc!$M$189:$M$196,MATCH(INDEX(calc!$AO$207:$AO$389,MATCH(CD325,calc!$AC$207:$AC$389,1)),calc!$K$189:$K$196,0)))))</f>
        <v>NA</v>
      </c>
      <c r="CE328" s="3052"/>
      <c r="CF328" s="3052"/>
      <c r="CG328" s="3051" t="str">
        <f>IF(CG329="NA","NA",IF(OR(CG329="SKC",CG329="SCT",CG329="FEW"),"NO CIG",IF(INDEX(calc!$AO$207:$AO$389,MATCH(CG325,calc!$AC$207:$AC$389,1))="","NA",INDEX(calc!$L$189:$L$196,MATCH(INDEX(calc!$AO$207:$AO$389,MATCH(CG325,calc!$AC$207:$AC$389,1)),calc!$K$189:$K$196,0))&amp;"~"&amp;INDEX(calc!$M$189:$M$196,MATCH(INDEX(calc!$AO$207:$AO$389,MATCH(CG325,calc!$AC$207:$AC$389,1)),calc!$K$189:$K$196,0)))))</f>
        <v>NA</v>
      </c>
      <c r="CH328" s="3052"/>
      <c r="CI328" s="3052"/>
      <c r="CJ328" s="3051" t="str">
        <f>IF(CJ329="NA","NA",IF(OR(CJ329="SKC",CJ329="SCT",CJ329="FEW"),"NO CIG",IF(INDEX(calc!$AO$207:$AO$389,MATCH(CJ325,calc!$AC$207:$AC$389,1))="","NA",INDEX(calc!$L$189:$L$196,MATCH(INDEX(calc!$AO$207:$AO$389,MATCH(CJ325,calc!$AC$207:$AC$389,1)),calc!$K$189:$K$196,0))&amp;"~"&amp;INDEX(calc!$M$189:$M$196,MATCH(INDEX(calc!$AO$207:$AO$389,MATCH(CJ325,calc!$AC$207:$AC$389,1)),calc!$K$189:$K$196,0)))))</f>
        <v>NA</v>
      </c>
      <c r="CK328" s="3052"/>
      <c r="CL328" s="3052"/>
      <c r="CM328" s="3051" t="str">
        <f>IF(CM329="NA","NA",IF(OR(CM329="SKC",CM329="SCT",CM329="FEW"),"NO CIG",IF(INDEX(calc!$AO$207:$AO$389,MATCH(CM325,calc!$AC$207:$AC$389,1))="","NA",INDEX(calc!$L$189:$L$196,MATCH(INDEX(calc!$AO$207:$AO$389,MATCH(CM325,calc!$AC$207:$AC$389,1)),calc!$K$189:$K$196,0))&amp;"~"&amp;INDEX(calc!$M$189:$M$196,MATCH(INDEX(calc!$AO$207:$AO$389,MATCH(CM325,calc!$AC$207:$AC$389,1)),calc!$K$189:$K$196,0)))))</f>
        <v>NA</v>
      </c>
      <c r="CN328" s="3052"/>
      <c r="CO328" s="3052"/>
      <c r="CP328" s="3051" t="str">
        <f>IF(CP329="NA","NA",IF(OR(CP329="SKC",CP329="SCT",CP329="FEW"),"NO CIG",IF(INDEX(calc!$AO$207:$AO$389,MATCH(CP325,calc!$AC$207:$AC$389,1))="","NA",INDEX(calc!$L$189:$L$196,MATCH(INDEX(calc!$AO$207:$AO$389,MATCH(CP325,calc!$AC$207:$AC$389,1)),calc!$K$189:$K$196,0))&amp;"~"&amp;INDEX(calc!$M$189:$M$196,MATCH(INDEX(calc!$AO$207:$AO$389,MATCH(CP325,calc!$AC$207:$AC$389,1)),calc!$K$189:$K$196,0)))))</f>
        <v>NA</v>
      </c>
      <c r="CQ328" s="3052"/>
      <c r="CR328" s="3052"/>
      <c r="CS328" s="3051" t="str">
        <f>IF(CS329="NA","NA",IF(OR(CS329="SKC",CS329="SCT",CS329="FEW"),"NO CIG",IF(INDEX(calc!$AO$207:$AO$389,MATCH(CS325,calc!$AC$207:$AC$389,1))="","NA",INDEX(calc!$L$189:$L$196,MATCH(INDEX(calc!$AO$207:$AO$389,MATCH(CS325,calc!$AC$207:$AC$389,1)),calc!$K$189:$K$196,0))&amp;"~"&amp;INDEX(calc!$M$189:$M$196,MATCH(INDEX(calc!$AO$207:$AO$389,MATCH(CS325,calc!$AC$207:$AC$389,1)),calc!$K$189:$K$196,0)))))</f>
        <v>NA</v>
      </c>
      <c r="CT328" s="3052"/>
      <c r="CU328" s="3052"/>
      <c r="CV328" s="3051" t="str">
        <f>IF(CV329="NA","NA",IF(OR(CV329="SKC",CV329="SCT",CV329="FEW"),"NO CIG",IF(INDEX(calc!$AO$207:$AO$389,MATCH(CV325,calc!$AC$207:$AC$389,1))="","NA",INDEX(calc!$L$189:$L$196,MATCH(INDEX(calc!$AO$207:$AO$389,MATCH(CV325,calc!$AC$207:$AC$389,1)),calc!$K$189:$K$196,0))&amp;"~"&amp;INDEX(calc!$M$189:$M$196,MATCH(INDEX(calc!$AO$207:$AO$389,MATCH(CV325,calc!$AC$207:$AC$389,1)),calc!$K$189:$K$196,0)))))</f>
        <v>NA</v>
      </c>
      <c r="CW328" s="3052"/>
      <c r="CX328" s="3052"/>
      <c r="CY328" s="3051" t="str">
        <f>IF(CY329="NA","NA",IF(OR(CY329="SKC",CY329="SCT",CY329="FEW"),"NO CIG",IF(INDEX(calc!$AO$207:$AO$389,MATCH(CY325,calc!$AC$207:$AC$389,1))="","NA",INDEX(calc!$L$189:$L$196,MATCH(INDEX(calc!$AO$207:$AO$389,MATCH(CY325,calc!$AC$207:$AC$389,1)),calc!$K$189:$K$196,0))&amp;"~"&amp;INDEX(calc!$M$189:$M$196,MATCH(INDEX(calc!$AO$207:$AO$389,MATCH(CY325,calc!$AC$207:$AC$389,1)),calc!$K$189:$K$196,0)))))</f>
        <v>NA</v>
      </c>
      <c r="CZ328" s="3052"/>
      <c r="DA328" s="3052"/>
      <c r="DB328" s="3051" t="str">
        <f>IF(DB329="NA","NA",IF(OR(DB329="SKC",DB329="SCT",DB329="FEW"),"NO CIG",IF(INDEX(calc!$AO$207:$AO$389,MATCH(DB325,calc!$AC$207:$AC$389,1))="","NA",INDEX(calc!$L$189:$L$196,MATCH(INDEX(calc!$AO$207:$AO$389,MATCH(DB325,calc!$AC$207:$AC$389,1)),calc!$K$189:$K$196,0))&amp;"~"&amp;INDEX(calc!$M$189:$M$196,MATCH(INDEX(calc!$AO$207:$AO$389,MATCH(DB325,calc!$AC$207:$AC$389,1)),calc!$K$189:$K$196,0)))))</f>
        <v>NA</v>
      </c>
      <c r="DC328" s="3052"/>
      <c r="DD328" s="3052"/>
      <c r="DE328" s="3051" t="str">
        <f>IF(DE329="NA","NA",IF(OR(DE329="SKC",DE329="SCT",DE329="FEW"),"NO CIG",IF(INDEX(calc!$AO$207:$AO$389,MATCH(DE325,calc!$AC$207:$AC$389,1))="","NA",INDEX(calc!$L$189:$L$196,MATCH(INDEX(calc!$AO$207:$AO$389,MATCH(DE325,calc!$AC$207:$AC$389,1)),calc!$K$189:$K$196,0))&amp;"~"&amp;INDEX(calc!$M$189:$M$196,MATCH(INDEX(calc!$AO$207:$AO$389,MATCH(DE325,calc!$AC$207:$AC$389,1)),calc!$K$189:$K$196,0)))))</f>
        <v>NA</v>
      </c>
      <c r="DF328" s="3052"/>
      <c r="DG328" s="3052"/>
      <c r="DH328" s="3051" t="str">
        <f>IF(DH329="NA","NA",IF(OR(DH329="SKC",DH329="SCT",DH329="FEW"),"NO CIG",IF(INDEX(calc!$AO$207:$AO$389,MATCH(DH325,calc!$AC$207:$AC$389,1))="","NA",INDEX(calc!$L$189:$L$196,MATCH(INDEX(calc!$AO$207:$AO$389,MATCH(DH325,calc!$AC$207:$AC$389,1)),calc!$K$189:$K$196,0))&amp;"~"&amp;INDEX(calc!$M$189:$M$196,MATCH(INDEX(calc!$AO$207:$AO$389,MATCH(DH325,calc!$AC$207:$AC$389,1)),calc!$K$189:$K$196,0)))))</f>
        <v>NA</v>
      </c>
      <c r="DI328" s="3052"/>
      <c r="DJ328" s="3052"/>
      <c r="DK328" s="3051" t="str">
        <f>IF(DK329="NA","NA",IF(OR(DK329="SKC",DK329="SCT",DK329="FEW"),"NO CIG",IF(INDEX(calc!$AO$207:$AO$389,MATCH(DK325,calc!$AC$207:$AC$389,1))="","NA",INDEX(calc!$L$189:$L$196,MATCH(INDEX(calc!$AO$207:$AO$389,MATCH(DK325,calc!$AC$207:$AC$389,1)),calc!$K$189:$K$196,0))&amp;"~"&amp;INDEX(calc!$M$189:$M$196,MATCH(INDEX(calc!$AO$207:$AO$389,MATCH(DK325,calc!$AC$207:$AC$389,1)),calc!$K$189:$K$196,0)))))</f>
        <v>NA</v>
      </c>
      <c r="DL328" s="3052"/>
      <c r="DM328" s="3052"/>
      <c r="DN328" s="3051" t="str">
        <f>IF(DN329="NA","NA",IF(OR(DN329="SKC",DN329="SCT",DN329="FEW"),"NO CIG",IF(INDEX(calc!$AO$207:$AO$389,MATCH(DN325,calc!$AC$207:$AC$389,1))="","NA",INDEX(calc!$L$189:$L$196,MATCH(INDEX(calc!$AO$207:$AO$389,MATCH(DN325,calc!$AC$207:$AC$389,1)),calc!$K$189:$K$196,0))&amp;"~"&amp;INDEX(calc!$M$189:$M$196,MATCH(INDEX(calc!$AO$207:$AO$389,MATCH(DN325,calc!$AC$207:$AC$389,1)),calc!$K$189:$K$196,0)))))</f>
        <v>NA</v>
      </c>
      <c r="DO328" s="3052"/>
      <c r="DP328" s="3052"/>
      <c r="DQ328" s="3051" t="str">
        <f>IF(DQ329="NA","NA",IF(OR(DQ329="SKC",DQ329="SCT",DQ329="FEW"),"NO CIG",IF(INDEX(calc!$AO$207:$AO$389,MATCH(DQ325,calc!$AC$207:$AC$389,1))="","NA",INDEX(calc!$L$189:$L$196,MATCH(INDEX(calc!$AO$207:$AO$389,MATCH(DQ325,calc!$AC$207:$AC$389,1)),calc!$K$189:$K$196,0))&amp;"~"&amp;INDEX(calc!$M$189:$M$196,MATCH(INDEX(calc!$AO$207:$AO$389,MATCH(DQ325,calc!$AC$207:$AC$389,1)),calc!$K$189:$K$196,0)))))</f>
        <v>NA</v>
      </c>
      <c r="DR328" s="3052"/>
      <c r="DS328" s="3052"/>
      <c r="DT328" s="3051" t="str">
        <f>IF(DT329="NA","NA",IF(OR(DT329="SKC",DT329="SCT",DT329="FEW"),"NO CIG",IF(INDEX(calc!$AO$207:$AO$389,MATCH(DT325,calc!$AC$207:$AC$389,1))="","NA",INDEX(calc!$L$189:$L$196,MATCH(INDEX(calc!$AO$207:$AO$389,MATCH(DT325,calc!$AC$207:$AC$389,1)),calc!$K$189:$K$196,0))&amp;"~"&amp;INDEX(calc!$M$189:$M$196,MATCH(INDEX(calc!$AO$207:$AO$389,MATCH(DT325,calc!$AC$207:$AC$389,1)),calc!$K$189:$K$196,0)))))</f>
        <v>NA</v>
      </c>
      <c r="DU328" s="3052"/>
      <c r="DV328" s="3052"/>
      <c r="DW328" s="3051" t="str">
        <f>IF(DW329="NA","NA",IF(OR(DW329="SKC",DW329="SCT",DW329="FEW"),"NO CIG",IF(INDEX(calc!$AO$207:$AO$389,MATCH(DW325,calc!$AC$207:$AC$389,1))="","NA",INDEX(calc!$L$189:$L$196,MATCH(INDEX(calc!$AO$207:$AO$389,MATCH(DW325,calc!$AC$207:$AC$389,1)),calc!$K$189:$K$196,0))&amp;"~"&amp;INDEX(calc!$M$189:$M$196,MATCH(INDEX(calc!$AO$207:$AO$389,MATCH(DW325,calc!$AC$207:$AC$389,1)),calc!$K$189:$K$196,0)))))</f>
        <v>NA</v>
      </c>
      <c r="DX328" s="3052"/>
      <c r="DY328" s="3052"/>
      <c r="DZ328" s="3051" t="str">
        <f>IF(DZ329="NA","NA",IF(OR(DZ329="SKC",DZ329="SCT",DZ329="FEW"),"NO CIG",IF(INDEX(calc!$AO$207:$AO$389,MATCH(DZ325,calc!$AC$207:$AC$389,1))="","NA",INDEX(calc!$L$189:$L$196,MATCH(INDEX(calc!$AO$207:$AO$389,MATCH(DZ325,calc!$AC$207:$AC$389,1)),calc!$K$189:$K$196,0))&amp;"~"&amp;INDEX(calc!$M$189:$M$196,MATCH(INDEX(calc!$AO$207:$AO$389,MATCH(DZ325,calc!$AC$207:$AC$389,1)),calc!$K$189:$K$196,0)))))</f>
        <v>NA</v>
      </c>
      <c r="EA328" s="3052"/>
      <c r="EB328" s="3052"/>
      <c r="EC328" s="3051" t="str">
        <f>IF(EC329="NA","NA",IF(OR(EC329="SKC",EC329="SCT",EC329="FEW"),"NO CIG",IF(INDEX(calc!$AO$207:$AO$389,MATCH(EC325,calc!$AC$207:$AC$389,1))="","NA",INDEX(calc!$L$189:$L$196,MATCH(INDEX(calc!$AO$207:$AO$389,MATCH(EC325,calc!$AC$207:$AC$389,1)),calc!$K$189:$K$196,0))&amp;"~"&amp;INDEX(calc!$M$189:$M$196,MATCH(INDEX(calc!$AO$207:$AO$389,MATCH(EC325,calc!$AC$207:$AC$389,1)),calc!$K$189:$K$196,0)))))</f>
        <v>NA</v>
      </c>
      <c r="ED328" s="3052"/>
      <c r="EE328" s="3052"/>
      <c r="EF328" s="3051" t="str">
        <f>IF(EF329="NA","NA",IF(OR(EF329="SKC",EF329="SCT",EF329="FEW"),"NO CIG",IF(INDEX(calc!$AO$207:$AO$389,MATCH(EF325,calc!$AC$207:$AC$389,1))="","NA",INDEX(calc!$L$189:$L$196,MATCH(INDEX(calc!$AO$207:$AO$389,MATCH(EF325,calc!$AC$207:$AC$389,1)),calc!$K$189:$K$196,0))&amp;"~"&amp;INDEX(calc!$M$189:$M$196,MATCH(INDEX(calc!$AO$207:$AO$389,MATCH(EF325,calc!$AC$207:$AC$389,1)),calc!$K$189:$K$196,0)))))</f>
        <v>NA</v>
      </c>
      <c r="EG328" s="3052"/>
      <c r="EH328" s="3052"/>
      <c r="EI328" s="3051" t="str">
        <f>IF(EI329="NA","NA",IF(OR(EI329="SKC",EI329="SCT",EI329="FEW"),"NO CIG",IF(INDEX(calc!$AO$207:$AO$389,MATCH(EI325,calc!$AC$207:$AC$389,1))="","NA",INDEX(calc!$L$189:$L$196,MATCH(INDEX(calc!$AO$207:$AO$389,MATCH(EI325,calc!$AC$207:$AC$389,1)),calc!$K$189:$K$196,0))&amp;"~"&amp;INDEX(calc!$M$189:$M$196,MATCH(INDEX(calc!$AO$207:$AO$389,MATCH(EI325,calc!$AC$207:$AC$389,1)),calc!$K$189:$K$196,0)))))</f>
        <v>NA</v>
      </c>
      <c r="EJ328" s="3052"/>
      <c r="EK328" s="3052"/>
      <c r="EL328" s="3051" t="str">
        <f>IF(EL329="NA","NA",IF(OR(EL329="SKC",EL329="SCT",EL329="FEW"),"NO CIG",IF(INDEX(calc!$AO$207:$AO$389,MATCH(EL325,calc!$AC$207:$AC$389,1))="","NA",INDEX(calc!$L$189:$L$196,MATCH(INDEX(calc!$AO$207:$AO$389,MATCH(EL325,calc!$AC$207:$AC$389,1)),calc!$K$189:$K$196,0))&amp;"~"&amp;INDEX(calc!$M$189:$M$196,MATCH(INDEX(calc!$AO$207:$AO$389,MATCH(EL325,calc!$AC$207:$AC$389,1)),calc!$K$189:$K$196,0)))))</f>
        <v>NA</v>
      </c>
      <c r="EM328" s="3052"/>
      <c r="EN328" s="3052"/>
      <c r="EO328" s="3051" t="str">
        <f>IF(EO329="NA","NA",IF(OR(EO329="SKC",EO329="SCT",EO329="FEW"),"NO CIG",IF(INDEX(calc!$AO$207:$AO$389,MATCH(EO325,calc!$AC$207:$AC$389,1))="","NA",INDEX(calc!$L$189:$L$196,MATCH(INDEX(calc!$AO$207:$AO$389,MATCH(EO325,calc!$AC$207:$AC$389,1)),calc!$K$189:$K$196,0))&amp;"~"&amp;INDEX(calc!$M$189:$M$196,MATCH(INDEX(calc!$AO$207:$AO$389,MATCH(EO325,calc!$AC$207:$AC$389,1)),calc!$K$189:$K$196,0)))))</f>
        <v>NA</v>
      </c>
      <c r="EP328" s="3052"/>
      <c r="EQ328" s="3052"/>
      <c r="ER328" s="3051" t="str">
        <f>IF(ER329="NA","NA",IF(OR(ER329="SKC",ER329="SCT",ER329="FEW"),"NO CIG",IF(INDEX(calc!$AO$207:$AO$389,MATCH(ER325,calc!$AC$207:$AC$389,1))="","NA",INDEX(calc!$L$189:$L$196,MATCH(INDEX(calc!$AO$207:$AO$389,MATCH(ER325,calc!$AC$207:$AC$389,1)),calc!$K$189:$K$196,0))&amp;"~"&amp;INDEX(calc!$M$189:$M$196,MATCH(INDEX(calc!$AO$207:$AO$389,MATCH(ER325,calc!$AC$207:$AC$389,1)),calc!$K$189:$K$196,0)))))</f>
        <v>NA</v>
      </c>
      <c r="ES328" s="3052"/>
      <c r="ET328" s="3052"/>
      <c r="EU328" s="3051" t="str">
        <f>IF(EU329="NA","NA",IF(OR(EU329="SKC",EU329="SCT",EU329="FEW"),"NO CIG",IF(INDEX(calc!$AO$207:$AO$389,MATCH(EU325,calc!$AC$207:$AC$389,1))="","NA",INDEX(calc!$L$189:$L$196,MATCH(INDEX(calc!$AO$207:$AO$389,MATCH(EU325,calc!$AC$207:$AC$389,1)),calc!$K$189:$K$196,0))&amp;"~"&amp;INDEX(calc!$M$189:$M$196,MATCH(INDEX(calc!$AO$207:$AO$389,MATCH(EU325,calc!$AC$207:$AC$389,1)),calc!$K$189:$K$196,0)))))</f>
        <v>NA</v>
      </c>
      <c r="EV328" s="3052"/>
      <c r="EW328" s="3052"/>
      <c r="EX328" s="3051" t="str">
        <f>IF(EX329="NA","NA",IF(OR(EX329="SKC",EX329="SCT",EX329="FEW"),"NO CIG",IF(INDEX(calc!$AO$207:$AO$389,MATCH(EX325,calc!$AC$207:$AC$389,1))="","NA",INDEX(calc!$L$189:$L$196,MATCH(INDEX(calc!$AO$207:$AO$389,MATCH(EX325,calc!$AC$207:$AC$389,1)),calc!$K$189:$K$196,0))&amp;"~"&amp;INDEX(calc!$M$189:$M$196,MATCH(INDEX(calc!$AO$207:$AO$389,MATCH(EX325,calc!$AC$207:$AC$389,1)),calc!$K$189:$K$196,0)))))</f>
        <v>NA</v>
      </c>
      <c r="EY328" s="3052"/>
      <c r="EZ328" s="3052"/>
      <c r="FA328" s="3051" t="str">
        <f>IF(FA329="NA","NA",IF(OR(FA329="SKC",FA329="SCT",FA329="FEW"),"NO CIG",IF(INDEX(calc!$AO$207:$AO$389,MATCH(FA325,calc!$AC$207:$AC$389,1))="","NA",INDEX(calc!$L$189:$L$196,MATCH(INDEX(calc!$AO$207:$AO$389,MATCH(FA325,calc!$AC$207:$AC$389,1)),calc!$K$189:$K$196,0))&amp;"~"&amp;INDEX(calc!$M$189:$M$196,MATCH(INDEX(calc!$AO$207:$AO$389,MATCH(FA325,calc!$AC$207:$AC$389,1)),calc!$K$189:$K$196,0)))))</f>
        <v>NA</v>
      </c>
      <c r="FB328" s="3052"/>
      <c r="FC328" s="3052"/>
      <c r="FD328" s="3051" t="str">
        <f>IF(FD329="NA","NA",IF(OR(FD329="SKC",FD329="SCT",FD329="FEW"),"NO CIG",IF(INDEX(calc!$AO$207:$AO$389,MATCH(FD325,calc!$AC$207:$AC$389,1))="","NA",INDEX(calc!$L$189:$L$196,MATCH(INDEX(calc!$AO$207:$AO$389,MATCH(FD325,calc!$AC$207:$AC$389,1)),calc!$K$189:$K$196,0))&amp;"~"&amp;INDEX(calc!$M$189:$M$196,MATCH(INDEX(calc!$AO$207:$AO$389,MATCH(FD325,calc!$AC$207:$AC$389,1)),calc!$K$189:$K$196,0)))))</f>
        <v>NA</v>
      </c>
      <c r="FE328" s="3052"/>
      <c r="FF328" s="3087"/>
      <c r="FG328" s="3051" t="str">
        <f>IF(FG329="NA","NA",IF(OR(FG329="SKC",FG329="SCT",FG329="FEW"),"NO CIG",IF(INDEX(calc!$AO$207:$AO$389,MATCH(FG325,calc!$AC$207:$AC$389,1))="","NA",INDEX(calc!$L$189:$L$196,MATCH(INDEX(calc!$AO$207:$AO$389,MATCH(FG325,calc!$AC$207:$AC$389,1)),calc!$K$189:$K$196,0))&amp;"~"&amp;INDEX(calc!$M$189:$M$196,MATCH(INDEX(calc!$AO$207:$AO$389,MATCH(FG325,calc!$AC$207:$AC$389,1)),calc!$K$189:$K$196,0)))))</f>
        <v>NA</v>
      </c>
      <c r="FH328" s="3052"/>
      <c r="FI328" s="3087"/>
      <c r="FJ328" s="3051" t="str">
        <f>IF(FJ329="NA","NA",IF(OR(FJ329="SKC",FJ329="SCT",FJ329="FEW"),"NO CIG",IF(INDEX(calc!$AO$207:$AO$389,MATCH(FJ325,calc!$AC$207:$AC$389,1))="","NA",INDEX(calc!$L$189:$L$196,MATCH(INDEX(calc!$AO$207:$AO$389,MATCH(FJ325,calc!$AC$207:$AC$389,1)),calc!$K$189:$K$196,0))&amp;"~"&amp;INDEX(calc!$M$189:$M$196,MATCH(INDEX(calc!$AO$207:$AO$389,MATCH(FJ325,calc!$AC$207:$AC$389,1)),calc!$K$189:$K$196,0)))))</f>
        <v>NA</v>
      </c>
      <c r="FK328" s="3052"/>
      <c r="FL328" s="3087"/>
      <c r="FM328" s="3051" t="str">
        <f>IF(FM329="NA","NA",IF(OR(FM329="SKC",FM329="SCT",FM329="FEW"),"NO CIG",IF(INDEX(calc!$AO$207:$AO$389,MATCH(FM325,calc!$AC$207:$AC$389,1))="","NA",INDEX(calc!$L$189:$L$196,MATCH(INDEX(calc!$AO$207:$AO$389,MATCH(FM325,calc!$AC$207:$AC$389,1)),calc!$K$189:$K$196,0))&amp;"~"&amp;INDEX(calc!$M$189:$M$196,MATCH(INDEX(calc!$AO$207:$AO$389,MATCH(FM325,calc!$AC$207:$AC$389,1)),calc!$K$189:$K$196,0)))))</f>
        <v>NA</v>
      </c>
      <c r="FN328" s="3052"/>
      <c r="FO328" s="3087"/>
      <c r="FP328" s="3051" t="str">
        <f>IF(FP329="NA","NA",IF(OR(FP329="SKC",FP329="SCT",FP329="FEW"),"NO CIG",IF(INDEX(calc!$AO$207:$AO$389,MATCH(FP325,calc!$AC$207:$AC$389,1))="","NA",INDEX(calc!$L$189:$L$196,MATCH(INDEX(calc!$AO$207:$AO$389,MATCH(FP325,calc!$AC$207:$AC$389,1)),calc!$K$189:$K$196,0))&amp;"~"&amp;INDEX(calc!$M$189:$M$196,MATCH(INDEX(calc!$AO$207:$AO$389,MATCH(FP325,calc!$AC$207:$AC$389,1)),calc!$K$189:$K$196,0)))))</f>
        <v>NA</v>
      </c>
      <c r="FQ328" s="3052"/>
      <c r="FR328" s="3087"/>
      <c r="FS328" s="3051" t="str">
        <f>IF(FS329="NA","NA",IF(OR(FS329="SKC",FS329="SCT",FS329="FEW"),"NO CIG",IF(INDEX(calc!$AO$207:$AO$389,MATCH(FS325,calc!$AC$207:$AC$389,1))="","NA",INDEX(calc!$L$189:$L$196,MATCH(INDEX(calc!$AO$207:$AO$389,MATCH(FS325,calc!$AC$207:$AC$389,1)),calc!$K$189:$K$196,0))&amp;"~"&amp;INDEX(calc!$M$189:$M$196,MATCH(INDEX(calc!$AO$207:$AO$389,MATCH(FS325,calc!$AC$207:$AC$389,1)),calc!$K$189:$K$196,0)))))</f>
        <v>NA</v>
      </c>
      <c r="FT328" s="3052"/>
      <c r="FU328" s="3087"/>
      <c r="FV328" s="3051" t="str">
        <f>IF(FV329="NA","NA",IF(OR(FV329="SKC",FV329="SCT",FV329="FEW"),"NO CIG",IF(INDEX(calc!$AO$207:$AO$389,MATCH(FV325,calc!$AC$207:$AC$389,1))="","NA",INDEX(calc!$L$189:$L$196,MATCH(INDEX(calc!$AO$207:$AO$389,MATCH(FV325,calc!$AC$207:$AC$389,1)),calc!$K$189:$K$196,0))&amp;"~"&amp;INDEX(calc!$M$189:$M$196,MATCH(INDEX(calc!$AO$207:$AO$389,MATCH(FV325,calc!$AC$207:$AC$389,1)),calc!$K$189:$K$196,0)))))</f>
        <v>NA</v>
      </c>
      <c r="FW328" s="3052"/>
      <c r="FX328" s="3087"/>
      <c r="FY328" s="3051" t="str">
        <f>IF(FY329="NA","NA",IF(OR(FY329="SKC",FY329="SCT",FY329="FEW"),"NO CIG",IF(INDEX(calc!$AO$207:$AO$389,MATCH(FY325,calc!$AC$207:$AC$389,1))="","NA",INDEX(calc!$L$189:$L$196,MATCH(INDEX(calc!$AO$207:$AO$389,MATCH(FY325,calc!$AC$207:$AC$389,1)),calc!$K$189:$K$196,0))&amp;"~"&amp;INDEX(calc!$M$189:$M$196,MATCH(INDEX(calc!$AO$207:$AO$389,MATCH(FY325,calc!$AC$207:$AC$389,1)),calc!$K$189:$K$196,0)))))</f>
        <v>NA</v>
      </c>
      <c r="FZ328" s="3052"/>
      <c r="GA328" s="3087"/>
      <c r="GB328" s="3051" t="str">
        <f>IF(GB329="NA","NA",IF(OR(GB329="SKC",GB329="SCT",GB329="FEW"),"NO CIG",IF(INDEX(calc!$AO$207:$AO$389,MATCH(GB325,calc!$AC$207:$AC$389,1))="","NA",INDEX(calc!$L$189:$L$196,MATCH(INDEX(calc!$AO$207:$AO$389,MATCH(GB325,calc!$AC$207:$AC$389,1)),calc!$K$189:$K$196,0))&amp;"~"&amp;INDEX(calc!$M$189:$M$196,MATCH(INDEX(calc!$AO$207:$AO$389,MATCH(GB325,calc!$AC$207:$AC$389,1)),calc!$K$189:$K$196,0)))))</f>
        <v>NA</v>
      </c>
      <c r="GC328" s="3052"/>
      <c r="GD328" s="3087"/>
      <c r="GE328" s="3051" t="str">
        <f>IF(GE329="NA","NA",IF(OR(GE329="SKC",GE329="SCT",GE329="FEW"),"NO CIG",IF(INDEX(calc!$AO$207:$AO$389,MATCH(GE325,calc!$AC$207:$AC$389,1))="","NA",INDEX(calc!$L$189:$L$196,MATCH(INDEX(calc!$AO$207:$AO$389,MATCH(GE325,calc!$AC$207:$AC$389,1)),calc!$K$189:$K$196,0))&amp;"~"&amp;INDEX(calc!$M$189:$M$196,MATCH(INDEX(calc!$AO$207:$AO$389,MATCH(GE325,calc!$AC$207:$AC$389,1)),calc!$K$189:$K$196,0)))))</f>
        <v>NA</v>
      </c>
      <c r="GF328" s="3052"/>
      <c r="GG328" s="3087"/>
      <c r="GH328" s="3051" t="str">
        <f>IF(GH329="NA","NA",IF(OR(GH329="SKC",GH329="SCT",GH329="FEW"),"NO CIG",IF(INDEX(calc!$AO$207:$AO$389,MATCH(GH325,calc!$AC$207:$AC$389,1))="","NA",INDEX(calc!$L$189:$L$196,MATCH(INDEX(calc!$AO$207:$AO$389,MATCH(GH325,calc!$AC$207:$AC$389,1)),calc!$K$189:$K$196,0))&amp;"~"&amp;INDEX(calc!$M$189:$M$196,MATCH(INDEX(calc!$AO$207:$AO$389,MATCH(GH325,calc!$AC$207:$AC$389,1)),calc!$K$189:$K$196,0)))))</f>
        <v>NA</v>
      </c>
      <c r="GI328" s="3052"/>
      <c r="GJ328" s="3087"/>
      <c r="GK328" s="3051" t="str">
        <f>IF(GK329="NA","NA",IF(OR(GK329="SKC",GK329="SCT",GK329="FEW"),"NO CIG",IF(INDEX(calc!$AO$207:$AO$389,MATCH(GK325,calc!$AC$207:$AC$389,1))="","NA",INDEX(calc!$L$189:$L$196,MATCH(INDEX(calc!$AO$207:$AO$389,MATCH(GK325,calc!$AC$207:$AC$389,1)),calc!$K$189:$K$196,0))&amp;"~"&amp;INDEX(calc!$M$189:$M$196,MATCH(INDEX(calc!$AO$207:$AO$389,MATCH(GK325,calc!$AC$207:$AC$389,1)),calc!$K$189:$K$196,0)))))</f>
        <v>NA</v>
      </c>
      <c r="GL328" s="3052"/>
      <c r="GM328" s="3087"/>
      <c r="GN328" s="3051" t="str">
        <f>IF(GN329="NA","NA",IF(OR(GN329="SKC",GN329="SCT",GN329="FEW"),"NO CIG",IF(INDEX(calc!$AO$207:$AO$389,MATCH(GN325,calc!$AC$207:$AC$389,1))="","NA",INDEX(calc!$L$189:$L$196,MATCH(INDEX(calc!$AO$207:$AO$389,MATCH(GN325,calc!$AC$207:$AC$389,1)),calc!$K$189:$K$196,0))&amp;"~"&amp;INDEX(calc!$M$189:$M$196,MATCH(INDEX(calc!$AO$207:$AO$389,MATCH(GN325,calc!$AC$207:$AC$389,1)),calc!$K$189:$K$196,0)))))</f>
        <v>NA</v>
      </c>
      <c r="GO328" s="3052"/>
      <c r="GP328" s="3087"/>
      <c r="GQ328" s="3051" t="str">
        <f>IF(GQ329="NA","NA",IF(OR(GQ329="SKC",GQ329="SCT",GQ329="FEW"),"NO CIG",IF(INDEX(calc!$AO$207:$AO$389,MATCH(GQ325,calc!$AC$207:$AC$389,1))="","NA",INDEX(calc!$L$189:$L$196,MATCH(INDEX(calc!$AO$207:$AO$389,MATCH(GQ325,calc!$AC$207:$AC$389,1)),calc!$K$189:$K$196,0))&amp;"~"&amp;INDEX(calc!$M$189:$M$196,MATCH(INDEX(calc!$AO$207:$AO$389,MATCH(GQ325,calc!$AC$207:$AC$389,1)),calc!$K$189:$K$196,0)))))</f>
        <v>NA</v>
      </c>
      <c r="GR328" s="3052"/>
      <c r="GS328" s="3087"/>
    </row>
    <row r="329" spans="2:201" s="539" customFormat="1" ht="15" customHeight="1">
      <c r="L329" s="1166" t="s">
        <v>3063</v>
      </c>
      <c r="M329" s="1047"/>
      <c r="N329" s="1047"/>
      <c r="O329" s="1047"/>
      <c r="P329" s="1047"/>
      <c r="Q329" s="1047"/>
      <c r="R329" s="1047"/>
      <c r="S329" s="1047"/>
      <c r="T329" s="1074"/>
      <c r="U329" s="1074"/>
      <c r="V329" s="1074"/>
      <c r="W329" s="1074"/>
      <c r="X329" s="1072"/>
      <c r="Y329" s="1072"/>
      <c r="Z329" s="1072"/>
      <c r="AA329" s="1071" t="s">
        <v>374</v>
      </c>
      <c r="AB329" s="3075" t="str">
        <f>IF(INDEX(calc!$AQ$207:$AQ$389,MATCH(AB325,calc!$AC$207:$AC$389,1))="","NA",INDEX(calc!$L$331:$L$335,MATCH(INDEX(calc!$AQ$207:$AQ$389,MATCH(AB325,calc!$AC$207:$AC$389,1)),calc!$K$331:$K$335,0)))</f>
        <v>SCT</v>
      </c>
      <c r="AC329" s="3076"/>
      <c r="AD329" s="3076"/>
      <c r="AE329" s="3075" t="str">
        <f>IF(INDEX(calc!$AQ$207:$AQ$389,MATCH(AE325,calc!$AC$207:$AC$389,1))="","NA",INDEX(calc!$L$331:$L$335,MATCH(INDEX(calc!$AQ$207:$AQ$389,MATCH(AE325,calc!$AC$207:$AC$389,1)),calc!$K$331:$K$335,0)))</f>
        <v>BKN</v>
      </c>
      <c r="AF329" s="3076"/>
      <c r="AG329" s="3076"/>
      <c r="AH329" s="3075" t="str">
        <f>IF(INDEX(calc!$AQ$207:$AQ$389,MATCH(AH325,calc!$AC$207:$AC$389,1))="","NA",INDEX(calc!$L$331:$L$335,MATCH(INDEX(calc!$AQ$207:$AQ$389,MATCH(AH325,calc!$AC$207:$AC$389,1)),calc!$K$331:$K$335,0)))</f>
        <v>BKN</v>
      </c>
      <c r="AI329" s="3076"/>
      <c r="AJ329" s="3076"/>
      <c r="AK329" s="3075" t="str">
        <f>IF(INDEX(calc!$AQ$207:$AQ$389,MATCH(AK325,calc!$AC$207:$AC$389,1))="","NA",INDEX(calc!$L$331:$L$335,MATCH(INDEX(calc!$AQ$207:$AQ$389,MATCH(AK325,calc!$AC$207:$AC$389,1)),calc!$K$331:$K$335,0)))</f>
        <v>SCT</v>
      </c>
      <c r="AL329" s="3076"/>
      <c r="AM329" s="3076"/>
      <c r="AN329" s="3075" t="str">
        <f>IF(INDEX(calc!$AQ$207:$AQ$389,MATCH(AN325,calc!$AC$207:$AC$389,1))="","NA",INDEX(calc!$L$331:$L$335,MATCH(INDEX(calc!$AQ$207:$AQ$389,MATCH(AN325,calc!$AC$207:$AC$389,1)),calc!$K$331:$K$335,0)))</f>
        <v>BKN</v>
      </c>
      <c r="AO329" s="3076"/>
      <c r="AP329" s="3076"/>
      <c r="AQ329" s="3075" t="str">
        <f>IF(INDEX(calc!$AQ$207:$AQ$389,MATCH(AQ325,calc!$AC$207:$AC$389,1))="","NA",INDEX(calc!$L$331:$L$335,MATCH(INDEX(calc!$AQ$207:$AQ$389,MATCH(AQ325,calc!$AC$207:$AC$389,1)),calc!$K$331:$K$335,0)))</f>
        <v>BKN</v>
      </c>
      <c r="AR329" s="3076"/>
      <c r="AS329" s="3076"/>
      <c r="AT329" s="3075" t="str">
        <f>IF(INDEX(calc!$AQ$207:$AQ$389,MATCH(AT325,calc!$AC$207:$AC$389,1))="","NA",INDEX(calc!$L$331:$L$335,MATCH(INDEX(calc!$AQ$207:$AQ$389,MATCH(AT325,calc!$AC$207:$AC$389,1)),calc!$K$331:$K$335,0)))</f>
        <v>BKN</v>
      </c>
      <c r="AU329" s="3076"/>
      <c r="AV329" s="3076"/>
      <c r="AW329" s="3075" t="str">
        <f>IF(INDEX(calc!$AQ$207:$AQ$389,MATCH(AW325,calc!$AC$207:$AC$389,1))="","NA",INDEX(calc!$L$331:$L$335,MATCH(INDEX(calc!$AQ$207:$AQ$389,MATCH(AW325,calc!$AC$207:$AC$389,1)),calc!$K$331:$K$335,0)))</f>
        <v>BKN</v>
      </c>
      <c r="AX329" s="3076"/>
      <c r="AY329" s="3076"/>
      <c r="AZ329" s="3075" t="str">
        <f>IF(INDEX(calc!$AQ$207:$AQ$389,MATCH(AZ325,calc!$AC$207:$AC$389,1))="","NA",INDEX(calc!$L$331:$L$335,MATCH(INDEX(calc!$AQ$207:$AQ$389,MATCH(AZ325,calc!$AC$207:$AC$389,1)),calc!$K$331:$K$335,0)))</f>
        <v>BKN</v>
      </c>
      <c r="BA329" s="3076"/>
      <c r="BB329" s="3076"/>
      <c r="BC329" s="3075" t="str">
        <f>IF(INDEX(calc!$AQ$207:$AQ$389,MATCH(BC325,calc!$AC$207:$AC$389,1))="","NA",INDEX(calc!$L$331:$L$335,MATCH(INDEX(calc!$AQ$207:$AQ$389,MATCH(BC325,calc!$AC$207:$AC$389,1)),calc!$K$331:$K$335,0)))</f>
        <v>SCT</v>
      </c>
      <c r="BD329" s="3076"/>
      <c r="BE329" s="3076"/>
      <c r="BF329" s="3075" t="str">
        <f>IF(INDEX(calc!$AQ$207:$AQ$389,MATCH(BF325,calc!$AC$207:$AC$389,1))="","NA",INDEX(calc!$L$331:$L$335,MATCH(INDEX(calc!$AQ$207:$AQ$389,MATCH(BF325,calc!$AC$207:$AC$389,1)),calc!$K$331:$K$335,0)))</f>
        <v>SCT</v>
      </c>
      <c r="BG329" s="3076"/>
      <c r="BH329" s="3076"/>
      <c r="BI329" s="3075" t="str">
        <f>IF(INDEX(calc!$AQ$207:$AQ$389,MATCH(BI325,calc!$AC$207:$AC$389,1))="","NA",INDEX(calc!$L$331:$L$335,MATCH(INDEX(calc!$AQ$207:$AQ$389,MATCH(BI325,calc!$AC$207:$AC$389,1)),calc!$K$331:$K$335,0)))</f>
        <v>SCT</v>
      </c>
      <c r="BJ329" s="3076"/>
      <c r="BK329" s="3076"/>
      <c r="BL329" s="3075" t="str">
        <f>IF(INDEX(calc!$AQ$207:$AQ$389,MATCH(BL325,calc!$AC$207:$AC$389,1))="","NA",INDEX(calc!$L$331:$L$335,MATCH(INDEX(calc!$AQ$207:$AQ$389,MATCH(BL325,calc!$AC$207:$AC$389,1)),calc!$K$331:$K$335,0)))</f>
        <v>BKN</v>
      </c>
      <c r="BM329" s="3076"/>
      <c r="BN329" s="3076"/>
      <c r="BO329" s="3075" t="str">
        <f>IF(INDEX(calc!$AQ$207:$AQ$389,MATCH(BO325,calc!$AC$207:$AC$389,1))="","NA",INDEX(calc!$L$331:$L$335,MATCH(INDEX(calc!$AQ$207:$AQ$389,MATCH(BO325,calc!$AC$207:$AC$389,1)),calc!$K$331:$K$335,0)))</f>
        <v>NA</v>
      </c>
      <c r="BP329" s="3076"/>
      <c r="BQ329" s="3076"/>
      <c r="BR329" s="3075" t="str">
        <f>IF(INDEX(calc!$AQ$207:$AQ$389,MATCH(BR325,calc!$AC$207:$AC$389,1))="","NA",INDEX(calc!$L$331:$L$335,MATCH(INDEX(calc!$AQ$207:$AQ$389,MATCH(BR325,calc!$AC$207:$AC$389,1)),calc!$K$331:$K$335,0)))</f>
        <v>NA</v>
      </c>
      <c r="BS329" s="3076"/>
      <c r="BT329" s="3076"/>
      <c r="BU329" s="3075" t="str">
        <f>IF(INDEX(calc!$AQ$207:$AQ$389,MATCH(BU325,calc!$AC$207:$AC$389,1))="","NA",INDEX(calc!$L$331:$L$335,MATCH(INDEX(calc!$AQ$207:$AQ$389,MATCH(BU325,calc!$AC$207:$AC$389,1)),calc!$K$331:$K$335,0)))</f>
        <v>NA</v>
      </c>
      <c r="BV329" s="3076"/>
      <c r="BW329" s="3076"/>
      <c r="BX329" s="3075" t="str">
        <f>IF(INDEX(calc!$AQ$207:$AQ$389,MATCH(BX325,calc!$AC$207:$AC$389,1))="","NA",INDEX(calc!$L$331:$L$335,MATCH(INDEX(calc!$AQ$207:$AQ$389,MATCH(BX325,calc!$AC$207:$AC$389,1)),calc!$K$331:$K$335,0)))</f>
        <v>NA</v>
      </c>
      <c r="BY329" s="3076"/>
      <c r="BZ329" s="3076"/>
      <c r="CA329" s="3075" t="str">
        <f>IF(INDEX(calc!$AQ$207:$AQ$389,MATCH(CA325,calc!$AC$207:$AC$389,1))="","NA",INDEX(calc!$L$331:$L$335,MATCH(INDEX(calc!$AQ$207:$AQ$389,MATCH(CA325,calc!$AC$207:$AC$389,1)),calc!$K$331:$K$335,0)))</f>
        <v>NA</v>
      </c>
      <c r="CB329" s="3076"/>
      <c r="CC329" s="3076"/>
      <c r="CD329" s="3075" t="str">
        <f>IF(INDEX(calc!$AQ$207:$AQ$389,MATCH(CD325,calc!$AC$207:$AC$389,1))="","NA",INDEX(calc!$L$331:$L$335,MATCH(INDEX(calc!$AQ$207:$AQ$389,MATCH(CD325,calc!$AC$207:$AC$389,1)),calc!$K$331:$K$335,0)))</f>
        <v>NA</v>
      </c>
      <c r="CE329" s="3076"/>
      <c r="CF329" s="3076"/>
      <c r="CG329" s="3075" t="str">
        <f>IF(INDEX(calc!$AQ$207:$AQ$389,MATCH(CG325,calc!$AC$207:$AC$389,1))="","NA",INDEX(calc!$L$331:$L$335,MATCH(INDEX(calc!$AQ$207:$AQ$389,MATCH(CG325,calc!$AC$207:$AC$389,1)),calc!$K$331:$K$335,0)))</f>
        <v>NA</v>
      </c>
      <c r="CH329" s="3076"/>
      <c r="CI329" s="3076"/>
      <c r="CJ329" s="3075" t="str">
        <f>IF(INDEX(calc!$AQ$207:$AQ$389,MATCH(CJ325,calc!$AC$207:$AC$389,1))="","NA",INDEX(calc!$L$331:$L$335,MATCH(INDEX(calc!$AQ$207:$AQ$389,MATCH(CJ325,calc!$AC$207:$AC$389,1)),calc!$K$331:$K$335,0)))</f>
        <v>NA</v>
      </c>
      <c r="CK329" s="3076"/>
      <c r="CL329" s="3076"/>
      <c r="CM329" s="3075" t="str">
        <f>IF(INDEX(calc!$AQ$207:$AQ$389,MATCH(CM325,calc!$AC$207:$AC$389,1))="","NA",INDEX(calc!$L$331:$L$335,MATCH(INDEX(calc!$AQ$207:$AQ$389,MATCH(CM325,calc!$AC$207:$AC$389,1)),calc!$K$331:$K$335,0)))</f>
        <v>NA</v>
      </c>
      <c r="CN329" s="3076"/>
      <c r="CO329" s="3076"/>
      <c r="CP329" s="3075" t="str">
        <f>IF(INDEX(calc!$AQ$207:$AQ$389,MATCH(CP325,calc!$AC$207:$AC$389,1))="","NA",INDEX(calc!$L$331:$L$335,MATCH(INDEX(calc!$AQ$207:$AQ$389,MATCH(CP325,calc!$AC$207:$AC$389,1)),calc!$K$331:$K$335,0)))</f>
        <v>NA</v>
      </c>
      <c r="CQ329" s="3076"/>
      <c r="CR329" s="3076"/>
      <c r="CS329" s="3075" t="str">
        <f>IF(INDEX(calc!$AQ$207:$AQ$389,MATCH(CS325,calc!$AC$207:$AC$389,1))="","NA",INDEX(calc!$L$331:$L$335,MATCH(INDEX(calc!$AQ$207:$AQ$389,MATCH(CS325,calc!$AC$207:$AC$389,1)),calc!$K$331:$K$335,0)))</f>
        <v>NA</v>
      </c>
      <c r="CT329" s="3076"/>
      <c r="CU329" s="3076"/>
      <c r="CV329" s="3075" t="str">
        <f>IF(INDEX(calc!$AQ$207:$AQ$389,MATCH(CV325,calc!$AC$207:$AC$389,1))="","NA",INDEX(calc!$L$331:$L$335,MATCH(INDEX(calc!$AQ$207:$AQ$389,MATCH(CV325,calc!$AC$207:$AC$389,1)),calc!$K$331:$K$335,0)))</f>
        <v>NA</v>
      </c>
      <c r="CW329" s="3076"/>
      <c r="CX329" s="3076"/>
      <c r="CY329" s="3075" t="str">
        <f>IF(INDEX(calc!$AQ$207:$AQ$389,MATCH(CY325,calc!$AC$207:$AC$389,1))="","NA",INDEX(calc!$L$331:$L$335,MATCH(INDEX(calc!$AQ$207:$AQ$389,MATCH(CY325,calc!$AC$207:$AC$389,1)),calc!$K$331:$K$335,0)))</f>
        <v>NA</v>
      </c>
      <c r="CZ329" s="3076"/>
      <c r="DA329" s="3076"/>
      <c r="DB329" s="3075" t="str">
        <f>IF(INDEX(calc!$AQ$207:$AQ$389,MATCH(DB325,calc!$AC$207:$AC$389,1))="","NA",INDEX(calc!$L$331:$L$335,MATCH(INDEX(calc!$AQ$207:$AQ$389,MATCH(DB325,calc!$AC$207:$AC$389,1)),calc!$K$331:$K$335,0)))</f>
        <v>NA</v>
      </c>
      <c r="DC329" s="3076"/>
      <c r="DD329" s="3076"/>
      <c r="DE329" s="3075" t="str">
        <f>IF(INDEX(calc!$AQ$207:$AQ$389,MATCH(DE325,calc!$AC$207:$AC$389,1))="","NA",INDEX(calc!$L$331:$L$335,MATCH(INDEX(calc!$AQ$207:$AQ$389,MATCH(DE325,calc!$AC$207:$AC$389,1)),calc!$K$331:$K$335,0)))</f>
        <v>NA</v>
      </c>
      <c r="DF329" s="3076"/>
      <c r="DG329" s="3076"/>
      <c r="DH329" s="3075" t="str">
        <f>IF(INDEX(calc!$AQ$207:$AQ$389,MATCH(DH325,calc!$AC$207:$AC$389,1))="","NA",INDEX(calc!$L$331:$L$335,MATCH(INDEX(calc!$AQ$207:$AQ$389,MATCH(DH325,calc!$AC$207:$AC$389,1)),calc!$K$331:$K$335,0)))</f>
        <v>NA</v>
      </c>
      <c r="DI329" s="3076"/>
      <c r="DJ329" s="3076"/>
      <c r="DK329" s="3075" t="str">
        <f>IF(INDEX(calc!$AQ$207:$AQ$389,MATCH(DK325,calc!$AC$207:$AC$389,1))="","NA",INDEX(calc!$L$331:$L$335,MATCH(INDEX(calc!$AQ$207:$AQ$389,MATCH(DK325,calc!$AC$207:$AC$389,1)),calc!$K$331:$K$335,0)))</f>
        <v>NA</v>
      </c>
      <c r="DL329" s="3076"/>
      <c r="DM329" s="3076"/>
      <c r="DN329" s="3075" t="str">
        <f>IF(INDEX(calc!$AQ$207:$AQ$389,MATCH(DN325,calc!$AC$207:$AC$389,1))="","NA",INDEX(calc!$L$331:$L$335,MATCH(INDEX(calc!$AQ$207:$AQ$389,MATCH(DN325,calc!$AC$207:$AC$389,1)),calc!$K$331:$K$335,0)))</f>
        <v>NA</v>
      </c>
      <c r="DO329" s="3076"/>
      <c r="DP329" s="3076"/>
      <c r="DQ329" s="3075" t="str">
        <f>IF(INDEX(calc!$AQ$207:$AQ$389,MATCH(DQ325,calc!$AC$207:$AC$389,1))="","NA",INDEX(calc!$L$331:$L$335,MATCH(INDEX(calc!$AQ$207:$AQ$389,MATCH(DQ325,calc!$AC$207:$AC$389,1)),calc!$K$331:$K$335,0)))</f>
        <v>NA</v>
      </c>
      <c r="DR329" s="3076"/>
      <c r="DS329" s="3076"/>
      <c r="DT329" s="3075" t="str">
        <f>IF(INDEX(calc!$AQ$207:$AQ$389,MATCH(DT325,calc!$AC$207:$AC$389,1))="","NA",INDEX(calc!$L$331:$L$335,MATCH(INDEX(calc!$AQ$207:$AQ$389,MATCH(DT325,calc!$AC$207:$AC$389,1)),calc!$K$331:$K$335,0)))</f>
        <v>NA</v>
      </c>
      <c r="DU329" s="3076"/>
      <c r="DV329" s="3076"/>
      <c r="DW329" s="3075" t="str">
        <f>IF(INDEX(calc!$AQ$207:$AQ$389,MATCH(DW325,calc!$AC$207:$AC$389,1))="","NA",INDEX(calc!$L$331:$L$335,MATCH(INDEX(calc!$AQ$207:$AQ$389,MATCH(DW325,calc!$AC$207:$AC$389,1)),calc!$K$331:$K$335,0)))</f>
        <v>NA</v>
      </c>
      <c r="DX329" s="3076"/>
      <c r="DY329" s="3076"/>
      <c r="DZ329" s="3075" t="str">
        <f>IF(INDEX(calc!$AQ$207:$AQ$389,MATCH(DZ325,calc!$AC$207:$AC$389,1))="","NA",INDEX(calc!$L$331:$L$335,MATCH(INDEX(calc!$AQ$207:$AQ$389,MATCH(DZ325,calc!$AC$207:$AC$389,1)),calc!$K$331:$K$335,0)))</f>
        <v>NA</v>
      </c>
      <c r="EA329" s="3076"/>
      <c r="EB329" s="3076"/>
      <c r="EC329" s="3075" t="str">
        <f>IF(INDEX(calc!$AQ$207:$AQ$389,MATCH(EC325,calc!$AC$207:$AC$389,1))="","NA",INDEX(calc!$L$331:$L$335,MATCH(INDEX(calc!$AQ$207:$AQ$389,MATCH(EC325,calc!$AC$207:$AC$389,1)),calc!$K$331:$K$335,0)))</f>
        <v>NA</v>
      </c>
      <c r="ED329" s="3076"/>
      <c r="EE329" s="3076"/>
      <c r="EF329" s="3075" t="str">
        <f>IF(INDEX(calc!$AQ$207:$AQ$389,MATCH(EF325,calc!$AC$207:$AC$389,1))="","NA",INDEX(calc!$L$331:$L$335,MATCH(INDEX(calc!$AQ$207:$AQ$389,MATCH(EF325,calc!$AC$207:$AC$389,1)),calc!$K$331:$K$335,0)))</f>
        <v>NA</v>
      </c>
      <c r="EG329" s="3076"/>
      <c r="EH329" s="3076"/>
      <c r="EI329" s="3075" t="str">
        <f>IF(INDEX(calc!$AQ$207:$AQ$389,MATCH(EI325,calc!$AC$207:$AC$389,1))="","NA",INDEX(calc!$L$331:$L$335,MATCH(INDEX(calc!$AQ$207:$AQ$389,MATCH(EI325,calc!$AC$207:$AC$389,1)),calc!$K$331:$K$335,0)))</f>
        <v>NA</v>
      </c>
      <c r="EJ329" s="3076"/>
      <c r="EK329" s="3076"/>
      <c r="EL329" s="3075" t="str">
        <f>IF(INDEX(calc!$AQ$207:$AQ$389,MATCH(EL325,calc!$AC$207:$AC$389,1))="","NA",INDEX(calc!$L$331:$L$335,MATCH(INDEX(calc!$AQ$207:$AQ$389,MATCH(EL325,calc!$AC$207:$AC$389,1)),calc!$K$331:$K$335,0)))</f>
        <v>NA</v>
      </c>
      <c r="EM329" s="3076"/>
      <c r="EN329" s="3076"/>
      <c r="EO329" s="3075" t="str">
        <f>IF(INDEX(calc!$AQ$207:$AQ$389,MATCH(EO325,calc!$AC$207:$AC$389,1))="","NA",INDEX(calc!$L$331:$L$335,MATCH(INDEX(calc!$AQ$207:$AQ$389,MATCH(EO325,calc!$AC$207:$AC$389,1)),calc!$K$331:$K$335,0)))</f>
        <v>NA</v>
      </c>
      <c r="EP329" s="3076"/>
      <c r="EQ329" s="3076"/>
      <c r="ER329" s="3075" t="str">
        <f>IF(INDEX(calc!$AQ$207:$AQ$389,MATCH(ER325,calc!$AC$207:$AC$389,1))="","NA",INDEX(calc!$L$331:$L$335,MATCH(INDEX(calc!$AQ$207:$AQ$389,MATCH(ER325,calc!$AC$207:$AC$389,1)),calc!$K$331:$K$335,0)))</f>
        <v>NA</v>
      </c>
      <c r="ES329" s="3076"/>
      <c r="ET329" s="3076"/>
      <c r="EU329" s="3075" t="str">
        <f>IF(INDEX(calc!$AQ$207:$AQ$389,MATCH(EU325,calc!$AC$207:$AC$389,1))="","NA",INDEX(calc!$L$331:$L$335,MATCH(INDEX(calc!$AQ$207:$AQ$389,MATCH(EU325,calc!$AC$207:$AC$389,1)),calc!$K$331:$K$335,0)))</f>
        <v>NA</v>
      </c>
      <c r="EV329" s="3076"/>
      <c r="EW329" s="3076"/>
      <c r="EX329" s="3075" t="str">
        <f>IF(INDEX(calc!$AQ$207:$AQ$389,MATCH(EX325,calc!$AC$207:$AC$389,1))="","NA",INDEX(calc!$L$331:$L$335,MATCH(INDEX(calc!$AQ$207:$AQ$389,MATCH(EX325,calc!$AC$207:$AC$389,1)),calc!$K$331:$K$335,0)))</f>
        <v>NA</v>
      </c>
      <c r="EY329" s="3076"/>
      <c r="EZ329" s="3076"/>
      <c r="FA329" s="3075" t="str">
        <f>IF(INDEX(calc!$AQ$207:$AQ$389,MATCH(FA325,calc!$AC$207:$AC$389,1))="","NA",INDEX(calc!$L$331:$L$335,MATCH(INDEX(calc!$AQ$207:$AQ$389,MATCH(FA325,calc!$AC$207:$AC$389,1)),calc!$K$331:$K$335,0)))</f>
        <v>NA</v>
      </c>
      <c r="FB329" s="3076"/>
      <c r="FC329" s="3076"/>
      <c r="FD329" s="3075" t="str">
        <f>IF(INDEX(calc!$AQ$207:$AQ$389,MATCH(FD325,calc!$AC$207:$AC$389,1))="","NA",INDEX(calc!$L$331:$L$335,MATCH(INDEX(calc!$AQ$207:$AQ$389,MATCH(FD325,calc!$AC$207:$AC$389,1)),calc!$K$331:$K$335,0)))</f>
        <v>NA</v>
      </c>
      <c r="FE329" s="3076"/>
      <c r="FF329" s="3086"/>
      <c r="FG329" s="3075" t="str">
        <f>IF(INDEX(calc!$AQ$207:$AQ$389,MATCH(FG325,calc!$AC$207:$AC$389,1))="","NA",INDEX(calc!$L$331:$L$335,MATCH(INDEX(calc!$AQ$207:$AQ$389,MATCH(FG325,calc!$AC$207:$AC$389,1)),calc!$K$331:$K$335,0)))</f>
        <v>NA</v>
      </c>
      <c r="FH329" s="3076"/>
      <c r="FI329" s="3086"/>
      <c r="FJ329" s="3075" t="str">
        <f>IF(INDEX(calc!$AQ$207:$AQ$389,MATCH(FJ325,calc!$AC$207:$AC$389,1))="","NA",INDEX(calc!$L$331:$L$335,MATCH(INDEX(calc!$AQ$207:$AQ$389,MATCH(FJ325,calc!$AC$207:$AC$389,1)),calc!$K$331:$K$335,0)))</f>
        <v>NA</v>
      </c>
      <c r="FK329" s="3076"/>
      <c r="FL329" s="3086"/>
      <c r="FM329" s="3075" t="str">
        <f>IF(INDEX(calc!$AQ$207:$AQ$389,MATCH(FM325,calc!$AC$207:$AC$389,1))="","NA",INDEX(calc!$L$331:$L$335,MATCH(INDEX(calc!$AQ$207:$AQ$389,MATCH(FM325,calc!$AC$207:$AC$389,1)),calc!$K$331:$K$335,0)))</f>
        <v>NA</v>
      </c>
      <c r="FN329" s="3076"/>
      <c r="FO329" s="3086"/>
      <c r="FP329" s="3075" t="str">
        <f>IF(INDEX(calc!$AQ$207:$AQ$389,MATCH(FP325,calc!$AC$207:$AC$389,1))="","NA",INDEX(calc!$L$331:$L$335,MATCH(INDEX(calc!$AQ$207:$AQ$389,MATCH(FP325,calc!$AC$207:$AC$389,1)),calc!$K$331:$K$335,0)))</f>
        <v>NA</v>
      </c>
      <c r="FQ329" s="3076"/>
      <c r="FR329" s="3086"/>
      <c r="FS329" s="3075" t="str">
        <f>IF(INDEX(calc!$AQ$207:$AQ$389,MATCH(FS325,calc!$AC$207:$AC$389,1))="","NA",INDEX(calc!$L$331:$L$335,MATCH(INDEX(calc!$AQ$207:$AQ$389,MATCH(FS325,calc!$AC$207:$AC$389,1)),calc!$K$331:$K$335,0)))</f>
        <v>NA</v>
      </c>
      <c r="FT329" s="3076"/>
      <c r="FU329" s="3086"/>
      <c r="FV329" s="3075" t="str">
        <f>IF(INDEX(calc!$AQ$207:$AQ$389,MATCH(FV325,calc!$AC$207:$AC$389,1))="","NA",INDEX(calc!$L$331:$L$335,MATCH(INDEX(calc!$AQ$207:$AQ$389,MATCH(FV325,calc!$AC$207:$AC$389,1)),calc!$K$331:$K$335,0)))</f>
        <v>NA</v>
      </c>
      <c r="FW329" s="3076"/>
      <c r="FX329" s="3086"/>
      <c r="FY329" s="3075" t="str">
        <f>IF(INDEX(calc!$AQ$207:$AQ$389,MATCH(FY325,calc!$AC$207:$AC$389,1))="","NA",INDEX(calc!$L$331:$L$335,MATCH(INDEX(calc!$AQ$207:$AQ$389,MATCH(FY325,calc!$AC$207:$AC$389,1)),calc!$K$331:$K$335,0)))</f>
        <v>NA</v>
      </c>
      <c r="FZ329" s="3076"/>
      <c r="GA329" s="3086"/>
      <c r="GB329" s="3075" t="str">
        <f>IF(INDEX(calc!$AQ$207:$AQ$389,MATCH(GB325,calc!$AC$207:$AC$389,1))="","NA",INDEX(calc!$L$331:$L$335,MATCH(INDEX(calc!$AQ$207:$AQ$389,MATCH(GB325,calc!$AC$207:$AC$389,1)),calc!$K$331:$K$335,0)))</f>
        <v>NA</v>
      </c>
      <c r="GC329" s="3076"/>
      <c r="GD329" s="3086"/>
      <c r="GE329" s="3075" t="str">
        <f>IF(INDEX(calc!$AQ$207:$AQ$389,MATCH(GE325,calc!$AC$207:$AC$389,1))="","NA",INDEX(calc!$L$331:$L$335,MATCH(INDEX(calc!$AQ$207:$AQ$389,MATCH(GE325,calc!$AC$207:$AC$389,1)),calc!$K$331:$K$335,0)))</f>
        <v>NA</v>
      </c>
      <c r="GF329" s="3076"/>
      <c r="GG329" s="3086"/>
      <c r="GH329" s="3075" t="str">
        <f>IF(INDEX(calc!$AQ$207:$AQ$389,MATCH(GH325,calc!$AC$207:$AC$389,1))="","NA",INDEX(calc!$L$331:$L$335,MATCH(INDEX(calc!$AQ$207:$AQ$389,MATCH(GH325,calc!$AC$207:$AC$389,1)),calc!$K$331:$K$335,0)))</f>
        <v>NA</v>
      </c>
      <c r="GI329" s="3076"/>
      <c r="GJ329" s="3086"/>
      <c r="GK329" s="3075" t="str">
        <f>IF(INDEX(calc!$AQ$207:$AQ$389,MATCH(GK325,calc!$AC$207:$AC$389,1))="","NA",INDEX(calc!$L$331:$L$335,MATCH(INDEX(calc!$AQ$207:$AQ$389,MATCH(GK325,calc!$AC$207:$AC$389,1)),calc!$K$331:$K$335,0)))</f>
        <v>NA</v>
      </c>
      <c r="GL329" s="3076"/>
      <c r="GM329" s="3086"/>
      <c r="GN329" s="3075" t="str">
        <f>IF(INDEX(calc!$AQ$207:$AQ$389,MATCH(GN325,calc!$AC$207:$AC$389,1))="","NA",INDEX(calc!$L$331:$L$335,MATCH(INDEX(calc!$AQ$207:$AQ$389,MATCH(GN325,calc!$AC$207:$AC$389,1)),calc!$K$331:$K$335,0)))</f>
        <v>NA</v>
      </c>
      <c r="GO329" s="3076"/>
      <c r="GP329" s="3086"/>
      <c r="GQ329" s="3075" t="str">
        <f>IF(INDEX(calc!$AQ$207:$AQ$389,MATCH(GQ325,calc!$AC$207:$AC$389,1))="","NA",INDEX(calc!$L$331:$L$335,MATCH(INDEX(calc!$AQ$207:$AQ$389,MATCH(GQ325,calc!$AC$207:$AC$389,1)),calc!$K$331:$K$335,0)))</f>
        <v>NA</v>
      </c>
      <c r="GR329" s="3076"/>
      <c r="GS329" s="3086"/>
    </row>
    <row r="330" spans="2:201" s="539" customFormat="1" ht="6" customHeight="1">
      <c r="L330" s="1166" t="s">
        <v>3064</v>
      </c>
      <c r="M330" s="1047"/>
      <c r="N330" s="1047"/>
      <c r="O330" s="1047"/>
      <c r="P330" s="1047"/>
      <c r="Q330" s="1047"/>
      <c r="R330" s="1047"/>
      <c r="S330" s="1047"/>
      <c r="T330" s="1074"/>
      <c r="U330" s="1074"/>
      <c r="V330" s="1074"/>
      <c r="W330" s="1074"/>
      <c r="X330" s="1072"/>
      <c r="Y330" s="1072"/>
      <c r="Z330" s="1072"/>
      <c r="AA330" s="1071"/>
      <c r="AB330" s="1100"/>
      <c r="AC330" s="1100"/>
      <c r="AD330" s="1101"/>
      <c r="AE330" s="1101"/>
      <c r="AF330" s="1102"/>
      <c r="AG330" s="1102"/>
      <c r="AH330" s="1102"/>
      <c r="AI330" s="1102"/>
      <c r="AJ330" s="1102"/>
      <c r="AK330" s="1102"/>
      <c r="AL330" s="1170"/>
      <c r="AM330" s="1170"/>
      <c r="AN330" s="1103"/>
      <c r="AO330" s="1103"/>
      <c r="AP330" s="1104"/>
      <c r="AQ330" s="1104"/>
      <c r="AR330" s="1102"/>
      <c r="AS330" s="1102"/>
      <c r="AT330" s="1102"/>
      <c r="AU330" s="1102"/>
      <c r="AV330" s="1102"/>
      <c r="AW330" s="1102"/>
      <c r="AX330" s="1170"/>
      <c r="AY330" s="1170"/>
      <c r="AZ330" s="1103"/>
      <c r="BA330" s="1103"/>
      <c r="BB330" s="1091"/>
      <c r="BC330" s="1092"/>
      <c r="BD330" s="1092"/>
      <c r="BE330" s="1092"/>
      <c r="BF330" s="1093"/>
      <c r="BG330" s="1093"/>
      <c r="BH330" s="1093"/>
      <c r="BI330" s="1094"/>
      <c r="BJ330" s="1094"/>
      <c r="BK330" s="1095"/>
      <c r="BL330" s="1095"/>
      <c r="BM330" s="1096"/>
      <c r="BN330" s="1096"/>
      <c r="BO330" s="1092"/>
      <c r="BP330" s="1092"/>
      <c r="BQ330" s="1092"/>
      <c r="BR330" s="1092"/>
      <c r="BS330" s="1092"/>
      <c r="BT330" s="1092"/>
      <c r="BU330" s="1093"/>
      <c r="BV330" s="1097"/>
      <c r="BW330" s="1098"/>
      <c r="BX330" s="1098"/>
      <c r="BY330" s="1098"/>
      <c r="BZ330" s="1098"/>
      <c r="CA330" s="1099"/>
      <c r="CB330" s="1091"/>
      <c r="CC330" s="1092"/>
      <c r="CD330" s="1092"/>
      <c r="CE330" s="1092"/>
      <c r="CF330" s="1093"/>
      <c r="CG330" s="1093"/>
      <c r="CH330" s="1093"/>
      <c r="CI330" s="1094"/>
      <c r="CJ330" s="1094"/>
      <c r="CK330" s="1095"/>
      <c r="CL330" s="1095"/>
      <c r="CM330" s="1096"/>
      <c r="CN330" s="1096"/>
      <c r="CO330" s="1092"/>
      <c r="CP330" s="1092"/>
      <c r="CQ330" s="1092"/>
      <c r="CR330" s="1092"/>
      <c r="CS330" s="1092"/>
      <c r="CT330" s="1092"/>
      <c r="CU330" s="1093"/>
      <c r="CV330" s="1097"/>
      <c r="CW330" s="1098"/>
      <c r="CX330" s="1098"/>
      <c r="CY330" s="1098"/>
      <c r="CZ330" s="1098"/>
      <c r="DA330" s="1099"/>
      <c r="DB330" s="1091"/>
      <c r="DC330" s="1092"/>
      <c r="DD330" s="1092"/>
      <c r="DE330" s="1092"/>
      <c r="DF330" s="1093"/>
      <c r="DG330" s="1093"/>
      <c r="DH330" s="1093"/>
      <c r="DI330" s="1094"/>
      <c r="DJ330" s="1094"/>
      <c r="DK330" s="1095"/>
      <c r="DL330" s="1095"/>
      <c r="DM330" s="1096"/>
      <c r="DN330" s="1096"/>
      <c r="DO330" s="1092"/>
      <c r="DP330" s="1092"/>
      <c r="DQ330" s="1092"/>
      <c r="DR330" s="1092"/>
      <c r="DS330" s="1092"/>
      <c r="DT330" s="1092"/>
      <c r="DU330" s="1093"/>
      <c r="DV330" s="1097"/>
      <c r="DW330" s="1098"/>
      <c r="DX330" s="1098"/>
      <c r="DY330" s="1098"/>
      <c r="DZ330" s="1098"/>
      <c r="EA330" s="1091"/>
      <c r="EB330" s="1091"/>
      <c r="EC330" s="1091"/>
      <c r="ED330" s="1091"/>
      <c r="EE330" s="1091"/>
      <c r="EF330" s="1091"/>
      <c r="EG330" s="1091"/>
      <c r="EH330" s="1091"/>
      <c r="EI330" s="1091"/>
      <c r="EJ330" s="1091"/>
      <c r="EK330" s="1091"/>
      <c r="EL330" s="1091"/>
      <c r="EM330" s="1091"/>
      <c r="EN330" s="1091"/>
      <c r="EO330" s="1091"/>
      <c r="EP330" s="1091"/>
      <c r="EQ330" s="1091"/>
      <c r="ER330" s="1091"/>
      <c r="ES330" s="1091"/>
      <c r="ET330" s="1091"/>
      <c r="EU330" s="1091"/>
      <c r="EV330" s="1091"/>
      <c r="EW330" s="1091"/>
      <c r="EX330" s="1091"/>
      <c r="EY330" s="1091"/>
      <c r="EZ330" s="1091"/>
      <c r="FA330" s="1091"/>
      <c r="FB330" s="1091"/>
      <c r="FC330" s="1091"/>
      <c r="FD330" s="1091"/>
      <c r="FE330" s="1091"/>
      <c r="FF330" s="1091"/>
      <c r="FG330" s="1091"/>
      <c r="FH330" s="1091"/>
      <c r="FI330" s="1091"/>
      <c r="FJ330" s="1091"/>
      <c r="FK330" s="1091"/>
      <c r="FL330" s="1091"/>
      <c r="FM330" s="1091"/>
      <c r="FN330" s="1091"/>
      <c r="FO330" s="1091"/>
      <c r="FP330" s="1091"/>
      <c r="FQ330" s="1091"/>
      <c r="FR330" s="1091"/>
      <c r="FS330" s="1091"/>
      <c r="FT330" s="1091"/>
      <c r="FU330" s="1091"/>
      <c r="FV330" s="1091"/>
      <c r="FW330" s="1091"/>
      <c r="FX330" s="1091"/>
      <c r="FY330" s="1091"/>
      <c r="FZ330" s="1091"/>
      <c r="GA330" s="1091"/>
      <c r="GB330" s="1091"/>
      <c r="GC330" s="1091"/>
      <c r="GD330" s="1091"/>
      <c r="GE330" s="1091"/>
      <c r="GF330" s="1091"/>
      <c r="GG330" s="1091"/>
      <c r="GH330" s="1091"/>
      <c r="GI330" s="1091"/>
      <c r="GJ330" s="1091"/>
      <c r="GK330" s="1091"/>
      <c r="GL330" s="1091"/>
      <c r="GM330" s="1091"/>
      <c r="GN330" s="1091"/>
      <c r="GO330" s="1091"/>
      <c r="GP330" s="1091"/>
      <c r="GQ330" s="1091"/>
      <c r="GR330" s="1091"/>
      <c r="GS330" s="1091"/>
    </row>
    <row r="331" spans="2:201" s="539" customFormat="1" ht="15" customHeight="1">
      <c r="L331" s="1166" t="s">
        <v>3065</v>
      </c>
      <c r="M331" s="1047"/>
      <c r="N331" s="1047"/>
      <c r="O331" s="1047"/>
      <c r="P331" s="1047"/>
      <c r="Q331" s="1047"/>
      <c r="R331" s="1047"/>
      <c r="S331" s="1047"/>
      <c r="T331" s="3059" t="s">
        <v>215</v>
      </c>
      <c r="U331" s="3059"/>
      <c r="V331" s="3059"/>
      <c r="W331" s="3059"/>
      <c r="X331" s="533"/>
      <c r="Y331" s="533"/>
      <c r="Z331" s="533"/>
      <c r="AA331" s="1071" t="s">
        <v>375</v>
      </c>
      <c r="AB331" s="3061" t="str">
        <f>IF(AB332="NA","NA",IF(AB332="SCT","NONE",IF(INDEX(calc!$AX$207:$AX$389,MATCH(AB325,calc!$AC$207:$AC$389,1))="","NA",INDEX(calc!$AX$207:$AX$389,MATCH(AB325,calc!$AC$207:$AC$389,1)))))</f>
        <v>NONE</v>
      </c>
      <c r="AC331" s="3062"/>
      <c r="AD331" s="3063"/>
      <c r="AE331" s="3061" t="str">
        <f>IF(AE332="NA","NA",IF(AE332="SCT","NONE",IF(INDEX(calc!$AX$207:$AX$389,MATCH(AE325,calc!$AC$207:$AC$389,1))="","NA",INDEX(calc!$AX$207:$AX$389,MATCH(AE325,calc!$AC$207:$AC$389,1)))))</f>
        <v>NONE</v>
      </c>
      <c r="AF331" s="3062"/>
      <c r="AG331" s="3063"/>
      <c r="AH331" s="3061" t="str">
        <f>IF(AH332="NA","NA",IF(AH332="SCT","NONE",IF(INDEX(calc!$AX$207:$AX$389,MATCH(AH325,calc!$AC$207:$AC$389,1))="","NA",INDEX(calc!$AX$207:$AX$389,MATCH(AH325,calc!$AC$207:$AC$389,1)))))</f>
        <v>NONE</v>
      </c>
      <c r="AI331" s="3062"/>
      <c r="AJ331" s="3063"/>
      <c r="AK331" s="3061" t="str">
        <f>IF(AK332="NA","NA",IF(AK332="SCT","NONE",IF(INDEX(calc!$AX$207:$AX$389,MATCH(AK325,calc!$AC$207:$AC$389,1))="","NA",INDEX(calc!$AX$207:$AX$389,MATCH(AK325,calc!$AC$207:$AC$389,1)))))</f>
        <v>NONE</v>
      </c>
      <c r="AL331" s="3062"/>
      <c r="AM331" s="3063"/>
      <c r="AN331" s="3061">
        <f>IF(AN332="NA","NA",IF(AN332="SCT","NONE",IF(INDEX(calc!$AX$207:$AX$389,MATCH(AN325,calc!$AC$207:$AC$389,1))="","NA",INDEX(calc!$AX$207:$AX$389,MATCH(AN325,calc!$AC$207:$AC$389,1)))))</f>
        <v>40</v>
      </c>
      <c r="AO331" s="3062"/>
      <c r="AP331" s="3063"/>
      <c r="AQ331" s="3061">
        <f>IF(AQ332="NA","NA",IF(AQ332="SCT","NONE",IF(INDEX(calc!$AX$207:$AX$389,MATCH(AQ325,calc!$AC$207:$AC$389,1))="","NA",INDEX(calc!$AX$207:$AX$389,MATCH(AQ325,calc!$AC$207:$AC$389,1)))))</f>
        <v>250</v>
      </c>
      <c r="AR331" s="3062"/>
      <c r="AS331" s="3063"/>
      <c r="AT331" s="3061">
        <f>IF(AT332="NA","NA",IF(AT332="SCT","NONE",IF(INDEX(calc!$AX$207:$AX$389,MATCH(AT325,calc!$AC$207:$AC$389,1))="","NA",INDEX(calc!$AX$207:$AX$389,MATCH(AT325,calc!$AC$207:$AC$389,1)))))</f>
        <v>250</v>
      </c>
      <c r="AU331" s="3062"/>
      <c r="AV331" s="3063"/>
      <c r="AW331" s="3061">
        <f>IF(AW332="NA","NA",IF(AW332="SCT","NONE",IF(INDEX(calc!$AX$207:$AX$389,MATCH(AW325,calc!$AC$207:$AC$389,1))="","NA",INDEX(calc!$AX$207:$AX$389,MATCH(AW325,calc!$AC$207:$AC$389,1)))))</f>
        <v>250</v>
      </c>
      <c r="AX331" s="3062"/>
      <c r="AY331" s="3063"/>
      <c r="AZ331" s="3061">
        <f>IF(AZ332="NA","NA",IF(AZ332="SCT","NONE",IF(INDEX(calc!$AX$207:$AX$389,MATCH(AZ325,calc!$AC$207:$AC$389,1))="","NA",INDEX(calc!$AX$207:$AX$389,MATCH(AZ325,calc!$AC$207:$AC$389,1)))))</f>
        <v>250</v>
      </c>
      <c r="BA331" s="3062"/>
      <c r="BB331" s="3063"/>
      <c r="BC331" s="3061">
        <f>IF(BC332="NA","NA",IF(BC332="SCT","NONE",IF(INDEX(calc!$AX$207:$AX$389,MATCH(BC325,calc!$AC$207:$AC$389,1))="","NA",INDEX(calc!$AX$207:$AX$389,MATCH(BC325,calc!$AC$207:$AC$389,1)))))</f>
        <v>250</v>
      </c>
      <c r="BD331" s="3062"/>
      <c r="BE331" s="3063"/>
      <c r="BF331" s="3061">
        <f>IF(BF332="NA","NA",IF(BF332="SCT","NONE",IF(INDEX(calc!$AX$207:$AX$389,MATCH(BF325,calc!$AC$207:$AC$389,1))="","NA",INDEX(calc!$AX$207:$AX$389,MATCH(BF325,calc!$AC$207:$AC$389,1)))))</f>
        <v>250</v>
      </c>
      <c r="BG331" s="3062"/>
      <c r="BH331" s="3063"/>
      <c r="BI331" s="3061">
        <f>IF(BI332="NA","NA",IF(BI332="SCT","NONE",IF(INDEX(calc!$AX$207:$AX$389,MATCH(BI325,calc!$AC$207:$AC$389,1))="","NA",INDEX(calc!$AX$207:$AX$389,MATCH(BI325,calc!$AC$207:$AC$389,1)))))</f>
        <v>250</v>
      </c>
      <c r="BJ331" s="3062"/>
      <c r="BK331" s="3063"/>
      <c r="BL331" s="3061">
        <f>IF(BL332="NA","NA",IF(BL332="SCT","NONE",IF(INDEX(calc!$AX$207:$AX$389,MATCH(BL325,calc!$AC$207:$AC$389,1))="","NA",INDEX(calc!$AX$207:$AX$389,MATCH(BL325,calc!$AC$207:$AC$389,1)))))</f>
        <v>250</v>
      </c>
      <c r="BM331" s="3062"/>
      <c r="BN331" s="3063"/>
      <c r="BO331" s="3061">
        <f>IF(BO332="NA","NA",IF(BO332="SCT","NONE",IF(INDEX(calc!$AX$207:$AX$389,MATCH(BO325,calc!$AC$207:$AC$389,1))="","NA",INDEX(calc!$AX$207:$AX$389,MATCH(BO325,calc!$AC$207:$AC$389,1)))))</f>
        <v>250</v>
      </c>
      <c r="BP331" s="3062"/>
      <c r="BQ331" s="3063"/>
      <c r="BR331" s="3061">
        <f>IF(BR332="NA","NA",IF(BR332="SCT","NONE",IF(INDEX(calc!$AX$207:$AX$389,MATCH(BR325,calc!$AC$207:$AC$389,1))="","NA",INDEX(calc!$AX$207:$AX$389,MATCH(BR325,calc!$AC$207:$AC$389,1)))))</f>
        <v>250</v>
      </c>
      <c r="BS331" s="3062"/>
      <c r="BT331" s="3063"/>
      <c r="BU331" s="3061">
        <f>IF(BU332="NA","NA",IF(BU332="SCT","NONE",IF(INDEX(calc!$AX$207:$AX$389,MATCH(BU325,calc!$AC$207:$AC$389,1))="","NA",INDEX(calc!$AX$207:$AX$389,MATCH(BU325,calc!$AC$207:$AC$389,1)))))</f>
        <v>200</v>
      </c>
      <c r="BV331" s="3062"/>
      <c r="BW331" s="3063"/>
      <c r="BX331" s="3061" t="str">
        <f>IF(BX332="NA","NA",IF(BX332="SCT","NONE",IF(INDEX(calc!$AX$207:$AX$389,MATCH(BX325,calc!$AC$207:$AC$389,1))="","NA",INDEX(calc!$AX$207:$AX$389,MATCH(BX325,calc!$AC$207:$AC$389,1)))))</f>
        <v>NONE</v>
      </c>
      <c r="BY331" s="3062"/>
      <c r="BZ331" s="3063"/>
      <c r="CA331" s="3061" t="str">
        <f>IF(CA332="NA","NA",IF(CA332="SCT","NONE",IF(INDEX(calc!$AX$207:$AX$389,MATCH(CA325,calc!$AC$207:$AC$389,1))="","NA",INDEX(calc!$AX$207:$AX$389,MATCH(CA325,calc!$AC$207:$AC$389,1)))))</f>
        <v>NONE</v>
      </c>
      <c r="CB331" s="3062"/>
      <c r="CC331" s="3063"/>
      <c r="CD331" s="3061" t="str">
        <f>IF(CD332="NA","NA",IF(CD332="SCT","NONE",IF(INDEX(calc!$AX$207:$AX$389,MATCH(CD325,calc!$AC$207:$AC$389,1))="","NA",INDEX(calc!$AX$207:$AX$389,MATCH(CD325,calc!$AC$207:$AC$389,1)))))</f>
        <v>NONE</v>
      </c>
      <c r="CE331" s="3062"/>
      <c r="CF331" s="3063"/>
      <c r="CG331" s="3061" t="str">
        <f>IF(CG332="NA","NA",IF(CG332="SCT","NONE",IF(INDEX(calc!$AX$207:$AX$389,MATCH(CG325,calc!$AC$207:$AC$389,1))="","NA",INDEX(calc!$AX$207:$AX$389,MATCH(CG325,calc!$AC$207:$AC$389,1)))))</f>
        <v>NONE</v>
      </c>
      <c r="CH331" s="3062"/>
      <c r="CI331" s="3063"/>
      <c r="CJ331" s="3061" t="str">
        <f>IF(CJ332="NA","NA",IF(CJ332="SCT","NONE",IF(INDEX(calc!$AX$207:$AX$389,MATCH(CJ325,calc!$AC$207:$AC$389,1))="","NA",INDEX(calc!$AX$207:$AX$389,MATCH(CJ325,calc!$AC$207:$AC$389,1)))))</f>
        <v>NONE</v>
      </c>
      <c r="CK331" s="3062"/>
      <c r="CL331" s="3063"/>
      <c r="CM331" s="3061" t="str">
        <f>IF(CM332="NA","NA",IF(CM332="SCT","NONE",IF(INDEX(calc!$AX$207:$AX$389,MATCH(CM325,calc!$AC$207:$AC$389,1))="","NA",INDEX(calc!$AX$207:$AX$389,MATCH(CM325,calc!$AC$207:$AC$389,1)))))</f>
        <v>NONE</v>
      </c>
      <c r="CN331" s="3062"/>
      <c r="CO331" s="3063"/>
      <c r="CP331" s="3061" t="str">
        <f>IF(CP332="NA","NA",IF(CP332="SCT","NONE",IF(INDEX(calc!$AX$207:$AX$389,MATCH(CP325,calc!$AC$207:$AC$389,1))="","NA",INDEX(calc!$AX$207:$AX$389,MATCH(CP325,calc!$AC$207:$AC$389,1)))))</f>
        <v>NONE</v>
      </c>
      <c r="CQ331" s="3062"/>
      <c r="CR331" s="3063"/>
      <c r="CS331" s="3061" t="str">
        <f>IF(CS332="NA","NA",IF(CS332="SCT","NONE",IF(INDEX(calc!$AX$207:$AX$389,MATCH(CS325,calc!$AC$207:$AC$389,1))="","NA",INDEX(calc!$AX$207:$AX$389,MATCH(CS325,calc!$AC$207:$AC$389,1)))))</f>
        <v>NONE</v>
      </c>
      <c r="CT331" s="3062"/>
      <c r="CU331" s="3063"/>
      <c r="CV331" s="3061" t="str">
        <f>IF(CV332="NA","NA",IF(CV332="SCT","NONE",IF(INDEX(calc!$AX$207:$AX$389,MATCH(CV325,calc!$AC$207:$AC$389,1))="","NA",INDEX(calc!$AX$207:$AX$389,MATCH(CV325,calc!$AC$207:$AC$389,1)))))</f>
        <v>NONE</v>
      </c>
      <c r="CW331" s="3062"/>
      <c r="CX331" s="3063"/>
      <c r="CY331" s="3061" t="str">
        <f>IF(CY332="NA","NA",IF(CY332="SCT","NONE",IF(INDEX(calc!$AX$207:$AX$389,MATCH(CY325,calc!$AC$207:$AC$389,1))="","NA",INDEX(calc!$AX$207:$AX$389,MATCH(CY325,calc!$AC$207:$AC$389,1)))))</f>
        <v>NONE</v>
      </c>
      <c r="CZ331" s="3062"/>
      <c r="DA331" s="3063"/>
      <c r="DB331" s="3061" t="str">
        <f>IF(DB332="NA","NA",IF(DB332="SCT","NONE",IF(INDEX(calc!$AX$207:$AX$389,MATCH(DB325,calc!$AC$207:$AC$389,1))="","NA",INDEX(calc!$AX$207:$AX$389,MATCH(DB325,calc!$AC$207:$AC$389,1)))))</f>
        <v>NONE</v>
      </c>
      <c r="DC331" s="3062"/>
      <c r="DD331" s="3063"/>
      <c r="DE331" s="3061" t="str">
        <f>IF(DE332="NA","NA",IF(DE332="SCT","NONE",IF(INDEX(calc!$AX$207:$AX$389,MATCH(DE325,calc!$AC$207:$AC$389,1))="","NA",INDEX(calc!$AX$207:$AX$389,MATCH(DE325,calc!$AC$207:$AC$389,1)))))</f>
        <v>NONE</v>
      </c>
      <c r="DF331" s="3062"/>
      <c r="DG331" s="3063"/>
      <c r="DH331" s="3061" t="str">
        <f>IF(DH332="NA","NA",IF(DH332="SCT","NONE",IF(INDEX(calc!$AX$207:$AX$389,MATCH(DH325,calc!$AC$207:$AC$389,1))="","NA",INDEX(calc!$AX$207:$AX$389,MATCH(DH325,calc!$AC$207:$AC$389,1)))))</f>
        <v>NONE</v>
      </c>
      <c r="DI331" s="3062"/>
      <c r="DJ331" s="3063"/>
      <c r="DK331" s="3061" t="str">
        <f>IF(DK332="NA","NA",IF(DK332="SCT","NONE",IF(INDEX(calc!$AX$207:$AX$389,MATCH(DK325,calc!$AC$207:$AC$389,1))="","NA",INDEX(calc!$AX$207:$AX$389,MATCH(DK325,calc!$AC$207:$AC$389,1)))))</f>
        <v>NONE</v>
      </c>
      <c r="DL331" s="3062"/>
      <c r="DM331" s="3063"/>
      <c r="DN331" s="3061">
        <f>IF(DN332="NA","NA",IF(DN332="SCT","NONE",IF(INDEX(calc!$AX$207:$AX$389,MATCH(DN325,calc!$AC$207:$AC$389,1))="","NA",INDEX(calc!$AX$207:$AX$389,MATCH(DN325,calc!$AC$207:$AC$389,1)))))</f>
        <v>250</v>
      </c>
      <c r="DO331" s="3062"/>
      <c r="DP331" s="3063"/>
      <c r="DQ331" s="3061">
        <f>IF(DQ332="NA","NA",IF(DQ332="SCT","NONE",IF(INDEX(calc!$AX$207:$AX$389,MATCH(DQ325,calc!$AC$207:$AC$389,1))="","NA",INDEX(calc!$AX$207:$AX$389,MATCH(DQ325,calc!$AC$207:$AC$389,1)))))</f>
        <v>30</v>
      </c>
      <c r="DR331" s="3062"/>
      <c r="DS331" s="3063"/>
      <c r="DT331" s="3061">
        <f>IF(DT332="NA","NA",IF(DT332="SCT","NONE",IF(INDEX(calc!$AX$207:$AX$389,MATCH(DT325,calc!$AC$207:$AC$389,1))="","NA",INDEX(calc!$AX$207:$AX$389,MATCH(DT325,calc!$AC$207:$AC$389,1)))))</f>
        <v>17</v>
      </c>
      <c r="DU331" s="3062"/>
      <c r="DV331" s="3063"/>
      <c r="DW331" s="3061">
        <f>IF(DW332="NA","NA",IF(DW332="SCT","NONE",IF(INDEX(calc!$AX$207:$AX$389,MATCH(DW325,calc!$AC$207:$AC$389,1))="","NA",INDEX(calc!$AX$207:$AX$389,MATCH(DW325,calc!$AC$207:$AC$389,1)))))</f>
        <v>20</v>
      </c>
      <c r="DX331" s="3062"/>
      <c r="DY331" s="3063"/>
      <c r="DZ331" s="3061">
        <f>IF(DZ332="NA","NA",IF(DZ332="SCT","NONE",IF(INDEX(calc!$AX$207:$AX$389,MATCH(DZ325,calc!$AC$207:$AC$389,1))="","NA",INDEX(calc!$AX$207:$AX$389,MATCH(DZ325,calc!$AC$207:$AC$389,1)))))</f>
        <v>20</v>
      </c>
      <c r="EA331" s="3062"/>
      <c r="EB331" s="3063"/>
      <c r="EC331" s="3061">
        <f>IF(EC332="NA","NA",IF(EC332="SCT","NONE",IF(INDEX(calc!$AX$207:$AX$389,MATCH(EC325,calc!$AC$207:$AC$389,1))="","NA",INDEX(calc!$AX$207:$AX$389,MATCH(EC325,calc!$AC$207:$AC$389,1)))))</f>
        <v>20</v>
      </c>
      <c r="ED331" s="3062"/>
      <c r="EE331" s="3063"/>
      <c r="EF331" s="3061">
        <f>IF(EF332="NA","NA",IF(EF332="SCT","NONE",IF(INDEX(calc!$AX$207:$AX$389,MATCH(EF325,calc!$AC$207:$AC$389,1))="","NA",INDEX(calc!$AX$207:$AX$389,MATCH(EF325,calc!$AC$207:$AC$389,1)))))</f>
        <v>48</v>
      </c>
      <c r="EG331" s="3062"/>
      <c r="EH331" s="3063"/>
      <c r="EI331" s="3061" t="str">
        <f>IF(EI332="NA","NA",IF(EI332="SCT","NONE",IF(INDEX(calc!$AX$207:$AX$389,MATCH(EI325,calc!$AC$207:$AC$389,1))="","NA",INDEX(calc!$AX$207:$AX$389,MATCH(EI325,calc!$AC$207:$AC$389,1)))))</f>
        <v>NONE</v>
      </c>
      <c r="EJ331" s="3062"/>
      <c r="EK331" s="3063"/>
      <c r="EL331" s="3061" t="str">
        <f>IF(EL332="NA","NA",IF(EL332="SCT","NONE",IF(INDEX(calc!$AX$207:$AX$389,MATCH(EL325,calc!$AC$207:$AC$389,1))="","NA",INDEX(calc!$AX$207:$AX$389,MATCH(EL325,calc!$AC$207:$AC$389,1)))))</f>
        <v>NONE</v>
      </c>
      <c r="EM331" s="3062"/>
      <c r="EN331" s="3063"/>
      <c r="EO331" s="3061" t="str">
        <f>IF(EO332="NA","NA",IF(EO332="SCT","NONE",IF(INDEX(calc!$AX$207:$AX$389,MATCH(EO325,calc!$AC$207:$AC$389,1))="","NA",INDEX(calc!$AX$207:$AX$389,MATCH(EO325,calc!$AC$207:$AC$389,1)))))</f>
        <v>NONE</v>
      </c>
      <c r="EP331" s="3062"/>
      <c r="EQ331" s="3063"/>
      <c r="ER331" s="3061" t="str">
        <f>IF(ER332="NA","NA",IF(ER332="SCT","NONE",IF(INDEX(calc!$AX$207:$AX$389,MATCH(ER325,calc!$AC$207:$AC$389,1))="","NA",INDEX(calc!$AX$207:$AX$389,MATCH(ER325,calc!$AC$207:$AC$389,1)))))</f>
        <v>NONE</v>
      </c>
      <c r="ES331" s="3062"/>
      <c r="ET331" s="3063"/>
      <c r="EU331" s="3061" t="str">
        <f>IF(EU332="NA","NA",IF(EU332="SCT","NONE",IF(INDEX(calc!$AX$207:$AX$389,MATCH(EU325,calc!$AC$207:$AC$389,1))="","NA",INDEX(calc!$AX$207:$AX$389,MATCH(EU325,calc!$AC$207:$AC$389,1)))))</f>
        <v>NONE</v>
      </c>
      <c r="EV331" s="3062"/>
      <c r="EW331" s="3063"/>
      <c r="EX331" s="3061" t="str">
        <f>IF(EX332="NA","NA",IF(EX332="SCT","NONE",IF(INDEX(calc!$AX$207:$AX$389,MATCH(EX325,calc!$AC$207:$AC$389,1))="","NA",INDEX(calc!$AX$207:$AX$389,MATCH(EX325,calc!$AC$207:$AC$389,1)))))</f>
        <v>NONE</v>
      </c>
      <c r="EY331" s="3062"/>
      <c r="EZ331" s="3063"/>
      <c r="FA331" s="3061" t="str">
        <f>IF(FA332="NA","NA",IF(FA332="SCT","NONE",IF(INDEX(calc!$AX$207:$AX$389,MATCH(FA325,calc!$AC$207:$AC$389,1))="","NA",INDEX(calc!$AX$207:$AX$389,MATCH(FA325,calc!$AC$207:$AC$389,1)))))</f>
        <v>NONE</v>
      </c>
      <c r="FB331" s="3062"/>
      <c r="FC331" s="3063"/>
      <c r="FD331" s="3061" t="str">
        <f>IF(FD332="NA","NA",IF(FD332="SCT","NONE",IF(INDEX(calc!$AX$207:$AX$389,MATCH(FD325,calc!$AC$207:$AC$389,1))="","NA",INDEX(calc!$AX$207:$AX$389,MATCH(FD325,calc!$AC$207:$AC$389,1)))))</f>
        <v>NONE</v>
      </c>
      <c r="FE331" s="3062"/>
      <c r="FF331" s="3537"/>
      <c r="FG331" s="3061">
        <f>IF(FG332="NA","NA",IF(FG332="SCT","NONE",IF(INDEX(calc!$AX$207:$AX$389,MATCH(FG325,calc!$AC$207:$AC$389,1))="","NA",INDEX(calc!$AX$207:$AX$389,MATCH(FG325,calc!$AC$207:$AC$389,1)))))</f>
        <v>30</v>
      </c>
      <c r="FH331" s="3062"/>
      <c r="FI331" s="3537"/>
      <c r="FJ331" s="3061" t="str">
        <f>IF(FJ332="NA","NA",IF(FJ332="SCT","NONE",IF(INDEX(calc!$AX$207:$AX$389,MATCH(FJ325,calc!$AC$207:$AC$389,1))="","NA",INDEX(calc!$AX$207:$AX$389,MATCH(FJ325,calc!$AC$207:$AC$389,1)))))</f>
        <v>NONE</v>
      </c>
      <c r="FK331" s="3062"/>
      <c r="FL331" s="3537"/>
      <c r="FM331" s="3061" t="str">
        <f>IF(FM332="NA","NA",IF(FM332="SCT","NONE",IF(INDEX(calc!$AX$207:$AX$389,MATCH(FM325,calc!$AC$207:$AC$389,1))="","NA",INDEX(calc!$AX$207:$AX$389,MATCH(FM325,calc!$AC$207:$AC$389,1)))))</f>
        <v>NONE</v>
      </c>
      <c r="FN331" s="3062"/>
      <c r="FO331" s="3537"/>
      <c r="FP331" s="3061">
        <f>IF(FP332="NA","NA",IF(FP332="SCT","NONE",IF(INDEX(calc!$AX$207:$AX$389,MATCH(FP325,calc!$AC$207:$AC$389,1))="","NA",INDEX(calc!$AX$207:$AX$389,MATCH(FP325,calc!$AC$207:$AC$389,1)))))</f>
        <v>7</v>
      </c>
      <c r="FQ331" s="3062"/>
      <c r="FR331" s="3537"/>
      <c r="FS331" s="3061" t="str">
        <f>IF(FS332="NA","NA",IF(FS332="SCT","NONE",IF(INDEX(calc!$AX$207:$AX$389,MATCH(FS325,calc!$AC$207:$AC$389,1))="","NA",INDEX(calc!$AX$207:$AX$389,MATCH(FS325,calc!$AC$207:$AC$389,1)))))</f>
        <v>NONE</v>
      </c>
      <c r="FT331" s="3062"/>
      <c r="FU331" s="3537"/>
      <c r="FV331" s="3061" t="str">
        <f>IF(FV332="NA","NA",IF(FV332="SCT","NONE",IF(INDEX(calc!$AX$207:$AX$389,MATCH(FV325,calc!$AC$207:$AC$389,1))="","NA",INDEX(calc!$AX$207:$AX$389,MATCH(FV325,calc!$AC$207:$AC$389,1)))))</f>
        <v>NA</v>
      </c>
      <c r="FW331" s="3062"/>
      <c r="FX331" s="3537"/>
      <c r="FY331" s="3061" t="str">
        <f>IF(FY332="NA","NA",IF(FY332="SCT","NONE",IF(INDEX(calc!$AX$207:$AX$389,MATCH(FY325,calc!$AC$207:$AC$389,1))="","NA",INDEX(calc!$AX$207:$AX$389,MATCH(FY325,calc!$AC$207:$AC$389,1)))))</f>
        <v>NA</v>
      </c>
      <c r="FZ331" s="3062"/>
      <c r="GA331" s="3537"/>
      <c r="GB331" s="3061" t="str">
        <f>IF(GB332="NA","NA",IF(GB332="SCT","NONE",IF(INDEX(calc!$AX$207:$AX$389,MATCH(GB325,calc!$AC$207:$AC$389,1))="","NA",INDEX(calc!$AX$207:$AX$389,MATCH(GB325,calc!$AC$207:$AC$389,1)))))</f>
        <v>NA</v>
      </c>
      <c r="GC331" s="3062"/>
      <c r="GD331" s="3537"/>
      <c r="GE331" s="3061" t="str">
        <f>IF(GE332="NA","NA",IF(GE332="SCT","NONE",IF(INDEX(calc!$AX$207:$AX$389,MATCH(GE325,calc!$AC$207:$AC$389,1))="","NA",INDEX(calc!$AX$207:$AX$389,MATCH(GE325,calc!$AC$207:$AC$389,1)))))</f>
        <v>NA</v>
      </c>
      <c r="GF331" s="3062"/>
      <c r="GG331" s="3537"/>
      <c r="GH331" s="3061" t="str">
        <f>IF(GH332="NA","NA",IF(GH332="SCT","NONE",IF(INDEX(calc!$AX$207:$AX$389,MATCH(GH325,calc!$AC$207:$AC$389,1))="","NA",INDEX(calc!$AX$207:$AX$389,MATCH(GH325,calc!$AC$207:$AC$389,1)))))</f>
        <v>NA</v>
      </c>
      <c r="GI331" s="3062"/>
      <c r="GJ331" s="3537"/>
      <c r="GK331" s="3061" t="str">
        <f>IF(GK332="NA","NA",IF(GK332="SCT","NONE",IF(INDEX(calc!$AX$207:$AX$389,MATCH(GK325,calc!$AC$207:$AC$389,1))="","NA",INDEX(calc!$AX$207:$AX$389,MATCH(GK325,calc!$AC$207:$AC$389,1)))))</f>
        <v>NA</v>
      </c>
      <c r="GL331" s="3062"/>
      <c r="GM331" s="3537"/>
      <c r="GN331" s="3061" t="str">
        <f>IF(GN332="NA","NA",IF(GN332="SCT","NONE",IF(INDEX(calc!$AX$207:$AX$389,MATCH(GN325,calc!$AC$207:$AC$389,1))="","NA",INDEX(calc!$AX$207:$AX$389,MATCH(GN325,calc!$AC$207:$AC$389,1)))))</f>
        <v>NA</v>
      </c>
      <c r="GO331" s="3062"/>
      <c r="GP331" s="3537"/>
      <c r="GQ331" s="3061" t="e">
        <f>IF(GQ332="NA","NA",IF(GQ332="SCT","NONE",IF(INDEX(calc!$AX$207:$AX$389,MATCH(GQ325,calc!$AC$207:$AC$389,1))="","NA",INDEX(calc!$AX$207:$AX$389,MATCH(GQ325,calc!$AC$207:$AC$389,1)))))</f>
        <v>#REF!</v>
      </c>
      <c r="GR331" s="3062"/>
      <c r="GS331" s="3537"/>
    </row>
    <row r="332" spans="2:201" s="539" customFormat="1" ht="15" customHeight="1">
      <c r="L332" s="1166" t="s">
        <v>3066</v>
      </c>
      <c r="M332" s="1047"/>
      <c r="N332" s="1047"/>
      <c r="O332" s="1047"/>
      <c r="P332" s="1047"/>
      <c r="Q332" s="1047"/>
      <c r="R332" s="1047"/>
      <c r="S332" s="1047"/>
      <c r="T332" s="1074"/>
      <c r="U332" s="1074"/>
      <c r="V332" s="1074"/>
      <c r="W332" s="1074"/>
      <c r="X332" s="1072"/>
      <c r="Y332" s="1072"/>
      <c r="Z332" s="1072"/>
      <c r="AA332" s="1071" t="s">
        <v>374</v>
      </c>
      <c r="AB332" s="3077" t="str">
        <f>IF(INDEX(calc!$AW$207:$AW$389,MATCH(AB325,calc!$AC$207:$AC$389,1))="","NA",INDEX(calc!$AW$207:$AW$389,MATCH(AB325,calc!$AC$207:$AC$389,1)))</f>
        <v>SCT</v>
      </c>
      <c r="AC332" s="3078"/>
      <c r="AD332" s="3078"/>
      <c r="AE332" s="3077" t="str">
        <f>IF(INDEX(calc!$AW$207:$AW$389,MATCH(AE325,calc!$AC$207:$AC$389,1)+1)="","NA",INDEX(calc!$AW$207:$AW$389,MATCH(AE325,calc!$AC$207:$AC$389,1)+1))</f>
        <v>SCT</v>
      </c>
      <c r="AF332" s="3078"/>
      <c r="AG332" s="3078"/>
      <c r="AH332" s="3077" t="str">
        <f>IF(INDEX(calc!$AW$207:$AW$389,MATCH(AH325,calc!$AC$207:$AC$389,1)+1)="","NA",INDEX(calc!$AW$207:$AW$389,MATCH(AH325,calc!$AC$207:$AC$389,1)+1))</f>
        <v>SCT</v>
      </c>
      <c r="AI332" s="3078"/>
      <c r="AJ332" s="3078"/>
      <c r="AK332" s="3077" t="str">
        <f>IF(INDEX(calc!$AW$207:$AW$389,MATCH(AK325,calc!$AC$207:$AC$389,1)+1)="","NA",INDEX(calc!$AW$207:$AW$389,MATCH(AK325,calc!$AC$207:$AC$389,1)+1))</f>
        <v>SCT</v>
      </c>
      <c r="AL332" s="3078"/>
      <c r="AM332" s="3078"/>
      <c r="AN332" s="3077" t="str">
        <f>IF(INDEX(calc!$AW$207:$AW$389,MATCH(AN325,calc!$AC$207:$AC$389,1)+1)="","NA",INDEX(calc!$AW$207:$AW$389,MATCH(AN325,calc!$AC$207:$AC$389,1)+1))</f>
        <v>BKN</v>
      </c>
      <c r="AO332" s="3078"/>
      <c r="AP332" s="3078"/>
      <c r="AQ332" s="3077" t="str">
        <f>IF(INDEX(calc!$AW$207:$AW$389,MATCH(AQ325,calc!$AC$207:$AC$389,1)+1)="","NA",INDEX(calc!$AW$207:$AW$389,MATCH(AQ325,calc!$AC$207:$AC$389,1)+1))</f>
        <v>BKN</v>
      </c>
      <c r="AR332" s="3078"/>
      <c r="AS332" s="3078"/>
      <c r="AT332" s="3077" t="str">
        <f>IF(INDEX(calc!$AW$207:$AW$389,MATCH(AT325,calc!$AC$207:$AC$389,1)+1)="","NA",INDEX(calc!$AW$207:$AW$389,MATCH(AT325,calc!$AC$207:$AC$389,1)+1))</f>
        <v>BKN</v>
      </c>
      <c r="AU332" s="3078"/>
      <c r="AV332" s="3078"/>
      <c r="AW332" s="3077" t="str">
        <f>IF(INDEX(calc!$AW$207:$AW$389,MATCH(AW325,calc!$AC$207:$AC$389,1)+1)="","NA",INDEX(calc!$AW$207:$AW$389,MATCH(AW325,calc!$AC$207:$AC$389,1)+1))</f>
        <v>BKN</v>
      </c>
      <c r="AX332" s="3078"/>
      <c r="AY332" s="3078"/>
      <c r="AZ332" s="3077" t="str">
        <f>IF(INDEX(calc!$AW$207:$AW$389,MATCH(AZ325,calc!$AC$207:$AC$389,1)+1)="","NA",INDEX(calc!$AW$207:$AW$389,MATCH(AZ325,calc!$AC$207:$AC$389,1)+1))</f>
        <v>BKN</v>
      </c>
      <c r="BA332" s="3078"/>
      <c r="BB332" s="3078"/>
      <c r="BC332" s="3077" t="str">
        <f>IF(INDEX(calc!$AW$207:$AW$389,MATCH(BC325,calc!$AC$207:$AC$389,1)+1)="","NA",INDEX(calc!$AW$207:$AW$389,MATCH(BC325,calc!$AC$207:$AC$389,1)+1))</f>
        <v>BKN</v>
      </c>
      <c r="BD332" s="3078"/>
      <c r="BE332" s="3078"/>
      <c r="BF332" s="3077" t="str">
        <f>IF(INDEX(calc!$AW$207:$AW$389,MATCH(BF325,calc!$AC$207:$AC$389,1)+1)="","NA",INDEX(calc!$AW$207:$AW$389,MATCH(BF325,calc!$AC$207:$AC$389,1)+1))</f>
        <v>BKN</v>
      </c>
      <c r="BG332" s="3078"/>
      <c r="BH332" s="3078"/>
      <c r="BI332" s="3077" t="str">
        <f>IF(INDEX(calc!$AW$207:$AW$389,MATCH(BI325,calc!$AC$207:$AC$389,1)+1)="","NA",INDEX(calc!$AW$207:$AW$389,MATCH(BI325,calc!$AC$207:$AC$389,1)+1))</f>
        <v>BKN</v>
      </c>
      <c r="BJ332" s="3078"/>
      <c r="BK332" s="3078"/>
      <c r="BL332" s="3077" t="str">
        <f>IF(INDEX(calc!$AW$207:$AW$389,MATCH(BL325,calc!$AC$207:$AC$389,1)+1)="","NA",INDEX(calc!$AW$207:$AW$389,MATCH(BL325,calc!$AC$207:$AC$389,1)+1))</f>
        <v>BKN</v>
      </c>
      <c r="BM332" s="3078"/>
      <c r="BN332" s="3078"/>
      <c r="BO332" s="3077" t="str">
        <f>IF(INDEX(calc!$AW$207:$AW$389,MATCH(BO325,calc!$AC$207:$AC$389,1)+1)="","NA",INDEX(calc!$AW$207:$AW$389,MATCH(BO325,calc!$AC$207:$AC$389,1)+1))</f>
        <v>BKN</v>
      </c>
      <c r="BP332" s="3078"/>
      <c r="BQ332" s="3078"/>
      <c r="BR332" s="3077" t="str">
        <f>IF(INDEX(calc!$AW$207:$AW$389,MATCH(BR325,calc!$AC$207:$AC$389,1)+1)="","NA",INDEX(calc!$AW$207:$AW$389,MATCH(BR325,calc!$AC$207:$AC$389,1)+1))</f>
        <v>BKN</v>
      </c>
      <c r="BS332" s="3078"/>
      <c r="BT332" s="3078"/>
      <c r="BU332" s="3077" t="str">
        <f>IF(INDEX(calc!$AW$207:$AW$389,MATCH(BU325,calc!$AC$207:$AC$389,1)+1)="","NA",INDEX(calc!$AW$207:$AW$389,MATCH(BU325,calc!$AC$207:$AC$389,1)+1))</f>
        <v>BKN</v>
      </c>
      <c r="BV332" s="3078"/>
      <c r="BW332" s="3078"/>
      <c r="BX332" s="3077" t="str">
        <f>IF(INDEX(calc!$AW$207:$AW$389,MATCH(BX325,calc!$AC$207:$AC$389,1)+1)="","NA",INDEX(calc!$AW$207:$AW$389,MATCH(BX325,calc!$AC$207:$AC$389,1)+1))</f>
        <v>SCT</v>
      </c>
      <c r="BY332" s="3078"/>
      <c r="BZ332" s="3078"/>
      <c r="CA332" s="3077" t="str">
        <f>IF(INDEX(calc!$AW$207:$AW$389,MATCH(CA325,calc!$AC$207:$AC$389,1)+1)="","NA",INDEX(calc!$AW$207:$AW$389,MATCH(CA325,calc!$AC$207:$AC$389,1)+1))</f>
        <v>SCT</v>
      </c>
      <c r="CB332" s="3078"/>
      <c r="CC332" s="3078"/>
      <c r="CD332" s="3077" t="str">
        <f>IF(INDEX(calc!$AW$207:$AW$389,MATCH(CD325,calc!$AC$207:$AC$389,1)+1)="","NA",INDEX(calc!$AW$207:$AW$389,MATCH(CD325,calc!$AC$207:$AC$389,1)+1))</f>
        <v>SCT</v>
      </c>
      <c r="CE332" s="3078"/>
      <c r="CF332" s="3078"/>
      <c r="CG332" s="3077" t="str">
        <f>IF(INDEX(calc!$AW$207:$AW$389,MATCH(CG325,calc!$AC$207:$AC$389,1)+1)="","NA",INDEX(calc!$AW$207:$AW$389,MATCH(CG325,calc!$AC$207:$AC$389,1)+1))</f>
        <v>SCT</v>
      </c>
      <c r="CH332" s="3078"/>
      <c r="CI332" s="3078"/>
      <c r="CJ332" s="3077" t="str">
        <f>IF(INDEX(calc!$AW$207:$AW$389,MATCH(CJ325,calc!$AC$207:$AC$389,1)+1)="","NA",INDEX(calc!$AW$207:$AW$389,MATCH(CJ325,calc!$AC$207:$AC$389,1)+1))</f>
        <v>SCT</v>
      </c>
      <c r="CK332" s="3078"/>
      <c r="CL332" s="3078"/>
      <c r="CM332" s="3077" t="str">
        <f>IF(INDEX(calc!$AW$207:$AW$389,MATCH(CM325,calc!$AC$207:$AC$389,1)+1)="","NA",INDEX(calc!$AW$207:$AW$389,MATCH(CM325,calc!$AC$207:$AC$389,1)+1))</f>
        <v>SCT</v>
      </c>
      <c r="CN332" s="3078"/>
      <c r="CO332" s="3078"/>
      <c r="CP332" s="3077" t="str">
        <f>IF(INDEX(calc!$AW$207:$AW$389,MATCH(CP325,calc!$AC$207:$AC$389,1)+1)="","NA",INDEX(calc!$AW$207:$AW$389,MATCH(CP325,calc!$AC$207:$AC$389,1)+1))</f>
        <v>SCT</v>
      </c>
      <c r="CQ332" s="3078"/>
      <c r="CR332" s="3078"/>
      <c r="CS332" s="3077" t="str">
        <f>IF(INDEX(calc!$AW$207:$AW$389,MATCH(CS325,calc!$AC$207:$AC$389,1)+1)="","NA",INDEX(calc!$AW$207:$AW$389,MATCH(CS325,calc!$AC$207:$AC$389,1)+1))</f>
        <v>SCT</v>
      </c>
      <c r="CT332" s="3078"/>
      <c r="CU332" s="3078"/>
      <c r="CV332" s="3077" t="str">
        <f>IF(INDEX(calc!$AW$207:$AW$389,MATCH(CV325,calc!$AC$207:$AC$389,1)+1)="","NA",INDEX(calc!$AW$207:$AW$389,MATCH(CV325,calc!$AC$207:$AC$389,1)+1))</f>
        <v>SCT</v>
      </c>
      <c r="CW332" s="3078"/>
      <c r="CX332" s="3078"/>
      <c r="CY332" s="3077" t="str">
        <f>IF(INDEX(calc!$AW$207:$AW$389,MATCH(CY325,calc!$AC$207:$AC$389,1)+1)="","NA",INDEX(calc!$AW$207:$AW$389,MATCH(CY325,calc!$AC$207:$AC$389,1)+1))</f>
        <v>SCT</v>
      </c>
      <c r="CZ332" s="3078"/>
      <c r="DA332" s="3078"/>
      <c r="DB332" s="3077" t="str">
        <f>IF(INDEX(calc!$AW$207:$AW$389,MATCH(DB325,calc!$AC$207:$AC$389,1)+1)="","NA",INDEX(calc!$AW$207:$AW$389,MATCH(DB325,calc!$AC$207:$AC$389,1)+1))</f>
        <v>SCT</v>
      </c>
      <c r="DC332" s="3078"/>
      <c r="DD332" s="3078"/>
      <c r="DE332" s="3077" t="str">
        <f>IF(INDEX(calc!$AW$207:$AW$389,MATCH(DE325,calc!$AC$207:$AC$389,1)+1)="","NA",INDEX(calc!$AW$207:$AW$389,MATCH(DE325,calc!$AC$207:$AC$389,1)+1))</f>
        <v>SCT</v>
      </c>
      <c r="DF332" s="3078"/>
      <c r="DG332" s="3078"/>
      <c r="DH332" s="3077" t="str">
        <f>IF(INDEX(calc!$AW$207:$AW$389,MATCH(DH325,calc!$AC$207:$AC$389,1)+1)="","NA",INDEX(calc!$AW$207:$AW$389,MATCH(DH325,calc!$AC$207:$AC$389,1)+1))</f>
        <v>SCT</v>
      </c>
      <c r="DI332" s="3078"/>
      <c r="DJ332" s="3078"/>
      <c r="DK332" s="3077" t="str">
        <f>IF(INDEX(calc!$AW$207:$AW$389,MATCH(DK325,calc!$AC$207:$AC$389,1)+1)="","NA",INDEX(calc!$AW$207:$AW$389,MATCH(DK325,calc!$AC$207:$AC$389,1)+1))</f>
        <v>SCT</v>
      </c>
      <c r="DL332" s="3078"/>
      <c r="DM332" s="3078"/>
      <c r="DN332" s="3077" t="str">
        <f>IF(INDEX(calc!$AW$207:$AW$389,MATCH(DN325,calc!$AC$207:$AC$389,1)+1)="","NA",INDEX(calc!$AW$207:$AW$389,MATCH(DN325,calc!$AC$207:$AC$389,1)+1))</f>
        <v>BKN</v>
      </c>
      <c r="DO332" s="3078"/>
      <c r="DP332" s="3078"/>
      <c r="DQ332" s="3077" t="str">
        <f>IF(INDEX(calc!$AW$207:$AW$389,MATCH(DQ325,calc!$AC$207:$AC$389,1)+1)="","NA",INDEX(calc!$AW$207:$AW$389,MATCH(DQ325,calc!$AC$207:$AC$389,1)+1))</f>
        <v>BKN</v>
      </c>
      <c r="DR332" s="3078"/>
      <c r="DS332" s="3078"/>
      <c r="DT332" s="3077" t="str">
        <f>IF(INDEX(calc!$AW$207:$AW$389,MATCH(DT325,calc!$AC$207:$AC$389,1)+1)="","NA",INDEX(calc!$AW$207:$AW$389,MATCH(DT325,calc!$AC$207:$AC$389,1)+1))</f>
        <v>OVC</v>
      </c>
      <c r="DU332" s="3078"/>
      <c r="DV332" s="3078"/>
      <c r="DW332" s="3077" t="str">
        <f>IF(INDEX(calc!$AW$207:$AW$389,MATCH(DW325,calc!$AC$207:$AC$389,1)+1)="","NA",INDEX(calc!$AW$207:$AW$389,MATCH(DW325,calc!$AC$207:$AC$389,1)+1))</f>
        <v>OVC</v>
      </c>
      <c r="DX332" s="3078"/>
      <c r="DY332" s="3078"/>
      <c r="DZ332" s="3077" t="str">
        <f>IF(INDEX(calc!$AW$207:$AW$389,MATCH(DZ325,calc!$AC$207:$AC$389,1)+1)="","NA",INDEX(calc!$AW$207:$AW$389,MATCH(DZ325,calc!$AC$207:$AC$389,1)+1))</f>
        <v>OVC</v>
      </c>
      <c r="EA332" s="3078"/>
      <c r="EB332" s="3078"/>
      <c r="EC332" s="3077" t="str">
        <f>IF(INDEX(calc!$AW$207:$AW$389,MATCH(EC325,calc!$AC$207:$AC$389,1)+1)="","NA",INDEX(calc!$AW$207:$AW$389,MATCH(EC325,calc!$AC$207:$AC$389,1)+1))</f>
        <v>BKN</v>
      </c>
      <c r="ED332" s="3078"/>
      <c r="EE332" s="3078"/>
      <c r="EF332" s="3077" t="str">
        <f>IF(INDEX(calc!$AW$207:$AW$389,MATCH(EF325,calc!$AC$207:$AC$389,1)+1)="","NA",INDEX(calc!$AW$207:$AW$389,MATCH(EF325,calc!$AC$207:$AC$389,1)+1))</f>
        <v>BKN</v>
      </c>
      <c r="EG332" s="3078"/>
      <c r="EH332" s="3078"/>
      <c r="EI332" s="3077" t="str">
        <f>IF(INDEX(calc!$AW$207:$AW$389,MATCH(EI325,calc!$AC$207:$AC$389,1)+1)="","NA",INDEX(calc!$AW$207:$AW$389,MATCH(EI325,calc!$AC$207:$AC$389,1)+1))</f>
        <v>SCT</v>
      </c>
      <c r="EJ332" s="3078"/>
      <c r="EK332" s="3078"/>
      <c r="EL332" s="3077" t="str">
        <f>IF(INDEX(calc!$AW$207:$AW$389,MATCH(EL325,calc!$AC$207:$AC$389,1)+1)="","NA",INDEX(calc!$AW$207:$AW$389,MATCH(EL325,calc!$AC$207:$AC$389,1)+1))</f>
        <v>SCT</v>
      </c>
      <c r="EM332" s="3078"/>
      <c r="EN332" s="3078"/>
      <c r="EO332" s="3077" t="str">
        <f>IF(INDEX(calc!$AW$207:$AW$389,MATCH(EO325,calc!$AC$207:$AC$389,1)+1)="","NA",INDEX(calc!$AW$207:$AW$389,MATCH(EO325,calc!$AC$207:$AC$389,1)+1))</f>
        <v>SCT</v>
      </c>
      <c r="EP332" s="3078"/>
      <c r="EQ332" s="3078"/>
      <c r="ER332" s="3077" t="str">
        <f>IF(INDEX(calc!$AW$207:$AW$389,MATCH(ER325,calc!$AC$207:$AC$389,1)+1)="","NA",INDEX(calc!$AW$207:$AW$389,MATCH(ER325,calc!$AC$207:$AC$389,1)+1))</f>
        <v>SCT</v>
      </c>
      <c r="ES332" s="3078"/>
      <c r="ET332" s="3078"/>
      <c r="EU332" s="3077" t="str">
        <f>IF(INDEX(calc!$AW$207:$AW$389,MATCH(EU325,calc!$AC$207:$AC$389,1)+1)="","NA",INDEX(calc!$AW$207:$AW$389,MATCH(EU325,calc!$AC$207:$AC$389,1)+1))</f>
        <v>SCT</v>
      </c>
      <c r="EV332" s="3078"/>
      <c r="EW332" s="3078"/>
      <c r="EX332" s="3077" t="str">
        <f>IF(INDEX(calc!$AW$207:$AW$389,MATCH(EX325,calc!$AC$207:$AC$389,1)+1)="","NA",INDEX(calc!$AW$207:$AW$389,MATCH(EX325,calc!$AC$207:$AC$389,1)+1))</f>
        <v>SCT</v>
      </c>
      <c r="EY332" s="3078"/>
      <c r="EZ332" s="3078"/>
      <c r="FA332" s="3077" t="str">
        <f>IF(INDEX(calc!$AW$207:$AW$389,MATCH(FA325,calc!$AC$207:$AC$389,1)+1)="","NA",INDEX(calc!$AW$207:$AW$389,MATCH(FA325,calc!$AC$207:$AC$389,1)+1))</f>
        <v>SCT</v>
      </c>
      <c r="FB332" s="3078"/>
      <c r="FC332" s="3078"/>
      <c r="FD332" s="3077" t="str">
        <f>IF(INDEX(calc!$AW$207:$AW$389,MATCH(FD325,calc!$AC$207:$AC$389,1)+1)="","NA",INDEX(calc!$AW$207:$AW$389,MATCH(FD325,calc!$AC$207:$AC$389,1)+1))</f>
        <v>SCT</v>
      </c>
      <c r="FE332" s="3078"/>
      <c r="FF332" s="3096"/>
      <c r="FG332" s="3077" t="str">
        <f>IF(INDEX(calc!$AW$207:$AW$389,MATCH(FG325,calc!$AC$207:$AC$389,1)+1)="","NA",INDEX(calc!$AW$207:$AW$389,MATCH(FG325,calc!$AC$207:$AC$389,1)+1))</f>
        <v>BKN</v>
      </c>
      <c r="FH332" s="3078"/>
      <c r="FI332" s="3096"/>
      <c r="FJ332" s="3077" t="str">
        <f>IF(INDEX(calc!$AW$207:$AW$389,MATCH(FJ325,calc!$AC$207:$AC$389,1)+1)="","NA",INDEX(calc!$AW$207:$AW$389,MATCH(FJ325,calc!$AC$207:$AC$389,1)+1))</f>
        <v>SCT</v>
      </c>
      <c r="FK332" s="3078"/>
      <c r="FL332" s="3096"/>
      <c r="FM332" s="3077" t="str">
        <f>IF(INDEX(calc!$AW$207:$AW$389,MATCH(FM325,calc!$AC$207:$AC$389,1)+1)="","NA",INDEX(calc!$AW$207:$AW$389,MATCH(FM325,calc!$AC$207:$AC$389,1)+1))</f>
        <v>SCT</v>
      </c>
      <c r="FN332" s="3078"/>
      <c r="FO332" s="3096"/>
      <c r="FP332" s="3077" t="str">
        <f>IF(INDEX(calc!$AW$207:$AW$389,MATCH(FP325,calc!$AC$207:$AC$389,1)+1)="","NA",INDEX(calc!$AW$207:$AW$389,MATCH(FP325,calc!$AC$207:$AC$389,1)+1))</f>
        <v>BKN</v>
      </c>
      <c r="FQ332" s="3078"/>
      <c r="FR332" s="3096"/>
      <c r="FS332" s="3077" t="str">
        <f>IF(INDEX(calc!$AW$207:$AW$389,MATCH(FS325,calc!$AC$207:$AC$389,1)+1)="","NA",INDEX(calc!$AW$207:$AW$389,MATCH(FS325,calc!$AC$207:$AC$389,1)+1))</f>
        <v>SCT</v>
      </c>
      <c r="FT332" s="3078"/>
      <c r="FU332" s="3096"/>
      <c r="FV332" s="3077" t="str">
        <f>IF(INDEX(calc!$AW$207:$AW$389,MATCH(FV325,calc!$AC$207:$AC$389,1)+1)="","NA",INDEX(calc!$AW$207:$AW$389,MATCH(FV325,calc!$AC$207:$AC$389,1)+1))</f>
        <v>NA</v>
      </c>
      <c r="FW332" s="3078"/>
      <c r="FX332" s="3096"/>
      <c r="FY332" s="3077" t="str">
        <f>IF(INDEX(calc!$AW$207:$AW$389,MATCH(FY325,calc!$AC$207:$AC$389,1)+1)="","NA",INDEX(calc!$AW$207:$AW$389,MATCH(FY325,calc!$AC$207:$AC$389,1)+1))</f>
        <v>NA</v>
      </c>
      <c r="FZ332" s="3078"/>
      <c r="GA332" s="3096"/>
      <c r="GB332" s="3077" t="str">
        <f>IF(INDEX(calc!$AW$207:$AW$389,MATCH(GB325,calc!$AC$207:$AC$389,1)+1)="","NA",INDEX(calc!$AW$207:$AW$389,MATCH(GB325,calc!$AC$207:$AC$389,1)+1))</f>
        <v>NA</v>
      </c>
      <c r="GC332" s="3078"/>
      <c r="GD332" s="3096"/>
      <c r="GE332" s="3077" t="str">
        <f>IF(INDEX(calc!$AW$207:$AW$389,MATCH(GE325,calc!$AC$207:$AC$389,1)+1)="","NA",INDEX(calc!$AW$207:$AW$389,MATCH(GE325,calc!$AC$207:$AC$389,1)+1))</f>
        <v>NA</v>
      </c>
      <c r="GF332" s="3078"/>
      <c r="GG332" s="3096"/>
      <c r="GH332" s="3077" t="str">
        <f>IF(INDEX(calc!$AW$207:$AW$389,MATCH(GH325,calc!$AC$207:$AC$389,1)+1)="","NA",INDEX(calc!$AW$207:$AW$389,MATCH(GH325,calc!$AC$207:$AC$389,1)+1))</f>
        <v>NA</v>
      </c>
      <c r="GI332" s="3078"/>
      <c r="GJ332" s="3096"/>
      <c r="GK332" s="3077" t="str">
        <f>IF(INDEX(calc!$AW$207:$AW$389,MATCH(GK325,calc!$AC$207:$AC$389,1)+1)="","NA",INDEX(calc!$AW$207:$AW$389,MATCH(GK325,calc!$AC$207:$AC$389,1)+1))</f>
        <v>NA</v>
      </c>
      <c r="GL332" s="3078"/>
      <c r="GM332" s="3096"/>
      <c r="GN332" s="3077" t="str">
        <f>IF(INDEX(calc!$AW$207:$AW$389,MATCH(GN325,calc!$AC$207:$AC$389,1)+1)="","NA",INDEX(calc!$AW$207:$AW$389,MATCH(GN325,calc!$AC$207:$AC$389,1)+1))</f>
        <v>NA</v>
      </c>
      <c r="GO332" s="3078"/>
      <c r="GP332" s="3096"/>
      <c r="GQ332" s="3077" t="e">
        <f>IF(INDEX(calc!$AW$207:$AW$389,MATCH(GQ325,calc!$AC$207:$AC$389,1)+1)="","NA",INDEX(calc!$AW$207:$AW$389,MATCH(GQ325,calc!$AC$207:$AC$389,1)+1))</f>
        <v>#REF!</v>
      </c>
      <c r="GR332" s="3078"/>
      <c r="GS332" s="3096"/>
    </row>
    <row r="333" spans="2:201" s="539" customFormat="1" ht="6" customHeight="1">
      <c r="L333" s="1166" t="s">
        <v>3067</v>
      </c>
      <c r="M333" s="1047"/>
      <c r="N333" s="1047"/>
      <c r="O333" s="1047"/>
      <c r="P333" s="1047"/>
      <c r="Q333" s="1047"/>
      <c r="R333" s="1047"/>
      <c r="S333" s="1047"/>
      <c r="T333" s="1075"/>
      <c r="U333" s="1075"/>
      <c r="V333" s="1075"/>
      <c r="W333" s="1075"/>
      <c r="AB333" s="1748"/>
      <c r="AC333" s="1091"/>
      <c r="AD333" s="1091"/>
      <c r="AE333" s="1091"/>
      <c r="AF333" s="1091"/>
      <c r="AG333" s="1091"/>
      <c r="AH333" s="1091"/>
      <c r="AI333" s="1091"/>
      <c r="AJ333" s="1091"/>
      <c r="AK333" s="1091"/>
      <c r="AL333" s="1091"/>
      <c r="AM333" s="1091"/>
      <c r="AN333" s="1091"/>
      <c r="AO333" s="1091"/>
      <c r="AP333" s="1091"/>
      <c r="AQ333" s="1091"/>
      <c r="AR333" s="1091"/>
      <c r="AS333" s="1091"/>
      <c r="AT333" s="1091"/>
      <c r="AU333" s="1091"/>
      <c r="AV333" s="1091"/>
      <c r="AW333" s="1091"/>
      <c r="AX333" s="1091"/>
      <c r="AY333" s="1091"/>
      <c r="AZ333" s="1091"/>
      <c r="BA333" s="1091"/>
      <c r="BB333" s="1091"/>
      <c r="BC333" s="1091"/>
      <c r="BD333" s="1091"/>
      <c r="BE333" s="1091"/>
      <c r="BF333" s="1091"/>
      <c r="BG333" s="1091"/>
      <c r="BH333" s="1091"/>
      <c r="BI333" s="1091"/>
      <c r="BJ333" s="1091"/>
      <c r="BK333" s="1091"/>
      <c r="BL333" s="1091"/>
      <c r="BM333" s="1091"/>
      <c r="BN333" s="1091"/>
      <c r="BO333" s="1091"/>
      <c r="BP333" s="1091"/>
      <c r="BQ333" s="1091"/>
      <c r="BR333" s="1091"/>
      <c r="BS333" s="1091"/>
      <c r="BT333" s="1091"/>
      <c r="BU333" s="1091"/>
      <c r="BV333" s="1091"/>
      <c r="BW333" s="1091"/>
      <c r="BX333" s="1091"/>
      <c r="BY333" s="1091"/>
      <c r="BZ333" s="1091"/>
      <c r="CA333" s="1091"/>
      <c r="CB333" s="1091"/>
      <c r="CC333" s="1091"/>
      <c r="CD333" s="1091"/>
      <c r="CE333" s="1091"/>
      <c r="CF333" s="1091"/>
      <c r="CG333" s="1091"/>
      <c r="CH333" s="1091"/>
      <c r="CI333" s="1091"/>
      <c r="CJ333" s="1091"/>
      <c r="CK333" s="1091"/>
      <c r="CL333" s="1091"/>
      <c r="CM333" s="1091"/>
      <c r="CN333" s="1091"/>
      <c r="CO333" s="1091"/>
      <c r="CP333" s="1091"/>
      <c r="CQ333" s="1091"/>
      <c r="CR333" s="1091"/>
      <c r="CS333" s="1091"/>
      <c r="CT333" s="1091"/>
      <c r="CU333" s="1091"/>
      <c r="CV333" s="1091"/>
      <c r="CW333" s="1091"/>
      <c r="CX333" s="1091"/>
      <c r="CY333" s="1091"/>
      <c r="CZ333" s="1091"/>
      <c r="DA333" s="1091"/>
      <c r="DB333" s="1091"/>
      <c r="DC333" s="1091"/>
      <c r="DD333" s="1091"/>
      <c r="DE333" s="1091"/>
      <c r="DF333" s="1091"/>
      <c r="DG333" s="1091"/>
      <c r="DH333" s="1091"/>
      <c r="DI333" s="1091"/>
      <c r="DJ333" s="1091"/>
      <c r="DK333" s="1091"/>
      <c r="DL333" s="1091"/>
      <c r="DM333" s="1091"/>
      <c r="DN333" s="1091"/>
      <c r="DO333" s="1091"/>
      <c r="DP333" s="1091"/>
      <c r="DQ333" s="1091"/>
      <c r="DR333" s="1091"/>
      <c r="DS333" s="1091"/>
      <c r="DT333" s="1091"/>
      <c r="DU333" s="1091"/>
      <c r="DV333" s="1091"/>
      <c r="DW333" s="1091"/>
      <c r="DX333" s="1091"/>
      <c r="DY333" s="1091"/>
      <c r="DZ333" s="1091"/>
      <c r="EA333" s="1091"/>
      <c r="EB333" s="1091"/>
      <c r="EC333" s="1091"/>
      <c r="ED333" s="1091"/>
      <c r="EE333" s="1091"/>
      <c r="EF333" s="1091"/>
      <c r="EG333" s="1091"/>
      <c r="EH333" s="1091"/>
      <c r="EI333" s="1091"/>
      <c r="EJ333" s="1091"/>
      <c r="EK333" s="1091"/>
      <c r="EL333" s="1091"/>
      <c r="EM333" s="1091"/>
      <c r="EN333" s="1091"/>
      <c r="EO333" s="1091"/>
      <c r="EP333" s="1091"/>
      <c r="EQ333" s="1091"/>
      <c r="ER333" s="1091"/>
      <c r="ES333" s="1091"/>
      <c r="ET333" s="1091"/>
      <c r="EU333" s="1091"/>
      <c r="EV333" s="1091"/>
      <c r="EW333" s="1091"/>
      <c r="EX333" s="1091"/>
      <c r="EY333" s="1091"/>
      <c r="EZ333" s="1091"/>
      <c r="FA333" s="1091"/>
      <c r="FB333" s="1091"/>
      <c r="FC333" s="1091"/>
      <c r="FD333" s="1091"/>
      <c r="FE333" s="1091"/>
      <c r="FF333" s="1091"/>
      <c r="FG333" s="1091"/>
      <c r="FH333" s="1091"/>
      <c r="FI333" s="1091"/>
      <c r="FJ333" s="1091"/>
      <c r="FK333" s="1091"/>
      <c r="FL333" s="1091"/>
      <c r="FM333" s="1091"/>
      <c r="FN333" s="1091"/>
      <c r="FO333" s="1091"/>
      <c r="FP333" s="1091"/>
      <c r="FQ333" s="1091"/>
      <c r="FR333" s="1091"/>
      <c r="FS333" s="1091"/>
      <c r="FT333" s="1091"/>
      <c r="FU333" s="1091"/>
      <c r="FV333" s="1091"/>
      <c r="FW333" s="1091"/>
      <c r="FX333" s="1091"/>
      <c r="FY333" s="1091"/>
      <c r="FZ333" s="1091"/>
      <c r="GA333" s="1091"/>
      <c r="GB333" s="1091"/>
      <c r="GC333" s="1091"/>
      <c r="GD333" s="1091"/>
      <c r="GE333" s="1091"/>
      <c r="GF333" s="1091"/>
      <c r="GG333" s="1091"/>
      <c r="GH333" s="1091"/>
      <c r="GI333" s="1091"/>
      <c r="GJ333" s="1091"/>
      <c r="GK333" s="1091"/>
      <c r="GL333" s="1091"/>
      <c r="GM333" s="1091"/>
      <c r="GN333" s="1091"/>
      <c r="GO333" s="1091"/>
      <c r="GP333" s="1091"/>
      <c r="GQ333" s="1091"/>
      <c r="GR333" s="1091"/>
      <c r="GS333" s="1091"/>
    </row>
    <row r="334" spans="2:201" s="539" customFormat="1" ht="15" customHeight="1">
      <c r="L334" s="1166" t="s">
        <v>3068</v>
      </c>
      <c r="M334" s="1047"/>
      <c r="N334" s="1047"/>
      <c r="O334" s="1047"/>
      <c r="P334" s="1047"/>
      <c r="Q334" s="1047"/>
      <c r="R334" s="1047"/>
      <c r="S334" s="1047"/>
      <c r="T334" s="3059" t="s">
        <v>376</v>
      </c>
      <c r="U334" s="3059"/>
      <c r="V334" s="3059"/>
      <c r="W334" s="3059"/>
      <c r="X334" s="1072"/>
      <c r="Y334" s="1072"/>
      <c r="Z334" s="1072"/>
      <c r="AA334" s="1071" t="s">
        <v>373</v>
      </c>
      <c r="AB334" s="3051" t="str">
        <f>IF(AB335="NA","NA",IF(OR(AB335="SKC",AB335="SCT",AB335="FEW"),"NO CIG",IF(INDEX(calc!$AR$207:$AR$389,MATCH(AB325,calc!$AC$207:$AC$389,1))="","NA",INDEX(calc!$L$189:$L$196,MATCH(INDEX(calc!$AR$207:$AR$389,MATCH(AB325,calc!$AC$207:$AC$389,1)),calc!$K$189:$K$196,0))&amp;"~"&amp;INDEX(calc!$M$189:$M$196,MATCH(INDEX(calc!$AR$207:$AR$389,MATCH(AB325,calc!$AC$207:$AC$389,1)),calc!$K$189:$K$196,0)))))</f>
        <v>130~300</v>
      </c>
      <c r="AC334" s="3052"/>
      <c r="AD334" s="3052"/>
      <c r="AE334" s="3051" t="str">
        <f>IF(AE335="NA","NA",IF(OR(AE335="SKC",AE335="SCT",AE335="FEW"),"NO CIG",IF(INDEX(calc!$AR$207:$AR$389,MATCH(AE325,calc!$AC$207:$AC$389,1))="","NA",INDEX(calc!$L$189:$L$196,MATCH(INDEX(calc!$AR$207:$AR$389,MATCH(AE325,calc!$AC$207:$AC$389,1)),calc!$K$189:$K$196,0))&amp;"~"&amp;INDEX(calc!$M$189:$M$196,MATCH(INDEX(calc!$AR$207:$AR$389,MATCH(AE325,calc!$AC$207:$AC$389,1)),calc!$K$189:$K$196,0)))))</f>
        <v>130~300</v>
      </c>
      <c r="AF334" s="3052"/>
      <c r="AG334" s="3052"/>
      <c r="AH334" s="3051" t="str">
        <f>IF(AH335="NA","NA",IF(OR(AH335="SKC",AH335="SCT",AH335="FEW"),"NO CIG",IF(INDEX(calc!$AR$207:$AR$389,MATCH(AH325,calc!$AC$207:$AC$389,1))="","NA",INDEX(calc!$L$189:$L$196,MATCH(INDEX(calc!$AR$207:$AR$389,MATCH(AH325,calc!$AC$207:$AC$389,1)),calc!$K$189:$K$196,0))&amp;"~"&amp;INDEX(calc!$M$189:$M$196,MATCH(INDEX(calc!$AR$207:$AR$389,MATCH(AH325,calc!$AC$207:$AC$389,1)),calc!$K$189:$K$196,0)))))</f>
        <v>130~300</v>
      </c>
      <c r="AI334" s="3052"/>
      <c r="AJ334" s="3052"/>
      <c r="AK334" s="3051" t="str">
        <f>IF(AK335="NA","NA",IF(OR(AK335="SKC",AK335="SCT",AK335="FEW"),"NO CIG",IF(INDEX(calc!$AR$207:$AR$389,MATCH(AK325,calc!$AC$207:$AC$389,1))="","NA",INDEX(calc!$L$189:$L$196,MATCH(INDEX(calc!$AR$207:$AR$389,MATCH(AK325,calc!$AC$207:$AC$389,1)),calc!$K$189:$K$196,0))&amp;"~"&amp;INDEX(calc!$M$189:$M$196,MATCH(INDEX(calc!$AR$207:$AR$389,MATCH(AK325,calc!$AC$207:$AC$389,1)),calc!$K$189:$K$196,0)))))</f>
        <v>130~300</v>
      </c>
      <c r="AL334" s="3052"/>
      <c r="AM334" s="3052"/>
      <c r="AN334" s="3051" t="str">
        <f>IF(AN335="NA","NA",IF(OR(AN335="SKC",AN335="SCT",AN335="FEW"),"NO CIG",IF(INDEX(calc!$AR$207:$AR$389,MATCH(AN325,calc!$AC$207:$AC$389,1))="","NA",INDEX(calc!$L$189:$L$196,MATCH(INDEX(calc!$AR$207:$AR$389,MATCH(AN325,calc!$AC$207:$AC$389,1)),calc!$K$189:$K$196,0))&amp;"~"&amp;INDEX(calc!$M$189:$M$196,MATCH(INDEX(calc!$AR$207:$AR$389,MATCH(AN325,calc!$AC$207:$AC$389,1)),calc!$K$189:$K$196,0)))))</f>
        <v>NO CIG</v>
      </c>
      <c r="AO334" s="3052"/>
      <c r="AP334" s="3052"/>
      <c r="AQ334" s="3051" t="str">
        <f>IF(AQ335="NA","NA",IF(OR(AQ335="SKC",AQ335="SCT",AQ335="FEW"),"NO CIG",IF(INDEX(calc!$AR$207:$AR$389,MATCH(AQ325,calc!$AC$207:$AC$389,1))="","NA",INDEX(calc!$L$189:$L$196,MATCH(INDEX(calc!$AR$207:$AR$389,MATCH(AQ325,calc!$AC$207:$AC$389,1)),calc!$K$189:$K$196,0))&amp;"~"&amp;INDEX(calc!$M$189:$M$196,MATCH(INDEX(calc!$AR$207:$AR$389,MATCH(AQ325,calc!$AC$207:$AC$389,1)),calc!$K$189:$K$196,0)))))</f>
        <v>NO CIG</v>
      </c>
      <c r="AR334" s="3052"/>
      <c r="AS334" s="3052"/>
      <c r="AT334" s="3051" t="str">
        <f>IF(AT335="NA","NA",IF(OR(AT335="SKC",AT335="SCT",AT335="FEW"),"NO CIG",IF(INDEX(calc!$AR$207:$AR$389,MATCH(AT325,calc!$AC$207:$AC$389,1))="","NA",INDEX(calc!$L$189:$L$196,MATCH(INDEX(calc!$AR$207:$AR$389,MATCH(AT325,calc!$AC$207:$AC$389,1)),calc!$K$189:$K$196,0))&amp;"~"&amp;INDEX(calc!$M$189:$M$196,MATCH(INDEX(calc!$AR$207:$AR$389,MATCH(AT325,calc!$AC$207:$AC$389,1)),calc!$K$189:$K$196,0)))))</f>
        <v>NO CIG</v>
      </c>
      <c r="AU334" s="3052"/>
      <c r="AV334" s="3052"/>
      <c r="AW334" s="3051" t="str">
        <f>IF(AW335="NA","NA",IF(OR(AW335="SKC",AW335="SCT",AW335="FEW"),"NO CIG",IF(INDEX(calc!$AR$207:$AR$389,MATCH(AW325,calc!$AC$207:$AC$389,1))="","NA",INDEX(calc!$L$189:$L$196,MATCH(INDEX(calc!$AR$207:$AR$389,MATCH(AW325,calc!$AC$207:$AC$389,1)),calc!$K$189:$K$196,0))&amp;"~"&amp;INDEX(calc!$M$189:$M$196,MATCH(INDEX(calc!$AR$207:$AR$389,MATCH(AW325,calc!$AC$207:$AC$389,1)),calc!$K$189:$K$196,0)))))</f>
        <v>130~300</v>
      </c>
      <c r="AX334" s="3052"/>
      <c r="AY334" s="3052"/>
      <c r="AZ334" s="3051" t="str">
        <f>IF(AZ335="NA","NA",IF(OR(AZ335="SKC",AZ335="SCT",AZ335="FEW"),"NO CIG",IF(INDEX(calc!$AR$207:$AR$389,MATCH(AZ325,calc!$AC$207:$AC$389,1))="","NA",INDEX(calc!$L$189:$L$196,MATCH(INDEX(calc!$AR$207:$AR$389,MATCH(AZ325,calc!$AC$207:$AC$389,1)),calc!$K$189:$K$196,0))&amp;"~"&amp;INDEX(calc!$M$189:$M$196,MATCH(INDEX(calc!$AR$207:$AR$389,MATCH(AZ325,calc!$AC$207:$AC$389,1)),calc!$K$189:$K$196,0)))))</f>
        <v>130~300</v>
      </c>
      <c r="BA334" s="3052"/>
      <c r="BB334" s="3052"/>
      <c r="BC334" s="3051" t="str">
        <f>IF(BC335="NA","NA",IF(OR(BC335="SKC",BC335="SCT",BC335="FEW"),"NO CIG",IF(INDEX(calc!$AR$207:$AR$389,MATCH(BC325,calc!$AC$207:$AC$389,1))="","NA",INDEX(calc!$L$189:$L$196,MATCH(INDEX(calc!$AR$207:$AR$389,MATCH(BC325,calc!$AC$207:$AC$389,1)),calc!$K$189:$K$196,0))&amp;"~"&amp;INDEX(calc!$M$189:$M$196,MATCH(INDEX(calc!$AR$207:$AR$389,MATCH(BC325,calc!$AC$207:$AC$389,1)),calc!$K$189:$K$196,0)))))</f>
        <v>130~300</v>
      </c>
      <c r="BD334" s="3052"/>
      <c r="BE334" s="3052"/>
      <c r="BF334" s="3051" t="str">
        <f>IF(BF335="NA","NA",IF(OR(BF335="SKC",BF335="SCT",BF335="FEW"),"NO CIG",IF(INDEX(calc!$AR$207:$AR$389,MATCH(BF325,calc!$AC$207:$AC$389,1))="","NA",INDEX(calc!$L$189:$L$196,MATCH(INDEX(calc!$AR$207:$AR$389,MATCH(BF325,calc!$AC$207:$AC$389,1)),calc!$K$189:$K$196,0))&amp;"~"&amp;INDEX(calc!$M$189:$M$196,MATCH(INDEX(calc!$AR$207:$AR$389,MATCH(BF325,calc!$AC$207:$AC$389,1)),calc!$K$189:$K$196,0)))))</f>
        <v>130~300</v>
      </c>
      <c r="BG334" s="3052"/>
      <c r="BH334" s="3052"/>
      <c r="BI334" s="3051" t="str">
        <f>IF(BI335="NA","NA",IF(OR(BI335="SKC",BI335="SCT",BI335="FEW"),"NO CIG",IF(INDEX(calc!$AR$207:$AR$389,MATCH(BI325,calc!$AC$207:$AC$389,1))="","NA",INDEX(calc!$L$189:$L$196,MATCH(INDEX(calc!$AR$207:$AR$389,MATCH(BI325,calc!$AC$207:$AC$389,1)),calc!$K$189:$K$196,0))&amp;"~"&amp;INDEX(calc!$M$189:$M$196,MATCH(INDEX(calc!$AR$207:$AR$389,MATCH(BI325,calc!$AC$207:$AC$389,1)),calc!$K$189:$K$196,0)))))</f>
        <v>130~300</v>
      </c>
      <c r="BJ334" s="3052"/>
      <c r="BK334" s="3052"/>
      <c r="BL334" s="3051" t="str">
        <f>IF(BL335="NA","NA",IF(OR(BL335="SKC",BL335="SCT",BL335="FEW"),"NO CIG",IF(INDEX(calc!$AR$207:$AR$389,MATCH(BL325,calc!$AC$207:$AC$389,1))="","NA",INDEX(calc!$L$189:$L$196,MATCH(INDEX(calc!$AR$207:$AR$389,MATCH(BL325,calc!$AC$207:$AC$389,1)),calc!$K$189:$K$196,0))&amp;"~"&amp;INDEX(calc!$M$189:$M$196,MATCH(INDEX(calc!$AR$207:$AR$389,MATCH(BL325,calc!$AC$207:$AC$389,1)),calc!$K$189:$K$196,0)))))</f>
        <v>130~300</v>
      </c>
      <c r="BM334" s="3052"/>
      <c r="BN334" s="3052"/>
      <c r="BO334" s="3051" t="str">
        <f>IF(BO335="NA","NA",IF(OR(BO335="SKC",BO335="SCT",BO335="FEW"),"NO CIG",IF(INDEX(calc!$AR$207:$AR$389,MATCH(BO325,calc!$AC$207:$AC$389,1))="","NA",INDEX(calc!$L$189:$L$196,MATCH(INDEX(calc!$AR$207:$AR$389,MATCH(BO325,calc!$AC$207:$AC$389,1)),calc!$K$189:$K$196,0))&amp;"~"&amp;INDEX(calc!$M$189:$M$196,MATCH(INDEX(calc!$AR$207:$AR$389,MATCH(BO325,calc!$AC$207:$AC$389,1)),calc!$K$189:$K$196,0)))))</f>
        <v>130~300</v>
      </c>
      <c r="BP334" s="3052"/>
      <c r="BQ334" s="3052"/>
      <c r="BR334" s="3051" t="str">
        <f>IF(BR335="NA","NA",IF(OR(BR335="SKC",BR335="SCT",BR335="FEW"),"NO CIG",IF(INDEX(calc!$AR$207:$AR$389,MATCH(BR325,calc!$AC$207:$AC$389,1))="","NA",INDEX(calc!$L$189:$L$196,MATCH(INDEX(calc!$AR$207:$AR$389,MATCH(BR325,calc!$AC$207:$AC$389,1)),calc!$K$189:$K$196,0))&amp;"~"&amp;INDEX(calc!$M$189:$M$196,MATCH(INDEX(calc!$AR$207:$AR$389,MATCH(BR325,calc!$AC$207:$AC$389,1)),calc!$K$189:$K$196,0)))))</f>
        <v>066~120</v>
      </c>
      <c r="BS334" s="3052"/>
      <c r="BT334" s="3052"/>
      <c r="BU334" s="3051" t="str">
        <f>IF(BU335="NA","NA",IF(OR(BU335="SKC",BU335="SCT",BU335="FEW"),"NO CIG",IF(INDEX(calc!$AR$207:$AR$389,MATCH(BU325,calc!$AC$207:$AC$389,1))="","NA",INDEX(calc!$L$189:$L$196,MATCH(INDEX(calc!$AR$207:$AR$389,MATCH(BU325,calc!$AC$207:$AC$389,1)),calc!$K$189:$K$196,0))&amp;"~"&amp;INDEX(calc!$M$189:$M$196,MATCH(INDEX(calc!$AR$207:$AR$389,MATCH(BU325,calc!$AC$207:$AC$389,1)),calc!$K$189:$K$196,0)))))</f>
        <v>130~300</v>
      </c>
      <c r="BV334" s="3052"/>
      <c r="BW334" s="3052"/>
      <c r="BX334" s="3051" t="str">
        <f>IF(BX335="NA","NA",IF(OR(BX335="SKC",BX335="SCT",BX335="FEW"),"NO CIG",IF(INDEX(calc!$AR$207:$AR$389,MATCH(BX325,calc!$AC$207:$AC$389,1))="","NA",INDEX(calc!$L$189:$L$196,MATCH(INDEX(calc!$AR$207:$AR$389,MATCH(BX325,calc!$AC$207:$AC$389,1)),calc!$K$189:$K$196,0))&amp;"~"&amp;INDEX(calc!$M$189:$M$196,MATCH(INDEX(calc!$AR$207:$AR$389,MATCH(BX325,calc!$AC$207:$AC$389,1)),calc!$K$189:$K$196,0)))))</f>
        <v>130~300</v>
      </c>
      <c r="BY334" s="3052"/>
      <c r="BZ334" s="3052"/>
      <c r="CA334" s="3051" t="str">
        <f>IF(CA335="NA","NA",IF(OR(CA335="SKC",CA335="SCT",CA335="FEW"),"NO CIG",IF(INDEX(calc!$AR$207:$AR$389,MATCH(CA325,calc!$AC$207:$AC$389,1))="","NA",INDEX(calc!$L$189:$L$196,MATCH(INDEX(calc!$AR$207:$AR$389,MATCH(CA325,calc!$AC$207:$AC$389,1)),calc!$K$189:$K$196,0))&amp;"~"&amp;INDEX(calc!$M$189:$M$196,MATCH(INDEX(calc!$AR$207:$AR$389,MATCH(CA325,calc!$AC$207:$AC$389,1)),calc!$K$189:$K$196,0)))))</f>
        <v>130~300</v>
      </c>
      <c r="CB334" s="3052"/>
      <c r="CC334" s="3052"/>
      <c r="CD334" s="3051" t="str">
        <f>IF(CD335="NA","NA",IF(OR(CD335="SKC",CD335="SCT",CD335="FEW"),"NO CIG",IF(INDEX(calc!$AR$207:$AR$389,MATCH(CD325,calc!$AC$207:$AC$389,1))="","NA",INDEX(calc!$L$189:$L$196,MATCH(INDEX(calc!$AR$207:$AR$389,MATCH(CD325,calc!$AC$207:$AC$389,1)),calc!$K$189:$K$196,0))&amp;"~"&amp;INDEX(calc!$M$189:$M$196,MATCH(INDEX(calc!$AR$207:$AR$389,MATCH(CD325,calc!$AC$207:$AC$389,1)),calc!$K$189:$K$196,0)))))</f>
        <v>066~120</v>
      </c>
      <c r="CE334" s="3052"/>
      <c r="CF334" s="3052"/>
      <c r="CG334" s="3051" t="str">
        <f>IF(CG335="NA","NA",IF(OR(CG335="SKC",CG335="SCT",CG335="FEW"),"NO CIG",IF(INDEX(calc!$AR$207:$AR$389,MATCH(CG325,calc!$AC$207:$AC$389,1))="","NA",INDEX(calc!$L$189:$L$196,MATCH(INDEX(calc!$AR$207:$AR$389,MATCH(CG325,calc!$AC$207:$AC$389,1)),calc!$K$189:$K$196,0))&amp;"~"&amp;INDEX(calc!$M$189:$M$196,MATCH(INDEX(calc!$AR$207:$AR$389,MATCH(CG325,calc!$AC$207:$AC$389,1)),calc!$K$189:$K$196,0)))))</f>
        <v>130~300</v>
      </c>
      <c r="CH334" s="3052"/>
      <c r="CI334" s="3052"/>
      <c r="CJ334" s="3051" t="str">
        <f>IF(CJ335="NA","NA",IF(OR(CJ335="SKC",CJ335="SCT",CJ335="FEW"),"NO CIG",IF(INDEX(calc!$AR$207:$AR$389,MATCH(CJ325,calc!$AC$207:$AC$389,1))="","NA",INDEX(calc!$L$189:$L$196,MATCH(INDEX(calc!$AR$207:$AR$389,MATCH(CJ325,calc!$AC$207:$AC$389,1)),calc!$K$189:$K$196,0))&amp;"~"&amp;INDEX(calc!$M$189:$M$196,MATCH(INDEX(calc!$AR$207:$AR$389,MATCH(CJ325,calc!$AC$207:$AC$389,1)),calc!$K$189:$K$196,0)))))</f>
        <v>066~120</v>
      </c>
      <c r="CK334" s="3052"/>
      <c r="CL334" s="3052"/>
      <c r="CM334" s="3051" t="str">
        <f>IF(CM335="NA","NA",IF(OR(CM335="SKC",CM335="SCT",CM335="FEW"),"NO CIG",IF(INDEX(calc!$AR$207:$AR$389,MATCH(CM325,calc!$AC$207:$AC$389,1))="","NA",INDEX(calc!$L$189:$L$196,MATCH(INDEX(calc!$AR$207:$AR$389,MATCH(CM325,calc!$AC$207:$AC$389,1)),calc!$K$189:$K$196,0))&amp;"~"&amp;INDEX(calc!$M$189:$M$196,MATCH(INDEX(calc!$AR$207:$AR$389,MATCH(CM325,calc!$AC$207:$AC$389,1)),calc!$K$189:$K$196,0)))))</f>
        <v>NA</v>
      </c>
      <c r="CN334" s="3052"/>
      <c r="CO334" s="3052"/>
      <c r="CP334" s="3051" t="str">
        <f>IF(CP335="NA","NA",IF(OR(CP335="SKC",CP335="SCT",CP335="FEW"),"NO CIG",IF(INDEX(calc!$AR$207:$AR$389,MATCH(CP325,calc!$AC$207:$AC$389,1))="","NA",INDEX(calc!$L$189:$L$196,MATCH(INDEX(calc!$AR$207:$AR$389,MATCH(CP325,calc!$AC$207:$AC$389,1)),calc!$K$189:$K$196,0))&amp;"~"&amp;INDEX(calc!$M$189:$M$196,MATCH(INDEX(calc!$AR$207:$AR$389,MATCH(CP325,calc!$AC$207:$AC$389,1)),calc!$K$189:$K$196,0)))))</f>
        <v>066~120</v>
      </c>
      <c r="CQ334" s="3052"/>
      <c r="CR334" s="3052"/>
      <c r="CS334" s="3051" t="str">
        <f>IF(CS335="NA","NA",IF(OR(CS335="SKC",CS335="SCT",CS335="FEW"),"NO CIG",IF(INDEX(calc!$AR$207:$AR$389,MATCH(CS325,calc!$AC$207:$AC$389,1))="","NA",INDEX(calc!$L$189:$L$196,MATCH(INDEX(calc!$AR$207:$AR$389,MATCH(CS325,calc!$AC$207:$AC$389,1)),calc!$K$189:$K$196,0))&amp;"~"&amp;INDEX(calc!$M$189:$M$196,MATCH(INDEX(calc!$AR$207:$AR$389,MATCH(CS325,calc!$AC$207:$AC$389,1)),calc!$K$189:$K$196,0)))))</f>
        <v>NA</v>
      </c>
      <c r="CT334" s="3052"/>
      <c r="CU334" s="3052"/>
      <c r="CV334" s="3051" t="str">
        <f>IF(CV335="NA","NA",IF(OR(CV335="SKC",CV335="SCT",CV335="FEW"),"NO CIG",IF(INDEX(calc!$AR$207:$AR$389,MATCH(CV325,calc!$AC$207:$AC$389,1))="","NA",INDEX(calc!$L$189:$L$196,MATCH(INDEX(calc!$AR$207:$AR$389,MATCH(CV325,calc!$AC$207:$AC$389,1)),calc!$K$189:$K$196,0))&amp;"~"&amp;INDEX(calc!$M$189:$M$196,MATCH(INDEX(calc!$AR$207:$AR$389,MATCH(CV325,calc!$AC$207:$AC$389,1)),calc!$K$189:$K$196,0)))))</f>
        <v>010~019</v>
      </c>
      <c r="CW334" s="3052"/>
      <c r="CX334" s="3052"/>
      <c r="CY334" s="3051" t="str">
        <f>IF(CY335="NA","NA",IF(OR(CY335="SKC",CY335="SCT",CY335="FEW"),"NO CIG",IF(INDEX(calc!$AR$207:$AR$389,MATCH(CY325,calc!$AC$207:$AC$389,1))="","NA",INDEX(calc!$L$189:$L$196,MATCH(INDEX(calc!$AR$207:$AR$389,MATCH(CY325,calc!$AC$207:$AC$389,1)),calc!$K$189:$K$196,0))&amp;"~"&amp;INDEX(calc!$M$189:$M$196,MATCH(INDEX(calc!$AR$207:$AR$389,MATCH(CY325,calc!$AC$207:$AC$389,1)),calc!$K$189:$K$196,0)))))</f>
        <v>NA</v>
      </c>
      <c r="CZ334" s="3052"/>
      <c r="DA334" s="3052"/>
      <c r="DB334" s="3051" t="str">
        <f>IF(DB335="NA","NA",IF(OR(DB335="SKC",DB335="SCT",DB335="FEW"),"NO CIG",IF(INDEX(calc!$AR$207:$AR$389,MATCH(DB325,calc!$AC$207:$AC$389,1))="","NA",INDEX(calc!$L$189:$L$196,MATCH(INDEX(calc!$AR$207:$AR$389,MATCH(DB325,calc!$AC$207:$AC$389,1)),calc!$K$189:$K$196,0))&amp;"~"&amp;INDEX(calc!$M$189:$M$196,MATCH(INDEX(calc!$AR$207:$AR$389,MATCH(DB325,calc!$AC$207:$AC$389,1)),calc!$K$189:$K$196,0)))))</f>
        <v>NA</v>
      </c>
      <c r="DC334" s="3052"/>
      <c r="DD334" s="3052"/>
      <c r="DE334" s="3051" t="str">
        <f>IF(DE335="NA","NA",IF(OR(DE335="SKC",DE335="SCT",DE335="FEW"),"NO CIG",IF(INDEX(calc!$AR$207:$AR$389,MATCH(DE325,calc!$AC$207:$AC$389,1))="","NA",INDEX(calc!$L$189:$L$196,MATCH(INDEX(calc!$AR$207:$AR$389,MATCH(DE325,calc!$AC$207:$AC$389,1)),calc!$K$189:$K$196,0))&amp;"~"&amp;INDEX(calc!$M$189:$M$196,MATCH(INDEX(calc!$AR$207:$AR$389,MATCH(DE325,calc!$AC$207:$AC$389,1)),calc!$K$189:$K$196,0)))))</f>
        <v>NA</v>
      </c>
      <c r="DF334" s="3052"/>
      <c r="DG334" s="3052"/>
      <c r="DH334" s="3051" t="str">
        <f>IF(DH335="NA","NA",IF(OR(DH335="SKC",DH335="SCT",DH335="FEW"),"NO CIG",IF(INDEX(calc!$AR$207:$AR$389,MATCH(DH325,calc!$AC$207:$AC$389,1))="","NA",INDEX(calc!$L$189:$L$196,MATCH(INDEX(calc!$AR$207:$AR$389,MATCH(DH325,calc!$AC$207:$AC$389,1)),calc!$K$189:$K$196,0))&amp;"~"&amp;INDEX(calc!$M$189:$M$196,MATCH(INDEX(calc!$AR$207:$AR$389,MATCH(DH325,calc!$AC$207:$AC$389,1)),calc!$K$189:$K$196,0)))))</f>
        <v>NA</v>
      </c>
      <c r="DI334" s="3052"/>
      <c r="DJ334" s="3052"/>
      <c r="DK334" s="3051" t="str">
        <f>IF(DK335="NA","NA",IF(OR(DK335="SKC",DK335="SCT",DK335="FEW"),"NO CIG",IF(INDEX(calc!$AR$207:$AR$389,MATCH(DK325,calc!$AC$207:$AC$389,1))="","NA",INDEX(calc!$L$189:$L$196,MATCH(INDEX(calc!$AR$207:$AR$389,MATCH(DK325,calc!$AC$207:$AC$389,1)),calc!$K$189:$K$196,0))&amp;"~"&amp;INDEX(calc!$M$189:$M$196,MATCH(INDEX(calc!$AR$207:$AR$389,MATCH(DK325,calc!$AC$207:$AC$389,1)),calc!$K$189:$K$196,0)))))</f>
        <v>NA</v>
      </c>
      <c r="DL334" s="3052"/>
      <c r="DM334" s="3052"/>
      <c r="DN334" s="3051" t="str">
        <f>IF(DN335="NA","NA",IF(OR(DN335="SKC",DN335="SCT",DN335="FEW"),"NO CIG",IF(INDEX(calc!$AR$207:$AR$389,MATCH(DN325,calc!$AC$207:$AC$389,1))="","NA",INDEX(calc!$L$189:$L$196,MATCH(INDEX(calc!$AR$207:$AR$389,MATCH(DN325,calc!$AC$207:$AC$389,1)),calc!$K$189:$K$196,0))&amp;"~"&amp;INDEX(calc!$M$189:$M$196,MATCH(INDEX(calc!$AR$207:$AR$389,MATCH(DN325,calc!$AC$207:$AC$389,1)),calc!$K$189:$K$196,0)))))</f>
        <v>NA</v>
      </c>
      <c r="DO334" s="3052"/>
      <c r="DP334" s="3052"/>
      <c r="DQ334" s="3051" t="str">
        <f>IF(DQ335="NA","NA",IF(OR(DQ335="SKC",DQ335="SCT",DQ335="FEW"),"NO CIG",IF(INDEX(calc!$AR$207:$AR$389,MATCH(DQ325,calc!$AC$207:$AC$389,1))="","NA",INDEX(calc!$L$189:$L$196,MATCH(INDEX(calc!$AR$207:$AR$389,MATCH(DQ325,calc!$AC$207:$AC$389,1)),calc!$K$189:$K$196,0))&amp;"~"&amp;INDEX(calc!$M$189:$M$196,MATCH(INDEX(calc!$AR$207:$AR$389,MATCH(DQ325,calc!$AC$207:$AC$389,1)),calc!$K$189:$K$196,0)))))</f>
        <v>NA</v>
      </c>
      <c r="DR334" s="3052"/>
      <c r="DS334" s="3052"/>
      <c r="DT334" s="3051" t="str">
        <f>IF(DT335="NA","NA",IF(OR(DT335="SKC",DT335="SCT",DT335="FEW"),"NO CIG",IF(INDEX(calc!$AR$207:$AR$389,MATCH(DT325,calc!$AC$207:$AC$389,1))="","NA",INDEX(calc!$L$189:$L$196,MATCH(INDEX(calc!$AR$207:$AR$389,MATCH(DT325,calc!$AC$207:$AC$389,1)),calc!$K$189:$K$196,0))&amp;"~"&amp;INDEX(calc!$M$189:$M$196,MATCH(INDEX(calc!$AR$207:$AR$389,MATCH(DT325,calc!$AC$207:$AC$389,1)),calc!$K$189:$K$196,0)))))</f>
        <v>NA</v>
      </c>
      <c r="DU334" s="3052"/>
      <c r="DV334" s="3052"/>
      <c r="DW334" s="3051" t="str">
        <f>IF(DW335="NA","NA",IF(OR(DW335="SKC",DW335="SCT",DW335="FEW"),"NO CIG",IF(INDEX(calc!$AR$207:$AR$389,MATCH(DW325,calc!$AC$207:$AC$389,1))="","NA",INDEX(calc!$L$189:$L$196,MATCH(INDEX(calc!$AR$207:$AR$389,MATCH(DW325,calc!$AC$207:$AC$389,1)),calc!$K$189:$K$196,0))&amp;"~"&amp;INDEX(calc!$M$189:$M$196,MATCH(INDEX(calc!$AR$207:$AR$389,MATCH(DW325,calc!$AC$207:$AC$389,1)),calc!$K$189:$K$196,0)))))</f>
        <v>NA</v>
      </c>
      <c r="DX334" s="3052"/>
      <c r="DY334" s="3052"/>
      <c r="DZ334" s="3051" t="str">
        <f>IF(DZ335="NA","NA",IF(OR(DZ335="SKC",DZ335="SCT",DZ335="FEW"),"NO CIG",IF(INDEX(calc!$AR$207:$AR$389,MATCH(DZ325,calc!$AC$207:$AC$389,1))="","NA",INDEX(calc!$L$189:$L$196,MATCH(INDEX(calc!$AR$207:$AR$389,MATCH(DZ325,calc!$AC$207:$AC$389,1)),calc!$K$189:$K$196,0))&amp;"~"&amp;INDEX(calc!$M$189:$M$196,MATCH(INDEX(calc!$AR$207:$AR$389,MATCH(DZ325,calc!$AC$207:$AC$389,1)),calc!$K$189:$K$196,0)))))</f>
        <v>NA</v>
      </c>
      <c r="EA334" s="3052"/>
      <c r="EB334" s="3052"/>
      <c r="EC334" s="3051" t="str">
        <f>IF(EC335="NA","NA",IF(OR(EC335="SKC",EC335="SCT",EC335="FEW"),"NO CIG",IF(INDEX(calc!$AR$207:$AR$389,MATCH(EC325,calc!$AC$207:$AC$389,1))="","NA",INDEX(calc!$L$189:$L$196,MATCH(INDEX(calc!$AR$207:$AR$389,MATCH(EC325,calc!$AC$207:$AC$389,1)),calc!$K$189:$K$196,0))&amp;"~"&amp;INDEX(calc!$M$189:$M$196,MATCH(INDEX(calc!$AR$207:$AR$389,MATCH(EC325,calc!$AC$207:$AC$389,1)),calc!$K$189:$K$196,0)))))</f>
        <v>NA</v>
      </c>
      <c r="ED334" s="3052"/>
      <c r="EE334" s="3052"/>
      <c r="EF334" s="3051" t="str">
        <f>IF(EF335="NA","NA",IF(OR(EF335="SKC",EF335="SCT",EF335="FEW"),"NO CIG",IF(INDEX(calc!$AR$207:$AR$389,MATCH(EF325,calc!$AC$207:$AC$389,1))="","NA",INDEX(calc!$L$189:$L$196,MATCH(INDEX(calc!$AR$207:$AR$389,MATCH(EF325,calc!$AC$207:$AC$389,1)),calc!$K$189:$K$196,0))&amp;"~"&amp;INDEX(calc!$M$189:$M$196,MATCH(INDEX(calc!$AR$207:$AR$389,MATCH(EF325,calc!$AC$207:$AC$389,1)),calc!$K$189:$K$196,0)))))</f>
        <v>NA</v>
      </c>
      <c r="EG334" s="3052"/>
      <c r="EH334" s="3052"/>
      <c r="EI334" s="3051" t="str">
        <f>IF(EI335="NA","NA",IF(OR(EI335="SKC",EI335="SCT",EI335="FEW"),"NO CIG",IF(INDEX(calc!$AR$207:$AR$389,MATCH(EI325,calc!$AC$207:$AC$389,1))="","NA",INDEX(calc!$L$189:$L$196,MATCH(INDEX(calc!$AR$207:$AR$389,MATCH(EI325,calc!$AC$207:$AC$389,1)),calc!$K$189:$K$196,0))&amp;"~"&amp;INDEX(calc!$M$189:$M$196,MATCH(INDEX(calc!$AR$207:$AR$389,MATCH(EI325,calc!$AC$207:$AC$389,1)),calc!$K$189:$K$196,0)))))</f>
        <v>NA</v>
      </c>
      <c r="EJ334" s="3052"/>
      <c r="EK334" s="3052"/>
      <c r="EL334" s="3051" t="str">
        <f>IF(EL335="NA","NA",IF(OR(EL335="SKC",EL335="SCT",EL335="FEW"),"NO CIG",IF(INDEX(calc!$AR$207:$AR$389,MATCH(EL325,calc!$AC$207:$AC$389,1))="","NA",INDEX(calc!$L$189:$L$196,MATCH(INDEX(calc!$AR$207:$AR$389,MATCH(EL325,calc!$AC$207:$AC$389,1)),calc!$K$189:$K$196,0))&amp;"~"&amp;INDEX(calc!$M$189:$M$196,MATCH(INDEX(calc!$AR$207:$AR$389,MATCH(EL325,calc!$AC$207:$AC$389,1)),calc!$K$189:$K$196,0)))))</f>
        <v>NA</v>
      </c>
      <c r="EM334" s="3052"/>
      <c r="EN334" s="3052"/>
      <c r="EO334" s="3051" t="str">
        <f>IF(EO335="NA","NA",IF(OR(EO335="SKC",EO335="SCT",EO335="FEW"),"NO CIG",IF(INDEX(calc!$AR$207:$AR$389,MATCH(EO325,calc!$AC$207:$AC$389,1))="","NA",INDEX(calc!$L$189:$L$196,MATCH(INDEX(calc!$AR$207:$AR$389,MATCH(EO325,calc!$AC$207:$AC$389,1)),calc!$K$189:$K$196,0))&amp;"~"&amp;INDEX(calc!$M$189:$M$196,MATCH(INDEX(calc!$AR$207:$AR$389,MATCH(EO325,calc!$AC$207:$AC$389,1)),calc!$K$189:$K$196,0)))))</f>
        <v>NA</v>
      </c>
      <c r="EP334" s="3052"/>
      <c r="EQ334" s="3052"/>
      <c r="ER334" s="3051" t="str">
        <f>IF(ER335="NA","NA",IF(OR(ER335="SKC",ER335="SCT",ER335="FEW"),"NO CIG",IF(INDEX(calc!$AR$207:$AR$389,MATCH(ER325,calc!$AC$207:$AC$389,1))="","NA",INDEX(calc!$L$189:$L$196,MATCH(INDEX(calc!$AR$207:$AR$389,MATCH(ER325,calc!$AC$207:$AC$389,1)),calc!$K$189:$K$196,0))&amp;"~"&amp;INDEX(calc!$M$189:$M$196,MATCH(INDEX(calc!$AR$207:$AR$389,MATCH(ER325,calc!$AC$207:$AC$389,1)),calc!$K$189:$K$196,0)))))</f>
        <v>NA</v>
      </c>
      <c r="ES334" s="3052"/>
      <c r="ET334" s="3052"/>
      <c r="EU334" s="3051" t="str">
        <f>IF(EU335="NA","NA",IF(OR(EU335="SKC",EU335="SCT",EU335="FEW"),"NO CIG",IF(INDEX(calc!$AR$207:$AR$389,MATCH(EU325,calc!$AC$207:$AC$389,1))="","NA",INDEX(calc!$L$189:$L$196,MATCH(INDEX(calc!$AR$207:$AR$389,MATCH(EU325,calc!$AC$207:$AC$389,1)),calc!$K$189:$K$196,0))&amp;"~"&amp;INDEX(calc!$M$189:$M$196,MATCH(INDEX(calc!$AR$207:$AR$389,MATCH(EU325,calc!$AC$207:$AC$389,1)),calc!$K$189:$K$196,0)))))</f>
        <v>NA</v>
      </c>
      <c r="EV334" s="3052"/>
      <c r="EW334" s="3052"/>
      <c r="EX334" s="3051" t="str">
        <f>IF(EX335="NA","NA",IF(OR(EX335="SKC",EX335="SCT",EX335="FEW"),"NO CIG",IF(INDEX(calc!$AR$207:$AR$389,MATCH(EX325,calc!$AC$207:$AC$389,1))="","NA",INDEX(calc!$L$189:$L$196,MATCH(INDEX(calc!$AR$207:$AR$389,MATCH(EX325,calc!$AC$207:$AC$389,1)),calc!$K$189:$K$196,0))&amp;"~"&amp;INDEX(calc!$M$189:$M$196,MATCH(INDEX(calc!$AR$207:$AR$389,MATCH(EX325,calc!$AC$207:$AC$389,1)),calc!$K$189:$K$196,0)))))</f>
        <v>NA</v>
      </c>
      <c r="EY334" s="3052"/>
      <c r="EZ334" s="3052"/>
      <c r="FA334" s="3051" t="str">
        <f>IF(FA335="NA","NA",IF(OR(FA335="SKC",FA335="SCT",FA335="FEW"),"NO CIG",IF(INDEX(calc!$AR$207:$AR$389,MATCH(FA325,calc!$AC$207:$AC$389,1))="","NA",INDEX(calc!$L$189:$L$196,MATCH(INDEX(calc!$AR$207:$AR$389,MATCH(FA325,calc!$AC$207:$AC$389,1)),calc!$K$189:$K$196,0))&amp;"~"&amp;INDEX(calc!$M$189:$M$196,MATCH(INDEX(calc!$AR$207:$AR$389,MATCH(FA325,calc!$AC$207:$AC$389,1)),calc!$K$189:$K$196,0)))))</f>
        <v>NA</v>
      </c>
      <c r="FB334" s="3052"/>
      <c r="FC334" s="3052"/>
      <c r="FD334" s="3051" t="str">
        <f>IF(FD335="NA","NA",IF(OR(FD335="SKC",FD335="SCT",FD335="FEW"),"NO CIG",IF(INDEX(calc!$AR$207:$AR$389,MATCH(FD325,calc!$AC$207:$AC$389,1))="","NA",INDEX(calc!$L$189:$L$196,MATCH(INDEX(calc!$AR$207:$AR$389,MATCH(FD325,calc!$AC$207:$AC$389,1)),calc!$K$189:$K$196,0))&amp;"~"&amp;INDEX(calc!$M$189:$M$196,MATCH(INDEX(calc!$AR$207:$AR$389,MATCH(FD325,calc!$AC$207:$AC$389,1)),calc!$K$189:$K$196,0)))))</f>
        <v>NA</v>
      </c>
      <c r="FE334" s="3052"/>
      <c r="FF334" s="3087"/>
      <c r="FG334" s="3051" t="str">
        <f>IF(FG335="NA","NA",IF(OR(FG335="SKC",FG335="SCT",FG335="FEW"),"NO CIG",IF(INDEX(calc!$AR$207:$AR$389,MATCH(FG325,calc!$AC$207:$AC$389,1))="","NA",INDEX(calc!$L$189:$L$196,MATCH(INDEX(calc!$AR$207:$AR$389,MATCH(FG325,calc!$AC$207:$AC$389,1)),calc!$K$189:$K$196,0))&amp;"~"&amp;INDEX(calc!$M$189:$M$196,MATCH(INDEX(calc!$AR$207:$AR$389,MATCH(FG325,calc!$AC$207:$AC$389,1)),calc!$K$189:$K$196,0)))))</f>
        <v>NA</v>
      </c>
      <c r="FH334" s="3052"/>
      <c r="FI334" s="3087"/>
      <c r="FJ334" s="3051" t="str">
        <f>IF(FJ335="NA","NA",IF(OR(FJ335="SKC",FJ335="SCT",FJ335="FEW"),"NO CIG",IF(INDEX(calc!$AR$207:$AR$389,MATCH(FJ325,calc!$AC$207:$AC$389,1))="","NA",INDEX(calc!$L$189:$L$196,MATCH(INDEX(calc!$AR$207:$AR$389,MATCH(FJ325,calc!$AC$207:$AC$389,1)),calc!$K$189:$K$196,0))&amp;"~"&amp;INDEX(calc!$M$189:$M$196,MATCH(INDEX(calc!$AR$207:$AR$389,MATCH(FJ325,calc!$AC$207:$AC$389,1)),calc!$K$189:$K$196,0)))))</f>
        <v>NA</v>
      </c>
      <c r="FK334" s="3052"/>
      <c r="FL334" s="3087"/>
      <c r="FM334" s="3051" t="str">
        <f>IF(FM335="NA","NA",IF(OR(FM335="SKC",FM335="SCT",FM335="FEW"),"NO CIG",IF(INDEX(calc!$AR$207:$AR$389,MATCH(FM325,calc!$AC$207:$AC$389,1))="","NA",INDEX(calc!$L$189:$L$196,MATCH(INDEX(calc!$AR$207:$AR$389,MATCH(FM325,calc!$AC$207:$AC$389,1)),calc!$K$189:$K$196,0))&amp;"~"&amp;INDEX(calc!$M$189:$M$196,MATCH(INDEX(calc!$AR$207:$AR$389,MATCH(FM325,calc!$AC$207:$AC$389,1)),calc!$K$189:$K$196,0)))))</f>
        <v>NA</v>
      </c>
      <c r="FN334" s="3052"/>
      <c r="FO334" s="3087"/>
      <c r="FP334" s="3051" t="str">
        <f>IF(FP335="NA","NA",IF(OR(FP335="SKC",FP335="SCT",FP335="FEW"),"NO CIG",IF(INDEX(calc!$AR$207:$AR$389,MATCH(FP325,calc!$AC$207:$AC$389,1))="","NA",INDEX(calc!$L$189:$L$196,MATCH(INDEX(calc!$AR$207:$AR$389,MATCH(FP325,calc!$AC$207:$AC$389,1)),calc!$K$189:$K$196,0))&amp;"~"&amp;INDEX(calc!$M$189:$M$196,MATCH(INDEX(calc!$AR$207:$AR$389,MATCH(FP325,calc!$AC$207:$AC$389,1)),calc!$K$189:$K$196,0)))))</f>
        <v>NA</v>
      </c>
      <c r="FQ334" s="3052"/>
      <c r="FR334" s="3087"/>
      <c r="FS334" s="3051" t="str">
        <f>IF(FS335="NA","NA",IF(OR(FS335="SKC",FS335="SCT",FS335="FEW"),"NO CIG",IF(INDEX(calc!$AR$207:$AR$389,MATCH(FS325,calc!$AC$207:$AC$389,1))="","NA",INDEX(calc!$L$189:$L$196,MATCH(INDEX(calc!$AR$207:$AR$389,MATCH(FS325,calc!$AC$207:$AC$389,1)),calc!$K$189:$K$196,0))&amp;"~"&amp;INDEX(calc!$M$189:$M$196,MATCH(INDEX(calc!$AR$207:$AR$389,MATCH(FS325,calc!$AC$207:$AC$389,1)),calc!$K$189:$K$196,0)))))</f>
        <v>NA</v>
      </c>
      <c r="FT334" s="3052"/>
      <c r="FU334" s="3087"/>
      <c r="FV334" s="3051" t="str">
        <f>IF(FV335="NA","NA",IF(OR(FV335="SKC",FV335="SCT",FV335="FEW"),"NO CIG",IF(INDEX(calc!$AR$207:$AR$389,MATCH(FV325,calc!$AC$207:$AC$389,1))="","NA",INDEX(calc!$L$189:$L$196,MATCH(INDEX(calc!$AR$207:$AR$389,MATCH(FV325,calc!$AC$207:$AC$389,1)),calc!$K$189:$K$196,0))&amp;"~"&amp;INDEX(calc!$M$189:$M$196,MATCH(INDEX(calc!$AR$207:$AR$389,MATCH(FV325,calc!$AC$207:$AC$389,1)),calc!$K$189:$K$196,0)))))</f>
        <v>NA</v>
      </c>
      <c r="FW334" s="3052"/>
      <c r="FX334" s="3087"/>
      <c r="FY334" s="3051" t="str">
        <f>IF(FY335="NA","NA",IF(OR(FY335="SKC",FY335="SCT",FY335="FEW"),"NO CIG",IF(INDEX(calc!$AR$207:$AR$389,MATCH(FY325,calc!$AC$207:$AC$389,1))="","NA",INDEX(calc!$L$189:$L$196,MATCH(INDEX(calc!$AR$207:$AR$389,MATCH(FY325,calc!$AC$207:$AC$389,1)),calc!$K$189:$K$196,0))&amp;"~"&amp;INDEX(calc!$M$189:$M$196,MATCH(INDEX(calc!$AR$207:$AR$389,MATCH(FY325,calc!$AC$207:$AC$389,1)),calc!$K$189:$K$196,0)))))</f>
        <v>NA</v>
      </c>
      <c r="FZ334" s="3052"/>
      <c r="GA334" s="3087"/>
      <c r="GB334" s="3051" t="str">
        <f>IF(GB335="NA","NA",IF(OR(GB335="SKC",GB335="SCT",GB335="FEW"),"NO CIG",IF(INDEX(calc!$AR$207:$AR$389,MATCH(GB325,calc!$AC$207:$AC$389,1))="","NA",INDEX(calc!$L$189:$L$196,MATCH(INDEX(calc!$AR$207:$AR$389,MATCH(GB325,calc!$AC$207:$AC$389,1)),calc!$K$189:$K$196,0))&amp;"~"&amp;INDEX(calc!$M$189:$M$196,MATCH(INDEX(calc!$AR$207:$AR$389,MATCH(GB325,calc!$AC$207:$AC$389,1)),calc!$K$189:$K$196,0)))))</f>
        <v>NA</v>
      </c>
      <c r="GC334" s="3052"/>
      <c r="GD334" s="3087"/>
      <c r="GE334" s="3051" t="str">
        <f>IF(GE335="NA","NA",IF(OR(GE335="SKC",GE335="SCT",GE335="FEW"),"NO CIG",IF(INDEX(calc!$AR$207:$AR$389,MATCH(GE325,calc!$AC$207:$AC$389,1))="","NA",INDEX(calc!$L$189:$L$196,MATCH(INDEX(calc!$AR$207:$AR$389,MATCH(GE325,calc!$AC$207:$AC$389,1)),calc!$K$189:$K$196,0))&amp;"~"&amp;INDEX(calc!$M$189:$M$196,MATCH(INDEX(calc!$AR$207:$AR$389,MATCH(GE325,calc!$AC$207:$AC$389,1)),calc!$K$189:$K$196,0)))))</f>
        <v>NA</v>
      </c>
      <c r="GF334" s="3052"/>
      <c r="GG334" s="3087"/>
      <c r="GH334" s="3051" t="str">
        <f>IF(GH335="NA","NA",IF(OR(GH335="SKC",GH335="SCT",GH335="FEW"),"NO CIG",IF(INDEX(calc!$AR$207:$AR$389,MATCH(GH325,calc!$AC$207:$AC$389,1))="","NA",INDEX(calc!$L$189:$L$196,MATCH(INDEX(calc!$AR$207:$AR$389,MATCH(GH325,calc!$AC$207:$AC$389,1)),calc!$K$189:$K$196,0))&amp;"~"&amp;INDEX(calc!$M$189:$M$196,MATCH(INDEX(calc!$AR$207:$AR$389,MATCH(GH325,calc!$AC$207:$AC$389,1)),calc!$K$189:$K$196,0)))))</f>
        <v>NA</v>
      </c>
      <c r="GI334" s="3052"/>
      <c r="GJ334" s="3087"/>
      <c r="GK334" s="3051" t="str">
        <f>IF(GK335="NA","NA",IF(OR(GK335="SKC",GK335="SCT",GK335="FEW"),"NO CIG",IF(INDEX(calc!$AR$207:$AR$389,MATCH(GK325,calc!$AC$207:$AC$389,1))="","NA",INDEX(calc!$L$189:$L$196,MATCH(INDEX(calc!$AR$207:$AR$389,MATCH(GK325,calc!$AC$207:$AC$389,1)),calc!$K$189:$K$196,0))&amp;"~"&amp;INDEX(calc!$M$189:$M$196,MATCH(INDEX(calc!$AR$207:$AR$389,MATCH(GK325,calc!$AC$207:$AC$389,1)),calc!$K$189:$K$196,0)))))</f>
        <v>NA</v>
      </c>
      <c r="GL334" s="3052"/>
      <c r="GM334" s="3087"/>
      <c r="GN334" s="3051" t="str">
        <f>IF(GN335="NA","NA",IF(OR(GN335="SKC",GN335="SCT",GN335="FEW"),"NO CIG",IF(INDEX(calc!$AR$207:$AR$389,MATCH(GN325,calc!$AC$207:$AC$389,1))="","NA",INDEX(calc!$L$189:$L$196,MATCH(INDEX(calc!$AR$207:$AR$389,MATCH(GN325,calc!$AC$207:$AC$389,1)),calc!$K$189:$K$196,0))&amp;"~"&amp;INDEX(calc!$M$189:$M$196,MATCH(INDEX(calc!$AR$207:$AR$389,MATCH(GN325,calc!$AC$207:$AC$389,1)),calc!$K$189:$K$196,0)))))</f>
        <v>NA</v>
      </c>
      <c r="GO334" s="3052"/>
      <c r="GP334" s="3087"/>
      <c r="GQ334" s="3051" t="str">
        <f>IF(GQ335="NA","NA",IF(OR(GQ335="SKC",GQ335="SCT",GQ335="FEW"),"NO CIG",IF(INDEX(calc!$AR$207:$AR$389,MATCH(GQ325,calc!$AC$207:$AC$389,1))="","NA",INDEX(calc!$L$189:$L$196,MATCH(INDEX(calc!$AR$207:$AR$389,MATCH(GQ325,calc!$AC$207:$AC$389,1)),calc!$K$189:$K$196,0))&amp;"~"&amp;INDEX(calc!$M$189:$M$196,MATCH(INDEX(calc!$AR$207:$AR$389,MATCH(GQ325,calc!$AC$207:$AC$389,1)),calc!$K$189:$K$196,0)))))</f>
        <v>NA</v>
      </c>
      <c r="GR334" s="3052"/>
      <c r="GS334" s="3087"/>
    </row>
    <row r="335" spans="2:201" s="539" customFormat="1" ht="15" customHeight="1">
      <c r="L335" s="1166" t="s">
        <v>3069</v>
      </c>
      <c r="M335" s="1047"/>
      <c r="N335" s="1047"/>
      <c r="O335" s="1047"/>
      <c r="P335" s="1047"/>
      <c r="Q335" s="1047"/>
      <c r="R335" s="1047"/>
      <c r="S335" s="1047"/>
      <c r="T335" s="1074"/>
      <c r="U335" s="1074"/>
      <c r="V335" s="1074"/>
      <c r="W335" s="1074"/>
      <c r="X335" s="1072"/>
      <c r="Y335" s="1072"/>
      <c r="Z335" s="1072"/>
      <c r="AA335" s="1071" t="s">
        <v>374</v>
      </c>
      <c r="AB335" s="3075" t="str">
        <f>IF(INDEX(calc!$AS$207:$AS$389,MATCH(AB325,calc!$AC$207:$AC$389,1))="","NA",INDEX(calc!$L$331:$L$335,MATCH(INDEX(calc!$AS$207:$AS$389,MATCH(AB325,calc!$AC$207:$AC$389,1)),calc!$K$331:$K$335,0)))</f>
        <v>BKN</v>
      </c>
      <c r="AC335" s="3076"/>
      <c r="AD335" s="3076"/>
      <c r="AE335" s="3075" t="str">
        <f>IF(INDEX(calc!$AS$207:$AS$389,MATCH(AE325,calc!$AC$207:$AC$389,1))="","NA",INDEX(calc!$L$331:$L$335,MATCH(INDEX(calc!$AS$207:$AS$389,MATCH(AE325,calc!$AC$207:$AC$389,1)),calc!$K$331:$K$335,0)))</f>
        <v>BKN</v>
      </c>
      <c r="AF335" s="3076"/>
      <c r="AG335" s="3076"/>
      <c r="AH335" s="3075" t="str">
        <f>IF(INDEX(calc!$AS$207:$AS$389,MATCH(AH325,calc!$AC$207:$AC$389,1))="","NA",INDEX(calc!$L$331:$L$335,MATCH(INDEX(calc!$AS$207:$AS$389,MATCH(AH325,calc!$AC$207:$AC$389,1)),calc!$K$331:$K$335,0)))</f>
        <v>BKN</v>
      </c>
      <c r="AI335" s="3076"/>
      <c r="AJ335" s="3076"/>
      <c r="AK335" s="3075" t="str">
        <f>IF(INDEX(calc!$AS$207:$AS$389,MATCH(AK325,calc!$AC$207:$AC$389,1))="","NA",INDEX(calc!$L$331:$L$335,MATCH(INDEX(calc!$AS$207:$AS$389,MATCH(AK325,calc!$AC$207:$AC$389,1)),calc!$K$331:$K$335,0)))</f>
        <v>BKN</v>
      </c>
      <c r="AL335" s="3076"/>
      <c r="AM335" s="3076"/>
      <c r="AN335" s="3075" t="str">
        <f>IF(INDEX(calc!$AS$207:$AS$389,MATCH(AN325,calc!$AC$207:$AC$389,1))="","NA",INDEX(calc!$L$331:$L$335,MATCH(INDEX(calc!$AS$207:$AS$389,MATCH(AN325,calc!$AC$207:$AC$389,1)),calc!$K$331:$K$335,0)))</f>
        <v>SCT</v>
      </c>
      <c r="AO335" s="3076"/>
      <c r="AP335" s="3076"/>
      <c r="AQ335" s="3075" t="str">
        <f>IF(INDEX(calc!$AS$207:$AS$389,MATCH(AQ325,calc!$AC$207:$AC$389,1))="","NA",INDEX(calc!$L$331:$L$335,MATCH(INDEX(calc!$AS$207:$AS$389,MATCH(AQ325,calc!$AC$207:$AC$389,1)),calc!$K$331:$K$335,0)))</f>
        <v>SCT</v>
      </c>
      <c r="AR335" s="3076"/>
      <c r="AS335" s="3076"/>
      <c r="AT335" s="3075" t="str">
        <f>IF(INDEX(calc!$AS$207:$AS$389,MATCH(AT325,calc!$AC$207:$AC$389,1))="","NA",INDEX(calc!$L$331:$L$335,MATCH(INDEX(calc!$AS$207:$AS$389,MATCH(AT325,calc!$AC$207:$AC$389,1)),calc!$K$331:$K$335,0)))</f>
        <v>SCT</v>
      </c>
      <c r="AU335" s="3076"/>
      <c r="AV335" s="3076"/>
      <c r="AW335" s="3075" t="str">
        <f>IF(INDEX(calc!$AS$207:$AS$389,MATCH(AW325,calc!$AC$207:$AC$389,1))="","NA",INDEX(calc!$L$331:$L$335,MATCH(INDEX(calc!$AS$207:$AS$389,MATCH(AW325,calc!$AC$207:$AC$389,1)),calc!$K$331:$K$335,0)))</f>
        <v>BKN</v>
      </c>
      <c r="AX335" s="3076"/>
      <c r="AY335" s="3076"/>
      <c r="AZ335" s="3075" t="str">
        <f>IF(INDEX(calc!$AS$207:$AS$389,MATCH(AZ325,calc!$AC$207:$AC$389,1))="","NA",INDEX(calc!$L$331:$L$335,MATCH(INDEX(calc!$AS$207:$AS$389,MATCH(AZ325,calc!$AC$207:$AC$389,1)),calc!$K$331:$K$335,0)))</f>
        <v>BKN</v>
      </c>
      <c r="BA335" s="3076"/>
      <c r="BB335" s="3076"/>
      <c r="BC335" s="3075" t="str">
        <f>IF(INDEX(calc!$AS$207:$AS$389,MATCH(BC325,calc!$AC$207:$AC$389,1))="","NA",INDEX(calc!$L$331:$L$335,MATCH(INDEX(calc!$AS$207:$AS$389,MATCH(BC325,calc!$AC$207:$AC$389,1)),calc!$K$331:$K$335,0)))</f>
        <v>BKN</v>
      </c>
      <c r="BD335" s="3076"/>
      <c r="BE335" s="3076"/>
      <c r="BF335" s="3075" t="str">
        <f>IF(INDEX(calc!$AS$207:$AS$389,MATCH(BF325,calc!$AC$207:$AC$389,1))="","NA",INDEX(calc!$L$331:$L$335,MATCH(INDEX(calc!$AS$207:$AS$389,MATCH(BF325,calc!$AC$207:$AC$389,1)),calc!$K$331:$K$335,0)))</f>
        <v>BKN</v>
      </c>
      <c r="BG335" s="3076"/>
      <c r="BH335" s="3076"/>
      <c r="BI335" s="3075" t="str">
        <f>IF(INDEX(calc!$AS$207:$AS$389,MATCH(BI325,calc!$AC$207:$AC$389,1))="","NA",INDEX(calc!$L$331:$L$335,MATCH(INDEX(calc!$AS$207:$AS$389,MATCH(BI325,calc!$AC$207:$AC$389,1)),calc!$K$331:$K$335,0)))</f>
        <v>BKN</v>
      </c>
      <c r="BJ335" s="3076"/>
      <c r="BK335" s="3076"/>
      <c r="BL335" s="3075" t="str">
        <f>IF(INDEX(calc!$AS$207:$AS$389,MATCH(BL325,calc!$AC$207:$AC$389,1))="","NA",INDEX(calc!$L$331:$L$335,MATCH(INDEX(calc!$AS$207:$AS$389,MATCH(BL325,calc!$AC$207:$AC$389,1)),calc!$K$331:$K$335,0)))</f>
        <v>BKN</v>
      </c>
      <c r="BM335" s="3076"/>
      <c r="BN335" s="3076"/>
      <c r="BO335" s="3075" t="str">
        <f>IF(INDEX(calc!$AS$207:$AS$389,MATCH(BO325,calc!$AC$207:$AC$389,1))="","NA",INDEX(calc!$L$331:$L$335,MATCH(INDEX(calc!$AS$207:$AS$389,MATCH(BO325,calc!$AC$207:$AC$389,1)),calc!$K$331:$K$335,0)))</f>
        <v>OVC</v>
      </c>
      <c r="BP335" s="3076"/>
      <c r="BQ335" s="3076"/>
      <c r="BR335" s="3075" t="str">
        <f>IF(INDEX(calc!$AS$207:$AS$389,MATCH(BR325,calc!$AC$207:$AC$389,1))="","NA",INDEX(calc!$L$331:$L$335,MATCH(INDEX(calc!$AS$207:$AS$389,MATCH(BR325,calc!$AC$207:$AC$389,1)),calc!$K$331:$K$335,0)))</f>
        <v>OVC</v>
      </c>
      <c r="BS335" s="3076"/>
      <c r="BT335" s="3076"/>
      <c r="BU335" s="3075" t="str">
        <f>IF(INDEX(calc!$AS$207:$AS$389,MATCH(BU325,calc!$AC$207:$AC$389,1))="","NA",INDEX(calc!$L$331:$L$335,MATCH(INDEX(calc!$AS$207:$AS$389,MATCH(BU325,calc!$AC$207:$AC$389,1)),calc!$K$331:$K$335,0)))</f>
        <v>BKN</v>
      </c>
      <c r="BV335" s="3076"/>
      <c r="BW335" s="3076"/>
      <c r="BX335" s="3075" t="str">
        <f>IF(INDEX(calc!$AS$207:$AS$389,MATCH(BX325,calc!$AC$207:$AC$389,1))="","NA",INDEX(calc!$L$331:$L$335,MATCH(INDEX(calc!$AS$207:$AS$389,MATCH(BX325,calc!$AC$207:$AC$389,1)),calc!$K$331:$K$335,0)))</f>
        <v>BKN</v>
      </c>
      <c r="BY335" s="3076"/>
      <c r="BZ335" s="3076"/>
      <c r="CA335" s="3075" t="str">
        <f>IF(INDEX(calc!$AS$207:$AS$389,MATCH(CA325,calc!$AC$207:$AC$389,1))="","NA",INDEX(calc!$L$331:$L$335,MATCH(INDEX(calc!$AS$207:$AS$389,MATCH(CA325,calc!$AC$207:$AC$389,1)),calc!$K$331:$K$335,0)))</f>
        <v>BKN</v>
      </c>
      <c r="CB335" s="3076"/>
      <c r="CC335" s="3076"/>
      <c r="CD335" s="3075" t="str">
        <f>IF(INDEX(calc!$AS$207:$AS$389,MATCH(CD325,calc!$AC$207:$AC$389,1))="","NA",INDEX(calc!$L$331:$L$335,MATCH(INDEX(calc!$AS$207:$AS$389,MATCH(CD325,calc!$AC$207:$AC$389,1)),calc!$K$331:$K$335,0)))</f>
        <v>BKN</v>
      </c>
      <c r="CE335" s="3076"/>
      <c r="CF335" s="3076"/>
      <c r="CG335" s="3075" t="str">
        <f>IF(INDEX(calc!$AS$207:$AS$389,MATCH(CG325,calc!$AC$207:$AC$389,1))="","NA",INDEX(calc!$L$331:$L$335,MATCH(INDEX(calc!$AS$207:$AS$389,MATCH(CG325,calc!$AC$207:$AC$389,1)),calc!$K$331:$K$335,0)))</f>
        <v>BKN</v>
      </c>
      <c r="CH335" s="3076"/>
      <c r="CI335" s="3076"/>
      <c r="CJ335" s="3075" t="str">
        <f>IF(INDEX(calc!$AS$207:$AS$389,MATCH(CJ325,calc!$AC$207:$AC$389,1))="","NA",INDEX(calc!$L$331:$L$335,MATCH(INDEX(calc!$AS$207:$AS$389,MATCH(CJ325,calc!$AC$207:$AC$389,1)),calc!$K$331:$K$335,0)))</f>
        <v>OVC</v>
      </c>
      <c r="CK335" s="3076"/>
      <c r="CL335" s="3076"/>
      <c r="CM335" s="3075" t="str">
        <f>IF(INDEX(calc!$AS$207:$AS$389,MATCH(CM325,calc!$AC$207:$AC$389,1))="","NA",INDEX(calc!$L$331:$L$335,MATCH(INDEX(calc!$AS$207:$AS$389,MATCH(CM325,calc!$AC$207:$AC$389,1)),calc!$K$331:$K$335,0)))</f>
        <v>NA</v>
      </c>
      <c r="CN335" s="3076"/>
      <c r="CO335" s="3076"/>
      <c r="CP335" s="3075" t="str">
        <f>IF(INDEX(calc!$AS$207:$AS$389,MATCH(CP325,calc!$AC$207:$AC$389,1))="","NA",INDEX(calc!$L$331:$L$335,MATCH(INDEX(calc!$AS$207:$AS$389,MATCH(CP325,calc!$AC$207:$AC$389,1)),calc!$K$331:$K$335,0)))</f>
        <v>OVC</v>
      </c>
      <c r="CQ335" s="3076"/>
      <c r="CR335" s="3076"/>
      <c r="CS335" s="3075" t="str">
        <f>IF(INDEX(calc!$AS$207:$AS$389,MATCH(CS325,calc!$AC$207:$AC$389,1))="","NA",INDEX(calc!$L$331:$L$335,MATCH(INDEX(calc!$AS$207:$AS$389,MATCH(CS325,calc!$AC$207:$AC$389,1)),calc!$K$331:$K$335,0)))</f>
        <v>NA</v>
      </c>
      <c r="CT335" s="3076"/>
      <c r="CU335" s="3076"/>
      <c r="CV335" s="3075" t="str">
        <f>IF(INDEX(calc!$AS$207:$AS$389,MATCH(CV325,calc!$AC$207:$AC$389,1))="","NA",INDEX(calc!$L$331:$L$335,MATCH(INDEX(calc!$AS$207:$AS$389,MATCH(CV325,calc!$AC$207:$AC$389,1)),calc!$K$331:$K$335,0)))</f>
        <v>OVC</v>
      </c>
      <c r="CW335" s="3076"/>
      <c r="CX335" s="3076"/>
      <c r="CY335" s="3075" t="str">
        <f>IF(INDEX(calc!$AS$207:$AS$389,MATCH(CY325,calc!$AC$207:$AC$389,1))="","NA",INDEX(calc!$L$331:$L$335,MATCH(INDEX(calc!$AS$207:$AS$389,MATCH(CY325,calc!$AC$207:$AC$389,1)),calc!$K$331:$K$335,0)))</f>
        <v>NA</v>
      </c>
      <c r="CZ335" s="3076"/>
      <c r="DA335" s="3076"/>
      <c r="DB335" s="3075" t="str">
        <f>IF(INDEX(calc!$AS$207:$AS$389,MATCH(DB325,calc!$AC$207:$AC$389,1))="","NA",INDEX(calc!$L$331:$L$335,MATCH(INDEX(calc!$AS$207:$AS$389,MATCH(DB325,calc!$AC$207:$AC$389,1)),calc!$K$331:$K$335,0)))</f>
        <v>NA</v>
      </c>
      <c r="DC335" s="3076"/>
      <c r="DD335" s="3076"/>
      <c r="DE335" s="3075" t="str">
        <f>IF(INDEX(calc!$AS$207:$AS$389,MATCH(DE325,calc!$AC$207:$AC$389,1))="","NA",INDEX(calc!$L$331:$L$335,MATCH(INDEX(calc!$AS$207:$AS$389,MATCH(DE325,calc!$AC$207:$AC$389,1)),calc!$K$331:$K$335,0)))</f>
        <v>NA</v>
      </c>
      <c r="DF335" s="3076"/>
      <c r="DG335" s="3076"/>
      <c r="DH335" s="3075" t="str">
        <f>IF(INDEX(calc!$AS$207:$AS$389,MATCH(DH325,calc!$AC$207:$AC$389,1))="","NA",INDEX(calc!$L$331:$L$335,MATCH(INDEX(calc!$AS$207:$AS$389,MATCH(DH325,calc!$AC$207:$AC$389,1)),calc!$K$331:$K$335,0)))</f>
        <v>NA</v>
      </c>
      <c r="DI335" s="3076"/>
      <c r="DJ335" s="3076"/>
      <c r="DK335" s="3075" t="str">
        <f>IF(INDEX(calc!$AS$207:$AS$389,MATCH(DK325,calc!$AC$207:$AC$389,1))="","NA",INDEX(calc!$L$331:$L$335,MATCH(INDEX(calc!$AS$207:$AS$389,MATCH(DK325,calc!$AC$207:$AC$389,1)),calc!$K$331:$K$335,0)))</f>
        <v>NA</v>
      </c>
      <c r="DL335" s="3076"/>
      <c r="DM335" s="3076"/>
      <c r="DN335" s="3075" t="str">
        <f>IF(INDEX(calc!$AS$207:$AS$389,MATCH(DN325,calc!$AC$207:$AC$389,1))="","NA",INDEX(calc!$L$331:$L$335,MATCH(INDEX(calc!$AS$207:$AS$389,MATCH(DN325,calc!$AC$207:$AC$389,1)),calc!$K$331:$K$335,0)))</f>
        <v>NA</v>
      </c>
      <c r="DO335" s="3076"/>
      <c r="DP335" s="3076"/>
      <c r="DQ335" s="3075" t="str">
        <f>IF(INDEX(calc!$AS$207:$AS$389,MATCH(DQ325,calc!$AC$207:$AC$389,1))="","NA",INDEX(calc!$L$331:$L$335,MATCH(INDEX(calc!$AS$207:$AS$389,MATCH(DQ325,calc!$AC$207:$AC$389,1)),calc!$K$331:$K$335,0)))</f>
        <v>NA</v>
      </c>
      <c r="DR335" s="3076"/>
      <c r="DS335" s="3076"/>
      <c r="DT335" s="3075" t="str">
        <f>IF(INDEX(calc!$AS$207:$AS$389,MATCH(DT325,calc!$AC$207:$AC$389,1))="","NA",INDEX(calc!$L$331:$L$335,MATCH(INDEX(calc!$AS$207:$AS$389,MATCH(DT325,calc!$AC$207:$AC$389,1)),calc!$K$331:$K$335,0)))</f>
        <v>NA</v>
      </c>
      <c r="DU335" s="3076"/>
      <c r="DV335" s="3076"/>
      <c r="DW335" s="3075" t="str">
        <f>IF(INDEX(calc!$AS$207:$AS$389,MATCH(DW325,calc!$AC$207:$AC$389,1))="","NA",INDEX(calc!$L$331:$L$335,MATCH(INDEX(calc!$AS$207:$AS$389,MATCH(DW325,calc!$AC$207:$AC$389,1)),calc!$K$331:$K$335,0)))</f>
        <v>NA</v>
      </c>
      <c r="DX335" s="3076"/>
      <c r="DY335" s="3076"/>
      <c r="DZ335" s="3075" t="str">
        <f>IF(INDEX(calc!$AS$207:$AS$389,MATCH(DZ325,calc!$AC$207:$AC$389,1))="","NA",INDEX(calc!$L$331:$L$335,MATCH(INDEX(calc!$AS$207:$AS$389,MATCH(DZ325,calc!$AC$207:$AC$389,1)),calc!$K$331:$K$335,0)))</f>
        <v>NA</v>
      </c>
      <c r="EA335" s="3076"/>
      <c r="EB335" s="3076"/>
      <c r="EC335" s="3075" t="str">
        <f>IF(INDEX(calc!$AS$207:$AS$389,MATCH(EC325,calc!$AC$207:$AC$389,1))="","NA",INDEX(calc!$L$331:$L$335,MATCH(INDEX(calc!$AS$207:$AS$389,MATCH(EC325,calc!$AC$207:$AC$389,1)),calc!$K$331:$K$335,0)))</f>
        <v>NA</v>
      </c>
      <c r="ED335" s="3076"/>
      <c r="EE335" s="3076"/>
      <c r="EF335" s="3075" t="str">
        <f>IF(INDEX(calc!$AS$207:$AS$389,MATCH(EF325,calc!$AC$207:$AC$389,1))="","NA",INDEX(calc!$L$331:$L$335,MATCH(INDEX(calc!$AS$207:$AS$389,MATCH(EF325,calc!$AC$207:$AC$389,1)),calc!$K$331:$K$335,0)))</f>
        <v>NA</v>
      </c>
      <c r="EG335" s="3076"/>
      <c r="EH335" s="3076"/>
      <c r="EI335" s="3075" t="str">
        <f>IF(INDEX(calc!$AS$207:$AS$389,MATCH(EI325,calc!$AC$207:$AC$389,1))="","NA",INDEX(calc!$L$331:$L$335,MATCH(INDEX(calc!$AS$207:$AS$389,MATCH(EI325,calc!$AC$207:$AC$389,1)),calc!$K$331:$K$335,0)))</f>
        <v>NA</v>
      </c>
      <c r="EJ335" s="3076"/>
      <c r="EK335" s="3076"/>
      <c r="EL335" s="3075" t="str">
        <f>IF(INDEX(calc!$AS$207:$AS$389,MATCH(EL325,calc!$AC$207:$AC$389,1))="","NA",INDEX(calc!$L$331:$L$335,MATCH(INDEX(calc!$AS$207:$AS$389,MATCH(EL325,calc!$AC$207:$AC$389,1)),calc!$K$331:$K$335,0)))</f>
        <v>NA</v>
      </c>
      <c r="EM335" s="3076"/>
      <c r="EN335" s="3076"/>
      <c r="EO335" s="3075" t="str">
        <f>IF(INDEX(calc!$AS$207:$AS$389,MATCH(EO325,calc!$AC$207:$AC$389,1))="","NA",INDEX(calc!$L$331:$L$335,MATCH(INDEX(calc!$AS$207:$AS$389,MATCH(EO325,calc!$AC$207:$AC$389,1)),calc!$K$331:$K$335,0)))</f>
        <v>NA</v>
      </c>
      <c r="EP335" s="3076"/>
      <c r="EQ335" s="3076"/>
      <c r="ER335" s="3075" t="str">
        <f>IF(INDEX(calc!$AS$207:$AS$389,MATCH(ER325,calc!$AC$207:$AC$389,1))="","NA",INDEX(calc!$L$331:$L$335,MATCH(INDEX(calc!$AS$207:$AS$389,MATCH(ER325,calc!$AC$207:$AC$389,1)),calc!$K$331:$K$335,0)))</f>
        <v>NA</v>
      </c>
      <c r="ES335" s="3076"/>
      <c r="ET335" s="3076"/>
      <c r="EU335" s="3075" t="str">
        <f>IF(INDEX(calc!$AS$207:$AS$389,MATCH(EU325,calc!$AC$207:$AC$389,1))="","NA",INDEX(calc!$L$331:$L$335,MATCH(INDEX(calc!$AS$207:$AS$389,MATCH(EU325,calc!$AC$207:$AC$389,1)),calc!$K$331:$K$335,0)))</f>
        <v>NA</v>
      </c>
      <c r="EV335" s="3076"/>
      <c r="EW335" s="3076"/>
      <c r="EX335" s="3075" t="str">
        <f>IF(INDEX(calc!$AS$207:$AS$389,MATCH(EX325,calc!$AC$207:$AC$389,1))="","NA",INDEX(calc!$L$331:$L$335,MATCH(INDEX(calc!$AS$207:$AS$389,MATCH(EX325,calc!$AC$207:$AC$389,1)),calc!$K$331:$K$335,0)))</f>
        <v>NA</v>
      </c>
      <c r="EY335" s="3076"/>
      <c r="EZ335" s="3076"/>
      <c r="FA335" s="3075" t="str">
        <f>IF(INDEX(calc!$AS$207:$AS$389,MATCH(FA325,calc!$AC$207:$AC$389,1))="","NA",INDEX(calc!$L$331:$L$335,MATCH(INDEX(calc!$AS$207:$AS$389,MATCH(FA325,calc!$AC$207:$AC$389,1)),calc!$K$331:$K$335,0)))</f>
        <v>NA</v>
      </c>
      <c r="FB335" s="3076"/>
      <c r="FC335" s="3076"/>
      <c r="FD335" s="3075" t="str">
        <f>IF(INDEX(calc!$AS$207:$AS$389,MATCH(FD325,calc!$AC$207:$AC$389,1))="","NA",INDEX(calc!$L$331:$L$335,MATCH(INDEX(calc!$AS$207:$AS$389,MATCH(FD325,calc!$AC$207:$AC$389,1)),calc!$K$331:$K$335,0)))</f>
        <v>NA</v>
      </c>
      <c r="FE335" s="3076"/>
      <c r="FF335" s="3086"/>
      <c r="FG335" s="3075" t="str">
        <f>IF(INDEX(calc!$AS$207:$AS$389,MATCH(FG325,calc!$AC$207:$AC$389,1))="","NA",INDEX(calc!$L$331:$L$335,MATCH(INDEX(calc!$AS$207:$AS$389,MATCH(FG325,calc!$AC$207:$AC$389,1)),calc!$K$331:$K$335,0)))</f>
        <v>NA</v>
      </c>
      <c r="FH335" s="3076"/>
      <c r="FI335" s="3086"/>
      <c r="FJ335" s="3075" t="str">
        <f>IF(INDEX(calc!$AS$207:$AS$389,MATCH(FJ325,calc!$AC$207:$AC$389,1))="","NA",INDEX(calc!$L$331:$L$335,MATCH(INDEX(calc!$AS$207:$AS$389,MATCH(FJ325,calc!$AC$207:$AC$389,1)),calc!$K$331:$K$335,0)))</f>
        <v>NA</v>
      </c>
      <c r="FK335" s="3076"/>
      <c r="FL335" s="3086"/>
      <c r="FM335" s="3075" t="str">
        <f>IF(INDEX(calc!$AS$207:$AS$389,MATCH(FM325,calc!$AC$207:$AC$389,1))="","NA",INDEX(calc!$L$331:$L$335,MATCH(INDEX(calc!$AS$207:$AS$389,MATCH(FM325,calc!$AC$207:$AC$389,1)),calc!$K$331:$K$335,0)))</f>
        <v>NA</v>
      </c>
      <c r="FN335" s="3076"/>
      <c r="FO335" s="3086"/>
      <c r="FP335" s="3075" t="str">
        <f>IF(INDEX(calc!$AS$207:$AS$389,MATCH(FP325,calc!$AC$207:$AC$389,1))="","NA",INDEX(calc!$L$331:$L$335,MATCH(INDEX(calc!$AS$207:$AS$389,MATCH(FP325,calc!$AC$207:$AC$389,1)),calc!$K$331:$K$335,0)))</f>
        <v>NA</v>
      </c>
      <c r="FQ335" s="3076"/>
      <c r="FR335" s="3086"/>
      <c r="FS335" s="3075" t="str">
        <f>IF(INDEX(calc!$AS$207:$AS$389,MATCH(FS325,calc!$AC$207:$AC$389,1))="","NA",INDEX(calc!$L$331:$L$335,MATCH(INDEX(calc!$AS$207:$AS$389,MATCH(FS325,calc!$AC$207:$AC$389,1)),calc!$K$331:$K$335,0)))</f>
        <v>NA</v>
      </c>
      <c r="FT335" s="3076"/>
      <c r="FU335" s="3086"/>
      <c r="FV335" s="3075" t="str">
        <f>IF(INDEX(calc!$AS$207:$AS$389,MATCH(FV325,calc!$AC$207:$AC$389,1))="","NA",INDEX(calc!$L$331:$L$335,MATCH(INDEX(calc!$AS$207:$AS$389,MATCH(FV325,calc!$AC$207:$AC$389,1)),calc!$K$331:$K$335,0)))</f>
        <v>NA</v>
      </c>
      <c r="FW335" s="3076"/>
      <c r="FX335" s="3086"/>
      <c r="FY335" s="3075" t="str">
        <f>IF(INDEX(calc!$AS$207:$AS$389,MATCH(FY325,calc!$AC$207:$AC$389,1))="","NA",INDEX(calc!$L$331:$L$335,MATCH(INDEX(calc!$AS$207:$AS$389,MATCH(FY325,calc!$AC$207:$AC$389,1)),calc!$K$331:$K$335,0)))</f>
        <v>NA</v>
      </c>
      <c r="FZ335" s="3076"/>
      <c r="GA335" s="3086"/>
      <c r="GB335" s="3075" t="str">
        <f>IF(INDEX(calc!$AS$207:$AS$389,MATCH(GB325,calc!$AC$207:$AC$389,1))="","NA",INDEX(calc!$L$331:$L$335,MATCH(INDEX(calc!$AS$207:$AS$389,MATCH(GB325,calc!$AC$207:$AC$389,1)),calc!$K$331:$K$335,0)))</f>
        <v>NA</v>
      </c>
      <c r="GC335" s="3076"/>
      <c r="GD335" s="3086"/>
      <c r="GE335" s="3075" t="str">
        <f>IF(INDEX(calc!$AS$207:$AS$389,MATCH(GE325,calc!$AC$207:$AC$389,1))="","NA",INDEX(calc!$L$331:$L$335,MATCH(INDEX(calc!$AS$207:$AS$389,MATCH(GE325,calc!$AC$207:$AC$389,1)),calc!$K$331:$K$335,0)))</f>
        <v>NA</v>
      </c>
      <c r="GF335" s="3076"/>
      <c r="GG335" s="3086"/>
      <c r="GH335" s="3075" t="str">
        <f>IF(INDEX(calc!$AS$207:$AS$389,MATCH(GH325,calc!$AC$207:$AC$389,1))="","NA",INDEX(calc!$L$331:$L$335,MATCH(INDEX(calc!$AS$207:$AS$389,MATCH(GH325,calc!$AC$207:$AC$389,1)),calc!$K$331:$K$335,0)))</f>
        <v>NA</v>
      </c>
      <c r="GI335" s="3076"/>
      <c r="GJ335" s="3086"/>
      <c r="GK335" s="3075" t="str">
        <f>IF(INDEX(calc!$AS$207:$AS$389,MATCH(GK325,calc!$AC$207:$AC$389,1))="","NA",INDEX(calc!$L$331:$L$335,MATCH(INDEX(calc!$AS$207:$AS$389,MATCH(GK325,calc!$AC$207:$AC$389,1)),calc!$K$331:$K$335,0)))</f>
        <v>NA</v>
      </c>
      <c r="GL335" s="3076"/>
      <c r="GM335" s="3086"/>
      <c r="GN335" s="3075" t="str">
        <f>IF(INDEX(calc!$AS$207:$AS$389,MATCH(GN325,calc!$AC$207:$AC$389,1))="","NA",INDEX(calc!$L$331:$L$335,MATCH(INDEX(calc!$AS$207:$AS$389,MATCH(GN325,calc!$AC$207:$AC$389,1)),calc!$K$331:$K$335,0)))</f>
        <v>NA</v>
      </c>
      <c r="GO335" s="3076"/>
      <c r="GP335" s="3086"/>
      <c r="GQ335" s="3075" t="str">
        <f>IF(INDEX(calc!$AS$207:$AS$389,MATCH(GQ325,calc!$AC$207:$AC$389,1))="","NA",INDEX(calc!$L$331:$L$335,MATCH(INDEX(calc!$AS$207:$AS$389,MATCH(GQ325,calc!$AC$207:$AC$389,1)),calc!$K$331:$K$335,0)))</f>
        <v>NA</v>
      </c>
      <c r="GR335" s="3076"/>
      <c r="GS335" s="3086"/>
    </row>
    <row r="336" spans="2:201" s="539" customFormat="1" ht="6" customHeight="1">
      <c r="L336" s="1166" t="s">
        <v>3070</v>
      </c>
      <c r="M336" s="1047"/>
      <c r="N336" s="1047"/>
      <c r="O336" s="1047"/>
      <c r="P336" s="1047"/>
      <c r="Q336" s="1047"/>
      <c r="R336" s="1047"/>
      <c r="S336" s="1047"/>
      <c r="T336" s="1074"/>
      <c r="U336" s="1074"/>
      <c r="V336" s="1074"/>
      <c r="W336" s="1074"/>
      <c r="X336" s="1072"/>
      <c r="Y336" s="1072"/>
      <c r="Z336" s="1072"/>
      <c r="AA336" s="1071"/>
      <c r="AB336" s="1100"/>
      <c r="AC336" s="1100"/>
      <c r="AD336" s="1101"/>
      <c r="AE336" s="1101"/>
      <c r="AF336" s="1102"/>
      <c r="AG336" s="1102"/>
      <c r="AH336" s="1102"/>
      <c r="AI336" s="1102"/>
      <c r="AJ336" s="1102"/>
      <c r="AK336" s="1102"/>
      <c r="AL336" s="1170"/>
      <c r="AM336" s="1170"/>
      <c r="AN336" s="1103"/>
      <c r="AO336" s="1103"/>
      <c r="AP336" s="1104"/>
      <c r="AQ336" s="1104"/>
      <c r="AR336" s="1102"/>
      <c r="AS336" s="1102"/>
      <c r="AT336" s="1102"/>
      <c r="AU336" s="1102"/>
      <c r="AV336" s="1102"/>
      <c r="AW336" s="1102"/>
      <c r="AX336" s="1170"/>
      <c r="AY336" s="1170"/>
      <c r="AZ336" s="1103"/>
      <c r="BA336" s="1103"/>
      <c r="BB336" s="1091"/>
      <c r="BC336" s="1092"/>
      <c r="BD336" s="1092"/>
      <c r="BE336" s="1092"/>
      <c r="BF336" s="1093"/>
      <c r="BG336" s="1093"/>
      <c r="BH336" s="1093"/>
      <c r="BI336" s="1094"/>
      <c r="BJ336" s="1094"/>
      <c r="BK336" s="1095"/>
      <c r="BL336" s="1095"/>
      <c r="BM336" s="1096"/>
      <c r="BN336" s="1096"/>
      <c r="BO336" s="1092"/>
      <c r="BP336" s="1092"/>
      <c r="BQ336" s="1092"/>
      <c r="BR336" s="1092"/>
      <c r="BS336" s="1092"/>
      <c r="BT336" s="1092"/>
      <c r="BU336" s="1093"/>
      <c r="BV336" s="1097"/>
      <c r="BW336" s="1098"/>
      <c r="BX336" s="1098"/>
      <c r="BY336" s="1098"/>
      <c r="BZ336" s="1098"/>
      <c r="CA336" s="1099"/>
      <c r="CB336" s="1091"/>
      <c r="CC336" s="1092"/>
      <c r="CD336" s="1092"/>
      <c r="CE336" s="1092"/>
      <c r="CF336" s="1093"/>
      <c r="CG336" s="1093"/>
      <c r="CH336" s="1093"/>
      <c r="CI336" s="1094"/>
      <c r="CJ336" s="1094"/>
      <c r="CK336" s="1095"/>
      <c r="CL336" s="1095"/>
      <c r="CM336" s="1096"/>
      <c r="CN336" s="1096"/>
      <c r="CO336" s="1092"/>
      <c r="CP336" s="1092"/>
      <c r="CQ336" s="1092"/>
      <c r="CR336" s="1092"/>
      <c r="CS336" s="1092"/>
      <c r="CT336" s="1092"/>
      <c r="CU336" s="1093"/>
      <c r="CV336" s="1097"/>
      <c r="CW336" s="1098"/>
      <c r="CX336" s="1098"/>
      <c r="CY336" s="1098"/>
      <c r="CZ336" s="1098"/>
      <c r="DA336" s="1099"/>
      <c r="DB336" s="1091"/>
      <c r="DC336" s="1092"/>
      <c r="DD336" s="1092"/>
      <c r="DE336" s="1092"/>
      <c r="DF336" s="1093"/>
      <c r="DG336" s="1093"/>
      <c r="DH336" s="1093"/>
      <c r="DI336" s="1094"/>
      <c r="DJ336" s="1094"/>
      <c r="DK336" s="1095"/>
      <c r="DL336" s="1095"/>
      <c r="DM336" s="1096"/>
      <c r="DN336" s="1096"/>
      <c r="DO336" s="1092"/>
      <c r="DP336" s="1092"/>
      <c r="DQ336" s="1092"/>
      <c r="DR336" s="1092"/>
      <c r="DS336" s="1092"/>
      <c r="DT336" s="1092"/>
      <c r="DU336" s="1093"/>
      <c r="DV336" s="1097"/>
      <c r="DW336" s="1098"/>
      <c r="DX336" s="1098"/>
      <c r="DY336" s="1098"/>
      <c r="DZ336" s="1098"/>
      <c r="EA336" s="1091"/>
      <c r="EB336" s="1091"/>
      <c r="EC336" s="1091"/>
      <c r="ED336" s="1091"/>
      <c r="EE336" s="1091"/>
      <c r="EF336" s="1091"/>
      <c r="EG336" s="1091"/>
      <c r="EH336" s="1091"/>
      <c r="EI336" s="1091"/>
      <c r="EJ336" s="1091"/>
      <c r="EK336" s="1091"/>
      <c r="EL336" s="1091"/>
      <c r="EM336" s="1091"/>
      <c r="EN336" s="1091"/>
      <c r="EO336" s="1091"/>
      <c r="EP336" s="1091"/>
      <c r="EQ336" s="1091"/>
      <c r="ER336" s="1091"/>
      <c r="ES336" s="1091"/>
      <c r="ET336" s="1091"/>
      <c r="EU336" s="1091"/>
      <c r="EV336" s="1091"/>
      <c r="EW336" s="1091"/>
      <c r="EX336" s="1091"/>
      <c r="EY336" s="1091"/>
      <c r="EZ336" s="1091"/>
      <c r="FA336" s="1091"/>
      <c r="FB336" s="1091"/>
      <c r="FC336" s="1091"/>
      <c r="FD336" s="1091"/>
      <c r="FE336" s="1091"/>
      <c r="FF336" s="1091"/>
      <c r="FG336" s="1091"/>
      <c r="FH336" s="1091"/>
      <c r="FI336" s="1091"/>
      <c r="FJ336" s="1091"/>
      <c r="FK336" s="1091"/>
      <c r="FL336" s="1091"/>
      <c r="FM336" s="1091"/>
      <c r="FN336" s="1091"/>
      <c r="FO336" s="1091"/>
      <c r="FP336" s="1091"/>
      <c r="FQ336" s="1091"/>
      <c r="FR336" s="1091"/>
      <c r="FS336" s="1091"/>
      <c r="FT336" s="1091"/>
      <c r="FU336" s="1091"/>
      <c r="FV336" s="1091"/>
      <c r="FW336" s="1091"/>
      <c r="FX336" s="1091"/>
      <c r="FY336" s="1091"/>
      <c r="FZ336" s="1091"/>
      <c r="GA336" s="1091"/>
      <c r="GB336" s="1091"/>
      <c r="GC336" s="1091"/>
      <c r="GD336" s="1091"/>
      <c r="GE336" s="1091"/>
      <c r="GF336" s="1091"/>
      <c r="GG336" s="1091"/>
      <c r="GH336" s="1091"/>
      <c r="GI336" s="1091"/>
      <c r="GJ336" s="1091"/>
      <c r="GK336" s="1091"/>
      <c r="GL336" s="1091"/>
      <c r="GM336" s="1091"/>
      <c r="GN336" s="1091"/>
      <c r="GO336" s="1091"/>
      <c r="GP336" s="1091"/>
      <c r="GQ336" s="1091"/>
      <c r="GR336" s="1091"/>
      <c r="GS336" s="1091"/>
    </row>
    <row r="337" spans="12:201" s="539" customFormat="1" ht="15" customHeight="1">
      <c r="L337" s="1166" t="s">
        <v>3071</v>
      </c>
      <c r="M337" s="1047"/>
      <c r="N337" s="1047"/>
      <c r="O337" s="1047"/>
      <c r="P337" s="1047"/>
      <c r="Q337" s="1047"/>
      <c r="R337" s="1047"/>
      <c r="S337" s="1047"/>
      <c r="T337" s="3059" t="s">
        <v>377</v>
      </c>
      <c r="U337" s="3059"/>
      <c r="V337" s="3059"/>
      <c r="W337" s="3059"/>
      <c r="X337" s="1072"/>
      <c r="Y337" s="1072"/>
      <c r="Z337" s="1072"/>
      <c r="AA337" s="1071" t="s">
        <v>373</v>
      </c>
      <c r="AB337" s="3075" t="str">
        <f>IF(AB338="NA","NA",IF(OR(AB338="SKC",AB338="SCT",AB338="FEW"),"NO CIG",IF(INDEX(calc!$AT$207:$AT$389,MATCH(AB325,calc!$AC$207:$AC$389,1))="","NA",INDEX(calc!$L$189:$L$196,MATCH(INDEX(calc!$AT$207:$AT$389,MATCH(AB325,calc!$AC$207:$AC$389,1)),calc!$K$189:$K$196,0))&amp;"~"&amp;INDEX(calc!$M$189:$M$196,MATCH(INDEX(calc!$AT$207:$AT$389,MATCH(AB325,calc!$AC$207:$AC$389,1)),calc!$K$189:$K$196,0)))))</f>
        <v>130~300</v>
      </c>
      <c r="AC337" s="3076"/>
      <c r="AD337" s="3076"/>
      <c r="AE337" s="3075" t="str">
        <f>IF(AE338="NA","NA",IF(OR(AE338="SKC",AE338="SCT",AE338="FEW"),"NO CIG",IF(INDEX(calc!$AT$207:$AT$389,MATCH(AE325,calc!$AC$207:$AC$389,1))="","NA",INDEX(calc!$L$189:$L$196,MATCH(INDEX(calc!$AT$207:$AT$389,MATCH(AE325,calc!$AC$207:$AC$389,1)),calc!$K$189:$K$196,0))&amp;"~"&amp;INDEX(calc!$M$189:$M$196,MATCH(INDEX(calc!$AT$207:$AT$389,MATCH(AE325,calc!$AC$207:$AC$389,1)),calc!$K$189:$K$196,0)))))</f>
        <v>NO CIG</v>
      </c>
      <c r="AF337" s="3076"/>
      <c r="AG337" s="3076"/>
      <c r="AH337" s="3075" t="str">
        <f>IF(AH338="NA","NA",IF(OR(AH338="SKC",AH338="SCT",AH338="FEW"),"NO CIG",IF(INDEX(calc!$AT$207:$AT$389,MATCH(AH325,calc!$AC$207:$AC$389,1))="","NA",INDEX(calc!$L$189:$L$196,MATCH(INDEX(calc!$AT$207:$AT$389,MATCH(AH325,calc!$AC$207:$AC$389,1)),calc!$K$189:$K$196,0))&amp;"~"&amp;INDEX(calc!$M$189:$M$196,MATCH(INDEX(calc!$AT$207:$AT$389,MATCH(AH325,calc!$AC$207:$AC$389,1)),calc!$K$189:$K$196,0)))))</f>
        <v>NO CIG</v>
      </c>
      <c r="AI337" s="3076"/>
      <c r="AJ337" s="3076"/>
      <c r="AK337" s="3075" t="str">
        <f>IF(AK338="NA","NA",IF(OR(AK338="SKC",AK338="SCT",AK338="FEW"),"NO CIG",IF(INDEX(calc!$AT$207:$AT$389,MATCH(AK325,calc!$AC$207:$AC$389,1))="","NA",INDEX(calc!$L$189:$L$196,MATCH(INDEX(calc!$AT$207:$AT$389,MATCH(AK325,calc!$AC$207:$AC$389,1)),calc!$K$189:$K$196,0))&amp;"~"&amp;INDEX(calc!$M$189:$M$196,MATCH(INDEX(calc!$AT$207:$AT$389,MATCH(AK325,calc!$AC$207:$AC$389,1)),calc!$K$189:$K$196,0)))))</f>
        <v>NO CIG</v>
      </c>
      <c r="AL337" s="3076"/>
      <c r="AM337" s="3076"/>
      <c r="AN337" s="3075" t="str">
        <f>IF(AN338="NA","NA",IF(OR(AN338="SKC",AN338="SCT",AN338="FEW"),"NO CIG",IF(INDEX(calc!$AT$207:$AT$389,MATCH(AN325,calc!$AC$207:$AC$389,1))="","NA",INDEX(calc!$L$189:$L$196,MATCH(INDEX(calc!$AT$207:$AT$389,MATCH(AN325,calc!$AC$207:$AC$389,1)),calc!$K$189:$K$196,0))&amp;"~"&amp;INDEX(calc!$M$189:$M$196,MATCH(INDEX(calc!$AT$207:$AT$389,MATCH(AN325,calc!$AC$207:$AC$389,1)),calc!$K$189:$K$196,0)))))</f>
        <v>NO CIG</v>
      </c>
      <c r="AO337" s="3076"/>
      <c r="AP337" s="3076"/>
      <c r="AQ337" s="3075" t="str">
        <f>IF(AQ338="NA","NA",IF(OR(AQ338="SKC",AQ338="SCT",AQ338="FEW"),"NO CIG",IF(INDEX(calc!$AT$207:$AT$389,MATCH(AQ325,calc!$AC$207:$AC$389,1))="","NA",INDEX(calc!$L$189:$L$196,MATCH(INDEX(calc!$AT$207:$AT$389,MATCH(AQ325,calc!$AC$207:$AC$389,1)),calc!$K$189:$K$196,0))&amp;"~"&amp;INDEX(calc!$M$189:$M$196,MATCH(INDEX(calc!$AT$207:$AT$389,MATCH(AQ325,calc!$AC$207:$AC$389,1)),calc!$K$189:$K$196,0)))))</f>
        <v>NO CIG</v>
      </c>
      <c r="AR337" s="3076"/>
      <c r="AS337" s="3076"/>
      <c r="AT337" s="3075" t="str">
        <f>IF(AT338="NA","NA",IF(OR(AT338="SKC",AT338="SCT",AT338="FEW"),"NO CIG",IF(INDEX(calc!$AT$207:$AT$389,MATCH(AT325,calc!$AC$207:$AC$389,1))="","NA",INDEX(calc!$L$189:$L$196,MATCH(INDEX(calc!$AT$207:$AT$389,MATCH(AT325,calc!$AC$207:$AC$389,1)),calc!$K$189:$K$196,0))&amp;"~"&amp;INDEX(calc!$M$189:$M$196,MATCH(INDEX(calc!$AT$207:$AT$389,MATCH(AT325,calc!$AC$207:$AC$389,1)),calc!$K$189:$K$196,0)))))</f>
        <v>NO CIG</v>
      </c>
      <c r="AU337" s="3076"/>
      <c r="AV337" s="3076"/>
      <c r="AW337" s="3075" t="str">
        <f>IF(AW338="NA","NA",IF(OR(AW338="SKC",AW338="SCT",AW338="FEW"),"NO CIG",IF(INDEX(calc!$AT$207:$AT$389,MATCH(AW325,calc!$AC$207:$AC$389,1))="","NA",INDEX(calc!$L$189:$L$196,MATCH(INDEX(calc!$AT$207:$AT$389,MATCH(AW325,calc!$AC$207:$AC$389,1)),calc!$K$189:$K$196,0))&amp;"~"&amp;INDEX(calc!$M$189:$M$196,MATCH(INDEX(calc!$AT$207:$AT$389,MATCH(AW325,calc!$AC$207:$AC$389,1)),calc!$K$189:$K$196,0)))))</f>
        <v>130~300</v>
      </c>
      <c r="AX337" s="3076"/>
      <c r="AY337" s="3076"/>
      <c r="AZ337" s="3075" t="str">
        <f>IF(AZ338="NA","NA",IF(OR(AZ338="SKC",AZ338="SCT",AZ338="FEW"),"NO CIG",IF(INDEX(calc!$AT$207:$AT$389,MATCH(AZ325,calc!$AC$207:$AC$389,1))="","NA",INDEX(calc!$L$189:$L$196,MATCH(INDEX(calc!$AT$207:$AT$389,MATCH(AZ325,calc!$AC$207:$AC$389,1)),calc!$K$189:$K$196,0))&amp;"~"&amp;INDEX(calc!$M$189:$M$196,MATCH(INDEX(calc!$AT$207:$AT$389,MATCH(AZ325,calc!$AC$207:$AC$389,1)),calc!$K$189:$K$196,0)))))</f>
        <v>130~300</v>
      </c>
      <c r="BA337" s="3076"/>
      <c r="BB337" s="3076"/>
      <c r="BC337" s="3075" t="str">
        <f>IF(BC338="NA","NA",IF(OR(BC338="SKC",BC338="SCT",BC338="FEW"),"NO CIG",IF(INDEX(calc!$AT$207:$AT$389,MATCH(BC325,calc!$AC$207:$AC$389,1))="","NA",INDEX(calc!$L$189:$L$196,MATCH(INDEX(calc!$AT$207:$AT$389,MATCH(BC325,calc!$AC$207:$AC$389,1)),calc!$K$189:$K$196,0))&amp;"~"&amp;INDEX(calc!$M$189:$M$196,MATCH(INDEX(calc!$AT$207:$AT$389,MATCH(BC325,calc!$AC$207:$AC$389,1)),calc!$K$189:$K$196,0)))))</f>
        <v>130~300</v>
      </c>
      <c r="BD337" s="3076"/>
      <c r="BE337" s="3076"/>
      <c r="BF337" s="3075" t="str">
        <f>IF(BF338="NA","NA",IF(OR(BF338="SKC",BF338="SCT",BF338="FEW"),"NO CIG",IF(INDEX(calc!$AT$207:$AT$389,MATCH(BF325,calc!$AC$207:$AC$389,1))="","NA",INDEX(calc!$L$189:$L$196,MATCH(INDEX(calc!$AT$207:$AT$389,MATCH(BF325,calc!$AC$207:$AC$389,1)),calc!$K$189:$K$196,0))&amp;"~"&amp;INDEX(calc!$M$189:$M$196,MATCH(INDEX(calc!$AT$207:$AT$389,MATCH(BF325,calc!$AC$207:$AC$389,1)),calc!$K$189:$K$196,0)))))</f>
        <v>NO CIG</v>
      </c>
      <c r="BG337" s="3076"/>
      <c r="BH337" s="3076"/>
      <c r="BI337" s="3075" t="str">
        <f>IF(BI338="NA","NA",IF(OR(BI338="SKC",BI338="SCT",BI338="FEW"),"NO CIG",IF(INDEX(calc!$AT$207:$AT$389,MATCH(BI325,calc!$AC$207:$AC$389,1))="","NA",INDEX(calc!$L$189:$L$196,MATCH(INDEX(calc!$AT$207:$AT$389,MATCH(BI325,calc!$AC$207:$AC$389,1)),calc!$K$189:$K$196,0))&amp;"~"&amp;INDEX(calc!$M$189:$M$196,MATCH(INDEX(calc!$AT$207:$AT$389,MATCH(BI325,calc!$AC$207:$AC$389,1)),calc!$K$189:$K$196,0)))))</f>
        <v>NO CIG</v>
      </c>
      <c r="BJ337" s="3076"/>
      <c r="BK337" s="3076"/>
      <c r="BL337" s="3075" t="str">
        <f>IF(BL338="NA","NA",IF(OR(BL338="SKC",BL338="SCT",BL338="FEW"),"NO CIG",IF(INDEX(calc!$AT$207:$AT$389,MATCH(BL325,calc!$AC$207:$AC$389,1))="","NA",INDEX(calc!$L$189:$L$196,MATCH(INDEX(calc!$AT$207:$AT$389,MATCH(BL325,calc!$AC$207:$AC$389,1)),calc!$K$189:$K$196,0))&amp;"~"&amp;INDEX(calc!$M$189:$M$196,MATCH(INDEX(calc!$AT$207:$AT$389,MATCH(BL325,calc!$AC$207:$AC$389,1)),calc!$K$189:$K$196,0)))))</f>
        <v>NO CIG</v>
      </c>
      <c r="BM337" s="3076"/>
      <c r="BN337" s="3076"/>
      <c r="BO337" s="3075" t="str">
        <f>IF(BO338="NA","NA",IF(OR(BO338="SKC",BO338="SCT",BO338="FEW"),"NO CIG",IF(INDEX(calc!$AT$207:$AT$389,MATCH(BO325,calc!$AC$207:$AC$389,1))="","NA",INDEX(calc!$L$189:$L$196,MATCH(INDEX(calc!$AT$207:$AT$389,MATCH(BO325,calc!$AC$207:$AC$389,1)),calc!$K$189:$K$196,0))&amp;"~"&amp;INDEX(calc!$M$189:$M$196,MATCH(INDEX(calc!$AT$207:$AT$389,MATCH(BO325,calc!$AC$207:$AC$389,1)),calc!$K$189:$K$196,0)))))</f>
        <v>130~300</v>
      </c>
      <c r="BP337" s="3076"/>
      <c r="BQ337" s="3076"/>
      <c r="BR337" s="3075" t="str">
        <f>IF(BR338="NA","NA",IF(OR(BR338="SKC",BR338="SCT",BR338="FEW"),"NO CIG",IF(INDEX(calc!$AT$207:$AT$389,MATCH(BR325,calc!$AC$207:$AC$389,1))="","NA",INDEX(calc!$L$189:$L$196,MATCH(INDEX(calc!$AT$207:$AT$389,MATCH(BR325,calc!$AC$207:$AC$389,1)),calc!$K$189:$K$196,0))&amp;"~"&amp;INDEX(calc!$M$189:$M$196,MATCH(INDEX(calc!$AT$207:$AT$389,MATCH(BR325,calc!$AC$207:$AC$389,1)),calc!$K$189:$K$196,0)))))</f>
        <v>130~300</v>
      </c>
      <c r="BS337" s="3076"/>
      <c r="BT337" s="3076"/>
      <c r="BU337" s="3075" t="str">
        <f>IF(BU338="NA","NA",IF(OR(BU338="SKC",BU338="SCT",BU338="FEW"),"NO CIG",IF(INDEX(calc!$AT$207:$AT$389,MATCH(BU325,calc!$AC$207:$AC$389,1))="","NA",INDEX(calc!$L$189:$L$196,MATCH(INDEX(calc!$AT$207:$AT$389,MATCH(BU325,calc!$AC$207:$AC$389,1)),calc!$K$189:$K$196,0))&amp;"~"&amp;INDEX(calc!$M$189:$M$196,MATCH(INDEX(calc!$AT$207:$AT$389,MATCH(BU325,calc!$AC$207:$AC$389,1)),calc!$K$189:$K$196,0)))))</f>
        <v>066~120</v>
      </c>
      <c r="BV337" s="3076"/>
      <c r="BW337" s="3076"/>
      <c r="BX337" s="3075" t="str">
        <f>IF(BX338="NA","NA",IF(OR(BX338="SKC",BX338="SCT",BX338="FEW"),"NO CIG",IF(INDEX(calc!$AT$207:$AT$389,MATCH(BX325,calc!$AC$207:$AC$389,1))="","NA",INDEX(calc!$L$189:$L$196,MATCH(INDEX(calc!$AT$207:$AT$389,MATCH(BX325,calc!$AC$207:$AC$389,1)),calc!$K$189:$K$196,0))&amp;"~"&amp;INDEX(calc!$M$189:$M$196,MATCH(INDEX(calc!$AT$207:$AT$389,MATCH(BX325,calc!$AC$207:$AC$389,1)),calc!$K$189:$K$196,0)))))</f>
        <v>066~120</v>
      </c>
      <c r="BY337" s="3076"/>
      <c r="BZ337" s="3076"/>
      <c r="CA337" s="3075" t="str">
        <f>IF(CA338="NA","NA",IF(OR(CA338="SKC",CA338="SCT",CA338="FEW"),"NO CIG",IF(INDEX(calc!$AT$207:$AT$389,MATCH(CA325,calc!$AC$207:$AC$389,1))="","NA",INDEX(calc!$L$189:$L$196,MATCH(INDEX(calc!$AT$207:$AT$389,MATCH(CA325,calc!$AC$207:$AC$389,1)),calc!$K$189:$K$196,0))&amp;"~"&amp;INDEX(calc!$M$189:$M$196,MATCH(INDEX(calc!$AT$207:$AT$389,MATCH(CA325,calc!$AC$207:$AC$389,1)),calc!$K$189:$K$196,0)))))</f>
        <v>066~120</v>
      </c>
      <c r="CB337" s="3076"/>
      <c r="CC337" s="3076"/>
      <c r="CD337" s="3075" t="str">
        <f>IF(CD338="NA","NA",IF(OR(CD338="SKC",CD338="SCT",CD338="FEW"),"NO CIG",IF(INDEX(calc!$AT$207:$AT$389,MATCH(CD325,calc!$AC$207:$AC$389,1))="","NA",INDEX(calc!$L$189:$L$196,MATCH(INDEX(calc!$AT$207:$AT$389,MATCH(CD325,calc!$AC$207:$AC$389,1)),calc!$K$189:$K$196,0))&amp;"~"&amp;INDEX(calc!$M$189:$M$196,MATCH(INDEX(calc!$AT$207:$AT$389,MATCH(CD325,calc!$AC$207:$AC$389,1)),calc!$K$189:$K$196,0)))))</f>
        <v>066~120</v>
      </c>
      <c r="CE337" s="3076"/>
      <c r="CF337" s="3076"/>
      <c r="CG337" s="3075" t="str">
        <f>IF(CG338="NA","NA",IF(OR(CG338="SKC",CG338="SCT",CG338="FEW"),"NO CIG",IF(INDEX(calc!$AT$207:$AT$389,MATCH(CG325,calc!$AC$207:$AC$389,1))="","NA",INDEX(calc!$L$189:$L$196,MATCH(INDEX(calc!$AT$207:$AT$389,MATCH(CG325,calc!$AC$207:$AC$389,1)),calc!$K$189:$K$196,0))&amp;"~"&amp;INDEX(calc!$M$189:$M$196,MATCH(INDEX(calc!$AT$207:$AT$389,MATCH(CG325,calc!$AC$207:$AC$389,1)),calc!$K$189:$K$196,0)))))</f>
        <v>130~300</v>
      </c>
      <c r="CH337" s="3076"/>
      <c r="CI337" s="3076"/>
      <c r="CJ337" s="3075" t="str">
        <f>IF(CJ338="NA","NA",IF(OR(CJ338="SKC",CJ338="SCT",CJ338="FEW"),"NO CIG",IF(INDEX(calc!$AT$207:$AT$389,MATCH(CJ325,calc!$AC$207:$AC$389,1))="","NA",INDEX(calc!$L$189:$L$196,MATCH(INDEX(calc!$AT$207:$AT$389,MATCH(CJ325,calc!$AC$207:$AC$389,1)),calc!$K$189:$K$196,0))&amp;"~"&amp;INDEX(calc!$M$189:$M$196,MATCH(INDEX(calc!$AT$207:$AT$389,MATCH(CJ325,calc!$AC$207:$AC$389,1)),calc!$K$189:$K$196,0)))))</f>
        <v>130~300</v>
      </c>
      <c r="CK337" s="3076"/>
      <c r="CL337" s="3076"/>
      <c r="CM337" s="3075" t="str">
        <f>IF(CM338="NA","NA",IF(OR(CM338="SKC",CM338="SCT",CM338="FEW"),"NO CIG",IF(INDEX(calc!$AT$207:$AT$389,MATCH(CM325,calc!$AC$207:$AC$389,1))="","NA",INDEX(calc!$L$189:$L$196,MATCH(INDEX(calc!$AT$207:$AT$389,MATCH(CM325,calc!$AC$207:$AC$389,1)),calc!$K$189:$K$196,0))&amp;"~"&amp;INDEX(calc!$M$189:$M$196,MATCH(INDEX(calc!$AT$207:$AT$389,MATCH(CM325,calc!$AC$207:$AC$389,1)),calc!$K$189:$K$196,0)))))</f>
        <v>130~300</v>
      </c>
      <c r="CN337" s="3076"/>
      <c r="CO337" s="3076"/>
      <c r="CP337" s="3075" t="str">
        <f>IF(CP338="NA","NA",IF(OR(CP338="SKC",CP338="SCT",CP338="FEW"),"NO CIG",IF(INDEX(calc!$AT$207:$AT$389,MATCH(CP325,calc!$AC$207:$AC$389,1))="","NA",INDEX(calc!$L$189:$L$196,MATCH(INDEX(calc!$AT$207:$AT$389,MATCH(CP325,calc!$AC$207:$AC$389,1)),calc!$K$189:$K$196,0))&amp;"~"&amp;INDEX(calc!$M$189:$M$196,MATCH(INDEX(calc!$AT$207:$AT$389,MATCH(CP325,calc!$AC$207:$AC$389,1)),calc!$K$189:$K$196,0)))))</f>
        <v>130~300</v>
      </c>
      <c r="CQ337" s="3076"/>
      <c r="CR337" s="3076"/>
      <c r="CS337" s="3075" t="str">
        <f>IF(CS338="NA","NA",IF(OR(CS338="SKC",CS338="SCT",CS338="FEW"),"NO CIG",IF(INDEX(calc!$AT$207:$AT$389,MATCH(CS325,calc!$AC$207:$AC$389,1))="","NA",INDEX(calc!$L$189:$L$196,MATCH(INDEX(calc!$AT$207:$AT$389,MATCH(CS325,calc!$AC$207:$AC$389,1)),calc!$K$189:$K$196,0))&amp;"~"&amp;INDEX(calc!$M$189:$M$196,MATCH(INDEX(calc!$AT$207:$AT$389,MATCH(CS325,calc!$AC$207:$AC$389,1)),calc!$K$189:$K$196,0)))))</f>
        <v>NA</v>
      </c>
      <c r="CT337" s="3076"/>
      <c r="CU337" s="3076"/>
      <c r="CV337" s="3075" t="str">
        <f>IF(CV338="NA","NA",IF(OR(CV338="SKC",CV338="SCT",CV338="FEW"),"NO CIG",IF(INDEX(calc!$AT$207:$AT$389,MATCH(CV325,calc!$AC$207:$AC$389,1))="","NA",INDEX(calc!$L$189:$L$196,MATCH(INDEX(calc!$AT$207:$AT$389,MATCH(CV325,calc!$AC$207:$AC$389,1)),calc!$K$189:$K$196,0))&amp;"~"&amp;INDEX(calc!$M$189:$M$196,MATCH(INDEX(calc!$AT$207:$AT$389,MATCH(CV325,calc!$AC$207:$AC$389,1)),calc!$K$189:$K$196,0)))))</f>
        <v>130~300</v>
      </c>
      <c r="CW337" s="3076"/>
      <c r="CX337" s="3076"/>
      <c r="CY337" s="3075" t="str">
        <f>IF(CY338="NA","NA",IF(OR(CY338="SKC",CY338="SCT",CY338="FEW"),"NO CIG",IF(INDEX(calc!$AT$207:$AT$389,MATCH(CY325,calc!$AC$207:$AC$389,1))="","NA",INDEX(calc!$L$189:$L$196,MATCH(INDEX(calc!$AT$207:$AT$389,MATCH(CY325,calc!$AC$207:$AC$389,1)),calc!$K$189:$K$196,0))&amp;"~"&amp;INDEX(calc!$M$189:$M$196,MATCH(INDEX(calc!$AT$207:$AT$389,MATCH(CY325,calc!$AC$207:$AC$389,1)),calc!$K$189:$K$196,0)))))</f>
        <v>NA</v>
      </c>
      <c r="CZ337" s="3076"/>
      <c r="DA337" s="3076"/>
      <c r="DB337" s="3075" t="str">
        <f>IF(DB338="NA","NA",IF(OR(DB338="SKC",DB338="SCT",DB338="FEW"),"NO CIG",IF(INDEX(calc!$AT$207:$AT$389,MATCH(DB325,calc!$AC$207:$AC$389,1))="","NA",INDEX(calc!$L$189:$L$196,MATCH(INDEX(calc!$AT$207:$AT$389,MATCH(DB325,calc!$AC$207:$AC$389,1)),calc!$K$189:$K$196,0))&amp;"~"&amp;INDEX(calc!$M$189:$M$196,MATCH(INDEX(calc!$AT$207:$AT$389,MATCH(DB325,calc!$AC$207:$AC$389,1)),calc!$K$189:$K$196,0)))))</f>
        <v>031~065</v>
      </c>
      <c r="DC337" s="3076"/>
      <c r="DD337" s="3076"/>
      <c r="DE337" s="3075" t="str">
        <f>IF(DE338="NA","NA",IF(OR(DE338="SKC",DE338="SCT",DE338="FEW"),"NO CIG",IF(INDEX(calc!$AT$207:$AT$389,MATCH(DE325,calc!$AC$207:$AC$389,1))="","NA",INDEX(calc!$L$189:$L$196,MATCH(INDEX(calc!$AT$207:$AT$389,MATCH(DE325,calc!$AC$207:$AC$389,1)),calc!$K$189:$K$196,0))&amp;"~"&amp;INDEX(calc!$M$189:$M$196,MATCH(INDEX(calc!$AT$207:$AT$389,MATCH(DE325,calc!$AC$207:$AC$389,1)),calc!$K$189:$K$196,0)))))</f>
        <v>NA</v>
      </c>
      <c r="DF337" s="3076"/>
      <c r="DG337" s="3076"/>
      <c r="DH337" s="3075" t="str">
        <f>IF(DH338="NA","NA",IF(OR(DH338="SKC",DH338="SCT",DH338="FEW"),"NO CIG",IF(INDEX(calc!$AT$207:$AT$389,MATCH(DH325,calc!$AC$207:$AC$389,1))="","NA",INDEX(calc!$L$189:$L$196,MATCH(INDEX(calc!$AT$207:$AT$389,MATCH(DH325,calc!$AC$207:$AC$389,1)),calc!$K$189:$K$196,0))&amp;"~"&amp;INDEX(calc!$M$189:$M$196,MATCH(INDEX(calc!$AT$207:$AT$389,MATCH(DH325,calc!$AC$207:$AC$389,1)),calc!$K$189:$K$196,0)))))</f>
        <v>NA</v>
      </c>
      <c r="DI337" s="3076"/>
      <c r="DJ337" s="3076"/>
      <c r="DK337" s="3075" t="str">
        <f>IF(DK338="NA","NA",IF(OR(DK338="SKC",DK338="SCT",DK338="FEW"),"NO CIG",IF(INDEX(calc!$AT$207:$AT$389,MATCH(DK325,calc!$AC$207:$AC$389,1))="","NA",INDEX(calc!$L$189:$L$196,MATCH(INDEX(calc!$AT$207:$AT$389,MATCH(DK325,calc!$AC$207:$AC$389,1)),calc!$K$189:$K$196,0))&amp;"~"&amp;INDEX(calc!$M$189:$M$196,MATCH(INDEX(calc!$AT$207:$AT$389,MATCH(DK325,calc!$AC$207:$AC$389,1)),calc!$K$189:$K$196,0)))))</f>
        <v>NA</v>
      </c>
      <c r="DL337" s="3076"/>
      <c r="DM337" s="3076"/>
      <c r="DN337" s="3075" t="str">
        <f>IF(DN338="NA","NA",IF(OR(DN338="SKC",DN338="SCT",DN338="FEW"),"NO CIG",IF(INDEX(calc!$AT$207:$AT$389,MATCH(DN325,calc!$AC$207:$AC$389,1))="","NA",INDEX(calc!$L$189:$L$196,MATCH(INDEX(calc!$AT$207:$AT$389,MATCH(DN325,calc!$AC$207:$AC$389,1)),calc!$K$189:$K$196,0))&amp;"~"&amp;INDEX(calc!$M$189:$M$196,MATCH(INDEX(calc!$AT$207:$AT$389,MATCH(DN325,calc!$AC$207:$AC$389,1)),calc!$K$189:$K$196,0)))))</f>
        <v>NA</v>
      </c>
      <c r="DO337" s="3076"/>
      <c r="DP337" s="3076"/>
      <c r="DQ337" s="3075" t="str">
        <f>IF(DQ338="NA","NA",IF(OR(DQ338="SKC",DQ338="SCT",DQ338="FEW"),"NO CIG",IF(INDEX(calc!$AT$207:$AT$389,MATCH(DQ325,calc!$AC$207:$AC$389,1))="","NA",INDEX(calc!$L$189:$L$196,MATCH(INDEX(calc!$AT$207:$AT$389,MATCH(DQ325,calc!$AC$207:$AC$389,1)),calc!$K$189:$K$196,0))&amp;"~"&amp;INDEX(calc!$M$189:$M$196,MATCH(INDEX(calc!$AT$207:$AT$389,MATCH(DQ325,calc!$AC$207:$AC$389,1)),calc!$K$189:$K$196,0)))))</f>
        <v>NA</v>
      </c>
      <c r="DR337" s="3076"/>
      <c r="DS337" s="3076"/>
      <c r="DT337" s="3075" t="str">
        <f>IF(DT338="NA","NA",IF(OR(DT338="SKC",DT338="SCT",DT338="FEW"),"NO CIG",IF(INDEX(calc!$AT$207:$AT$389,MATCH(DT325,calc!$AC$207:$AC$389,1))="","NA",INDEX(calc!$L$189:$L$196,MATCH(INDEX(calc!$AT$207:$AT$389,MATCH(DT325,calc!$AC$207:$AC$389,1)),calc!$K$189:$K$196,0))&amp;"~"&amp;INDEX(calc!$M$189:$M$196,MATCH(INDEX(calc!$AT$207:$AT$389,MATCH(DT325,calc!$AC$207:$AC$389,1)),calc!$K$189:$K$196,0)))))</f>
        <v>NA</v>
      </c>
      <c r="DU337" s="3076"/>
      <c r="DV337" s="3076"/>
      <c r="DW337" s="3075" t="str">
        <f>IF(DW338="NA","NA",IF(OR(DW338="SKC",DW338="SCT",DW338="FEW"),"NO CIG",IF(INDEX(calc!$AT$207:$AT$389,MATCH(DW325,calc!$AC$207:$AC$389,1))="","NA",INDEX(calc!$L$189:$L$196,MATCH(INDEX(calc!$AT$207:$AT$389,MATCH(DW325,calc!$AC$207:$AC$389,1)),calc!$K$189:$K$196,0))&amp;"~"&amp;INDEX(calc!$M$189:$M$196,MATCH(INDEX(calc!$AT$207:$AT$389,MATCH(DW325,calc!$AC$207:$AC$389,1)),calc!$K$189:$K$196,0)))))</f>
        <v>NA</v>
      </c>
      <c r="DX337" s="3076"/>
      <c r="DY337" s="3076"/>
      <c r="DZ337" s="3075" t="str">
        <f>IF(DZ338="NA","NA",IF(OR(DZ338="SKC",DZ338="SCT",DZ338="FEW"),"NO CIG",IF(INDEX(calc!$AT$207:$AT$389,MATCH(DZ325,calc!$AC$207:$AC$389,1))="","NA",INDEX(calc!$L$189:$L$196,MATCH(INDEX(calc!$AT$207:$AT$389,MATCH(DZ325,calc!$AC$207:$AC$389,1)),calc!$K$189:$K$196,0))&amp;"~"&amp;INDEX(calc!$M$189:$M$196,MATCH(INDEX(calc!$AT$207:$AT$389,MATCH(DZ325,calc!$AC$207:$AC$389,1)),calc!$K$189:$K$196,0)))))</f>
        <v>NA</v>
      </c>
      <c r="EA337" s="3076"/>
      <c r="EB337" s="3076"/>
      <c r="EC337" s="3075" t="str">
        <f>IF(EC338="NA","NA",IF(OR(EC338="SKC",EC338="SCT",EC338="FEW"),"NO CIG",IF(INDEX(calc!$AT$207:$AT$389,MATCH(EC325,calc!$AC$207:$AC$389,1))="","NA",INDEX(calc!$L$189:$L$196,MATCH(INDEX(calc!$AT$207:$AT$389,MATCH(EC325,calc!$AC$207:$AC$389,1)),calc!$K$189:$K$196,0))&amp;"~"&amp;INDEX(calc!$M$189:$M$196,MATCH(INDEX(calc!$AT$207:$AT$389,MATCH(EC325,calc!$AC$207:$AC$389,1)),calc!$K$189:$K$196,0)))))</f>
        <v>NA</v>
      </c>
      <c r="ED337" s="3076"/>
      <c r="EE337" s="3076"/>
      <c r="EF337" s="3075" t="str">
        <f>IF(EF338="NA","NA",IF(OR(EF338="SKC",EF338="SCT",EF338="FEW"),"NO CIG",IF(INDEX(calc!$AT$207:$AT$389,MATCH(EF325,calc!$AC$207:$AC$389,1))="","NA",INDEX(calc!$L$189:$L$196,MATCH(INDEX(calc!$AT$207:$AT$389,MATCH(EF325,calc!$AC$207:$AC$389,1)),calc!$K$189:$K$196,0))&amp;"~"&amp;INDEX(calc!$M$189:$M$196,MATCH(INDEX(calc!$AT$207:$AT$389,MATCH(EF325,calc!$AC$207:$AC$389,1)),calc!$K$189:$K$196,0)))))</f>
        <v>NA</v>
      </c>
      <c r="EG337" s="3076"/>
      <c r="EH337" s="3076"/>
      <c r="EI337" s="3075" t="str">
        <f>IF(EI338="NA","NA",IF(OR(EI338="SKC",EI338="SCT",EI338="FEW"),"NO CIG",IF(INDEX(calc!$AT$207:$AT$389,MATCH(EI325,calc!$AC$207:$AC$389,1))="","NA",INDEX(calc!$L$189:$L$196,MATCH(INDEX(calc!$AT$207:$AT$389,MATCH(EI325,calc!$AC$207:$AC$389,1)),calc!$K$189:$K$196,0))&amp;"~"&amp;INDEX(calc!$M$189:$M$196,MATCH(INDEX(calc!$AT$207:$AT$389,MATCH(EI325,calc!$AC$207:$AC$389,1)),calc!$K$189:$K$196,0)))))</f>
        <v>NA</v>
      </c>
      <c r="EJ337" s="3076"/>
      <c r="EK337" s="3076"/>
      <c r="EL337" s="3075" t="str">
        <f>IF(EL338="NA","NA",IF(OR(EL338="SKC",EL338="SCT",EL338="FEW"),"NO CIG",IF(INDEX(calc!$AT$207:$AT$389,MATCH(EL325,calc!$AC$207:$AC$389,1))="","NA",INDEX(calc!$L$189:$L$196,MATCH(INDEX(calc!$AT$207:$AT$389,MATCH(EL325,calc!$AC$207:$AC$389,1)),calc!$K$189:$K$196,0))&amp;"~"&amp;INDEX(calc!$M$189:$M$196,MATCH(INDEX(calc!$AT$207:$AT$389,MATCH(EL325,calc!$AC$207:$AC$389,1)),calc!$K$189:$K$196,0)))))</f>
        <v>NA</v>
      </c>
      <c r="EM337" s="3076"/>
      <c r="EN337" s="3076"/>
      <c r="EO337" s="3075" t="str">
        <f>IF(EO338="NA","NA",IF(OR(EO338="SKC",EO338="SCT",EO338="FEW"),"NO CIG",IF(INDEX(calc!$AT$207:$AT$389,MATCH(EO325,calc!$AC$207:$AC$389,1))="","NA",INDEX(calc!$L$189:$L$196,MATCH(INDEX(calc!$AT$207:$AT$389,MATCH(EO325,calc!$AC$207:$AC$389,1)),calc!$K$189:$K$196,0))&amp;"~"&amp;INDEX(calc!$M$189:$M$196,MATCH(INDEX(calc!$AT$207:$AT$389,MATCH(EO325,calc!$AC$207:$AC$389,1)),calc!$K$189:$K$196,0)))))</f>
        <v>NA</v>
      </c>
      <c r="EP337" s="3076"/>
      <c r="EQ337" s="3076"/>
      <c r="ER337" s="3075" t="str">
        <f>IF(ER338="NA","NA",IF(OR(ER338="SKC",ER338="SCT",ER338="FEW"),"NO CIG",IF(INDEX(calc!$AT$207:$AT$389,MATCH(ER325,calc!$AC$207:$AC$389,1))="","NA",INDEX(calc!$L$189:$L$196,MATCH(INDEX(calc!$AT$207:$AT$389,MATCH(ER325,calc!$AC$207:$AC$389,1)),calc!$K$189:$K$196,0))&amp;"~"&amp;INDEX(calc!$M$189:$M$196,MATCH(INDEX(calc!$AT$207:$AT$389,MATCH(ER325,calc!$AC$207:$AC$389,1)),calc!$K$189:$K$196,0)))))</f>
        <v>NA</v>
      </c>
      <c r="ES337" s="3076"/>
      <c r="ET337" s="3076"/>
      <c r="EU337" s="3075" t="str">
        <f>IF(EU338="NA","NA",IF(OR(EU338="SKC",EU338="SCT",EU338="FEW"),"NO CIG",IF(INDEX(calc!$AT$207:$AT$389,MATCH(EU325,calc!$AC$207:$AC$389,1))="","NA",INDEX(calc!$L$189:$L$196,MATCH(INDEX(calc!$AT$207:$AT$389,MATCH(EU325,calc!$AC$207:$AC$389,1)),calc!$K$189:$K$196,0))&amp;"~"&amp;INDEX(calc!$M$189:$M$196,MATCH(INDEX(calc!$AT$207:$AT$389,MATCH(EU325,calc!$AC$207:$AC$389,1)),calc!$K$189:$K$196,0)))))</f>
        <v>NA</v>
      </c>
      <c r="EV337" s="3076"/>
      <c r="EW337" s="3076"/>
      <c r="EX337" s="3075" t="str">
        <f>IF(EX338="NA","NA",IF(OR(EX338="SKC",EX338="SCT",EX338="FEW"),"NO CIG",IF(INDEX(calc!$AT$207:$AT$389,MATCH(EX325,calc!$AC$207:$AC$389,1))="","NA",INDEX(calc!$L$189:$L$196,MATCH(INDEX(calc!$AT$207:$AT$389,MATCH(EX325,calc!$AC$207:$AC$389,1)),calc!$K$189:$K$196,0))&amp;"~"&amp;INDEX(calc!$M$189:$M$196,MATCH(INDEX(calc!$AT$207:$AT$389,MATCH(EX325,calc!$AC$207:$AC$389,1)),calc!$K$189:$K$196,0)))))</f>
        <v>NA</v>
      </c>
      <c r="EY337" s="3076"/>
      <c r="EZ337" s="3076"/>
      <c r="FA337" s="3075" t="str">
        <f>IF(FA338="NA","NA",IF(OR(FA338="SKC",FA338="SCT",FA338="FEW"),"NO CIG",IF(INDEX(calc!$AT$207:$AT$389,MATCH(FA325,calc!$AC$207:$AC$389,1))="","NA",INDEX(calc!$L$189:$L$196,MATCH(INDEX(calc!$AT$207:$AT$389,MATCH(FA325,calc!$AC$207:$AC$389,1)),calc!$K$189:$K$196,0))&amp;"~"&amp;INDEX(calc!$M$189:$M$196,MATCH(INDEX(calc!$AT$207:$AT$389,MATCH(FA325,calc!$AC$207:$AC$389,1)),calc!$K$189:$K$196,0)))))</f>
        <v>NA</v>
      </c>
      <c r="FB337" s="3076"/>
      <c r="FC337" s="3076"/>
      <c r="FD337" s="3075" t="str">
        <f>IF(FD338="NA","NA",IF(OR(FD338="SKC",FD338="SCT",FD338="FEW"),"NO CIG",IF(INDEX(calc!$AT$207:$AT$389,MATCH(FD325,calc!$AC$207:$AC$389,1))="","NA",INDEX(calc!$L$189:$L$196,MATCH(INDEX(calc!$AT$207:$AT$389,MATCH(FD325,calc!$AC$207:$AC$389,1)),calc!$K$189:$K$196,0))&amp;"~"&amp;INDEX(calc!$M$189:$M$196,MATCH(INDEX(calc!$AT$207:$AT$389,MATCH(FD325,calc!$AC$207:$AC$389,1)),calc!$K$189:$K$196,0)))))</f>
        <v>NA</v>
      </c>
      <c r="FE337" s="3076"/>
      <c r="FF337" s="3086"/>
      <c r="FG337" s="3075" t="str">
        <f>IF(FG338="NA","NA",IF(OR(FG338="SKC",FG338="SCT",FG338="FEW"),"NO CIG",IF(INDEX(calc!$AT$207:$AT$389,MATCH(FG325,calc!$AC$207:$AC$389,1))="","NA",INDEX(calc!$L$189:$L$196,MATCH(INDEX(calc!$AT$207:$AT$389,MATCH(FG325,calc!$AC$207:$AC$389,1)),calc!$K$189:$K$196,0))&amp;"~"&amp;INDEX(calc!$M$189:$M$196,MATCH(INDEX(calc!$AT$207:$AT$389,MATCH(FG325,calc!$AC$207:$AC$389,1)),calc!$K$189:$K$196,0)))))</f>
        <v>NA</v>
      </c>
      <c r="FH337" s="3076"/>
      <c r="FI337" s="3086"/>
      <c r="FJ337" s="3075" t="str">
        <f>IF(FJ338="NA","NA",IF(OR(FJ338="SKC",FJ338="SCT",FJ338="FEW"),"NO CIG",IF(INDEX(calc!$AT$207:$AT$389,MATCH(FJ325,calc!$AC$207:$AC$389,1))="","NA",INDEX(calc!$L$189:$L$196,MATCH(INDEX(calc!$AT$207:$AT$389,MATCH(FJ325,calc!$AC$207:$AC$389,1)),calc!$K$189:$K$196,0))&amp;"~"&amp;INDEX(calc!$M$189:$M$196,MATCH(INDEX(calc!$AT$207:$AT$389,MATCH(FJ325,calc!$AC$207:$AC$389,1)),calc!$K$189:$K$196,0)))))</f>
        <v>NA</v>
      </c>
      <c r="FK337" s="3076"/>
      <c r="FL337" s="3086"/>
      <c r="FM337" s="3075" t="str">
        <f>IF(FM338="NA","NA",IF(OR(FM338="SKC",FM338="SCT",FM338="FEW"),"NO CIG",IF(INDEX(calc!$AT$207:$AT$389,MATCH(FM325,calc!$AC$207:$AC$389,1))="","NA",INDEX(calc!$L$189:$L$196,MATCH(INDEX(calc!$AT$207:$AT$389,MATCH(FM325,calc!$AC$207:$AC$389,1)),calc!$K$189:$K$196,0))&amp;"~"&amp;INDEX(calc!$M$189:$M$196,MATCH(INDEX(calc!$AT$207:$AT$389,MATCH(FM325,calc!$AC$207:$AC$389,1)),calc!$K$189:$K$196,0)))))</f>
        <v>NA</v>
      </c>
      <c r="FN337" s="3076"/>
      <c r="FO337" s="3086"/>
      <c r="FP337" s="3075" t="str">
        <f>IF(FP338="NA","NA",IF(OR(FP338="SKC",FP338="SCT",FP338="FEW"),"NO CIG",IF(INDEX(calc!$AT$207:$AT$389,MATCH(FP325,calc!$AC$207:$AC$389,1))="","NA",INDEX(calc!$L$189:$L$196,MATCH(INDEX(calc!$AT$207:$AT$389,MATCH(FP325,calc!$AC$207:$AC$389,1)),calc!$K$189:$K$196,0))&amp;"~"&amp;INDEX(calc!$M$189:$M$196,MATCH(INDEX(calc!$AT$207:$AT$389,MATCH(FP325,calc!$AC$207:$AC$389,1)),calc!$K$189:$K$196,0)))))</f>
        <v>NA</v>
      </c>
      <c r="FQ337" s="3076"/>
      <c r="FR337" s="3086"/>
      <c r="FS337" s="3075" t="str">
        <f>IF(FS338="NA","NA",IF(OR(FS338="SKC",FS338="SCT",FS338="FEW"),"NO CIG",IF(INDEX(calc!$AT$207:$AT$389,MATCH(FS325,calc!$AC$207:$AC$389,1))="","NA",INDEX(calc!$L$189:$L$196,MATCH(INDEX(calc!$AT$207:$AT$389,MATCH(FS325,calc!$AC$207:$AC$389,1)),calc!$K$189:$K$196,0))&amp;"~"&amp;INDEX(calc!$M$189:$M$196,MATCH(INDEX(calc!$AT$207:$AT$389,MATCH(FS325,calc!$AC$207:$AC$389,1)),calc!$K$189:$K$196,0)))))</f>
        <v>NA</v>
      </c>
      <c r="FT337" s="3076"/>
      <c r="FU337" s="3086"/>
      <c r="FV337" s="3075" t="str">
        <f>IF(FV338="NA","NA",IF(OR(FV338="SKC",FV338="SCT",FV338="FEW"),"NO CIG",IF(INDEX(calc!$AT$207:$AT$389,MATCH(FV325,calc!$AC$207:$AC$389,1))="","NA",INDEX(calc!$L$189:$L$196,MATCH(INDEX(calc!$AT$207:$AT$389,MATCH(FV325,calc!$AC$207:$AC$389,1)),calc!$K$189:$K$196,0))&amp;"~"&amp;INDEX(calc!$M$189:$M$196,MATCH(INDEX(calc!$AT$207:$AT$389,MATCH(FV325,calc!$AC$207:$AC$389,1)),calc!$K$189:$K$196,0)))))</f>
        <v>NA</v>
      </c>
      <c r="FW337" s="3076"/>
      <c r="FX337" s="3086"/>
      <c r="FY337" s="3075" t="str">
        <f>IF(FY338="NA","NA",IF(OR(FY338="SKC",FY338="SCT",FY338="FEW"),"NO CIG",IF(INDEX(calc!$AT$207:$AT$389,MATCH(FY325,calc!$AC$207:$AC$389,1))="","NA",INDEX(calc!$L$189:$L$196,MATCH(INDEX(calc!$AT$207:$AT$389,MATCH(FY325,calc!$AC$207:$AC$389,1)),calc!$K$189:$K$196,0))&amp;"~"&amp;INDEX(calc!$M$189:$M$196,MATCH(INDEX(calc!$AT$207:$AT$389,MATCH(FY325,calc!$AC$207:$AC$389,1)),calc!$K$189:$K$196,0)))))</f>
        <v>NA</v>
      </c>
      <c r="FZ337" s="3076"/>
      <c r="GA337" s="3086"/>
      <c r="GB337" s="3075" t="str">
        <f>IF(GB338="NA","NA",IF(OR(GB338="SKC",GB338="SCT",GB338="FEW"),"NO CIG",IF(INDEX(calc!$AT$207:$AT$389,MATCH(GB325,calc!$AC$207:$AC$389,1))="","NA",INDEX(calc!$L$189:$L$196,MATCH(INDEX(calc!$AT$207:$AT$389,MATCH(GB325,calc!$AC$207:$AC$389,1)),calc!$K$189:$K$196,0))&amp;"~"&amp;INDEX(calc!$M$189:$M$196,MATCH(INDEX(calc!$AT$207:$AT$389,MATCH(GB325,calc!$AC$207:$AC$389,1)),calc!$K$189:$K$196,0)))))</f>
        <v>NA</v>
      </c>
      <c r="GC337" s="3076"/>
      <c r="GD337" s="3086"/>
      <c r="GE337" s="3075" t="str">
        <f>IF(GE338="NA","NA",IF(OR(GE338="SKC",GE338="SCT",GE338="FEW"),"NO CIG",IF(INDEX(calc!$AT$207:$AT$389,MATCH(GE325,calc!$AC$207:$AC$389,1))="","NA",INDEX(calc!$L$189:$L$196,MATCH(INDEX(calc!$AT$207:$AT$389,MATCH(GE325,calc!$AC$207:$AC$389,1)),calc!$K$189:$K$196,0))&amp;"~"&amp;INDEX(calc!$M$189:$M$196,MATCH(INDEX(calc!$AT$207:$AT$389,MATCH(GE325,calc!$AC$207:$AC$389,1)),calc!$K$189:$K$196,0)))))</f>
        <v>NA</v>
      </c>
      <c r="GF337" s="3076"/>
      <c r="GG337" s="3086"/>
      <c r="GH337" s="3075" t="str">
        <f>IF(GH338="NA","NA",IF(OR(GH338="SKC",GH338="SCT",GH338="FEW"),"NO CIG",IF(INDEX(calc!$AT$207:$AT$389,MATCH(GH325,calc!$AC$207:$AC$389,1))="","NA",INDEX(calc!$L$189:$L$196,MATCH(INDEX(calc!$AT$207:$AT$389,MATCH(GH325,calc!$AC$207:$AC$389,1)),calc!$K$189:$K$196,0))&amp;"~"&amp;INDEX(calc!$M$189:$M$196,MATCH(INDEX(calc!$AT$207:$AT$389,MATCH(GH325,calc!$AC$207:$AC$389,1)),calc!$K$189:$K$196,0)))))</f>
        <v>NA</v>
      </c>
      <c r="GI337" s="3076"/>
      <c r="GJ337" s="3086"/>
      <c r="GK337" s="3075" t="str">
        <f>IF(GK338="NA","NA",IF(OR(GK338="SKC",GK338="SCT",GK338="FEW"),"NO CIG",IF(INDEX(calc!$AT$207:$AT$389,MATCH(GK325,calc!$AC$207:$AC$389,1))="","NA",INDEX(calc!$L$189:$L$196,MATCH(INDEX(calc!$AT$207:$AT$389,MATCH(GK325,calc!$AC$207:$AC$389,1)),calc!$K$189:$K$196,0))&amp;"~"&amp;INDEX(calc!$M$189:$M$196,MATCH(INDEX(calc!$AT$207:$AT$389,MATCH(GK325,calc!$AC$207:$AC$389,1)),calc!$K$189:$K$196,0)))))</f>
        <v>NA</v>
      </c>
      <c r="GL337" s="3076"/>
      <c r="GM337" s="3086"/>
      <c r="GN337" s="3075" t="str">
        <f>IF(GN338="NA","NA",IF(OR(GN338="SKC",GN338="SCT",GN338="FEW"),"NO CIG",IF(INDEX(calc!$AT$207:$AT$389,MATCH(GN325,calc!$AC$207:$AC$389,1))="","NA",INDEX(calc!$L$189:$L$196,MATCH(INDEX(calc!$AT$207:$AT$389,MATCH(GN325,calc!$AC$207:$AC$389,1)),calc!$K$189:$K$196,0))&amp;"~"&amp;INDEX(calc!$M$189:$M$196,MATCH(INDEX(calc!$AT$207:$AT$389,MATCH(GN325,calc!$AC$207:$AC$389,1)),calc!$K$189:$K$196,0)))))</f>
        <v>NA</v>
      </c>
      <c r="GO337" s="3076"/>
      <c r="GP337" s="3086"/>
      <c r="GQ337" s="3075" t="str">
        <f>IF(GQ338="NA","NA",IF(OR(GQ338="SKC",GQ338="SCT",GQ338="FEW"),"NO CIG",IF(INDEX(calc!$AT$207:$AT$389,MATCH(GQ325,calc!$AC$207:$AC$389,1))="","NA",INDEX(calc!$L$189:$L$196,MATCH(INDEX(calc!$AT$207:$AT$389,MATCH(GQ325,calc!$AC$207:$AC$389,1)),calc!$K$189:$K$196,0))&amp;"~"&amp;INDEX(calc!$M$189:$M$196,MATCH(INDEX(calc!$AT$207:$AT$389,MATCH(GQ325,calc!$AC$207:$AC$389,1)),calc!$K$189:$K$196,0)))))</f>
        <v>NA</v>
      </c>
      <c r="GR337" s="3076"/>
      <c r="GS337" s="3086"/>
    </row>
    <row r="338" spans="12:201" s="539" customFormat="1" ht="15" customHeight="1">
      <c r="L338" s="1166" t="s">
        <v>3072</v>
      </c>
      <c r="M338" s="1047"/>
      <c r="N338" s="1047"/>
      <c r="O338" s="1047"/>
      <c r="P338" s="1047"/>
      <c r="Q338" s="1047"/>
      <c r="R338" s="1047"/>
      <c r="S338" s="1047"/>
      <c r="X338" s="1072"/>
      <c r="Y338" s="1072"/>
      <c r="Z338" s="1072"/>
      <c r="AA338" s="1071" t="s">
        <v>374</v>
      </c>
      <c r="AB338" s="3077" t="str">
        <f>IF(INDEX(calc!$AU$207:$AU$389,MATCH(AB325,calc!$AC$207:$AC$389,1))="","NA",INDEX(calc!$L$331:$L$335,MATCH(INDEX(calc!$AU$207:$AU$389,MATCH(AB325,calc!$AC$207:$AC$389,1)),calc!$K$331:$K$335,0)))</f>
        <v>BKN</v>
      </c>
      <c r="AC338" s="3078"/>
      <c r="AD338" s="3078"/>
      <c r="AE338" s="3077" t="str">
        <f>IF(INDEX(calc!$AU$207:$AU$389,MATCH(AE325,calc!$AC$207:$AC$389,1))="","NA",INDEX(calc!$L$331:$L$335,MATCH(INDEX(calc!$AU$207:$AU$389,MATCH(AE325,calc!$AC$207:$AC$389,1)),calc!$K$331:$K$335,0)))</f>
        <v>SCT</v>
      </c>
      <c r="AF338" s="3078"/>
      <c r="AG338" s="3078"/>
      <c r="AH338" s="3077" t="str">
        <f>IF(INDEX(calc!$AU$207:$AU$389,MATCH(AH325,calc!$AC$207:$AC$389,1))="","NA",INDEX(calc!$L$331:$L$335,MATCH(INDEX(calc!$AU$207:$AU$389,MATCH(AH325,calc!$AC$207:$AC$389,1)),calc!$K$331:$K$335,0)))</f>
        <v>SCT</v>
      </c>
      <c r="AI338" s="3078"/>
      <c r="AJ338" s="3078"/>
      <c r="AK338" s="3077" t="str">
        <f>IF(INDEX(calc!$AU$207:$AU$389,MATCH(AK325,calc!$AC$207:$AC$389,1))="","NA",INDEX(calc!$L$331:$L$335,MATCH(INDEX(calc!$AU$207:$AU$389,MATCH(AK325,calc!$AC$207:$AC$389,1)),calc!$K$331:$K$335,0)))</f>
        <v>SCT</v>
      </c>
      <c r="AL338" s="3078"/>
      <c r="AM338" s="3078"/>
      <c r="AN338" s="3077" t="str">
        <f>IF(INDEX(calc!$AU$207:$AU$389,MATCH(AN325,calc!$AC$207:$AC$389,1))="","NA",INDEX(calc!$L$331:$L$335,MATCH(INDEX(calc!$AU$207:$AU$389,MATCH(AN325,calc!$AC$207:$AC$389,1)),calc!$K$331:$K$335,0)))</f>
        <v>SCT</v>
      </c>
      <c r="AO338" s="3078"/>
      <c r="AP338" s="3078"/>
      <c r="AQ338" s="3077" t="str">
        <f>IF(INDEX(calc!$AU$207:$AU$389,MATCH(AQ325,calc!$AC$207:$AC$389,1))="","NA",INDEX(calc!$L$331:$L$335,MATCH(INDEX(calc!$AU$207:$AU$389,MATCH(AQ325,calc!$AC$207:$AC$389,1)),calc!$K$331:$K$335,0)))</f>
        <v>SCT</v>
      </c>
      <c r="AR338" s="3078"/>
      <c r="AS338" s="3078"/>
      <c r="AT338" s="3077" t="str">
        <f>IF(INDEX(calc!$AU$207:$AU$389,MATCH(AT325,calc!$AC$207:$AC$389,1))="","NA",INDEX(calc!$L$331:$L$335,MATCH(INDEX(calc!$AU$207:$AU$389,MATCH(AT325,calc!$AC$207:$AC$389,1)),calc!$K$331:$K$335,0)))</f>
        <v>SCT</v>
      </c>
      <c r="AU338" s="3078"/>
      <c r="AV338" s="3078"/>
      <c r="AW338" s="3077" t="str">
        <f>IF(INDEX(calc!$AU$207:$AU$389,MATCH(AW325,calc!$AC$207:$AC$389,1))="","NA",INDEX(calc!$L$331:$L$335,MATCH(INDEX(calc!$AU$207:$AU$389,MATCH(AW325,calc!$AC$207:$AC$389,1)),calc!$K$331:$K$335,0)))</f>
        <v>BKN</v>
      </c>
      <c r="AX338" s="3078"/>
      <c r="AY338" s="3078"/>
      <c r="AZ338" s="3077" t="str">
        <f>IF(INDEX(calc!$AU$207:$AU$389,MATCH(AZ325,calc!$AC$207:$AC$389,1))="","NA",INDEX(calc!$L$331:$L$335,MATCH(INDEX(calc!$AU$207:$AU$389,MATCH(AZ325,calc!$AC$207:$AC$389,1)),calc!$K$331:$K$335,0)))</f>
        <v>BKN</v>
      </c>
      <c r="BA338" s="3078"/>
      <c r="BB338" s="3078"/>
      <c r="BC338" s="3077" t="str">
        <f>IF(INDEX(calc!$AU$207:$AU$389,MATCH(BC325,calc!$AC$207:$AC$389,1))="","NA",INDEX(calc!$L$331:$L$335,MATCH(INDEX(calc!$AU$207:$AU$389,MATCH(BC325,calc!$AC$207:$AC$389,1)),calc!$K$331:$K$335,0)))</f>
        <v>BKN</v>
      </c>
      <c r="BD338" s="3078"/>
      <c r="BE338" s="3078"/>
      <c r="BF338" s="3077" t="str">
        <f>IF(INDEX(calc!$AU$207:$AU$389,MATCH(BF325,calc!$AC$207:$AC$389,1))="","NA",INDEX(calc!$L$331:$L$335,MATCH(INDEX(calc!$AU$207:$AU$389,MATCH(BF325,calc!$AC$207:$AC$389,1)),calc!$K$331:$K$335,0)))</f>
        <v>SCT</v>
      </c>
      <c r="BG338" s="3078"/>
      <c r="BH338" s="3078"/>
      <c r="BI338" s="3077" t="str">
        <f>IF(INDEX(calc!$AU$207:$AU$389,MATCH(BI325,calc!$AC$207:$AC$389,1))="","NA",INDEX(calc!$L$331:$L$335,MATCH(INDEX(calc!$AU$207:$AU$389,MATCH(BI325,calc!$AC$207:$AC$389,1)),calc!$K$331:$K$335,0)))</f>
        <v>SCT</v>
      </c>
      <c r="BJ338" s="3078"/>
      <c r="BK338" s="3078"/>
      <c r="BL338" s="3077" t="str">
        <f>IF(INDEX(calc!$AU$207:$AU$389,MATCH(BL325,calc!$AC$207:$AC$389,1))="","NA",INDEX(calc!$L$331:$L$335,MATCH(INDEX(calc!$AU$207:$AU$389,MATCH(BL325,calc!$AC$207:$AC$389,1)),calc!$K$331:$K$335,0)))</f>
        <v>SCT</v>
      </c>
      <c r="BM338" s="3078"/>
      <c r="BN338" s="3078"/>
      <c r="BO338" s="3077" t="str">
        <f>IF(INDEX(calc!$AU$207:$AU$389,MATCH(BO325,calc!$AC$207:$AC$389,1))="","NA",INDEX(calc!$L$331:$L$335,MATCH(INDEX(calc!$AU$207:$AU$389,MATCH(BO325,calc!$AC$207:$AC$389,1)),calc!$K$331:$K$335,0)))</f>
        <v>BKN</v>
      </c>
      <c r="BP338" s="3078"/>
      <c r="BQ338" s="3078"/>
      <c r="BR338" s="3077" t="str">
        <f>IF(INDEX(calc!$AU$207:$AU$389,MATCH(BR325,calc!$AC$207:$AC$389,1))="","NA",INDEX(calc!$L$331:$L$335,MATCH(INDEX(calc!$AU$207:$AU$389,MATCH(BR325,calc!$AC$207:$AC$389,1)),calc!$K$331:$K$335,0)))</f>
        <v>OVC</v>
      </c>
      <c r="BS338" s="3078"/>
      <c r="BT338" s="3078"/>
      <c r="BU338" s="3077" t="str">
        <f>IF(INDEX(calc!$AU$207:$AU$389,MATCH(BU325,calc!$AC$207:$AC$389,1))="","NA",INDEX(calc!$L$331:$L$335,MATCH(INDEX(calc!$AU$207:$AU$389,MATCH(BU325,calc!$AC$207:$AC$389,1)),calc!$K$331:$K$335,0)))</f>
        <v>OVC</v>
      </c>
      <c r="BV338" s="3078"/>
      <c r="BW338" s="3078"/>
      <c r="BX338" s="3077" t="str">
        <f>IF(INDEX(calc!$AU$207:$AU$389,MATCH(BX325,calc!$AC$207:$AC$389,1))="","NA",INDEX(calc!$L$331:$L$335,MATCH(INDEX(calc!$AU$207:$AU$389,MATCH(BX325,calc!$AC$207:$AC$389,1)),calc!$K$331:$K$335,0)))</f>
        <v>OVC</v>
      </c>
      <c r="BY338" s="3078"/>
      <c r="BZ338" s="3078"/>
      <c r="CA338" s="3077" t="str">
        <f>IF(INDEX(calc!$AU$207:$AU$389,MATCH(CA325,calc!$AC$207:$AC$389,1))="","NA",INDEX(calc!$L$331:$L$335,MATCH(INDEX(calc!$AU$207:$AU$389,MATCH(CA325,calc!$AC$207:$AC$389,1)),calc!$K$331:$K$335,0)))</f>
        <v>OVC</v>
      </c>
      <c r="CB338" s="3078"/>
      <c r="CC338" s="3078"/>
      <c r="CD338" s="3077" t="str">
        <f>IF(INDEX(calc!$AU$207:$AU$389,MATCH(CD325,calc!$AC$207:$AC$389,1))="","NA",INDEX(calc!$L$331:$L$335,MATCH(INDEX(calc!$AU$207:$AU$389,MATCH(CD325,calc!$AC$207:$AC$389,1)),calc!$K$331:$K$335,0)))</f>
        <v>BKN</v>
      </c>
      <c r="CE338" s="3078"/>
      <c r="CF338" s="3078"/>
      <c r="CG338" s="3077" t="str">
        <f>IF(INDEX(calc!$AU$207:$AU$389,MATCH(CG325,calc!$AC$207:$AC$389,1))="","NA",INDEX(calc!$L$331:$L$335,MATCH(INDEX(calc!$AU$207:$AU$389,MATCH(CG325,calc!$AC$207:$AC$389,1)),calc!$K$331:$K$335,0)))</f>
        <v>BKN</v>
      </c>
      <c r="CH338" s="3078"/>
      <c r="CI338" s="3078"/>
      <c r="CJ338" s="3077" t="str">
        <f>IF(INDEX(calc!$AU$207:$AU$389,MATCH(CJ325,calc!$AC$207:$AC$389,1))="","NA",INDEX(calc!$L$331:$L$335,MATCH(INDEX(calc!$AU$207:$AU$389,MATCH(CJ325,calc!$AC$207:$AC$389,1)),calc!$K$331:$K$335,0)))</f>
        <v>BKN</v>
      </c>
      <c r="CK338" s="3078"/>
      <c r="CL338" s="3078"/>
      <c r="CM338" s="3077" t="str">
        <f>IF(INDEX(calc!$AU$207:$AU$389,MATCH(CM325,calc!$AC$207:$AC$389,1))="","NA",INDEX(calc!$L$331:$L$335,MATCH(INDEX(calc!$AU$207:$AU$389,MATCH(CM325,calc!$AC$207:$AC$389,1)),calc!$K$331:$K$335,0)))</f>
        <v>OVC</v>
      </c>
      <c r="CN338" s="3078"/>
      <c r="CO338" s="3078"/>
      <c r="CP338" s="3077" t="str">
        <f>IF(INDEX(calc!$AU$207:$AU$389,MATCH(CP325,calc!$AC$207:$AC$389,1))="","NA",INDEX(calc!$L$331:$L$335,MATCH(INDEX(calc!$AU$207:$AU$389,MATCH(CP325,calc!$AC$207:$AC$389,1)),calc!$K$331:$K$335,0)))</f>
        <v>BKN</v>
      </c>
      <c r="CQ338" s="3078"/>
      <c r="CR338" s="3078"/>
      <c r="CS338" s="3077" t="str">
        <f>IF(INDEX(calc!$AU$207:$AU$389,MATCH(CS325,calc!$AC$207:$AC$389,1))="","NA",INDEX(calc!$L$331:$L$335,MATCH(INDEX(calc!$AU$207:$AU$389,MATCH(CS325,calc!$AC$207:$AC$389,1)),calc!$K$331:$K$335,0)))</f>
        <v>NA</v>
      </c>
      <c r="CT338" s="3078"/>
      <c r="CU338" s="3078"/>
      <c r="CV338" s="3077" t="str">
        <f>IF(INDEX(calc!$AU$207:$AU$389,MATCH(CV325,calc!$AC$207:$AC$389,1))="","NA",INDEX(calc!$L$331:$L$335,MATCH(INDEX(calc!$AU$207:$AU$389,MATCH(CV325,calc!$AC$207:$AC$389,1)),calc!$K$331:$K$335,0)))</f>
        <v>BKN</v>
      </c>
      <c r="CW338" s="3078"/>
      <c r="CX338" s="3078"/>
      <c r="CY338" s="3077" t="str">
        <f>IF(INDEX(calc!$AU$207:$AU$389,MATCH(CY325,calc!$AC$207:$AC$389,1))="","NA",INDEX(calc!$L$331:$L$335,MATCH(INDEX(calc!$AU$207:$AU$389,MATCH(CY325,calc!$AC$207:$AC$389,1)),calc!$K$331:$K$335,0)))</f>
        <v>NA</v>
      </c>
      <c r="CZ338" s="3078"/>
      <c r="DA338" s="3078"/>
      <c r="DB338" s="3077" t="str">
        <f>IF(INDEX(calc!$AU$207:$AU$389,MATCH(DB325,calc!$AC$207:$AC$389,1))="","NA",INDEX(calc!$L$331:$L$335,MATCH(INDEX(calc!$AU$207:$AU$389,MATCH(DB325,calc!$AC$207:$AC$389,1)),calc!$K$331:$K$335,0)))</f>
        <v>BKN</v>
      </c>
      <c r="DC338" s="3078"/>
      <c r="DD338" s="3078"/>
      <c r="DE338" s="3077" t="str">
        <f>IF(INDEX(calc!$AU$207:$AU$389,MATCH(DE325,calc!$AC$207:$AC$389,1))="","NA",INDEX(calc!$L$331:$L$335,MATCH(INDEX(calc!$AU$207:$AU$389,MATCH(DE325,calc!$AC$207:$AC$389,1)),calc!$K$331:$K$335,0)))</f>
        <v>NA</v>
      </c>
      <c r="DF338" s="3078"/>
      <c r="DG338" s="3078"/>
      <c r="DH338" s="3077" t="str">
        <f>IF(INDEX(calc!$AU$207:$AU$389,MATCH(DH325,calc!$AC$207:$AC$389,1))="","NA",INDEX(calc!$L$331:$L$335,MATCH(INDEX(calc!$AU$207:$AU$389,MATCH(DH325,calc!$AC$207:$AC$389,1)),calc!$K$331:$K$335,0)))</f>
        <v>NA</v>
      </c>
      <c r="DI338" s="3078"/>
      <c r="DJ338" s="3078"/>
      <c r="DK338" s="3077" t="str">
        <f>IF(INDEX(calc!$AU$207:$AU$389,MATCH(DK325,calc!$AC$207:$AC$389,1))="","NA",INDEX(calc!$L$331:$L$335,MATCH(INDEX(calc!$AU$207:$AU$389,MATCH(DK325,calc!$AC$207:$AC$389,1)),calc!$K$331:$K$335,0)))</f>
        <v>NA</v>
      </c>
      <c r="DL338" s="3078"/>
      <c r="DM338" s="3078"/>
      <c r="DN338" s="3077" t="str">
        <f>IF(INDEX(calc!$AU$207:$AU$389,MATCH(DN325,calc!$AC$207:$AC$389,1))="","NA",INDEX(calc!$L$331:$L$335,MATCH(INDEX(calc!$AU$207:$AU$389,MATCH(DN325,calc!$AC$207:$AC$389,1)),calc!$K$331:$K$335,0)))</f>
        <v>NA</v>
      </c>
      <c r="DO338" s="3078"/>
      <c r="DP338" s="3078"/>
      <c r="DQ338" s="3077" t="str">
        <f>IF(INDEX(calc!$AU$207:$AU$389,MATCH(DQ325,calc!$AC$207:$AC$389,1))="","NA",INDEX(calc!$L$331:$L$335,MATCH(INDEX(calc!$AU$207:$AU$389,MATCH(DQ325,calc!$AC$207:$AC$389,1)),calc!$K$331:$K$335,0)))</f>
        <v>NA</v>
      </c>
      <c r="DR338" s="3078"/>
      <c r="DS338" s="3078"/>
      <c r="DT338" s="3077" t="str">
        <f>IF(INDEX(calc!$AU$207:$AU$389,MATCH(DT325,calc!$AC$207:$AC$389,1))="","NA",INDEX(calc!$L$331:$L$335,MATCH(INDEX(calc!$AU$207:$AU$389,MATCH(DT325,calc!$AC$207:$AC$389,1)),calc!$K$331:$K$335,0)))</f>
        <v>NA</v>
      </c>
      <c r="DU338" s="3078"/>
      <c r="DV338" s="3078"/>
      <c r="DW338" s="3077" t="str">
        <f>IF(INDEX(calc!$AU$207:$AU$389,MATCH(DW325,calc!$AC$207:$AC$389,1))="","NA",INDEX(calc!$L$331:$L$335,MATCH(INDEX(calc!$AU$207:$AU$389,MATCH(DW325,calc!$AC$207:$AC$389,1)),calc!$K$331:$K$335,0)))</f>
        <v>NA</v>
      </c>
      <c r="DX338" s="3078"/>
      <c r="DY338" s="3078"/>
      <c r="DZ338" s="3077" t="str">
        <f>IF(INDEX(calc!$AU$207:$AU$389,MATCH(DZ325,calc!$AC$207:$AC$389,1))="","NA",INDEX(calc!$L$331:$L$335,MATCH(INDEX(calc!$AU$207:$AU$389,MATCH(DZ325,calc!$AC$207:$AC$389,1)),calc!$K$331:$K$335,0)))</f>
        <v>NA</v>
      </c>
      <c r="EA338" s="3078"/>
      <c r="EB338" s="3078"/>
      <c r="EC338" s="3077" t="str">
        <f>IF(INDEX(calc!$AU$207:$AU$389,MATCH(EC325,calc!$AC$207:$AC$389,1))="","NA",INDEX(calc!$L$331:$L$335,MATCH(INDEX(calc!$AU$207:$AU$389,MATCH(EC325,calc!$AC$207:$AC$389,1)),calc!$K$331:$K$335,0)))</f>
        <v>NA</v>
      </c>
      <c r="ED338" s="3078"/>
      <c r="EE338" s="3078"/>
      <c r="EF338" s="3077" t="str">
        <f>IF(INDEX(calc!$AU$207:$AU$389,MATCH(EF325,calc!$AC$207:$AC$389,1))="","NA",INDEX(calc!$L$331:$L$335,MATCH(INDEX(calc!$AU$207:$AU$389,MATCH(EF325,calc!$AC$207:$AC$389,1)),calc!$K$331:$K$335,0)))</f>
        <v>NA</v>
      </c>
      <c r="EG338" s="3078"/>
      <c r="EH338" s="3078"/>
      <c r="EI338" s="3077" t="str">
        <f>IF(INDEX(calc!$AU$207:$AU$389,MATCH(EI325,calc!$AC$207:$AC$389,1))="","NA",INDEX(calc!$L$331:$L$335,MATCH(INDEX(calc!$AU$207:$AU$389,MATCH(EI325,calc!$AC$207:$AC$389,1)),calc!$K$331:$K$335,0)))</f>
        <v>NA</v>
      </c>
      <c r="EJ338" s="3078"/>
      <c r="EK338" s="3078"/>
      <c r="EL338" s="3077" t="str">
        <f>IF(INDEX(calc!$AU$207:$AU$389,MATCH(EL325,calc!$AC$207:$AC$389,1))="","NA",INDEX(calc!$L$331:$L$335,MATCH(INDEX(calc!$AU$207:$AU$389,MATCH(EL325,calc!$AC$207:$AC$389,1)),calc!$K$331:$K$335,0)))</f>
        <v>NA</v>
      </c>
      <c r="EM338" s="3078"/>
      <c r="EN338" s="3078"/>
      <c r="EO338" s="3077" t="str">
        <f>IF(INDEX(calc!$AU$207:$AU$389,MATCH(EO325,calc!$AC$207:$AC$389,1))="","NA",INDEX(calc!$L$331:$L$335,MATCH(INDEX(calc!$AU$207:$AU$389,MATCH(EO325,calc!$AC$207:$AC$389,1)),calc!$K$331:$K$335,0)))</f>
        <v>NA</v>
      </c>
      <c r="EP338" s="3078"/>
      <c r="EQ338" s="3078"/>
      <c r="ER338" s="3077" t="str">
        <f>IF(INDEX(calc!$AU$207:$AU$389,MATCH(ER325,calc!$AC$207:$AC$389,1))="","NA",INDEX(calc!$L$331:$L$335,MATCH(INDEX(calc!$AU$207:$AU$389,MATCH(ER325,calc!$AC$207:$AC$389,1)),calc!$K$331:$K$335,0)))</f>
        <v>NA</v>
      </c>
      <c r="ES338" s="3078"/>
      <c r="ET338" s="3078"/>
      <c r="EU338" s="3077" t="str">
        <f>IF(INDEX(calc!$AU$207:$AU$389,MATCH(EU325,calc!$AC$207:$AC$389,1))="","NA",INDEX(calc!$L$331:$L$335,MATCH(INDEX(calc!$AU$207:$AU$389,MATCH(EU325,calc!$AC$207:$AC$389,1)),calc!$K$331:$K$335,0)))</f>
        <v>NA</v>
      </c>
      <c r="EV338" s="3078"/>
      <c r="EW338" s="3078"/>
      <c r="EX338" s="3077" t="str">
        <f>IF(INDEX(calc!$AU$207:$AU$389,MATCH(EX325,calc!$AC$207:$AC$389,1))="","NA",INDEX(calc!$L$331:$L$335,MATCH(INDEX(calc!$AU$207:$AU$389,MATCH(EX325,calc!$AC$207:$AC$389,1)),calc!$K$331:$K$335,0)))</f>
        <v>NA</v>
      </c>
      <c r="EY338" s="3078"/>
      <c r="EZ338" s="3078"/>
      <c r="FA338" s="3077" t="str">
        <f>IF(INDEX(calc!$AU$207:$AU$389,MATCH(FA325,calc!$AC$207:$AC$389,1))="","NA",INDEX(calc!$L$331:$L$335,MATCH(INDEX(calc!$AU$207:$AU$389,MATCH(FA325,calc!$AC$207:$AC$389,1)),calc!$K$331:$K$335,0)))</f>
        <v>NA</v>
      </c>
      <c r="FB338" s="3078"/>
      <c r="FC338" s="3078"/>
      <c r="FD338" s="3077" t="str">
        <f>IF(INDEX(calc!$AU$207:$AU$389,MATCH(FD325,calc!$AC$207:$AC$389,1))="","NA",INDEX(calc!$L$331:$L$335,MATCH(INDEX(calc!$AU$207:$AU$389,MATCH(FD325,calc!$AC$207:$AC$389,1)),calc!$K$331:$K$335,0)))</f>
        <v>NA</v>
      </c>
      <c r="FE338" s="3078"/>
      <c r="FF338" s="3096"/>
      <c r="FG338" s="3077" t="str">
        <f>IF(INDEX(calc!$AU$207:$AU$389,MATCH(FG325,calc!$AC$207:$AC$389,1))="","NA",INDEX(calc!$L$331:$L$335,MATCH(INDEX(calc!$AU$207:$AU$389,MATCH(FG325,calc!$AC$207:$AC$389,1)),calc!$K$331:$K$335,0)))</f>
        <v>NA</v>
      </c>
      <c r="FH338" s="3078"/>
      <c r="FI338" s="3096"/>
      <c r="FJ338" s="3077" t="str">
        <f>IF(INDEX(calc!$AU$207:$AU$389,MATCH(FJ325,calc!$AC$207:$AC$389,1))="","NA",INDEX(calc!$L$331:$L$335,MATCH(INDEX(calc!$AU$207:$AU$389,MATCH(FJ325,calc!$AC$207:$AC$389,1)),calc!$K$331:$K$335,0)))</f>
        <v>NA</v>
      </c>
      <c r="FK338" s="3078"/>
      <c r="FL338" s="3096"/>
      <c r="FM338" s="3077" t="str">
        <f>IF(INDEX(calc!$AU$207:$AU$389,MATCH(FM325,calc!$AC$207:$AC$389,1))="","NA",INDEX(calc!$L$331:$L$335,MATCH(INDEX(calc!$AU$207:$AU$389,MATCH(FM325,calc!$AC$207:$AC$389,1)),calc!$K$331:$K$335,0)))</f>
        <v>NA</v>
      </c>
      <c r="FN338" s="3078"/>
      <c r="FO338" s="3096"/>
      <c r="FP338" s="3077" t="str">
        <f>IF(INDEX(calc!$AU$207:$AU$389,MATCH(FP325,calc!$AC$207:$AC$389,1))="","NA",INDEX(calc!$L$331:$L$335,MATCH(INDEX(calc!$AU$207:$AU$389,MATCH(FP325,calc!$AC$207:$AC$389,1)),calc!$K$331:$K$335,0)))</f>
        <v>NA</v>
      </c>
      <c r="FQ338" s="3078"/>
      <c r="FR338" s="3096"/>
      <c r="FS338" s="3077" t="str">
        <f>IF(INDEX(calc!$AU$207:$AU$389,MATCH(FS325,calc!$AC$207:$AC$389,1))="","NA",INDEX(calc!$L$331:$L$335,MATCH(INDEX(calc!$AU$207:$AU$389,MATCH(FS325,calc!$AC$207:$AC$389,1)),calc!$K$331:$K$335,0)))</f>
        <v>NA</v>
      </c>
      <c r="FT338" s="3078"/>
      <c r="FU338" s="3096"/>
      <c r="FV338" s="3077" t="str">
        <f>IF(INDEX(calc!$AU$207:$AU$389,MATCH(FV325,calc!$AC$207:$AC$389,1))="","NA",INDEX(calc!$L$331:$L$335,MATCH(INDEX(calc!$AU$207:$AU$389,MATCH(FV325,calc!$AC$207:$AC$389,1)),calc!$K$331:$K$335,0)))</f>
        <v>NA</v>
      </c>
      <c r="FW338" s="3078"/>
      <c r="FX338" s="3096"/>
      <c r="FY338" s="3077" t="str">
        <f>IF(INDEX(calc!$AU$207:$AU$389,MATCH(FY325,calc!$AC$207:$AC$389,1))="","NA",INDEX(calc!$L$331:$L$335,MATCH(INDEX(calc!$AU$207:$AU$389,MATCH(FY325,calc!$AC$207:$AC$389,1)),calc!$K$331:$K$335,0)))</f>
        <v>NA</v>
      </c>
      <c r="FZ338" s="3078"/>
      <c r="GA338" s="3096"/>
      <c r="GB338" s="3077" t="str">
        <f>IF(INDEX(calc!$AU$207:$AU$389,MATCH(GB325,calc!$AC$207:$AC$389,1))="","NA",INDEX(calc!$L$331:$L$335,MATCH(INDEX(calc!$AU$207:$AU$389,MATCH(GB325,calc!$AC$207:$AC$389,1)),calc!$K$331:$K$335,0)))</f>
        <v>NA</v>
      </c>
      <c r="GC338" s="3078"/>
      <c r="GD338" s="3096"/>
      <c r="GE338" s="3077" t="str">
        <f>IF(INDEX(calc!$AU$207:$AU$389,MATCH(GE325,calc!$AC$207:$AC$389,1))="","NA",INDEX(calc!$L$331:$L$335,MATCH(INDEX(calc!$AU$207:$AU$389,MATCH(GE325,calc!$AC$207:$AC$389,1)),calc!$K$331:$K$335,0)))</f>
        <v>NA</v>
      </c>
      <c r="GF338" s="3078"/>
      <c r="GG338" s="3096"/>
      <c r="GH338" s="3077" t="str">
        <f>IF(INDEX(calc!$AU$207:$AU$389,MATCH(GH325,calc!$AC$207:$AC$389,1))="","NA",INDEX(calc!$L$331:$L$335,MATCH(INDEX(calc!$AU$207:$AU$389,MATCH(GH325,calc!$AC$207:$AC$389,1)),calc!$K$331:$K$335,0)))</f>
        <v>NA</v>
      </c>
      <c r="GI338" s="3078"/>
      <c r="GJ338" s="3096"/>
      <c r="GK338" s="3077" t="str">
        <f>IF(INDEX(calc!$AU$207:$AU$389,MATCH(GK325,calc!$AC$207:$AC$389,1))="","NA",INDEX(calc!$L$331:$L$335,MATCH(INDEX(calc!$AU$207:$AU$389,MATCH(GK325,calc!$AC$207:$AC$389,1)),calc!$K$331:$K$335,0)))</f>
        <v>NA</v>
      </c>
      <c r="GL338" s="3078"/>
      <c r="GM338" s="3096"/>
      <c r="GN338" s="3077" t="str">
        <f>IF(INDEX(calc!$AU$207:$AU$389,MATCH(GN325,calc!$AC$207:$AC$389,1))="","NA",INDEX(calc!$L$331:$L$335,MATCH(INDEX(calc!$AU$207:$AU$389,MATCH(GN325,calc!$AC$207:$AC$389,1)),calc!$K$331:$K$335,0)))</f>
        <v>NA</v>
      </c>
      <c r="GO338" s="3078"/>
      <c r="GP338" s="3096"/>
      <c r="GQ338" s="3077" t="str">
        <f>IF(INDEX(calc!$AU$207:$AU$389,MATCH(GQ325,calc!$AC$207:$AC$389,1))="","NA",INDEX(calc!$L$331:$L$335,MATCH(INDEX(calc!$AU$207:$AU$389,MATCH(GQ325,calc!$AC$207:$AC$389,1)),calc!$K$331:$K$335,0)))</f>
        <v>NA</v>
      </c>
      <c r="GR338" s="3078"/>
      <c r="GS338" s="3096"/>
    </row>
    <row r="339" spans="12:201" s="539" customFormat="1" ht="15" customHeight="1">
      <c r="L339" s="1166" t="s">
        <v>3073</v>
      </c>
      <c r="M339" s="1047"/>
      <c r="N339" s="1047"/>
      <c r="O339" s="1047"/>
      <c r="P339" s="1047"/>
      <c r="Q339" s="1047"/>
      <c r="R339" s="1047"/>
      <c r="S339" s="1047"/>
      <c r="T339" s="3064" t="s">
        <v>378</v>
      </c>
      <c r="U339" s="3064"/>
      <c r="V339" s="3064"/>
      <c r="W339" s="3064"/>
      <c r="AB339" s="1749"/>
      <c r="AC339" s="1076"/>
      <c r="AD339" s="1076"/>
      <c r="AE339" s="1076"/>
      <c r="AF339" s="1076"/>
      <c r="AG339" s="1076"/>
      <c r="AH339" s="1076"/>
      <c r="AI339" s="1076"/>
      <c r="AJ339" s="1076"/>
      <c r="AK339" s="1076"/>
      <c r="AL339" s="1076"/>
      <c r="AM339" s="1076"/>
      <c r="AN339" s="1076"/>
      <c r="AO339" s="1076"/>
      <c r="AP339" s="1076"/>
      <c r="AQ339" s="1076"/>
      <c r="AR339" s="1076"/>
      <c r="AS339" s="1076"/>
      <c r="AT339" s="1076"/>
      <c r="AU339" s="1076"/>
      <c r="AV339" s="1076"/>
      <c r="AW339" s="1076"/>
      <c r="AX339" s="1076"/>
      <c r="AY339" s="1076"/>
      <c r="AZ339" s="1076"/>
      <c r="BA339" s="1076"/>
      <c r="BB339" s="1076"/>
      <c r="BC339" s="1076"/>
      <c r="BD339" s="1076"/>
      <c r="BE339" s="1076"/>
      <c r="BF339" s="1076"/>
      <c r="BG339" s="1076"/>
      <c r="BH339" s="1076"/>
      <c r="BI339" s="1076"/>
      <c r="BJ339" s="1076"/>
      <c r="BK339" s="1076"/>
      <c r="BL339" s="1076"/>
      <c r="BM339" s="1076"/>
      <c r="BN339" s="1076"/>
      <c r="BO339" s="1076"/>
      <c r="BP339" s="1076"/>
      <c r="BQ339" s="1076"/>
      <c r="BR339" s="1076"/>
      <c r="BS339" s="1076"/>
      <c r="BT339" s="1076"/>
      <c r="BU339" s="1076"/>
      <c r="BV339" s="1076"/>
      <c r="BW339" s="1076"/>
      <c r="BX339" s="1076"/>
      <c r="BY339" s="1076"/>
      <c r="BZ339" s="1076"/>
      <c r="CA339" s="1076"/>
      <c r="CB339" s="1076"/>
      <c r="CC339" s="1076"/>
      <c r="CD339" s="1076"/>
      <c r="CE339" s="1076"/>
      <c r="CF339" s="1076"/>
      <c r="CG339" s="1076"/>
      <c r="CH339" s="1076"/>
      <c r="CI339" s="1076"/>
      <c r="CJ339" s="1076"/>
      <c r="CK339" s="1076"/>
      <c r="CL339" s="1076"/>
      <c r="CM339" s="1076"/>
      <c r="CN339" s="1076"/>
      <c r="CO339" s="1076"/>
      <c r="CP339" s="1076"/>
      <c r="CQ339" s="1076"/>
      <c r="CR339" s="1076"/>
      <c r="CS339" s="1076"/>
      <c r="CT339" s="1076"/>
      <c r="CU339" s="1076"/>
      <c r="CV339" s="1076"/>
      <c r="CW339" s="1076"/>
      <c r="CX339" s="1076"/>
      <c r="CY339" s="1076"/>
      <c r="CZ339" s="1076"/>
      <c r="DA339" s="1076"/>
      <c r="DB339" s="1076"/>
      <c r="DC339" s="1076"/>
      <c r="DD339" s="1076"/>
      <c r="DE339" s="1076"/>
      <c r="DF339" s="1076"/>
      <c r="DG339" s="1076"/>
      <c r="DH339" s="1076"/>
      <c r="DI339" s="1076"/>
      <c r="DJ339" s="1076"/>
      <c r="DK339" s="1076"/>
      <c r="DL339" s="1076"/>
      <c r="DM339" s="1076"/>
      <c r="DN339" s="1076"/>
      <c r="DO339" s="1076"/>
      <c r="DP339" s="1076"/>
      <c r="DQ339" s="1076"/>
      <c r="DR339" s="1076"/>
      <c r="DS339" s="1076"/>
      <c r="DT339" s="1076"/>
      <c r="DU339" s="1076"/>
      <c r="DV339" s="1076"/>
      <c r="DW339" s="1076"/>
      <c r="DX339" s="1076"/>
      <c r="DY339" s="1076"/>
      <c r="DZ339" s="1076"/>
      <c r="EA339" s="1076"/>
      <c r="EB339" s="1076"/>
      <c r="EC339" s="1076"/>
      <c r="ED339" s="1076"/>
      <c r="EE339" s="1076"/>
      <c r="EF339" s="1076"/>
      <c r="EG339" s="1076"/>
      <c r="EH339" s="1076"/>
      <c r="EI339" s="1076"/>
      <c r="EJ339" s="1076"/>
      <c r="EK339" s="1076"/>
      <c r="EL339" s="1076"/>
      <c r="EM339" s="1076"/>
      <c r="EN339" s="1076"/>
      <c r="EO339" s="1076"/>
      <c r="EP339" s="1076"/>
      <c r="EQ339" s="1076"/>
      <c r="ER339" s="1076"/>
      <c r="ES339" s="1076"/>
      <c r="ET339" s="1076"/>
      <c r="EU339" s="1076"/>
      <c r="EV339" s="1076"/>
      <c r="EW339" s="1076"/>
      <c r="EX339" s="1076"/>
      <c r="EY339" s="1076"/>
      <c r="EZ339" s="1076"/>
      <c r="FA339" s="1076"/>
      <c r="FB339" s="1076"/>
      <c r="FC339" s="1076"/>
      <c r="FD339" s="1076"/>
      <c r="FE339" s="1076"/>
      <c r="FF339" s="1076"/>
      <c r="FG339" s="1076"/>
      <c r="FH339" s="1076"/>
      <c r="FI339" s="1076"/>
      <c r="FJ339" s="1076"/>
      <c r="FK339" s="1076"/>
      <c r="FL339" s="1076"/>
      <c r="FM339" s="1076"/>
      <c r="FN339" s="1076"/>
      <c r="FO339" s="1076"/>
      <c r="FP339" s="1076"/>
      <c r="FQ339" s="1076"/>
      <c r="FR339" s="1076"/>
      <c r="FS339" s="1076"/>
      <c r="FT339" s="1076"/>
      <c r="FU339" s="1076"/>
      <c r="FV339" s="1076"/>
      <c r="FW339" s="1076"/>
      <c r="FX339" s="1076"/>
      <c r="FY339" s="1076"/>
      <c r="FZ339" s="1076"/>
      <c r="GA339" s="1076"/>
      <c r="GB339" s="1076"/>
      <c r="GC339" s="1076"/>
      <c r="GD339" s="1076"/>
      <c r="GE339" s="1076"/>
      <c r="GF339" s="1076"/>
      <c r="GG339" s="1076"/>
      <c r="GH339" s="1076"/>
      <c r="GI339" s="1076"/>
      <c r="GJ339" s="1076"/>
      <c r="GK339" s="1076"/>
      <c r="GL339" s="1076"/>
      <c r="GM339" s="1076"/>
      <c r="GN339" s="1076"/>
      <c r="GO339" s="1076"/>
      <c r="GP339" s="1076"/>
      <c r="GQ339" s="1076"/>
      <c r="GR339" s="1076"/>
      <c r="GS339" s="1076"/>
    </row>
    <row r="340" spans="12:201" s="539" customFormat="1" ht="6" customHeight="1">
      <c r="L340" s="1166" t="s">
        <v>3074</v>
      </c>
      <c r="M340" s="1047"/>
      <c r="N340" s="1047"/>
      <c r="O340" s="1047"/>
      <c r="P340" s="1047"/>
      <c r="Q340" s="1047"/>
      <c r="R340" s="1047"/>
      <c r="S340" s="1047"/>
      <c r="T340" s="3064"/>
      <c r="U340" s="3064"/>
      <c r="V340" s="3064"/>
      <c r="W340" s="3064"/>
      <c r="X340" s="1072"/>
      <c r="Y340" s="1072"/>
      <c r="Z340" s="1072"/>
      <c r="AB340" s="1078"/>
      <c r="AC340" s="1078"/>
      <c r="AD340" s="1079"/>
      <c r="AE340" s="1079"/>
      <c r="AF340" s="1080"/>
      <c r="AG340" s="1080"/>
      <c r="AH340" s="1080"/>
      <c r="AI340" s="1080"/>
      <c r="AJ340" s="1080"/>
      <c r="AK340" s="1080"/>
      <c r="AL340" s="1171"/>
      <c r="AM340" s="1171"/>
      <c r="AN340" s="1081"/>
      <c r="AO340" s="1081"/>
      <c r="AP340" s="1082"/>
      <c r="AQ340" s="1082"/>
      <c r="AR340" s="1080"/>
      <c r="AS340" s="1080"/>
      <c r="AT340" s="1080"/>
      <c r="AU340" s="1080"/>
      <c r="AV340" s="1080"/>
      <c r="AW340" s="1080"/>
      <c r="AX340" s="1171"/>
      <c r="AY340" s="1171"/>
      <c r="AZ340" s="1081"/>
      <c r="BA340" s="1081"/>
      <c r="BB340" s="1077"/>
      <c r="BC340" s="1083"/>
      <c r="BD340" s="1083"/>
      <c r="BE340" s="1083"/>
      <c r="BF340" s="1084"/>
      <c r="BG340" s="1084"/>
      <c r="BH340" s="1084"/>
      <c r="BI340" s="1085"/>
      <c r="BJ340" s="1085"/>
      <c r="BK340" s="1086"/>
      <c r="BL340" s="1086"/>
      <c r="BM340" s="1087"/>
      <c r="BN340" s="1087"/>
      <c r="BO340" s="1083"/>
      <c r="BP340" s="1083"/>
      <c r="BQ340" s="1083"/>
      <c r="BR340" s="1083"/>
      <c r="BS340" s="1083"/>
      <c r="BT340" s="1083"/>
      <c r="BU340" s="1084"/>
      <c r="BV340" s="1088"/>
      <c r="BW340" s="1089"/>
      <c r="BX340" s="1089"/>
      <c r="BY340" s="1089"/>
      <c r="BZ340" s="1089"/>
      <c r="CA340" s="1090"/>
      <c r="CB340" s="1077"/>
      <c r="CC340" s="1083"/>
      <c r="CD340" s="1083"/>
      <c r="CE340" s="1083"/>
      <c r="CF340" s="1084"/>
      <c r="CG340" s="1084"/>
      <c r="CH340" s="1084"/>
      <c r="CI340" s="1085"/>
      <c r="CJ340" s="1085"/>
      <c r="CK340" s="1086"/>
      <c r="CL340" s="1086"/>
      <c r="CM340" s="1087"/>
      <c r="CN340" s="1087"/>
      <c r="CO340" s="1083"/>
      <c r="CP340" s="1083"/>
      <c r="CQ340" s="1083"/>
      <c r="CR340" s="1083"/>
      <c r="CS340" s="1083"/>
      <c r="CT340" s="1083"/>
      <c r="CU340" s="1084"/>
      <c r="CV340" s="1088"/>
      <c r="CW340" s="1089"/>
      <c r="CX340" s="1089"/>
      <c r="CY340" s="1089"/>
      <c r="CZ340" s="1089"/>
      <c r="DA340" s="1090"/>
      <c r="DB340" s="1077"/>
      <c r="DC340" s="1083"/>
      <c r="DD340" s="1083"/>
      <c r="DE340" s="1083"/>
      <c r="DF340" s="1084"/>
      <c r="DG340" s="1084"/>
      <c r="DH340" s="1084"/>
      <c r="DI340" s="1085"/>
      <c r="DJ340" s="1085"/>
      <c r="DK340" s="1086"/>
      <c r="DL340" s="1086"/>
      <c r="DM340" s="1087"/>
      <c r="DN340" s="1087"/>
      <c r="DO340" s="1083"/>
      <c r="DP340" s="1083"/>
      <c r="DQ340" s="1083"/>
      <c r="DR340" s="1083"/>
      <c r="DS340" s="1083"/>
      <c r="DT340" s="1083"/>
      <c r="DU340" s="1084"/>
      <c r="DV340" s="1088"/>
      <c r="DW340" s="1089"/>
      <c r="DX340" s="1089"/>
      <c r="DY340" s="1089"/>
      <c r="DZ340" s="1089"/>
      <c r="EA340" s="1077"/>
      <c r="EB340" s="1077"/>
      <c r="EC340" s="1077"/>
      <c r="ED340" s="1077"/>
      <c r="EE340" s="1077"/>
      <c r="EF340" s="1077"/>
      <c r="EG340" s="1077"/>
      <c r="EH340" s="1077"/>
      <c r="EI340" s="1077"/>
      <c r="EJ340" s="1077"/>
      <c r="EK340" s="1077"/>
      <c r="EL340" s="1077"/>
      <c r="EM340" s="1077"/>
      <c r="EN340" s="1077"/>
      <c r="EO340" s="1077"/>
      <c r="EP340" s="1077"/>
      <c r="EQ340" s="1077"/>
      <c r="ER340" s="1077"/>
      <c r="ES340" s="1077"/>
      <c r="ET340" s="1077"/>
      <c r="EU340" s="1077"/>
      <c r="EV340" s="1077"/>
      <c r="EW340" s="1077"/>
      <c r="EX340" s="1077"/>
      <c r="EY340" s="1077"/>
      <c r="EZ340" s="1077"/>
      <c r="FA340" s="1077"/>
      <c r="FB340" s="1077"/>
      <c r="FC340" s="1077"/>
      <c r="FD340" s="1077"/>
      <c r="FE340" s="1077"/>
      <c r="FF340" s="1077"/>
      <c r="FG340" s="1077"/>
      <c r="FH340" s="1077"/>
      <c r="FI340" s="1077"/>
      <c r="FJ340" s="1077"/>
      <c r="FK340" s="1077"/>
      <c r="FL340" s="1077"/>
      <c r="FM340" s="1077"/>
      <c r="FN340" s="1077"/>
      <c r="FO340" s="1077"/>
      <c r="FP340" s="1077"/>
      <c r="FQ340" s="1077"/>
      <c r="FR340" s="1077"/>
      <c r="FS340" s="1077"/>
      <c r="FT340" s="1077"/>
      <c r="FU340" s="1077"/>
      <c r="FV340" s="1077"/>
      <c r="FW340" s="1077"/>
      <c r="FX340" s="1077"/>
      <c r="FY340" s="1077"/>
      <c r="FZ340" s="1077"/>
      <c r="GA340" s="1077"/>
      <c r="GB340" s="1077"/>
      <c r="GC340" s="1077"/>
      <c r="GD340" s="1077"/>
      <c r="GE340" s="1077"/>
      <c r="GF340" s="1077"/>
      <c r="GG340" s="1077"/>
      <c r="GH340" s="1077"/>
      <c r="GI340" s="1077"/>
      <c r="GJ340" s="1077"/>
      <c r="GK340" s="1077"/>
      <c r="GL340" s="1077"/>
      <c r="GM340" s="1077"/>
      <c r="GN340" s="1077"/>
      <c r="GO340" s="1077"/>
      <c r="GP340" s="1077"/>
      <c r="GQ340" s="1077"/>
      <c r="GR340" s="1077"/>
      <c r="GS340" s="1077"/>
    </row>
    <row r="341" spans="12:201" s="539" customFormat="1" ht="15" customHeight="1">
      <c r="L341" s="1166" t="s">
        <v>3075</v>
      </c>
      <c r="M341" s="1047"/>
      <c r="N341" s="1047"/>
      <c r="O341" s="1047"/>
      <c r="P341" s="1047"/>
      <c r="Q341" s="1047"/>
      <c r="R341" s="1047"/>
      <c r="S341" s="1047"/>
      <c r="T341" s="3059" t="s">
        <v>372</v>
      </c>
      <c r="U341" s="3059"/>
      <c r="V341" s="3059"/>
      <c r="W341" s="3059"/>
      <c r="X341" s="1072"/>
      <c r="Y341" s="1072"/>
      <c r="Z341" s="1072"/>
      <c r="AA341" s="1071" t="s">
        <v>332</v>
      </c>
      <c r="AB341" s="3079" t="str">
        <f>IF(INDEX(calc!$AY$207:$AY$389,MATCH(AB325,calc!$AC$207:$AC$389,1))="","       NA",IF(INDEX(calc!$O$189:$O$196,MATCH(INDEX(calc!$AY$207:$AY$389,MATCH(AB325,calc!$AC$207:$AC$389,1)),calc!$N$189:$N$196,0))=7,"    7",IF(INDEX(calc!$O$189:$O$196,MATCH(INDEX(calc!$AY$207:$AY$389,MATCH(AB325,calc!$AC$207:$AC$389,1)),calc!$N$189:$N$196,0))=6,"    6",INDEX(calc!$O$189:$O$196,MATCH(INDEX(calc!$AY$207:$AY$389,MATCH(AB325,calc!$AC$207:$AC$389,1)),calc!$N$189:$N$196,0))&amp;"~"&amp;INDEX(calc!$P$189:$P$196,MATCH(INDEX(calc!$AY$207:$AY$389,MATCH(AB325,calc!$AC$207:$AC$389,1)),calc!$N$189:$N$196,0)))))</f>
        <v xml:space="preserve">    7</v>
      </c>
      <c r="AC341" s="3080"/>
      <c r="AD341" s="1119" t="str">
        <f>IF(INDEX(calc!$BG$207:$BG$389,MATCH(AB325,calc!$AC$207:$AC$389,1))="","",IF(INDEX(calc!$BG$207:$BG$389,MATCH(AB325,calc!$AC$207:$AC$389,1))=" N","",IF(INDEX(calc!$BG$207:$BG$389,MATCH(AB325,calc!$AC$207:$AC$389,1))="S","SN",IF(INDEX(calc!$BG$207:$BG$389,MATCH(AB325,calc!$AC$207:$AC$389,1))="Z","FZ",IF(INDEX(calc!$BG$207:$BG$389,MATCH(AB325,calc!$AC$207:$AC$389,1))="R","RA",INDEX(calc!$BG$207:$BG$389,MATCH(AB325,calc!$AC$207:$AC$389,1)))))))</f>
        <v/>
      </c>
      <c r="AE341" s="3079" t="str">
        <f>IF(INDEX(calc!$AY$207:$AY$389,MATCH(AE325,calc!$AC$207:$AC$389,1))="","       NA",IF(INDEX(calc!$O$189:$O$196,MATCH(INDEX(calc!$AY$207:$AY$389,MATCH(AE325,calc!$AC$207:$AC$389,1)),calc!$N$189:$N$196,0))=7,"    7",IF(INDEX(calc!$O$189:$O$196,MATCH(INDEX(calc!$AY$207:$AY$389,MATCH(AE325,calc!$AC$207:$AC$389,1)),calc!$N$189:$N$196,0))=6,"    6",INDEX(calc!$O$189:$O$196,MATCH(INDEX(calc!$AY$207:$AY$389,MATCH(AE325,calc!$AC$207:$AC$389,1)),calc!$N$189:$N$196,0))&amp;"~"&amp;INDEX(calc!$P$189:$P$196,MATCH(INDEX(calc!$AY$207:$AY$389,MATCH(AE325,calc!$AC$207:$AC$389,1)),calc!$N$189:$N$196,0)))))</f>
        <v xml:space="preserve">    7</v>
      </c>
      <c r="AF341" s="3080"/>
      <c r="AG341" s="1119" t="str">
        <f>IF(INDEX(calc!$BG$207:$BG$389,MATCH(AE325,calc!$AC$207:$AC$389,1))="","",IF(INDEX(calc!$BG$207:$BG$389,MATCH(AE325,calc!$AC$207:$AC$389,1))=" N","",IF(INDEX(calc!$BG$207:$BG$389,MATCH(AE325,calc!$AC$207:$AC$389,1))="S","SN",IF(INDEX(calc!$BG$207:$BG$389,MATCH(AE325,calc!$AC$207:$AC$389,1))="Z","FZ",IF(INDEX(calc!$BG$207:$BG$389,MATCH(AE325,calc!$AC$207:$AC$389,1))="R","RA",INDEX(calc!$BG$207:$BG$389,MATCH(AE325,calc!$AC$207:$AC$389,1)))))))</f>
        <v/>
      </c>
      <c r="AH341" s="3079" t="str">
        <f>IF(INDEX(calc!$AY$207:$AY$389,MATCH(AH325,calc!$AC$207:$AC$389,1))="","       NA",IF(INDEX(calc!$O$189:$O$196,MATCH(INDEX(calc!$AY$207:$AY$389,MATCH(AH325,calc!$AC$207:$AC$389,1)),calc!$N$189:$N$196,0))=7,"    7",IF(INDEX(calc!$O$189:$O$196,MATCH(INDEX(calc!$AY$207:$AY$389,MATCH(AH325,calc!$AC$207:$AC$389,1)),calc!$N$189:$N$196,0))=6,"    6",INDEX(calc!$O$189:$O$196,MATCH(INDEX(calc!$AY$207:$AY$389,MATCH(AH325,calc!$AC$207:$AC$389,1)),calc!$N$189:$N$196,0))&amp;"~"&amp;INDEX(calc!$P$189:$P$196,MATCH(INDEX(calc!$AY$207:$AY$389,MATCH(AH325,calc!$AC$207:$AC$389,1)),calc!$N$189:$N$196,0)))))</f>
        <v xml:space="preserve">    7</v>
      </c>
      <c r="AI341" s="3080"/>
      <c r="AJ341" s="1119" t="str">
        <f>IF(INDEX(calc!$BG$207:$BG$389,MATCH(AH325,calc!$AC$207:$AC$389,1))="","",IF(INDEX(calc!$BG$207:$BG$389,MATCH(AH325,calc!$AC$207:$AC$389,1))=" N","",IF(INDEX(calc!$BG$207:$BG$389,MATCH(AH325,calc!$AC$207:$AC$389,1))="S","SN",IF(INDEX(calc!$BG$207:$BG$389,MATCH(AH325,calc!$AC$207:$AC$389,1))="Z","FZ",IF(INDEX(calc!$BG$207:$BG$389,MATCH(AH325,calc!$AC$207:$AC$389,1))="R","RA",INDEX(calc!$BG$207:$BG$389,MATCH(AH325,calc!$AC$207:$AC$389,1)))))))</f>
        <v/>
      </c>
      <c r="AK341" s="3079" t="str">
        <f>IF(INDEX(calc!$AY$207:$AY$389,MATCH(AK325,calc!$AC$207:$AC$389,1))="","       NA",IF(INDEX(calc!$O$189:$O$196,MATCH(INDEX(calc!$AY$207:$AY$389,MATCH(AK325,calc!$AC$207:$AC$389,1)),calc!$N$189:$N$196,0))=7,"    7",IF(INDEX(calc!$O$189:$O$196,MATCH(INDEX(calc!$AY$207:$AY$389,MATCH(AK325,calc!$AC$207:$AC$389,1)),calc!$N$189:$N$196,0))=6,"    6",INDEX(calc!$O$189:$O$196,MATCH(INDEX(calc!$AY$207:$AY$389,MATCH(AK325,calc!$AC$207:$AC$389,1)),calc!$N$189:$N$196,0))&amp;"~"&amp;INDEX(calc!$P$189:$P$196,MATCH(INDEX(calc!$AY$207:$AY$389,MATCH(AK325,calc!$AC$207:$AC$389,1)),calc!$N$189:$N$196,0)))))</f>
        <v xml:space="preserve">    7</v>
      </c>
      <c r="AL341" s="3080"/>
      <c r="AM341" s="1119" t="str">
        <f>IF(INDEX(calc!$BG$207:$BG$389,MATCH(AK325,calc!$AC$207:$AC$389,1))="","",IF(INDEX(calc!$BG$207:$BG$389,MATCH(AK325,calc!$AC$207:$AC$389,1))=" N","",IF(INDEX(calc!$BG$207:$BG$389,MATCH(AK325,calc!$AC$207:$AC$389,1))="S","SN",IF(INDEX(calc!$BG$207:$BG$389,MATCH(AK325,calc!$AC$207:$AC$389,1))="Z","FZ",IF(INDEX(calc!$BG$207:$BG$389,MATCH(AK325,calc!$AC$207:$AC$389,1))="R","RA",INDEX(calc!$BG$207:$BG$389,MATCH(AK325,calc!$AC$207:$AC$389,1)))))))</f>
        <v/>
      </c>
      <c r="AN341" s="3079" t="str">
        <f>IF(INDEX(calc!$AY$207:$AY$389,MATCH(AN325,calc!$AC$207:$AC$389,1))="","       NA",IF(INDEX(calc!$O$189:$O$196,MATCH(INDEX(calc!$AY$207:$AY$389,MATCH(AN325,calc!$AC$207:$AC$389,1)),calc!$N$189:$N$196,0))=7,"    7",IF(INDEX(calc!$O$189:$O$196,MATCH(INDEX(calc!$AY$207:$AY$389,MATCH(AN325,calc!$AC$207:$AC$389,1)),calc!$N$189:$N$196,0))=6,"    6",INDEX(calc!$O$189:$O$196,MATCH(INDEX(calc!$AY$207:$AY$389,MATCH(AN325,calc!$AC$207:$AC$389,1)),calc!$N$189:$N$196,0))&amp;"~"&amp;INDEX(calc!$P$189:$P$196,MATCH(INDEX(calc!$AY$207:$AY$389,MATCH(AN325,calc!$AC$207:$AC$389,1)),calc!$N$189:$N$196,0)))))</f>
        <v xml:space="preserve">    7</v>
      </c>
      <c r="AO341" s="3080"/>
      <c r="AP341" s="1119" t="str">
        <f>IF(INDEX(calc!$BG$207:$BG$389,MATCH(AN325,calc!$AC$207:$AC$389,1))="","",IF(INDEX(calc!$BG$207:$BG$389,MATCH(AN325,calc!$AC$207:$AC$389,1))=" N","",IF(INDEX(calc!$BG$207:$BG$389,MATCH(AN325,calc!$AC$207:$AC$389,1))="S","SN",IF(INDEX(calc!$BG$207:$BG$389,MATCH(AN325,calc!$AC$207:$AC$389,1))="Z","FZ",IF(INDEX(calc!$BG$207:$BG$389,MATCH(AN325,calc!$AC$207:$AC$389,1))="R","RA",INDEX(calc!$BG$207:$BG$389,MATCH(AN325,calc!$AC$207:$AC$389,1)))))))</f>
        <v/>
      </c>
      <c r="AQ341" s="3079" t="str">
        <f>IF(INDEX(calc!$AY$207:$AY$389,MATCH(AQ325,calc!$AC$207:$AC$389,1))="","       NA",IF(INDEX(calc!$O$189:$O$196,MATCH(INDEX(calc!$AY$207:$AY$389,MATCH(AQ325,calc!$AC$207:$AC$389,1)),calc!$N$189:$N$196,0))=7,"    7",IF(INDEX(calc!$O$189:$O$196,MATCH(INDEX(calc!$AY$207:$AY$389,MATCH(AQ325,calc!$AC$207:$AC$389,1)),calc!$N$189:$N$196,0))=6,"    6",INDEX(calc!$O$189:$O$196,MATCH(INDEX(calc!$AY$207:$AY$389,MATCH(AQ325,calc!$AC$207:$AC$389,1)),calc!$N$189:$N$196,0))&amp;"~"&amp;INDEX(calc!$P$189:$P$196,MATCH(INDEX(calc!$AY$207:$AY$389,MATCH(AQ325,calc!$AC$207:$AC$389,1)),calc!$N$189:$N$196,0)))))</f>
        <v xml:space="preserve">    7</v>
      </c>
      <c r="AR341" s="3080"/>
      <c r="AS341" s="1119" t="str">
        <f>IF(INDEX(calc!$BG$207:$BG$389,MATCH(AQ325,calc!$AC$207:$AC$389,1))="","",IF(INDEX(calc!$BG$207:$BG$389,MATCH(AQ325,calc!$AC$207:$AC$389,1))=" N","",IF(INDEX(calc!$BG$207:$BG$389,MATCH(AQ325,calc!$AC$207:$AC$389,1))="S","SN",IF(INDEX(calc!$BG$207:$BG$389,MATCH(AQ325,calc!$AC$207:$AC$389,1))="Z","FZ",IF(INDEX(calc!$BG$207:$BG$389,MATCH(AQ325,calc!$AC$207:$AC$389,1))="R","RA",INDEX(calc!$BG$207:$BG$389,MATCH(AQ325,calc!$AC$207:$AC$389,1)))))))</f>
        <v/>
      </c>
      <c r="AT341" s="3079" t="str">
        <f>IF(INDEX(calc!$AY$207:$AY$389,MATCH(AT325,calc!$AC$207:$AC$389,1))="","       NA",IF(INDEX(calc!$O$189:$O$196,MATCH(INDEX(calc!$AY$207:$AY$389,MATCH(AT325,calc!$AC$207:$AC$389,1)),calc!$N$189:$N$196,0))=7,"    7",IF(INDEX(calc!$O$189:$O$196,MATCH(INDEX(calc!$AY$207:$AY$389,MATCH(AT325,calc!$AC$207:$AC$389,1)),calc!$N$189:$N$196,0))=6,"    6",INDEX(calc!$O$189:$O$196,MATCH(INDEX(calc!$AY$207:$AY$389,MATCH(AT325,calc!$AC$207:$AC$389,1)),calc!$N$189:$N$196,0))&amp;"~"&amp;INDEX(calc!$P$189:$P$196,MATCH(INDEX(calc!$AY$207:$AY$389,MATCH(AT325,calc!$AC$207:$AC$389,1)),calc!$N$189:$N$196,0)))))</f>
        <v xml:space="preserve">    7</v>
      </c>
      <c r="AU341" s="3080"/>
      <c r="AV341" s="1119" t="str">
        <f>IF(INDEX(calc!$BG$207:$BG$389,MATCH(AT325,calc!$AC$207:$AC$389,1))="","",IF(INDEX(calc!$BG$207:$BG$389,MATCH(AT325,calc!$AC$207:$AC$389,1))=" N","",IF(INDEX(calc!$BG$207:$BG$389,MATCH(AT325,calc!$AC$207:$AC$389,1))="S","SN",IF(INDEX(calc!$BG$207:$BG$389,MATCH(AT325,calc!$AC$207:$AC$389,1))="Z","FZ",IF(INDEX(calc!$BG$207:$BG$389,MATCH(AT325,calc!$AC$207:$AC$389,1))="R","RA",INDEX(calc!$BG$207:$BG$389,MATCH(AT325,calc!$AC$207:$AC$389,1)))))))</f>
        <v/>
      </c>
      <c r="AW341" s="3079" t="str">
        <f>IF(INDEX(calc!$AY$207:$AY$389,MATCH(AW325,calc!$AC$207:$AC$389,1))="","       NA",IF(INDEX(calc!$O$189:$O$196,MATCH(INDEX(calc!$AY$207:$AY$389,MATCH(AW325,calc!$AC$207:$AC$389,1)),calc!$N$189:$N$196,0))=7,"    7",IF(INDEX(calc!$O$189:$O$196,MATCH(INDEX(calc!$AY$207:$AY$389,MATCH(AW325,calc!$AC$207:$AC$389,1)),calc!$N$189:$N$196,0))=6,"    6",INDEX(calc!$O$189:$O$196,MATCH(INDEX(calc!$AY$207:$AY$389,MATCH(AW325,calc!$AC$207:$AC$389,1)),calc!$N$189:$N$196,0))&amp;"~"&amp;INDEX(calc!$P$189:$P$196,MATCH(INDEX(calc!$AY$207:$AY$389,MATCH(AW325,calc!$AC$207:$AC$389,1)),calc!$N$189:$N$196,0)))))</f>
        <v xml:space="preserve">    7</v>
      </c>
      <c r="AX341" s="3080"/>
      <c r="AY341" s="1119" t="str">
        <f>IF(INDEX(calc!$BG$207:$BG$389,MATCH(AW325,calc!$AC$207:$AC$389,1))="","",IF(INDEX(calc!$BG$207:$BG$389,MATCH(AW325,calc!$AC$207:$AC$389,1))=" N","",IF(INDEX(calc!$BG$207:$BG$389,MATCH(AW325,calc!$AC$207:$AC$389,1))="S","SN",IF(INDEX(calc!$BG$207:$BG$389,MATCH(AW325,calc!$AC$207:$AC$389,1))="Z","FZ",IF(INDEX(calc!$BG$207:$BG$389,MATCH(AW325,calc!$AC$207:$AC$389,1))="R","RA",INDEX(calc!$BG$207:$BG$389,MATCH(AW325,calc!$AC$207:$AC$389,1)))))))</f>
        <v/>
      </c>
      <c r="AZ341" s="3079" t="str">
        <f>IF(INDEX(calc!$AY$207:$AY$389,MATCH(AZ325,calc!$AC$207:$AC$389,1))="","       NA",IF(INDEX(calc!$O$189:$O$196,MATCH(INDEX(calc!$AY$207:$AY$389,MATCH(AZ325,calc!$AC$207:$AC$389,1)),calc!$N$189:$N$196,0))=7,"    7",IF(INDEX(calc!$O$189:$O$196,MATCH(INDEX(calc!$AY$207:$AY$389,MATCH(AZ325,calc!$AC$207:$AC$389,1)),calc!$N$189:$N$196,0))=6,"    6",INDEX(calc!$O$189:$O$196,MATCH(INDEX(calc!$AY$207:$AY$389,MATCH(AZ325,calc!$AC$207:$AC$389,1)),calc!$N$189:$N$196,0))&amp;"~"&amp;INDEX(calc!$P$189:$P$196,MATCH(INDEX(calc!$AY$207:$AY$389,MATCH(AZ325,calc!$AC$207:$AC$389,1)),calc!$N$189:$N$196,0)))))</f>
        <v xml:space="preserve">    7</v>
      </c>
      <c r="BA341" s="3080"/>
      <c r="BB341" s="1119" t="str">
        <f>IF(INDEX(calc!$BG$207:$BG$389,MATCH(AZ325,calc!$AC$207:$AC$389,1))="","",IF(INDEX(calc!$BG$207:$BG$389,MATCH(AZ325,calc!$AC$207:$AC$389,1))=" N","",IF(INDEX(calc!$BG$207:$BG$389,MATCH(AZ325,calc!$AC$207:$AC$389,1))="S","SN",IF(INDEX(calc!$BG$207:$BG$389,MATCH(AZ325,calc!$AC$207:$AC$389,1))="Z","FZ",IF(INDEX(calc!$BG$207:$BG$389,MATCH(AZ325,calc!$AC$207:$AC$389,1))="R","RA",INDEX(calc!$BG$207:$BG$389,MATCH(AZ325,calc!$AC$207:$AC$389,1)))))))</f>
        <v/>
      </c>
      <c r="BC341" s="3079" t="str">
        <f>IF(INDEX(calc!$AY$207:$AY$389,MATCH(BC325,calc!$AC$207:$AC$389,1))="","       NA",IF(INDEX(calc!$O$189:$O$196,MATCH(INDEX(calc!$AY$207:$AY$389,MATCH(BC325,calc!$AC$207:$AC$389,1)),calc!$N$189:$N$196,0))=7,"    7",IF(INDEX(calc!$O$189:$O$196,MATCH(INDEX(calc!$AY$207:$AY$389,MATCH(BC325,calc!$AC$207:$AC$389,1)),calc!$N$189:$N$196,0))=6,"    6",INDEX(calc!$O$189:$O$196,MATCH(INDEX(calc!$AY$207:$AY$389,MATCH(BC325,calc!$AC$207:$AC$389,1)),calc!$N$189:$N$196,0))&amp;"~"&amp;INDEX(calc!$P$189:$P$196,MATCH(INDEX(calc!$AY$207:$AY$389,MATCH(BC325,calc!$AC$207:$AC$389,1)),calc!$N$189:$N$196,0)))))</f>
        <v xml:space="preserve">    7</v>
      </c>
      <c r="BD341" s="3080"/>
      <c r="BE341" s="1119" t="str">
        <f>IF(INDEX(calc!$BG$207:$BG$389,MATCH(BC325,calc!$AC$207:$AC$389,1))="","",IF(INDEX(calc!$BG$207:$BG$389,MATCH(BC325,calc!$AC$207:$AC$389,1))=" N","",IF(INDEX(calc!$BG$207:$BG$389,MATCH(BC325,calc!$AC$207:$AC$389,1))="S","SN",IF(INDEX(calc!$BG$207:$BG$389,MATCH(BC325,calc!$AC$207:$AC$389,1))="Z","FZ",IF(INDEX(calc!$BG$207:$BG$389,MATCH(BC325,calc!$AC$207:$AC$389,1))="R","RA",INDEX(calc!$BG$207:$BG$389,MATCH(BC325,calc!$AC$207:$AC$389,1)))))))</f>
        <v/>
      </c>
      <c r="BF341" s="3079" t="str">
        <f>IF(INDEX(calc!$AY$207:$AY$389,MATCH(BF325,calc!$AC$207:$AC$389,1))="","       NA",IF(INDEX(calc!$O$189:$O$196,MATCH(INDEX(calc!$AY$207:$AY$389,MATCH(BF325,calc!$AC$207:$AC$389,1)),calc!$N$189:$N$196,0))=7,"    7",IF(INDEX(calc!$O$189:$O$196,MATCH(INDEX(calc!$AY$207:$AY$389,MATCH(BF325,calc!$AC$207:$AC$389,1)),calc!$N$189:$N$196,0))=6,"    6",INDEX(calc!$O$189:$O$196,MATCH(INDEX(calc!$AY$207:$AY$389,MATCH(BF325,calc!$AC$207:$AC$389,1)),calc!$N$189:$N$196,0))&amp;"~"&amp;INDEX(calc!$P$189:$P$196,MATCH(INDEX(calc!$AY$207:$AY$389,MATCH(BF325,calc!$AC$207:$AC$389,1)),calc!$N$189:$N$196,0)))))</f>
        <v xml:space="preserve">    7</v>
      </c>
      <c r="BG341" s="3080"/>
      <c r="BH341" s="1119" t="str">
        <f>IF(INDEX(calc!$BG$207:$BG$389,MATCH(BF325,calc!$AC$207:$AC$389,1))="","",IF(INDEX(calc!$BG$207:$BG$389,MATCH(BF325,calc!$AC$207:$AC$389,1))=" N","",IF(INDEX(calc!$BG$207:$BG$389,MATCH(BF325,calc!$AC$207:$AC$389,1))="S","SN",IF(INDEX(calc!$BG$207:$BG$389,MATCH(BF325,calc!$AC$207:$AC$389,1))="Z","FZ",IF(INDEX(calc!$BG$207:$BG$389,MATCH(BF325,calc!$AC$207:$AC$389,1))="R","RA",INDEX(calc!$BG$207:$BG$389,MATCH(BF325,calc!$AC$207:$AC$389,1)))))))</f>
        <v/>
      </c>
      <c r="BI341" s="3079" t="str">
        <f>IF(INDEX(calc!$AY$207:$AY$389,MATCH(BI325,calc!$AC$207:$AC$389,1))="","       NA",IF(INDEX(calc!$O$189:$O$196,MATCH(INDEX(calc!$AY$207:$AY$389,MATCH(BI325,calc!$AC$207:$AC$389,1)),calc!$N$189:$N$196,0))=7,"    7",IF(INDEX(calc!$O$189:$O$196,MATCH(INDEX(calc!$AY$207:$AY$389,MATCH(BI325,calc!$AC$207:$AC$389,1)),calc!$N$189:$N$196,0))=6,"    6",INDEX(calc!$O$189:$O$196,MATCH(INDEX(calc!$AY$207:$AY$389,MATCH(BI325,calc!$AC$207:$AC$389,1)),calc!$N$189:$N$196,0))&amp;"~"&amp;INDEX(calc!$P$189:$P$196,MATCH(INDEX(calc!$AY$207:$AY$389,MATCH(BI325,calc!$AC$207:$AC$389,1)),calc!$N$189:$N$196,0)))))</f>
        <v xml:space="preserve">    7</v>
      </c>
      <c r="BJ341" s="3080"/>
      <c r="BK341" s="1119" t="str">
        <f>IF(INDEX(calc!$BG$207:$BG$389,MATCH(BI325,calc!$AC$207:$AC$389,1))="","",IF(INDEX(calc!$BG$207:$BG$389,MATCH(BI325,calc!$AC$207:$AC$389,1))=" N","",IF(INDEX(calc!$BG$207:$BG$389,MATCH(BI325,calc!$AC$207:$AC$389,1))="S","SN",IF(INDEX(calc!$BG$207:$BG$389,MATCH(BI325,calc!$AC$207:$AC$389,1))="Z","FZ",IF(INDEX(calc!$BG$207:$BG$389,MATCH(BI325,calc!$AC$207:$AC$389,1))="R","RA",INDEX(calc!$BG$207:$BG$389,MATCH(BI325,calc!$AC$207:$AC$389,1)))))))</f>
        <v/>
      </c>
      <c r="BL341" s="3079" t="str">
        <f>IF(INDEX(calc!$AY$207:$AY$389,MATCH(BL325,calc!$AC$207:$AC$389,1))="","       NA",IF(INDEX(calc!$O$189:$O$196,MATCH(INDEX(calc!$AY$207:$AY$389,MATCH(BL325,calc!$AC$207:$AC$389,1)),calc!$N$189:$N$196,0))=7,"    7",IF(INDEX(calc!$O$189:$O$196,MATCH(INDEX(calc!$AY$207:$AY$389,MATCH(BL325,calc!$AC$207:$AC$389,1)),calc!$N$189:$N$196,0))=6,"    6",INDEX(calc!$O$189:$O$196,MATCH(INDEX(calc!$AY$207:$AY$389,MATCH(BL325,calc!$AC$207:$AC$389,1)),calc!$N$189:$N$196,0))&amp;"~"&amp;INDEX(calc!$P$189:$P$196,MATCH(INDEX(calc!$AY$207:$AY$389,MATCH(BL325,calc!$AC$207:$AC$389,1)),calc!$N$189:$N$196,0)))))</f>
        <v xml:space="preserve">    7</v>
      </c>
      <c r="BM341" s="3080"/>
      <c r="BN341" s="1119" t="str">
        <f>IF(INDEX(calc!$BG$207:$BG$389,MATCH(BL325,calc!$AC$207:$AC$389,1))="","",IF(INDEX(calc!$BG$207:$BG$389,MATCH(BL325,calc!$AC$207:$AC$389,1))=" N","",IF(INDEX(calc!$BG$207:$BG$389,MATCH(BL325,calc!$AC$207:$AC$389,1))="S","SN",IF(INDEX(calc!$BG$207:$BG$389,MATCH(BL325,calc!$AC$207:$AC$389,1))="Z","FZ",IF(INDEX(calc!$BG$207:$BG$389,MATCH(BL325,calc!$AC$207:$AC$389,1))="R","RA",INDEX(calc!$BG$207:$BG$389,MATCH(BL325,calc!$AC$207:$AC$389,1)))))))</f>
        <v/>
      </c>
      <c r="BO341" s="3079" t="str">
        <f>IF(INDEX(calc!$AY$207:$AY$389,MATCH(BO325,calc!$AC$207:$AC$389,1))="","       NA",IF(INDEX(calc!$O$189:$O$196,MATCH(INDEX(calc!$AY$207:$AY$389,MATCH(BO325,calc!$AC$207:$AC$389,1)),calc!$N$189:$N$196,0))=7,"    7",IF(INDEX(calc!$O$189:$O$196,MATCH(INDEX(calc!$AY$207:$AY$389,MATCH(BO325,calc!$AC$207:$AC$389,1)),calc!$N$189:$N$196,0))=6,"    6",INDEX(calc!$O$189:$O$196,MATCH(INDEX(calc!$AY$207:$AY$389,MATCH(BO325,calc!$AC$207:$AC$389,1)),calc!$N$189:$N$196,0))&amp;"~"&amp;INDEX(calc!$P$189:$P$196,MATCH(INDEX(calc!$AY$207:$AY$389,MATCH(BO325,calc!$AC$207:$AC$389,1)),calc!$N$189:$N$196,0)))))</f>
        <v xml:space="preserve">       NA</v>
      </c>
      <c r="BP341" s="3080"/>
      <c r="BQ341" s="1119" t="str">
        <f>IF(INDEX(calc!$BG$207:$BG$389,MATCH(BO325,calc!$AC$207:$AC$389,1))="","",IF(INDEX(calc!$BG$207:$BG$389,MATCH(BO325,calc!$AC$207:$AC$389,1))=" N","",IF(INDEX(calc!$BG$207:$BG$389,MATCH(BO325,calc!$AC$207:$AC$389,1))="S","SN",IF(INDEX(calc!$BG$207:$BG$389,MATCH(BO325,calc!$AC$207:$AC$389,1))="Z","FZ",IF(INDEX(calc!$BG$207:$BG$389,MATCH(BO325,calc!$AC$207:$AC$389,1))="R","RA",INDEX(calc!$BG$207:$BG$389,MATCH(BO325,calc!$AC$207:$AC$389,1)))))))</f>
        <v/>
      </c>
      <c r="BR341" s="3079" t="str">
        <f>IF(INDEX(calc!$AY$207:$AY$389,MATCH(BR325,calc!$AC$207:$AC$389,1))="","       NA",IF(INDEX(calc!$O$189:$O$196,MATCH(INDEX(calc!$AY$207:$AY$389,MATCH(BR325,calc!$AC$207:$AC$389,1)),calc!$N$189:$N$196,0))=7,"    7",IF(INDEX(calc!$O$189:$O$196,MATCH(INDEX(calc!$AY$207:$AY$389,MATCH(BR325,calc!$AC$207:$AC$389,1)),calc!$N$189:$N$196,0))=6,"    6",INDEX(calc!$O$189:$O$196,MATCH(INDEX(calc!$AY$207:$AY$389,MATCH(BR325,calc!$AC$207:$AC$389,1)),calc!$N$189:$N$196,0))&amp;"~"&amp;INDEX(calc!$P$189:$P$196,MATCH(INDEX(calc!$AY$207:$AY$389,MATCH(BR325,calc!$AC$207:$AC$389,1)),calc!$N$189:$N$196,0)))))</f>
        <v xml:space="preserve">       NA</v>
      </c>
      <c r="BS341" s="3080"/>
      <c r="BT341" s="1119" t="str">
        <f>IF(INDEX(calc!$BG$207:$BG$389,MATCH(BR325,calc!$AC$207:$AC$389,1))="","",IF(INDEX(calc!$BG$207:$BG$389,MATCH(BR325,calc!$AC$207:$AC$389,1))=" N","",IF(INDEX(calc!$BG$207:$BG$389,MATCH(BR325,calc!$AC$207:$AC$389,1))="S","SN",IF(INDEX(calc!$BG$207:$BG$389,MATCH(BR325,calc!$AC$207:$AC$389,1))="Z","FZ",IF(INDEX(calc!$BG$207:$BG$389,MATCH(BR325,calc!$AC$207:$AC$389,1))="R","RA",INDEX(calc!$BG$207:$BG$389,MATCH(BR325,calc!$AC$207:$AC$389,1)))))))</f>
        <v/>
      </c>
      <c r="BU341" s="3079" t="str">
        <f>IF(INDEX(calc!$AY$207:$AY$389,MATCH(BU325,calc!$AC$207:$AC$389,1))="","       NA",IF(INDEX(calc!$O$189:$O$196,MATCH(INDEX(calc!$AY$207:$AY$389,MATCH(BU325,calc!$AC$207:$AC$389,1)),calc!$N$189:$N$196,0))=7,"    7",IF(INDEX(calc!$O$189:$O$196,MATCH(INDEX(calc!$AY$207:$AY$389,MATCH(BU325,calc!$AC$207:$AC$389,1)),calc!$N$189:$N$196,0))=6,"    6",INDEX(calc!$O$189:$O$196,MATCH(INDEX(calc!$AY$207:$AY$389,MATCH(BU325,calc!$AC$207:$AC$389,1)),calc!$N$189:$N$196,0))&amp;"~"&amp;INDEX(calc!$P$189:$P$196,MATCH(INDEX(calc!$AY$207:$AY$389,MATCH(BU325,calc!$AC$207:$AC$389,1)),calc!$N$189:$N$196,0)))))</f>
        <v xml:space="preserve">       NA</v>
      </c>
      <c r="BV341" s="3080"/>
      <c r="BW341" s="1119" t="str">
        <f>IF(INDEX(calc!$BG$207:$BG$389,MATCH(BU325,calc!$AC$207:$AC$389,1))="","",IF(INDEX(calc!$BG$207:$BG$389,MATCH(BU325,calc!$AC$207:$AC$389,1))=" N","",IF(INDEX(calc!$BG$207:$BG$389,MATCH(BU325,calc!$AC$207:$AC$389,1))="S","SN",IF(INDEX(calc!$BG$207:$BG$389,MATCH(BU325,calc!$AC$207:$AC$389,1))="Z","FZ",IF(INDEX(calc!$BG$207:$BG$389,MATCH(BU325,calc!$AC$207:$AC$389,1))="R","RA",INDEX(calc!$BG$207:$BG$389,MATCH(BU325,calc!$AC$207:$AC$389,1)))))))</f>
        <v/>
      </c>
      <c r="BX341" s="3079" t="str">
        <f>IF(INDEX(calc!$AY$207:$AY$389,MATCH(BX325,calc!$AC$207:$AC$389,1))="","       NA",IF(INDEX(calc!$O$189:$O$196,MATCH(INDEX(calc!$AY$207:$AY$389,MATCH(BX325,calc!$AC$207:$AC$389,1)),calc!$N$189:$N$196,0))=7,"    7",IF(INDEX(calc!$O$189:$O$196,MATCH(INDEX(calc!$AY$207:$AY$389,MATCH(BX325,calc!$AC$207:$AC$389,1)),calc!$N$189:$N$196,0))=6,"    6",INDEX(calc!$O$189:$O$196,MATCH(INDEX(calc!$AY$207:$AY$389,MATCH(BX325,calc!$AC$207:$AC$389,1)),calc!$N$189:$N$196,0))&amp;"~"&amp;INDEX(calc!$P$189:$P$196,MATCH(INDEX(calc!$AY$207:$AY$389,MATCH(BX325,calc!$AC$207:$AC$389,1)),calc!$N$189:$N$196,0)))))</f>
        <v xml:space="preserve">       NA</v>
      </c>
      <c r="BY341" s="3080"/>
      <c r="BZ341" s="1119" t="str">
        <f>IF(INDEX(calc!$BG$207:$BG$389,MATCH(BX325,calc!$AC$207:$AC$389,1))="","",IF(INDEX(calc!$BG$207:$BG$389,MATCH(BX325,calc!$AC$207:$AC$389,1))=" N","",IF(INDEX(calc!$BG$207:$BG$389,MATCH(BX325,calc!$AC$207:$AC$389,1))="S","SN",IF(INDEX(calc!$BG$207:$BG$389,MATCH(BX325,calc!$AC$207:$AC$389,1))="Z","FZ",IF(INDEX(calc!$BG$207:$BG$389,MATCH(BX325,calc!$AC$207:$AC$389,1))="R","RA",INDEX(calc!$BG$207:$BG$389,MATCH(BX325,calc!$AC$207:$AC$389,1)))))))</f>
        <v/>
      </c>
      <c r="CA341" s="3079" t="str">
        <f>IF(INDEX(calc!$AY$207:$AY$389,MATCH(CA325,calc!$AC$207:$AC$389,1))="","       NA",IF(INDEX(calc!$O$189:$O$196,MATCH(INDEX(calc!$AY$207:$AY$389,MATCH(CA325,calc!$AC$207:$AC$389,1)),calc!$N$189:$N$196,0))=7,"    7",IF(INDEX(calc!$O$189:$O$196,MATCH(INDEX(calc!$AY$207:$AY$389,MATCH(CA325,calc!$AC$207:$AC$389,1)),calc!$N$189:$N$196,0))=6,"    6",INDEX(calc!$O$189:$O$196,MATCH(INDEX(calc!$AY$207:$AY$389,MATCH(CA325,calc!$AC$207:$AC$389,1)),calc!$N$189:$N$196,0))&amp;"~"&amp;INDEX(calc!$P$189:$P$196,MATCH(INDEX(calc!$AY$207:$AY$389,MATCH(CA325,calc!$AC$207:$AC$389,1)),calc!$N$189:$N$196,0)))))</f>
        <v xml:space="preserve">       NA</v>
      </c>
      <c r="CB341" s="3080"/>
      <c r="CC341" s="1119" t="str">
        <f>IF(INDEX(calc!$BG$207:$BG$389,MATCH(CA325,calc!$AC$207:$AC$389,1))="","",IF(INDEX(calc!$BG$207:$BG$389,MATCH(CA325,calc!$AC$207:$AC$389,1))=" N","",IF(INDEX(calc!$BG$207:$BG$389,MATCH(CA325,calc!$AC$207:$AC$389,1))="S","SN",IF(INDEX(calc!$BG$207:$BG$389,MATCH(CA325,calc!$AC$207:$AC$389,1))="Z","FZ",IF(INDEX(calc!$BG$207:$BG$389,MATCH(CA325,calc!$AC$207:$AC$389,1))="R","RA",INDEX(calc!$BG$207:$BG$389,MATCH(CA325,calc!$AC$207:$AC$389,1)))))))</f>
        <v/>
      </c>
      <c r="CD341" s="3079" t="str">
        <f>IF(INDEX(calc!$AY$207:$AY$389,MATCH(CD325,calc!$AC$207:$AC$389,1))="","       NA",IF(INDEX(calc!$O$189:$O$196,MATCH(INDEX(calc!$AY$207:$AY$389,MATCH(CD325,calc!$AC$207:$AC$389,1)),calc!$N$189:$N$196,0))=7,"    7",IF(INDEX(calc!$O$189:$O$196,MATCH(INDEX(calc!$AY$207:$AY$389,MATCH(CD325,calc!$AC$207:$AC$389,1)),calc!$N$189:$N$196,0))=6,"    6",INDEX(calc!$O$189:$O$196,MATCH(INDEX(calc!$AY$207:$AY$389,MATCH(CD325,calc!$AC$207:$AC$389,1)),calc!$N$189:$N$196,0))&amp;"~"&amp;INDEX(calc!$P$189:$P$196,MATCH(INDEX(calc!$AY$207:$AY$389,MATCH(CD325,calc!$AC$207:$AC$389,1)),calc!$N$189:$N$196,0)))))</f>
        <v xml:space="preserve">       NA</v>
      </c>
      <c r="CE341" s="3080"/>
      <c r="CF341" s="1119" t="str">
        <f>IF(INDEX(calc!$BG$207:$BG$389,MATCH(CD325,calc!$AC$207:$AC$389,1))="","",IF(INDEX(calc!$BG$207:$BG$389,MATCH(CD325,calc!$AC$207:$AC$389,1))=" N","",IF(INDEX(calc!$BG$207:$BG$389,MATCH(CD325,calc!$AC$207:$AC$389,1))="S","SN",IF(INDEX(calc!$BG$207:$BG$389,MATCH(CD325,calc!$AC$207:$AC$389,1))="Z","FZ",IF(INDEX(calc!$BG$207:$BG$389,MATCH(CD325,calc!$AC$207:$AC$389,1))="R","RA",INDEX(calc!$BG$207:$BG$389,MATCH(CD325,calc!$AC$207:$AC$389,1)))))))</f>
        <v/>
      </c>
      <c r="CG341" s="3079" t="str">
        <f>IF(INDEX(calc!$AY$207:$AY$389,MATCH(CG325,calc!$AC$207:$AC$389,1))="","       NA",IF(INDEX(calc!$O$189:$O$196,MATCH(INDEX(calc!$AY$207:$AY$389,MATCH(CG325,calc!$AC$207:$AC$389,1)),calc!$N$189:$N$196,0))=7,"    7",IF(INDEX(calc!$O$189:$O$196,MATCH(INDEX(calc!$AY$207:$AY$389,MATCH(CG325,calc!$AC$207:$AC$389,1)),calc!$N$189:$N$196,0))=6,"    6",INDEX(calc!$O$189:$O$196,MATCH(INDEX(calc!$AY$207:$AY$389,MATCH(CG325,calc!$AC$207:$AC$389,1)),calc!$N$189:$N$196,0))&amp;"~"&amp;INDEX(calc!$P$189:$P$196,MATCH(INDEX(calc!$AY$207:$AY$389,MATCH(CG325,calc!$AC$207:$AC$389,1)),calc!$N$189:$N$196,0)))))</f>
        <v xml:space="preserve">       NA</v>
      </c>
      <c r="CH341" s="3080"/>
      <c r="CI341" s="1119" t="str">
        <f>IF(INDEX(calc!$BG$207:$BG$389,MATCH(CG325,calc!$AC$207:$AC$389,1))="","",IF(INDEX(calc!$BG$207:$BG$389,MATCH(CG325,calc!$AC$207:$AC$389,1))=" N","",IF(INDEX(calc!$BG$207:$BG$389,MATCH(CG325,calc!$AC$207:$AC$389,1))="S","SN",IF(INDEX(calc!$BG$207:$BG$389,MATCH(CG325,calc!$AC$207:$AC$389,1))="Z","FZ",IF(INDEX(calc!$BG$207:$BG$389,MATCH(CG325,calc!$AC$207:$AC$389,1))="R","RA",INDEX(calc!$BG$207:$BG$389,MATCH(CG325,calc!$AC$207:$AC$389,1)))))))</f>
        <v/>
      </c>
      <c r="CJ341" s="3079" t="str">
        <f>IF(INDEX(calc!$AY$207:$AY$389,MATCH(CJ325,calc!$AC$207:$AC$389,1))="","       NA",IF(INDEX(calc!$O$189:$O$196,MATCH(INDEX(calc!$AY$207:$AY$389,MATCH(CJ325,calc!$AC$207:$AC$389,1)),calc!$N$189:$N$196,0))=7,"    7",IF(INDEX(calc!$O$189:$O$196,MATCH(INDEX(calc!$AY$207:$AY$389,MATCH(CJ325,calc!$AC$207:$AC$389,1)),calc!$N$189:$N$196,0))=6,"    6",INDEX(calc!$O$189:$O$196,MATCH(INDEX(calc!$AY$207:$AY$389,MATCH(CJ325,calc!$AC$207:$AC$389,1)),calc!$N$189:$N$196,0))&amp;"~"&amp;INDEX(calc!$P$189:$P$196,MATCH(INDEX(calc!$AY$207:$AY$389,MATCH(CJ325,calc!$AC$207:$AC$389,1)),calc!$N$189:$N$196,0)))))</f>
        <v xml:space="preserve">       NA</v>
      </c>
      <c r="CK341" s="3080"/>
      <c r="CL341" s="1119" t="str">
        <f>IF(INDEX(calc!$BG$207:$BG$389,MATCH(CJ325,calc!$AC$207:$AC$389,1))="","",IF(INDEX(calc!$BG$207:$BG$389,MATCH(CJ325,calc!$AC$207:$AC$389,1))=" N","",IF(INDEX(calc!$BG$207:$BG$389,MATCH(CJ325,calc!$AC$207:$AC$389,1))="S","SN",IF(INDEX(calc!$BG$207:$BG$389,MATCH(CJ325,calc!$AC$207:$AC$389,1))="Z","FZ",IF(INDEX(calc!$BG$207:$BG$389,MATCH(CJ325,calc!$AC$207:$AC$389,1))="R","RA",INDEX(calc!$BG$207:$BG$389,MATCH(CJ325,calc!$AC$207:$AC$389,1)))))))</f>
        <v/>
      </c>
      <c r="CM341" s="3079" t="str">
        <f>IF(INDEX(calc!$AY$207:$AY$389,MATCH(CM325,calc!$AC$207:$AC$389,1))="","       NA",IF(INDEX(calc!$O$189:$O$196,MATCH(INDEX(calc!$AY$207:$AY$389,MATCH(CM325,calc!$AC$207:$AC$389,1)),calc!$N$189:$N$196,0))=7,"    7",IF(INDEX(calc!$O$189:$O$196,MATCH(INDEX(calc!$AY$207:$AY$389,MATCH(CM325,calc!$AC$207:$AC$389,1)),calc!$N$189:$N$196,0))=6,"    6",INDEX(calc!$O$189:$O$196,MATCH(INDEX(calc!$AY$207:$AY$389,MATCH(CM325,calc!$AC$207:$AC$389,1)),calc!$N$189:$N$196,0))&amp;"~"&amp;INDEX(calc!$P$189:$P$196,MATCH(INDEX(calc!$AY$207:$AY$389,MATCH(CM325,calc!$AC$207:$AC$389,1)),calc!$N$189:$N$196,0)))))</f>
        <v xml:space="preserve">       NA</v>
      </c>
      <c r="CN341" s="3080"/>
      <c r="CO341" s="1119" t="str">
        <f>IF(INDEX(calc!$BG$207:$BG$389,MATCH(CM325,calc!$AC$207:$AC$389,1))="","",IF(INDEX(calc!$BG$207:$BG$389,MATCH(CM325,calc!$AC$207:$AC$389,1))=" N","",IF(INDEX(calc!$BG$207:$BG$389,MATCH(CM325,calc!$AC$207:$AC$389,1))="S","SN",IF(INDEX(calc!$BG$207:$BG$389,MATCH(CM325,calc!$AC$207:$AC$389,1))="Z","FZ",IF(INDEX(calc!$BG$207:$BG$389,MATCH(CM325,calc!$AC$207:$AC$389,1))="R","RA",INDEX(calc!$BG$207:$BG$389,MATCH(CM325,calc!$AC$207:$AC$389,1)))))))</f>
        <v/>
      </c>
      <c r="CP341" s="3079" t="str">
        <f>IF(INDEX(calc!$AY$207:$AY$389,MATCH(CP325,calc!$AC$207:$AC$389,1))="","       NA",IF(INDEX(calc!$O$189:$O$196,MATCH(INDEX(calc!$AY$207:$AY$389,MATCH(CP325,calc!$AC$207:$AC$389,1)),calc!$N$189:$N$196,0))=7,"    7",IF(INDEX(calc!$O$189:$O$196,MATCH(INDEX(calc!$AY$207:$AY$389,MATCH(CP325,calc!$AC$207:$AC$389,1)),calc!$N$189:$N$196,0))=6,"    6",INDEX(calc!$O$189:$O$196,MATCH(INDEX(calc!$AY$207:$AY$389,MATCH(CP325,calc!$AC$207:$AC$389,1)),calc!$N$189:$N$196,0))&amp;"~"&amp;INDEX(calc!$P$189:$P$196,MATCH(INDEX(calc!$AY$207:$AY$389,MATCH(CP325,calc!$AC$207:$AC$389,1)),calc!$N$189:$N$196,0)))))</f>
        <v xml:space="preserve">       NA</v>
      </c>
      <c r="CQ341" s="3080"/>
      <c r="CR341" s="1119" t="str">
        <f>IF(INDEX(calc!$BG$207:$BG$389,MATCH(CP325,calc!$AC$207:$AC$389,1))="","",IF(INDEX(calc!$BG$207:$BG$389,MATCH(CP325,calc!$AC$207:$AC$389,1))=" N","",IF(INDEX(calc!$BG$207:$BG$389,MATCH(CP325,calc!$AC$207:$AC$389,1))="S","SN",IF(INDEX(calc!$BG$207:$BG$389,MATCH(CP325,calc!$AC$207:$AC$389,1))="Z","FZ",IF(INDEX(calc!$BG$207:$BG$389,MATCH(CP325,calc!$AC$207:$AC$389,1))="R","RA",INDEX(calc!$BG$207:$BG$389,MATCH(CP325,calc!$AC$207:$AC$389,1)))))))</f>
        <v/>
      </c>
      <c r="CS341" s="3079" t="str">
        <f>IF(INDEX(calc!$AY$207:$AY$389,MATCH(CS325,calc!$AC$207:$AC$389,1))="","       NA",IF(INDEX(calc!$O$189:$O$196,MATCH(INDEX(calc!$AY$207:$AY$389,MATCH(CS325,calc!$AC$207:$AC$389,1)),calc!$N$189:$N$196,0))=7,"    7",IF(INDEX(calc!$O$189:$O$196,MATCH(INDEX(calc!$AY$207:$AY$389,MATCH(CS325,calc!$AC$207:$AC$389,1)),calc!$N$189:$N$196,0))=6,"    6",INDEX(calc!$O$189:$O$196,MATCH(INDEX(calc!$AY$207:$AY$389,MATCH(CS325,calc!$AC$207:$AC$389,1)),calc!$N$189:$N$196,0))&amp;"~"&amp;INDEX(calc!$P$189:$P$196,MATCH(INDEX(calc!$AY$207:$AY$389,MATCH(CS325,calc!$AC$207:$AC$389,1)),calc!$N$189:$N$196,0)))))</f>
        <v xml:space="preserve">       NA</v>
      </c>
      <c r="CT341" s="3080"/>
      <c r="CU341" s="1119" t="str">
        <f>IF(INDEX(calc!$BG$207:$BG$389,MATCH(CS325,calc!$AC$207:$AC$389,1))="","",IF(INDEX(calc!$BG$207:$BG$389,MATCH(CS325,calc!$AC$207:$AC$389,1))=" N","",IF(INDEX(calc!$BG$207:$BG$389,MATCH(CS325,calc!$AC$207:$AC$389,1))="S","SN",IF(INDEX(calc!$BG$207:$BG$389,MATCH(CS325,calc!$AC$207:$AC$389,1))="Z","FZ",IF(INDEX(calc!$BG$207:$BG$389,MATCH(CS325,calc!$AC$207:$AC$389,1))="R","RA",INDEX(calc!$BG$207:$BG$389,MATCH(CS325,calc!$AC$207:$AC$389,1)))))))</f>
        <v/>
      </c>
      <c r="CV341" s="3079" t="str">
        <f>IF(INDEX(calc!$AY$207:$AY$389,MATCH(CV325,calc!$AC$207:$AC$389,1))="","       NA",IF(INDEX(calc!$O$189:$O$196,MATCH(INDEX(calc!$AY$207:$AY$389,MATCH(CV325,calc!$AC$207:$AC$389,1)),calc!$N$189:$N$196,0))=7,"    7",IF(INDEX(calc!$O$189:$O$196,MATCH(INDEX(calc!$AY$207:$AY$389,MATCH(CV325,calc!$AC$207:$AC$389,1)),calc!$N$189:$N$196,0))=6,"    6",INDEX(calc!$O$189:$O$196,MATCH(INDEX(calc!$AY$207:$AY$389,MATCH(CV325,calc!$AC$207:$AC$389,1)),calc!$N$189:$N$196,0))&amp;"~"&amp;INDEX(calc!$P$189:$P$196,MATCH(INDEX(calc!$AY$207:$AY$389,MATCH(CV325,calc!$AC$207:$AC$389,1)),calc!$N$189:$N$196,0)))))</f>
        <v xml:space="preserve">       NA</v>
      </c>
      <c r="CW341" s="3080"/>
      <c r="CX341" s="1119" t="str">
        <f>IF(INDEX(calc!$BG$207:$BG$389,MATCH(CV325,calc!$AC$207:$AC$389,1))="","",IF(INDEX(calc!$BG$207:$BG$389,MATCH(CV325,calc!$AC$207:$AC$389,1))=" N","",IF(INDEX(calc!$BG$207:$BG$389,MATCH(CV325,calc!$AC$207:$AC$389,1))="S","SN",IF(INDEX(calc!$BG$207:$BG$389,MATCH(CV325,calc!$AC$207:$AC$389,1))="Z","FZ",IF(INDEX(calc!$BG$207:$BG$389,MATCH(CV325,calc!$AC$207:$AC$389,1))="R","RA",INDEX(calc!$BG$207:$BG$389,MATCH(CV325,calc!$AC$207:$AC$389,1)))))))</f>
        <v/>
      </c>
      <c r="CY341" s="3079" t="str">
        <f>IF(INDEX(calc!$AY$207:$AY$389,MATCH(CY325,calc!$AC$207:$AC$389,1))="","       NA",IF(INDEX(calc!$O$189:$O$196,MATCH(INDEX(calc!$AY$207:$AY$389,MATCH(CY325,calc!$AC$207:$AC$389,1)),calc!$N$189:$N$196,0))=7,"    7",IF(INDEX(calc!$O$189:$O$196,MATCH(INDEX(calc!$AY$207:$AY$389,MATCH(CY325,calc!$AC$207:$AC$389,1)),calc!$N$189:$N$196,0))=6,"    6",INDEX(calc!$O$189:$O$196,MATCH(INDEX(calc!$AY$207:$AY$389,MATCH(CY325,calc!$AC$207:$AC$389,1)),calc!$N$189:$N$196,0))&amp;"~"&amp;INDEX(calc!$P$189:$P$196,MATCH(INDEX(calc!$AY$207:$AY$389,MATCH(CY325,calc!$AC$207:$AC$389,1)),calc!$N$189:$N$196,0)))))</f>
        <v xml:space="preserve">       NA</v>
      </c>
      <c r="CZ341" s="3080"/>
      <c r="DA341" s="1119" t="str">
        <f>IF(INDEX(calc!$BG$207:$BG$389,MATCH(CY325,calc!$AC$207:$AC$389,1))="","",IF(INDEX(calc!$BG$207:$BG$389,MATCH(CY325,calc!$AC$207:$AC$389,1))=" N","",IF(INDEX(calc!$BG$207:$BG$389,MATCH(CY325,calc!$AC$207:$AC$389,1))="S","SN",IF(INDEX(calc!$BG$207:$BG$389,MATCH(CY325,calc!$AC$207:$AC$389,1))="Z","FZ",IF(INDEX(calc!$BG$207:$BG$389,MATCH(CY325,calc!$AC$207:$AC$389,1))="R","RA",INDEX(calc!$BG$207:$BG$389,MATCH(CY325,calc!$AC$207:$AC$389,1)))))))</f>
        <v/>
      </c>
      <c r="DB341" s="3079" t="str">
        <f>IF(INDEX(calc!$AY$207:$AY$389,MATCH(DB325,calc!$AC$207:$AC$389,1))="","       NA",IF(INDEX(calc!$O$189:$O$196,MATCH(INDEX(calc!$AY$207:$AY$389,MATCH(DB325,calc!$AC$207:$AC$389,1)),calc!$N$189:$N$196,0))=7,"    7",IF(INDEX(calc!$O$189:$O$196,MATCH(INDEX(calc!$AY$207:$AY$389,MATCH(DB325,calc!$AC$207:$AC$389,1)),calc!$N$189:$N$196,0))=6,"    6",INDEX(calc!$O$189:$O$196,MATCH(INDEX(calc!$AY$207:$AY$389,MATCH(DB325,calc!$AC$207:$AC$389,1)),calc!$N$189:$N$196,0))&amp;"~"&amp;INDEX(calc!$P$189:$P$196,MATCH(INDEX(calc!$AY$207:$AY$389,MATCH(DB325,calc!$AC$207:$AC$389,1)),calc!$N$189:$N$196,0)))))</f>
        <v xml:space="preserve">       NA</v>
      </c>
      <c r="DC341" s="3080"/>
      <c r="DD341" s="1119" t="str">
        <f>IF(INDEX(calc!$BG$207:$BG$389,MATCH(DB325,calc!$AC$207:$AC$389,1))="","",IF(INDEX(calc!$BG$207:$BG$389,MATCH(DB325,calc!$AC$207:$AC$389,1))=" N","",IF(INDEX(calc!$BG$207:$BG$389,MATCH(DB325,calc!$AC$207:$AC$389,1))="S","SN",IF(INDEX(calc!$BG$207:$BG$389,MATCH(DB325,calc!$AC$207:$AC$389,1))="Z","FZ",IF(INDEX(calc!$BG$207:$BG$389,MATCH(DB325,calc!$AC$207:$AC$389,1))="R","RA",INDEX(calc!$BG$207:$BG$389,MATCH(DB325,calc!$AC$207:$AC$389,1)))))))</f>
        <v/>
      </c>
      <c r="DE341" s="3079" t="str">
        <f>IF(INDEX(calc!$AY$207:$AY$389,MATCH(DE325,calc!$AC$207:$AC$389,1))="","       NA",IF(INDEX(calc!$O$189:$O$196,MATCH(INDEX(calc!$AY$207:$AY$389,MATCH(DE325,calc!$AC$207:$AC$389,1)),calc!$N$189:$N$196,0))=7,"    7",IF(INDEX(calc!$O$189:$O$196,MATCH(INDEX(calc!$AY$207:$AY$389,MATCH(DE325,calc!$AC$207:$AC$389,1)),calc!$N$189:$N$196,0))=6,"    6",INDEX(calc!$O$189:$O$196,MATCH(INDEX(calc!$AY$207:$AY$389,MATCH(DE325,calc!$AC$207:$AC$389,1)),calc!$N$189:$N$196,0))&amp;"~"&amp;INDEX(calc!$P$189:$P$196,MATCH(INDEX(calc!$AY$207:$AY$389,MATCH(DE325,calc!$AC$207:$AC$389,1)),calc!$N$189:$N$196,0)))))</f>
        <v xml:space="preserve">       NA</v>
      </c>
      <c r="DF341" s="3080"/>
      <c r="DG341" s="1119" t="str">
        <f>IF(INDEX(calc!$BG$207:$BG$389,MATCH(DE325,calc!$AC$207:$AC$389,1))="","",IF(INDEX(calc!$BG$207:$BG$389,MATCH(DE325,calc!$AC$207:$AC$389,1))=" N","",IF(INDEX(calc!$BG$207:$BG$389,MATCH(DE325,calc!$AC$207:$AC$389,1))="S","SN",IF(INDEX(calc!$BG$207:$BG$389,MATCH(DE325,calc!$AC$207:$AC$389,1))="Z","FZ",IF(INDEX(calc!$BG$207:$BG$389,MATCH(DE325,calc!$AC$207:$AC$389,1))="R","RA",INDEX(calc!$BG$207:$BG$389,MATCH(DE325,calc!$AC$207:$AC$389,1)))))))</f>
        <v/>
      </c>
      <c r="DH341" s="3079" t="str">
        <f>IF(INDEX(calc!$AY$207:$AY$389,MATCH(DH325,calc!$AC$207:$AC$389,1))="","       NA",IF(INDEX(calc!$O$189:$O$196,MATCH(INDEX(calc!$AY$207:$AY$389,MATCH(DH325,calc!$AC$207:$AC$389,1)),calc!$N$189:$N$196,0))=7,"    7",IF(INDEX(calc!$O$189:$O$196,MATCH(INDEX(calc!$AY$207:$AY$389,MATCH(DH325,calc!$AC$207:$AC$389,1)),calc!$N$189:$N$196,0))=6,"    6",INDEX(calc!$O$189:$O$196,MATCH(INDEX(calc!$AY$207:$AY$389,MATCH(DH325,calc!$AC$207:$AC$389,1)),calc!$N$189:$N$196,0))&amp;"~"&amp;INDEX(calc!$P$189:$P$196,MATCH(INDEX(calc!$AY$207:$AY$389,MATCH(DH325,calc!$AC$207:$AC$389,1)),calc!$N$189:$N$196,0)))))</f>
        <v xml:space="preserve">       NA</v>
      </c>
      <c r="DI341" s="3080"/>
      <c r="DJ341" s="1119" t="str">
        <f>IF(INDEX(calc!$BG$207:$BG$389,MATCH(DH325,calc!$AC$207:$AC$389,1))="","",IF(INDEX(calc!$BG$207:$BG$389,MATCH(DH325,calc!$AC$207:$AC$389,1))=" N","",IF(INDEX(calc!$BG$207:$BG$389,MATCH(DH325,calc!$AC$207:$AC$389,1))="S","SN",IF(INDEX(calc!$BG$207:$BG$389,MATCH(DH325,calc!$AC$207:$AC$389,1))="Z","FZ",IF(INDEX(calc!$BG$207:$BG$389,MATCH(DH325,calc!$AC$207:$AC$389,1))="R","RA",INDEX(calc!$BG$207:$BG$389,MATCH(DH325,calc!$AC$207:$AC$389,1)))))))</f>
        <v/>
      </c>
      <c r="DK341" s="3079" t="str">
        <f>IF(INDEX(calc!$AY$207:$AY$389,MATCH(DK325,calc!$AC$207:$AC$389,1))="","       NA",IF(INDEX(calc!$O$189:$O$196,MATCH(INDEX(calc!$AY$207:$AY$389,MATCH(DK325,calc!$AC$207:$AC$389,1)),calc!$N$189:$N$196,0))=7,"    7",IF(INDEX(calc!$O$189:$O$196,MATCH(INDEX(calc!$AY$207:$AY$389,MATCH(DK325,calc!$AC$207:$AC$389,1)),calc!$N$189:$N$196,0))=6,"    6",INDEX(calc!$O$189:$O$196,MATCH(INDEX(calc!$AY$207:$AY$389,MATCH(DK325,calc!$AC$207:$AC$389,1)),calc!$N$189:$N$196,0))&amp;"~"&amp;INDEX(calc!$P$189:$P$196,MATCH(INDEX(calc!$AY$207:$AY$389,MATCH(DK325,calc!$AC$207:$AC$389,1)),calc!$N$189:$N$196,0)))))</f>
        <v xml:space="preserve">       NA</v>
      </c>
      <c r="DL341" s="3080"/>
      <c r="DM341" s="1119" t="str">
        <f>IF(INDEX(calc!$BG$207:$BG$389,MATCH(DK325,calc!$AC$207:$AC$389,1))="","",IF(INDEX(calc!$BG$207:$BG$389,MATCH(DK325,calc!$AC$207:$AC$389,1))=" N","",IF(INDEX(calc!$BG$207:$BG$389,MATCH(DK325,calc!$AC$207:$AC$389,1))="S","SN",IF(INDEX(calc!$BG$207:$BG$389,MATCH(DK325,calc!$AC$207:$AC$389,1))="Z","FZ",IF(INDEX(calc!$BG$207:$BG$389,MATCH(DK325,calc!$AC$207:$AC$389,1))="R","RA",INDEX(calc!$BG$207:$BG$389,MATCH(DK325,calc!$AC$207:$AC$389,1)))))))</f>
        <v/>
      </c>
      <c r="DN341" s="3079" t="str">
        <f>IF(INDEX(calc!$AY$207:$AY$389,MATCH(DN325,calc!$AC$207:$AC$389,1))="","       NA",IF(INDEX(calc!$O$189:$O$196,MATCH(INDEX(calc!$AY$207:$AY$389,MATCH(DN325,calc!$AC$207:$AC$389,1)),calc!$N$189:$N$196,0))=7,"    7",IF(INDEX(calc!$O$189:$O$196,MATCH(INDEX(calc!$AY$207:$AY$389,MATCH(DN325,calc!$AC$207:$AC$389,1)),calc!$N$189:$N$196,0))=6,"    6",INDEX(calc!$O$189:$O$196,MATCH(INDEX(calc!$AY$207:$AY$389,MATCH(DN325,calc!$AC$207:$AC$389,1)),calc!$N$189:$N$196,0))&amp;"~"&amp;INDEX(calc!$P$189:$P$196,MATCH(INDEX(calc!$AY$207:$AY$389,MATCH(DN325,calc!$AC$207:$AC$389,1)),calc!$N$189:$N$196,0)))))</f>
        <v xml:space="preserve">       NA</v>
      </c>
      <c r="DO341" s="3080"/>
      <c r="DP341" s="1119" t="str">
        <f>IF(INDEX(calc!$BG$207:$BG$389,MATCH(DN325,calc!$AC$207:$AC$389,1))="","",IF(INDEX(calc!$BG$207:$BG$389,MATCH(DN325,calc!$AC$207:$AC$389,1))=" N","",IF(INDEX(calc!$BG$207:$BG$389,MATCH(DN325,calc!$AC$207:$AC$389,1))="S","SN",IF(INDEX(calc!$BG$207:$BG$389,MATCH(DN325,calc!$AC$207:$AC$389,1))="Z","FZ",IF(INDEX(calc!$BG$207:$BG$389,MATCH(DN325,calc!$AC$207:$AC$389,1))="R","RA",INDEX(calc!$BG$207:$BG$389,MATCH(DN325,calc!$AC$207:$AC$389,1)))))))</f>
        <v/>
      </c>
      <c r="DQ341" s="3079" t="str">
        <f>IF(INDEX(calc!$AY$207:$AY$389,MATCH(DQ325,calc!$AC$207:$AC$389,1))="","       NA",IF(INDEX(calc!$O$189:$O$196,MATCH(INDEX(calc!$AY$207:$AY$389,MATCH(DQ325,calc!$AC$207:$AC$389,1)),calc!$N$189:$N$196,0))=7,"    7",IF(INDEX(calc!$O$189:$O$196,MATCH(INDEX(calc!$AY$207:$AY$389,MATCH(DQ325,calc!$AC$207:$AC$389,1)),calc!$N$189:$N$196,0))=6,"    6",INDEX(calc!$O$189:$O$196,MATCH(INDEX(calc!$AY$207:$AY$389,MATCH(DQ325,calc!$AC$207:$AC$389,1)),calc!$N$189:$N$196,0))&amp;"~"&amp;INDEX(calc!$P$189:$P$196,MATCH(INDEX(calc!$AY$207:$AY$389,MATCH(DQ325,calc!$AC$207:$AC$389,1)),calc!$N$189:$N$196,0)))))</f>
        <v xml:space="preserve">       NA</v>
      </c>
      <c r="DR341" s="3080"/>
      <c r="DS341" s="1119" t="str">
        <f>IF(INDEX(calc!$BG$207:$BG$389,MATCH(DQ325,calc!$AC$207:$AC$389,1))="","",IF(INDEX(calc!$BG$207:$BG$389,MATCH(DQ325,calc!$AC$207:$AC$389,1))=" N","",IF(INDEX(calc!$BG$207:$BG$389,MATCH(DQ325,calc!$AC$207:$AC$389,1))="S","SN",IF(INDEX(calc!$BG$207:$BG$389,MATCH(DQ325,calc!$AC$207:$AC$389,1))="Z","FZ",IF(INDEX(calc!$BG$207:$BG$389,MATCH(DQ325,calc!$AC$207:$AC$389,1))="R","RA",INDEX(calc!$BG$207:$BG$389,MATCH(DQ325,calc!$AC$207:$AC$389,1)))))))</f>
        <v/>
      </c>
      <c r="DT341" s="3079" t="str">
        <f>IF(INDEX(calc!$AY$207:$AY$389,MATCH(DT325,calc!$AC$207:$AC$389,1))="","       NA",IF(INDEX(calc!$O$189:$O$196,MATCH(INDEX(calc!$AY$207:$AY$389,MATCH(DT325,calc!$AC$207:$AC$389,1)),calc!$N$189:$N$196,0))=7,"    7",IF(INDEX(calc!$O$189:$O$196,MATCH(INDEX(calc!$AY$207:$AY$389,MATCH(DT325,calc!$AC$207:$AC$389,1)),calc!$N$189:$N$196,0))=6,"    6",INDEX(calc!$O$189:$O$196,MATCH(INDEX(calc!$AY$207:$AY$389,MATCH(DT325,calc!$AC$207:$AC$389,1)),calc!$N$189:$N$196,0))&amp;"~"&amp;INDEX(calc!$P$189:$P$196,MATCH(INDEX(calc!$AY$207:$AY$389,MATCH(DT325,calc!$AC$207:$AC$389,1)),calc!$N$189:$N$196,0)))))</f>
        <v xml:space="preserve">       NA</v>
      </c>
      <c r="DU341" s="3080"/>
      <c r="DV341" s="1119" t="str">
        <f>IF(INDEX(calc!$BG$207:$BG$389,MATCH(DT325,calc!$AC$207:$AC$389,1))="","",IF(INDEX(calc!$BG$207:$BG$389,MATCH(DT325,calc!$AC$207:$AC$389,1))=" N","",IF(INDEX(calc!$BG$207:$BG$389,MATCH(DT325,calc!$AC$207:$AC$389,1))="S","SN",IF(INDEX(calc!$BG$207:$BG$389,MATCH(DT325,calc!$AC$207:$AC$389,1))="Z","FZ",IF(INDEX(calc!$BG$207:$BG$389,MATCH(DT325,calc!$AC$207:$AC$389,1))="R","RA",INDEX(calc!$BG$207:$BG$389,MATCH(DT325,calc!$AC$207:$AC$389,1)))))))</f>
        <v/>
      </c>
      <c r="DW341" s="3079" t="str">
        <f>IF(INDEX(calc!$AY$207:$AY$389,MATCH(DW325,calc!$AC$207:$AC$389,1))="","       NA",IF(INDEX(calc!$O$189:$O$196,MATCH(INDEX(calc!$AY$207:$AY$389,MATCH(DW325,calc!$AC$207:$AC$389,1)),calc!$N$189:$N$196,0))=7,"    7",IF(INDEX(calc!$O$189:$O$196,MATCH(INDEX(calc!$AY$207:$AY$389,MATCH(DW325,calc!$AC$207:$AC$389,1)),calc!$N$189:$N$196,0))=6,"    6",INDEX(calc!$O$189:$O$196,MATCH(INDEX(calc!$AY$207:$AY$389,MATCH(DW325,calc!$AC$207:$AC$389,1)),calc!$N$189:$N$196,0))&amp;"~"&amp;INDEX(calc!$P$189:$P$196,MATCH(INDEX(calc!$AY$207:$AY$389,MATCH(DW325,calc!$AC$207:$AC$389,1)),calc!$N$189:$N$196,0)))))</f>
        <v xml:space="preserve">       NA</v>
      </c>
      <c r="DX341" s="3080"/>
      <c r="DY341" s="1119" t="str">
        <f>IF(INDEX(calc!$BG$207:$BG$389,MATCH(DW325,calc!$AC$207:$AC$389,1))="","",IF(INDEX(calc!$BG$207:$BG$389,MATCH(DW325,calc!$AC$207:$AC$389,1))=" N","",IF(INDEX(calc!$BG$207:$BG$389,MATCH(DW325,calc!$AC$207:$AC$389,1))="S","SN",IF(INDEX(calc!$BG$207:$BG$389,MATCH(DW325,calc!$AC$207:$AC$389,1))="Z","FZ",IF(INDEX(calc!$BG$207:$BG$389,MATCH(DW325,calc!$AC$207:$AC$389,1))="R","RA",INDEX(calc!$BG$207:$BG$389,MATCH(DW325,calc!$AC$207:$AC$389,1)))))))</f>
        <v/>
      </c>
      <c r="DZ341" s="3079" t="str">
        <f>IF(INDEX(calc!$AY$207:$AY$389,MATCH(DZ325,calc!$AC$207:$AC$389,1))="","       NA",IF(INDEX(calc!$O$189:$O$196,MATCH(INDEX(calc!$AY$207:$AY$389,MATCH(DZ325,calc!$AC$207:$AC$389,1)),calc!$N$189:$N$196,0))=7,"    7",IF(INDEX(calc!$O$189:$O$196,MATCH(INDEX(calc!$AY$207:$AY$389,MATCH(DZ325,calc!$AC$207:$AC$389,1)),calc!$N$189:$N$196,0))=6,"    6",INDEX(calc!$O$189:$O$196,MATCH(INDEX(calc!$AY$207:$AY$389,MATCH(DZ325,calc!$AC$207:$AC$389,1)),calc!$N$189:$N$196,0))&amp;"~"&amp;INDEX(calc!$P$189:$P$196,MATCH(INDEX(calc!$AY$207:$AY$389,MATCH(DZ325,calc!$AC$207:$AC$389,1)),calc!$N$189:$N$196,0)))))</f>
        <v xml:space="preserve">       NA</v>
      </c>
      <c r="EA341" s="3080"/>
      <c r="EB341" s="1119" t="str">
        <f>IF(INDEX(calc!$BG$207:$BG$389,MATCH(DZ325,calc!$AC$207:$AC$389,1))="","",IF(INDEX(calc!$BG$207:$BG$389,MATCH(DZ325,calc!$AC$207:$AC$389,1))=" N","",IF(INDEX(calc!$BG$207:$BG$389,MATCH(DZ325,calc!$AC$207:$AC$389,1))="S","SN",IF(INDEX(calc!$BG$207:$BG$389,MATCH(DZ325,calc!$AC$207:$AC$389,1))="Z","FZ",IF(INDEX(calc!$BG$207:$BG$389,MATCH(DZ325,calc!$AC$207:$AC$389,1))="R","RA",INDEX(calc!$BG$207:$BG$389,MATCH(DZ325,calc!$AC$207:$AC$389,1)))))))</f>
        <v/>
      </c>
      <c r="EC341" s="3079" t="str">
        <f>IF(INDEX(calc!$AY$207:$AY$389,MATCH(EC325,calc!$AC$207:$AC$389,1))="","       NA",IF(INDEX(calc!$O$189:$O$196,MATCH(INDEX(calc!$AY$207:$AY$389,MATCH(EC325,calc!$AC$207:$AC$389,1)),calc!$N$189:$N$196,0))=7,"    7",IF(INDEX(calc!$O$189:$O$196,MATCH(INDEX(calc!$AY$207:$AY$389,MATCH(EC325,calc!$AC$207:$AC$389,1)),calc!$N$189:$N$196,0))=6,"    6",INDEX(calc!$O$189:$O$196,MATCH(INDEX(calc!$AY$207:$AY$389,MATCH(EC325,calc!$AC$207:$AC$389,1)),calc!$N$189:$N$196,0))&amp;"~"&amp;INDEX(calc!$P$189:$P$196,MATCH(INDEX(calc!$AY$207:$AY$389,MATCH(EC325,calc!$AC$207:$AC$389,1)),calc!$N$189:$N$196,0)))))</f>
        <v xml:space="preserve">       NA</v>
      </c>
      <c r="ED341" s="3080"/>
      <c r="EE341" s="1119" t="str">
        <f>IF(INDEX(calc!$BG$207:$BG$389,MATCH(EC325,calc!$AC$207:$AC$389,1))="","",IF(INDEX(calc!$BG$207:$BG$389,MATCH(EC325,calc!$AC$207:$AC$389,1))=" N","",IF(INDEX(calc!$BG$207:$BG$389,MATCH(EC325,calc!$AC$207:$AC$389,1))="S","SN",IF(INDEX(calc!$BG$207:$BG$389,MATCH(EC325,calc!$AC$207:$AC$389,1))="Z","FZ",IF(INDEX(calc!$BG$207:$BG$389,MATCH(EC325,calc!$AC$207:$AC$389,1))="R","RA",INDEX(calc!$BG$207:$BG$389,MATCH(EC325,calc!$AC$207:$AC$389,1)))))))</f>
        <v/>
      </c>
      <c r="EF341" s="3079" t="str">
        <f>IF(INDEX(calc!$AY$207:$AY$389,MATCH(EF325,calc!$AC$207:$AC$389,1))="","       NA",IF(INDEX(calc!$O$189:$O$196,MATCH(INDEX(calc!$AY$207:$AY$389,MATCH(EF325,calc!$AC$207:$AC$389,1)),calc!$N$189:$N$196,0))=7,"    7",IF(INDEX(calc!$O$189:$O$196,MATCH(INDEX(calc!$AY$207:$AY$389,MATCH(EF325,calc!$AC$207:$AC$389,1)),calc!$N$189:$N$196,0))=6,"    6",INDEX(calc!$O$189:$O$196,MATCH(INDEX(calc!$AY$207:$AY$389,MATCH(EF325,calc!$AC$207:$AC$389,1)),calc!$N$189:$N$196,0))&amp;"~"&amp;INDEX(calc!$P$189:$P$196,MATCH(INDEX(calc!$AY$207:$AY$389,MATCH(EF325,calc!$AC$207:$AC$389,1)),calc!$N$189:$N$196,0)))))</f>
        <v xml:space="preserve">       NA</v>
      </c>
      <c r="EG341" s="3080"/>
      <c r="EH341" s="1119" t="str">
        <f>IF(INDEX(calc!$BG$207:$BG$389,MATCH(EF325,calc!$AC$207:$AC$389,1))="","",IF(INDEX(calc!$BG$207:$BG$389,MATCH(EF325,calc!$AC$207:$AC$389,1))=" N","",IF(INDEX(calc!$BG$207:$BG$389,MATCH(EF325,calc!$AC$207:$AC$389,1))="S","SN",IF(INDEX(calc!$BG$207:$BG$389,MATCH(EF325,calc!$AC$207:$AC$389,1))="Z","FZ",IF(INDEX(calc!$BG$207:$BG$389,MATCH(EF325,calc!$AC$207:$AC$389,1))="R","RA",INDEX(calc!$BG$207:$BG$389,MATCH(EF325,calc!$AC$207:$AC$389,1)))))))</f>
        <v/>
      </c>
      <c r="EI341" s="3079" t="str">
        <f>IF(INDEX(calc!$AY$207:$AY$389,MATCH(EI325,calc!$AC$207:$AC$389,1))="","       NA",IF(INDEX(calc!$O$189:$O$196,MATCH(INDEX(calc!$AY$207:$AY$389,MATCH(EI325,calc!$AC$207:$AC$389,1)),calc!$N$189:$N$196,0))=7,"    7",IF(INDEX(calc!$O$189:$O$196,MATCH(INDEX(calc!$AY$207:$AY$389,MATCH(EI325,calc!$AC$207:$AC$389,1)),calc!$N$189:$N$196,0))=6,"    6",INDEX(calc!$O$189:$O$196,MATCH(INDEX(calc!$AY$207:$AY$389,MATCH(EI325,calc!$AC$207:$AC$389,1)),calc!$N$189:$N$196,0))&amp;"~"&amp;INDEX(calc!$P$189:$P$196,MATCH(INDEX(calc!$AY$207:$AY$389,MATCH(EI325,calc!$AC$207:$AC$389,1)),calc!$N$189:$N$196,0)))))</f>
        <v xml:space="preserve">       NA</v>
      </c>
      <c r="EJ341" s="3080"/>
      <c r="EK341" s="1119" t="str">
        <f>IF(INDEX(calc!$BG$207:$BG$389,MATCH(EI325,calc!$AC$207:$AC$389,1))="","",IF(INDEX(calc!$BG$207:$BG$389,MATCH(EI325,calc!$AC$207:$AC$389,1))=" N","",IF(INDEX(calc!$BG$207:$BG$389,MATCH(EI325,calc!$AC$207:$AC$389,1))="S","SN",IF(INDEX(calc!$BG$207:$BG$389,MATCH(EI325,calc!$AC$207:$AC$389,1))="Z","FZ",IF(INDEX(calc!$BG$207:$BG$389,MATCH(EI325,calc!$AC$207:$AC$389,1))="R","RA",INDEX(calc!$BG$207:$BG$389,MATCH(EI325,calc!$AC$207:$AC$389,1)))))))</f>
        <v/>
      </c>
      <c r="EL341" s="3079" t="str">
        <f>IF(INDEX(calc!$AY$207:$AY$389,MATCH(EL325,calc!$AC$207:$AC$389,1))="","       NA",IF(INDEX(calc!$O$189:$O$196,MATCH(INDEX(calc!$AY$207:$AY$389,MATCH(EL325,calc!$AC$207:$AC$389,1)),calc!$N$189:$N$196,0))=7,"    7",IF(INDEX(calc!$O$189:$O$196,MATCH(INDEX(calc!$AY$207:$AY$389,MATCH(EL325,calc!$AC$207:$AC$389,1)),calc!$N$189:$N$196,0))=6,"    6",INDEX(calc!$O$189:$O$196,MATCH(INDEX(calc!$AY$207:$AY$389,MATCH(EL325,calc!$AC$207:$AC$389,1)),calc!$N$189:$N$196,0))&amp;"~"&amp;INDEX(calc!$P$189:$P$196,MATCH(INDEX(calc!$AY$207:$AY$389,MATCH(EL325,calc!$AC$207:$AC$389,1)),calc!$N$189:$N$196,0)))))</f>
        <v xml:space="preserve">       NA</v>
      </c>
      <c r="EM341" s="3080"/>
      <c r="EN341" s="1119" t="str">
        <f>IF(INDEX(calc!$BG$207:$BG$389,MATCH(EL325,calc!$AC$207:$AC$389,1))="","",IF(INDEX(calc!$BG$207:$BG$389,MATCH(EL325,calc!$AC$207:$AC$389,1))=" N","",IF(INDEX(calc!$BG$207:$BG$389,MATCH(EL325,calc!$AC$207:$AC$389,1))="S","SN",IF(INDEX(calc!$BG$207:$BG$389,MATCH(EL325,calc!$AC$207:$AC$389,1))="Z","FZ",IF(INDEX(calc!$BG$207:$BG$389,MATCH(EL325,calc!$AC$207:$AC$389,1))="R","RA",INDEX(calc!$BG$207:$BG$389,MATCH(EL325,calc!$AC$207:$AC$389,1)))))))</f>
        <v/>
      </c>
      <c r="EO341" s="3079" t="str">
        <f>IF(INDEX(calc!$AY$207:$AY$389,MATCH(EO325,calc!$AC$207:$AC$389,1))="","       NA",IF(INDEX(calc!$O$189:$O$196,MATCH(INDEX(calc!$AY$207:$AY$389,MATCH(EO325,calc!$AC$207:$AC$389,1)),calc!$N$189:$N$196,0))=7,"    7",IF(INDEX(calc!$O$189:$O$196,MATCH(INDEX(calc!$AY$207:$AY$389,MATCH(EO325,calc!$AC$207:$AC$389,1)),calc!$N$189:$N$196,0))=6,"    6",INDEX(calc!$O$189:$O$196,MATCH(INDEX(calc!$AY$207:$AY$389,MATCH(EO325,calc!$AC$207:$AC$389,1)),calc!$N$189:$N$196,0))&amp;"~"&amp;INDEX(calc!$P$189:$P$196,MATCH(INDEX(calc!$AY$207:$AY$389,MATCH(EO325,calc!$AC$207:$AC$389,1)),calc!$N$189:$N$196,0)))))</f>
        <v xml:space="preserve">       NA</v>
      </c>
      <c r="EP341" s="3080"/>
      <c r="EQ341" s="1119" t="str">
        <f>IF(INDEX(calc!$BG$207:$BG$389,MATCH(EO325,calc!$AC$207:$AC$389,1))="","",IF(INDEX(calc!$BG$207:$BG$389,MATCH(EO325,calc!$AC$207:$AC$389,1))=" N","",IF(INDEX(calc!$BG$207:$BG$389,MATCH(EO325,calc!$AC$207:$AC$389,1))="S","SN",IF(INDEX(calc!$BG$207:$BG$389,MATCH(EO325,calc!$AC$207:$AC$389,1))="Z","FZ",IF(INDEX(calc!$BG$207:$BG$389,MATCH(EO325,calc!$AC$207:$AC$389,1))="R","RA",INDEX(calc!$BG$207:$BG$389,MATCH(EO325,calc!$AC$207:$AC$389,1)))))))</f>
        <v/>
      </c>
      <c r="ER341" s="3079" t="str">
        <f>IF(INDEX(calc!$AY$207:$AY$389,MATCH(ER325,calc!$AC$207:$AC$389,1))="","       NA",IF(INDEX(calc!$O$189:$O$196,MATCH(INDEX(calc!$AY$207:$AY$389,MATCH(ER325,calc!$AC$207:$AC$389,1)),calc!$N$189:$N$196,0))=7,"    7",IF(INDEX(calc!$O$189:$O$196,MATCH(INDEX(calc!$AY$207:$AY$389,MATCH(ER325,calc!$AC$207:$AC$389,1)),calc!$N$189:$N$196,0))=6,"    6",INDEX(calc!$O$189:$O$196,MATCH(INDEX(calc!$AY$207:$AY$389,MATCH(ER325,calc!$AC$207:$AC$389,1)),calc!$N$189:$N$196,0))&amp;"~"&amp;INDEX(calc!$P$189:$P$196,MATCH(INDEX(calc!$AY$207:$AY$389,MATCH(ER325,calc!$AC$207:$AC$389,1)),calc!$N$189:$N$196,0)))))</f>
        <v xml:space="preserve">       NA</v>
      </c>
      <c r="ES341" s="3080"/>
      <c r="ET341" s="1119" t="str">
        <f>IF(INDEX(calc!$BG$207:$BG$389,MATCH(ER325,calc!$AC$207:$AC$389,1))="","",IF(INDEX(calc!$BG$207:$BG$389,MATCH(ER325,calc!$AC$207:$AC$389,1))=" N","",IF(INDEX(calc!$BG$207:$BG$389,MATCH(ER325,calc!$AC$207:$AC$389,1))="S","SN",IF(INDEX(calc!$BG$207:$BG$389,MATCH(ER325,calc!$AC$207:$AC$389,1))="Z","FZ",IF(INDEX(calc!$BG$207:$BG$389,MATCH(ER325,calc!$AC$207:$AC$389,1))="R","RA",INDEX(calc!$BG$207:$BG$389,MATCH(ER325,calc!$AC$207:$AC$389,1)))))))</f>
        <v/>
      </c>
      <c r="EU341" s="3079" t="str">
        <f>IF(INDEX(calc!$AY$207:$AY$389,MATCH(EU325,calc!$AC$207:$AC$389,1))="","       NA",IF(INDEX(calc!$O$189:$O$196,MATCH(INDEX(calc!$AY$207:$AY$389,MATCH(EU325,calc!$AC$207:$AC$389,1)),calc!$N$189:$N$196,0))=7,"    7",IF(INDEX(calc!$O$189:$O$196,MATCH(INDEX(calc!$AY$207:$AY$389,MATCH(EU325,calc!$AC$207:$AC$389,1)),calc!$N$189:$N$196,0))=6,"    6",INDEX(calc!$O$189:$O$196,MATCH(INDEX(calc!$AY$207:$AY$389,MATCH(EU325,calc!$AC$207:$AC$389,1)),calc!$N$189:$N$196,0))&amp;"~"&amp;INDEX(calc!$P$189:$P$196,MATCH(INDEX(calc!$AY$207:$AY$389,MATCH(EU325,calc!$AC$207:$AC$389,1)),calc!$N$189:$N$196,0)))))</f>
        <v xml:space="preserve">       NA</v>
      </c>
      <c r="EV341" s="3080"/>
      <c r="EW341" s="1119" t="str">
        <f>IF(INDEX(calc!$BG$207:$BG$389,MATCH(EU325,calc!$AC$207:$AC$389,1))="","",IF(INDEX(calc!$BG$207:$BG$389,MATCH(EU325,calc!$AC$207:$AC$389,1))=" N","",IF(INDEX(calc!$BG$207:$BG$389,MATCH(EU325,calc!$AC$207:$AC$389,1))="S","SN",IF(INDEX(calc!$BG$207:$BG$389,MATCH(EU325,calc!$AC$207:$AC$389,1))="Z","FZ",IF(INDEX(calc!$BG$207:$BG$389,MATCH(EU325,calc!$AC$207:$AC$389,1))="R","RA",INDEX(calc!$BG$207:$BG$389,MATCH(EU325,calc!$AC$207:$AC$389,1)))))))</f>
        <v/>
      </c>
      <c r="EX341" s="3079" t="str">
        <f>IF(INDEX(calc!$AY$207:$AY$389,MATCH(EX325,calc!$AC$207:$AC$389,1))="","       NA",IF(INDEX(calc!$O$189:$O$196,MATCH(INDEX(calc!$AY$207:$AY$389,MATCH(EX325,calc!$AC$207:$AC$389,1)),calc!$N$189:$N$196,0))=7,"    7",IF(INDEX(calc!$O$189:$O$196,MATCH(INDEX(calc!$AY$207:$AY$389,MATCH(EX325,calc!$AC$207:$AC$389,1)),calc!$N$189:$N$196,0))=6,"    6",INDEX(calc!$O$189:$O$196,MATCH(INDEX(calc!$AY$207:$AY$389,MATCH(EX325,calc!$AC$207:$AC$389,1)),calc!$N$189:$N$196,0))&amp;"~"&amp;INDEX(calc!$P$189:$P$196,MATCH(INDEX(calc!$AY$207:$AY$389,MATCH(EX325,calc!$AC$207:$AC$389,1)),calc!$N$189:$N$196,0)))))</f>
        <v xml:space="preserve">       NA</v>
      </c>
      <c r="EY341" s="3080"/>
      <c r="EZ341" s="1119" t="str">
        <f>IF(INDEX(calc!$BG$207:$BG$389,MATCH(EX325,calc!$AC$207:$AC$389,1))="","",IF(INDEX(calc!$BG$207:$BG$389,MATCH(EX325,calc!$AC$207:$AC$389,1))=" N","",IF(INDEX(calc!$BG$207:$BG$389,MATCH(EX325,calc!$AC$207:$AC$389,1))="S","SN",IF(INDEX(calc!$BG$207:$BG$389,MATCH(EX325,calc!$AC$207:$AC$389,1))="Z","FZ",IF(INDEX(calc!$BG$207:$BG$389,MATCH(EX325,calc!$AC$207:$AC$389,1))="R","RA",INDEX(calc!$BG$207:$BG$389,MATCH(EX325,calc!$AC$207:$AC$389,1)))))))</f>
        <v/>
      </c>
      <c r="FA341" s="3079" t="str">
        <f>IF(INDEX(calc!$AY$207:$AY$389,MATCH(FA325,calc!$AC$207:$AC$389,1))="","       NA",IF(INDEX(calc!$O$189:$O$196,MATCH(INDEX(calc!$AY$207:$AY$389,MATCH(FA325,calc!$AC$207:$AC$389,1)),calc!$N$189:$N$196,0))=7,"    7",IF(INDEX(calc!$O$189:$O$196,MATCH(INDEX(calc!$AY$207:$AY$389,MATCH(FA325,calc!$AC$207:$AC$389,1)),calc!$N$189:$N$196,0))=6,"    6",INDEX(calc!$O$189:$O$196,MATCH(INDEX(calc!$AY$207:$AY$389,MATCH(FA325,calc!$AC$207:$AC$389,1)),calc!$N$189:$N$196,0))&amp;"~"&amp;INDEX(calc!$P$189:$P$196,MATCH(INDEX(calc!$AY$207:$AY$389,MATCH(FA325,calc!$AC$207:$AC$389,1)),calc!$N$189:$N$196,0)))))</f>
        <v xml:space="preserve">       NA</v>
      </c>
      <c r="FB341" s="3080"/>
      <c r="FC341" s="1119" t="str">
        <f>IF(INDEX(calc!$BG$207:$BG$389,MATCH(FA325,calc!$AC$207:$AC$389,1))="","",IF(INDEX(calc!$BG$207:$BG$389,MATCH(FA325,calc!$AC$207:$AC$389,1))=" N","",IF(INDEX(calc!$BG$207:$BG$389,MATCH(FA325,calc!$AC$207:$AC$389,1))="S","SN",IF(INDEX(calc!$BG$207:$BG$389,MATCH(FA325,calc!$AC$207:$AC$389,1))="Z","FZ",IF(INDEX(calc!$BG$207:$BG$389,MATCH(FA325,calc!$AC$207:$AC$389,1))="R","RA",INDEX(calc!$BG$207:$BG$389,MATCH(FA325,calc!$AC$207:$AC$389,1)))))))</f>
        <v/>
      </c>
      <c r="FD341" s="3079" t="str">
        <f>IF(INDEX(calc!$AY$207:$AY$389,MATCH(FD325,calc!$AC$207:$AC$389,1))="","       NA",IF(INDEX(calc!$O$189:$O$196,MATCH(INDEX(calc!$AY$207:$AY$389,MATCH(FD325,calc!$AC$207:$AC$389,1)),calc!$N$189:$N$196,0))=7,"    7",IF(INDEX(calc!$O$189:$O$196,MATCH(INDEX(calc!$AY$207:$AY$389,MATCH(FD325,calc!$AC$207:$AC$389,1)),calc!$N$189:$N$196,0))=6,"    6",INDEX(calc!$O$189:$O$196,MATCH(INDEX(calc!$AY$207:$AY$389,MATCH(FD325,calc!$AC$207:$AC$389,1)),calc!$N$189:$N$196,0))&amp;"~"&amp;INDEX(calc!$P$189:$P$196,MATCH(INDEX(calc!$AY$207:$AY$389,MATCH(FD325,calc!$AC$207:$AC$389,1)),calc!$N$189:$N$196,0)))))</f>
        <v xml:space="preserve">       NA</v>
      </c>
      <c r="FE341" s="3080"/>
      <c r="FF341" s="1120" t="str">
        <f>IF(INDEX(calc!$BG$207:$BG$389,MATCH(FD325,calc!$AC$207:$AC$389,1))="","",IF(INDEX(calc!$BG$207:$BG$389,MATCH(FD325,calc!$AC$207:$AC$389,1))=" N","",IF(INDEX(calc!$BG$207:$BG$389,MATCH(FD325,calc!$AC$207:$AC$389,1))="S","SN",IF(INDEX(calc!$BG$207:$BG$389,MATCH(FD325,calc!$AC$207:$AC$389,1))="Z","FZ",IF(INDEX(calc!$BG$207:$BG$389,MATCH(FD325,calc!$AC$207:$AC$389,1))="R","RA",INDEX(calc!$BG$207:$BG$389,MATCH(FD325,calc!$AC$207:$AC$389,1)))))))</f>
        <v/>
      </c>
      <c r="FG341" s="3079" t="str">
        <f>IF(INDEX(calc!$AY$207:$AY$389,MATCH(FG325,calc!$AC$207:$AC$389,1))="","       NA",IF(INDEX(calc!$O$189:$O$196,MATCH(INDEX(calc!$AY$207:$AY$389,MATCH(FG325,calc!$AC$207:$AC$389,1)),calc!$N$189:$N$196,0))=7,"    7",IF(INDEX(calc!$O$189:$O$196,MATCH(INDEX(calc!$AY$207:$AY$389,MATCH(FG325,calc!$AC$207:$AC$389,1)),calc!$N$189:$N$196,0))=6,"    6",INDEX(calc!$O$189:$O$196,MATCH(INDEX(calc!$AY$207:$AY$389,MATCH(FG325,calc!$AC$207:$AC$389,1)),calc!$N$189:$N$196,0))&amp;"~"&amp;INDEX(calc!$P$189:$P$196,MATCH(INDEX(calc!$AY$207:$AY$389,MATCH(FG325,calc!$AC$207:$AC$389,1)),calc!$N$189:$N$196,0)))))</f>
        <v xml:space="preserve">       NA</v>
      </c>
      <c r="FH341" s="3080"/>
      <c r="FI341" s="1120" t="str">
        <f>IF(INDEX(calc!$BG$207:$BG$389,MATCH(FG325,calc!$AC$207:$AC$389,1))="","",IF(INDEX(calc!$BG$207:$BG$389,MATCH(FG325,calc!$AC$207:$AC$389,1))=" N","",IF(INDEX(calc!$BG$207:$BG$389,MATCH(FG325,calc!$AC$207:$AC$389,1))="S","SN",IF(INDEX(calc!$BG$207:$BG$389,MATCH(FG325,calc!$AC$207:$AC$389,1))="Z","FZ",IF(INDEX(calc!$BG$207:$BG$389,MATCH(FG325,calc!$AC$207:$AC$389,1))="R","RA",INDEX(calc!$BG$207:$BG$389,MATCH(FG325,calc!$AC$207:$AC$389,1)))))))</f>
        <v/>
      </c>
      <c r="FJ341" s="3079" t="str">
        <f>IF(INDEX(calc!$AY$207:$AY$389,MATCH(FJ325,calc!$AC$207:$AC$389,1))="","       NA",IF(INDEX(calc!$O$189:$O$196,MATCH(INDEX(calc!$AY$207:$AY$389,MATCH(FJ325,calc!$AC$207:$AC$389,1)),calc!$N$189:$N$196,0))=7,"    7",IF(INDEX(calc!$O$189:$O$196,MATCH(INDEX(calc!$AY$207:$AY$389,MATCH(FJ325,calc!$AC$207:$AC$389,1)),calc!$N$189:$N$196,0))=6,"    6",INDEX(calc!$O$189:$O$196,MATCH(INDEX(calc!$AY$207:$AY$389,MATCH(FJ325,calc!$AC$207:$AC$389,1)),calc!$N$189:$N$196,0))&amp;"~"&amp;INDEX(calc!$P$189:$P$196,MATCH(INDEX(calc!$AY$207:$AY$389,MATCH(FJ325,calc!$AC$207:$AC$389,1)),calc!$N$189:$N$196,0)))))</f>
        <v xml:space="preserve">       NA</v>
      </c>
      <c r="FK341" s="3080"/>
      <c r="FL341" s="1120" t="str">
        <f>IF(INDEX(calc!$BG$207:$BG$389,MATCH(FJ325,calc!$AC$207:$AC$389,1))="","",IF(INDEX(calc!$BG$207:$BG$389,MATCH(FJ325,calc!$AC$207:$AC$389,1))=" N","",IF(INDEX(calc!$BG$207:$BG$389,MATCH(FJ325,calc!$AC$207:$AC$389,1))="S","SN",IF(INDEX(calc!$BG$207:$BG$389,MATCH(FJ325,calc!$AC$207:$AC$389,1))="Z","FZ",IF(INDEX(calc!$BG$207:$BG$389,MATCH(FJ325,calc!$AC$207:$AC$389,1))="R","RA",INDEX(calc!$BG$207:$BG$389,MATCH(FJ325,calc!$AC$207:$AC$389,1)))))))</f>
        <v/>
      </c>
      <c r="FM341" s="3079" t="str">
        <f>IF(INDEX(calc!$AY$207:$AY$389,MATCH(FM325,calc!$AC$207:$AC$389,1))="","       NA",IF(INDEX(calc!$O$189:$O$196,MATCH(INDEX(calc!$AY$207:$AY$389,MATCH(FM325,calc!$AC$207:$AC$389,1)),calc!$N$189:$N$196,0))=7,"    7",IF(INDEX(calc!$O$189:$O$196,MATCH(INDEX(calc!$AY$207:$AY$389,MATCH(FM325,calc!$AC$207:$AC$389,1)),calc!$N$189:$N$196,0))=6,"    6",INDEX(calc!$O$189:$O$196,MATCH(INDEX(calc!$AY$207:$AY$389,MATCH(FM325,calc!$AC$207:$AC$389,1)),calc!$N$189:$N$196,0))&amp;"~"&amp;INDEX(calc!$P$189:$P$196,MATCH(INDEX(calc!$AY$207:$AY$389,MATCH(FM325,calc!$AC$207:$AC$389,1)),calc!$N$189:$N$196,0)))))</f>
        <v xml:space="preserve">       NA</v>
      </c>
      <c r="FN341" s="3080"/>
      <c r="FO341" s="1120" t="str">
        <f>IF(INDEX(calc!$BG$207:$BG$389,MATCH(FM325,calc!$AC$207:$AC$389,1))="","",IF(INDEX(calc!$BG$207:$BG$389,MATCH(FM325,calc!$AC$207:$AC$389,1))=" N","",IF(INDEX(calc!$BG$207:$BG$389,MATCH(FM325,calc!$AC$207:$AC$389,1))="S","SN",IF(INDEX(calc!$BG$207:$BG$389,MATCH(FM325,calc!$AC$207:$AC$389,1))="Z","FZ",IF(INDEX(calc!$BG$207:$BG$389,MATCH(FM325,calc!$AC$207:$AC$389,1))="R","RA",INDEX(calc!$BG$207:$BG$389,MATCH(FM325,calc!$AC$207:$AC$389,1)))))))</f>
        <v/>
      </c>
      <c r="FP341" s="3079" t="str">
        <f>IF(INDEX(calc!$AY$207:$AY$389,MATCH(FP325,calc!$AC$207:$AC$389,1))="","       NA",IF(INDEX(calc!$O$189:$O$196,MATCH(INDEX(calc!$AY$207:$AY$389,MATCH(FP325,calc!$AC$207:$AC$389,1)),calc!$N$189:$N$196,0))=7,"    7",IF(INDEX(calc!$O$189:$O$196,MATCH(INDEX(calc!$AY$207:$AY$389,MATCH(FP325,calc!$AC$207:$AC$389,1)),calc!$N$189:$N$196,0))=6,"    6",INDEX(calc!$O$189:$O$196,MATCH(INDEX(calc!$AY$207:$AY$389,MATCH(FP325,calc!$AC$207:$AC$389,1)),calc!$N$189:$N$196,0))&amp;"~"&amp;INDEX(calc!$P$189:$P$196,MATCH(INDEX(calc!$AY$207:$AY$389,MATCH(FP325,calc!$AC$207:$AC$389,1)),calc!$N$189:$N$196,0)))))</f>
        <v xml:space="preserve">       NA</v>
      </c>
      <c r="FQ341" s="3080"/>
      <c r="FR341" s="1120" t="str">
        <f>IF(INDEX(calc!$BG$207:$BG$389,MATCH(FP325,calc!$AC$207:$AC$389,1))="","",IF(INDEX(calc!$BG$207:$BG$389,MATCH(FP325,calc!$AC$207:$AC$389,1))=" N","",IF(INDEX(calc!$BG$207:$BG$389,MATCH(FP325,calc!$AC$207:$AC$389,1))="S","SN",IF(INDEX(calc!$BG$207:$BG$389,MATCH(FP325,calc!$AC$207:$AC$389,1))="Z","FZ",IF(INDEX(calc!$BG$207:$BG$389,MATCH(FP325,calc!$AC$207:$AC$389,1))="R","RA",INDEX(calc!$BG$207:$BG$389,MATCH(FP325,calc!$AC$207:$AC$389,1)))))))</f>
        <v/>
      </c>
      <c r="FS341" s="3079" t="str">
        <f>IF(INDEX(calc!$AY$207:$AY$389,MATCH(FS325,calc!$AC$207:$AC$389,1))="","       NA",IF(INDEX(calc!$O$189:$O$196,MATCH(INDEX(calc!$AY$207:$AY$389,MATCH(FS325,calc!$AC$207:$AC$389,1)),calc!$N$189:$N$196,0))=7,"    7",IF(INDEX(calc!$O$189:$O$196,MATCH(INDEX(calc!$AY$207:$AY$389,MATCH(FS325,calc!$AC$207:$AC$389,1)),calc!$N$189:$N$196,0))=6,"    6",INDEX(calc!$O$189:$O$196,MATCH(INDEX(calc!$AY$207:$AY$389,MATCH(FS325,calc!$AC$207:$AC$389,1)),calc!$N$189:$N$196,0))&amp;"~"&amp;INDEX(calc!$P$189:$P$196,MATCH(INDEX(calc!$AY$207:$AY$389,MATCH(FS325,calc!$AC$207:$AC$389,1)),calc!$N$189:$N$196,0)))))</f>
        <v xml:space="preserve">       NA</v>
      </c>
      <c r="FT341" s="3080"/>
      <c r="FU341" s="1120" t="str">
        <f>IF(INDEX(calc!$BG$207:$BG$389,MATCH(FS325,calc!$AC$207:$AC$389,1))="","",IF(INDEX(calc!$BG$207:$BG$389,MATCH(FS325,calc!$AC$207:$AC$389,1))=" N","",IF(INDEX(calc!$BG$207:$BG$389,MATCH(FS325,calc!$AC$207:$AC$389,1))="S","SN",IF(INDEX(calc!$BG$207:$BG$389,MATCH(FS325,calc!$AC$207:$AC$389,1))="Z","FZ",IF(INDEX(calc!$BG$207:$BG$389,MATCH(FS325,calc!$AC$207:$AC$389,1))="R","RA",INDEX(calc!$BG$207:$BG$389,MATCH(FS325,calc!$AC$207:$AC$389,1)))))))</f>
        <v/>
      </c>
      <c r="FV341" s="3079" t="str">
        <f>IF(INDEX(calc!$AY$207:$AY$389,MATCH(FV325,calc!$AC$207:$AC$389,1))="","       NA",IF(INDEX(calc!$O$189:$O$196,MATCH(INDEX(calc!$AY$207:$AY$389,MATCH(FV325,calc!$AC$207:$AC$389,1)),calc!$N$189:$N$196,0))=7,"    7",IF(INDEX(calc!$O$189:$O$196,MATCH(INDEX(calc!$AY$207:$AY$389,MATCH(FV325,calc!$AC$207:$AC$389,1)),calc!$N$189:$N$196,0))=6,"    6",INDEX(calc!$O$189:$O$196,MATCH(INDEX(calc!$AY$207:$AY$389,MATCH(FV325,calc!$AC$207:$AC$389,1)),calc!$N$189:$N$196,0))&amp;"~"&amp;INDEX(calc!$P$189:$P$196,MATCH(INDEX(calc!$AY$207:$AY$389,MATCH(FV325,calc!$AC$207:$AC$389,1)),calc!$N$189:$N$196,0)))))</f>
        <v xml:space="preserve">       NA</v>
      </c>
      <c r="FW341" s="3080"/>
      <c r="FX341" s="1120" t="str">
        <f>IF(INDEX(calc!$BG$207:$BG$389,MATCH(FV325,calc!$AC$207:$AC$389,1))="","",IF(INDEX(calc!$BG$207:$BG$389,MATCH(FV325,calc!$AC$207:$AC$389,1))=" N","",IF(INDEX(calc!$BG$207:$BG$389,MATCH(FV325,calc!$AC$207:$AC$389,1))="S","SN",IF(INDEX(calc!$BG$207:$BG$389,MATCH(FV325,calc!$AC$207:$AC$389,1))="Z","FZ",IF(INDEX(calc!$BG$207:$BG$389,MATCH(FV325,calc!$AC$207:$AC$389,1))="R","RA",INDEX(calc!$BG$207:$BG$389,MATCH(FV325,calc!$AC$207:$AC$389,1)))))))</f>
        <v/>
      </c>
      <c r="FY341" s="3079" t="str">
        <f>IF(INDEX(calc!$AY$207:$AY$389,MATCH(FY325,calc!$AC$207:$AC$389,1))="","       NA",IF(INDEX(calc!$O$189:$O$196,MATCH(INDEX(calc!$AY$207:$AY$389,MATCH(FY325,calc!$AC$207:$AC$389,1)),calc!$N$189:$N$196,0))=7,"    7",IF(INDEX(calc!$O$189:$O$196,MATCH(INDEX(calc!$AY$207:$AY$389,MATCH(FY325,calc!$AC$207:$AC$389,1)),calc!$N$189:$N$196,0))=6,"    6",INDEX(calc!$O$189:$O$196,MATCH(INDEX(calc!$AY$207:$AY$389,MATCH(FY325,calc!$AC$207:$AC$389,1)),calc!$N$189:$N$196,0))&amp;"~"&amp;INDEX(calc!$P$189:$P$196,MATCH(INDEX(calc!$AY$207:$AY$389,MATCH(FY325,calc!$AC$207:$AC$389,1)),calc!$N$189:$N$196,0)))))</f>
        <v xml:space="preserve">       NA</v>
      </c>
      <c r="FZ341" s="3080"/>
      <c r="GA341" s="1120" t="str">
        <f>IF(INDEX(calc!$BG$207:$BG$389,MATCH(FY325,calc!$AC$207:$AC$389,1))="","",IF(INDEX(calc!$BG$207:$BG$389,MATCH(FY325,calc!$AC$207:$AC$389,1))=" N","",IF(INDEX(calc!$BG$207:$BG$389,MATCH(FY325,calc!$AC$207:$AC$389,1))="S","SN",IF(INDEX(calc!$BG$207:$BG$389,MATCH(FY325,calc!$AC$207:$AC$389,1))="Z","FZ",IF(INDEX(calc!$BG$207:$BG$389,MATCH(FY325,calc!$AC$207:$AC$389,1))="R","RA",INDEX(calc!$BG$207:$BG$389,MATCH(FY325,calc!$AC$207:$AC$389,1)))))))</f>
        <v/>
      </c>
      <c r="GB341" s="3079" t="str">
        <f>IF(INDEX(calc!$AY$207:$AY$389,MATCH(GB325,calc!$AC$207:$AC$389,1))="","       NA",IF(INDEX(calc!$O$189:$O$196,MATCH(INDEX(calc!$AY$207:$AY$389,MATCH(GB325,calc!$AC$207:$AC$389,1)),calc!$N$189:$N$196,0))=7,"    7",IF(INDEX(calc!$O$189:$O$196,MATCH(INDEX(calc!$AY$207:$AY$389,MATCH(GB325,calc!$AC$207:$AC$389,1)),calc!$N$189:$N$196,0))=6,"    6",INDEX(calc!$O$189:$O$196,MATCH(INDEX(calc!$AY$207:$AY$389,MATCH(GB325,calc!$AC$207:$AC$389,1)),calc!$N$189:$N$196,0))&amp;"~"&amp;INDEX(calc!$P$189:$P$196,MATCH(INDEX(calc!$AY$207:$AY$389,MATCH(GB325,calc!$AC$207:$AC$389,1)),calc!$N$189:$N$196,0)))))</f>
        <v xml:space="preserve">       NA</v>
      </c>
      <c r="GC341" s="3080"/>
      <c r="GD341" s="1120" t="str">
        <f>IF(INDEX(calc!$BG$207:$BG$389,MATCH(GB325,calc!$AC$207:$AC$389,1))="","",IF(INDEX(calc!$BG$207:$BG$389,MATCH(GB325,calc!$AC$207:$AC$389,1))=" N","",IF(INDEX(calc!$BG$207:$BG$389,MATCH(GB325,calc!$AC$207:$AC$389,1))="S","SN",IF(INDEX(calc!$BG$207:$BG$389,MATCH(GB325,calc!$AC$207:$AC$389,1))="Z","FZ",IF(INDEX(calc!$BG$207:$BG$389,MATCH(GB325,calc!$AC$207:$AC$389,1))="R","RA",INDEX(calc!$BG$207:$BG$389,MATCH(GB325,calc!$AC$207:$AC$389,1)))))))</f>
        <v/>
      </c>
      <c r="GE341" s="3079" t="str">
        <f>IF(INDEX(calc!$AY$207:$AY$389,MATCH(GE325,calc!$AC$207:$AC$389,1))="","       NA",IF(INDEX(calc!$O$189:$O$196,MATCH(INDEX(calc!$AY$207:$AY$389,MATCH(GE325,calc!$AC$207:$AC$389,1)),calc!$N$189:$N$196,0))=7,"    7",IF(INDEX(calc!$O$189:$O$196,MATCH(INDEX(calc!$AY$207:$AY$389,MATCH(GE325,calc!$AC$207:$AC$389,1)),calc!$N$189:$N$196,0))=6,"    6",INDEX(calc!$O$189:$O$196,MATCH(INDEX(calc!$AY$207:$AY$389,MATCH(GE325,calc!$AC$207:$AC$389,1)),calc!$N$189:$N$196,0))&amp;"~"&amp;INDEX(calc!$P$189:$P$196,MATCH(INDEX(calc!$AY$207:$AY$389,MATCH(GE325,calc!$AC$207:$AC$389,1)),calc!$N$189:$N$196,0)))))</f>
        <v xml:space="preserve">       NA</v>
      </c>
      <c r="GF341" s="3080"/>
      <c r="GG341" s="1120" t="str">
        <f>IF(INDEX(calc!$BG$207:$BG$389,MATCH(GE325,calc!$AC$207:$AC$389,1))="","",IF(INDEX(calc!$BG$207:$BG$389,MATCH(GE325,calc!$AC$207:$AC$389,1))=" N","",IF(INDEX(calc!$BG$207:$BG$389,MATCH(GE325,calc!$AC$207:$AC$389,1))="S","SN",IF(INDEX(calc!$BG$207:$BG$389,MATCH(GE325,calc!$AC$207:$AC$389,1))="Z","FZ",IF(INDEX(calc!$BG$207:$BG$389,MATCH(GE325,calc!$AC$207:$AC$389,1))="R","RA",INDEX(calc!$BG$207:$BG$389,MATCH(GE325,calc!$AC$207:$AC$389,1)))))))</f>
        <v/>
      </c>
      <c r="GH341" s="3079" t="str">
        <f>IF(INDEX(calc!$AY$207:$AY$389,MATCH(GH325,calc!$AC$207:$AC$389,1))="","       NA",IF(INDEX(calc!$O$189:$O$196,MATCH(INDEX(calc!$AY$207:$AY$389,MATCH(GH325,calc!$AC$207:$AC$389,1)),calc!$N$189:$N$196,0))=7,"    7",IF(INDEX(calc!$O$189:$O$196,MATCH(INDEX(calc!$AY$207:$AY$389,MATCH(GH325,calc!$AC$207:$AC$389,1)),calc!$N$189:$N$196,0))=6,"    6",INDEX(calc!$O$189:$O$196,MATCH(INDEX(calc!$AY$207:$AY$389,MATCH(GH325,calc!$AC$207:$AC$389,1)),calc!$N$189:$N$196,0))&amp;"~"&amp;INDEX(calc!$P$189:$P$196,MATCH(INDEX(calc!$AY$207:$AY$389,MATCH(GH325,calc!$AC$207:$AC$389,1)),calc!$N$189:$N$196,0)))))</f>
        <v xml:space="preserve">       NA</v>
      </c>
      <c r="GI341" s="3080"/>
      <c r="GJ341" s="1120" t="str">
        <f>IF(INDEX(calc!$BG$207:$BG$389,MATCH(GH325,calc!$AC$207:$AC$389,1))="","",IF(INDEX(calc!$BG$207:$BG$389,MATCH(GH325,calc!$AC$207:$AC$389,1))=" N","",IF(INDEX(calc!$BG$207:$BG$389,MATCH(GH325,calc!$AC$207:$AC$389,1))="S","SN",IF(INDEX(calc!$BG$207:$BG$389,MATCH(GH325,calc!$AC$207:$AC$389,1))="Z","FZ",IF(INDEX(calc!$BG$207:$BG$389,MATCH(GH325,calc!$AC$207:$AC$389,1))="R","RA",INDEX(calc!$BG$207:$BG$389,MATCH(GH325,calc!$AC$207:$AC$389,1)))))))</f>
        <v/>
      </c>
      <c r="GK341" s="3079" t="str">
        <f>IF(INDEX(calc!$AY$207:$AY$389,MATCH(GK325,calc!$AC$207:$AC$389,1))="","       NA",IF(INDEX(calc!$O$189:$O$196,MATCH(INDEX(calc!$AY$207:$AY$389,MATCH(GK325,calc!$AC$207:$AC$389,1)),calc!$N$189:$N$196,0))=7,"    7",IF(INDEX(calc!$O$189:$O$196,MATCH(INDEX(calc!$AY$207:$AY$389,MATCH(GK325,calc!$AC$207:$AC$389,1)),calc!$N$189:$N$196,0))=6,"    6",INDEX(calc!$O$189:$O$196,MATCH(INDEX(calc!$AY$207:$AY$389,MATCH(GK325,calc!$AC$207:$AC$389,1)),calc!$N$189:$N$196,0))&amp;"~"&amp;INDEX(calc!$P$189:$P$196,MATCH(INDEX(calc!$AY$207:$AY$389,MATCH(GK325,calc!$AC$207:$AC$389,1)),calc!$N$189:$N$196,0)))))</f>
        <v xml:space="preserve">       NA</v>
      </c>
      <c r="GL341" s="3080"/>
      <c r="GM341" s="1120" t="str">
        <f>IF(INDEX(calc!$BG$207:$BG$389,MATCH(GK325,calc!$AC$207:$AC$389,1))="","",IF(INDEX(calc!$BG$207:$BG$389,MATCH(GK325,calc!$AC$207:$AC$389,1))=" N","",IF(INDEX(calc!$BG$207:$BG$389,MATCH(GK325,calc!$AC$207:$AC$389,1))="S","SN",IF(INDEX(calc!$BG$207:$BG$389,MATCH(GK325,calc!$AC$207:$AC$389,1))="Z","FZ",IF(INDEX(calc!$BG$207:$BG$389,MATCH(GK325,calc!$AC$207:$AC$389,1))="R","RA",INDEX(calc!$BG$207:$BG$389,MATCH(GK325,calc!$AC$207:$AC$389,1)))))))</f>
        <v/>
      </c>
      <c r="GN341" s="3079" t="str">
        <f>IF(INDEX(calc!$AY$207:$AY$389,MATCH(GN325,calc!$AC$207:$AC$389,1))="","       NA",IF(INDEX(calc!$O$189:$O$196,MATCH(INDEX(calc!$AY$207:$AY$389,MATCH(GN325,calc!$AC$207:$AC$389,1)),calc!$N$189:$N$196,0))=7,"    7",IF(INDEX(calc!$O$189:$O$196,MATCH(INDEX(calc!$AY$207:$AY$389,MATCH(GN325,calc!$AC$207:$AC$389,1)),calc!$N$189:$N$196,0))=6,"    6",INDEX(calc!$O$189:$O$196,MATCH(INDEX(calc!$AY$207:$AY$389,MATCH(GN325,calc!$AC$207:$AC$389,1)),calc!$N$189:$N$196,0))&amp;"~"&amp;INDEX(calc!$P$189:$P$196,MATCH(INDEX(calc!$AY$207:$AY$389,MATCH(GN325,calc!$AC$207:$AC$389,1)),calc!$N$189:$N$196,0)))))</f>
        <v xml:space="preserve">       NA</v>
      </c>
      <c r="GO341" s="3080"/>
      <c r="GP341" s="1120" t="str">
        <f>IF(INDEX(calc!$BG$207:$BG$389,MATCH(GN325,calc!$AC$207:$AC$389,1))="","",IF(INDEX(calc!$BG$207:$BG$389,MATCH(GN325,calc!$AC$207:$AC$389,1))=" N","",IF(INDEX(calc!$BG$207:$BG$389,MATCH(GN325,calc!$AC$207:$AC$389,1))="S","SN",IF(INDEX(calc!$BG$207:$BG$389,MATCH(GN325,calc!$AC$207:$AC$389,1))="Z","FZ",IF(INDEX(calc!$BG$207:$BG$389,MATCH(GN325,calc!$AC$207:$AC$389,1))="R","RA",INDEX(calc!$BG$207:$BG$389,MATCH(GN325,calc!$AC$207:$AC$389,1)))))))</f>
        <v/>
      </c>
      <c r="GQ341" s="3079" t="str">
        <f>IF(INDEX(calc!$AY$207:$AY$389,MATCH(GQ325,calc!$AC$207:$AC$389,1))="","       NA",IF(INDEX(calc!$O$189:$O$196,MATCH(INDEX(calc!$AY$207:$AY$389,MATCH(GQ325,calc!$AC$207:$AC$389,1)),calc!$N$189:$N$196,0))=7,"    7",IF(INDEX(calc!$O$189:$O$196,MATCH(INDEX(calc!$AY$207:$AY$389,MATCH(GQ325,calc!$AC$207:$AC$389,1)),calc!$N$189:$N$196,0))=6,"    6",INDEX(calc!$O$189:$O$196,MATCH(INDEX(calc!$AY$207:$AY$389,MATCH(GQ325,calc!$AC$207:$AC$389,1)),calc!$N$189:$N$196,0))&amp;"~"&amp;INDEX(calc!$P$189:$P$196,MATCH(INDEX(calc!$AY$207:$AY$389,MATCH(GQ325,calc!$AC$207:$AC$389,1)),calc!$N$189:$N$196,0)))))</f>
        <v xml:space="preserve">       NA</v>
      </c>
      <c r="GR341" s="3080"/>
      <c r="GS341" s="1120" t="str">
        <f>IF(INDEX(calc!$BG$207:$BG$389,MATCH(GQ325,calc!$AC$207:$AC$389,1))="","",IF(INDEX(calc!$BG$207:$BG$389,MATCH(GQ325,calc!$AC$207:$AC$389,1))=" N","",IF(INDEX(calc!$BG$207:$BG$389,MATCH(GQ325,calc!$AC$207:$AC$389,1))="S","SN",IF(INDEX(calc!$BG$207:$BG$389,MATCH(GQ325,calc!$AC$207:$AC$389,1))="Z","FZ",IF(INDEX(calc!$BG$207:$BG$389,MATCH(GQ325,calc!$AC$207:$AC$389,1))="R","RA",INDEX(calc!$BG$207:$BG$389,MATCH(GQ325,calc!$AC$207:$AC$389,1)))))))</f>
        <v/>
      </c>
    </row>
    <row r="342" spans="12:201" s="539" customFormat="1" ht="6" customHeight="1">
      <c r="L342" s="1166"/>
      <c r="M342" s="1047"/>
      <c r="N342" s="1047"/>
      <c r="O342" s="1047"/>
      <c r="P342" s="1047"/>
      <c r="T342" s="1074"/>
      <c r="U342" s="1074"/>
      <c r="V342" s="1074"/>
      <c r="W342" s="1074"/>
      <c r="X342" s="1072"/>
      <c r="Y342" s="1072"/>
      <c r="Z342" s="1072"/>
      <c r="AA342" s="1071"/>
      <c r="AB342" s="1121"/>
      <c r="AC342" s="1121"/>
      <c r="AD342" s="1122"/>
      <c r="AE342" s="1123"/>
      <c r="AF342" s="1123"/>
      <c r="AG342" s="1123"/>
      <c r="AH342" s="1123"/>
      <c r="AI342" s="1123"/>
      <c r="AJ342" s="1123"/>
      <c r="AK342" s="1123"/>
      <c r="AL342" s="1123"/>
      <c r="AM342" s="1123"/>
      <c r="AN342" s="1116"/>
      <c r="AO342" s="1172"/>
      <c r="AP342" s="1172"/>
      <c r="AQ342" s="1124"/>
      <c r="AR342" s="1124"/>
      <c r="AS342" s="1124"/>
      <c r="AT342" s="1124"/>
      <c r="AU342" s="1124"/>
      <c r="AV342" s="1124"/>
      <c r="AW342" s="1124"/>
      <c r="AX342" s="1116"/>
      <c r="AY342" s="1172"/>
      <c r="AZ342" s="1172"/>
      <c r="BA342" s="1124"/>
      <c r="BB342" s="1125"/>
      <c r="BC342" s="1126"/>
      <c r="BD342" s="1126"/>
      <c r="BE342" s="1126"/>
      <c r="BF342" s="1127"/>
      <c r="BG342" s="1127"/>
      <c r="BH342" s="1127"/>
      <c r="BI342" s="1128"/>
      <c r="BJ342" s="1128"/>
      <c r="BK342" s="1127"/>
      <c r="BL342" s="1127"/>
      <c r="BM342" s="1129"/>
      <c r="BN342" s="1129"/>
      <c r="BO342" s="1126"/>
      <c r="BP342" s="1126"/>
      <c r="BQ342" s="1126"/>
      <c r="BR342" s="1126"/>
      <c r="BS342" s="1126"/>
      <c r="BT342" s="1126"/>
      <c r="BU342" s="1127"/>
      <c r="BV342" s="1112"/>
      <c r="BW342" s="1113"/>
      <c r="BX342" s="1113"/>
      <c r="BY342" s="1113"/>
      <c r="BZ342" s="1113"/>
      <c r="CA342" s="1130"/>
      <c r="CB342" s="1125"/>
      <c r="CC342" s="1126"/>
      <c r="CD342" s="1126"/>
      <c r="CE342" s="1126"/>
      <c r="CF342" s="1127"/>
      <c r="CG342" s="1127"/>
      <c r="CH342" s="1127"/>
      <c r="CI342" s="1128"/>
      <c r="CJ342" s="1128"/>
      <c r="CK342" s="1127"/>
      <c r="CL342" s="1127"/>
      <c r="CM342" s="1129"/>
      <c r="CN342" s="1129"/>
      <c r="CO342" s="1126"/>
      <c r="CP342" s="1126"/>
      <c r="CQ342" s="1126"/>
      <c r="CR342" s="1126"/>
      <c r="CS342" s="1126"/>
      <c r="CT342" s="1126"/>
      <c r="CU342" s="1127"/>
      <c r="CV342" s="1112"/>
      <c r="CW342" s="1113"/>
      <c r="CX342" s="1113"/>
      <c r="CY342" s="1113"/>
      <c r="CZ342" s="1113"/>
      <c r="DA342" s="1130"/>
      <c r="DB342" s="1125"/>
      <c r="DC342" s="1126"/>
      <c r="DD342" s="1126"/>
      <c r="DE342" s="1126"/>
      <c r="DF342" s="1127"/>
      <c r="DG342" s="1127"/>
      <c r="DH342" s="1127"/>
      <c r="DI342" s="1128"/>
      <c r="DJ342" s="1128"/>
      <c r="DK342" s="1127"/>
      <c r="DL342" s="1127"/>
      <c r="DM342" s="1129"/>
      <c r="DN342" s="1129"/>
      <c r="DO342" s="1126"/>
      <c r="DP342" s="1126"/>
      <c r="DQ342" s="1126"/>
      <c r="DR342" s="1126"/>
      <c r="DS342" s="1126"/>
      <c r="DT342" s="1126"/>
      <c r="DU342" s="1127"/>
      <c r="DV342" s="1112"/>
      <c r="DW342" s="1113"/>
      <c r="DX342" s="1113"/>
      <c r="DY342" s="1113"/>
      <c r="DZ342" s="1113"/>
      <c r="EA342" s="1125"/>
      <c r="EB342" s="1125"/>
      <c r="EC342" s="1125"/>
      <c r="ED342" s="1125"/>
      <c r="EE342" s="1125"/>
      <c r="EF342" s="1125"/>
      <c r="EG342" s="1125"/>
      <c r="EH342" s="1125"/>
      <c r="EI342" s="1125"/>
      <c r="EJ342" s="1125"/>
      <c r="EK342" s="1125"/>
      <c r="EL342" s="1125"/>
      <c r="EM342" s="1125"/>
      <c r="EN342" s="1125"/>
      <c r="EO342" s="1125"/>
      <c r="EP342" s="1125"/>
      <c r="EQ342" s="1125"/>
      <c r="ER342" s="1125"/>
      <c r="ES342" s="1125"/>
      <c r="ET342" s="1125"/>
      <c r="EU342" s="1125"/>
      <c r="EV342" s="1125"/>
      <c r="EW342" s="1125"/>
      <c r="EX342" s="1125"/>
      <c r="EY342" s="1125"/>
      <c r="EZ342" s="1125"/>
      <c r="FA342" s="1125"/>
      <c r="FB342" s="1125"/>
      <c r="FC342" s="1125"/>
      <c r="FD342" s="1125"/>
      <c r="FE342" s="1125"/>
      <c r="FF342" s="1125"/>
      <c r="FG342" s="1125"/>
      <c r="FH342" s="1125"/>
      <c r="FI342" s="1125"/>
      <c r="FJ342" s="1125"/>
      <c r="FK342" s="1125"/>
      <c r="FL342" s="1125"/>
      <c r="FM342" s="1125"/>
      <c r="FN342" s="1125"/>
      <c r="FO342" s="1125"/>
      <c r="FP342" s="1125"/>
      <c r="FQ342" s="1125"/>
      <c r="FR342" s="1125"/>
      <c r="FS342" s="1125"/>
      <c r="FT342" s="1125"/>
      <c r="FU342" s="1125"/>
      <c r="FV342" s="1125"/>
      <c r="FW342" s="1125"/>
      <c r="FX342" s="1125"/>
      <c r="FY342" s="1125"/>
      <c r="FZ342" s="1125"/>
      <c r="GA342" s="1125"/>
      <c r="GB342" s="1125"/>
      <c r="GC342" s="1125"/>
      <c r="GD342" s="1125"/>
      <c r="GE342" s="1125"/>
      <c r="GF342" s="1125"/>
      <c r="GG342" s="1125"/>
      <c r="GH342" s="1125"/>
      <c r="GI342" s="1125"/>
      <c r="GJ342" s="1125"/>
      <c r="GK342" s="1125"/>
      <c r="GL342" s="1125"/>
      <c r="GM342" s="1125"/>
      <c r="GN342" s="1125"/>
      <c r="GO342" s="1125"/>
      <c r="GP342" s="1125"/>
      <c r="GQ342" s="1125"/>
      <c r="GR342" s="1125"/>
      <c r="GS342" s="1125"/>
    </row>
    <row r="343" spans="12:201" s="539" customFormat="1" ht="15" customHeight="1">
      <c r="L343" s="1166"/>
      <c r="M343" s="1047"/>
      <c r="N343" s="1047"/>
      <c r="O343" s="1047"/>
      <c r="P343" s="1047"/>
      <c r="T343" s="3059" t="s">
        <v>215</v>
      </c>
      <c r="U343" s="3059"/>
      <c r="V343" s="3059"/>
      <c r="W343" s="3059"/>
      <c r="AA343" s="1071" t="s">
        <v>332</v>
      </c>
      <c r="AB343" s="3084">
        <f>IF(INDEX(calc!$BX$207:$BX$389,MATCH(AB325,calc!$AC$207:$AC$389,1))="","NA",IF(INDEX(calc!$BX$207:$BX$389,MATCH(AB325,calc!$AC$207:$AC$389,1))&lt;3,MROUND(INDEX(calc!$BX$207:$BX$389,MATCH(AB325,calc!$AC$207:$AC$389,1)),0.25),ROUND(INDEX(calc!$BX$207:$BX$389,MATCH(AB325,calc!$AC$207:$AC$389,1)),0)))</f>
        <v>7</v>
      </c>
      <c r="AC343" s="3085"/>
      <c r="AD343" s="1131" t="str">
        <f>IF(OR(AB343="NA",INDEX(calc!$BY$207:$BY$389,MATCH(AB325,calc!$AC$207:$AC$389,1))="NSW"),"",INDEX(calc!$BY$207:$BY$389,MATCH(AB325,calc!$AC$207:$AC$389,1)))</f>
        <v/>
      </c>
      <c r="AE343" s="3084">
        <f>IF(INDEX(calc!$BX$207:$BX$389,MATCH(AE325,calc!$AC$207:$AC$389,1))="","NA",IF(INDEX(calc!$BX$207:$BX$389,MATCH(AE325,calc!$AC$207:$AC$389,1))&lt;3,MROUND(INDEX(calc!$BX$207:$BX$389,MATCH(AE325,calc!$AC$207:$AC$389,1)),0.25),ROUND(INDEX(calc!$BX$207:$BX$389,MATCH(AE325,calc!$AC$207:$AC$389,1)),0)))</f>
        <v>7</v>
      </c>
      <c r="AF343" s="3085"/>
      <c r="AG343" s="1131" t="str">
        <f>IF(OR(AE343="NA",INDEX(calc!$BY$207:$BY$389,MATCH(AE325,calc!$AC$207:$AC$389,1))="NSW"),"",INDEX(calc!$BY$207:$BY$389,MATCH(AE325,calc!$AC$207:$AC$389,1)))</f>
        <v/>
      </c>
      <c r="AH343" s="3084">
        <f>IF(INDEX(calc!$BX$207:$BX$389,MATCH(AH325,calc!$AC$207:$AC$389,1))="","NA",IF(INDEX(calc!$BX$207:$BX$389,MATCH(AH325,calc!$AC$207:$AC$389,1))&lt;3,MROUND(INDEX(calc!$BX$207:$BX$389,MATCH(AH325,calc!$AC$207:$AC$389,1)),0.25),ROUND(INDEX(calc!$BX$207:$BX$389,MATCH(AH325,calc!$AC$207:$AC$389,1)),0)))</f>
        <v>7</v>
      </c>
      <c r="AI343" s="3085"/>
      <c r="AJ343" s="1131" t="str">
        <f>IF(OR(AH343="NA",INDEX(calc!$BY$207:$BY$389,MATCH(AH325,calc!$AC$207:$AC$389,1))="NSW"),"",INDEX(calc!$BY$207:$BY$389,MATCH(AH325,calc!$AC$207:$AC$389,1)))</f>
        <v/>
      </c>
      <c r="AK343" s="3084">
        <f>IF(INDEX(calc!$BX$207:$BX$389,MATCH(AK325,calc!$AC$207:$AC$389,1))="","NA",IF(INDEX(calc!$BX$207:$BX$389,MATCH(AK325,calc!$AC$207:$AC$389,1))&lt;3,MROUND(INDEX(calc!$BX$207:$BX$389,MATCH(AK325,calc!$AC$207:$AC$389,1)),0.25),ROUND(INDEX(calc!$BX$207:$BX$389,MATCH(AK325,calc!$AC$207:$AC$389,1)),0)))</f>
        <v>7</v>
      </c>
      <c r="AL343" s="3085"/>
      <c r="AM343" s="1131" t="str">
        <f>IF(OR(AK343="NA",INDEX(calc!$BY$207:$BY$389,MATCH(AK325,calc!$AC$207:$AC$389,1))="NSW"),"",INDEX(calc!$BY$207:$BY$389,MATCH(AK325,calc!$AC$207:$AC$389,1)))</f>
        <v/>
      </c>
      <c r="AN343" s="3084">
        <f>IF(INDEX(calc!$BX$207:$BX$389,MATCH(AN325,calc!$AC$207:$AC$389,1))="","NA",IF(INDEX(calc!$BX$207:$BX$389,MATCH(AN325,calc!$AC$207:$AC$389,1))&lt;3,MROUND(INDEX(calc!$BX$207:$BX$389,MATCH(AN325,calc!$AC$207:$AC$389,1)),0.25),ROUND(INDEX(calc!$BX$207:$BX$389,MATCH(AN325,calc!$AC$207:$AC$389,1)),0)))</f>
        <v>6</v>
      </c>
      <c r="AO343" s="3085"/>
      <c r="AP343" s="1131" t="str">
        <f>IF(OR(AN343="NA",INDEX(calc!$BY$207:$BY$389,MATCH(AN325,calc!$AC$207:$AC$389,1))="NSW"),"",INDEX(calc!$BY$207:$BY$389,MATCH(AN325,calc!$AC$207:$AC$389,1)))</f>
        <v>TS</v>
      </c>
      <c r="AQ343" s="3084">
        <f>IF(INDEX(calc!$BX$207:$BX$389,MATCH(AQ325,calc!$AC$207:$AC$389,1))="","NA",IF(INDEX(calc!$BX$207:$BX$389,MATCH(AQ325,calc!$AC$207:$AC$389,1))&lt;3,MROUND(INDEX(calc!$BX$207:$BX$389,MATCH(AQ325,calc!$AC$207:$AC$389,1)),0.25),ROUND(INDEX(calc!$BX$207:$BX$389,MATCH(AQ325,calc!$AC$207:$AC$389,1)),0)))</f>
        <v>7</v>
      </c>
      <c r="AR343" s="3085"/>
      <c r="AS343" s="1131" t="str">
        <f>IF(OR(AQ343="NA",INDEX(calc!$BY$207:$BY$389,MATCH(AQ325,calc!$AC$207:$AC$389,1))="NSW"),"",INDEX(calc!$BY$207:$BY$389,MATCH(AQ325,calc!$AC$207:$AC$389,1)))</f>
        <v/>
      </c>
      <c r="AT343" s="3084">
        <f>IF(INDEX(calc!$BX$207:$BX$389,MATCH(AT325,calc!$AC$207:$AC$389,1))="","NA",IF(INDEX(calc!$BX$207:$BX$389,MATCH(AT325,calc!$AC$207:$AC$389,1))&lt;3,MROUND(INDEX(calc!$BX$207:$BX$389,MATCH(AT325,calc!$AC$207:$AC$389,1)),0.25),ROUND(INDEX(calc!$BX$207:$BX$389,MATCH(AT325,calc!$AC$207:$AC$389,1)),0)))</f>
        <v>7</v>
      </c>
      <c r="AU343" s="3085"/>
      <c r="AV343" s="1131" t="str">
        <f>IF(OR(AT343="NA",INDEX(calc!$BY$207:$BY$389,MATCH(AT325,calc!$AC$207:$AC$389,1))="NSW"),"",INDEX(calc!$BY$207:$BY$389,MATCH(AT325,calc!$AC$207:$AC$389,1)))</f>
        <v/>
      </c>
      <c r="AW343" s="3084">
        <f>IF(INDEX(calc!$BX$207:$BX$389,MATCH(AW325,calc!$AC$207:$AC$389,1))="","NA",IF(INDEX(calc!$BX$207:$BX$389,MATCH(AW325,calc!$AC$207:$AC$389,1))&lt;3,MROUND(INDEX(calc!$BX$207:$BX$389,MATCH(AW325,calc!$AC$207:$AC$389,1)),0.25),ROUND(INDEX(calc!$BX$207:$BX$389,MATCH(AW325,calc!$AC$207:$AC$389,1)),0)))</f>
        <v>4</v>
      </c>
      <c r="AX343" s="3085"/>
      <c r="AY343" s="1131" t="str">
        <f>IF(OR(AW343="NA",INDEX(calc!$BY$207:$BY$389,MATCH(AW325,calc!$AC$207:$AC$389,1))="NSW"),"",INDEX(calc!$BY$207:$BY$389,MATCH(AW325,calc!$AC$207:$AC$389,1)))</f>
        <v>TS</v>
      </c>
      <c r="AZ343" s="3084">
        <f>IF(INDEX(calc!$BX$207:$BX$389,MATCH(AZ325,calc!$AC$207:$AC$389,1))="","NA",IF(INDEX(calc!$BX$207:$BX$389,MATCH(AZ325,calc!$AC$207:$AC$389,1))&lt;3,MROUND(INDEX(calc!$BX$207:$BX$389,MATCH(AZ325,calc!$AC$207:$AC$389,1)),0.25),ROUND(INDEX(calc!$BX$207:$BX$389,MATCH(AZ325,calc!$AC$207:$AC$389,1)),0)))</f>
        <v>4</v>
      </c>
      <c r="BA343" s="3085"/>
      <c r="BB343" s="1131" t="str">
        <f>IF(OR(AZ343="NA",INDEX(calc!$BY$207:$BY$389,MATCH(AZ325,calc!$AC$207:$AC$389,1))="NSW"),"",INDEX(calc!$BY$207:$BY$389,MATCH(AZ325,calc!$AC$207:$AC$389,1)))</f>
        <v>TS</v>
      </c>
      <c r="BC343" s="3084">
        <f>IF(INDEX(calc!$BX$207:$BX$389,MATCH(BC325,calc!$AC$207:$AC$389,1))="","NA",IF(INDEX(calc!$BX$207:$BX$389,MATCH(BC325,calc!$AC$207:$AC$389,1))&lt;3,MROUND(INDEX(calc!$BX$207:$BX$389,MATCH(BC325,calc!$AC$207:$AC$389,1)),0.25),ROUND(INDEX(calc!$BX$207:$BX$389,MATCH(BC325,calc!$AC$207:$AC$389,1)),0)))</f>
        <v>4</v>
      </c>
      <c r="BD343" s="3085"/>
      <c r="BE343" s="1131" t="str">
        <f>IF(OR(BC343="NA",INDEX(calc!$BY$207:$BY$389,MATCH(BC325,calc!$AC$207:$AC$389,1))="NSW"),"",INDEX(calc!$BY$207:$BY$389,MATCH(BC325,calc!$AC$207:$AC$389,1)))</f>
        <v>TS</v>
      </c>
      <c r="BF343" s="3084">
        <f>IF(INDEX(calc!$BX$207:$BX$389,MATCH(BF325,calc!$AC$207:$AC$389,1))="","NA",IF(INDEX(calc!$BX$207:$BX$389,MATCH(BF325,calc!$AC$207:$AC$389,1))&lt;3,MROUND(INDEX(calc!$BX$207:$BX$389,MATCH(BF325,calc!$AC$207:$AC$389,1)),0.25),ROUND(INDEX(calc!$BX$207:$BX$389,MATCH(BF325,calc!$AC$207:$AC$389,1)),0)))</f>
        <v>7</v>
      </c>
      <c r="BG343" s="3085"/>
      <c r="BH343" s="1131" t="str">
        <f>IF(OR(BF343="NA",INDEX(calc!$BY$207:$BY$389,MATCH(BF325,calc!$AC$207:$AC$389,1))="NSW"),"",INDEX(calc!$BY$207:$BY$389,MATCH(BF325,calc!$AC$207:$AC$389,1)))</f>
        <v/>
      </c>
      <c r="BI343" s="3084">
        <f>IF(INDEX(calc!$BX$207:$BX$389,MATCH(BI325,calc!$AC$207:$AC$389,1))="","NA",IF(INDEX(calc!$BX$207:$BX$389,MATCH(BI325,calc!$AC$207:$AC$389,1))&lt;3,MROUND(INDEX(calc!$BX$207:$BX$389,MATCH(BI325,calc!$AC$207:$AC$389,1)),0.25),ROUND(INDEX(calc!$BX$207:$BX$389,MATCH(BI325,calc!$AC$207:$AC$389,1)),0)))</f>
        <v>7</v>
      </c>
      <c r="BJ343" s="3085"/>
      <c r="BK343" s="1131" t="str">
        <f>IF(OR(BI343="NA",INDEX(calc!$BY$207:$BY$389,MATCH(BI325,calc!$AC$207:$AC$389,1))="NSW"),"",INDEX(calc!$BY$207:$BY$389,MATCH(BI325,calc!$AC$207:$AC$389,1)))</f>
        <v/>
      </c>
      <c r="BL343" s="3084">
        <f>IF(INDEX(calc!$BX$207:$BX$389,MATCH(BL325,calc!$AC$207:$AC$389,1))="","NA",IF(INDEX(calc!$BX$207:$BX$389,MATCH(BL325,calc!$AC$207:$AC$389,1))&lt;3,MROUND(INDEX(calc!$BX$207:$BX$389,MATCH(BL325,calc!$AC$207:$AC$389,1)),0.25),ROUND(INDEX(calc!$BX$207:$BX$389,MATCH(BL325,calc!$AC$207:$AC$389,1)),0)))</f>
        <v>7</v>
      </c>
      <c r="BM343" s="3085"/>
      <c r="BN343" s="1131" t="str">
        <f>IF(OR(BL343="NA",INDEX(calc!$BY$207:$BY$389,MATCH(BL325,calc!$AC$207:$AC$389,1))="NSW"),"",INDEX(calc!$BY$207:$BY$389,MATCH(BL325,calc!$AC$207:$AC$389,1)))</f>
        <v/>
      </c>
      <c r="BO343" s="3084">
        <f>IF(INDEX(calc!$BX$207:$BX$389,MATCH(BO325,calc!$AC$207:$AC$389,1))="","NA",IF(INDEX(calc!$BX$207:$BX$389,MATCH(BO325,calc!$AC$207:$AC$389,1))&lt;3,MROUND(INDEX(calc!$BX$207:$BX$389,MATCH(BO325,calc!$AC$207:$AC$389,1)),0.25),ROUND(INDEX(calc!$BX$207:$BX$389,MATCH(BO325,calc!$AC$207:$AC$389,1)),0)))</f>
        <v>7</v>
      </c>
      <c r="BP343" s="3085"/>
      <c r="BQ343" s="1131" t="str">
        <f>IF(OR(BO343="NA",INDEX(calc!$BY$207:$BY$389,MATCH(BO325,calc!$AC$207:$AC$389,1))="NSW"),"",INDEX(calc!$BY$207:$BY$389,MATCH(BO325,calc!$AC$207:$AC$389,1)))</f>
        <v/>
      </c>
      <c r="BR343" s="3084">
        <f>IF(INDEX(calc!$BX$207:$BX$389,MATCH(BR325,calc!$AC$207:$AC$389,1))="","NA",IF(INDEX(calc!$BX$207:$BX$389,MATCH(BR325,calc!$AC$207:$AC$389,1))&lt;3,MROUND(INDEX(calc!$BX$207:$BX$389,MATCH(BR325,calc!$AC$207:$AC$389,1)),0.25),ROUND(INDEX(calc!$BX$207:$BX$389,MATCH(BR325,calc!$AC$207:$AC$389,1)),0)))</f>
        <v>7</v>
      </c>
      <c r="BS343" s="3085"/>
      <c r="BT343" s="1131" t="str">
        <f>IF(OR(BR343="NA",INDEX(calc!$BY$207:$BY$389,MATCH(BR325,calc!$AC$207:$AC$389,1))="NSW"),"",INDEX(calc!$BY$207:$BY$389,MATCH(BR325,calc!$AC$207:$AC$389,1)))</f>
        <v/>
      </c>
      <c r="BU343" s="3084">
        <f>IF(INDEX(calc!$BX$207:$BX$389,MATCH(BU325,calc!$AC$207:$AC$389,1))="","NA",IF(INDEX(calc!$BX$207:$BX$389,MATCH(BU325,calc!$AC$207:$AC$389,1))&lt;3,MROUND(INDEX(calc!$BX$207:$BX$389,MATCH(BU325,calc!$AC$207:$AC$389,1)),0.25),ROUND(INDEX(calc!$BX$207:$BX$389,MATCH(BU325,calc!$AC$207:$AC$389,1)),0)))</f>
        <v>7</v>
      </c>
      <c r="BV343" s="3085"/>
      <c r="BW343" s="1131" t="str">
        <f>IF(OR(BU343="NA",INDEX(calc!$BY$207:$BY$389,MATCH(BU325,calc!$AC$207:$AC$389,1))="NSW"),"",INDEX(calc!$BY$207:$BY$389,MATCH(BU325,calc!$AC$207:$AC$389,1)))</f>
        <v/>
      </c>
      <c r="BX343" s="3084">
        <f>IF(INDEX(calc!$BX$207:$BX$389,MATCH(BX325,calc!$AC$207:$AC$389,1))="","NA",IF(INDEX(calc!$BX$207:$BX$389,MATCH(BX325,calc!$AC$207:$AC$389,1))&lt;3,MROUND(INDEX(calc!$BX$207:$BX$389,MATCH(BX325,calc!$AC$207:$AC$389,1)),0.25),ROUND(INDEX(calc!$BX$207:$BX$389,MATCH(BX325,calc!$AC$207:$AC$389,1)),0)))</f>
        <v>6</v>
      </c>
      <c r="BY343" s="3085"/>
      <c r="BZ343" s="1131" t="str">
        <f>IF(OR(BX343="NA",INDEX(calc!$BY$207:$BY$389,MATCH(BX325,calc!$AC$207:$AC$389,1))="NSW"),"",INDEX(calc!$BY$207:$BY$389,MATCH(BX325,calc!$AC$207:$AC$389,1)))</f>
        <v>BR</v>
      </c>
      <c r="CA343" s="3084">
        <f>IF(INDEX(calc!$BX$207:$BX$389,MATCH(CA325,calc!$AC$207:$AC$389,1))="","NA",IF(INDEX(calc!$BX$207:$BX$389,MATCH(CA325,calc!$AC$207:$AC$389,1))&lt;3,MROUND(INDEX(calc!$BX$207:$BX$389,MATCH(CA325,calc!$AC$207:$AC$389,1)),0.25),ROUND(INDEX(calc!$BX$207:$BX$389,MATCH(CA325,calc!$AC$207:$AC$389,1)),0)))</f>
        <v>7</v>
      </c>
      <c r="CB343" s="3085"/>
      <c r="CC343" s="1131" t="str">
        <f>IF(OR(CA343="NA",INDEX(calc!$BY$207:$BY$389,MATCH(CA325,calc!$AC$207:$AC$389,1))="NSW"),"",INDEX(calc!$BY$207:$BY$389,MATCH(CA325,calc!$AC$207:$AC$389,1)))</f>
        <v/>
      </c>
      <c r="CD343" s="3084">
        <f>IF(INDEX(calc!$BX$207:$BX$389,MATCH(CD325,calc!$AC$207:$AC$389,1))="","NA",IF(INDEX(calc!$BX$207:$BX$389,MATCH(CD325,calc!$AC$207:$AC$389,1))&lt;3,MROUND(INDEX(calc!$BX$207:$BX$389,MATCH(CD325,calc!$AC$207:$AC$389,1)),0.25),ROUND(INDEX(calc!$BX$207:$BX$389,MATCH(CD325,calc!$AC$207:$AC$389,1)),0)))</f>
        <v>7</v>
      </c>
      <c r="CE343" s="3085"/>
      <c r="CF343" s="1131" t="str">
        <f>IF(OR(CD343="NA",INDEX(calc!$BY$207:$BY$389,MATCH(CD325,calc!$AC$207:$AC$389,1))="NSW"),"",INDEX(calc!$BY$207:$BY$389,MATCH(CD325,calc!$AC$207:$AC$389,1)))</f>
        <v/>
      </c>
      <c r="CG343" s="3084">
        <f>IF(INDEX(calc!$BX$207:$BX$389,MATCH(CG325,calc!$AC$207:$AC$389,1))="","NA",IF(INDEX(calc!$BX$207:$BX$389,MATCH(CG325,calc!$AC$207:$AC$389,1))&lt;3,MROUND(INDEX(calc!$BX$207:$BX$389,MATCH(CG325,calc!$AC$207:$AC$389,1)),0.25),ROUND(INDEX(calc!$BX$207:$BX$389,MATCH(CG325,calc!$AC$207:$AC$389,1)),0)))</f>
        <v>7</v>
      </c>
      <c r="CH343" s="3085"/>
      <c r="CI343" s="1131" t="str">
        <f>IF(OR(CG343="NA",INDEX(calc!$BY$207:$BY$389,MATCH(CG325,calc!$AC$207:$AC$389,1))="NSW"),"",INDEX(calc!$BY$207:$BY$389,MATCH(CG325,calc!$AC$207:$AC$389,1)))</f>
        <v/>
      </c>
      <c r="CJ343" s="3084">
        <f>IF(INDEX(calc!$BX$207:$BX$389,MATCH(CJ325,calc!$AC$207:$AC$389,1))="","NA",IF(INDEX(calc!$BX$207:$BX$389,MATCH(CJ325,calc!$AC$207:$AC$389,1))&lt;3,MROUND(INDEX(calc!$BX$207:$BX$389,MATCH(CJ325,calc!$AC$207:$AC$389,1)),0.25),ROUND(INDEX(calc!$BX$207:$BX$389,MATCH(CJ325,calc!$AC$207:$AC$389,1)),0)))</f>
        <v>7</v>
      </c>
      <c r="CK343" s="3085"/>
      <c r="CL343" s="1131" t="str">
        <f>IF(OR(CJ343="NA",INDEX(calc!$BY$207:$BY$389,MATCH(CJ325,calc!$AC$207:$AC$389,1))="NSW"),"",INDEX(calc!$BY$207:$BY$389,MATCH(CJ325,calc!$AC$207:$AC$389,1)))</f>
        <v/>
      </c>
      <c r="CM343" s="3084">
        <f>IF(INDEX(calc!$BX$207:$BX$389,MATCH(CM325,calc!$AC$207:$AC$389,1))="","NA",IF(INDEX(calc!$BX$207:$BX$389,MATCH(CM325,calc!$AC$207:$AC$389,1))&lt;3,MROUND(INDEX(calc!$BX$207:$BX$389,MATCH(CM325,calc!$AC$207:$AC$389,1)),0.25),ROUND(INDEX(calc!$BX$207:$BX$389,MATCH(CM325,calc!$AC$207:$AC$389,1)),0)))</f>
        <v>7</v>
      </c>
      <c r="CN343" s="3085"/>
      <c r="CO343" s="1131" t="str">
        <f>IF(OR(CM343="NA",INDEX(calc!$BY$207:$BY$389,MATCH(CM325,calc!$AC$207:$AC$389,1))="NSW"),"",INDEX(calc!$BY$207:$BY$389,MATCH(CM325,calc!$AC$207:$AC$389,1)))</f>
        <v/>
      </c>
      <c r="CP343" s="3084">
        <f>IF(INDEX(calc!$BX$207:$BX$389,MATCH(CP325,calc!$AC$207:$AC$389,1))="","NA",IF(INDEX(calc!$BX$207:$BX$389,MATCH(CP325,calc!$AC$207:$AC$389,1))&lt;3,MROUND(INDEX(calc!$BX$207:$BX$389,MATCH(CP325,calc!$AC$207:$AC$389,1)),0.25),ROUND(INDEX(calc!$BX$207:$BX$389,MATCH(CP325,calc!$AC$207:$AC$389,1)),0)))</f>
        <v>7</v>
      </c>
      <c r="CQ343" s="3085"/>
      <c r="CR343" s="1131" t="str">
        <f>IF(OR(CP343="NA",INDEX(calc!$BY$207:$BY$389,MATCH(CP325,calc!$AC$207:$AC$389,1))="NSW"),"",INDEX(calc!$BY$207:$BY$389,MATCH(CP325,calc!$AC$207:$AC$389,1)))</f>
        <v/>
      </c>
      <c r="CS343" s="3084">
        <f>IF(INDEX(calc!$BX$207:$BX$389,MATCH(CS325,calc!$AC$207:$AC$389,1))="","NA",IF(INDEX(calc!$BX$207:$BX$389,MATCH(CS325,calc!$AC$207:$AC$389,1))&lt;3,MROUND(INDEX(calc!$BX$207:$BX$389,MATCH(CS325,calc!$AC$207:$AC$389,1)),0.25),ROUND(INDEX(calc!$BX$207:$BX$389,MATCH(CS325,calc!$AC$207:$AC$389,1)),0)))</f>
        <v>7</v>
      </c>
      <c r="CT343" s="3085"/>
      <c r="CU343" s="1131" t="str">
        <f>IF(OR(CS343="NA",INDEX(calc!$BY$207:$BY$389,MATCH(CS325,calc!$AC$207:$AC$389,1))="NSW"),"",INDEX(calc!$BY$207:$BY$389,MATCH(CS325,calc!$AC$207:$AC$389,1)))</f>
        <v/>
      </c>
      <c r="CV343" s="3084">
        <f>IF(INDEX(calc!$BX$207:$BX$389,MATCH(CV325,calc!$AC$207:$AC$389,1))="","NA",IF(INDEX(calc!$BX$207:$BX$389,MATCH(CV325,calc!$AC$207:$AC$389,1))&lt;3,MROUND(INDEX(calc!$BX$207:$BX$389,MATCH(CV325,calc!$AC$207:$AC$389,1)),0.25),ROUND(INDEX(calc!$BX$207:$BX$389,MATCH(CV325,calc!$AC$207:$AC$389,1)),0)))</f>
        <v>7</v>
      </c>
      <c r="CW343" s="3085"/>
      <c r="CX343" s="1131" t="str">
        <f>IF(OR(CV343="NA",INDEX(calc!$BY$207:$BY$389,MATCH(CV325,calc!$AC$207:$AC$389,1))="NSW"),"",INDEX(calc!$BY$207:$BY$389,MATCH(CV325,calc!$AC$207:$AC$389,1)))</f>
        <v/>
      </c>
      <c r="CY343" s="3084">
        <f>IF(INDEX(calc!$BX$207:$BX$389,MATCH(CY325,calc!$AC$207:$AC$389,1))="","NA",IF(INDEX(calc!$BX$207:$BX$389,MATCH(CY325,calc!$AC$207:$AC$389,1))&lt;3,MROUND(INDEX(calc!$BX$207:$BX$389,MATCH(CY325,calc!$AC$207:$AC$389,1)),0.25),ROUND(INDEX(calc!$BX$207:$BX$389,MATCH(CY325,calc!$AC$207:$AC$389,1)),0)))</f>
        <v>7</v>
      </c>
      <c r="CZ343" s="3085"/>
      <c r="DA343" s="1131" t="str">
        <f>IF(OR(CY343="NA",INDEX(calc!$BY$207:$BY$389,MATCH(CY325,calc!$AC$207:$AC$389,1))="NSW"),"",INDEX(calc!$BY$207:$BY$389,MATCH(CY325,calc!$AC$207:$AC$389,1)))</f>
        <v/>
      </c>
      <c r="DB343" s="3084">
        <f>IF(INDEX(calc!$BX$207:$BX$389,MATCH(DB325,calc!$AC$207:$AC$389,1))="","NA",IF(INDEX(calc!$BX$207:$BX$389,MATCH(DB325,calc!$AC$207:$AC$389,1))&lt;3,MROUND(INDEX(calc!$BX$207:$BX$389,MATCH(DB325,calc!$AC$207:$AC$389,1)),0.25),ROUND(INDEX(calc!$BX$207:$BX$389,MATCH(DB325,calc!$AC$207:$AC$389,1)),0)))</f>
        <v>7</v>
      </c>
      <c r="DC343" s="3085"/>
      <c r="DD343" s="1131" t="str">
        <f>IF(OR(DB343="NA",INDEX(calc!$BY$207:$BY$389,MATCH(DB325,calc!$AC$207:$AC$389,1))="NSW"),"",INDEX(calc!$BY$207:$BY$389,MATCH(DB325,calc!$AC$207:$AC$389,1)))</f>
        <v/>
      </c>
      <c r="DE343" s="3084">
        <f>IF(INDEX(calc!$BX$207:$BX$389,MATCH(DE325,calc!$AC$207:$AC$389,1))="","NA",IF(INDEX(calc!$BX$207:$BX$389,MATCH(DE325,calc!$AC$207:$AC$389,1))&lt;3,MROUND(INDEX(calc!$BX$207:$BX$389,MATCH(DE325,calc!$AC$207:$AC$389,1)),0.25),ROUND(INDEX(calc!$BX$207:$BX$389,MATCH(DE325,calc!$AC$207:$AC$389,1)),0)))</f>
        <v>4</v>
      </c>
      <c r="DF343" s="3085"/>
      <c r="DG343" s="1131" t="str">
        <f>IF(OR(DE343="NA",INDEX(calc!$BY$207:$BY$389,MATCH(DE325,calc!$AC$207:$AC$389,1))="NSW"),"",INDEX(calc!$BY$207:$BY$389,MATCH(DE325,calc!$AC$207:$AC$389,1)))</f>
        <v>TS</v>
      </c>
      <c r="DH343" s="3084">
        <f>IF(INDEX(calc!$BX$207:$BX$389,MATCH(DH325,calc!$AC$207:$AC$389,1))="","NA",IF(INDEX(calc!$BX$207:$BX$389,MATCH(DH325,calc!$AC$207:$AC$389,1))&lt;3,MROUND(INDEX(calc!$BX$207:$BX$389,MATCH(DH325,calc!$AC$207:$AC$389,1)),0.25),ROUND(INDEX(calc!$BX$207:$BX$389,MATCH(DH325,calc!$AC$207:$AC$389,1)),0)))</f>
        <v>7</v>
      </c>
      <c r="DI343" s="3085"/>
      <c r="DJ343" s="1131" t="str">
        <f>IF(OR(DH343="NA",INDEX(calc!$BY$207:$BY$389,MATCH(DH325,calc!$AC$207:$AC$389,1))="NSW"),"",INDEX(calc!$BY$207:$BY$389,MATCH(DH325,calc!$AC$207:$AC$389,1)))</f>
        <v/>
      </c>
      <c r="DK343" s="3084">
        <f>IF(INDEX(calc!$BX$207:$BX$389,MATCH(DK325,calc!$AC$207:$AC$389,1))="","NA",IF(INDEX(calc!$BX$207:$BX$389,MATCH(DK325,calc!$AC$207:$AC$389,1))&lt;3,MROUND(INDEX(calc!$BX$207:$BX$389,MATCH(DK325,calc!$AC$207:$AC$389,1)),0.25),ROUND(INDEX(calc!$BX$207:$BX$389,MATCH(DK325,calc!$AC$207:$AC$389,1)),0)))</f>
        <v>7</v>
      </c>
      <c r="DL343" s="3085"/>
      <c r="DM343" s="1131" t="str">
        <f>IF(OR(DK343="NA",INDEX(calc!$BY$207:$BY$389,MATCH(DK325,calc!$AC$207:$AC$389,1))="NSW"),"",INDEX(calc!$BY$207:$BY$389,MATCH(DK325,calc!$AC$207:$AC$389,1)))</f>
        <v/>
      </c>
      <c r="DN343" s="3084">
        <f>IF(INDEX(calc!$BX$207:$BX$389,MATCH(DN325,calc!$AC$207:$AC$389,1))="","NA",IF(INDEX(calc!$BX$207:$BX$389,MATCH(DN325,calc!$AC$207:$AC$389,1))&lt;3,MROUND(INDEX(calc!$BX$207:$BX$389,MATCH(DN325,calc!$AC$207:$AC$389,1)),0.25),ROUND(INDEX(calc!$BX$207:$BX$389,MATCH(DN325,calc!$AC$207:$AC$389,1)),0)))</f>
        <v>6</v>
      </c>
      <c r="DO343" s="3085"/>
      <c r="DP343" s="1131" t="str">
        <f>IF(OR(DN343="NA",INDEX(calc!$BY$207:$BY$389,MATCH(DN325,calc!$AC$207:$AC$389,1))="NSW"),"",INDEX(calc!$BY$207:$BY$389,MATCH(DN325,calc!$AC$207:$AC$389,1)))</f>
        <v>RA</v>
      </c>
      <c r="DQ343" s="3084">
        <f>IF(INDEX(calc!$BX$207:$BX$389,MATCH(DQ325,calc!$AC$207:$AC$389,1))="","NA",IF(INDEX(calc!$BX$207:$BX$389,MATCH(DQ325,calc!$AC$207:$AC$389,1))&lt;3,MROUND(INDEX(calc!$BX$207:$BX$389,MATCH(DQ325,calc!$AC$207:$AC$389,1)),0.25),ROUND(INDEX(calc!$BX$207:$BX$389,MATCH(DQ325,calc!$AC$207:$AC$389,1)),0)))</f>
        <v>3</v>
      </c>
      <c r="DR343" s="3085"/>
      <c r="DS343" s="1131" t="str">
        <f>IF(OR(DQ343="NA",INDEX(calc!$BY$207:$BY$389,MATCH(DQ325,calc!$AC$207:$AC$389,1))="NSW"),"",INDEX(calc!$BY$207:$BY$389,MATCH(DQ325,calc!$AC$207:$AC$389,1)))</f>
        <v>TS</v>
      </c>
      <c r="DT343" s="3084">
        <f>IF(INDEX(calc!$BX$207:$BX$389,MATCH(DT325,calc!$AC$207:$AC$389,1))="","NA",IF(INDEX(calc!$BX$207:$BX$389,MATCH(DT325,calc!$AC$207:$AC$389,1))&lt;3,MROUND(INDEX(calc!$BX$207:$BX$389,MATCH(DT325,calc!$AC$207:$AC$389,1)),0.25),ROUND(INDEX(calc!$BX$207:$BX$389,MATCH(DT325,calc!$AC$207:$AC$389,1)),0)))</f>
        <v>3</v>
      </c>
      <c r="DU343" s="3085"/>
      <c r="DV343" s="1131" t="str">
        <f>IF(OR(DT343="NA",INDEX(calc!$BY$207:$BY$389,MATCH(DT325,calc!$AC$207:$AC$389,1))="NSW"),"",INDEX(calc!$BY$207:$BY$389,MATCH(DT325,calc!$AC$207:$AC$389,1)))</f>
        <v>TS</v>
      </c>
      <c r="DW343" s="3084">
        <f>IF(INDEX(calc!$BX$207:$BX$389,MATCH(DW325,calc!$AC$207:$AC$389,1))="","NA",IF(INDEX(calc!$BX$207:$BX$389,MATCH(DW325,calc!$AC$207:$AC$389,1))&lt;3,MROUND(INDEX(calc!$BX$207:$BX$389,MATCH(DW325,calc!$AC$207:$AC$389,1)),0.25),ROUND(INDEX(calc!$BX$207:$BX$389,MATCH(DW325,calc!$AC$207:$AC$389,1)),0)))</f>
        <v>3</v>
      </c>
      <c r="DX343" s="3085"/>
      <c r="DY343" s="1131" t="str">
        <f>IF(OR(DW343="NA",INDEX(calc!$BY$207:$BY$389,MATCH(DW325,calc!$AC$207:$AC$389,1))="NSW"),"",INDEX(calc!$BY$207:$BY$389,MATCH(DW325,calc!$AC$207:$AC$389,1)))</f>
        <v>TS</v>
      </c>
      <c r="DZ343" s="3084">
        <f>IF(INDEX(calc!$BX$207:$BX$389,MATCH(DZ325,calc!$AC$207:$AC$389,1))="","NA",IF(INDEX(calc!$BX$207:$BX$389,MATCH(DZ325,calc!$AC$207:$AC$389,1))&lt;3,MROUND(INDEX(calc!$BX$207:$BX$389,MATCH(DZ325,calc!$AC$207:$AC$389,1)),0.25),ROUND(INDEX(calc!$BX$207:$BX$389,MATCH(DZ325,calc!$AC$207:$AC$389,1)),0)))</f>
        <v>4</v>
      </c>
      <c r="EA343" s="3085"/>
      <c r="EB343" s="1131" t="str">
        <f>IF(OR(DZ343="NA",INDEX(calc!$BY$207:$BY$389,MATCH(DZ325,calc!$AC$207:$AC$389,1))="NSW"),"",INDEX(calc!$BY$207:$BY$389,MATCH(DZ325,calc!$AC$207:$AC$389,1)))</f>
        <v>TS</v>
      </c>
      <c r="EC343" s="3084">
        <f>IF(INDEX(calc!$BX$207:$BX$389,MATCH(EC325,calc!$AC$207:$AC$389,1))="","NA",IF(INDEX(calc!$BX$207:$BX$389,MATCH(EC325,calc!$AC$207:$AC$389,1))&lt;3,MROUND(INDEX(calc!$BX$207:$BX$389,MATCH(EC325,calc!$AC$207:$AC$389,1)),0.25),ROUND(INDEX(calc!$BX$207:$BX$389,MATCH(EC325,calc!$AC$207:$AC$389,1)),0)))</f>
        <v>7</v>
      </c>
      <c r="ED343" s="3085"/>
      <c r="EE343" s="1131" t="str">
        <f>IF(OR(EC343="NA",INDEX(calc!$BY$207:$BY$389,MATCH(EC325,calc!$AC$207:$AC$389,1))="NSW"),"",INDEX(calc!$BY$207:$BY$389,MATCH(EC325,calc!$AC$207:$AC$389,1)))</f>
        <v/>
      </c>
      <c r="EF343" s="3084">
        <f>IF(INDEX(calc!$BX$207:$BX$389,MATCH(EF325,calc!$AC$207:$AC$389,1))="","NA",IF(INDEX(calc!$BX$207:$BX$389,MATCH(EF325,calc!$AC$207:$AC$389,1))&lt;3,MROUND(INDEX(calc!$BX$207:$BX$389,MATCH(EF325,calc!$AC$207:$AC$389,1)),0.25),ROUND(INDEX(calc!$BX$207:$BX$389,MATCH(EF325,calc!$AC$207:$AC$389,1)),0)))</f>
        <v>7</v>
      </c>
      <c r="EG343" s="3085"/>
      <c r="EH343" s="1131" t="str">
        <f>IF(OR(EF343="NA",INDEX(calc!$BY$207:$BY$389,MATCH(EF325,calc!$AC$207:$AC$389,1))="NSW"),"",INDEX(calc!$BY$207:$BY$389,MATCH(EF325,calc!$AC$207:$AC$389,1)))</f>
        <v/>
      </c>
      <c r="EI343" s="3084">
        <f>IF(INDEX(calc!$BX$207:$BX$389,MATCH(EI325,calc!$AC$207:$AC$389,1))="","NA",IF(INDEX(calc!$BX$207:$BX$389,MATCH(EI325,calc!$AC$207:$AC$389,1))&lt;3,MROUND(INDEX(calc!$BX$207:$BX$389,MATCH(EI325,calc!$AC$207:$AC$389,1)),0.25),ROUND(INDEX(calc!$BX$207:$BX$389,MATCH(EI325,calc!$AC$207:$AC$389,1)),0)))</f>
        <v>7</v>
      </c>
      <c r="EJ343" s="3085"/>
      <c r="EK343" s="1131" t="str">
        <f>IF(OR(EI343="NA",INDEX(calc!$BY$207:$BY$389,MATCH(EI325,calc!$AC$207:$AC$389,1))="NSW"),"",INDEX(calc!$BY$207:$BY$389,MATCH(EI325,calc!$AC$207:$AC$389,1)))</f>
        <v/>
      </c>
      <c r="EL343" s="3084">
        <f>IF(INDEX(calc!$BX$207:$BX$389,MATCH(EL325,calc!$AC$207:$AC$389,1))="","NA",IF(INDEX(calc!$BX$207:$BX$389,MATCH(EL325,calc!$AC$207:$AC$389,1))&lt;3,MROUND(INDEX(calc!$BX$207:$BX$389,MATCH(EL325,calc!$AC$207:$AC$389,1)),0.25),ROUND(INDEX(calc!$BX$207:$BX$389,MATCH(EL325,calc!$AC$207:$AC$389,1)),0)))</f>
        <v>7</v>
      </c>
      <c r="EM343" s="3085"/>
      <c r="EN343" s="1131" t="str">
        <f>IF(OR(EL343="NA",INDEX(calc!$BY$207:$BY$389,MATCH(EL325,calc!$AC$207:$AC$389,1))="NSW"),"",INDEX(calc!$BY$207:$BY$389,MATCH(EL325,calc!$AC$207:$AC$389,1)))</f>
        <v/>
      </c>
      <c r="EO343" s="3084">
        <f>IF(INDEX(calc!$BX$207:$BX$389,MATCH(EO325,calc!$AC$207:$AC$389,1))="","NA",IF(INDEX(calc!$BX$207:$BX$389,MATCH(EO325,calc!$AC$207:$AC$389,1))&lt;3,MROUND(INDEX(calc!$BX$207:$BX$389,MATCH(EO325,calc!$AC$207:$AC$389,1)),0.25),ROUND(INDEX(calc!$BX$207:$BX$389,MATCH(EO325,calc!$AC$207:$AC$389,1)),0)))</f>
        <v>7</v>
      </c>
      <c r="EP343" s="3085"/>
      <c r="EQ343" s="1131" t="str">
        <f>IF(OR(EO343="NA",INDEX(calc!$BY$207:$BY$389,MATCH(EO325,calc!$AC$207:$AC$389,1))="NSW"),"",INDEX(calc!$BY$207:$BY$389,MATCH(EO325,calc!$AC$207:$AC$389,1)))</f>
        <v/>
      </c>
      <c r="ER343" s="3084">
        <f>IF(INDEX(calc!$BX$207:$BX$389,MATCH(ER325,calc!$AC$207:$AC$389,1))="","NA",IF(INDEX(calc!$BX$207:$BX$389,MATCH(ER325,calc!$AC$207:$AC$389,1))&lt;3,MROUND(INDEX(calc!$BX$207:$BX$389,MATCH(ER325,calc!$AC$207:$AC$389,1)),0.25),ROUND(INDEX(calc!$BX$207:$BX$389,MATCH(ER325,calc!$AC$207:$AC$389,1)),0)))</f>
        <v>7</v>
      </c>
      <c r="ES343" s="3085"/>
      <c r="ET343" s="1131" t="str">
        <f>IF(OR(ER343="NA",INDEX(calc!$BY$207:$BY$389,MATCH(ER325,calc!$AC$207:$AC$389,1))="NSW"),"",INDEX(calc!$BY$207:$BY$389,MATCH(ER325,calc!$AC$207:$AC$389,1)))</f>
        <v/>
      </c>
      <c r="EU343" s="3084">
        <f>IF(INDEX(calc!$BX$207:$BX$389,MATCH(EU325,calc!$AC$207:$AC$389,1))="","NA",IF(INDEX(calc!$BX$207:$BX$389,MATCH(EU325,calc!$AC$207:$AC$389,1))&lt;3,MROUND(INDEX(calc!$BX$207:$BX$389,MATCH(EU325,calc!$AC$207:$AC$389,1)),0.25),ROUND(INDEX(calc!$BX$207:$BX$389,MATCH(EU325,calc!$AC$207:$AC$389,1)),0)))</f>
        <v>7</v>
      </c>
      <c r="EV343" s="3085"/>
      <c r="EW343" s="1131" t="str">
        <f>IF(OR(EU343="NA",INDEX(calc!$BY$207:$BY$389,MATCH(EU325,calc!$AC$207:$AC$389,1))="NSW"),"",INDEX(calc!$BY$207:$BY$389,MATCH(EU325,calc!$AC$207:$AC$389,1)))</f>
        <v/>
      </c>
      <c r="EX343" s="3084">
        <f>IF(INDEX(calc!$BX$207:$BX$389,MATCH(EX325,calc!$AC$207:$AC$389,1))="","NA",IF(INDEX(calc!$BX$207:$BX$389,MATCH(EX325,calc!$AC$207:$AC$389,1))&lt;3,MROUND(INDEX(calc!$BX$207:$BX$389,MATCH(EX325,calc!$AC$207:$AC$389,1)),0.25),ROUND(INDEX(calc!$BX$207:$BX$389,MATCH(EX325,calc!$AC$207:$AC$389,1)),0)))</f>
        <v>7</v>
      </c>
      <c r="EY343" s="3085"/>
      <c r="EZ343" s="1131" t="str">
        <f>IF(OR(EX343="NA",INDEX(calc!$BY$207:$BY$389,MATCH(EX325,calc!$AC$207:$AC$389,1))="NSW"),"",INDEX(calc!$BY$207:$BY$389,MATCH(EX325,calc!$AC$207:$AC$389,1)))</f>
        <v/>
      </c>
      <c r="FA343" s="3084">
        <f>IF(INDEX(calc!$BX$207:$BX$389,MATCH(FA325,calc!$AC$207:$AC$389,1))="","NA",IF(INDEX(calc!$BX$207:$BX$389,MATCH(FA325,calc!$AC$207:$AC$389,1))&lt;3,MROUND(INDEX(calc!$BX$207:$BX$389,MATCH(FA325,calc!$AC$207:$AC$389,1)),0.25),ROUND(INDEX(calc!$BX$207:$BX$389,MATCH(FA325,calc!$AC$207:$AC$389,1)),0)))</f>
        <v>7</v>
      </c>
      <c r="FB343" s="3085"/>
      <c r="FC343" s="1131" t="str">
        <f>IF(OR(FA343="NA",INDEX(calc!$BY$207:$BY$389,MATCH(FA325,calc!$AC$207:$AC$389,1))="NSW"),"",INDEX(calc!$BY$207:$BY$389,MATCH(FA325,calc!$AC$207:$AC$389,1)))</f>
        <v/>
      </c>
      <c r="FD343" s="3084">
        <f>IF(INDEX(calc!$BX$207:$BX$389,MATCH(FD325,calc!$AC$207:$AC$389,1))="","NA",IF(INDEX(calc!$BX$207:$BX$389,MATCH(FD325,calc!$AC$207:$AC$389,1))&lt;3,MROUND(INDEX(calc!$BX$207:$BX$389,MATCH(FD325,calc!$AC$207:$AC$389,1)),0.25),ROUND(INDEX(calc!$BX$207:$BX$389,MATCH(FD325,calc!$AC$207:$AC$389,1)),0)))</f>
        <v>7</v>
      </c>
      <c r="FE343" s="3085"/>
      <c r="FF343" s="1131" t="str">
        <f>IF(OR(FD343="NA",INDEX(calc!$BY$207:$BY$389,MATCH(FD325,calc!$AC$207:$AC$389,1))="NSW"),"",INDEX(calc!$BY$207:$BY$389,MATCH(FD325,calc!$AC$207:$AC$389,1)))</f>
        <v/>
      </c>
      <c r="FG343" s="3084">
        <f>IF(INDEX(calc!$BX$207:$BX$389,MATCH(FG325,calc!$AC$207:$AC$389,1))="","NA",IF(INDEX(calc!$BX$207:$BX$389,MATCH(FG325,calc!$AC$207:$AC$389,1))&lt;3,MROUND(INDEX(calc!$BX$207:$BX$389,MATCH(FG325,calc!$AC$207:$AC$389,1)),0.25),ROUND(INDEX(calc!$BX$207:$BX$389,MATCH(FG325,calc!$AC$207:$AC$389,1)),0)))</f>
        <v>7</v>
      </c>
      <c r="FH343" s="3085"/>
      <c r="FI343" s="1131" t="str">
        <f>IF(OR(FG343="NA",INDEX(calc!$BY$207:$BY$389,MATCH(FG325,calc!$AC$207:$AC$389,1))="NSW"),"",INDEX(calc!$BY$207:$BY$389,MATCH(FG325,calc!$AC$207:$AC$389,1)))</f>
        <v/>
      </c>
      <c r="FJ343" s="3084">
        <f>IF(INDEX(calc!$BX$207:$BX$389,MATCH(FJ325,calc!$AC$207:$AC$389,1))="","NA",IF(INDEX(calc!$BX$207:$BX$389,MATCH(FJ325,calc!$AC$207:$AC$389,1))&lt;3,MROUND(INDEX(calc!$BX$207:$BX$389,MATCH(FJ325,calc!$AC$207:$AC$389,1)),0.25),ROUND(INDEX(calc!$BX$207:$BX$389,MATCH(FJ325,calc!$AC$207:$AC$389,1)),0)))</f>
        <v>7</v>
      </c>
      <c r="FK343" s="3085"/>
      <c r="FL343" s="1131" t="str">
        <f>IF(OR(FJ343="NA",INDEX(calc!$BY$207:$BY$389,MATCH(FJ325,calc!$AC$207:$AC$389,1))="NSW"),"",INDEX(calc!$BY$207:$BY$389,MATCH(FJ325,calc!$AC$207:$AC$389,1)))</f>
        <v/>
      </c>
      <c r="FM343" s="3084">
        <f>IF(INDEX(calc!$BX$207:$BX$389,MATCH(FM325,calc!$AC$207:$AC$389,1))="","NA",IF(INDEX(calc!$BX$207:$BX$389,MATCH(FM325,calc!$AC$207:$AC$389,1))&lt;3,MROUND(INDEX(calc!$BX$207:$BX$389,MATCH(FM325,calc!$AC$207:$AC$389,1)),0.25),ROUND(INDEX(calc!$BX$207:$BX$389,MATCH(FM325,calc!$AC$207:$AC$389,1)),0)))</f>
        <v>6</v>
      </c>
      <c r="FN343" s="3085"/>
      <c r="FO343" s="1131" t="str">
        <f>IF(OR(FM343="NA",INDEX(calc!$BY$207:$BY$389,MATCH(FM325,calc!$AC$207:$AC$389,1))="NSW"),"",INDEX(calc!$BY$207:$BY$389,MATCH(FM325,calc!$AC$207:$AC$389,1)))</f>
        <v>BR</v>
      </c>
      <c r="FP343" s="3084">
        <f>IF(INDEX(calc!$BX$207:$BX$389,MATCH(FP325,calc!$AC$207:$AC$389,1))="","NA",IF(INDEX(calc!$BX$207:$BX$389,MATCH(FP325,calc!$AC$207:$AC$389,1))&lt;3,MROUND(INDEX(calc!$BX$207:$BX$389,MATCH(FP325,calc!$AC$207:$AC$389,1)),0.25),ROUND(INDEX(calc!$BX$207:$BX$389,MATCH(FP325,calc!$AC$207:$AC$389,1)),0)))</f>
        <v>2</v>
      </c>
      <c r="FQ343" s="3085"/>
      <c r="FR343" s="1131" t="str">
        <f>IF(OR(FP343="NA",INDEX(calc!$BY$207:$BY$389,MATCH(FP325,calc!$AC$207:$AC$389,1))="NSW"),"",INDEX(calc!$BY$207:$BY$389,MATCH(FP325,calc!$AC$207:$AC$389,1)))</f>
        <v>BR</v>
      </c>
      <c r="FS343" s="3084">
        <f>IF(INDEX(calc!$BX$207:$BX$389,MATCH(FS325,calc!$AC$207:$AC$389,1))="","NA",IF(INDEX(calc!$BX$207:$BX$389,MATCH(FS325,calc!$AC$207:$AC$389,1))&lt;3,MROUND(INDEX(calc!$BX$207:$BX$389,MATCH(FS325,calc!$AC$207:$AC$389,1)),0.25),ROUND(INDEX(calc!$BX$207:$BX$389,MATCH(FS325,calc!$AC$207:$AC$389,1)),0)))</f>
        <v>7</v>
      </c>
      <c r="FT343" s="3085"/>
      <c r="FU343" s="1131" t="str">
        <f>IF(OR(FS343="NA",INDEX(calc!$BY$207:$BY$389,MATCH(FS325,calc!$AC$207:$AC$389,1))="NSW"),"",INDEX(calc!$BY$207:$BY$389,MATCH(FS325,calc!$AC$207:$AC$389,1)))</f>
        <v/>
      </c>
      <c r="FV343" s="3084">
        <f>IF(INDEX(calc!$BX$207:$BX$389,MATCH(FV325,calc!$AC$207:$AC$389,1))="","NA",IF(INDEX(calc!$BX$207:$BX$389,MATCH(FV325,calc!$AC$207:$AC$389,1))&lt;3,MROUND(INDEX(calc!$BX$207:$BX$389,MATCH(FV325,calc!$AC$207:$AC$389,1)),0.25),ROUND(INDEX(calc!$BX$207:$BX$389,MATCH(FV325,calc!$AC$207:$AC$389,1)),0)))</f>
        <v>4</v>
      </c>
      <c r="FW343" s="3085"/>
      <c r="FX343" s="1131" t="str">
        <f>IF(OR(FV343="NA",INDEX(calc!$BY$207:$BY$389,MATCH(FV325,calc!$AC$207:$AC$389,1))="NSW"),"",INDEX(calc!$BY$207:$BY$389,MATCH(FV325,calc!$AC$207:$AC$389,1)))</f>
        <v>RA</v>
      </c>
      <c r="FY343" s="3084" t="str">
        <f>IF(INDEX(calc!$BX$207:$BX$389,MATCH(FY325,calc!$AC$207:$AC$389,1))="","NA",IF(INDEX(calc!$BX$207:$BX$389,MATCH(FY325,calc!$AC$207:$AC$389,1))&lt;3,MROUND(INDEX(calc!$BX$207:$BX$389,MATCH(FY325,calc!$AC$207:$AC$389,1)),0.25),ROUND(INDEX(calc!$BX$207:$BX$389,MATCH(FY325,calc!$AC$207:$AC$389,1)),0)))</f>
        <v>NA</v>
      </c>
      <c r="FZ343" s="3085"/>
      <c r="GA343" s="1131" t="str">
        <f>IF(OR(FY343="NA",INDEX(calc!$BY$207:$BY$389,MATCH(FY325,calc!$AC$207:$AC$389,1))="NSW"),"",INDEX(calc!$BY$207:$BY$389,MATCH(FY325,calc!$AC$207:$AC$389,1)))</f>
        <v/>
      </c>
      <c r="GB343" s="3084" t="str">
        <f>IF(INDEX(calc!$BX$207:$BX$389,MATCH(GB325,calc!$AC$207:$AC$389,1))="","NA",IF(INDEX(calc!$BX$207:$BX$389,MATCH(GB325,calc!$AC$207:$AC$389,1))&lt;3,MROUND(INDEX(calc!$BX$207:$BX$389,MATCH(GB325,calc!$AC$207:$AC$389,1)),0.25),ROUND(INDEX(calc!$BX$207:$BX$389,MATCH(GB325,calc!$AC$207:$AC$389,1)),0)))</f>
        <v>NA</v>
      </c>
      <c r="GC343" s="3085"/>
      <c r="GD343" s="1131" t="str">
        <f>IF(OR(GB343="NA",INDEX(calc!$BY$207:$BY$389,MATCH(GB325,calc!$AC$207:$AC$389,1))="NSW"),"",INDEX(calc!$BY$207:$BY$389,MATCH(GB325,calc!$AC$207:$AC$389,1)))</f>
        <v/>
      </c>
      <c r="GE343" s="3084" t="str">
        <f>IF(INDEX(calc!$BX$207:$BX$389,MATCH(GE325,calc!$AC$207:$AC$389,1))="","NA",IF(INDEX(calc!$BX$207:$BX$389,MATCH(GE325,calc!$AC$207:$AC$389,1))&lt;3,MROUND(INDEX(calc!$BX$207:$BX$389,MATCH(GE325,calc!$AC$207:$AC$389,1)),0.25),ROUND(INDEX(calc!$BX$207:$BX$389,MATCH(GE325,calc!$AC$207:$AC$389,1)),0)))</f>
        <v>NA</v>
      </c>
      <c r="GF343" s="3085"/>
      <c r="GG343" s="1131" t="str">
        <f>IF(OR(GE343="NA",INDEX(calc!$BY$207:$BY$389,MATCH(GE325,calc!$AC$207:$AC$389,1))="NSW"),"",INDEX(calc!$BY$207:$BY$389,MATCH(GE325,calc!$AC$207:$AC$389,1)))</f>
        <v/>
      </c>
      <c r="GH343" s="3084" t="str">
        <f>IF(INDEX(calc!$BX$207:$BX$389,MATCH(GH325,calc!$AC$207:$AC$389,1))="","NA",IF(INDEX(calc!$BX$207:$BX$389,MATCH(GH325,calc!$AC$207:$AC$389,1))&lt;3,MROUND(INDEX(calc!$BX$207:$BX$389,MATCH(GH325,calc!$AC$207:$AC$389,1)),0.25),ROUND(INDEX(calc!$BX$207:$BX$389,MATCH(GH325,calc!$AC$207:$AC$389,1)),0)))</f>
        <v>NA</v>
      </c>
      <c r="GI343" s="3085"/>
      <c r="GJ343" s="1131" t="str">
        <f>IF(OR(GH343="NA",INDEX(calc!$BY$207:$BY$389,MATCH(GH325,calc!$AC$207:$AC$389,1))="NSW"),"",INDEX(calc!$BY$207:$BY$389,MATCH(GH325,calc!$AC$207:$AC$389,1)))</f>
        <v/>
      </c>
      <c r="GK343" s="3084" t="str">
        <f>IF(INDEX(calc!$BX$207:$BX$389,MATCH(GK325,calc!$AC$207:$AC$389,1))="","NA",IF(INDEX(calc!$BX$207:$BX$389,MATCH(GK325,calc!$AC$207:$AC$389,1))&lt;3,MROUND(INDEX(calc!$BX$207:$BX$389,MATCH(GK325,calc!$AC$207:$AC$389,1)),0.25),ROUND(INDEX(calc!$BX$207:$BX$389,MATCH(GK325,calc!$AC$207:$AC$389,1)),0)))</f>
        <v>NA</v>
      </c>
      <c r="GL343" s="3085"/>
      <c r="GM343" s="1131" t="str">
        <f>IF(OR(GK343="NA",INDEX(calc!$BY$207:$BY$389,MATCH(GK325,calc!$AC$207:$AC$389,1))="NSW"),"",INDEX(calc!$BY$207:$BY$389,MATCH(GK325,calc!$AC$207:$AC$389,1)))</f>
        <v/>
      </c>
      <c r="GN343" s="3084" t="str">
        <f>IF(INDEX(calc!$BX$207:$BX$389,MATCH(GN325,calc!$AC$207:$AC$389,1))="","NA",IF(INDEX(calc!$BX$207:$BX$389,MATCH(GN325,calc!$AC$207:$AC$389,1))&lt;3,MROUND(INDEX(calc!$BX$207:$BX$389,MATCH(GN325,calc!$AC$207:$AC$389,1)),0.25),ROUND(INDEX(calc!$BX$207:$BX$389,MATCH(GN325,calc!$AC$207:$AC$389,1)),0)))</f>
        <v>NA</v>
      </c>
      <c r="GO343" s="3085"/>
      <c r="GP343" s="1131" t="str">
        <f>IF(OR(GN343="NA",INDEX(calc!$BY$207:$BY$389,MATCH(GN325,calc!$AC$207:$AC$389,1))="NSW"),"",INDEX(calc!$BY$207:$BY$389,MATCH(GN325,calc!$AC$207:$AC$389,1)))</f>
        <v/>
      </c>
      <c r="GQ343" s="3084" t="str">
        <f>IF(INDEX(calc!$BX$207:$BX$389,MATCH(GQ325,calc!$AC$207:$AC$389,1))="","NA",IF(INDEX(calc!$BX$207:$BX$389,MATCH(GQ325,calc!$AC$207:$AC$389,1))&lt;3,MROUND(INDEX(calc!$BX$207:$BX$389,MATCH(GQ325,calc!$AC$207:$AC$389,1)),0.25),ROUND(INDEX(calc!$BX$207:$BX$389,MATCH(GQ325,calc!$AC$207:$AC$389,1)),0)))</f>
        <v>NA</v>
      </c>
      <c r="GR343" s="3085"/>
      <c r="GS343" s="1131" t="str">
        <f>IF(OR(GQ343="NA",INDEX(calc!$BY$207:$BY$389,MATCH(GQ325,calc!$AC$207:$AC$389,1))="NSW"),"",INDEX(calc!$BY$207:$BY$389,MATCH(GQ325,calc!$AC$207:$AC$389,1)))</f>
        <v/>
      </c>
    </row>
    <row r="344" spans="12:201" s="539" customFormat="1" ht="6" customHeight="1">
      <c r="L344" s="1166" t="s">
        <v>379</v>
      </c>
      <c r="M344" s="1047"/>
      <c r="N344" s="1047"/>
      <c r="O344" s="1047"/>
      <c r="P344" s="1047"/>
      <c r="AA344" s="1071"/>
      <c r="AB344" s="1121"/>
      <c r="AC344" s="1121"/>
      <c r="AD344" s="1122"/>
      <c r="AE344" s="1123"/>
      <c r="AF344" s="1123"/>
      <c r="AG344" s="1123"/>
      <c r="AH344" s="1123"/>
      <c r="AI344" s="1123"/>
      <c r="AJ344" s="1123"/>
      <c r="AK344" s="1123"/>
      <c r="AL344" s="1123"/>
      <c r="AM344" s="1123"/>
      <c r="AN344" s="1116"/>
      <c r="AO344" s="1172"/>
      <c r="AP344" s="1172"/>
      <c r="AQ344" s="1124"/>
      <c r="AR344" s="1124"/>
      <c r="AS344" s="1124"/>
      <c r="AT344" s="1124"/>
      <c r="AU344" s="1124"/>
      <c r="AV344" s="1124"/>
      <c r="AW344" s="1124"/>
      <c r="AX344" s="1116"/>
      <c r="AY344" s="1172"/>
      <c r="AZ344" s="1172"/>
      <c r="BA344" s="1124"/>
      <c r="BB344" s="1125"/>
      <c r="BC344" s="1126"/>
      <c r="BD344" s="1126"/>
      <c r="BE344" s="1126"/>
      <c r="BF344" s="1127"/>
      <c r="BG344" s="1127"/>
      <c r="BH344" s="1127"/>
      <c r="BI344" s="1128"/>
      <c r="BJ344" s="1128"/>
      <c r="BK344" s="1127"/>
      <c r="BL344" s="1127"/>
      <c r="BM344" s="1129"/>
      <c r="BN344" s="1129"/>
      <c r="BO344" s="1126"/>
      <c r="BP344" s="1126"/>
      <c r="BQ344" s="1126"/>
      <c r="BR344" s="1126"/>
      <c r="BS344" s="1126"/>
      <c r="BT344" s="1126"/>
      <c r="BU344" s="1127"/>
      <c r="BV344" s="1112"/>
      <c r="BW344" s="1113"/>
      <c r="BX344" s="1113"/>
      <c r="BY344" s="1113"/>
      <c r="BZ344" s="1113"/>
      <c r="CA344" s="1130"/>
      <c r="CB344" s="1125"/>
      <c r="CC344" s="1126"/>
      <c r="CD344" s="1126"/>
      <c r="CE344" s="1126"/>
      <c r="CF344" s="1127"/>
      <c r="CG344" s="1127"/>
      <c r="CH344" s="1127"/>
      <c r="CI344" s="1128"/>
      <c r="CJ344" s="1128"/>
      <c r="CK344" s="1127"/>
      <c r="CL344" s="1127"/>
      <c r="CM344" s="1129"/>
      <c r="CN344" s="1129"/>
      <c r="CO344" s="1126"/>
      <c r="CP344" s="1126"/>
      <c r="CQ344" s="1126"/>
      <c r="CR344" s="1126"/>
      <c r="CS344" s="1126"/>
      <c r="CT344" s="1126"/>
      <c r="CU344" s="1127"/>
      <c r="CV344" s="1112"/>
      <c r="CW344" s="1113"/>
      <c r="CX344" s="1113"/>
      <c r="CY344" s="1113"/>
      <c r="CZ344" s="1113"/>
      <c r="DA344" s="1130"/>
      <c r="DB344" s="1125"/>
      <c r="DC344" s="1126"/>
      <c r="DD344" s="1126"/>
      <c r="DE344" s="1126"/>
      <c r="DF344" s="1127"/>
      <c r="DG344" s="1127"/>
      <c r="DH344" s="1127"/>
      <c r="DI344" s="1128"/>
      <c r="DJ344" s="1128"/>
      <c r="DK344" s="1127"/>
      <c r="DL344" s="1127"/>
      <c r="DM344" s="1129"/>
      <c r="DN344" s="1129"/>
      <c r="DO344" s="1126"/>
      <c r="DP344" s="1126"/>
      <c r="DQ344" s="1126"/>
      <c r="DR344" s="1126"/>
      <c r="DS344" s="1126"/>
      <c r="DT344" s="1126"/>
      <c r="DU344" s="1127"/>
      <c r="DV344" s="1112"/>
      <c r="DW344" s="1113"/>
      <c r="DX344" s="1113"/>
      <c r="DY344" s="1113"/>
      <c r="DZ344" s="1113"/>
      <c r="EA344" s="1125"/>
      <c r="EB344" s="1125"/>
      <c r="EC344" s="1125"/>
      <c r="ED344" s="1125"/>
      <c r="EE344" s="1125"/>
      <c r="EF344" s="1125"/>
      <c r="EG344" s="1125"/>
      <c r="EH344" s="1125"/>
      <c r="EI344" s="1125"/>
      <c r="EJ344" s="1125"/>
      <c r="EK344" s="1125"/>
      <c r="EL344" s="1125"/>
      <c r="EM344" s="1125"/>
      <c r="EN344" s="1125"/>
      <c r="EO344" s="1125"/>
      <c r="EP344" s="1125"/>
      <c r="EQ344" s="1125"/>
      <c r="ER344" s="1125"/>
      <c r="ES344" s="1125"/>
      <c r="ET344" s="1125"/>
      <c r="EU344" s="1125"/>
      <c r="EV344" s="1125"/>
      <c r="EW344" s="1125"/>
      <c r="EX344" s="1125"/>
      <c r="EY344" s="1125"/>
      <c r="EZ344" s="1125"/>
      <c r="FA344" s="1125"/>
      <c r="FB344" s="1125"/>
      <c r="FC344" s="1125"/>
      <c r="FD344" s="1125"/>
      <c r="FE344" s="1125"/>
      <c r="FF344" s="1125"/>
      <c r="FG344" s="1125"/>
      <c r="FH344" s="1125"/>
      <c r="FI344" s="1125"/>
      <c r="FJ344" s="1125"/>
      <c r="FK344" s="1125"/>
      <c r="FL344" s="1125"/>
      <c r="FM344" s="1125"/>
      <c r="FN344" s="1125"/>
      <c r="FO344" s="1125"/>
      <c r="FP344" s="1125"/>
      <c r="FQ344" s="1125"/>
      <c r="FR344" s="1125"/>
      <c r="FS344" s="1125"/>
      <c r="FT344" s="1125"/>
      <c r="FU344" s="1125"/>
      <c r="FV344" s="1125"/>
      <c r="FW344" s="1125"/>
      <c r="FX344" s="1125"/>
      <c r="FY344" s="1125"/>
      <c r="FZ344" s="1125"/>
      <c r="GA344" s="1125"/>
      <c r="GB344" s="1125"/>
      <c r="GC344" s="1125"/>
      <c r="GD344" s="1125"/>
      <c r="GE344" s="1125"/>
      <c r="GF344" s="1125"/>
      <c r="GG344" s="1125"/>
      <c r="GH344" s="1125"/>
      <c r="GI344" s="1125"/>
      <c r="GJ344" s="1125"/>
      <c r="GK344" s="1125"/>
      <c r="GL344" s="1125"/>
      <c r="GM344" s="1125"/>
      <c r="GN344" s="1125"/>
      <c r="GO344" s="1125"/>
      <c r="GP344" s="1125"/>
      <c r="GQ344" s="1125"/>
      <c r="GR344" s="1125"/>
      <c r="GS344" s="1125"/>
    </row>
    <row r="345" spans="12:201" s="539" customFormat="1" ht="15" customHeight="1">
      <c r="L345" s="1166"/>
      <c r="M345" s="1047"/>
      <c r="N345" s="1047"/>
      <c r="O345" s="1047"/>
      <c r="P345" s="1047"/>
      <c r="T345" s="3059" t="s">
        <v>376</v>
      </c>
      <c r="U345" s="3059"/>
      <c r="V345" s="3059"/>
      <c r="W345" s="3059"/>
      <c r="X345" s="1072"/>
      <c r="Y345" s="1072"/>
      <c r="Z345" s="1072"/>
      <c r="AA345" s="1071" t="s">
        <v>332</v>
      </c>
      <c r="AB345" s="3079" t="str">
        <f>IF(INDEX(calc!$BH$207:$BH$389,MATCH(AB325,calc!$AC$207:$AC$389,1))="","       NA",IF(INDEX(calc!$O$189:$O$196,MATCH(INDEX(calc!$BH$207:$BH$389,MATCH(AB325,calc!$AC$207:$AC$389,1)),calc!$N$189:$N$196,0))=7,"    7",IF(INDEX(calc!$O$189:$O$196,MATCH(INDEX(calc!$BH$207:$BH$389,MATCH(AB325,calc!$AC$207:$AC$389,1)),calc!$N$189:$N$196,0))=6,"    6",INDEX(calc!$O$189:$O$196,MATCH(INDEX(calc!$BH$207:$BH$389,MATCH(AB325,calc!$AC$207:$AC$389,1)),calc!$N$189:$N$196,0))&amp;"~"&amp;INDEX(calc!$P$189:$P$196,MATCH(INDEX(calc!$BH$207:$BH349,MATCH(AB325,calc!$AC$207:$AC$389,1)),calc!$N$189:$N$196,0)))))</f>
        <v xml:space="preserve">    7</v>
      </c>
      <c r="AC345" s="3080"/>
      <c r="AD345" s="1119" t="str">
        <f>IF(OR(AB345="       NA",INDEX(calc!$BI$207:$BI$389,MATCH(AB325,calc!$AC$207:$AC$389,1))=""),"",INDEX(calc!$BI$207:$BI$389,MATCH(AB325,calc!$AC$207:$AC$389,1)))</f>
        <v/>
      </c>
      <c r="AE345" s="3079" t="str">
        <f>IF(INDEX(calc!$BH$207:$BH$389,MATCH(AE325,calc!$AC$207:$AC$389,1))="","       NA",IF(INDEX(calc!$O$189:$O$196,MATCH(INDEX(calc!$BH$207:$BH$389,MATCH(AE325,calc!$AC$207:$AC$389,1)),calc!$N$189:$N$196,0))=7,"    7",IF(INDEX(calc!$O$189:$O$196,MATCH(INDEX(calc!$BH$207:$BH$389,MATCH(AE325,calc!$AC$207:$AC$389,1)),calc!$N$189:$N$196,0))=6,"    6",INDEX(calc!$O$189:$O$196,MATCH(INDEX(calc!$BH$207:$BH$389,MATCH(AE325,calc!$AC$207:$AC$389,1)),calc!$N$189:$N$196,0))&amp;"~"&amp;INDEX(calc!$P$189:$P$196,MATCH(INDEX(calc!$BH$207:$BH349,MATCH(AE325,calc!$AC$207:$AC$389,1)),calc!$N$189:$N$196,0)))))</f>
        <v xml:space="preserve">    7</v>
      </c>
      <c r="AF345" s="3080"/>
      <c r="AG345" s="1119" t="str">
        <f>IF(OR(AE345="       NA",INDEX(calc!$BI$207:$BI$389,MATCH(AE325,calc!$AC$207:$AC$389,1))=""),"",INDEX(calc!$BI$207:$BI$389,MATCH(AE325,calc!$AC$207:$AC$389,1)))</f>
        <v/>
      </c>
      <c r="AH345" s="3079" t="str">
        <f>IF(INDEX(calc!$BH$207:$BH$389,MATCH(AH325,calc!$AC$207:$AC$389,1))="","       NA",IF(INDEX(calc!$O$189:$O$196,MATCH(INDEX(calc!$BH$207:$BH$389,MATCH(AH325,calc!$AC$207:$AC$389,1)),calc!$N$189:$N$196,0))=7,"    7",IF(INDEX(calc!$O$189:$O$196,MATCH(INDEX(calc!$BH$207:$BH$389,MATCH(AH325,calc!$AC$207:$AC$389,1)),calc!$N$189:$N$196,0))=6,"    6",INDEX(calc!$O$189:$O$196,MATCH(INDEX(calc!$BH$207:$BH$389,MATCH(AH325,calc!$AC$207:$AC$389,1)),calc!$N$189:$N$196,0))&amp;"~"&amp;INDEX(calc!$P$189:$P$196,MATCH(INDEX(calc!$BH$207:$BH349,MATCH(AH325,calc!$AC$207:$AC$389,1)),calc!$N$189:$N$196,0)))))</f>
        <v xml:space="preserve">    7</v>
      </c>
      <c r="AI345" s="3080"/>
      <c r="AJ345" s="1119" t="str">
        <f>IF(OR(AH345="       NA",INDEX(calc!$BI$207:$BI$389,MATCH(AH325,calc!$AC$207:$AC$389,1))=""),"",INDEX(calc!$BI$207:$BI$389,MATCH(AH325,calc!$AC$207:$AC$389,1)))</f>
        <v/>
      </c>
      <c r="AK345" s="3079" t="str">
        <f>IF(INDEX(calc!$BH$207:$BH$389,MATCH(AK325,calc!$AC$207:$AC$389,1))="","       NA",IF(INDEX(calc!$O$189:$O$196,MATCH(INDEX(calc!$BH$207:$BH$389,MATCH(AK325,calc!$AC$207:$AC$389,1)),calc!$N$189:$N$196,0))=7,"    7",IF(INDEX(calc!$O$189:$O$196,MATCH(INDEX(calc!$BH$207:$BH$389,MATCH(AK325,calc!$AC$207:$AC$389,1)),calc!$N$189:$N$196,0))=6,"    6",INDEX(calc!$O$189:$O$196,MATCH(INDEX(calc!$BH$207:$BH$389,MATCH(AK325,calc!$AC$207:$AC$389,1)),calc!$N$189:$N$196,0))&amp;"~"&amp;INDEX(calc!$P$189:$P$196,MATCH(INDEX(calc!$BH$207:$BH349,MATCH(AK325,calc!$AC$207:$AC$389,1)),calc!$N$189:$N$196,0)))))</f>
        <v xml:space="preserve">    7</v>
      </c>
      <c r="AL345" s="3080"/>
      <c r="AM345" s="1119" t="str">
        <f>IF(OR(AK345="       NA",INDEX(calc!$BI$207:$BI$389,MATCH(AK325,calc!$AC$207:$AC$389,1))=""),"",INDEX(calc!$BI$207:$BI$389,MATCH(AK325,calc!$AC$207:$AC$389,1)))</f>
        <v/>
      </c>
      <c r="AN345" s="3079" t="str">
        <f>IF(INDEX(calc!$BH$207:$BH$389,MATCH(AN325,calc!$AC$207:$AC$389,1))="","       NA",IF(INDEX(calc!$O$189:$O$196,MATCH(INDEX(calc!$BH$207:$BH$389,MATCH(AN325,calc!$AC$207:$AC$389,1)),calc!$N$189:$N$196,0))=7,"    7",IF(INDEX(calc!$O$189:$O$196,MATCH(INDEX(calc!$BH$207:$BH$389,MATCH(AN325,calc!$AC$207:$AC$389,1)),calc!$N$189:$N$196,0))=6,"    6",INDEX(calc!$O$189:$O$196,MATCH(INDEX(calc!$BH$207:$BH$389,MATCH(AN325,calc!$AC$207:$AC$389,1)),calc!$N$189:$N$196,0))&amp;"~"&amp;INDEX(calc!$P$189:$P$196,MATCH(INDEX(calc!$BH$207:$BH349,MATCH(AN325,calc!$AC$207:$AC$389,1)),calc!$N$189:$N$196,0)))))</f>
        <v xml:space="preserve">    7</v>
      </c>
      <c r="AO345" s="3080"/>
      <c r="AP345" s="1119" t="str">
        <f>IF(OR(AN345="       NA",INDEX(calc!$BI$207:$BI$389,MATCH(AN325,calc!$AC$207:$AC$389,1))=""),"",INDEX(calc!$BI$207:$BI$389,MATCH(AN325,calc!$AC$207:$AC$389,1)))</f>
        <v/>
      </c>
      <c r="AQ345" s="3079" t="str">
        <f>IF(INDEX(calc!$BH$207:$BH$389,MATCH(AQ325,calc!$AC$207:$AC$389,1))="","       NA",IF(INDEX(calc!$O$189:$O$196,MATCH(INDEX(calc!$BH$207:$BH$389,MATCH(AQ325,calc!$AC$207:$AC$389,1)),calc!$N$189:$N$196,0))=7,"    7",IF(INDEX(calc!$O$189:$O$196,MATCH(INDEX(calc!$BH$207:$BH$389,MATCH(AQ325,calc!$AC$207:$AC$389,1)),calc!$N$189:$N$196,0))=6,"    6",INDEX(calc!$O$189:$O$196,MATCH(INDEX(calc!$BH$207:$BH$389,MATCH(AQ325,calc!$AC$207:$AC$389,1)),calc!$N$189:$N$196,0))&amp;"~"&amp;INDEX(calc!$P$189:$P$196,MATCH(INDEX(calc!$BH$207:$BH349,MATCH(AQ325,calc!$AC$207:$AC$389,1)),calc!$N$189:$N$196,0)))))</f>
        <v xml:space="preserve">    7</v>
      </c>
      <c r="AR345" s="3080"/>
      <c r="AS345" s="1119" t="str">
        <f>IF(OR(AQ345="       NA",INDEX(calc!$BI$207:$BI$389,MATCH(AQ325,calc!$AC$207:$AC$389,1))=""),"",INDEX(calc!$BI$207:$BI$389,MATCH(AQ325,calc!$AC$207:$AC$389,1)))</f>
        <v/>
      </c>
      <c r="AT345" s="3079" t="str">
        <f>IF(INDEX(calc!$BH$207:$BH$389,MATCH(AT325,calc!$AC$207:$AC$389,1))="","       NA",IF(INDEX(calc!$O$189:$O$196,MATCH(INDEX(calc!$BH$207:$BH$389,MATCH(AT325,calc!$AC$207:$AC$389,1)),calc!$N$189:$N$196,0))=7,"    7",IF(INDEX(calc!$O$189:$O$196,MATCH(INDEX(calc!$BH$207:$BH$389,MATCH(AT325,calc!$AC$207:$AC$389,1)),calc!$N$189:$N$196,0))=6,"    6",INDEX(calc!$O$189:$O$196,MATCH(INDEX(calc!$BH$207:$BH$389,MATCH(AT325,calc!$AC$207:$AC$389,1)),calc!$N$189:$N$196,0))&amp;"~"&amp;INDEX(calc!$P$189:$P$196,MATCH(INDEX(calc!$BH$207:$BH349,MATCH(AT325,calc!$AC$207:$AC$389,1)),calc!$N$189:$N$196,0)))))</f>
        <v xml:space="preserve">    7</v>
      </c>
      <c r="AU345" s="3080"/>
      <c r="AV345" s="1119" t="str">
        <f>IF(OR(AT345="       NA",INDEX(calc!$BI$207:$BI$389,MATCH(AT325,calc!$AC$207:$AC$389,1))=""),"",INDEX(calc!$BI$207:$BI$389,MATCH(AT325,calc!$AC$207:$AC$389,1)))</f>
        <v/>
      </c>
      <c r="AW345" s="3079" t="str">
        <f>IF(INDEX(calc!$BH$207:$BH$389,MATCH(AW325,calc!$AC$207:$AC$389,1))="","       NA",IF(INDEX(calc!$O$189:$O$196,MATCH(INDEX(calc!$BH$207:$BH$389,MATCH(AW325,calc!$AC$207:$AC$389,1)),calc!$N$189:$N$196,0))=7,"    7",IF(INDEX(calc!$O$189:$O$196,MATCH(INDEX(calc!$BH$207:$BH$389,MATCH(AW325,calc!$AC$207:$AC$389,1)),calc!$N$189:$N$196,0))=6,"    6",INDEX(calc!$O$189:$O$196,MATCH(INDEX(calc!$BH$207:$BH$389,MATCH(AW325,calc!$AC$207:$AC$389,1)),calc!$N$189:$N$196,0))&amp;"~"&amp;INDEX(calc!$P$189:$P$196,MATCH(INDEX(calc!$BH$207:$BH349,MATCH(AW325,calc!$AC$207:$AC$389,1)),calc!$N$189:$N$196,0)))))</f>
        <v xml:space="preserve">    7</v>
      </c>
      <c r="AX345" s="3080"/>
      <c r="AY345" s="1119" t="str">
        <f>IF(OR(AW345="       NA",INDEX(calc!$BI$207:$BI$389,MATCH(AW325,calc!$AC$207:$AC$389,1))=""),"",INDEX(calc!$BI$207:$BI$389,MATCH(AW325,calc!$AC$207:$AC$389,1)))</f>
        <v/>
      </c>
      <c r="AZ345" s="3079" t="str">
        <f>IF(INDEX(calc!$BH$207:$BH$389,MATCH(AZ325,calc!$AC$207:$AC$389,1))="","       NA",IF(INDEX(calc!$O$189:$O$196,MATCH(INDEX(calc!$BH$207:$BH$389,MATCH(AZ325,calc!$AC$207:$AC$389,1)),calc!$N$189:$N$196,0))=7,"    7",IF(INDEX(calc!$O$189:$O$196,MATCH(INDEX(calc!$BH$207:$BH$389,MATCH(AZ325,calc!$AC$207:$AC$389,1)),calc!$N$189:$N$196,0))=6,"    6",INDEX(calc!$O$189:$O$196,MATCH(INDEX(calc!$BH$207:$BH$389,MATCH(AZ325,calc!$AC$207:$AC$389,1)),calc!$N$189:$N$196,0))&amp;"~"&amp;INDEX(calc!$P$189:$P$196,MATCH(INDEX(calc!$BH$207:$BH349,MATCH(AZ325,calc!$AC$207:$AC$389,1)),calc!$N$189:$N$196,0)))))</f>
        <v xml:space="preserve">    7</v>
      </c>
      <c r="BA345" s="3080"/>
      <c r="BB345" s="1119" t="str">
        <f>IF(OR(AZ345="       NA",INDEX(calc!$BI$207:$BI$389,MATCH(AZ325,calc!$AC$207:$AC$389,1))=""),"",INDEX(calc!$BI$207:$BI$389,MATCH(AZ325,calc!$AC$207:$AC$389,1)))</f>
        <v/>
      </c>
      <c r="BC345" s="3079" t="str">
        <f>IF(INDEX(calc!$BH$207:$BH$389,MATCH(BC325,calc!$AC$207:$AC$389,1))="","       NA",IF(INDEX(calc!$O$189:$O$196,MATCH(INDEX(calc!$BH$207:$BH$389,MATCH(BC325,calc!$AC$207:$AC$389,1)),calc!$N$189:$N$196,0))=7,"    7",IF(INDEX(calc!$O$189:$O$196,MATCH(INDEX(calc!$BH$207:$BH$389,MATCH(BC325,calc!$AC$207:$AC$389,1)),calc!$N$189:$N$196,0))=6,"    6",INDEX(calc!$O$189:$O$196,MATCH(INDEX(calc!$BH$207:$BH$389,MATCH(BC325,calc!$AC$207:$AC$389,1)),calc!$N$189:$N$196,0))&amp;"~"&amp;INDEX(calc!$P$189:$P$196,MATCH(INDEX(calc!$BH$207:$BH349,MATCH(BC325,calc!$AC$207:$AC$389,1)),calc!$N$189:$N$196,0)))))</f>
        <v xml:space="preserve">    7</v>
      </c>
      <c r="BD345" s="3080"/>
      <c r="BE345" s="1119" t="str">
        <f>IF(OR(BC345="       NA",INDEX(calc!$BI$207:$BI$389,MATCH(BC325,calc!$AC$207:$AC$389,1))=""),"",INDEX(calc!$BI$207:$BI$389,MATCH(BC325,calc!$AC$207:$AC$389,1)))</f>
        <v/>
      </c>
      <c r="BF345" s="3079" t="str">
        <f>IF(INDEX(calc!$BH$207:$BH$389,MATCH(BF325,calc!$AC$207:$AC$389,1))="","       NA",IF(INDEX(calc!$O$189:$O$196,MATCH(INDEX(calc!$BH$207:$BH$389,MATCH(BF325,calc!$AC$207:$AC$389,1)),calc!$N$189:$N$196,0))=7,"    7",IF(INDEX(calc!$O$189:$O$196,MATCH(INDEX(calc!$BH$207:$BH$389,MATCH(BF325,calc!$AC$207:$AC$389,1)),calc!$N$189:$N$196,0))=6,"    6",INDEX(calc!$O$189:$O$196,MATCH(INDEX(calc!$BH$207:$BH$389,MATCH(BF325,calc!$AC$207:$AC$389,1)),calc!$N$189:$N$196,0))&amp;"~"&amp;INDEX(calc!$P$189:$P$196,MATCH(INDEX(calc!$BH$207:$BH349,MATCH(BF325,calc!$AC$207:$AC$389,1)),calc!$N$189:$N$196,0)))))</f>
        <v xml:space="preserve">    7</v>
      </c>
      <c r="BG345" s="3080"/>
      <c r="BH345" s="1119" t="str">
        <f>IF(OR(BF345="       NA",INDEX(calc!$BI$207:$BI$389,MATCH(BF325,calc!$AC$207:$AC$389,1))=""),"",INDEX(calc!$BI$207:$BI$389,MATCH(BF325,calc!$AC$207:$AC$389,1)))</f>
        <v/>
      </c>
      <c r="BI345" s="3079" t="str">
        <f>IF(INDEX(calc!$BH$207:$BH$389,MATCH(BI325,calc!$AC$207:$AC$389,1))="","       NA",IF(INDEX(calc!$O$189:$O$196,MATCH(INDEX(calc!$BH$207:$BH$389,MATCH(BI325,calc!$AC$207:$AC$389,1)),calc!$N$189:$N$196,0))=7,"    7",IF(INDEX(calc!$O$189:$O$196,MATCH(INDEX(calc!$BH$207:$BH$389,MATCH(BI325,calc!$AC$207:$AC$389,1)),calc!$N$189:$N$196,0))=6,"    6",INDEX(calc!$O$189:$O$196,MATCH(INDEX(calc!$BH$207:$BH$389,MATCH(BI325,calc!$AC$207:$AC$389,1)),calc!$N$189:$N$196,0))&amp;"~"&amp;INDEX(calc!$P$189:$P$196,MATCH(INDEX(calc!$BH$207:$BH349,MATCH(BI325,calc!$AC$207:$AC$389,1)),calc!$N$189:$N$196,0)))))</f>
        <v xml:space="preserve">    7</v>
      </c>
      <c r="BJ345" s="3080"/>
      <c r="BK345" s="1119" t="str">
        <f>IF(OR(BI345="       NA",INDEX(calc!$BI$207:$BI$389,MATCH(BI325,calc!$AC$207:$AC$389,1))=""),"",INDEX(calc!$BI$207:$BI$389,MATCH(BI325,calc!$AC$207:$AC$389,1)))</f>
        <v/>
      </c>
      <c r="BL345" s="3079" t="str">
        <f>IF(INDEX(calc!$BH$207:$BH$389,MATCH(BL325,calc!$AC$207:$AC$389,1))="","       NA",IF(INDEX(calc!$O$189:$O$196,MATCH(INDEX(calc!$BH$207:$BH$389,MATCH(BL325,calc!$AC$207:$AC$389,1)),calc!$N$189:$N$196,0))=7,"    7",IF(INDEX(calc!$O$189:$O$196,MATCH(INDEX(calc!$BH$207:$BH$389,MATCH(BL325,calc!$AC$207:$AC$389,1)),calc!$N$189:$N$196,0))=6,"    6",INDEX(calc!$O$189:$O$196,MATCH(INDEX(calc!$BH$207:$BH$389,MATCH(BL325,calc!$AC$207:$AC$389,1)),calc!$N$189:$N$196,0))&amp;"~"&amp;INDEX(calc!$P$189:$P$196,MATCH(INDEX(calc!$BH$207:$BH349,MATCH(BL325,calc!$AC$207:$AC$389,1)),calc!$N$189:$N$196,0)))))</f>
        <v xml:space="preserve">    7</v>
      </c>
      <c r="BM345" s="3080"/>
      <c r="BN345" s="1119" t="str">
        <f>IF(OR(BL345="       NA",INDEX(calc!$BI$207:$BI$389,MATCH(BL325,calc!$AC$207:$AC$389,1))=""),"",INDEX(calc!$BI$207:$BI$389,MATCH(BL325,calc!$AC$207:$AC$389,1)))</f>
        <v/>
      </c>
      <c r="BO345" s="3079" t="str">
        <f>IF(INDEX(calc!$BH$207:$BH$389,MATCH(BO325,calc!$AC$207:$AC$389,1))="","       NA",IF(INDEX(calc!$O$189:$O$196,MATCH(INDEX(calc!$BH$207:$BH$389,MATCH(BO325,calc!$AC$207:$AC$389,1)),calc!$N$189:$N$196,0))=7,"    7",IF(INDEX(calc!$O$189:$O$196,MATCH(INDEX(calc!$BH$207:$BH$389,MATCH(BO325,calc!$AC$207:$AC$389,1)),calc!$N$189:$N$196,0))=6,"    6",INDEX(calc!$O$189:$O$196,MATCH(INDEX(calc!$BH$207:$BH$389,MATCH(BO325,calc!$AC$207:$AC$389,1)),calc!$N$189:$N$196,0))&amp;"~"&amp;INDEX(calc!$P$189:$P$196,MATCH(INDEX(calc!$BH$207:$BH349,MATCH(BO325,calc!$AC$207:$AC$389,1)),calc!$N$189:$N$196,0)))))</f>
        <v xml:space="preserve">    6</v>
      </c>
      <c r="BP345" s="3080"/>
      <c r="BQ345" s="1119" t="str">
        <f>IF(OR(BO345="       NA",INDEX(calc!$BI$207:$BI$389,MATCH(BO325,calc!$AC$207:$AC$389,1))=""),"",INDEX(calc!$BI$207:$BI$389,MATCH(BO325,calc!$AC$207:$AC$389,1)))</f>
        <v>RA</v>
      </c>
      <c r="BR345" s="3079" t="str">
        <f>IF(INDEX(calc!$BH$207:$BH$389,MATCH(BR325,calc!$AC$207:$AC$389,1))="","       NA",IF(INDEX(calc!$O$189:$O$196,MATCH(INDEX(calc!$BH$207:$BH$389,MATCH(BR325,calc!$AC$207:$AC$389,1)),calc!$N$189:$N$196,0))=7,"    7",IF(INDEX(calc!$O$189:$O$196,MATCH(INDEX(calc!$BH$207:$BH$389,MATCH(BR325,calc!$AC$207:$AC$389,1)),calc!$N$189:$N$196,0))=6,"    6",INDEX(calc!$O$189:$O$196,MATCH(INDEX(calc!$BH$207:$BH$389,MATCH(BR325,calc!$AC$207:$AC$389,1)),calc!$N$189:$N$196,0))&amp;"~"&amp;INDEX(calc!$P$189:$P$196,MATCH(INDEX(calc!$BH$207:$BH349,MATCH(BR325,calc!$AC$207:$AC$389,1)),calc!$N$189:$N$196,0)))))</f>
        <v>2~2 3/4</v>
      </c>
      <c r="BS345" s="3080"/>
      <c r="BT345" s="1119" t="str">
        <f>IF(OR(BR345="       NA",INDEX(calc!$BI$207:$BI$389,MATCH(BR325,calc!$AC$207:$AC$389,1))=""),"",INDEX(calc!$BI$207:$BI$389,MATCH(BR325,calc!$AC$207:$AC$389,1)))</f>
        <v>RA</v>
      </c>
      <c r="BU345" s="3079" t="str">
        <f>IF(INDEX(calc!$BH$207:$BH$389,MATCH(BU325,calc!$AC$207:$AC$389,1))="","       NA",IF(INDEX(calc!$O$189:$O$196,MATCH(INDEX(calc!$BH$207:$BH$389,MATCH(BU325,calc!$AC$207:$AC$389,1)),calc!$N$189:$N$196,0))=7,"    7",IF(INDEX(calc!$O$189:$O$196,MATCH(INDEX(calc!$BH$207:$BH$389,MATCH(BU325,calc!$AC$207:$AC$389,1)),calc!$N$189:$N$196,0))=6,"    6",INDEX(calc!$O$189:$O$196,MATCH(INDEX(calc!$BH$207:$BH$389,MATCH(BU325,calc!$AC$207:$AC$389,1)),calc!$N$189:$N$196,0))&amp;"~"&amp;INDEX(calc!$P$189:$P$196,MATCH(INDEX(calc!$BH$207:$BH349,MATCH(BU325,calc!$AC$207:$AC$389,1)),calc!$N$189:$N$196,0)))))</f>
        <v>3~5</v>
      </c>
      <c r="BV345" s="3080"/>
      <c r="BW345" s="1119" t="str">
        <f>IF(OR(BU345="       NA",INDEX(calc!$BI$207:$BI$389,MATCH(BU325,calc!$AC$207:$AC$389,1))=""),"",INDEX(calc!$BI$207:$BI$389,MATCH(BU325,calc!$AC$207:$AC$389,1)))</f>
        <v>BR</v>
      </c>
      <c r="BX345" s="3079" t="str">
        <f>IF(INDEX(calc!$BH$207:$BH$389,MATCH(BX325,calc!$AC$207:$AC$389,1))="","       NA",IF(INDEX(calc!$O$189:$O$196,MATCH(INDEX(calc!$BH$207:$BH$389,MATCH(BX325,calc!$AC$207:$AC$389,1)),calc!$N$189:$N$196,0))=7,"    7",IF(INDEX(calc!$O$189:$O$196,MATCH(INDEX(calc!$BH$207:$BH$389,MATCH(BX325,calc!$AC$207:$AC$389,1)),calc!$N$189:$N$196,0))=6,"    6",INDEX(calc!$O$189:$O$196,MATCH(INDEX(calc!$BH$207:$BH$389,MATCH(BX325,calc!$AC$207:$AC$389,1)),calc!$N$189:$N$196,0))&amp;"~"&amp;INDEX(calc!$P$189:$P$196,MATCH(INDEX(calc!$BH$207:$BH349,MATCH(BX325,calc!$AC$207:$AC$389,1)),calc!$N$189:$N$196,0)))))</f>
        <v>3~5</v>
      </c>
      <c r="BY345" s="3080"/>
      <c r="BZ345" s="1119" t="str">
        <f>IF(OR(BX345="       NA",INDEX(calc!$BI$207:$BI$389,MATCH(BX325,calc!$AC$207:$AC$389,1))=""),"",INDEX(calc!$BI$207:$BI$389,MATCH(BX325,calc!$AC$207:$AC$389,1)))</f>
        <v>BR</v>
      </c>
      <c r="CA345" s="3079" t="str">
        <f>IF(INDEX(calc!$BH$207:$BH$389,MATCH(CA325,calc!$AC$207:$AC$389,1))="","       NA",IF(INDEX(calc!$O$189:$O$196,MATCH(INDEX(calc!$BH$207:$BH$389,MATCH(CA325,calc!$AC$207:$AC$389,1)),calc!$N$189:$N$196,0))=7,"    7",IF(INDEX(calc!$O$189:$O$196,MATCH(INDEX(calc!$BH$207:$BH$389,MATCH(CA325,calc!$AC$207:$AC$389,1)),calc!$N$189:$N$196,0))=6,"    6",INDEX(calc!$O$189:$O$196,MATCH(INDEX(calc!$BH$207:$BH$389,MATCH(CA325,calc!$AC$207:$AC$389,1)),calc!$N$189:$N$196,0))&amp;"~"&amp;INDEX(calc!$P$189:$P$196,MATCH(INDEX(calc!$BH$207:$BH349,MATCH(CA325,calc!$AC$207:$AC$389,1)),calc!$N$189:$N$196,0)))))</f>
        <v xml:space="preserve">    7</v>
      </c>
      <c r="CB345" s="3080"/>
      <c r="CC345" s="1119" t="str">
        <f>IF(OR(CA345="       NA",INDEX(calc!$BI$207:$BI$389,MATCH(CA325,calc!$AC$207:$AC$389,1))=""),"",INDEX(calc!$BI$207:$BI$389,MATCH(CA325,calc!$AC$207:$AC$389,1)))</f>
        <v/>
      </c>
      <c r="CD345" s="3079" t="str">
        <f>IF(INDEX(calc!$BH$207:$BH$389,MATCH(CD325,calc!$AC$207:$AC$389,1))="","       NA",IF(INDEX(calc!$O$189:$O$196,MATCH(INDEX(calc!$BH$207:$BH$389,MATCH(CD325,calc!$AC$207:$AC$389,1)),calc!$N$189:$N$196,0))=7,"    7",IF(INDEX(calc!$O$189:$O$196,MATCH(INDEX(calc!$BH$207:$BH$389,MATCH(CD325,calc!$AC$207:$AC$389,1)),calc!$N$189:$N$196,0))=6,"    6",INDEX(calc!$O$189:$O$196,MATCH(INDEX(calc!$BH$207:$BH$389,MATCH(CD325,calc!$AC$207:$AC$389,1)),calc!$N$189:$N$196,0))&amp;"~"&amp;INDEX(calc!$P$189:$P$196,MATCH(INDEX(calc!$BH$207:$BH349,MATCH(CD325,calc!$AC$207:$AC$389,1)),calc!$N$189:$N$196,0)))))</f>
        <v xml:space="preserve">    7</v>
      </c>
      <c r="CE345" s="3080"/>
      <c r="CF345" s="1119" t="str">
        <f>IF(OR(CD345="       NA",INDEX(calc!$BI$207:$BI$389,MATCH(CD325,calc!$AC$207:$AC$389,1))=""),"",INDEX(calc!$BI$207:$BI$389,MATCH(CD325,calc!$AC$207:$AC$389,1)))</f>
        <v/>
      </c>
      <c r="CG345" s="3079" t="str">
        <f>IF(INDEX(calc!$BH$207:$BH$389,MATCH(CG325,calc!$AC$207:$AC$389,1))="","       NA",IF(INDEX(calc!$O$189:$O$196,MATCH(INDEX(calc!$BH$207:$BH$389,MATCH(CG325,calc!$AC$207:$AC$389,1)),calc!$N$189:$N$196,0))=7,"    7",IF(INDEX(calc!$O$189:$O$196,MATCH(INDEX(calc!$BH$207:$BH$389,MATCH(CG325,calc!$AC$207:$AC$389,1)),calc!$N$189:$N$196,0))=6,"    6",INDEX(calc!$O$189:$O$196,MATCH(INDEX(calc!$BH$207:$BH$389,MATCH(CG325,calc!$AC$207:$AC$389,1)),calc!$N$189:$N$196,0))&amp;"~"&amp;INDEX(calc!$P$189:$P$196,MATCH(INDEX(calc!$BH$207:$BH349,MATCH(CG325,calc!$AC$207:$AC$389,1)),calc!$N$189:$N$196,0)))))</f>
        <v xml:space="preserve">    7</v>
      </c>
      <c r="CH345" s="3080"/>
      <c r="CI345" s="1119" t="str">
        <f>IF(OR(CG345="       NA",INDEX(calc!$BI$207:$BI$389,MATCH(CG325,calc!$AC$207:$AC$389,1))=""),"",INDEX(calc!$BI$207:$BI$389,MATCH(CG325,calc!$AC$207:$AC$389,1)))</f>
        <v/>
      </c>
      <c r="CJ345" s="3079" t="str">
        <f>IF(INDEX(calc!$BH$207:$BH$389,MATCH(CJ325,calc!$AC$207:$AC$389,1))="","       NA",IF(INDEX(calc!$O$189:$O$196,MATCH(INDEX(calc!$BH$207:$BH$389,MATCH(CJ325,calc!$AC$207:$AC$389,1)),calc!$N$189:$N$196,0))=7,"    7",IF(INDEX(calc!$O$189:$O$196,MATCH(INDEX(calc!$BH$207:$BH$389,MATCH(CJ325,calc!$AC$207:$AC$389,1)),calc!$N$189:$N$196,0))=6,"    6",INDEX(calc!$O$189:$O$196,MATCH(INDEX(calc!$BH$207:$BH$389,MATCH(CJ325,calc!$AC$207:$AC$389,1)),calc!$N$189:$N$196,0))&amp;"~"&amp;INDEX(calc!$P$189:$P$196,MATCH(INDEX(calc!$BH$207:$BH349,MATCH(CJ325,calc!$AC$207:$AC$389,1)),calc!$N$189:$N$196,0)))))</f>
        <v xml:space="preserve">    7</v>
      </c>
      <c r="CK345" s="3080"/>
      <c r="CL345" s="1119" t="str">
        <f>IF(OR(CJ345="       NA",INDEX(calc!$BI$207:$BI$389,MATCH(CJ325,calc!$AC$207:$AC$389,1))=""),"",INDEX(calc!$BI$207:$BI$389,MATCH(CJ325,calc!$AC$207:$AC$389,1)))</f>
        <v/>
      </c>
      <c r="CM345" s="3079" t="str">
        <f>IF(INDEX(calc!$BH$207:$BH$389,MATCH(CM325,calc!$AC$207:$AC$389,1))="","       NA",IF(INDEX(calc!$O$189:$O$196,MATCH(INDEX(calc!$BH$207:$BH$389,MATCH(CM325,calc!$AC$207:$AC$389,1)),calc!$N$189:$N$196,0))=7,"    7",IF(INDEX(calc!$O$189:$O$196,MATCH(INDEX(calc!$BH$207:$BH$389,MATCH(CM325,calc!$AC$207:$AC$389,1)),calc!$N$189:$N$196,0))=6,"    6",INDEX(calc!$O$189:$O$196,MATCH(INDEX(calc!$BH$207:$BH$389,MATCH(CM325,calc!$AC$207:$AC$389,1)),calc!$N$189:$N$196,0))&amp;"~"&amp;INDEX(calc!$P$189:$P$196,MATCH(INDEX(calc!$BH$207:$BH349,MATCH(CM325,calc!$AC$207:$AC$389,1)),calc!$N$189:$N$196,0)))))</f>
        <v xml:space="preserve">       NA</v>
      </c>
      <c r="CN345" s="3080"/>
      <c r="CO345" s="1119" t="str">
        <f>IF(OR(CM345="       NA",INDEX(calc!$BI$207:$BI$389,MATCH(CM325,calc!$AC$207:$AC$389,1))=""),"",INDEX(calc!$BI$207:$BI$389,MATCH(CM325,calc!$AC$207:$AC$389,1)))</f>
        <v/>
      </c>
      <c r="CP345" s="3079" t="str">
        <f>IF(INDEX(calc!$BH$207:$BH$389,MATCH(CP325,calc!$AC$207:$AC$389,1))="","       NA",IF(INDEX(calc!$O$189:$O$196,MATCH(INDEX(calc!$BH$207:$BH$389,MATCH(CP325,calc!$AC$207:$AC$389,1)),calc!$N$189:$N$196,0))=7,"    7",IF(INDEX(calc!$O$189:$O$196,MATCH(INDEX(calc!$BH$207:$BH$389,MATCH(CP325,calc!$AC$207:$AC$389,1)),calc!$N$189:$N$196,0))=6,"    6",INDEX(calc!$O$189:$O$196,MATCH(INDEX(calc!$BH$207:$BH$389,MATCH(CP325,calc!$AC$207:$AC$389,1)),calc!$N$189:$N$196,0))&amp;"~"&amp;INDEX(calc!$P$189:$P$196,MATCH(INDEX(calc!$BH$207:$BH349,MATCH(CP325,calc!$AC$207:$AC$389,1)),calc!$N$189:$N$196,0)))))</f>
        <v>2~2 3/4</v>
      </c>
      <c r="CQ345" s="3080"/>
      <c r="CR345" s="1119" t="str">
        <f>IF(OR(CP345="       NA",INDEX(calc!$BI$207:$BI$389,MATCH(CP325,calc!$AC$207:$AC$389,1))=""),"",INDEX(calc!$BI$207:$BI$389,MATCH(CP325,calc!$AC$207:$AC$389,1)))</f>
        <v>RA</v>
      </c>
      <c r="CS345" s="3079" t="str">
        <f>IF(INDEX(calc!$BH$207:$BH$389,MATCH(CS325,calc!$AC$207:$AC$389,1))="","       NA",IF(INDEX(calc!$O$189:$O$196,MATCH(INDEX(calc!$BH$207:$BH$389,MATCH(CS325,calc!$AC$207:$AC$389,1)),calc!$N$189:$N$196,0))=7,"    7",IF(INDEX(calc!$O$189:$O$196,MATCH(INDEX(calc!$BH$207:$BH$389,MATCH(CS325,calc!$AC$207:$AC$389,1)),calc!$N$189:$N$196,0))=6,"    6",INDEX(calc!$O$189:$O$196,MATCH(INDEX(calc!$BH$207:$BH$389,MATCH(CS325,calc!$AC$207:$AC$389,1)),calc!$N$189:$N$196,0))&amp;"~"&amp;INDEX(calc!$P$189:$P$196,MATCH(INDEX(calc!$BH$207:$BH349,MATCH(CS325,calc!$AC$207:$AC$389,1)),calc!$N$189:$N$196,0)))))</f>
        <v xml:space="preserve">       NA</v>
      </c>
      <c r="CT345" s="3080"/>
      <c r="CU345" s="1119" t="str">
        <f>IF(OR(CS345="       NA",INDEX(calc!$BI$207:$BI$389,MATCH(CS325,calc!$AC$207:$AC$389,1))=""),"",INDEX(calc!$BI$207:$BI$389,MATCH(CS325,calc!$AC$207:$AC$389,1)))</f>
        <v/>
      </c>
      <c r="CV345" s="3079" t="str">
        <f>IF(INDEX(calc!$BH$207:$BH$389,MATCH(CV325,calc!$AC$207:$AC$389,1))="","       NA",IF(INDEX(calc!$O$189:$O$196,MATCH(INDEX(calc!$BH$207:$BH$389,MATCH(CV325,calc!$AC$207:$AC$389,1)),calc!$N$189:$N$196,0))=7,"    7",IF(INDEX(calc!$O$189:$O$196,MATCH(INDEX(calc!$BH$207:$BH$389,MATCH(CV325,calc!$AC$207:$AC$389,1)),calc!$N$189:$N$196,0))=6,"    6",INDEX(calc!$O$189:$O$196,MATCH(INDEX(calc!$BH$207:$BH$389,MATCH(CV325,calc!$AC$207:$AC$389,1)),calc!$N$189:$N$196,0))&amp;"~"&amp;INDEX(calc!$P$189:$P$196,MATCH(INDEX(calc!$BH$207:$BH349,MATCH(CV325,calc!$AC$207:$AC$389,1)),calc!$N$189:$N$196,0)))))</f>
        <v>3~5</v>
      </c>
      <c r="CW345" s="3080"/>
      <c r="CX345" s="1119" t="str">
        <f>IF(OR(CV345="       NA",INDEX(calc!$BI$207:$BI$389,MATCH(CV325,calc!$AC$207:$AC$389,1))=""),"",INDEX(calc!$BI$207:$BI$389,MATCH(CV325,calc!$AC$207:$AC$389,1)))</f>
        <v>RA</v>
      </c>
      <c r="CY345" s="3079" t="str">
        <f>IF(INDEX(calc!$BH$207:$BH$389,MATCH(CY325,calc!$AC$207:$AC$389,1))="","       NA",IF(INDEX(calc!$O$189:$O$196,MATCH(INDEX(calc!$BH$207:$BH$389,MATCH(CY325,calc!$AC$207:$AC$389,1)),calc!$N$189:$N$196,0))=7,"    7",IF(INDEX(calc!$O$189:$O$196,MATCH(INDEX(calc!$BH$207:$BH$389,MATCH(CY325,calc!$AC$207:$AC$389,1)),calc!$N$189:$N$196,0))=6,"    6",INDEX(calc!$O$189:$O$196,MATCH(INDEX(calc!$BH$207:$BH$389,MATCH(CY325,calc!$AC$207:$AC$389,1)),calc!$N$189:$N$196,0))&amp;"~"&amp;INDEX(calc!$P$189:$P$196,MATCH(INDEX(calc!$BH$207:$BH349,MATCH(CY325,calc!$AC$207:$AC$389,1)),calc!$N$189:$N$196,0)))))</f>
        <v xml:space="preserve">       NA</v>
      </c>
      <c r="CZ345" s="3080"/>
      <c r="DA345" s="1119" t="str">
        <f>IF(OR(CY345="       NA",INDEX(calc!$BI$207:$BI$389,MATCH(CY325,calc!$AC$207:$AC$389,1))=""),"",INDEX(calc!$BI$207:$BI$389,MATCH(CY325,calc!$AC$207:$AC$389,1)))</f>
        <v/>
      </c>
      <c r="DB345" s="3079" t="str">
        <f>IF(INDEX(calc!$BH$207:$BH$389,MATCH(DB325,calc!$AC$207:$AC$389,1))="","       NA",IF(INDEX(calc!$O$189:$O$196,MATCH(INDEX(calc!$BH$207:$BH$389,MATCH(DB325,calc!$AC$207:$AC$389,1)),calc!$N$189:$N$196,0))=7,"    7",IF(INDEX(calc!$O$189:$O$196,MATCH(INDEX(calc!$BH$207:$BH$389,MATCH(DB325,calc!$AC$207:$AC$389,1)),calc!$N$189:$N$196,0))=6,"    6",INDEX(calc!$O$189:$O$196,MATCH(INDEX(calc!$BH$207:$BH$389,MATCH(DB325,calc!$AC$207:$AC$389,1)),calc!$N$189:$N$196,0))&amp;"~"&amp;INDEX(calc!$P$189:$P$196,MATCH(INDEX(calc!$BH$207:$BH349,MATCH(DB325,calc!$AC$207:$AC$389,1)),calc!$N$189:$N$196,0)))))</f>
        <v xml:space="preserve">       NA</v>
      </c>
      <c r="DC345" s="3080"/>
      <c r="DD345" s="1119" t="str">
        <f>IF(OR(DB345="       NA",INDEX(calc!$BI$207:$BI$389,MATCH(DB325,calc!$AC$207:$AC$389,1))=""),"",INDEX(calc!$BI$207:$BI$389,MATCH(DB325,calc!$AC$207:$AC$389,1)))</f>
        <v/>
      </c>
      <c r="DE345" s="3079" t="str">
        <f>IF(INDEX(calc!$BH$207:$BH$389,MATCH(DE325,calc!$AC$207:$AC$389,1))="","       NA",IF(INDEX(calc!$O$189:$O$196,MATCH(INDEX(calc!$BH$207:$BH$389,MATCH(DE325,calc!$AC$207:$AC$389,1)),calc!$N$189:$N$196,0))=7,"    7",IF(INDEX(calc!$O$189:$O$196,MATCH(INDEX(calc!$BH$207:$BH$389,MATCH(DE325,calc!$AC$207:$AC$389,1)),calc!$N$189:$N$196,0))=6,"    6",INDEX(calc!$O$189:$O$196,MATCH(INDEX(calc!$BH$207:$BH$389,MATCH(DE325,calc!$AC$207:$AC$389,1)),calc!$N$189:$N$196,0))&amp;"~"&amp;INDEX(calc!$P$189:$P$196,MATCH(INDEX(calc!$BH$207:$BH349,MATCH(DE325,calc!$AC$207:$AC$389,1)),calc!$N$189:$N$196,0)))))</f>
        <v xml:space="preserve">       NA</v>
      </c>
      <c r="DF345" s="3080"/>
      <c r="DG345" s="1119" t="str">
        <f>IF(OR(DE345="       NA",INDEX(calc!$BI$207:$BI$389,MATCH(DE325,calc!$AC$207:$AC$389,1))=""),"",INDEX(calc!$BI$207:$BI$389,MATCH(DE325,calc!$AC$207:$AC$389,1)))</f>
        <v/>
      </c>
      <c r="DH345" s="3079" t="str">
        <f>IF(INDEX(calc!$BH$207:$BH$389,MATCH(DH325,calc!$AC$207:$AC$389,1))="","       NA",IF(INDEX(calc!$O$189:$O$196,MATCH(INDEX(calc!$BH$207:$BH$389,MATCH(DH325,calc!$AC$207:$AC$389,1)),calc!$N$189:$N$196,0))=7,"    7",IF(INDEX(calc!$O$189:$O$196,MATCH(INDEX(calc!$BH$207:$BH$389,MATCH(DH325,calc!$AC$207:$AC$389,1)),calc!$N$189:$N$196,0))=6,"    6",INDEX(calc!$O$189:$O$196,MATCH(INDEX(calc!$BH$207:$BH$389,MATCH(DH325,calc!$AC$207:$AC$389,1)),calc!$N$189:$N$196,0))&amp;"~"&amp;INDEX(calc!$P$189:$P$196,MATCH(INDEX(calc!$BH$207:$BH349,MATCH(DH325,calc!$AC$207:$AC$389,1)),calc!$N$189:$N$196,0)))))</f>
        <v xml:space="preserve">       NA</v>
      </c>
      <c r="DI345" s="3080"/>
      <c r="DJ345" s="1119" t="str">
        <f>IF(OR(DH345="       NA",INDEX(calc!$BI$207:$BI$389,MATCH(DH325,calc!$AC$207:$AC$389,1))=""),"",INDEX(calc!$BI$207:$BI$389,MATCH(DH325,calc!$AC$207:$AC$389,1)))</f>
        <v/>
      </c>
      <c r="DK345" s="3079" t="str">
        <f>IF(INDEX(calc!$BH$207:$BH$389,MATCH(DK325,calc!$AC$207:$AC$389,1))="","       NA",IF(INDEX(calc!$O$189:$O$196,MATCH(INDEX(calc!$BH$207:$BH$389,MATCH(DK325,calc!$AC$207:$AC$389,1)),calc!$N$189:$N$196,0))=7,"    7",IF(INDEX(calc!$O$189:$O$196,MATCH(INDEX(calc!$BH$207:$BH$389,MATCH(DK325,calc!$AC$207:$AC$389,1)),calc!$N$189:$N$196,0))=6,"    6",INDEX(calc!$O$189:$O$196,MATCH(INDEX(calc!$BH$207:$BH$389,MATCH(DK325,calc!$AC$207:$AC$389,1)),calc!$N$189:$N$196,0))&amp;"~"&amp;INDEX(calc!$P$189:$P$196,MATCH(INDEX(calc!$BH$207:$BH349,MATCH(DK325,calc!$AC$207:$AC$389,1)),calc!$N$189:$N$196,0)))))</f>
        <v xml:space="preserve">       NA</v>
      </c>
      <c r="DL345" s="3080"/>
      <c r="DM345" s="1119" t="str">
        <f>IF(OR(DK345="       NA",INDEX(calc!$BI$207:$BI$389,MATCH(DK325,calc!$AC$207:$AC$389,1))=""),"",INDEX(calc!$BI$207:$BI$389,MATCH(DK325,calc!$AC$207:$AC$389,1)))</f>
        <v/>
      </c>
      <c r="DN345" s="3079" t="str">
        <f>IF(INDEX(calc!$BH$207:$BH$389,MATCH(DN325,calc!$AC$207:$AC$389,1))="","       NA",IF(INDEX(calc!$O$189:$O$196,MATCH(INDEX(calc!$BH$207:$BH$389,MATCH(DN325,calc!$AC$207:$AC$389,1)),calc!$N$189:$N$196,0))=7,"    7",IF(INDEX(calc!$O$189:$O$196,MATCH(INDEX(calc!$BH$207:$BH$389,MATCH(DN325,calc!$AC$207:$AC$389,1)),calc!$N$189:$N$196,0))=6,"    6",INDEX(calc!$O$189:$O$196,MATCH(INDEX(calc!$BH$207:$BH$389,MATCH(DN325,calc!$AC$207:$AC$389,1)),calc!$N$189:$N$196,0))&amp;"~"&amp;INDEX(calc!$P$189:$P$196,MATCH(INDEX(calc!$BH$207:$BH349,MATCH(DN325,calc!$AC$207:$AC$389,1)),calc!$N$189:$N$196,0)))))</f>
        <v xml:space="preserve">       NA</v>
      </c>
      <c r="DO345" s="3080"/>
      <c r="DP345" s="1119" t="str">
        <f>IF(OR(DN345="       NA",INDEX(calc!$BI$207:$BI$389,MATCH(DN325,calc!$AC$207:$AC$389,1))=""),"",INDEX(calc!$BI$207:$BI$389,MATCH(DN325,calc!$AC$207:$AC$389,1)))</f>
        <v/>
      </c>
      <c r="DQ345" s="3079" t="str">
        <f>IF(INDEX(calc!$BH$207:$BH$389,MATCH(DQ325,calc!$AC$207:$AC$389,1))="","       NA",IF(INDEX(calc!$O$189:$O$196,MATCH(INDEX(calc!$BH$207:$BH$389,MATCH(DQ325,calc!$AC$207:$AC$389,1)),calc!$N$189:$N$196,0))=7,"    7",IF(INDEX(calc!$O$189:$O$196,MATCH(INDEX(calc!$BH$207:$BH$389,MATCH(DQ325,calc!$AC$207:$AC$389,1)),calc!$N$189:$N$196,0))=6,"    6",INDEX(calc!$O$189:$O$196,MATCH(INDEX(calc!$BH$207:$BH$389,MATCH(DQ325,calc!$AC$207:$AC$389,1)),calc!$N$189:$N$196,0))&amp;"~"&amp;INDEX(calc!$P$189:$P$196,MATCH(INDEX(calc!$BH$207:$BH349,MATCH(DQ325,calc!$AC$207:$AC$389,1)),calc!$N$189:$N$196,0)))))</f>
        <v xml:space="preserve">       NA</v>
      </c>
      <c r="DR345" s="3080"/>
      <c r="DS345" s="1119" t="str">
        <f>IF(OR(DQ345="       NA",INDEX(calc!$BI$207:$BI$389,MATCH(DQ325,calc!$AC$207:$AC$389,1))=""),"",INDEX(calc!$BI$207:$BI$389,MATCH(DQ325,calc!$AC$207:$AC$389,1)))</f>
        <v/>
      </c>
      <c r="DT345" s="3079" t="str">
        <f>IF(INDEX(calc!$BH$207:$BH$389,MATCH(DT325,calc!$AC$207:$AC$389,1))="","       NA",IF(INDEX(calc!$O$189:$O$196,MATCH(INDEX(calc!$BH$207:$BH$389,MATCH(DT325,calc!$AC$207:$AC$389,1)),calc!$N$189:$N$196,0))=7,"    7",IF(INDEX(calc!$O$189:$O$196,MATCH(INDEX(calc!$BH$207:$BH$389,MATCH(DT325,calc!$AC$207:$AC$389,1)),calc!$N$189:$N$196,0))=6,"    6",INDEX(calc!$O$189:$O$196,MATCH(INDEX(calc!$BH$207:$BH$389,MATCH(DT325,calc!$AC$207:$AC$389,1)),calc!$N$189:$N$196,0))&amp;"~"&amp;INDEX(calc!$P$189:$P$196,MATCH(INDEX(calc!$BH$207:$BH349,MATCH(DT325,calc!$AC$207:$AC$389,1)),calc!$N$189:$N$196,0)))))</f>
        <v xml:space="preserve">       NA</v>
      </c>
      <c r="DU345" s="3080"/>
      <c r="DV345" s="1119" t="str">
        <f>IF(OR(DT345="       NA",INDEX(calc!$BI$207:$BI$389,MATCH(DT325,calc!$AC$207:$AC$389,1))=""),"",INDEX(calc!$BI$207:$BI$389,MATCH(DT325,calc!$AC$207:$AC$389,1)))</f>
        <v/>
      </c>
      <c r="DW345" s="3079" t="str">
        <f>IF(INDEX(calc!$BH$207:$BH$389,MATCH(DW325,calc!$AC$207:$AC$389,1))="","       NA",IF(INDEX(calc!$O$189:$O$196,MATCH(INDEX(calc!$BH$207:$BH$389,MATCH(DW325,calc!$AC$207:$AC$389,1)),calc!$N$189:$N$196,0))=7,"    7",IF(INDEX(calc!$O$189:$O$196,MATCH(INDEX(calc!$BH$207:$BH$389,MATCH(DW325,calc!$AC$207:$AC$389,1)),calc!$N$189:$N$196,0))=6,"    6",INDEX(calc!$O$189:$O$196,MATCH(INDEX(calc!$BH$207:$BH$389,MATCH(DW325,calc!$AC$207:$AC$389,1)),calc!$N$189:$N$196,0))&amp;"~"&amp;INDEX(calc!$P$189:$P$196,MATCH(INDEX(calc!$BH$207:$BH349,MATCH(DW325,calc!$AC$207:$AC$389,1)),calc!$N$189:$N$196,0)))))</f>
        <v xml:space="preserve">       NA</v>
      </c>
      <c r="DX345" s="3080"/>
      <c r="DY345" s="1119" t="str">
        <f>IF(OR(DW345="       NA",INDEX(calc!$BI$207:$BI$389,MATCH(DW325,calc!$AC$207:$AC$389,1))=""),"",INDEX(calc!$BI$207:$BI$389,MATCH(DW325,calc!$AC$207:$AC$389,1)))</f>
        <v/>
      </c>
      <c r="DZ345" s="3079" t="str">
        <f>IF(INDEX(calc!$BH$207:$BH$389,MATCH(DZ325,calc!$AC$207:$AC$389,1))="","       NA",IF(INDEX(calc!$O$189:$O$196,MATCH(INDEX(calc!$BH$207:$BH$389,MATCH(DZ325,calc!$AC$207:$AC$389,1)),calc!$N$189:$N$196,0))=7,"    7",IF(INDEX(calc!$O$189:$O$196,MATCH(INDEX(calc!$BH$207:$BH$389,MATCH(DZ325,calc!$AC$207:$AC$389,1)),calc!$N$189:$N$196,0))=6,"    6",INDEX(calc!$O$189:$O$196,MATCH(INDEX(calc!$BH$207:$BH$389,MATCH(DZ325,calc!$AC$207:$AC$389,1)),calc!$N$189:$N$196,0))&amp;"~"&amp;INDEX(calc!$P$189:$P$196,MATCH(INDEX(calc!$BH$207:$BH349,MATCH(DZ325,calc!$AC$207:$AC$389,1)),calc!$N$189:$N$196,0)))))</f>
        <v xml:space="preserve">       NA</v>
      </c>
      <c r="EA345" s="3080"/>
      <c r="EB345" s="1119" t="str">
        <f>IF(OR(DZ345="       NA",INDEX(calc!$BI$207:$BI$389,MATCH(DZ325,calc!$AC$207:$AC$389,1))=""),"",INDEX(calc!$BI$207:$BI$389,MATCH(DZ325,calc!$AC$207:$AC$389,1)))</f>
        <v/>
      </c>
      <c r="EC345" s="3079" t="str">
        <f>IF(INDEX(calc!$BH$207:$BH$389,MATCH(EC325,calc!$AC$207:$AC$389,1))="","       NA",IF(INDEX(calc!$O$189:$O$196,MATCH(INDEX(calc!$BH$207:$BH$389,MATCH(EC325,calc!$AC$207:$AC$389,1)),calc!$N$189:$N$196,0))=7,"    7",IF(INDEX(calc!$O$189:$O$196,MATCH(INDEX(calc!$BH$207:$BH$389,MATCH(EC325,calc!$AC$207:$AC$389,1)),calc!$N$189:$N$196,0))=6,"    6",INDEX(calc!$O$189:$O$196,MATCH(INDEX(calc!$BH$207:$BH$389,MATCH(EC325,calc!$AC$207:$AC$389,1)),calc!$N$189:$N$196,0))&amp;"~"&amp;INDEX(calc!$P$189:$P$196,MATCH(INDEX(calc!$BH$207:$BH349,MATCH(EC325,calc!$AC$207:$AC$389,1)),calc!$N$189:$N$196,0)))))</f>
        <v xml:space="preserve">       NA</v>
      </c>
      <c r="ED345" s="3080"/>
      <c r="EE345" s="1119" t="str">
        <f>IF(OR(EC345="       NA",INDEX(calc!$BI$207:$BI$389,MATCH(EC325,calc!$AC$207:$AC$389,1))=""),"",INDEX(calc!$BI$207:$BI$389,MATCH(EC325,calc!$AC$207:$AC$389,1)))</f>
        <v/>
      </c>
      <c r="EF345" s="3079" t="str">
        <f>IF(INDEX(calc!$BH$207:$BH$389,MATCH(EF325,calc!$AC$207:$AC$389,1))="","       NA",IF(INDEX(calc!$O$189:$O$196,MATCH(INDEX(calc!$BH$207:$BH$389,MATCH(EF325,calc!$AC$207:$AC$389,1)),calc!$N$189:$N$196,0))=7,"    7",IF(INDEX(calc!$O$189:$O$196,MATCH(INDEX(calc!$BH$207:$BH$389,MATCH(EF325,calc!$AC$207:$AC$389,1)),calc!$N$189:$N$196,0))=6,"    6",INDEX(calc!$O$189:$O$196,MATCH(INDEX(calc!$BH$207:$BH$389,MATCH(EF325,calc!$AC$207:$AC$389,1)),calc!$N$189:$N$196,0))&amp;"~"&amp;INDEX(calc!$P$189:$P$196,MATCH(INDEX(calc!$BH$207:$BH349,MATCH(EF325,calc!$AC$207:$AC$389,1)),calc!$N$189:$N$196,0)))))</f>
        <v xml:space="preserve">       NA</v>
      </c>
      <c r="EG345" s="3080"/>
      <c r="EH345" s="1119" t="str">
        <f>IF(OR(EF345="       NA",INDEX(calc!$BI$207:$BI$389,MATCH(EF325,calc!$AC$207:$AC$389,1))=""),"",INDEX(calc!$BI$207:$BI$389,MATCH(EF325,calc!$AC$207:$AC$389,1)))</f>
        <v/>
      </c>
      <c r="EI345" s="3079" t="str">
        <f>IF(INDEX(calc!$BH$207:$BH$389,MATCH(EI325,calc!$AC$207:$AC$389,1))="","       NA",IF(INDEX(calc!$O$189:$O$196,MATCH(INDEX(calc!$BH$207:$BH$389,MATCH(EI325,calc!$AC$207:$AC$389,1)),calc!$N$189:$N$196,0))=7,"    7",IF(INDEX(calc!$O$189:$O$196,MATCH(INDEX(calc!$BH$207:$BH$389,MATCH(EI325,calc!$AC$207:$AC$389,1)),calc!$N$189:$N$196,0))=6,"    6",INDEX(calc!$O$189:$O$196,MATCH(INDEX(calc!$BH$207:$BH$389,MATCH(EI325,calc!$AC$207:$AC$389,1)),calc!$N$189:$N$196,0))&amp;"~"&amp;INDEX(calc!$P$189:$P$196,MATCH(INDEX(calc!$BH$207:$BH349,MATCH(EI325,calc!$AC$207:$AC$389,1)),calc!$N$189:$N$196,0)))))</f>
        <v xml:space="preserve">       NA</v>
      </c>
      <c r="EJ345" s="3080"/>
      <c r="EK345" s="1119" t="str">
        <f>IF(OR(EI345="       NA",INDEX(calc!$BI$207:$BI$389,MATCH(EI325,calc!$AC$207:$AC$389,1))=""),"",INDEX(calc!$BI$207:$BI$389,MATCH(EI325,calc!$AC$207:$AC$389,1)))</f>
        <v/>
      </c>
      <c r="EL345" s="3079" t="str">
        <f>IF(INDEX(calc!$BH$207:$BH$389,MATCH(EL325,calc!$AC$207:$AC$389,1))="","       NA",IF(INDEX(calc!$O$189:$O$196,MATCH(INDEX(calc!$BH$207:$BH$389,MATCH(EL325,calc!$AC$207:$AC$389,1)),calc!$N$189:$N$196,0))=7,"    7",IF(INDEX(calc!$O$189:$O$196,MATCH(INDEX(calc!$BH$207:$BH$389,MATCH(EL325,calc!$AC$207:$AC$389,1)),calc!$N$189:$N$196,0))=6,"    6",INDEX(calc!$O$189:$O$196,MATCH(INDEX(calc!$BH$207:$BH$389,MATCH(EL325,calc!$AC$207:$AC$389,1)),calc!$N$189:$N$196,0))&amp;"~"&amp;INDEX(calc!$P$189:$P$196,MATCH(INDEX(calc!$BH$207:$BH349,MATCH(EL325,calc!$AC$207:$AC$389,1)),calc!$N$189:$N$196,0)))))</f>
        <v xml:space="preserve">       NA</v>
      </c>
      <c r="EM345" s="3080"/>
      <c r="EN345" s="1119" t="str">
        <f>IF(OR(EL345="       NA",INDEX(calc!$BI$207:$BI$389,MATCH(EL325,calc!$AC$207:$AC$389,1))=""),"",INDEX(calc!$BI$207:$BI$389,MATCH(EL325,calc!$AC$207:$AC$389,1)))</f>
        <v/>
      </c>
      <c r="EO345" s="3079" t="str">
        <f>IF(INDEX(calc!$BH$207:$BH$389,MATCH(EO325,calc!$AC$207:$AC$389,1))="","       NA",IF(INDEX(calc!$O$189:$O$196,MATCH(INDEX(calc!$BH$207:$BH$389,MATCH(EO325,calc!$AC$207:$AC$389,1)),calc!$N$189:$N$196,0))=7,"    7",IF(INDEX(calc!$O$189:$O$196,MATCH(INDEX(calc!$BH$207:$BH$389,MATCH(EO325,calc!$AC$207:$AC$389,1)),calc!$N$189:$N$196,0))=6,"    6",INDEX(calc!$O$189:$O$196,MATCH(INDEX(calc!$BH$207:$BH$389,MATCH(EO325,calc!$AC$207:$AC$389,1)),calc!$N$189:$N$196,0))&amp;"~"&amp;INDEX(calc!$P$189:$P$196,MATCH(INDEX(calc!$BH$207:$BH349,MATCH(EO325,calc!$AC$207:$AC$389,1)),calc!$N$189:$N$196,0)))))</f>
        <v xml:space="preserve">       NA</v>
      </c>
      <c r="EP345" s="3080"/>
      <c r="EQ345" s="1119" t="str">
        <f>IF(OR(EO345="       NA",INDEX(calc!$BI$207:$BI$389,MATCH(EO325,calc!$AC$207:$AC$389,1))=""),"",INDEX(calc!$BI$207:$BI$389,MATCH(EO325,calc!$AC$207:$AC$389,1)))</f>
        <v/>
      </c>
      <c r="ER345" s="3079" t="str">
        <f>IF(INDEX(calc!$BH$207:$BH$389,MATCH(ER325,calc!$AC$207:$AC$389,1))="","       NA",IF(INDEX(calc!$O$189:$O$196,MATCH(INDEX(calc!$BH$207:$BH$389,MATCH(ER325,calc!$AC$207:$AC$389,1)),calc!$N$189:$N$196,0))=7,"    7",IF(INDEX(calc!$O$189:$O$196,MATCH(INDEX(calc!$BH$207:$BH$389,MATCH(ER325,calc!$AC$207:$AC$389,1)),calc!$N$189:$N$196,0))=6,"    6",INDEX(calc!$O$189:$O$196,MATCH(INDEX(calc!$BH$207:$BH$389,MATCH(ER325,calc!$AC$207:$AC$389,1)),calc!$N$189:$N$196,0))&amp;"~"&amp;INDEX(calc!$P$189:$P$196,MATCH(INDEX(calc!$BH$207:$BH349,MATCH(ER325,calc!$AC$207:$AC$389,1)),calc!$N$189:$N$196,0)))))</f>
        <v xml:space="preserve">       NA</v>
      </c>
      <c r="ES345" s="3080"/>
      <c r="ET345" s="1119" t="str">
        <f>IF(OR(ER345="       NA",INDEX(calc!$BI$207:$BI$389,MATCH(ER325,calc!$AC$207:$AC$389,1))=""),"",INDEX(calc!$BI$207:$BI$389,MATCH(ER325,calc!$AC$207:$AC$389,1)))</f>
        <v/>
      </c>
      <c r="EU345" s="3079" t="str">
        <f>IF(INDEX(calc!$BH$207:$BH$389,MATCH(EU325,calc!$AC$207:$AC$389,1))="","       NA",IF(INDEX(calc!$O$189:$O$196,MATCH(INDEX(calc!$BH$207:$BH$389,MATCH(EU325,calc!$AC$207:$AC$389,1)),calc!$N$189:$N$196,0))=7,"    7",IF(INDEX(calc!$O$189:$O$196,MATCH(INDEX(calc!$BH$207:$BH$389,MATCH(EU325,calc!$AC$207:$AC$389,1)),calc!$N$189:$N$196,0))=6,"    6",INDEX(calc!$O$189:$O$196,MATCH(INDEX(calc!$BH$207:$BH$389,MATCH(EU325,calc!$AC$207:$AC$389,1)),calc!$N$189:$N$196,0))&amp;"~"&amp;INDEX(calc!$P$189:$P$196,MATCH(INDEX(calc!$BH$207:$BH349,MATCH(EU325,calc!$AC$207:$AC$389,1)),calc!$N$189:$N$196,0)))))</f>
        <v xml:space="preserve">       NA</v>
      </c>
      <c r="EV345" s="3080"/>
      <c r="EW345" s="1119" t="str">
        <f>IF(OR(EU345="       NA",INDEX(calc!$BI$207:$BI$389,MATCH(EU325,calc!$AC$207:$AC$389,1))=""),"",INDEX(calc!$BI$207:$BI$389,MATCH(EU325,calc!$AC$207:$AC$389,1)))</f>
        <v/>
      </c>
      <c r="EX345" s="3079" t="str">
        <f>IF(INDEX(calc!$BH$207:$BH$389,MATCH(EX325,calc!$AC$207:$AC$389,1))="","       NA",IF(INDEX(calc!$O$189:$O$196,MATCH(INDEX(calc!$BH$207:$BH$389,MATCH(EX325,calc!$AC$207:$AC$389,1)),calc!$N$189:$N$196,0))=7,"    7",IF(INDEX(calc!$O$189:$O$196,MATCH(INDEX(calc!$BH$207:$BH$389,MATCH(EX325,calc!$AC$207:$AC$389,1)),calc!$N$189:$N$196,0))=6,"    6",INDEX(calc!$O$189:$O$196,MATCH(INDEX(calc!$BH$207:$BH$389,MATCH(EX325,calc!$AC$207:$AC$389,1)),calc!$N$189:$N$196,0))&amp;"~"&amp;INDEX(calc!$P$189:$P$196,MATCH(INDEX(calc!$BH$207:$BH349,MATCH(EX325,calc!$AC$207:$AC$389,1)),calc!$N$189:$N$196,0)))))</f>
        <v xml:space="preserve">       NA</v>
      </c>
      <c r="EY345" s="3080"/>
      <c r="EZ345" s="1119" t="str">
        <f>IF(OR(EX345="       NA",INDEX(calc!$BI$207:$BI$389,MATCH(EX325,calc!$AC$207:$AC$389,1))=""),"",INDEX(calc!$BI$207:$BI$389,MATCH(EX325,calc!$AC$207:$AC$389,1)))</f>
        <v/>
      </c>
      <c r="FA345" s="3079" t="str">
        <f>IF(INDEX(calc!$BH$207:$BH$389,MATCH(FA325,calc!$AC$207:$AC$389,1))="","       NA",IF(INDEX(calc!$O$189:$O$196,MATCH(INDEX(calc!$BH$207:$BH$389,MATCH(FA325,calc!$AC$207:$AC$389,1)),calc!$N$189:$N$196,0))=7,"    7",IF(INDEX(calc!$O$189:$O$196,MATCH(INDEX(calc!$BH$207:$BH$389,MATCH(FA325,calc!$AC$207:$AC$389,1)),calc!$N$189:$N$196,0))=6,"    6",INDEX(calc!$O$189:$O$196,MATCH(INDEX(calc!$BH$207:$BH$389,MATCH(FA325,calc!$AC$207:$AC$389,1)),calc!$N$189:$N$196,0))&amp;"~"&amp;INDEX(calc!$P$189:$P$196,MATCH(INDEX(calc!$BH$207:$BH349,MATCH(FA325,calc!$AC$207:$AC$389,1)),calc!$N$189:$N$196,0)))))</f>
        <v xml:space="preserve">       NA</v>
      </c>
      <c r="FB345" s="3080"/>
      <c r="FC345" s="1119" t="str">
        <f>IF(OR(FA345="       NA",INDEX(calc!$BI$207:$BI$389,MATCH(FA325,calc!$AC$207:$AC$389,1))=""),"",INDEX(calc!$BI$207:$BI$389,MATCH(FA325,calc!$AC$207:$AC$389,1)))</f>
        <v/>
      </c>
      <c r="FD345" s="3079" t="str">
        <f>IF(INDEX(calc!$BH$207:$BH$389,MATCH(FD325,calc!$AC$207:$AC$389,1))="","       NA",IF(INDEX(calc!$O$189:$O$196,MATCH(INDEX(calc!$BH$207:$BH$389,MATCH(FD325,calc!$AC$207:$AC$389,1)),calc!$N$189:$N$196,0))=7,"    7",IF(INDEX(calc!$O$189:$O$196,MATCH(INDEX(calc!$BH$207:$BH$389,MATCH(FD325,calc!$AC$207:$AC$389,1)),calc!$N$189:$N$196,0))=6,"    6",INDEX(calc!$O$189:$O$196,MATCH(INDEX(calc!$BH$207:$BH$389,MATCH(FD325,calc!$AC$207:$AC$389,1)),calc!$N$189:$N$196,0))&amp;"~"&amp;INDEX(calc!$P$189:$P$196,MATCH(INDEX(calc!$BH$207:$BH349,MATCH(FD325,calc!$AC$207:$AC$389,1)),calc!$N$189:$N$196,0)))))</f>
        <v xml:space="preserve">       NA</v>
      </c>
      <c r="FE345" s="3080"/>
      <c r="FF345" s="1120" t="str">
        <f>IF(OR(FD345="       NA",INDEX(calc!$BI$207:$BI$389,MATCH(FD325,calc!$AC$207:$AC$389,1))=""),"",INDEX(calc!$BI$207:$BI$389,MATCH(FD325,calc!$AC$207:$AC$389,1)))</f>
        <v/>
      </c>
      <c r="FG345" s="3079" t="str">
        <f>IF(INDEX(calc!$BH$207:$BH$389,MATCH(FG325,calc!$AC$207:$AC$389,1))="","       NA",IF(INDEX(calc!$O$189:$O$196,MATCH(INDEX(calc!$BH$207:$BH$389,MATCH(FG325,calc!$AC$207:$AC$389,1)),calc!$N$189:$N$196,0))=7,"    7",IF(INDEX(calc!$O$189:$O$196,MATCH(INDEX(calc!$BH$207:$BH$389,MATCH(FG325,calc!$AC$207:$AC$389,1)),calc!$N$189:$N$196,0))=6,"    6",INDEX(calc!$O$189:$O$196,MATCH(INDEX(calc!$BH$207:$BH$389,MATCH(FG325,calc!$AC$207:$AC$389,1)),calc!$N$189:$N$196,0))&amp;"~"&amp;INDEX(calc!$P$189:$P$196,MATCH(INDEX(calc!$BH$207:$BH349,MATCH(FG325,calc!$AC$207:$AC$389,1)),calc!$N$189:$N$196,0)))))</f>
        <v xml:space="preserve">       NA</v>
      </c>
      <c r="FH345" s="3080"/>
      <c r="FI345" s="1120" t="str">
        <f>IF(OR(FG345="       NA",INDEX(calc!$BI$207:$BI$389,MATCH(FG325,calc!$AC$207:$AC$389,1))=""),"",INDEX(calc!$BI$207:$BI$389,MATCH(FG325,calc!$AC$207:$AC$389,1)))</f>
        <v/>
      </c>
      <c r="FJ345" s="3079" t="str">
        <f>IF(INDEX(calc!$BH$207:$BH$389,MATCH(FJ325,calc!$AC$207:$AC$389,1))="","       NA",IF(INDEX(calc!$O$189:$O$196,MATCH(INDEX(calc!$BH$207:$BH$389,MATCH(FJ325,calc!$AC$207:$AC$389,1)),calc!$N$189:$N$196,0))=7,"    7",IF(INDEX(calc!$O$189:$O$196,MATCH(INDEX(calc!$BH$207:$BH$389,MATCH(FJ325,calc!$AC$207:$AC$389,1)),calc!$N$189:$N$196,0))=6,"    6",INDEX(calc!$O$189:$O$196,MATCH(INDEX(calc!$BH$207:$BH$389,MATCH(FJ325,calc!$AC$207:$AC$389,1)),calc!$N$189:$N$196,0))&amp;"~"&amp;INDEX(calc!$P$189:$P$196,MATCH(INDEX(calc!$BH$207:$BH349,MATCH(FJ325,calc!$AC$207:$AC$389,1)),calc!$N$189:$N$196,0)))))</f>
        <v xml:space="preserve">       NA</v>
      </c>
      <c r="FK345" s="3080"/>
      <c r="FL345" s="1120" t="str">
        <f>IF(OR(FJ345="       NA",INDEX(calc!$BI$207:$BI$389,MATCH(FJ325,calc!$AC$207:$AC$389,1))=""),"",INDEX(calc!$BI$207:$BI$389,MATCH(FJ325,calc!$AC$207:$AC$389,1)))</f>
        <v/>
      </c>
      <c r="FM345" s="3079" t="str">
        <f>IF(INDEX(calc!$BH$207:$BH$389,MATCH(FM325,calc!$AC$207:$AC$389,1))="","       NA",IF(INDEX(calc!$O$189:$O$196,MATCH(INDEX(calc!$BH$207:$BH$389,MATCH(FM325,calc!$AC$207:$AC$389,1)),calc!$N$189:$N$196,0))=7,"    7",IF(INDEX(calc!$O$189:$O$196,MATCH(INDEX(calc!$BH$207:$BH$389,MATCH(FM325,calc!$AC$207:$AC$389,1)),calc!$N$189:$N$196,0))=6,"    6",INDEX(calc!$O$189:$O$196,MATCH(INDEX(calc!$BH$207:$BH$389,MATCH(FM325,calc!$AC$207:$AC$389,1)),calc!$N$189:$N$196,0))&amp;"~"&amp;INDEX(calc!$P$189:$P$196,MATCH(INDEX(calc!$BH$207:$BH349,MATCH(FM325,calc!$AC$207:$AC$389,1)),calc!$N$189:$N$196,0)))))</f>
        <v xml:space="preserve">       NA</v>
      </c>
      <c r="FN345" s="3080"/>
      <c r="FO345" s="1120" t="str">
        <f>IF(OR(FM345="       NA",INDEX(calc!$BI$207:$BI$389,MATCH(FM325,calc!$AC$207:$AC$389,1))=""),"",INDEX(calc!$BI$207:$BI$389,MATCH(FM325,calc!$AC$207:$AC$389,1)))</f>
        <v/>
      </c>
      <c r="FP345" s="3079" t="str">
        <f>IF(INDEX(calc!$BH$207:$BH$389,MATCH(FP325,calc!$AC$207:$AC$389,1))="","       NA",IF(INDEX(calc!$O$189:$O$196,MATCH(INDEX(calc!$BH$207:$BH$389,MATCH(FP325,calc!$AC$207:$AC$389,1)),calc!$N$189:$N$196,0))=7,"    7",IF(INDEX(calc!$O$189:$O$196,MATCH(INDEX(calc!$BH$207:$BH$389,MATCH(FP325,calc!$AC$207:$AC$389,1)),calc!$N$189:$N$196,0))=6,"    6",INDEX(calc!$O$189:$O$196,MATCH(INDEX(calc!$BH$207:$BH$389,MATCH(FP325,calc!$AC$207:$AC$389,1)),calc!$N$189:$N$196,0))&amp;"~"&amp;INDEX(calc!$P$189:$P$196,MATCH(INDEX(calc!$BH$207:$BH349,MATCH(FP325,calc!$AC$207:$AC$389,1)),calc!$N$189:$N$196,0)))))</f>
        <v xml:space="preserve">       NA</v>
      </c>
      <c r="FQ345" s="3080"/>
      <c r="FR345" s="1120" t="str">
        <f>IF(OR(FP345="       NA",INDEX(calc!$BI$207:$BI$389,MATCH(FP325,calc!$AC$207:$AC$389,1))=""),"",INDEX(calc!$BI$207:$BI$389,MATCH(FP325,calc!$AC$207:$AC$389,1)))</f>
        <v/>
      </c>
      <c r="FS345" s="3079" t="str">
        <f>IF(INDEX(calc!$BH$207:$BH$389,MATCH(FS325,calc!$AC$207:$AC$389,1))="","       NA",IF(INDEX(calc!$O$189:$O$196,MATCH(INDEX(calc!$BH$207:$BH$389,MATCH(FS325,calc!$AC$207:$AC$389,1)),calc!$N$189:$N$196,0))=7,"    7",IF(INDEX(calc!$O$189:$O$196,MATCH(INDEX(calc!$BH$207:$BH$389,MATCH(FS325,calc!$AC$207:$AC$389,1)),calc!$N$189:$N$196,0))=6,"    6",INDEX(calc!$O$189:$O$196,MATCH(INDEX(calc!$BH$207:$BH$389,MATCH(FS325,calc!$AC$207:$AC$389,1)),calc!$N$189:$N$196,0))&amp;"~"&amp;INDEX(calc!$P$189:$P$196,MATCH(INDEX(calc!$BH$207:$BH349,MATCH(FS325,calc!$AC$207:$AC$389,1)),calc!$N$189:$N$196,0)))))</f>
        <v xml:space="preserve">       NA</v>
      </c>
      <c r="FT345" s="3080"/>
      <c r="FU345" s="1120" t="str">
        <f>IF(OR(FS345="       NA",INDEX(calc!$BI$207:$BI$389,MATCH(FS325,calc!$AC$207:$AC$389,1))=""),"",INDEX(calc!$BI$207:$BI$389,MATCH(FS325,calc!$AC$207:$AC$389,1)))</f>
        <v/>
      </c>
      <c r="FV345" s="3079" t="str">
        <f>IF(INDEX(calc!$BH$207:$BH$389,MATCH(FV325,calc!$AC$207:$AC$389,1))="","       NA",IF(INDEX(calc!$O$189:$O$196,MATCH(INDEX(calc!$BH$207:$BH$389,MATCH(FV325,calc!$AC$207:$AC$389,1)),calc!$N$189:$N$196,0))=7,"    7",IF(INDEX(calc!$O$189:$O$196,MATCH(INDEX(calc!$BH$207:$BH$389,MATCH(FV325,calc!$AC$207:$AC$389,1)),calc!$N$189:$N$196,0))=6,"    6",INDEX(calc!$O$189:$O$196,MATCH(INDEX(calc!$BH$207:$BH$389,MATCH(FV325,calc!$AC$207:$AC$389,1)),calc!$N$189:$N$196,0))&amp;"~"&amp;INDEX(calc!$P$189:$P$196,MATCH(INDEX(calc!$BH$207:$BH349,MATCH(FV325,calc!$AC$207:$AC$389,1)),calc!$N$189:$N$196,0)))))</f>
        <v xml:space="preserve">       NA</v>
      </c>
      <c r="FW345" s="3080"/>
      <c r="FX345" s="1120" t="str">
        <f>IF(OR(FV345="       NA",INDEX(calc!$BI$207:$BI$389,MATCH(FV325,calc!$AC$207:$AC$389,1))=""),"",INDEX(calc!$BI$207:$BI$389,MATCH(FV325,calc!$AC$207:$AC$389,1)))</f>
        <v/>
      </c>
      <c r="FY345" s="3079" t="str">
        <f>IF(INDEX(calc!$BH$207:$BH$389,MATCH(FY325,calc!$AC$207:$AC$389,1))="","       NA",IF(INDEX(calc!$O$189:$O$196,MATCH(INDEX(calc!$BH$207:$BH$389,MATCH(FY325,calc!$AC$207:$AC$389,1)),calc!$N$189:$N$196,0))=7,"    7",IF(INDEX(calc!$O$189:$O$196,MATCH(INDEX(calc!$BH$207:$BH$389,MATCH(FY325,calc!$AC$207:$AC$389,1)),calc!$N$189:$N$196,0))=6,"    6",INDEX(calc!$O$189:$O$196,MATCH(INDEX(calc!$BH$207:$BH$389,MATCH(FY325,calc!$AC$207:$AC$389,1)),calc!$N$189:$N$196,0))&amp;"~"&amp;INDEX(calc!$P$189:$P$196,MATCH(INDEX(calc!$BH$207:$BH349,MATCH(FY325,calc!$AC$207:$AC$389,1)),calc!$N$189:$N$196,0)))))</f>
        <v xml:space="preserve">       NA</v>
      </c>
      <c r="FZ345" s="3080"/>
      <c r="GA345" s="1120" t="str">
        <f>IF(OR(FY345="       NA",INDEX(calc!$BI$207:$BI$389,MATCH(FY325,calc!$AC$207:$AC$389,1))=""),"",INDEX(calc!$BI$207:$BI$389,MATCH(FY325,calc!$AC$207:$AC$389,1)))</f>
        <v/>
      </c>
      <c r="GB345" s="3079" t="str">
        <f>IF(INDEX(calc!$BH$207:$BH$389,MATCH(GB325,calc!$AC$207:$AC$389,1))="","       NA",IF(INDEX(calc!$O$189:$O$196,MATCH(INDEX(calc!$BH$207:$BH$389,MATCH(GB325,calc!$AC$207:$AC$389,1)),calc!$N$189:$N$196,0))=7,"    7",IF(INDEX(calc!$O$189:$O$196,MATCH(INDEX(calc!$BH$207:$BH$389,MATCH(GB325,calc!$AC$207:$AC$389,1)),calc!$N$189:$N$196,0))=6,"    6",INDEX(calc!$O$189:$O$196,MATCH(INDEX(calc!$BH$207:$BH$389,MATCH(GB325,calc!$AC$207:$AC$389,1)),calc!$N$189:$N$196,0))&amp;"~"&amp;INDEX(calc!$P$189:$P$196,MATCH(INDEX(calc!$BH$207:$BH349,MATCH(GB325,calc!$AC$207:$AC$389,1)),calc!$N$189:$N$196,0)))))</f>
        <v xml:space="preserve">       NA</v>
      </c>
      <c r="GC345" s="3080"/>
      <c r="GD345" s="1120" t="str">
        <f>IF(OR(GB345="       NA",INDEX(calc!$BI$207:$BI$389,MATCH(GB325,calc!$AC$207:$AC$389,1))=""),"",INDEX(calc!$BI$207:$BI$389,MATCH(GB325,calc!$AC$207:$AC$389,1)))</f>
        <v/>
      </c>
      <c r="GE345" s="3079" t="str">
        <f>IF(INDEX(calc!$BH$207:$BH$389,MATCH(GE325,calc!$AC$207:$AC$389,1))="","       NA",IF(INDEX(calc!$O$189:$O$196,MATCH(INDEX(calc!$BH$207:$BH$389,MATCH(GE325,calc!$AC$207:$AC$389,1)),calc!$N$189:$N$196,0))=7,"    7",IF(INDEX(calc!$O$189:$O$196,MATCH(INDEX(calc!$BH$207:$BH$389,MATCH(GE325,calc!$AC$207:$AC$389,1)),calc!$N$189:$N$196,0))=6,"    6",INDEX(calc!$O$189:$O$196,MATCH(INDEX(calc!$BH$207:$BH$389,MATCH(GE325,calc!$AC$207:$AC$389,1)),calc!$N$189:$N$196,0))&amp;"~"&amp;INDEX(calc!$P$189:$P$196,MATCH(INDEX(calc!$BH$207:$BH349,MATCH(GE325,calc!$AC$207:$AC$389,1)),calc!$N$189:$N$196,0)))))</f>
        <v xml:space="preserve">       NA</v>
      </c>
      <c r="GF345" s="3080"/>
      <c r="GG345" s="1120" t="str">
        <f>IF(OR(GE345="       NA",INDEX(calc!$BI$207:$BI$389,MATCH(GE325,calc!$AC$207:$AC$389,1))=""),"",INDEX(calc!$BI$207:$BI$389,MATCH(GE325,calc!$AC$207:$AC$389,1)))</f>
        <v/>
      </c>
      <c r="GH345" s="3079" t="str">
        <f>IF(INDEX(calc!$BH$207:$BH$389,MATCH(GH325,calc!$AC$207:$AC$389,1))="","       NA",IF(INDEX(calc!$O$189:$O$196,MATCH(INDEX(calc!$BH$207:$BH$389,MATCH(GH325,calc!$AC$207:$AC$389,1)),calc!$N$189:$N$196,0))=7,"    7",IF(INDEX(calc!$O$189:$O$196,MATCH(INDEX(calc!$BH$207:$BH$389,MATCH(GH325,calc!$AC$207:$AC$389,1)),calc!$N$189:$N$196,0))=6,"    6",INDEX(calc!$O$189:$O$196,MATCH(INDEX(calc!$BH$207:$BH$389,MATCH(GH325,calc!$AC$207:$AC$389,1)),calc!$N$189:$N$196,0))&amp;"~"&amp;INDEX(calc!$P$189:$P$196,MATCH(INDEX(calc!$BH$207:$BH349,MATCH(GH325,calc!$AC$207:$AC$389,1)),calc!$N$189:$N$196,0)))))</f>
        <v xml:space="preserve">       NA</v>
      </c>
      <c r="GI345" s="3080"/>
      <c r="GJ345" s="1120" t="str">
        <f>IF(OR(GH345="       NA",INDEX(calc!$BI$207:$BI$389,MATCH(GH325,calc!$AC$207:$AC$389,1))=""),"",INDEX(calc!$BI$207:$BI$389,MATCH(GH325,calc!$AC$207:$AC$389,1)))</f>
        <v/>
      </c>
      <c r="GK345" s="3079" t="str">
        <f>IF(INDEX(calc!$BH$207:$BH$389,MATCH(GK325,calc!$AC$207:$AC$389,1))="","       NA",IF(INDEX(calc!$O$189:$O$196,MATCH(INDEX(calc!$BH$207:$BH$389,MATCH(GK325,calc!$AC$207:$AC$389,1)),calc!$N$189:$N$196,0))=7,"    7",IF(INDEX(calc!$O$189:$O$196,MATCH(INDEX(calc!$BH$207:$BH$389,MATCH(GK325,calc!$AC$207:$AC$389,1)),calc!$N$189:$N$196,0))=6,"    6",INDEX(calc!$O$189:$O$196,MATCH(INDEX(calc!$BH$207:$BH$389,MATCH(GK325,calc!$AC$207:$AC$389,1)),calc!$N$189:$N$196,0))&amp;"~"&amp;INDEX(calc!$P$189:$P$196,MATCH(INDEX(calc!$BH$207:$BH349,MATCH(GK325,calc!$AC$207:$AC$389,1)),calc!$N$189:$N$196,0)))))</f>
        <v xml:space="preserve">       NA</v>
      </c>
      <c r="GL345" s="3080"/>
      <c r="GM345" s="1120" t="str">
        <f>IF(OR(GK345="       NA",INDEX(calc!$BI$207:$BI$389,MATCH(GK325,calc!$AC$207:$AC$389,1))=""),"",INDEX(calc!$BI$207:$BI$389,MATCH(GK325,calc!$AC$207:$AC$389,1)))</f>
        <v/>
      </c>
      <c r="GN345" s="3079" t="str">
        <f>IF(INDEX(calc!$BH$207:$BH$389,MATCH(GN325,calc!$AC$207:$AC$389,1))="","       NA",IF(INDEX(calc!$O$189:$O$196,MATCH(INDEX(calc!$BH$207:$BH$389,MATCH(GN325,calc!$AC$207:$AC$389,1)),calc!$N$189:$N$196,0))=7,"    7",IF(INDEX(calc!$O$189:$O$196,MATCH(INDEX(calc!$BH$207:$BH$389,MATCH(GN325,calc!$AC$207:$AC$389,1)),calc!$N$189:$N$196,0))=6,"    6",INDEX(calc!$O$189:$O$196,MATCH(INDEX(calc!$BH$207:$BH$389,MATCH(GN325,calc!$AC$207:$AC$389,1)),calc!$N$189:$N$196,0))&amp;"~"&amp;INDEX(calc!$P$189:$P$196,MATCH(INDEX(calc!$BH$207:$BH349,MATCH(GN325,calc!$AC$207:$AC$389,1)),calc!$N$189:$N$196,0)))))</f>
        <v xml:space="preserve">       NA</v>
      </c>
      <c r="GO345" s="3080"/>
      <c r="GP345" s="1120" t="str">
        <f>IF(OR(GN345="       NA",INDEX(calc!$BI$207:$BI$389,MATCH(GN325,calc!$AC$207:$AC$389,1))=""),"",INDEX(calc!$BI$207:$BI$389,MATCH(GN325,calc!$AC$207:$AC$389,1)))</f>
        <v/>
      </c>
      <c r="GQ345" s="3079" t="str">
        <f>IF(INDEX(calc!$BH$207:$BH$389,MATCH(GQ325,calc!$AC$207:$AC$389,1))="","       NA",IF(INDEX(calc!$O$189:$O$196,MATCH(INDEX(calc!$BH$207:$BH$389,MATCH(GQ325,calc!$AC$207:$AC$389,1)),calc!$N$189:$N$196,0))=7,"    7",IF(INDEX(calc!$O$189:$O$196,MATCH(INDEX(calc!$BH$207:$BH$389,MATCH(GQ325,calc!$AC$207:$AC$389,1)),calc!$N$189:$N$196,0))=6,"    6",INDEX(calc!$O$189:$O$196,MATCH(INDEX(calc!$BH$207:$BH$389,MATCH(GQ325,calc!$AC$207:$AC$389,1)),calc!$N$189:$N$196,0))&amp;"~"&amp;INDEX(calc!$P$189:$P$196,MATCH(INDEX(calc!$BH$207:$BH349,MATCH(GQ325,calc!$AC$207:$AC$389,1)),calc!$N$189:$N$196,0)))))</f>
        <v xml:space="preserve">       NA</v>
      </c>
      <c r="GR345" s="3080"/>
      <c r="GS345" s="1120" t="str">
        <f>IF(OR(GQ345="       NA",INDEX(calc!$BI$207:$BI$389,MATCH(GQ325,calc!$AC$207:$AC$389,1))=""),"",INDEX(calc!$BI$207:$BI$389,MATCH(GQ325,calc!$AC$207:$AC$389,1)))</f>
        <v/>
      </c>
    </row>
    <row r="346" spans="12:201" s="539" customFormat="1" ht="6" customHeight="1">
      <c r="L346" s="1166" t="s">
        <v>3076</v>
      </c>
      <c r="M346" s="1047"/>
      <c r="N346" s="1047"/>
      <c r="O346" s="1047"/>
      <c r="P346" s="1047"/>
      <c r="T346" s="1075"/>
      <c r="U346" s="1075"/>
      <c r="V346" s="1075"/>
      <c r="W346" s="1075"/>
      <c r="X346" s="1072"/>
      <c r="Y346" s="1072"/>
      <c r="Z346" s="1072"/>
      <c r="AA346" s="1071"/>
      <c r="AB346" s="1132"/>
      <c r="AC346" s="1132"/>
      <c r="AD346" s="1133"/>
      <c r="AE346" s="1134"/>
      <c r="AF346" s="1134"/>
      <c r="AG346" s="1134"/>
      <c r="AH346" s="1134"/>
      <c r="AI346" s="1134"/>
      <c r="AJ346" s="1134"/>
      <c r="AK346" s="1134"/>
      <c r="AL346" s="1134"/>
      <c r="AM346" s="1134"/>
      <c r="AN346" s="1117"/>
      <c r="AO346" s="1173"/>
      <c r="AP346" s="1173"/>
      <c r="AQ346" s="1135"/>
      <c r="AR346" s="1135"/>
      <c r="AS346" s="1135"/>
      <c r="AT346" s="1135"/>
      <c r="AU346" s="1135"/>
      <c r="AV346" s="1135"/>
      <c r="AW346" s="1135"/>
      <c r="AX346" s="1117"/>
      <c r="AY346" s="1173"/>
      <c r="AZ346" s="1173"/>
      <c r="BA346" s="1135"/>
      <c r="BB346" s="1136"/>
      <c r="BC346" s="1137"/>
      <c r="BD346" s="1137"/>
      <c r="BE346" s="1137"/>
      <c r="BF346" s="1138"/>
      <c r="BG346" s="1138"/>
      <c r="BH346" s="1138"/>
      <c r="BI346" s="1139"/>
      <c r="BJ346" s="1139"/>
      <c r="BK346" s="1138"/>
      <c r="BL346" s="1138"/>
      <c r="BM346" s="1140"/>
      <c r="BN346" s="1140"/>
      <c r="BO346" s="1137"/>
      <c r="BP346" s="1137"/>
      <c r="BQ346" s="1137"/>
      <c r="BR346" s="1137"/>
      <c r="BS346" s="1137"/>
      <c r="BT346" s="1137"/>
      <c r="BU346" s="1138"/>
      <c r="BV346" s="1097"/>
      <c r="BW346" s="1098"/>
      <c r="BX346" s="1098"/>
      <c r="BY346" s="1098"/>
      <c r="BZ346" s="1098"/>
      <c r="CA346" s="1141"/>
      <c r="CB346" s="1136"/>
      <c r="CC346" s="1137"/>
      <c r="CD346" s="1137"/>
      <c r="CE346" s="1137"/>
      <c r="CF346" s="1138"/>
      <c r="CG346" s="1138"/>
      <c r="CH346" s="1138"/>
      <c r="CI346" s="1139"/>
      <c r="CJ346" s="1139"/>
      <c r="CK346" s="1138"/>
      <c r="CL346" s="1138"/>
      <c r="CM346" s="1140"/>
      <c r="CN346" s="1140"/>
      <c r="CO346" s="1137"/>
      <c r="CP346" s="1137"/>
      <c r="CQ346" s="1137"/>
      <c r="CR346" s="1137"/>
      <c r="CS346" s="1137"/>
      <c r="CT346" s="1137"/>
      <c r="CU346" s="1138"/>
      <c r="CV346" s="1097"/>
      <c r="CW346" s="1098"/>
      <c r="CX346" s="1098"/>
      <c r="CY346" s="1098"/>
      <c r="CZ346" s="1098"/>
      <c r="DA346" s="1141"/>
      <c r="DB346" s="1136"/>
      <c r="DC346" s="1137"/>
      <c r="DD346" s="1137"/>
      <c r="DE346" s="1137"/>
      <c r="DF346" s="1138"/>
      <c r="DG346" s="1138"/>
      <c r="DH346" s="1138"/>
      <c r="DI346" s="1139"/>
      <c r="DJ346" s="1139"/>
      <c r="DK346" s="1138"/>
      <c r="DL346" s="1138"/>
      <c r="DM346" s="1140"/>
      <c r="DN346" s="1140"/>
      <c r="DO346" s="1137"/>
      <c r="DP346" s="1137"/>
      <c r="DQ346" s="1137"/>
      <c r="DR346" s="1137"/>
      <c r="DS346" s="1137"/>
      <c r="DT346" s="1137"/>
      <c r="DU346" s="1138"/>
      <c r="DV346" s="1097"/>
      <c r="DW346" s="1098"/>
      <c r="DX346" s="1098"/>
      <c r="DY346" s="1098"/>
      <c r="DZ346" s="1098"/>
      <c r="EA346" s="1136"/>
      <c r="EB346" s="1136"/>
      <c r="EC346" s="1136"/>
      <c r="ED346" s="1136"/>
      <c r="EE346" s="1136"/>
      <c r="EF346" s="1136"/>
      <c r="EG346" s="1136"/>
      <c r="EH346" s="1136"/>
      <c r="EI346" s="1136"/>
      <c r="EJ346" s="1136"/>
      <c r="EK346" s="1136"/>
      <c r="EL346" s="1136"/>
      <c r="EM346" s="1136"/>
      <c r="EN346" s="1136"/>
      <c r="EO346" s="1136"/>
      <c r="EP346" s="1136"/>
      <c r="EQ346" s="1136"/>
      <c r="ER346" s="1136"/>
      <c r="ES346" s="1136"/>
      <c r="ET346" s="1136"/>
      <c r="EU346" s="1136"/>
      <c r="EV346" s="1136"/>
      <c r="EW346" s="1136"/>
      <c r="EX346" s="1136"/>
      <c r="EY346" s="1136"/>
      <c r="EZ346" s="1136"/>
      <c r="FA346" s="1136"/>
      <c r="FB346" s="1136"/>
      <c r="FC346" s="1136"/>
      <c r="FD346" s="1136"/>
      <c r="FE346" s="1136"/>
      <c r="FF346" s="1136"/>
      <c r="FG346" s="1136"/>
      <c r="FH346" s="1136"/>
      <c r="FI346" s="1136"/>
      <c r="FJ346" s="1136"/>
      <c r="FK346" s="1136"/>
      <c r="FL346" s="1136"/>
      <c r="FM346" s="1136"/>
      <c r="FN346" s="1136"/>
      <c r="FO346" s="1136"/>
      <c r="FP346" s="1136"/>
      <c r="FQ346" s="1136"/>
      <c r="FR346" s="1136"/>
      <c r="FS346" s="1136"/>
      <c r="FT346" s="1136"/>
      <c r="FU346" s="1136"/>
      <c r="FV346" s="1136"/>
      <c r="FW346" s="1136"/>
      <c r="FX346" s="1136"/>
      <c r="FY346" s="1136"/>
      <c r="FZ346" s="1136"/>
      <c r="GA346" s="1136"/>
      <c r="GB346" s="1136"/>
      <c r="GC346" s="1136"/>
      <c r="GD346" s="1136"/>
      <c r="GE346" s="1136"/>
      <c r="GF346" s="1136"/>
      <c r="GG346" s="1136"/>
      <c r="GH346" s="1136"/>
      <c r="GI346" s="1136"/>
      <c r="GJ346" s="1136"/>
      <c r="GK346" s="1136"/>
      <c r="GL346" s="1136"/>
      <c r="GM346" s="1136"/>
      <c r="GN346" s="1136"/>
      <c r="GO346" s="1136"/>
      <c r="GP346" s="1136"/>
      <c r="GQ346" s="1136"/>
      <c r="GR346" s="1136"/>
      <c r="GS346" s="1136"/>
    </row>
    <row r="347" spans="12:201" s="539" customFormat="1" ht="15" customHeight="1">
      <c r="L347" s="1166" t="s">
        <v>3077</v>
      </c>
      <c r="M347" s="1047"/>
      <c r="N347" s="1047"/>
      <c r="O347" s="1047"/>
      <c r="P347" s="1047"/>
      <c r="T347" s="3059" t="s">
        <v>377</v>
      </c>
      <c r="U347" s="3059"/>
      <c r="V347" s="3059"/>
      <c r="W347" s="3059"/>
      <c r="X347" s="1047"/>
      <c r="Y347" s="1047"/>
      <c r="Z347" s="1047"/>
      <c r="AA347" s="1071" t="s">
        <v>332</v>
      </c>
      <c r="AB347" s="3079" t="str">
        <f>IF(INDEX(calc!$BP$207:$BP$389,MATCH(AB325,calc!$AC$207:$AC$389,1))="","       NA",IF(INDEX(calc!$O$189:$O$196,MATCH(INDEX(calc!$BP$207:$BP$389,MATCH(AB325,calc!$AC$207:$AC$389,1)),calc!$N$189:$N$196,0))=7,"    7",IF(INDEX(calc!$O$189:$O$196,MATCH(INDEX(calc!$BP$207:$BP$389,MATCH(AB325,calc!$AC$207:$AC$389,1)),calc!$N$189:$N$196,0))=6,"    6",INDEX(calc!$O$189:$O$196,MATCH(INDEX(calc!$BP$207:$BP$389,MATCH(AB325,calc!$AC$207:$AC$389,1)),calc!$N$189:$N$196,0))&amp;"~"&amp;INDEX(calc!$P$189:$P$196,MATCH(INDEX(calc!$BP$207:$BP349,MATCH(AB325,calc!$AC$207:$AC$389,1)),calc!$N$189:$N$196,0)))))</f>
        <v xml:space="preserve">    7</v>
      </c>
      <c r="AC347" s="3080"/>
      <c r="AD347" s="1119" t="str">
        <f>IF(OR(AB347="       NA",INDEX(calc!$BQ$207:$BQ$389,MATCH(AB325,calc!$AC$207:$AC$389,1))=""),"",INDEX(calc!$BQ$207:$BQ$389,MATCH(AB325,calc!$AC$207:$AC$389,1)))</f>
        <v/>
      </c>
      <c r="AE347" s="3079" t="str">
        <f>IF(INDEX(calc!$BP$207:$BP$389,MATCH(AE325,calc!$AC$207:$AC$389,1))="","       NA",IF(INDEX(calc!$O$189:$O$196,MATCH(INDEX(calc!$BP$207:$BP$389,MATCH(AE325,calc!$AC$207:$AC$389,1)),calc!$N$189:$N$196,0))=7,"    7",IF(INDEX(calc!$O$189:$O$196,MATCH(INDEX(calc!$BP$207:$BP$389,MATCH(AE325,calc!$AC$207:$AC$389,1)),calc!$N$189:$N$196,0))=6,"    6",INDEX(calc!$O$189:$O$196,MATCH(INDEX(calc!$BP$207:$BP$389,MATCH(AE325,calc!$AC$207:$AC$389,1)),calc!$N$189:$N$196,0))&amp;"~"&amp;INDEX(calc!$P$189:$P$196,MATCH(INDEX(calc!$BP$207:$BP349,MATCH(AE325,calc!$AC$207:$AC$389,1)),calc!$N$189:$N$196,0)))))</f>
        <v xml:space="preserve">    7</v>
      </c>
      <c r="AF347" s="3080"/>
      <c r="AG347" s="1119" t="str">
        <f>IF(OR(AE347="       NA",INDEX(calc!$BQ$207:$BQ$389,MATCH(AE325,calc!$AC$207:$AC$389,1))=""),"",INDEX(calc!$BQ$207:$BQ$389,MATCH(AE325,calc!$AC$207:$AC$389,1)))</f>
        <v/>
      </c>
      <c r="AH347" s="3079" t="str">
        <f>IF(INDEX(calc!$BP$207:$BP$389,MATCH(AH325,calc!$AC$207:$AC$389,1))="","       NA",IF(INDEX(calc!$O$189:$O$196,MATCH(INDEX(calc!$BP$207:$BP$389,MATCH(AH325,calc!$AC$207:$AC$389,1)),calc!$N$189:$N$196,0))=7,"    7",IF(INDEX(calc!$O$189:$O$196,MATCH(INDEX(calc!$BP$207:$BP$389,MATCH(AH325,calc!$AC$207:$AC$389,1)),calc!$N$189:$N$196,0))=6,"    6",INDEX(calc!$O$189:$O$196,MATCH(INDEX(calc!$BP$207:$BP$389,MATCH(AH325,calc!$AC$207:$AC$389,1)),calc!$N$189:$N$196,0))&amp;"~"&amp;INDEX(calc!$P$189:$P$196,MATCH(INDEX(calc!$BP$207:$BP349,MATCH(AH325,calc!$AC$207:$AC$389,1)),calc!$N$189:$N$196,0)))))</f>
        <v xml:space="preserve">    7</v>
      </c>
      <c r="AI347" s="3080"/>
      <c r="AJ347" s="1119" t="str">
        <f>IF(OR(AH347="       NA",INDEX(calc!$BQ$207:$BQ$389,MATCH(AH325,calc!$AC$207:$AC$389,1))=""),"",INDEX(calc!$BQ$207:$BQ$389,MATCH(AH325,calc!$AC$207:$AC$389,1)))</f>
        <v/>
      </c>
      <c r="AK347" s="3079" t="str">
        <f>IF(INDEX(calc!$BP$207:$BP$389,MATCH(AK325,calc!$AC$207:$AC$389,1))="","       NA",IF(INDEX(calc!$O$189:$O$196,MATCH(INDEX(calc!$BP$207:$BP$389,MATCH(AK325,calc!$AC$207:$AC$389,1)),calc!$N$189:$N$196,0))=7,"    7",IF(INDEX(calc!$O$189:$O$196,MATCH(INDEX(calc!$BP$207:$BP$389,MATCH(AK325,calc!$AC$207:$AC$389,1)),calc!$N$189:$N$196,0))=6,"    6",INDEX(calc!$O$189:$O$196,MATCH(INDEX(calc!$BP$207:$BP$389,MATCH(AK325,calc!$AC$207:$AC$389,1)),calc!$N$189:$N$196,0))&amp;"~"&amp;INDEX(calc!$P$189:$P$196,MATCH(INDEX(calc!$BP$207:$BP349,MATCH(AK325,calc!$AC$207:$AC$389,1)),calc!$N$189:$N$196,0)))))</f>
        <v xml:space="preserve">    7</v>
      </c>
      <c r="AL347" s="3080"/>
      <c r="AM347" s="1119" t="str">
        <f>IF(OR(AK347="       NA",INDEX(calc!$BQ$207:$BQ$389,MATCH(AK325,calc!$AC$207:$AC$389,1))=""),"",INDEX(calc!$BQ$207:$BQ$389,MATCH(AK325,calc!$AC$207:$AC$389,1)))</f>
        <v/>
      </c>
      <c r="AN347" s="3079" t="str">
        <f>IF(INDEX(calc!$BP$207:$BP$389,MATCH(AN325,calc!$AC$207:$AC$389,1))="","       NA",IF(INDEX(calc!$O$189:$O$196,MATCH(INDEX(calc!$BP$207:$BP$389,MATCH(AN325,calc!$AC$207:$AC$389,1)),calc!$N$189:$N$196,0))=7,"    7",IF(INDEX(calc!$O$189:$O$196,MATCH(INDEX(calc!$BP$207:$BP$389,MATCH(AN325,calc!$AC$207:$AC$389,1)),calc!$N$189:$N$196,0))=6,"    6",INDEX(calc!$O$189:$O$196,MATCH(INDEX(calc!$BP$207:$BP$389,MATCH(AN325,calc!$AC$207:$AC$389,1)),calc!$N$189:$N$196,0))&amp;"~"&amp;INDEX(calc!$P$189:$P$196,MATCH(INDEX(calc!$BP$207:$BP349,MATCH(AN325,calc!$AC$207:$AC$389,1)),calc!$N$189:$N$196,0)))))</f>
        <v xml:space="preserve">    7</v>
      </c>
      <c r="AO347" s="3080"/>
      <c r="AP347" s="1119" t="str">
        <f>IF(OR(AN347="       NA",INDEX(calc!$BQ$207:$BQ$389,MATCH(AN325,calc!$AC$207:$AC$389,1))=""),"",INDEX(calc!$BQ$207:$BQ$389,MATCH(AN325,calc!$AC$207:$AC$389,1)))</f>
        <v/>
      </c>
      <c r="AQ347" s="3079" t="str">
        <f>IF(INDEX(calc!$BP$207:$BP$389,MATCH(AQ325,calc!$AC$207:$AC$389,1))="","       NA",IF(INDEX(calc!$O$189:$O$196,MATCH(INDEX(calc!$BP$207:$BP$389,MATCH(AQ325,calc!$AC$207:$AC$389,1)),calc!$N$189:$N$196,0))=7,"    7",IF(INDEX(calc!$O$189:$O$196,MATCH(INDEX(calc!$BP$207:$BP$389,MATCH(AQ325,calc!$AC$207:$AC$389,1)),calc!$N$189:$N$196,0))=6,"    6",INDEX(calc!$O$189:$O$196,MATCH(INDEX(calc!$BP$207:$BP$389,MATCH(AQ325,calc!$AC$207:$AC$389,1)),calc!$N$189:$N$196,0))&amp;"~"&amp;INDEX(calc!$P$189:$P$196,MATCH(INDEX(calc!$BP$207:$BP349,MATCH(AQ325,calc!$AC$207:$AC$389,1)),calc!$N$189:$N$196,0)))))</f>
        <v xml:space="preserve">    7</v>
      </c>
      <c r="AR347" s="3080"/>
      <c r="AS347" s="1119" t="str">
        <f>IF(OR(AQ347="       NA",INDEX(calc!$BQ$207:$BQ$389,MATCH(AQ325,calc!$AC$207:$AC$389,1))=""),"",INDEX(calc!$BQ$207:$BQ$389,MATCH(AQ325,calc!$AC$207:$AC$389,1)))</f>
        <v/>
      </c>
      <c r="AT347" s="3079" t="str">
        <f>IF(INDEX(calc!$BP$207:$BP$389,MATCH(AT325,calc!$AC$207:$AC$389,1))="","       NA",IF(INDEX(calc!$O$189:$O$196,MATCH(INDEX(calc!$BP$207:$BP$389,MATCH(AT325,calc!$AC$207:$AC$389,1)),calc!$N$189:$N$196,0))=7,"    7",IF(INDEX(calc!$O$189:$O$196,MATCH(INDEX(calc!$BP$207:$BP$389,MATCH(AT325,calc!$AC$207:$AC$389,1)),calc!$N$189:$N$196,0))=6,"    6",INDEX(calc!$O$189:$O$196,MATCH(INDEX(calc!$BP$207:$BP$389,MATCH(AT325,calc!$AC$207:$AC$389,1)),calc!$N$189:$N$196,0))&amp;"~"&amp;INDEX(calc!$P$189:$P$196,MATCH(INDEX(calc!$BP$207:$BP349,MATCH(AT325,calc!$AC$207:$AC$389,1)),calc!$N$189:$N$196,0)))))</f>
        <v xml:space="preserve">    7</v>
      </c>
      <c r="AU347" s="3080"/>
      <c r="AV347" s="1119" t="str">
        <f>IF(OR(AT347="       NA",INDEX(calc!$BQ$207:$BQ$389,MATCH(AT325,calc!$AC$207:$AC$389,1))=""),"",INDEX(calc!$BQ$207:$BQ$389,MATCH(AT325,calc!$AC$207:$AC$389,1)))</f>
        <v/>
      </c>
      <c r="AW347" s="3079" t="str">
        <f>IF(INDEX(calc!$BP$207:$BP$389,MATCH(AW325,calc!$AC$207:$AC$389,1))="","       NA",IF(INDEX(calc!$O$189:$O$196,MATCH(INDEX(calc!$BP$207:$BP$389,MATCH(AW325,calc!$AC$207:$AC$389,1)),calc!$N$189:$N$196,0))=7,"    7",IF(INDEX(calc!$O$189:$O$196,MATCH(INDEX(calc!$BP$207:$BP$389,MATCH(AW325,calc!$AC$207:$AC$389,1)),calc!$N$189:$N$196,0))=6,"    6",INDEX(calc!$O$189:$O$196,MATCH(INDEX(calc!$BP$207:$BP$389,MATCH(AW325,calc!$AC$207:$AC$389,1)),calc!$N$189:$N$196,0))&amp;"~"&amp;INDEX(calc!$P$189:$P$196,MATCH(INDEX(calc!$BP$207:$BP349,MATCH(AW325,calc!$AC$207:$AC$389,1)),calc!$N$189:$N$196,0)))))</f>
        <v xml:space="preserve">    7</v>
      </c>
      <c r="AX347" s="3080"/>
      <c r="AY347" s="1119" t="str">
        <f>IF(OR(AW347="       NA",INDEX(calc!$BQ$207:$BQ$389,MATCH(AW325,calc!$AC$207:$AC$389,1))=""),"",INDEX(calc!$BQ$207:$BQ$389,MATCH(AW325,calc!$AC$207:$AC$389,1)))</f>
        <v/>
      </c>
      <c r="AZ347" s="3079" t="str">
        <f>IF(INDEX(calc!$BP$207:$BP$389,MATCH(AZ325,calc!$AC$207:$AC$389,1))="","       NA",IF(INDEX(calc!$O$189:$O$196,MATCH(INDEX(calc!$BP$207:$BP$389,MATCH(AZ325,calc!$AC$207:$AC$389,1)),calc!$N$189:$N$196,0))=7,"    7",IF(INDEX(calc!$O$189:$O$196,MATCH(INDEX(calc!$BP$207:$BP$389,MATCH(AZ325,calc!$AC$207:$AC$389,1)),calc!$N$189:$N$196,0))=6,"    6",INDEX(calc!$O$189:$O$196,MATCH(INDEX(calc!$BP$207:$BP$389,MATCH(AZ325,calc!$AC$207:$AC$389,1)),calc!$N$189:$N$196,0))&amp;"~"&amp;INDEX(calc!$P$189:$P$196,MATCH(INDEX(calc!$BP$207:$BP349,MATCH(AZ325,calc!$AC$207:$AC$389,1)),calc!$N$189:$N$196,0)))))</f>
        <v xml:space="preserve">    7</v>
      </c>
      <c r="BA347" s="3080"/>
      <c r="BB347" s="1119" t="str">
        <f>IF(OR(AZ347="       NA",INDEX(calc!$BQ$207:$BQ$389,MATCH(AZ325,calc!$AC$207:$AC$389,1))=""),"",INDEX(calc!$BQ$207:$BQ$389,MATCH(AZ325,calc!$AC$207:$AC$389,1)))</f>
        <v/>
      </c>
      <c r="BC347" s="3079" t="str">
        <f>IF(INDEX(calc!$BP$207:$BP$389,MATCH(BC325,calc!$AC$207:$AC$389,1))="","       NA",IF(INDEX(calc!$O$189:$O$196,MATCH(INDEX(calc!$BP$207:$BP$389,MATCH(BC325,calc!$AC$207:$AC$389,1)),calc!$N$189:$N$196,0))=7,"    7",IF(INDEX(calc!$O$189:$O$196,MATCH(INDEX(calc!$BP$207:$BP$389,MATCH(BC325,calc!$AC$207:$AC$389,1)),calc!$N$189:$N$196,0))=6,"    6",INDEX(calc!$O$189:$O$196,MATCH(INDEX(calc!$BP$207:$BP$389,MATCH(BC325,calc!$AC$207:$AC$389,1)),calc!$N$189:$N$196,0))&amp;"~"&amp;INDEX(calc!$P$189:$P$196,MATCH(INDEX(calc!$BP$207:$BP349,MATCH(BC325,calc!$AC$207:$AC$389,1)),calc!$N$189:$N$196,0)))))</f>
        <v xml:space="preserve">    7</v>
      </c>
      <c r="BD347" s="3080"/>
      <c r="BE347" s="1119" t="str">
        <f>IF(OR(BC347="       NA",INDEX(calc!$BQ$207:$BQ$389,MATCH(BC325,calc!$AC$207:$AC$389,1))=""),"",INDEX(calc!$BQ$207:$BQ$389,MATCH(BC325,calc!$AC$207:$AC$389,1)))</f>
        <v/>
      </c>
      <c r="BF347" s="3079" t="str">
        <f>IF(INDEX(calc!$BP$207:$BP$389,MATCH(BF325,calc!$AC$207:$AC$389,1))="","       NA",IF(INDEX(calc!$O$189:$O$196,MATCH(INDEX(calc!$BP$207:$BP$389,MATCH(BF325,calc!$AC$207:$AC$389,1)),calc!$N$189:$N$196,0))=7,"    7",IF(INDEX(calc!$O$189:$O$196,MATCH(INDEX(calc!$BP$207:$BP$389,MATCH(BF325,calc!$AC$207:$AC$389,1)),calc!$N$189:$N$196,0))=6,"    6",INDEX(calc!$O$189:$O$196,MATCH(INDEX(calc!$BP$207:$BP$389,MATCH(BF325,calc!$AC$207:$AC$389,1)),calc!$N$189:$N$196,0))&amp;"~"&amp;INDEX(calc!$P$189:$P$196,MATCH(INDEX(calc!$BP$207:$BP349,MATCH(BF325,calc!$AC$207:$AC$389,1)),calc!$N$189:$N$196,0)))))</f>
        <v xml:space="preserve">    7</v>
      </c>
      <c r="BG347" s="3080"/>
      <c r="BH347" s="1119" t="str">
        <f>IF(OR(BF347="       NA",INDEX(calc!$BQ$207:$BQ$389,MATCH(BF325,calc!$AC$207:$AC$389,1))=""),"",INDEX(calc!$BQ$207:$BQ$389,MATCH(BF325,calc!$AC$207:$AC$389,1)))</f>
        <v/>
      </c>
      <c r="BI347" s="3079" t="str">
        <f>IF(INDEX(calc!$BP$207:$BP$389,MATCH(BI325,calc!$AC$207:$AC$389,1))="","       NA",IF(INDEX(calc!$O$189:$O$196,MATCH(INDEX(calc!$BP$207:$BP$389,MATCH(BI325,calc!$AC$207:$AC$389,1)),calc!$N$189:$N$196,0))=7,"    7",IF(INDEX(calc!$O$189:$O$196,MATCH(INDEX(calc!$BP$207:$BP$389,MATCH(BI325,calc!$AC$207:$AC$389,1)),calc!$N$189:$N$196,0))=6,"    6",INDEX(calc!$O$189:$O$196,MATCH(INDEX(calc!$BP$207:$BP$389,MATCH(BI325,calc!$AC$207:$AC$389,1)),calc!$N$189:$N$196,0))&amp;"~"&amp;INDEX(calc!$P$189:$P$196,MATCH(INDEX(calc!$BP$207:$BP349,MATCH(BI325,calc!$AC$207:$AC$389,1)),calc!$N$189:$N$196,0)))))</f>
        <v xml:space="preserve">    7</v>
      </c>
      <c r="BJ347" s="3080"/>
      <c r="BK347" s="1119" t="str">
        <f>IF(OR(BI347="       NA",INDEX(calc!$BQ$207:$BQ$389,MATCH(BI325,calc!$AC$207:$AC$389,1))=""),"",INDEX(calc!$BQ$207:$BQ$389,MATCH(BI325,calc!$AC$207:$AC$389,1)))</f>
        <v/>
      </c>
      <c r="BL347" s="3079" t="str">
        <f>IF(INDEX(calc!$BP$207:$BP$389,MATCH(BL325,calc!$AC$207:$AC$389,1))="","       NA",IF(INDEX(calc!$O$189:$O$196,MATCH(INDEX(calc!$BP$207:$BP$389,MATCH(BL325,calc!$AC$207:$AC$389,1)),calc!$N$189:$N$196,0))=7,"    7",IF(INDEX(calc!$O$189:$O$196,MATCH(INDEX(calc!$BP$207:$BP$389,MATCH(BL325,calc!$AC$207:$AC$389,1)),calc!$N$189:$N$196,0))=6,"    6",INDEX(calc!$O$189:$O$196,MATCH(INDEX(calc!$BP$207:$BP$389,MATCH(BL325,calc!$AC$207:$AC$389,1)),calc!$N$189:$N$196,0))&amp;"~"&amp;INDEX(calc!$P$189:$P$196,MATCH(INDEX(calc!$BP$207:$BP349,MATCH(BL325,calc!$AC$207:$AC$389,1)),calc!$N$189:$N$196,0)))))</f>
        <v xml:space="preserve">    7</v>
      </c>
      <c r="BM347" s="3080"/>
      <c r="BN347" s="1119" t="str">
        <f>IF(OR(BL347="       NA",INDEX(calc!$BQ$207:$BQ$389,MATCH(BL325,calc!$AC$207:$AC$389,1))=""),"",INDEX(calc!$BQ$207:$BQ$389,MATCH(BL325,calc!$AC$207:$AC$389,1)))</f>
        <v/>
      </c>
      <c r="BO347" s="3079" t="str">
        <f>IF(INDEX(calc!$BP$207:$BP$389,MATCH(BO325,calc!$AC$207:$AC$389,1))="","       NA",IF(INDEX(calc!$O$189:$O$196,MATCH(INDEX(calc!$BP$207:$BP$389,MATCH(BO325,calc!$AC$207:$AC$389,1)),calc!$N$189:$N$196,0))=7,"    7",IF(INDEX(calc!$O$189:$O$196,MATCH(INDEX(calc!$BP$207:$BP$389,MATCH(BO325,calc!$AC$207:$AC$389,1)),calc!$N$189:$N$196,0))=6,"    6",INDEX(calc!$O$189:$O$196,MATCH(INDEX(calc!$BP$207:$BP$389,MATCH(BO325,calc!$AC$207:$AC$389,1)),calc!$N$189:$N$196,0))&amp;"~"&amp;INDEX(calc!$P$189:$P$196,MATCH(INDEX(calc!$BP$207:$BP349,MATCH(BO325,calc!$AC$207:$AC$389,1)),calc!$N$189:$N$196,0)))))</f>
        <v xml:space="preserve">    7</v>
      </c>
      <c r="BP347" s="3080"/>
      <c r="BQ347" s="1119" t="str">
        <f>IF(OR(BO347="       NA",INDEX(calc!$BQ$207:$BQ$389,MATCH(BO325,calc!$AC$207:$AC$389,1))=""),"",INDEX(calc!$BQ$207:$BQ$389,MATCH(BO325,calc!$AC$207:$AC$389,1)))</f>
        <v/>
      </c>
      <c r="BR347" s="3079" t="str">
        <f>IF(INDEX(calc!$BP$207:$BP$389,MATCH(BR325,calc!$AC$207:$AC$389,1))="","       NA",IF(INDEX(calc!$O$189:$O$196,MATCH(INDEX(calc!$BP$207:$BP$389,MATCH(BR325,calc!$AC$207:$AC$389,1)),calc!$N$189:$N$196,0))=7,"    7",IF(INDEX(calc!$O$189:$O$196,MATCH(INDEX(calc!$BP$207:$BP$389,MATCH(BR325,calc!$AC$207:$AC$389,1)),calc!$N$189:$N$196,0))=6,"    6",INDEX(calc!$O$189:$O$196,MATCH(INDEX(calc!$BP$207:$BP$389,MATCH(BR325,calc!$AC$207:$AC$389,1)),calc!$N$189:$N$196,0))&amp;"~"&amp;INDEX(calc!$P$189:$P$196,MATCH(INDEX(calc!$BP$207:$BP349,MATCH(BR325,calc!$AC$207:$AC$389,1)),calc!$N$189:$N$196,0)))))</f>
        <v xml:space="preserve">    6</v>
      </c>
      <c r="BS347" s="3080"/>
      <c r="BT347" s="1119" t="str">
        <f>IF(OR(BR347="       NA",INDEX(calc!$BQ$207:$BQ$389,MATCH(BR325,calc!$AC$207:$AC$389,1))=""),"",INDEX(calc!$BQ$207:$BQ$389,MATCH(BR325,calc!$AC$207:$AC$389,1)))</f>
        <v>RA</v>
      </c>
      <c r="BU347" s="3079" t="str">
        <f>IF(INDEX(calc!$BP$207:$BP$389,MATCH(BU325,calc!$AC$207:$AC$389,1))="","       NA",IF(INDEX(calc!$O$189:$O$196,MATCH(INDEX(calc!$BP$207:$BP$389,MATCH(BU325,calc!$AC$207:$AC$389,1)),calc!$N$189:$N$196,0))=7,"    7",IF(INDEX(calc!$O$189:$O$196,MATCH(INDEX(calc!$BP$207:$BP$389,MATCH(BU325,calc!$AC$207:$AC$389,1)),calc!$N$189:$N$196,0))=6,"    6",INDEX(calc!$O$189:$O$196,MATCH(INDEX(calc!$BP$207:$BP$389,MATCH(BU325,calc!$AC$207:$AC$389,1)),calc!$N$189:$N$196,0))&amp;"~"&amp;INDEX(calc!$P$189:$P$196,MATCH(INDEX(calc!$BP$207:$BP349,MATCH(BU325,calc!$AC$207:$AC$389,1)),calc!$N$189:$N$196,0)))))</f>
        <v xml:space="preserve">    6</v>
      </c>
      <c r="BV347" s="3080"/>
      <c r="BW347" s="1119" t="str">
        <f>IF(OR(BU347="       NA",INDEX(calc!$BQ$207:$BQ$389,MATCH(BU325,calc!$AC$207:$AC$389,1))=""),"",INDEX(calc!$BQ$207:$BQ$389,MATCH(BU325,calc!$AC$207:$AC$389,1)))</f>
        <v>RA</v>
      </c>
      <c r="BX347" s="3079" t="str">
        <f>IF(INDEX(calc!$BP$207:$BP$389,MATCH(BX325,calc!$AC$207:$AC$389,1))="","       NA",IF(INDEX(calc!$O$189:$O$196,MATCH(INDEX(calc!$BP$207:$BP$389,MATCH(BX325,calc!$AC$207:$AC$389,1)),calc!$N$189:$N$196,0))=7,"    7",IF(INDEX(calc!$O$189:$O$196,MATCH(INDEX(calc!$BP$207:$BP$389,MATCH(BX325,calc!$AC$207:$AC$389,1)),calc!$N$189:$N$196,0))=6,"    6",INDEX(calc!$O$189:$O$196,MATCH(INDEX(calc!$BP$207:$BP$389,MATCH(BX325,calc!$AC$207:$AC$389,1)),calc!$N$189:$N$196,0))&amp;"~"&amp;INDEX(calc!$P$189:$P$196,MATCH(INDEX(calc!$BP$207:$BP349,MATCH(BX325,calc!$AC$207:$AC$389,1)),calc!$N$189:$N$196,0)))))</f>
        <v>3~5</v>
      </c>
      <c r="BY347" s="3080"/>
      <c r="BZ347" s="1119" t="str">
        <f>IF(OR(BX347="       NA",INDEX(calc!$BQ$207:$BQ$389,MATCH(BX325,calc!$AC$207:$AC$389,1))=""),"",INDEX(calc!$BQ$207:$BQ$389,MATCH(BX325,calc!$AC$207:$AC$389,1)))</f>
        <v>RA</v>
      </c>
      <c r="CA347" s="3079" t="str">
        <f>IF(INDEX(calc!$BP$207:$BP$389,MATCH(CA325,calc!$AC$207:$AC$389,1))="","       NA",IF(INDEX(calc!$O$189:$O$196,MATCH(INDEX(calc!$BP$207:$BP$389,MATCH(CA325,calc!$AC$207:$AC$389,1)),calc!$N$189:$N$196,0))=7,"    7",IF(INDEX(calc!$O$189:$O$196,MATCH(INDEX(calc!$BP$207:$BP$389,MATCH(CA325,calc!$AC$207:$AC$389,1)),calc!$N$189:$N$196,0))=6,"    6",INDEX(calc!$O$189:$O$196,MATCH(INDEX(calc!$BP$207:$BP$389,MATCH(CA325,calc!$AC$207:$AC$389,1)),calc!$N$189:$N$196,0))&amp;"~"&amp;INDEX(calc!$P$189:$P$196,MATCH(INDEX(calc!$BP$207:$BP349,MATCH(CA325,calc!$AC$207:$AC$389,1)),calc!$N$189:$N$196,0)))))</f>
        <v xml:space="preserve">    7</v>
      </c>
      <c r="CB347" s="3080"/>
      <c r="CC347" s="1119" t="str">
        <f>IF(OR(CA347="       NA",INDEX(calc!$BQ$207:$BQ$389,MATCH(CA325,calc!$AC$207:$AC$389,1))=""),"",INDEX(calc!$BQ$207:$BQ$389,MATCH(CA325,calc!$AC$207:$AC$389,1)))</f>
        <v/>
      </c>
      <c r="CD347" s="3079" t="str">
        <f>IF(INDEX(calc!$BP$207:$BP$389,MATCH(CD325,calc!$AC$207:$AC$389,1))="","       NA",IF(INDEX(calc!$O$189:$O$196,MATCH(INDEX(calc!$BP$207:$BP$389,MATCH(CD325,calc!$AC$207:$AC$389,1)),calc!$N$189:$N$196,0))=7,"    7",IF(INDEX(calc!$O$189:$O$196,MATCH(INDEX(calc!$BP$207:$BP$389,MATCH(CD325,calc!$AC$207:$AC$389,1)),calc!$N$189:$N$196,0))=6,"    6",INDEX(calc!$O$189:$O$196,MATCH(INDEX(calc!$BP$207:$BP$389,MATCH(CD325,calc!$AC$207:$AC$389,1)),calc!$N$189:$N$196,0))&amp;"~"&amp;INDEX(calc!$P$189:$P$196,MATCH(INDEX(calc!$BP$207:$BP349,MATCH(CD325,calc!$AC$207:$AC$389,1)),calc!$N$189:$N$196,0)))))</f>
        <v xml:space="preserve">    7</v>
      </c>
      <c r="CE347" s="3080"/>
      <c r="CF347" s="1119" t="str">
        <f>IF(OR(CD347="       NA",INDEX(calc!$BQ$207:$BQ$389,MATCH(CD325,calc!$AC$207:$AC$389,1))=""),"",INDEX(calc!$BQ$207:$BQ$389,MATCH(CD325,calc!$AC$207:$AC$389,1)))</f>
        <v/>
      </c>
      <c r="CG347" s="3079" t="str">
        <f>IF(INDEX(calc!$BP$207:$BP$389,MATCH(CG325,calc!$AC$207:$AC$389,1))="","       NA",IF(INDEX(calc!$O$189:$O$196,MATCH(INDEX(calc!$BP$207:$BP$389,MATCH(CG325,calc!$AC$207:$AC$389,1)),calc!$N$189:$N$196,0))=7,"    7",IF(INDEX(calc!$O$189:$O$196,MATCH(INDEX(calc!$BP$207:$BP$389,MATCH(CG325,calc!$AC$207:$AC$389,1)),calc!$N$189:$N$196,0))=6,"    6",INDEX(calc!$O$189:$O$196,MATCH(INDEX(calc!$BP$207:$BP$389,MATCH(CG325,calc!$AC$207:$AC$389,1)),calc!$N$189:$N$196,0))&amp;"~"&amp;INDEX(calc!$P$189:$P$196,MATCH(INDEX(calc!$BP$207:$BP349,MATCH(CG325,calc!$AC$207:$AC$389,1)),calc!$N$189:$N$196,0)))))</f>
        <v xml:space="preserve">    7</v>
      </c>
      <c r="CH347" s="3080"/>
      <c r="CI347" s="1119" t="str">
        <f>IF(OR(CG347="       NA",INDEX(calc!$BQ$207:$BQ$389,MATCH(CG325,calc!$AC$207:$AC$389,1))=""),"",INDEX(calc!$BQ$207:$BQ$389,MATCH(CG325,calc!$AC$207:$AC$389,1)))</f>
        <v/>
      </c>
      <c r="CJ347" s="3079" t="str">
        <f>IF(INDEX(calc!$BP$207:$BP$389,MATCH(CJ325,calc!$AC$207:$AC$389,1))="","       NA",IF(INDEX(calc!$O$189:$O$196,MATCH(INDEX(calc!$BP$207:$BP$389,MATCH(CJ325,calc!$AC$207:$AC$389,1)),calc!$N$189:$N$196,0))=7,"    7",IF(INDEX(calc!$O$189:$O$196,MATCH(INDEX(calc!$BP$207:$BP$389,MATCH(CJ325,calc!$AC$207:$AC$389,1)),calc!$N$189:$N$196,0))=6,"    6",INDEX(calc!$O$189:$O$196,MATCH(INDEX(calc!$BP$207:$BP$389,MATCH(CJ325,calc!$AC$207:$AC$389,1)),calc!$N$189:$N$196,0))&amp;"~"&amp;INDEX(calc!$P$189:$P$196,MATCH(INDEX(calc!$BP$207:$BP349,MATCH(CJ325,calc!$AC$207:$AC$389,1)),calc!$N$189:$N$196,0)))))</f>
        <v xml:space="preserve">    7</v>
      </c>
      <c r="CK347" s="3080"/>
      <c r="CL347" s="1119" t="str">
        <f>IF(OR(CJ347="       NA",INDEX(calc!$BQ$207:$BQ$389,MATCH(CJ325,calc!$AC$207:$AC$389,1))=""),"",INDEX(calc!$BQ$207:$BQ$389,MATCH(CJ325,calc!$AC$207:$AC$389,1)))</f>
        <v/>
      </c>
      <c r="CM347" s="3079" t="str">
        <f>IF(INDEX(calc!$BP$207:$BP$389,MATCH(CM325,calc!$AC$207:$AC$389,1))="","       NA",IF(INDEX(calc!$O$189:$O$196,MATCH(INDEX(calc!$BP$207:$BP$389,MATCH(CM325,calc!$AC$207:$AC$389,1)),calc!$N$189:$N$196,0))=7,"    7",IF(INDEX(calc!$O$189:$O$196,MATCH(INDEX(calc!$BP$207:$BP$389,MATCH(CM325,calc!$AC$207:$AC$389,1)),calc!$N$189:$N$196,0))=6,"    6",INDEX(calc!$O$189:$O$196,MATCH(INDEX(calc!$BP$207:$BP$389,MATCH(CM325,calc!$AC$207:$AC$389,1)),calc!$N$189:$N$196,0))&amp;"~"&amp;INDEX(calc!$P$189:$P$196,MATCH(INDEX(calc!$BP$207:$BP349,MATCH(CM325,calc!$AC$207:$AC$389,1)),calc!$N$189:$N$196,0)))))</f>
        <v xml:space="preserve">    6</v>
      </c>
      <c r="CN347" s="3080"/>
      <c r="CO347" s="1119" t="str">
        <f>IF(OR(CM347="       NA",INDEX(calc!$BQ$207:$BQ$389,MATCH(CM325,calc!$AC$207:$AC$389,1))=""),"",INDEX(calc!$BQ$207:$BQ$389,MATCH(CM325,calc!$AC$207:$AC$389,1)))</f>
        <v>HZ</v>
      </c>
      <c r="CP347" s="3079" t="str">
        <f>IF(INDEX(calc!$BP$207:$BP$389,MATCH(CP325,calc!$AC$207:$AC$389,1))="","       NA",IF(INDEX(calc!$O$189:$O$196,MATCH(INDEX(calc!$BP$207:$BP$389,MATCH(CP325,calc!$AC$207:$AC$389,1)),calc!$N$189:$N$196,0))=7,"    7",IF(INDEX(calc!$O$189:$O$196,MATCH(INDEX(calc!$BP$207:$BP$389,MATCH(CP325,calc!$AC$207:$AC$389,1)),calc!$N$189:$N$196,0))=6,"    6",INDEX(calc!$O$189:$O$196,MATCH(INDEX(calc!$BP$207:$BP$389,MATCH(CP325,calc!$AC$207:$AC$389,1)),calc!$N$189:$N$196,0))&amp;"~"&amp;INDEX(calc!$P$189:$P$196,MATCH(INDEX(calc!$BP$207:$BP349,MATCH(CP325,calc!$AC$207:$AC$389,1)),calc!$N$189:$N$196,0)))))</f>
        <v xml:space="preserve">    7</v>
      </c>
      <c r="CQ347" s="3080"/>
      <c r="CR347" s="1119" t="str">
        <f>IF(OR(CP347="       NA",INDEX(calc!$BQ$207:$BQ$389,MATCH(CP325,calc!$AC$207:$AC$389,1))=""),"",INDEX(calc!$BQ$207:$BQ$389,MATCH(CP325,calc!$AC$207:$AC$389,1)))</f>
        <v/>
      </c>
      <c r="CS347" s="3079" t="str">
        <f>IF(INDEX(calc!$BP$207:$BP$389,MATCH(CS325,calc!$AC$207:$AC$389,1))="","       NA",IF(INDEX(calc!$O$189:$O$196,MATCH(INDEX(calc!$BP$207:$BP$389,MATCH(CS325,calc!$AC$207:$AC$389,1)),calc!$N$189:$N$196,0))=7,"    7",IF(INDEX(calc!$O$189:$O$196,MATCH(INDEX(calc!$BP$207:$BP$389,MATCH(CS325,calc!$AC$207:$AC$389,1)),calc!$N$189:$N$196,0))=6,"    6",INDEX(calc!$O$189:$O$196,MATCH(INDEX(calc!$BP$207:$BP$389,MATCH(CS325,calc!$AC$207:$AC$389,1)),calc!$N$189:$N$196,0))&amp;"~"&amp;INDEX(calc!$P$189:$P$196,MATCH(INDEX(calc!$BP$207:$BP349,MATCH(CS325,calc!$AC$207:$AC$389,1)),calc!$N$189:$N$196,0)))))</f>
        <v xml:space="preserve">       NA</v>
      </c>
      <c r="CT347" s="3080"/>
      <c r="CU347" s="1119" t="str">
        <f>IF(OR(CS347="       NA",INDEX(calc!$BQ$207:$BQ$389,MATCH(CS325,calc!$AC$207:$AC$389,1))=""),"",INDEX(calc!$BQ$207:$BQ$389,MATCH(CS325,calc!$AC$207:$AC$389,1)))</f>
        <v/>
      </c>
      <c r="CV347" s="3079" t="str">
        <f>IF(INDEX(calc!$BP$207:$BP$389,MATCH(CV325,calc!$AC$207:$AC$389,1))="","       NA",IF(INDEX(calc!$O$189:$O$196,MATCH(INDEX(calc!$BP$207:$BP$389,MATCH(CV325,calc!$AC$207:$AC$389,1)),calc!$N$189:$N$196,0))=7,"    7",IF(INDEX(calc!$O$189:$O$196,MATCH(INDEX(calc!$BP$207:$BP$389,MATCH(CV325,calc!$AC$207:$AC$389,1)),calc!$N$189:$N$196,0))=6,"    6",INDEX(calc!$O$189:$O$196,MATCH(INDEX(calc!$BP$207:$BP$389,MATCH(CV325,calc!$AC$207:$AC$389,1)),calc!$N$189:$N$196,0))&amp;"~"&amp;INDEX(calc!$P$189:$P$196,MATCH(INDEX(calc!$BP$207:$BP349,MATCH(CV325,calc!$AC$207:$AC$389,1)),calc!$N$189:$N$196,0)))))</f>
        <v>3~5</v>
      </c>
      <c r="CW347" s="3080"/>
      <c r="CX347" s="1119" t="str">
        <f>IF(OR(CV347="       NA",INDEX(calc!$BQ$207:$BQ$389,MATCH(CV325,calc!$AC$207:$AC$389,1))=""),"",INDEX(calc!$BQ$207:$BQ$389,MATCH(CV325,calc!$AC$207:$AC$389,1)))</f>
        <v>BR</v>
      </c>
      <c r="CY347" s="3079" t="str">
        <f>IF(INDEX(calc!$BP$207:$BP$389,MATCH(CY325,calc!$AC$207:$AC$389,1))="","       NA",IF(INDEX(calc!$O$189:$O$196,MATCH(INDEX(calc!$BP$207:$BP$389,MATCH(CY325,calc!$AC$207:$AC$389,1)),calc!$N$189:$N$196,0))=7,"    7",IF(INDEX(calc!$O$189:$O$196,MATCH(INDEX(calc!$BP$207:$BP$389,MATCH(CY325,calc!$AC$207:$AC$389,1)),calc!$N$189:$N$196,0))=6,"    6",INDEX(calc!$O$189:$O$196,MATCH(INDEX(calc!$BP$207:$BP$389,MATCH(CY325,calc!$AC$207:$AC$389,1)),calc!$N$189:$N$196,0))&amp;"~"&amp;INDEX(calc!$P$189:$P$196,MATCH(INDEX(calc!$BP$207:$BP349,MATCH(CY325,calc!$AC$207:$AC$389,1)),calc!$N$189:$N$196,0)))))</f>
        <v xml:space="preserve">       NA</v>
      </c>
      <c r="CZ347" s="3080"/>
      <c r="DA347" s="1119" t="str">
        <f>IF(OR(CY347="       NA",INDEX(calc!$BQ$207:$BQ$389,MATCH(CY325,calc!$AC$207:$AC$389,1))=""),"",INDEX(calc!$BQ$207:$BQ$389,MATCH(CY325,calc!$AC$207:$AC$389,1)))</f>
        <v/>
      </c>
      <c r="DB347" s="3079" t="str">
        <f>IF(INDEX(calc!$BP$207:$BP$389,MATCH(DB325,calc!$AC$207:$AC$389,1))="","       NA",IF(INDEX(calc!$O$189:$O$196,MATCH(INDEX(calc!$BP$207:$BP$389,MATCH(DB325,calc!$AC$207:$AC$389,1)),calc!$N$189:$N$196,0))=7,"    7",IF(INDEX(calc!$O$189:$O$196,MATCH(INDEX(calc!$BP$207:$BP$389,MATCH(DB325,calc!$AC$207:$AC$389,1)),calc!$N$189:$N$196,0))=6,"    6",INDEX(calc!$O$189:$O$196,MATCH(INDEX(calc!$BP$207:$BP$389,MATCH(DB325,calc!$AC$207:$AC$389,1)),calc!$N$189:$N$196,0))&amp;"~"&amp;INDEX(calc!$P$189:$P$196,MATCH(INDEX(calc!$BP$207:$BP349,MATCH(DB325,calc!$AC$207:$AC$389,1)),calc!$N$189:$N$196,0)))))</f>
        <v xml:space="preserve">    7</v>
      </c>
      <c r="DC347" s="3080"/>
      <c r="DD347" s="1119" t="str">
        <f>IF(OR(DB347="       NA",INDEX(calc!$BQ$207:$BQ$389,MATCH(DB325,calc!$AC$207:$AC$389,1))=""),"",INDEX(calc!$BQ$207:$BQ$389,MATCH(DB325,calc!$AC$207:$AC$389,1)))</f>
        <v/>
      </c>
      <c r="DE347" s="3079" t="str">
        <f>IF(INDEX(calc!$BP$207:$BP$389,MATCH(DE325,calc!$AC$207:$AC$389,1))="","       NA",IF(INDEX(calc!$O$189:$O$196,MATCH(INDEX(calc!$BP$207:$BP$389,MATCH(DE325,calc!$AC$207:$AC$389,1)),calc!$N$189:$N$196,0))=7,"    7",IF(INDEX(calc!$O$189:$O$196,MATCH(INDEX(calc!$BP$207:$BP$389,MATCH(DE325,calc!$AC$207:$AC$389,1)),calc!$N$189:$N$196,0))=6,"    6",INDEX(calc!$O$189:$O$196,MATCH(INDEX(calc!$BP$207:$BP$389,MATCH(DE325,calc!$AC$207:$AC$389,1)),calc!$N$189:$N$196,0))&amp;"~"&amp;INDEX(calc!$P$189:$P$196,MATCH(INDEX(calc!$BP$207:$BP349,MATCH(DE325,calc!$AC$207:$AC$389,1)),calc!$N$189:$N$196,0)))))</f>
        <v xml:space="preserve">       NA</v>
      </c>
      <c r="DF347" s="3080"/>
      <c r="DG347" s="1119" t="str">
        <f>IF(OR(DE347="       NA",INDEX(calc!$BQ$207:$BQ$389,MATCH(DE325,calc!$AC$207:$AC$389,1))=""),"",INDEX(calc!$BQ$207:$BQ$389,MATCH(DE325,calc!$AC$207:$AC$389,1)))</f>
        <v/>
      </c>
      <c r="DH347" s="3079" t="str">
        <f>IF(INDEX(calc!$BP$207:$BP$389,MATCH(DH325,calc!$AC$207:$AC$389,1))="","       NA",IF(INDEX(calc!$O$189:$O$196,MATCH(INDEX(calc!$BP$207:$BP$389,MATCH(DH325,calc!$AC$207:$AC$389,1)),calc!$N$189:$N$196,0))=7,"    7",IF(INDEX(calc!$O$189:$O$196,MATCH(INDEX(calc!$BP$207:$BP$389,MATCH(DH325,calc!$AC$207:$AC$389,1)),calc!$N$189:$N$196,0))=6,"    6",INDEX(calc!$O$189:$O$196,MATCH(INDEX(calc!$BP$207:$BP$389,MATCH(DH325,calc!$AC$207:$AC$389,1)),calc!$N$189:$N$196,0))&amp;"~"&amp;INDEX(calc!$P$189:$P$196,MATCH(INDEX(calc!$BP$207:$BP349,MATCH(DH325,calc!$AC$207:$AC$389,1)),calc!$N$189:$N$196,0)))))</f>
        <v xml:space="preserve">       NA</v>
      </c>
      <c r="DI347" s="3080"/>
      <c r="DJ347" s="1119" t="str">
        <f>IF(OR(DH347="       NA",INDEX(calc!$BQ$207:$BQ$389,MATCH(DH325,calc!$AC$207:$AC$389,1))=""),"",INDEX(calc!$BQ$207:$BQ$389,MATCH(DH325,calc!$AC$207:$AC$389,1)))</f>
        <v/>
      </c>
      <c r="DK347" s="3079" t="str">
        <f>IF(INDEX(calc!$BP$207:$BP$389,MATCH(DK325,calc!$AC$207:$AC$389,1))="","       NA",IF(INDEX(calc!$O$189:$O$196,MATCH(INDEX(calc!$BP$207:$BP$389,MATCH(DK325,calc!$AC$207:$AC$389,1)),calc!$N$189:$N$196,0))=7,"    7",IF(INDEX(calc!$O$189:$O$196,MATCH(INDEX(calc!$BP$207:$BP$389,MATCH(DK325,calc!$AC$207:$AC$389,1)),calc!$N$189:$N$196,0))=6,"    6",INDEX(calc!$O$189:$O$196,MATCH(INDEX(calc!$BP$207:$BP$389,MATCH(DK325,calc!$AC$207:$AC$389,1)),calc!$N$189:$N$196,0))&amp;"~"&amp;INDEX(calc!$P$189:$P$196,MATCH(INDEX(calc!$BP$207:$BP349,MATCH(DK325,calc!$AC$207:$AC$389,1)),calc!$N$189:$N$196,0)))))</f>
        <v xml:space="preserve">       NA</v>
      </c>
      <c r="DL347" s="3080"/>
      <c r="DM347" s="1119" t="str">
        <f>IF(OR(DK347="       NA",INDEX(calc!$BQ$207:$BQ$389,MATCH(DK325,calc!$AC$207:$AC$389,1))=""),"",INDEX(calc!$BQ$207:$BQ$389,MATCH(DK325,calc!$AC$207:$AC$389,1)))</f>
        <v/>
      </c>
      <c r="DN347" s="3079" t="str">
        <f>IF(INDEX(calc!$BP$207:$BP$389,MATCH(DN325,calc!$AC$207:$AC$389,1))="","       NA",IF(INDEX(calc!$O$189:$O$196,MATCH(INDEX(calc!$BP$207:$BP$389,MATCH(DN325,calc!$AC$207:$AC$389,1)),calc!$N$189:$N$196,0))=7,"    7",IF(INDEX(calc!$O$189:$O$196,MATCH(INDEX(calc!$BP$207:$BP$389,MATCH(DN325,calc!$AC$207:$AC$389,1)),calc!$N$189:$N$196,0))=6,"    6",INDEX(calc!$O$189:$O$196,MATCH(INDEX(calc!$BP$207:$BP$389,MATCH(DN325,calc!$AC$207:$AC$389,1)),calc!$N$189:$N$196,0))&amp;"~"&amp;INDEX(calc!$P$189:$P$196,MATCH(INDEX(calc!$BP$207:$BP349,MATCH(DN325,calc!$AC$207:$AC$389,1)),calc!$N$189:$N$196,0)))))</f>
        <v xml:space="preserve">       NA</v>
      </c>
      <c r="DO347" s="3080"/>
      <c r="DP347" s="1119" t="str">
        <f>IF(OR(DN347="       NA",INDEX(calc!$BQ$207:$BQ$389,MATCH(DN325,calc!$AC$207:$AC$389,1))=""),"",INDEX(calc!$BQ$207:$BQ$389,MATCH(DN325,calc!$AC$207:$AC$389,1)))</f>
        <v/>
      </c>
      <c r="DQ347" s="3079" t="str">
        <f>IF(INDEX(calc!$BP$207:$BP$389,MATCH(DQ325,calc!$AC$207:$AC$389,1))="","       NA",IF(INDEX(calc!$O$189:$O$196,MATCH(INDEX(calc!$BP$207:$BP$389,MATCH(DQ325,calc!$AC$207:$AC$389,1)),calc!$N$189:$N$196,0))=7,"    7",IF(INDEX(calc!$O$189:$O$196,MATCH(INDEX(calc!$BP$207:$BP$389,MATCH(DQ325,calc!$AC$207:$AC$389,1)),calc!$N$189:$N$196,0))=6,"    6",INDEX(calc!$O$189:$O$196,MATCH(INDEX(calc!$BP$207:$BP$389,MATCH(DQ325,calc!$AC$207:$AC$389,1)),calc!$N$189:$N$196,0))&amp;"~"&amp;INDEX(calc!$P$189:$P$196,MATCH(INDEX(calc!$BP$207:$BP349,MATCH(DQ325,calc!$AC$207:$AC$389,1)),calc!$N$189:$N$196,0)))))</f>
        <v xml:space="preserve">       NA</v>
      </c>
      <c r="DR347" s="3080"/>
      <c r="DS347" s="1119" t="str">
        <f>IF(OR(DQ347="       NA",INDEX(calc!$BQ$207:$BQ$389,MATCH(DQ325,calc!$AC$207:$AC$389,1))=""),"",INDEX(calc!$BQ$207:$BQ$389,MATCH(DQ325,calc!$AC$207:$AC$389,1)))</f>
        <v/>
      </c>
      <c r="DT347" s="3079" t="str">
        <f>IF(INDEX(calc!$BP$207:$BP$389,MATCH(DT325,calc!$AC$207:$AC$389,1))="","       NA",IF(INDEX(calc!$O$189:$O$196,MATCH(INDEX(calc!$BP$207:$BP$389,MATCH(DT325,calc!$AC$207:$AC$389,1)),calc!$N$189:$N$196,0))=7,"    7",IF(INDEX(calc!$O$189:$O$196,MATCH(INDEX(calc!$BP$207:$BP$389,MATCH(DT325,calc!$AC$207:$AC$389,1)),calc!$N$189:$N$196,0))=6,"    6",INDEX(calc!$O$189:$O$196,MATCH(INDEX(calc!$BP$207:$BP$389,MATCH(DT325,calc!$AC$207:$AC$389,1)),calc!$N$189:$N$196,0))&amp;"~"&amp;INDEX(calc!$P$189:$P$196,MATCH(INDEX(calc!$BP$207:$BP349,MATCH(DT325,calc!$AC$207:$AC$389,1)),calc!$N$189:$N$196,0)))))</f>
        <v xml:space="preserve">       NA</v>
      </c>
      <c r="DU347" s="3080"/>
      <c r="DV347" s="1119" t="str">
        <f>IF(OR(DT347="       NA",INDEX(calc!$BQ$207:$BQ$389,MATCH(DT325,calc!$AC$207:$AC$389,1))=""),"",INDEX(calc!$BQ$207:$BQ$389,MATCH(DT325,calc!$AC$207:$AC$389,1)))</f>
        <v/>
      </c>
      <c r="DW347" s="3079" t="str">
        <f>IF(INDEX(calc!$BP$207:$BP$389,MATCH(DW325,calc!$AC$207:$AC$389,1))="","       NA",IF(INDEX(calc!$O$189:$O$196,MATCH(INDEX(calc!$BP$207:$BP$389,MATCH(DW325,calc!$AC$207:$AC$389,1)),calc!$N$189:$N$196,0))=7,"    7",IF(INDEX(calc!$O$189:$O$196,MATCH(INDEX(calc!$BP$207:$BP$389,MATCH(DW325,calc!$AC$207:$AC$389,1)),calc!$N$189:$N$196,0))=6,"    6",INDEX(calc!$O$189:$O$196,MATCH(INDEX(calc!$BP$207:$BP$389,MATCH(DW325,calc!$AC$207:$AC$389,1)),calc!$N$189:$N$196,0))&amp;"~"&amp;INDEX(calc!$P$189:$P$196,MATCH(INDEX(calc!$BP$207:$BP349,MATCH(DW325,calc!$AC$207:$AC$389,1)),calc!$N$189:$N$196,0)))))</f>
        <v xml:space="preserve">       NA</v>
      </c>
      <c r="DX347" s="3080"/>
      <c r="DY347" s="1119" t="str">
        <f>IF(OR(DW347="       NA",INDEX(calc!$BQ$207:$BQ$389,MATCH(DW325,calc!$AC$207:$AC$389,1))=""),"",INDEX(calc!$BQ$207:$BQ$389,MATCH(DW325,calc!$AC$207:$AC$389,1)))</f>
        <v/>
      </c>
      <c r="DZ347" s="3079" t="str">
        <f>IF(INDEX(calc!$BP$207:$BP$389,MATCH(DZ325,calc!$AC$207:$AC$389,1))="","       NA",IF(INDEX(calc!$O$189:$O$196,MATCH(INDEX(calc!$BP$207:$BP$389,MATCH(DZ325,calc!$AC$207:$AC$389,1)),calc!$N$189:$N$196,0))=7,"    7",IF(INDEX(calc!$O$189:$O$196,MATCH(INDEX(calc!$BP$207:$BP$389,MATCH(DZ325,calc!$AC$207:$AC$389,1)),calc!$N$189:$N$196,0))=6,"    6",INDEX(calc!$O$189:$O$196,MATCH(INDEX(calc!$BP$207:$BP$389,MATCH(DZ325,calc!$AC$207:$AC$389,1)),calc!$N$189:$N$196,0))&amp;"~"&amp;INDEX(calc!$P$189:$P$196,MATCH(INDEX(calc!$BP$207:$BP349,MATCH(DZ325,calc!$AC$207:$AC$389,1)),calc!$N$189:$N$196,0)))))</f>
        <v xml:space="preserve">       NA</v>
      </c>
      <c r="EA347" s="3080"/>
      <c r="EB347" s="1119" t="str">
        <f>IF(OR(DZ347="       NA",INDEX(calc!$BQ$207:$BQ$389,MATCH(DZ325,calc!$AC$207:$AC$389,1))=""),"",INDEX(calc!$BQ$207:$BQ$389,MATCH(DZ325,calc!$AC$207:$AC$389,1)))</f>
        <v/>
      </c>
      <c r="EC347" s="3079" t="str">
        <f>IF(INDEX(calc!$BP$207:$BP$389,MATCH(EC325,calc!$AC$207:$AC$389,1))="","       NA",IF(INDEX(calc!$O$189:$O$196,MATCH(INDEX(calc!$BP$207:$BP$389,MATCH(EC325,calc!$AC$207:$AC$389,1)),calc!$N$189:$N$196,0))=7,"    7",IF(INDEX(calc!$O$189:$O$196,MATCH(INDEX(calc!$BP$207:$BP$389,MATCH(EC325,calc!$AC$207:$AC$389,1)),calc!$N$189:$N$196,0))=6,"    6",INDEX(calc!$O$189:$O$196,MATCH(INDEX(calc!$BP$207:$BP$389,MATCH(EC325,calc!$AC$207:$AC$389,1)),calc!$N$189:$N$196,0))&amp;"~"&amp;INDEX(calc!$P$189:$P$196,MATCH(INDEX(calc!$BP$207:$BP349,MATCH(EC325,calc!$AC$207:$AC$389,1)),calc!$N$189:$N$196,0)))))</f>
        <v xml:space="preserve">       NA</v>
      </c>
      <c r="ED347" s="3080"/>
      <c r="EE347" s="1119" t="str">
        <f>IF(OR(EC347="       NA",INDEX(calc!$BQ$207:$BQ$389,MATCH(EC325,calc!$AC$207:$AC$389,1))=""),"",INDEX(calc!$BQ$207:$BQ$389,MATCH(EC325,calc!$AC$207:$AC$389,1)))</f>
        <v/>
      </c>
      <c r="EF347" s="3079" t="str">
        <f>IF(INDEX(calc!$BP$207:$BP$389,MATCH(EF325,calc!$AC$207:$AC$389,1))="","       NA",IF(INDEX(calc!$O$189:$O$196,MATCH(INDEX(calc!$BP$207:$BP$389,MATCH(EF325,calc!$AC$207:$AC$389,1)),calc!$N$189:$N$196,0))=7,"    7",IF(INDEX(calc!$O$189:$O$196,MATCH(INDEX(calc!$BP$207:$BP$389,MATCH(EF325,calc!$AC$207:$AC$389,1)),calc!$N$189:$N$196,0))=6,"    6",INDEX(calc!$O$189:$O$196,MATCH(INDEX(calc!$BP$207:$BP$389,MATCH(EF325,calc!$AC$207:$AC$389,1)),calc!$N$189:$N$196,0))&amp;"~"&amp;INDEX(calc!$P$189:$P$196,MATCH(INDEX(calc!$BP$207:$BP349,MATCH(EF325,calc!$AC$207:$AC$389,1)),calc!$N$189:$N$196,0)))))</f>
        <v xml:space="preserve">       NA</v>
      </c>
      <c r="EG347" s="3080"/>
      <c r="EH347" s="1119" t="str">
        <f>IF(OR(EF347="       NA",INDEX(calc!$BQ$207:$BQ$389,MATCH(EF325,calc!$AC$207:$AC$389,1))=""),"",INDEX(calc!$BQ$207:$BQ$389,MATCH(EF325,calc!$AC$207:$AC$389,1)))</f>
        <v/>
      </c>
      <c r="EI347" s="3079" t="str">
        <f>IF(INDEX(calc!$BP$207:$BP$389,MATCH(EI325,calc!$AC$207:$AC$389,1))="","       NA",IF(INDEX(calc!$O$189:$O$196,MATCH(INDEX(calc!$BP$207:$BP$389,MATCH(EI325,calc!$AC$207:$AC$389,1)),calc!$N$189:$N$196,0))=7,"    7",IF(INDEX(calc!$O$189:$O$196,MATCH(INDEX(calc!$BP$207:$BP$389,MATCH(EI325,calc!$AC$207:$AC$389,1)),calc!$N$189:$N$196,0))=6,"    6",INDEX(calc!$O$189:$O$196,MATCH(INDEX(calc!$BP$207:$BP$389,MATCH(EI325,calc!$AC$207:$AC$389,1)),calc!$N$189:$N$196,0))&amp;"~"&amp;INDEX(calc!$P$189:$P$196,MATCH(INDEX(calc!$BP$207:$BP349,MATCH(EI325,calc!$AC$207:$AC$389,1)),calc!$N$189:$N$196,0)))))</f>
        <v xml:space="preserve">       NA</v>
      </c>
      <c r="EJ347" s="3080"/>
      <c r="EK347" s="1119" t="str">
        <f>IF(OR(EI347="       NA",INDEX(calc!$BQ$207:$BQ$389,MATCH(EI325,calc!$AC$207:$AC$389,1))=""),"",INDEX(calc!$BQ$207:$BQ$389,MATCH(EI325,calc!$AC$207:$AC$389,1)))</f>
        <v/>
      </c>
      <c r="EL347" s="3079" t="str">
        <f>IF(INDEX(calc!$BP$207:$BP$389,MATCH(EL325,calc!$AC$207:$AC$389,1))="","       NA",IF(INDEX(calc!$O$189:$O$196,MATCH(INDEX(calc!$BP$207:$BP$389,MATCH(EL325,calc!$AC$207:$AC$389,1)),calc!$N$189:$N$196,0))=7,"    7",IF(INDEX(calc!$O$189:$O$196,MATCH(INDEX(calc!$BP$207:$BP$389,MATCH(EL325,calc!$AC$207:$AC$389,1)),calc!$N$189:$N$196,0))=6,"    6",INDEX(calc!$O$189:$O$196,MATCH(INDEX(calc!$BP$207:$BP$389,MATCH(EL325,calc!$AC$207:$AC$389,1)),calc!$N$189:$N$196,0))&amp;"~"&amp;INDEX(calc!$P$189:$P$196,MATCH(INDEX(calc!$BP$207:$BP349,MATCH(EL325,calc!$AC$207:$AC$389,1)),calc!$N$189:$N$196,0)))))</f>
        <v xml:space="preserve">       NA</v>
      </c>
      <c r="EM347" s="3080"/>
      <c r="EN347" s="1119" t="str">
        <f>IF(OR(EL347="       NA",INDEX(calc!$BQ$207:$BQ$389,MATCH(EL325,calc!$AC$207:$AC$389,1))=""),"",INDEX(calc!$BQ$207:$BQ$389,MATCH(EL325,calc!$AC$207:$AC$389,1)))</f>
        <v/>
      </c>
      <c r="EO347" s="3079" t="str">
        <f>IF(INDEX(calc!$BP$207:$BP$389,MATCH(EO325,calc!$AC$207:$AC$389,1))="","       NA",IF(INDEX(calc!$O$189:$O$196,MATCH(INDEX(calc!$BP$207:$BP$389,MATCH(EO325,calc!$AC$207:$AC$389,1)),calc!$N$189:$N$196,0))=7,"    7",IF(INDEX(calc!$O$189:$O$196,MATCH(INDEX(calc!$BP$207:$BP$389,MATCH(EO325,calc!$AC$207:$AC$389,1)),calc!$N$189:$N$196,0))=6,"    6",INDEX(calc!$O$189:$O$196,MATCH(INDEX(calc!$BP$207:$BP$389,MATCH(EO325,calc!$AC$207:$AC$389,1)),calc!$N$189:$N$196,0))&amp;"~"&amp;INDEX(calc!$P$189:$P$196,MATCH(INDEX(calc!$BP$207:$BP349,MATCH(EO325,calc!$AC$207:$AC$389,1)),calc!$N$189:$N$196,0)))))</f>
        <v xml:space="preserve">       NA</v>
      </c>
      <c r="EP347" s="3080"/>
      <c r="EQ347" s="1119" t="str">
        <f>IF(OR(EO347="       NA",INDEX(calc!$BQ$207:$BQ$389,MATCH(EO325,calc!$AC$207:$AC$389,1))=""),"",INDEX(calc!$BQ$207:$BQ$389,MATCH(EO325,calc!$AC$207:$AC$389,1)))</f>
        <v/>
      </c>
      <c r="ER347" s="3079" t="str">
        <f>IF(INDEX(calc!$BP$207:$BP$389,MATCH(ER325,calc!$AC$207:$AC$389,1))="","       NA",IF(INDEX(calc!$O$189:$O$196,MATCH(INDEX(calc!$BP$207:$BP$389,MATCH(ER325,calc!$AC$207:$AC$389,1)),calc!$N$189:$N$196,0))=7,"    7",IF(INDEX(calc!$O$189:$O$196,MATCH(INDEX(calc!$BP$207:$BP$389,MATCH(ER325,calc!$AC$207:$AC$389,1)),calc!$N$189:$N$196,0))=6,"    6",INDEX(calc!$O$189:$O$196,MATCH(INDEX(calc!$BP$207:$BP$389,MATCH(ER325,calc!$AC$207:$AC$389,1)),calc!$N$189:$N$196,0))&amp;"~"&amp;INDEX(calc!$P$189:$P$196,MATCH(INDEX(calc!$BP$207:$BP349,MATCH(ER325,calc!$AC$207:$AC$389,1)),calc!$N$189:$N$196,0)))))</f>
        <v xml:space="preserve">       NA</v>
      </c>
      <c r="ES347" s="3080"/>
      <c r="ET347" s="1119" t="str">
        <f>IF(OR(ER347="       NA",INDEX(calc!$BQ$207:$BQ$389,MATCH(ER325,calc!$AC$207:$AC$389,1))=""),"",INDEX(calc!$BQ$207:$BQ$389,MATCH(ER325,calc!$AC$207:$AC$389,1)))</f>
        <v/>
      </c>
      <c r="EU347" s="3079" t="str">
        <f>IF(INDEX(calc!$BP$207:$BP$389,MATCH(EU325,calc!$AC$207:$AC$389,1))="","       NA",IF(INDEX(calc!$O$189:$O$196,MATCH(INDEX(calc!$BP$207:$BP$389,MATCH(EU325,calc!$AC$207:$AC$389,1)),calc!$N$189:$N$196,0))=7,"    7",IF(INDEX(calc!$O$189:$O$196,MATCH(INDEX(calc!$BP$207:$BP$389,MATCH(EU325,calc!$AC$207:$AC$389,1)),calc!$N$189:$N$196,0))=6,"    6",INDEX(calc!$O$189:$O$196,MATCH(INDEX(calc!$BP$207:$BP$389,MATCH(EU325,calc!$AC$207:$AC$389,1)),calc!$N$189:$N$196,0))&amp;"~"&amp;INDEX(calc!$P$189:$P$196,MATCH(INDEX(calc!$BP$207:$BP349,MATCH(EU325,calc!$AC$207:$AC$389,1)),calc!$N$189:$N$196,0)))))</f>
        <v xml:space="preserve">       NA</v>
      </c>
      <c r="EV347" s="3080"/>
      <c r="EW347" s="1119" t="str">
        <f>IF(OR(EU347="       NA",INDEX(calc!$BQ$207:$BQ$389,MATCH(EU325,calc!$AC$207:$AC$389,1))=""),"",INDEX(calc!$BQ$207:$BQ$389,MATCH(EU325,calc!$AC$207:$AC$389,1)))</f>
        <v/>
      </c>
      <c r="EX347" s="3079" t="str">
        <f>IF(INDEX(calc!$BP$207:$BP$389,MATCH(EX325,calc!$AC$207:$AC$389,1))="","       NA",IF(INDEX(calc!$O$189:$O$196,MATCH(INDEX(calc!$BP$207:$BP$389,MATCH(EX325,calc!$AC$207:$AC$389,1)),calc!$N$189:$N$196,0))=7,"    7",IF(INDEX(calc!$O$189:$O$196,MATCH(INDEX(calc!$BP$207:$BP$389,MATCH(EX325,calc!$AC$207:$AC$389,1)),calc!$N$189:$N$196,0))=6,"    6",INDEX(calc!$O$189:$O$196,MATCH(INDEX(calc!$BP$207:$BP$389,MATCH(EX325,calc!$AC$207:$AC$389,1)),calc!$N$189:$N$196,0))&amp;"~"&amp;INDEX(calc!$P$189:$P$196,MATCH(INDEX(calc!$BP$207:$BP349,MATCH(EX325,calc!$AC$207:$AC$389,1)),calc!$N$189:$N$196,0)))))</f>
        <v xml:space="preserve">       NA</v>
      </c>
      <c r="EY347" s="3080"/>
      <c r="EZ347" s="1119" t="str">
        <f>IF(OR(EX347="       NA",INDEX(calc!$BQ$207:$BQ$389,MATCH(EX325,calc!$AC$207:$AC$389,1))=""),"",INDEX(calc!$BQ$207:$BQ$389,MATCH(EX325,calc!$AC$207:$AC$389,1)))</f>
        <v/>
      </c>
      <c r="FA347" s="3079" t="str">
        <f>IF(INDEX(calc!$BP$207:$BP$389,MATCH(FA325,calc!$AC$207:$AC$389,1))="","       NA",IF(INDEX(calc!$O$189:$O$196,MATCH(INDEX(calc!$BP$207:$BP$389,MATCH(FA325,calc!$AC$207:$AC$389,1)),calc!$N$189:$N$196,0))=7,"    7",IF(INDEX(calc!$O$189:$O$196,MATCH(INDEX(calc!$BP$207:$BP$389,MATCH(FA325,calc!$AC$207:$AC$389,1)),calc!$N$189:$N$196,0))=6,"    6",INDEX(calc!$O$189:$O$196,MATCH(INDEX(calc!$BP$207:$BP$389,MATCH(FA325,calc!$AC$207:$AC$389,1)),calc!$N$189:$N$196,0))&amp;"~"&amp;INDEX(calc!$P$189:$P$196,MATCH(INDEX(calc!$BP$207:$BP349,MATCH(FA325,calc!$AC$207:$AC$389,1)),calc!$N$189:$N$196,0)))))</f>
        <v xml:space="preserve">       NA</v>
      </c>
      <c r="FB347" s="3080"/>
      <c r="FC347" s="1119" t="str">
        <f>IF(OR(FA347="       NA",INDEX(calc!$BQ$207:$BQ$389,MATCH(FA325,calc!$AC$207:$AC$389,1))=""),"",INDEX(calc!$BQ$207:$BQ$389,MATCH(FA325,calc!$AC$207:$AC$389,1)))</f>
        <v/>
      </c>
      <c r="FD347" s="3079" t="str">
        <f>IF(INDEX(calc!$BP$207:$BP$389,MATCH(FD325,calc!$AC$207:$AC$389,1))="","       NA",IF(INDEX(calc!$O$189:$O$196,MATCH(INDEX(calc!$BP$207:$BP$389,MATCH(FD325,calc!$AC$207:$AC$389,1)),calc!$N$189:$N$196,0))=7,"    7",IF(INDEX(calc!$O$189:$O$196,MATCH(INDEX(calc!$BP$207:$BP$389,MATCH(FD325,calc!$AC$207:$AC$389,1)),calc!$N$189:$N$196,0))=6,"    6",INDEX(calc!$O$189:$O$196,MATCH(INDEX(calc!$BP$207:$BP$389,MATCH(FD325,calc!$AC$207:$AC$389,1)),calc!$N$189:$N$196,0))&amp;"~"&amp;INDEX(calc!$P$189:$P$196,MATCH(INDEX(calc!$BP$207:$BP349,MATCH(FD325,calc!$AC$207:$AC$389,1)),calc!$N$189:$N$196,0)))))</f>
        <v xml:space="preserve">       NA</v>
      </c>
      <c r="FE347" s="3080"/>
      <c r="FF347" s="1120" t="str">
        <f>IF(OR(FD347="       NA",INDEX(calc!$BQ$207:$BQ$389,MATCH(FD325,calc!$AC$207:$AC$389,1))=""),"",INDEX(calc!$BQ$207:$BQ$389,MATCH(FD325,calc!$AC$207:$AC$389,1)))</f>
        <v/>
      </c>
      <c r="FG347" s="3079" t="str">
        <f>IF(INDEX(calc!$BP$207:$BP$389,MATCH(FG325,calc!$AC$207:$AC$389,1))="","       NA",IF(INDEX(calc!$O$189:$O$196,MATCH(INDEX(calc!$BP$207:$BP$389,MATCH(FG325,calc!$AC$207:$AC$389,1)),calc!$N$189:$N$196,0))=7,"    7",IF(INDEX(calc!$O$189:$O$196,MATCH(INDEX(calc!$BP$207:$BP$389,MATCH(FG325,calc!$AC$207:$AC$389,1)),calc!$N$189:$N$196,0))=6,"    6",INDEX(calc!$O$189:$O$196,MATCH(INDEX(calc!$BP$207:$BP$389,MATCH(FG325,calc!$AC$207:$AC$389,1)),calc!$N$189:$N$196,0))&amp;"~"&amp;INDEX(calc!$P$189:$P$196,MATCH(INDEX(calc!$BP$207:$BP349,MATCH(FG325,calc!$AC$207:$AC$389,1)),calc!$N$189:$N$196,0)))))</f>
        <v xml:space="preserve">       NA</v>
      </c>
      <c r="FH347" s="3080"/>
      <c r="FI347" s="1120" t="str">
        <f>IF(OR(FG347="       NA",INDEX(calc!$BQ$207:$BQ$389,MATCH(FG325,calc!$AC$207:$AC$389,1))=""),"",INDEX(calc!$BQ$207:$BQ$389,MATCH(FG325,calc!$AC$207:$AC$389,1)))</f>
        <v/>
      </c>
      <c r="FJ347" s="3079" t="str">
        <f>IF(INDEX(calc!$BP$207:$BP$389,MATCH(FJ325,calc!$AC$207:$AC$389,1))="","       NA",IF(INDEX(calc!$O$189:$O$196,MATCH(INDEX(calc!$BP$207:$BP$389,MATCH(FJ325,calc!$AC$207:$AC$389,1)),calc!$N$189:$N$196,0))=7,"    7",IF(INDEX(calc!$O$189:$O$196,MATCH(INDEX(calc!$BP$207:$BP$389,MATCH(FJ325,calc!$AC$207:$AC$389,1)),calc!$N$189:$N$196,0))=6,"    6",INDEX(calc!$O$189:$O$196,MATCH(INDEX(calc!$BP$207:$BP$389,MATCH(FJ325,calc!$AC$207:$AC$389,1)),calc!$N$189:$N$196,0))&amp;"~"&amp;INDEX(calc!$P$189:$P$196,MATCH(INDEX(calc!$BP$207:$BP349,MATCH(FJ325,calc!$AC$207:$AC$389,1)),calc!$N$189:$N$196,0)))))</f>
        <v xml:space="preserve">       NA</v>
      </c>
      <c r="FK347" s="3080"/>
      <c r="FL347" s="1120" t="str">
        <f>IF(OR(FJ347="       NA",INDEX(calc!$BQ$207:$BQ$389,MATCH(FJ325,calc!$AC$207:$AC$389,1))=""),"",INDEX(calc!$BQ$207:$BQ$389,MATCH(FJ325,calc!$AC$207:$AC$389,1)))</f>
        <v/>
      </c>
      <c r="FM347" s="3079" t="str">
        <f>IF(INDEX(calc!$BP$207:$BP$389,MATCH(FM325,calc!$AC$207:$AC$389,1))="","       NA",IF(INDEX(calc!$O$189:$O$196,MATCH(INDEX(calc!$BP$207:$BP$389,MATCH(FM325,calc!$AC$207:$AC$389,1)),calc!$N$189:$N$196,0))=7,"    7",IF(INDEX(calc!$O$189:$O$196,MATCH(INDEX(calc!$BP$207:$BP$389,MATCH(FM325,calc!$AC$207:$AC$389,1)),calc!$N$189:$N$196,0))=6,"    6",INDEX(calc!$O$189:$O$196,MATCH(INDEX(calc!$BP$207:$BP$389,MATCH(FM325,calc!$AC$207:$AC$389,1)),calc!$N$189:$N$196,0))&amp;"~"&amp;INDEX(calc!$P$189:$P$196,MATCH(INDEX(calc!$BP$207:$BP349,MATCH(FM325,calc!$AC$207:$AC$389,1)),calc!$N$189:$N$196,0)))))</f>
        <v xml:space="preserve">       NA</v>
      </c>
      <c r="FN347" s="3080"/>
      <c r="FO347" s="1120" t="str">
        <f>IF(OR(FM347="       NA",INDEX(calc!$BQ$207:$BQ$389,MATCH(FM325,calc!$AC$207:$AC$389,1))=""),"",INDEX(calc!$BQ$207:$BQ$389,MATCH(FM325,calc!$AC$207:$AC$389,1)))</f>
        <v/>
      </c>
      <c r="FP347" s="3079" t="str">
        <f>IF(INDEX(calc!$BP$207:$BP$389,MATCH(FP325,calc!$AC$207:$AC$389,1))="","       NA",IF(INDEX(calc!$O$189:$O$196,MATCH(INDEX(calc!$BP$207:$BP$389,MATCH(FP325,calc!$AC$207:$AC$389,1)),calc!$N$189:$N$196,0))=7,"    7",IF(INDEX(calc!$O$189:$O$196,MATCH(INDEX(calc!$BP$207:$BP$389,MATCH(FP325,calc!$AC$207:$AC$389,1)),calc!$N$189:$N$196,0))=6,"    6",INDEX(calc!$O$189:$O$196,MATCH(INDEX(calc!$BP$207:$BP$389,MATCH(FP325,calc!$AC$207:$AC$389,1)),calc!$N$189:$N$196,0))&amp;"~"&amp;INDEX(calc!$P$189:$P$196,MATCH(INDEX(calc!$BP$207:$BP349,MATCH(FP325,calc!$AC$207:$AC$389,1)),calc!$N$189:$N$196,0)))))</f>
        <v xml:space="preserve">       NA</v>
      </c>
      <c r="FQ347" s="3080"/>
      <c r="FR347" s="1120" t="str">
        <f>IF(OR(FP347="       NA",INDEX(calc!$BQ$207:$BQ$389,MATCH(FP325,calc!$AC$207:$AC$389,1))=""),"",INDEX(calc!$BQ$207:$BQ$389,MATCH(FP325,calc!$AC$207:$AC$389,1)))</f>
        <v/>
      </c>
      <c r="FS347" s="3079" t="str">
        <f>IF(INDEX(calc!$BP$207:$BP$389,MATCH(FS325,calc!$AC$207:$AC$389,1))="","       NA",IF(INDEX(calc!$O$189:$O$196,MATCH(INDEX(calc!$BP$207:$BP$389,MATCH(FS325,calc!$AC$207:$AC$389,1)),calc!$N$189:$N$196,0))=7,"    7",IF(INDEX(calc!$O$189:$O$196,MATCH(INDEX(calc!$BP$207:$BP$389,MATCH(FS325,calc!$AC$207:$AC$389,1)),calc!$N$189:$N$196,0))=6,"    6",INDEX(calc!$O$189:$O$196,MATCH(INDEX(calc!$BP$207:$BP$389,MATCH(FS325,calc!$AC$207:$AC$389,1)),calc!$N$189:$N$196,0))&amp;"~"&amp;INDEX(calc!$P$189:$P$196,MATCH(INDEX(calc!$BP$207:$BP349,MATCH(FS325,calc!$AC$207:$AC$389,1)),calc!$N$189:$N$196,0)))))</f>
        <v xml:space="preserve">       NA</v>
      </c>
      <c r="FT347" s="3080"/>
      <c r="FU347" s="1120" t="str">
        <f>IF(OR(FS347="       NA",INDEX(calc!$BQ$207:$BQ$389,MATCH(FS325,calc!$AC$207:$AC$389,1))=""),"",INDEX(calc!$BQ$207:$BQ$389,MATCH(FS325,calc!$AC$207:$AC$389,1)))</f>
        <v/>
      </c>
      <c r="FV347" s="3079" t="str">
        <f>IF(INDEX(calc!$BP$207:$BP$389,MATCH(FV325,calc!$AC$207:$AC$389,1))="","       NA",IF(INDEX(calc!$O$189:$O$196,MATCH(INDEX(calc!$BP$207:$BP$389,MATCH(FV325,calc!$AC$207:$AC$389,1)),calc!$N$189:$N$196,0))=7,"    7",IF(INDEX(calc!$O$189:$O$196,MATCH(INDEX(calc!$BP$207:$BP$389,MATCH(FV325,calc!$AC$207:$AC$389,1)),calc!$N$189:$N$196,0))=6,"    6",INDEX(calc!$O$189:$O$196,MATCH(INDEX(calc!$BP$207:$BP$389,MATCH(FV325,calc!$AC$207:$AC$389,1)),calc!$N$189:$N$196,0))&amp;"~"&amp;INDEX(calc!$P$189:$P$196,MATCH(INDEX(calc!$BP$207:$BP349,MATCH(FV325,calc!$AC$207:$AC$389,1)),calc!$N$189:$N$196,0)))))</f>
        <v xml:space="preserve">       NA</v>
      </c>
      <c r="FW347" s="3080"/>
      <c r="FX347" s="1120" t="str">
        <f>IF(OR(FV347="       NA",INDEX(calc!$BQ$207:$BQ$389,MATCH(FV325,calc!$AC$207:$AC$389,1))=""),"",INDEX(calc!$BQ$207:$BQ$389,MATCH(FV325,calc!$AC$207:$AC$389,1)))</f>
        <v/>
      </c>
      <c r="FY347" s="3079" t="str">
        <f>IF(INDEX(calc!$BP$207:$BP$389,MATCH(FY325,calc!$AC$207:$AC$389,1))="","       NA",IF(INDEX(calc!$O$189:$O$196,MATCH(INDEX(calc!$BP$207:$BP$389,MATCH(FY325,calc!$AC$207:$AC$389,1)),calc!$N$189:$N$196,0))=7,"    7",IF(INDEX(calc!$O$189:$O$196,MATCH(INDEX(calc!$BP$207:$BP$389,MATCH(FY325,calc!$AC$207:$AC$389,1)),calc!$N$189:$N$196,0))=6,"    6",INDEX(calc!$O$189:$O$196,MATCH(INDEX(calc!$BP$207:$BP$389,MATCH(FY325,calc!$AC$207:$AC$389,1)),calc!$N$189:$N$196,0))&amp;"~"&amp;INDEX(calc!$P$189:$P$196,MATCH(INDEX(calc!$BP$207:$BP349,MATCH(FY325,calc!$AC$207:$AC$389,1)),calc!$N$189:$N$196,0)))))</f>
        <v xml:space="preserve">       NA</v>
      </c>
      <c r="FZ347" s="3080"/>
      <c r="GA347" s="1120" t="str">
        <f>IF(OR(FY347="       NA",INDEX(calc!$BQ$207:$BQ$389,MATCH(FY325,calc!$AC$207:$AC$389,1))=""),"",INDEX(calc!$BQ$207:$BQ$389,MATCH(FY325,calc!$AC$207:$AC$389,1)))</f>
        <v/>
      </c>
      <c r="GB347" s="3079" t="str">
        <f>IF(INDEX(calc!$BP$207:$BP$389,MATCH(GB325,calc!$AC$207:$AC$389,1))="","       NA",IF(INDEX(calc!$O$189:$O$196,MATCH(INDEX(calc!$BP$207:$BP$389,MATCH(GB325,calc!$AC$207:$AC$389,1)),calc!$N$189:$N$196,0))=7,"    7",IF(INDEX(calc!$O$189:$O$196,MATCH(INDEX(calc!$BP$207:$BP$389,MATCH(GB325,calc!$AC$207:$AC$389,1)),calc!$N$189:$N$196,0))=6,"    6",INDEX(calc!$O$189:$O$196,MATCH(INDEX(calc!$BP$207:$BP$389,MATCH(GB325,calc!$AC$207:$AC$389,1)),calc!$N$189:$N$196,0))&amp;"~"&amp;INDEX(calc!$P$189:$P$196,MATCH(INDEX(calc!$BP$207:$BP349,MATCH(GB325,calc!$AC$207:$AC$389,1)),calc!$N$189:$N$196,0)))))</f>
        <v xml:space="preserve">       NA</v>
      </c>
      <c r="GC347" s="3080"/>
      <c r="GD347" s="1120" t="str">
        <f>IF(OR(GB347="       NA",INDEX(calc!$BQ$207:$BQ$389,MATCH(GB325,calc!$AC$207:$AC$389,1))=""),"",INDEX(calc!$BQ$207:$BQ$389,MATCH(GB325,calc!$AC$207:$AC$389,1)))</f>
        <v/>
      </c>
      <c r="GE347" s="3079" t="str">
        <f>IF(INDEX(calc!$BP$207:$BP$389,MATCH(GE325,calc!$AC$207:$AC$389,1))="","       NA",IF(INDEX(calc!$O$189:$O$196,MATCH(INDEX(calc!$BP$207:$BP$389,MATCH(GE325,calc!$AC$207:$AC$389,1)),calc!$N$189:$N$196,0))=7,"    7",IF(INDEX(calc!$O$189:$O$196,MATCH(INDEX(calc!$BP$207:$BP$389,MATCH(GE325,calc!$AC$207:$AC$389,1)),calc!$N$189:$N$196,0))=6,"    6",INDEX(calc!$O$189:$O$196,MATCH(INDEX(calc!$BP$207:$BP$389,MATCH(GE325,calc!$AC$207:$AC$389,1)),calc!$N$189:$N$196,0))&amp;"~"&amp;INDEX(calc!$P$189:$P$196,MATCH(INDEX(calc!$BP$207:$BP349,MATCH(GE325,calc!$AC$207:$AC$389,1)),calc!$N$189:$N$196,0)))))</f>
        <v xml:space="preserve">       NA</v>
      </c>
      <c r="GF347" s="3080"/>
      <c r="GG347" s="1120" t="str">
        <f>IF(OR(GE347="       NA",INDEX(calc!$BQ$207:$BQ$389,MATCH(GE325,calc!$AC$207:$AC$389,1))=""),"",INDEX(calc!$BQ$207:$BQ$389,MATCH(GE325,calc!$AC$207:$AC$389,1)))</f>
        <v/>
      </c>
      <c r="GH347" s="3079" t="str">
        <f>IF(INDEX(calc!$BP$207:$BP$389,MATCH(GH325,calc!$AC$207:$AC$389,1))="","       NA",IF(INDEX(calc!$O$189:$O$196,MATCH(INDEX(calc!$BP$207:$BP$389,MATCH(GH325,calc!$AC$207:$AC$389,1)),calc!$N$189:$N$196,0))=7,"    7",IF(INDEX(calc!$O$189:$O$196,MATCH(INDEX(calc!$BP$207:$BP$389,MATCH(GH325,calc!$AC$207:$AC$389,1)),calc!$N$189:$N$196,0))=6,"    6",INDEX(calc!$O$189:$O$196,MATCH(INDEX(calc!$BP$207:$BP$389,MATCH(GH325,calc!$AC$207:$AC$389,1)),calc!$N$189:$N$196,0))&amp;"~"&amp;INDEX(calc!$P$189:$P$196,MATCH(INDEX(calc!$BP$207:$BP349,MATCH(GH325,calc!$AC$207:$AC$389,1)),calc!$N$189:$N$196,0)))))</f>
        <v xml:space="preserve">       NA</v>
      </c>
      <c r="GI347" s="3080"/>
      <c r="GJ347" s="1120" t="str">
        <f>IF(OR(GH347="       NA",INDEX(calc!$BQ$207:$BQ$389,MATCH(GH325,calc!$AC$207:$AC$389,1))=""),"",INDEX(calc!$BQ$207:$BQ$389,MATCH(GH325,calc!$AC$207:$AC$389,1)))</f>
        <v/>
      </c>
      <c r="GK347" s="3079" t="str">
        <f>IF(INDEX(calc!$BP$207:$BP$389,MATCH(GK325,calc!$AC$207:$AC$389,1))="","       NA",IF(INDEX(calc!$O$189:$O$196,MATCH(INDEX(calc!$BP$207:$BP$389,MATCH(GK325,calc!$AC$207:$AC$389,1)),calc!$N$189:$N$196,0))=7,"    7",IF(INDEX(calc!$O$189:$O$196,MATCH(INDEX(calc!$BP$207:$BP$389,MATCH(GK325,calc!$AC$207:$AC$389,1)),calc!$N$189:$N$196,0))=6,"    6",INDEX(calc!$O$189:$O$196,MATCH(INDEX(calc!$BP$207:$BP$389,MATCH(GK325,calc!$AC$207:$AC$389,1)),calc!$N$189:$N$196,0))&amp;"~"&amp;INDEX(calc!$P$189:$P$196,MATCH(INDEX(calc!$BP$207:$BP349,MATCH(GK325,calc!$AC$207:$AC$389,1)),calc!$N$189:$N$196,0)))))</f>
        <v xml:space="preserve">       NA</v>
      </c>
      <c r="GL347" s="3080"/>
      <c r="GM347" s="1120" t="str">
        <f>IF(OR(GK347="       NA",INDEX(calc!$BQ$207:$BQ$389,MATCH(GK325,calc!$AC$207:$AC$389,1))=""),"",INDEX(calc!$BQ$207:$BQ$389,MATCH(GK325,calc!$AC$207:$AC$389,1)))</f>
        <v/>
      </c>
      <c r="GN347" s="3079" t="str">
        <f>IF(INDEX(calc!$BP$207:$BP$389,MATCH(GN325,calc!$AC$207:$AC$389,1))="","       NA",IF(INDEX(calc!$O$189:$O$196,MATCH(INDEX(calc!$BP$207:$BP$389,MATCH(GN325,calc!$AC$207:$AC$389,1)),calc!$N$189:$N$196,0))=7,"    7",IF(INDEX(calc!$O$189:$O$196,MATCH(INDEX(calc!$BP$207:$BP$389,MATCH(GN325,calc!$AC$207:$AC$389,1)),calc!$N$189:$N$196,0))=6,"    6",INDEX(calc!$O$189:$O$196,MATCH(INDEX(calc!$BP$207:$BP$389,MATCH(GN325,calc!$AC$207:$AC$389,1)),calc!$N$189:$N$196,0))&amp;"~"&amp;INDEX(calc!$P$189:$P$196,MATCH(INDEX(calc!$BP$207:$BP349,MATCH(GN325,calc!$AC$207:$AC$389,1)),calc!$N$189:$N$196,0)))))</f>
        <v xml:space="preserve">       NA</v>
      </c>
      <c r="GO347" s="3080"/>
      <c r="GP347" s="1120" t="str">
        <f>IF(OR(GN347="       NA",INDEX(calc!$BQ$207:$BQ$389,MATCH(GN325,calc!$AC$207:$AC$389,1))=""),"",INDEX(calc!$BQ$207:$BQ$389,MATCH(GN325,calc!$AC$207:$AC$389,1)))</f>
        <v/>
      </c>
      <c r="GQ347" s="3079" t="str">
        <f>IF(INDEX(calc!$BP$207:$BP$389,MATCH(GQ325,calc!$AC$207:$AC$389,1))="","       NA",IF(INDEX(calc!$O$189:$O$196,MATCH(INDEX(calc!$BP$207:$BP$389,MATCH(GQ325,calc!$AC$207:$AC$389,1)),calc!$N$189:$N$196,0))=7,"    7",IF(INDEX(calc!$O$189:$O$196,MATCH(INDEX(calc!$BP$207:$BP$389,MATCH(GQ325,calc!$AC$207:$AC$389,1)),calc!$N$189:$N$196,0))=6,"    6",INDEX(calc!$O$189:$O$196,MATCH(INDEX(calc!$BP$207:$BP$389,MATCH(GQ325,calc!$AC$207:$AC$389,1)),calc!$N$189:$N$196,0))&amp;"~"&amp;INDEX(calc!$P$189:$P$196,MATCH(INDEX(calc!$BP$207:$BP349,MATCH(GQ325,calc!$AC$207:$AC$389,1)),calc!$N$189:$N$196,0)))))</f>
        <v xml:space="preserve">       NA</v>
      </c>
      <c r="GR347" s="3080"/>
      <c r="GS347" s="1120" t="str">
        <f>IF(OR(GQ347="       NA",INDEX(calc!$BQ$207:$BQ$389,MATCH(GQ325,calc!$AC$207:$AC$389,1))=""),"",INDEX(calc!$BQ$207:$BQ$389,MATCH(GQ325,calc!$AC$207:$AC$389,1)))</f>
        <v/>
      </c>
    </row>
    <row r="348" spans="12:201" s="539" customFormat="1" ht="15" customHeight="1">
      <c r="L348" s="1166" t="s">
        <v>3078</v>
      </c>
      <c r="M348" s="1047"/>
      <c r="N348" s="1047"/>
      <c r="O348" s="1047"/>
      <c r="P348" s="1047"/>
      <c r="T348" s="1074"/>
      <c r="U348" s="1074"/>
      <c r="V348" s="1074"/>
      <c r="W348" s="1074"/>
      <c r="X348" s="1047"/>
      <c r="Y348" s="1047"/>
      <c r="Z348" s="1047"/>
      <c r="AA348" s="1071"/>
      <c r="AB348" s="3535"/>
      <c r="AC348" s="3535"/>
      <c r="AD348" s="3535"/>
      <c r="AE348" s="1105"/>
      <c r="AF348" s="1105"/>
      <c r="AG348" s="1105"/>
      <c r="AH348" s="1105"/>
      <c r="AI348" s="1105"/>
      <c r="AJ348" s="1105"/>
      <c r="AK348" s="1105"/>
      <c r="AL348" s="1105"/>
      <c r="AM348" s="1105"/>
      <c r="AN348" s="1106"/>
      <c r="AO348" s="1174"/>
      <c r="AP348" s="1174"/>
      <c r="AQ348" s="1107"/>
      <c r="AR348" s="1107"/>
      <c r="AS348" s="1107"/>
      <c r="AT348" s="1107"/>
      <c r="AU348" s="1107"/>
      <c r="AV348" s="1107"/>
      <c r="AW348" s="1107"/>
      <c r="AX348" s="1106"/>
      <c r="AY348" s="1174"/>
      <c r="AZ348" s="1174"/>
      <c r="BA348" s="1107"/>
      <c r="BB348" s="1076"/>
      <c r="BC348" s="1108"/>
      <c r="BD348" s="1108"/>
      <c r="BE348" s="1108"/>
      <c r="BF348" s="1109"/>
      <c r="BG348" s="1109"/>
      <c r="BH348" s="1109"/>
      <c r="BI348" s="1110"/>
      <c r="BJ348" s="1110"/>
      <c r="BK348" s="1111"/>
      <c r="BL348" s="1111"/>
      <c r="BM348" s="669"/>
      <c r="BN348" s="669"/>
      <c r="BO348" s="1108"/>
      <c r="BP348" s="1108"/>
      <c r="BQ348" s="1108"/>
      <c r="BR348" s="1108"/>
      <c r="BS348" s="1108"/>
      <c r="BT348" s="1108"/>
      <c r="BU348" s="1109"/>
      <c r="BV348" s="1112"/>
      <c r="BW348" s="1113"/>
      <c r="BX348" s="1113"/>
      <c r="BY348" s="1113"/>
      <c r="BZ348" s="1113"/>
      <c r="CA348" s="1114"/>
      <c r="CB348" s="1076"/>
      <c r="CC348" s="1108"/>
      <c r="CD348" s="1108"/>
      <c r="CE348" s="1108"/>
      <c r="CF348" s="1109"/>
      <c r="CG348" s="1109"/>
      <c r="CH348" s="1109"/>
      <c r="CI348" s="1110"/>
      <c r="CJ348" s="1110"/>
      <c r="CK348" s="1111"/>
      <c r="CL348" s="1111"/>
      <c r="CM348" s="669"/>
      <c r="CN348" s="669"/>
      <c r="CO348" s="1108"/>
      <c r="CP348" s="1108"/>
      <c r="CQ348" s="1108"/>
      <c r="CR348" s="1108"/>
      <c r="CS348" s="1108"/>
      <c r="CT348" s="1108"/>
      <c r="CU348" s="1109"/>
      <c r="CV348" s="1112"/>
      <c r="CW348" s="1113"/>
      <c r="CX348" s="1113"/>
      <c r="CY348" s="1113"/>
      <c r="CZ348" s="1113"/>
      <c r="DA348" s="1114"/>
      <c r="DB348" s="1076"/>
      <c r="DC348" s="1108"/>
      <c r="DD348" s="1108"/>
      <c r="DE348" s="1108"/>
      <c r="DF348" s="1109"/>
      <c r="DG348" s="1109"/>
      <c r="DH348" s="1109"/>
      <c r="DI348" s="1110"/>
      <c r="DJ348" s="1110"/>
      <c r="DK348" s="1111"/>
      <c r="DL348" s="1111"/>
      <c r="DM348" s="669"/>
      <c r="DN348" s="669"/>
      <c r="DO348" s="1108"/>
      <c r="DP348" s="1108"/>
      <c r="DQ348" s="1108"/>
      <c r="DR348" s="1108"/>
      <c r="DS348" s="1108"/>
      <c r="DT348" s="1108"/>
      <c r="DU348" s="1109"/>
      <c r="DV348" s="1112"/>
      <c r="DW348" s="1113"/>
      <c r="DX348" s="1113"/>
      <c r="DY348" s="1113"/>
      <c r="DZ348" s="1113"/>
      <c r="EA348" s="1076"/>
      <c r="EB348" s="1076"/>
      <c r="EC348" s="1076"/>
      <c r="ED348" s="1076"/>
      <c r="EE348" s="1076"/>
      <c r="EF348" s="1076"/>
      <c r="EG348" s="1076"/>
      <c r="EH348" s="1076"/>
      <c r="EI348" s="1076"/>
      <c r="EJ348" s="1076"/>
      <c r="EK348" s="1076"/>
      <c r="EL348" s="1076"/>
      <c r="EM348" s="1076"/>
      <c r="EN348" s="1076"/>
      <c r="EO348" s="1076"/>
      <c r="EP348" s="1076"/>
      <c r="EQ348" s="1076"/>
      <c r="ER348" s="1076"/>
      <c r="ES348" s="1076"/>
      <c r="ET348" s="1076"/>
      <c r="EU348" s="1076"/>
      <c r="EV348" s="1076"/>
      <c r="EW348" s="1076"/>
      <c r="EX348" s="1076"/>
      <c r="EY348" s="1076"/>
      <c r="EZ348" s="1076"/>
      <c r="FA348" s="1076"/>
      <c r="FB348" s="1076"/>
      <c r="FC348" s="1076"/>
      <c r="FD348" s="1076"/>
      <c r="FE348" s="1076"/>
      <c r="FF348" s="1076"/>
    </row>
    <row r="349" spans="12:201" s="539" customFormat="1" ht="15" hidden="1" customHeight="1">
      <c r="L349" s="1166" t="s">
        <v>3079</v>
      </c>
      <c r="M349" s="1047"/>
      <c r="N349" s="1047"/>
      <c r="O349" s="1047"/>
      <c r="P349" s="1047"/>
      <c r="T349" s="1074"/>
      <c r="U349" s="1074"/>
      <c r="V349" s="1074"/>
      <c r="W349" s="1074"/>
      <c r="X349" s="1047"/>
      <c r="Y349" s="1047"/>
      <c r="Z349" s="1047"/>
      <c r="AA349" s="1048"/>
      <c r="AB349" s="1750"/>
      <c r="AC349" s="1049"/>
      <c r="AD349" s="1049"/>
      <c r="AE349" s="691"/>
      <c r="AF349" s="692"/>
      <c r="AG349" s="692"/>
      <c r="AH349" s="692"/>
      <c r="AI349" s="674"/>
      <c r="AJ349" s="674"/>
      <c r="AK349" s="689"/>
      <c r="AL349" s="689"/>
      <c r="AM349" s="667"/>
      <c r="AN349" s="667"/>
      <c r="AO349" s="691"/>
      <c r="AP349" s="691"/>
      <c r="AQ349" s="691"/>
      <c r="AR349" s="691"/>
      <c r="AS349" s="691"/>
      <c r="AT349" s="691"/>
      <c r="AU349" s="692"/>
      <c r="AV349" s="1045"/>
      <c r="AW349" s="1046"/>
      <c r="AX349" s="1046"/>
      <c r="AY349" s="1046"/>
      <c r="AZ349" s="1046"/>
      <c r="BA349" s="689"/>
      <c r="BB349" s="1044"/>
      <c r="BC349" s="691"/>
      <c r="BD349" s="691"/>
      <c r="BE349" s="691"/>
      <c r="BF349" s="692"/>
      <c r="BG349" s="692"/>
      <c r="BH349" s="692"/>
      <c r="BI349" s="674"/>
      <c r="BJ349" s="674"/>
      <c r="BK349" s="689"/>
      <c r="BL349" s="689"/>
      <c r="BM349" s="667"/>
      <c r="BN349" s="667"/>
      <c r="BO349" s="691"/>
      <c r="BP349" s="691"/>
      <c r="BQ349" s="691"/>
      <c r="BR349" s="691"/>
      <c r="BS349" s="691"/>
      <c r="BT349" s="691"/>
      <c r="BU349" s="692"/>
      <c r="BV349" s="1045"/>
      <c r="BW349" s="1046"/>
      <c r="BX349" s="1046"/>
      <c r="BY349" s="1046"/>
      <c r="BZ349" s="1046"/>
      <c r="CA349" s="690"/>
      <c r="CB349" s="1044"/>
      <c r="CC349" s="691"/>
      <c r="CD349" s="691"/>
      <c r="CE349" s="691"/>
      <c r="CF349" s="692"/>
      <c r="CG349" s="692"/>
      <c r="CH349" s="692"/>
      <c r="CI349" s="674"/>
      <c r="CJ349" s="674"/>
      <c r="CK349" s="689"/>
      <c r="CL349" s="689"/>
      <c r="CM349" s="667"/>
      <c r="CN349" s="667"/>
      <c r="CO349" s="691"/>
      <c r="CP349" s="691"/>
      <c r="CQ349" s="691"/>
      <c r="CR349" s="691"/>
      <c r="CS349" s="691"/>
      <c r="CT349" s="691"/>
      <c r="CU349" s="692"/>
      <c r="CV349" s="1045"/>
      <c r="CW349" s="1046"/>
      <c r="CX349" s="1046"/>
      <c r="CY349" s="1046"/>
      <c r="CZ349" s="1046"/>
      <c r="DA349" s="690"/>
      <c r="DB349" s="1044"/>
      <c r="DC349" s="691"/>
      <c r="DD349" s="691"/>
      <c r="DE349" s="691"/>
      <c r="DF349" s="692"/>
      <c r="DG349" s="692"/>
      <c r="DH349" s="692"/>
      <c r="DI349" s="674"/>
      <c r="DJ349" s="674"/>
      <c r="DK349" s="689"/>
      <c r="DL349" s="689"/>
      <c r="DM349" s="667"/>
      <c r="DN349" s="667"/>
      <c r="DO349" s="691"/>
      <c r="DP349" s="691"/>
      <c r="DQ349" s="691"/>
      <c r="DR349" s="691"/>
      <c r="DS349" s="691"/>
      <c r="DT349" s="691"/>
      <c r="DU349" s="692"/>
      <c r="DV349" s="1045"/>
      <c r="DW349" s="1046"/>
      <c r="DX349" s="1046"/>
      <c r="DY349" s="1046"/>
      <c r="DZ349" s="1046"/>
      <c r="EA349" s="1044"/>
      <c r="EB349" s="1044"/>
      <c r="EC349" s="1044"/>
      <c r="ED349" s="1044"/>
      <c r="EE349" s="1044"/>
      <c r="EF349" s="1044"/>
      <c r="EG349" s="1044"/>
      <c r="EH349" s="1044"/>
      <c r="EI349" s="1044"/>
      <c r="EJ349" s="1044"/>
      <c r="EK349" s="1044"/>
      <c r="EL349" s="1044"/>
      <c r="EM349" s="1044"/>
      <c r="EN349" s="1044"/>
      <c r="EO349" s="1044"/>
      <c r="EP349" s="1044"/>
      <c r="EQ349" s="1044"/>
      <c r="ER349" s="1044"/>
      <c r="ES349" s="1044"/>
      <c r="ET349" s="1044"/>
      <c r="EU349" s="1044"/>
      <c r="EV349" s="1044"/>
      <c r="EW349" s="1044"/>
      <c r="EX349" s="1044"/>
      <c r="EY349" s="1044"/>
      <c r="EZ349" s="1044"/>
      <c r="FA349" s="1044"/>
      <c r="FB349" s="1044"/>
      <c r="FC349" s="1044"/>
      <c r="FD349" s="1044"/>
      <c r="FE349" s="1044"/>
      <c r="FF349" s="1044"/>
    </row>
    <row r="350" spans="12:201" s="539" customFormat="1" ht="15" hidden="1" customHeight="1">
      <c r="L350" s="1166" t="s">
        <v>3080</v>
      </c>
      <c r="M350" s="1047"/>
      <c r="N350" s="1047"/>
      <c r="O350" s="1047"/>
      <c r="P350" s="1047"/>
      <c r="X350" s="1047"/>
      <c r="Y350" s="1047"/>
      <c r="Z350" s="1047"/>
      <c r="AA350" s="1115"/>
      <c r="AB350" s="3268"/>
      <c r="AC350" s="3268"/>
      <c r="AD350" s="3268"/>
      <c r="AE350" s="691"/>
      <c r="AF350" s="692"/>
      <c r="AG350" s="692"/>
      <c r="AH350" s="692"/>
      <c r="AI350" s="674"/>
      <c r="AJ350" s="674"/>
      <c r="AK350" s="689"/>
      <c r="AL350" s="689"/>
      <c r="AM350" s="667"/>
      <c r="AN350" s="667"/>
      <c r="AO350" s="691"/>
      <c r="AP350" s="691"/>
      <c r="AQ350" s="691"/>
      <c r="AR350" s="691"/>
      <c r="AS350" s="691"/>
      <c r="AT350" s="691"/>
      <c r="AU350" s="692"/>
      <c r="AV350" s="1045"/>
      <c r="AW350" s="1046"/>
      <c r="AX350" s="1046"/>
      <c r="AY350" s="1046"/>
      <c r="AZ350" s="1046"/>
      <c r="BA350" s="689"/>
      <c r="BB350" s="1044"/>
      <c r="BC350" s="691"/>
      <c r="BD350" s="691"/>
      <c r="BE350" s="691"/>
      <c r="BF350" s="692"/>
      <c r="BG350" s="692"/>
      <c r="BH350" s="692"/>
      <c r="BI350" s="674"/>
      <c r="BJ350" s="674"/>
      <c r="BK350" s="689"/>
      <c r="BL350" s="689"/>
      <c r="BM350" s="667"/>
      <c r="BN350" s="667"/>
      <c r="BO350" s="691"/>
      <c r="BP350" s="691"/>
      <c r="BQ350" s="691"/>
      <c r="BR350" s="691"/>
      <c r="BS350" s="691"/>
      <c r="BT350" s="691"/>
      <c r="BU350" s="692"/>
      <c r="BV350" s="1045"/>
      <c r="BW350" s="1046"/>
      <c r="BX350" s="1046"/>
      <c r="BY350" s="1046"/>
      <c r="BZ350" s="1046"/>
      <c r="CA350" s="690"/>
      <c r="CB350" s="1044"/>
      <c r="CC350" s="691"/>
      <c r="CD350" s="691"/>
      <c r="CE350" s="691"/>
      <c r="CF350" s="692"/>
      <c r="CG350" s="692"/>
      <c r="CH350" s="692"/>
      <c r="CI350" s="674"/>
      <c r="CJ350" s="674"/>
      <c r="CK350" s="689"/>
      <c r="CL350" s="689"/>
      <c r="CM350" s="667"/>
      <c r="CN350" s="667"/>
      <c r="CO350" s="691"/>
      <c r="CP350" s="691"/>
      <c r="CQ350" s="691"/>
      <c r="CR350" s="691"/>
      <c r="CS350" s="691"/>
      <c r="CT350" s="691"/>
      <c r="CU350" s="692"/>
      <c r="CV350" s="1045"/>
      <c r="CW350" s="1046"/>
      <c r="CX350" s="1046"/>
      <c r="CY350" s="1046"/>
      <c r="CZ350" s="1046"/>
      <c r="DA350" s="690"/>
      <c r="DB350" s="1044"/>
      <c r="DC350" s="691"/>
      <c r="DD350" s="691"/>
      <c r="DE350" s="691"/>
      <c r="DF350" s="692"/>
      <c r="DG350" s="692"/>
      <c r="DH350" s="692"/>
      <c r="DI350" s="674"/>
      <c r="DJ350" s="674"/>
      <c r="DK350" s="689"/>
      <c r="DL350" s="689"/>
      <c r="DM350" s="667"/>
      <c r="DN350" s="667"/>
      <c r="DO350" s="691"/>
      <c r="DP350" s="691"/>
      <c r="DQ350" s="691"/>
      <c r="DR350" s="691"/>
      <c r="DS350" s="691"/>
      <c r="DT350" s="691"/>
      <c r="DU350" s="692"/>
      <c r="DV350" s="1045"/>
      <c r="DW350" s="1046"/>
      <c r="DX350" s="1046"/>
      <c r="DY350" s="1046"/>
      <c r="DZ350" s="1046"/>
      <c r="EA350" s="1044"/>
      <c r="EB350" s="1044"/>
      <c r="EC350" s="1044"/>
      <c r="ED350" s="1044"/>
      <c r="EE350" s="1044"/>
      <c r="EF350" s="1044"/>
      <c r="EG350" s="1044"/>
      <c r="EH350" s="1044"/>
      <c r="EI350" s="1044"/>
      <c r="EJ350" s="1044"/>
      <c r="EK350" s="1044"/>
      <c r="EL350" s="1044"/>
      <c r="EM350" s="1044"/>
      <c r="EN350" s="1044"/>
      <c r="EO350" s="1044"/>
      <c r="EP350" s="1044"/>
      <c r="EQ350" s="1044"/>
      <c r="ER350" s="1044"/>
      <c r="ES350" s="1044"/>
      <c r="ET350" s="1044"/>
      <c r="EU350" s="1044"/>
      <c r="EV350" s="1044"/>
      <c r="EW350" s="1044"/>
      <c r="EX350" s="1044"/>
      <c r="EY350" s="1044"/>
      <c r="EZ350" s="1044"/>
      <c r="FA350" s="1044"/>
      <c r="FB350" s="1044"/>
      <c r="FC350" s="1044"/>
      <c r="FD350" s="1044"/>
      <c r="FE350" s="1044"/>
      <c r="FF350" s="1044"/>
    </row>
    <row r="351" spans="12:201" s="539" customFormat="1" ht="15" hidden="1" customHeight="1">
      <c r="L351" s="1166" t="s">
        <v>3081</v>
      </c>
      <c r="M351" s="1047"/>
      <c r="N351" s="1047"/>
      <c r="O351" s="1047"/>
      <c r="P351" s="1047"/>
      <c r="U351" s="1912"/>
      <c r="V351" s="1912"/>
      <c r="W351" s="1912"/>
      <c r="X351" s="1047"/>
      <c r="Y351" s="1047"/>
      <c r="Z351" s="1047"/>
      <c r="AA351" s="1115"/>
      <c r="AB351" s="3268"/>
      <c r="AC351" s="3268"/>
      <c r="AD351" s="3268"/>
      <c r="AE351" s="691"/>
      <c r="AF351" s="692"/>
      <c r="AG351" s="692"/>
      <c r="AH351" s="692"/>
      <c r="AI351" s="674"/>
      <c r="AJ351" s="674"/>
      <c r="AK351" s="689"/>
      <c r="AL351" s="689"/>
      <c r="AM351" s="667"/>
      <c r="AN351" s="667"/>
      <c r="AO351" s="691"/>
      <c r="AP351" s="691"/>
      <c r="AQ351" s="691"/>
      <c r="AR351" s="691"/>
      <c r="AS351" s="691"/>
      <c r="AT351" s="691"/>
      <c r="AU351" s="692"/>
      <c r="AV351" s="1045"/>
      <c r="AW351" s="1046"/>
      <c r="AX351" s="1046"/>
      <c r="AY351" s="1046"/>
      <c r="AZ351" s="1046"/>
      <c r="BA351" s="689"/>
      <c r="BB351" s="1044"/>
      <c r="BC351" s="691"/>
      <c r="BD351" s="691"/>
      <c r="BE351" s="691"/>
      <c r="BF351" s="692"/>
      <c r="BG351" s="692"/>
      <c r="BH351" s="692"/>
      <c r="BI351" s="674"/>
      <c r="BJ351" s="674"/>
      <c r="BK351" s="689"/>
      <c r="BL351" s="689"/>
      <c r="BM351" s="667"/>
      <c r="BN351" s="667"/>
      <c r="BO351" s="691"/>
      <c r="BP351" s="691"/>
      <c r="BQ351" s="691"/>
      <c r="BR351" s="691"/>
      <c r="BS351" s="691"/>
      <c r="BT351" s="691"/>
      <c r="BU351" s="692"/>
      <c r="BV351" s="1045"/>
      <c r="BW351" s="1046"/>
      <c r="BX351" s="1046"/>
      <c r="BY351" s="1046"/>
      <c r="BZ351" s="1046"/>
      <c r="CA351" s="690"/>
      <c r="CB351" s="1044"/>
      <c r="CC351" s="691"/>
      <c r="CD351" s="691"/>
      <c r="CE351" s="691"/>
      <c r="CF351" s="692"/>
      <c r="CG351" s="692"/>
      <c r="CH351" s="692"/>
      <c r="CI351" s="674"/>
      <c r="CJ351" s="674"/>
      <c r="CK351" s="689"/>
      <c r="CL351" s="689"/>
      <c r="CM351" s="667"/>
      <c r="CN351" s="667"/>
      <c r="CO351" s="691"/>
      <c r="CP351" s="691"/>
      <c r="CQ351" s="691"/>
      <c r="CR351" s="691"/>
      <c r="CS351" s="691"/>
      <c r="CT351" s="691"/>
      <c r="CU351" s="692"/>
      <c r="CV351" s="1045"/>
      <c r="CW351" s="1046"/>
      <c r="CX351" s="1046"/>
      <c r="CY351" s="1046"/>
      <c r="CZ351" s="1046"/>
      <c r="DA351" s="690"/>
      <c r="DB351" s="1044"/>
      <c r="DC351" s="691"/>
      <c r="DD351" s="691"/>
      <c r="DE351" s="691"/>
      <c r="DF351" s="692"/>
      <c r="DG351" s="692"/>
      <c r="DH351" s="692"/>
      <c r="DI351" s="674"/>
      <c r="DJ351" s="674"/>
      <c r="DK351" s="689"/>
      <c r="DL351" s="689"/>
      <c r="DM351" s="667"/>
      <c r="DN351" s="667"/>
      <c r="DO351" s="691"/>
      <c r="DP351" s="691"/>
      <c r="DQ351" s="691"/>
      <c r="DR351" s="691"/>
      <c r="DS351" s="691"/>
      <c r="DT351" s="691"/>
      <c r="DU351" s="692"/>
      <c r="DV351" s="1045"/>
      <c r="DW351" s="1046"/>
      <c r="DX351" s="1046"/>
      <c r="DY351" s="1046"/>
      <c r="DZ351" s="1046"/>
      <c r="EA351" s="1044"/>
      <c r="EB351" s="1044"/>
      <c r="EC351" s="1044"/>
      <c r="ED351" s="1044"/>
      <c r="EE351" s="1044"/>
      <c r="EF351" s="1044"/>
      <c r="EG351" s="1044"/>
      <c r="EH351" s="1044"/>
      <c r="EI351" s="1044"/>
      <c r="EJ351" s="1044"/>
      <c r="EK351" s="1044"/>
      <c r="EL351" s="1044"/>
      <c r="EM351" s="1044"/>
      <c r="EN351" s="1044"/>
      <c r="EO351" s="1044"/>
      <c r="EP351" s="1044"/>
      <c r="EQ351" s="1044"/>
      <c r="ER351" s="1044"/>
      <c r="ES351" s="1044"/>
      <c r="ET351" s="1044"/>
      <c r="EU351" s="1044"/>
      <c r="EV351" s="1044"/>
      <c r="EW351" s="1044"/>
      <c r="EX351" s="1044"/>
      <c r="EY351" s="1044"/>
      <c r="EZ351" s="1044"/>
      <c r="FA351" s="1044"/>
      <c r="FB351" s="1044"/>
      <c r="FC351" s="1044"/>
      <c r="FD351" s="1044"/>
      <c r="FE351" s="1044"/>
      <c r="FF351" s="1044"/>
    </row>
    <row r="352" spans="12:201" s="539" customFormat="1" ht="15" hidden="1" customHeight="1">
      <c r="L352" s="1166" t="s">
        <v>3082</v>
      </c>
      <c r="M352" s="1047"/>
      <c r="N352" s="1047"/>
      <c r="O352" s="1047"/>
      <c r="P352" s="1047"/>
      <c r="Q352" s="1047"/>
      <c r="R352" s="1047"/>
      <c r="S352" s="1047"/>
      <c r="T352" s="1047"/>
      <c r="U352" s="1047"/>
      <c r="V352" s="1047"/>
      <c r="W352" s="1047"/>
      <c r="X352" s="1047"/>
      <c r="Y352" s="1047"/>
      <c r="Z352" s="1047"/>
      <c r="AA352" s="1047"/>
      <c r="AB352" s="1750"/>
      <c r="AC352" s="1049"/>
      <c r="AD352" s="1049"/>
      <c r="AE352" s="691"/>
      <c r="AF352" s="692"/>
      <c r="AG352" s="692"/>
      <c r="AH352" s="692"/>
      <c r="AI352" s="674"/>
      <c r="AJ352" s="674"/>
      <c r="AK352" s="689"/>
      <c r="AL352" s="689"/>
      <c r="AM352" s="667"/>
      <c r="AN352" s="667"/>
      <c r="AO352" s="691"/>
      <c r="AP352" s="691"/>
      <c r="AQ352" s="691"/>
      <c r="AR352" s="691"/>
      <c r="AS352" s="691"/>
      <c r="AT352" s="691"/>
      <c r="AU352" s="692"/>
      <c r="AV352" s="1045"/>
      <c r="AW352" s="1046"/>
      <c r="AX352" s="1046"/>
      <c r="AY352" s="1046"/>
      <c r="AZ352" s="1046"/>
      <c r="BA352" s="689"/>
      <c r="BB352" s="1044"/>
      <c r="BC352" s="691"/>
      <c r="BD352" s="691"/>
      <c r="BE352" s="691"/>
      <c r="BF352" s="692"/>
      <c r="BG352" s="692"/>
      <c r="BH352" s="692"/>
      <c r="BI352" s="674"/>
      <c r="BJ352" s="674"/>
      <c r="BK352" s="689"/>
      <c r="BL352" s="689"/>
      <c r="BM352" s="667"/>
      <c r="BN352" s="667"/>
      <c r="BO352" s="691"/>
      <c r="BP352" s="691"/>
      <c r="BQ352" s="691"/>
      <c r="BR352" s="691"/>
      <c r="BS352" s="691"/>
      <c r="BT352" s="691"/>
      <c r="BU352" s="692"/>
      <c r="BV352" s="1045"/>
      <c r="BW352" s="1046"/>
      <c r="BX352" s="1046"/>
      <c r="BY352" s="1046"/>
      <c r="BZ352" s="1046"/>
      <c r="CA352" s="690"/>
      <c r="CB352" s="1044"/>
      <c r="CC352" s="691"/>
      <c r="CD352" s="691"/>
      <c r="CE352" s="691"/>
      <c r="CF352" s="692"/>
      <c r="CG352" s="692"/>
      <c r="CH352" s="692"/>
      <c r="CI352" s="674"/>
      <c r="CJ352" s="674"/>
      <c r="CK352" s="689"/>
      <c r="CL352" s="689"/>
      <c r="CM352" s="667"/>
      <c r="CN352" s="667"/>
      <c r="CO352" s="691"/>
      <c r="CP352" s="691"/>
      <c r="CQ352" s="691"/>
      <c r="CR352" s="691"/>
      <c r="CS352" s="691"/>
      <c r="CT352" s="691"/>
      <c r="CU352" s="692"/>
      <c r="CV352" s="1045"/>
      <c r="CW352" s="1046"/>
      <c r="CX352" s="1046"/>
      <c r="CY352" s="1046"/>
      <c r="CZ352" s="1046"/>
      <c r="DA352" s="690"/>
      <c r="DB352" s="1044"/>
      <c r="DC352" s="691"/>
      <c r="DD352" s="691"/>
      <c r="DE352" s="691"/>
      <c r="DF352" s="692"/>
      <c r="DG352" s="692"/>
      <c r="DH352" s="692"/>
      <c r="DI352" s="674"/>
      <c r="DJ352" s="674"/>
      <c r="DK352" s="689"/>
      <c r="DL352" s="689"/>
      <c r="DM352" s="667"/>
      <c r="DN352" s="667"/>
      <c r="DO352" s="691"/>
      <c r="DP352" s="691"/>
      <c r="DQ352" s="691"/>
      <c r="DR352" s="691"/>
      <c r="DS352" s="691"/>
      <c r="DT352" s="691"/>
      <c r="DU352" s="692"/>
      <c r="DV352" s="1045"/>
      <c r="DW352" s="1046"/>
      <c r="DX352" s="1046"/>
      <c r="DY352" s="1046"/>
      <c r="DZ352" s="1046"/>
    </row>
    <row r="353" spans="12:130" s="539" customFormat="1" ht="15" hidden="1" customHeight="1">
      <c r="L353" s="1166" t="s">
        <v>3083</v>
      </c>
      <c r="M353" s="1047"/>
      <c r="N353" s="1047"/>
      <c r="O353" s="1047"/>
      <c r="P353" s="1047"/>
      <c r="Q353" s="1047"/>
      <c r="R353" s="1047"/>
      <c r="S353" s="1047"/>
      <c r="T353" s="1047"/>
      <c r="U353" s="1047"/>
      <c r="V353" s="1047"/>
      <c r="W353" s="1047"/>
      <c r="X353" s="1047"/>
      <c r="Y353" s="1047"/>
      <c r="Z353" s="1047"/>
      <c r="AA353" s="1047"/>
      <c r="AB353" s="1750"/>
      <c r="AC353" s="1049"/>
      <c r="AD353" s="1049"/>
      <c r="AE353" s="691"/>
      <c r="AF353" s="692"/>
      <c r="AG353" s="692"/>
      <c r="AH353" s="692"/>
      <c r="AI353" s="674"/>
      <c r="AJ353" s="674"/>
      <c r="AK353" s="689"/>
      <c r="AL353" s="689"/>
      <c r="AM353" s="667"/>
      <c r="AN353" s="667"/>
      <c r="AO353" s="691"/>
      <c r="AP353" s="691"/>
      <c r="AQ353" s="691"/>
      <c r="AR353" s="691"/>
      <c r="AS353" s="691"/>
      <c r="AT353" s="691"/>
      <c r="AU353" s="692"/>
      <c r="AV353" s="1045"/>
      <c r="AW353" s="1046"/>
      <c r="AX353" s="1046"/>
      <c r="AY353" s="1046"/>
      <c r="AZ353" s="1046"/>
      <c r="BA353" s="689"/>
      <c r="BB353" s="1044"/>
      <c r="BC353" s="691"/>
      <c r="BD353" s="691"/>
      <c r="BE353" s="691"/>
      <c r="BF353" s="692"/>
      <c r="BG353" s="692"/>
      <c r="BH353" s="692"/>
      <c r="BI353" s="674"/>
      <c r="BJ353" s="688"/>
      <c r="BK353" s="689"/>
      <c r="BL353" s="689"/>
      <c r="BM353" s="667"/>
      <c r="BN353" s="667"/>
      <c r="BO353" s="691"/>
      <c r="BP353" s="691"/>
      <c r="BQ353" s="691"/>
      <c r="BR353" s="691"/>
      <c r="BS353" s="691"/>
      <c r="BT353" s="691"/>
      <c r="BU353" s="692"/>
      <c r="BV353" s="1045"/>
      <c r="BW353" s="1046"/>
      <c r="BX353" s="1046"/>
      <c r="BY353" s="1046"/>
      <c r="BZ353" s="1046"/>
      <c r="CA353" s="690"/>
      <c r="CB353" s="1044"/>
      <c r="CC353" s="691"/>
      <c r="CD353" s="691"/>
      <c r="CE353" s="691"/>
      <c r="CF353" s="692"/>
      <c r="CG353" s="692"/>
      <c r="CH353" s="692"/>
      <c r="CI353" s="674"/>
      <c r="CJ353" s="674"/>
      <c r="CK353" s="689"/>
      <c r="CL353" s="689"/>
      <c r="CM353" s="667"/>
      <c r="CN353" s="667"/>
      <c r="CO353" s="691"/>
      <c r="CP353" s="691"/>
      <c r="CQ353" s="691"/>
      <c r="CR353" s="691"/>
      <c r="CS353" s="691"/>
      <c r="CT353" s="691"/>
      <c r="CU353" s="692"/>
      <c r="CV353" s="1045"/>
      <c r="CW353" s="1046"/>
      <c r="CX353" s="1046"/>
      <c r="CY353" s="1046"/>
      <c r="CZ353" s="1046"/>
      <c r="DA353" s="690"/>
      <c r="DB353" s="1044"/>
      <c r="DC353" s="691"/>
      <c r="DD353" s="691"/>
      <c r="DE353" s="691"/>
      <c r="DF353" s="692"/>
      <c r="DG353" s="692"/>
      <c r="DH353" s="692"/>
      <c r="DI353" s="674"/>
      <c r="DJ353" s="674"/>
      <c r="DK353" s="689"/>
      <c r="DL353" s="689"/>
      <c r="DM353" s="667"/>
      <c r="DN353" s="667"/>
      <c r="DO353" s="691"/>
      <c r="DP353" s="691"/>
      <c r="DQ353" s="691"/>
      <c r="DR353" s="691"/>
      <c r="DS353" s="691"/>
      <c r="DT353" s="691"/>
      <c r="DU353" s="692"/>
      <c r="DV353" s="1045"/>
      <c r="DW353" s="1046"/>
      <c r="DX353" s="1046"/>
      <c r="DY353" s="1046"/>
      <c r="DZ353" s="1046"/>
    </row>
    <row r="354" spans="12:130" s="539" customFormat="1" ht="15" hidden="1" customHeight="1">
      <c r="L354" s="1168" t="s">
        <v>3084</v>
      </c>
      <c r="M354" s="1047"/>
      <c r="N354" s="1047"/>
      <c r="O354" s="1047"/>
      <c r="P354" s="1047"/>
      <c r="Q354" s="1047"/>
      <c r="R354" s="1047"/>
      <c r="S354" s="1047"/>
      <c r="T354" s="1047"/>
      <c r="U354" s="1047"/>
      <c r="V354" s="1047"/>
      <c r="W354" s="1047"/>
      <c r="X354" s="1047"/>
      <c r="Y354" s="1047"/>
      <c r="Z354" s="1047"/>
      <c r="AA354" s="1047"/>
      <c r="AB354" s="1750"/>
      <c r="AC354" s="1049"/>
      <c r="AD354" s="1049"/>
      <c r="AE354" s="691"/>
      <c r="AF354" s="692"/>
      <c r="AG354" s="692"/>
      <c r="AH354" s="692"/>
      <c r="AI354" s="674"/>
      <c r="AJ354" s="674"/>
      <c r="AK354" s="689"/>
      <c r="AL354" s="689"/>
      <c r="AM354" s="667"/>
      <c r="AN354" s="667"/>
      <c r="AO354" s="691"/>
      <c r="AP354" s="691"/>
      <c r="AQ354" s="691"/>
      <c r="AR354" s="691"/>
      <c r="AS354" s="691"/>
      <c r="AT354" s="691"/>
      <c r="AU354" s="692"/>
      <c r="AV354" s="1045"/>
      <c r="AW354" s="1046"/>
      <c r="AX354" s="1046"/>
      <c r="AY354" s="1046"/>
      <c r="AZ354" s="1046"/>
      <c r="BA354" s="689"/>
      <c r="BB354" s="1044"/>
      <c r="BC354" s="691"/>
      <c r="BD354" s="691"/>
      <c r="BE354" s="691"/>
      <c r="BF354" s="692"/>
      <c r="BG354" s="692"/>
      <c r="BH354" s="692"/>
      <c r="BI354" s="674"/>
      <c r="BJ354" s="674"/>
      <c r="BK354" s="689"/>
      <c r="BL354" s="689"/>
      <c r="BM354" s="667"/>
      <c r="BN354" s="667"/>
      <c r="BO354" s="691"/>
      <c r="BP354" s="691"/>
      <c r="BQ354" s="691"/>
      <c r="BR354" s="691"/>
      <c r="BS354" s="691"/>
      <c r="BT354" s="691"/>
      <c r="BU354" s="692"/>
      <c r="BV354" s="1045"/>
      <c r="BW354" s="1046"/>
      <c r="BX354" s="1046"/>
      <c r="BY354" s="1046"/>
      <c r="BZ354" s="1046"/>
      <c r="CA354" s="690"/>
      <c r="CB354" s="1044"/>
      <c r="CC354" s="691"/>
      <c r="CD354" s="691"/>
      <c r="CE354" s="691"/>
      <c r="CF354" s="692"/>
      <c r="CG354" s="692"/>
      <c r="CH354" s="692"/>
      <c r="CI354" s="674"/>
      <c r="CJ354" s="674"/>
      <c r="CK354" s="689"/>
      <c r="CL354" s="689"/>
      <c r="CM354" s="667"/>
      <c r="CN354" s="667"/>
      <c r="CO354" s="691"/>
      <c r="CP354" s="691"/>
      <c r="CQ354" s="691"/>
      <c r="CR354" s="691"/>
      <c r="CS354" s="691"/>
      <c r="CT354" s="691"/>
      <c r="CU354" s="692"/>
      <c r="CV354" s="1045"/>
      <c r="CW354" s="1046"/>
      <c r="CX354" s="1046"/>
      <c r="CY354" s="1046"/>
      <c r="CZ354" s="1046"/>
      <c r="DA354" s="690"/>
      <c r="DB354" s="1044"/>
      <c r="DC354" s="691"/>
      <c r="DD354" s="691"/>
      <c r="DE354" s="691"/>
      <c r="DF354" s="692"/>
      <c r="DG354" s="692"/>
      <c r="DH354" s="692"/>
      <c r="DI354" s="674"/>
      <c r="DJ354" s="674"/>
      <c r="DK354" s="689"/>
      <c r="DL354" s="689"/>
      <c r="DM354" s="667"/>
      <c r="DN354" s="667"/>
      <c r="DO354" s="691"/>
      <c r="DP354" s="691"/>
      <c r="DQ354" s="691"/>
      <c r="DR354" s="691"/>
      <c r="DS354" s="691"/>
      <c r="DT354" s="691"/>
      <c r="DU354" s="692"/>
      <c r="DV354" s="1045"/>
      <c r="DW354" s="1046"/>
      <c r="DX354" s="1046"/>
      <c r="DY354" s="1046"/>
      <c r="DZ354" s="1046"/>
    </row>
    <row r="355" spans="12:130" s="539" customFormat="1" ht="15" hidden="1" customHeight="1">
      <c r="L355" s="1168" t="s">
        <v>3085</v>
      </c>
      <c r="M355" s="1047"/>
      <c r="N355" s="1047"/>
      <c r="O355" s="1047"/>
      <c r="P355" s="1047"/>
      <c r="Q355" s="1047"/>
      <c r="R355" s="1047"/>
      <c r="S355" s="1047"/>
      <c r="T355" s="1047"/>
      <c r="U355" s="1047"/>
      <c r="V355" s="1047"/>
      <c r="W355" s="1047"/>
      <c r="X355" s="1047"/>
      <c r="Y355" s="1047"/>
      <c r="Z355" s="1047"/>
      <c r="AA355" s="1047"/>
      <c r="AB355" s="1750"/>
      <c r="AC355" s="1049"/>
      <c r="AD355" s="1049"/>
      <c r="AE355" s="691"/>
      <c r="AF355" s="692"/>
      <c r="AG355" s="692"/>
      <c r="AH355" s="692"/>
      <c r="AI355" s="674"/>
      <c r="AJ355" s="674"/>
      <c r="AK355" s="689"/>
      <c r="AL355" s="689"/>
      <c r="AM355" s="667"/>
      <c r="AN355" s="667"/>
      <c r="AO355" s="691"/>
      <c r="AP355" s="691"/>
      <c r="AQ355" s="691"/>
      <c r="AR355" s="691"/>
      <c r="AS355" s="691"/>
      <c r="AT355" s="691"/>
      <c r="AU355" s="692"/>
      <c r="AV355" s="1045"/>
      <c r="AW355" s="1046"/>
      <c r="AX355" s="1046"/>
      <c r="AY355" s="1046"/>
      <c r="AZ355" s="1046"/>
      <c r="BA355" s="689"/>
      <c r="BB355" s="1044"/>
      <c r="BC355" s="691"/>
      <c r="BD355" s="691"/>
      <c r="BE355" s="691"/>
      <c r="BF355" s="692"/>
      <c r="BG355" s="692"/>
      <c r="BH355" s="692"/>
      <c r="BI355" s="674"/>
      <c r="BJ355" s="674"/>
      <c r="BK355" s="689"/>
      <c r="BL355" s="689"/>
      <c r="BM355" s="667"/>
      <c r="BN355" s="667"/>
      <c r="BO355" s="691"/>
      <c r="BP355" s="691"/>
      <c r="BQ355" s="691"/>
      <c r="BR355" s="691"/>
      <c r="BS355" s="691"/>
      <c r="BT355" s="691"/>
      <c r="BU355" s="692"/>
      <c r="BV355" s="1045"/>
      <c r="BW355" s="1046"/>
      <c r="BX355" s="1046"/>
      <c r="BY355" s="1046"/>
      <c r="BZ355" s="1046"/>
      <c r="CA355" s="690"/>
      <c r="CB355" s="1044"/>
      <c r="CC355" s="691"/>
      <c r="CD355" s="691"/>
      <c r="CE355" s="691"/>
      <c r="CF355" s="692"/>
      <c r="CG355" s="692"/>
      <c r="CH355" s="692"/>
      <c r="CI355" s="674"/>
      <c r="CJ355" s="674"/>
      <c r="CK355" s="689"/>
      <c r="CL355" s="689"/>
      <c r="CM355" s="667"/>
      <c r="CN355" s="667"/>
      <c r="CO355" s="691"/>
      <c r="CP355" s="691"/>
      <c r="CQ355" s="691"/>
      <c r="CR355" s="691"/>
      <c r="CS355" s="691"/>
      <c r="CT355" s="691"/>
      <c r="CU355" s="692"/>
      <c r="CV355" s="1045"/>
      <c r="CW355" s="1046"/>
      <c r="CX355" s="1046"/>
      <c r="CY355" s="1046"/>
      <c r="CZ355" s="1046"/>
      <c r="DA355" s="690"/>
      <c r="DB355" s="1044"/>
      <c r="DC355" s="691"/>
      <c r="DD355" s="691"/>
      <c r="DE355" s="691"/>
      <c r="DF355" s="692"/>
      <c r="DG355" s="692"/>
      <c r="DH355" s="692"/>
      <c r="DI355" s="674"/>
      <c r="DJ355" s="674"/>
      <c r="DK355" s="689"/>
      <c r="DL355" s="689"/>
      <c r="DM355" s="667"/>
      <c r="DN355" s="667"/>
      <c r="DO355" s="691"/>
      <c r="DP355" s="691"/>
      <c r="DQ355" s="691"/>
      <c r="DR355" s="691"/>
      <c r="DS355" s="691"/>
      <c r="DT355" s="691"/>
      <c r="DU355" s="692"/>
      <c r="DV355" s="1045"/>
      <c r="DW355" s="1046"/>
      <c r="DX355" s="1046"/>
      <c r="DY355" s="1046"/>
      <c r="DZ355" s="1046"/>
    </row>
    <row r="356" spans="12:130" s="539" customFormat="1" ht="15" hidden="1" customHeight="1">
      <c r="L356" s="1168" t="s">
        <v>3086</v>
      </c>
      <c r="M356" s="1047"/>
      <c r="N356" s="1047"/>
      <c r="O356" s="1047"/>
      <c r="P356" s="1047"/>
      <c r="Q356" s="1047"/>
      <c r="R356" s="1047"/>
      <c r="S356" s="1047"/>
      <c r="T356" s="1047"/>
      <c r="U356" s="1047"/>
      <c r="V356" s="1047"/>
      <c r="W356" s="1047"/>
      <c r="X356" s="1047"/>
      <c r="Y356" s="1047"/>
      <c r="Z356" s="1047"/>
      <c r="AA356" s="1047"/>
      <c r="AB356" s="1750"/>
      <c r="AC356" s="1049"/>
      <c r="AD356" s="1049"/>
      <c r="AE356" s="691"/>
      <c r="AF356" s="692"/>
      <c r="AG356" s="692"/>
      <c r="AH356" s="692"/>
      <c r="AI356" s="674"/>
      <c r="AJ356" s="674"/>
      <c r="AK356" s="689"/>
      <c r="AL356" s="689"/>
      <c r="AM356" s="667"/>
      <c r="AN356" s="667"/>
      <c r="AO356" s="691"/>
      <c r="AP356" s="691"/>
      <c r="AQ356" s="691"/>
      <c r="AR356" s="691"/>
      <c r="AS356" s="691"/>
      <c r="AT356" s="691"/>
      <c r="AU356" s="692"/>
      <c r="AV356" s="1045"/>
      <c r="AW356" s="1046"/>
      <c r="AX356" s="1046"/>
      <c r="AY356" s="1046"/>
      <c r="AZ356" s="1046"/>
      <c r="BA356" s="689"/>
      <c r="BB356" s="1044"/>
      <c r="BC356" s="691"/>
      <c r="BD356" s="691"/>
      <c r="BE356" s="691"/>
      <c r="BF356" s="692"/>
      <c r="BG356" s="692"/>
      <c r="BH356" s="692"/>
      <c r="BI356" s="674"/>
      <c r="BJ356" s="674"/>
      <c r="BK356" s="689"/>
      <c r="BL356" s="689"/>
      <c r="BM356" s="667"/>
      <c r="BN356" s="667"/>
      <c r="BO356" s="691"/>
      <c r="BP356" s="691"/>
      <c r="BQ356" s="691"/>
      <c r="BR356" s="691"/>
      <c r="BS356" s="691"/>
      <c r="BT356" s="691"/>
      <c r="BU356" s="692"/>
      <c r="BV356" s="1045"/>
      <c r="BW356" s="1046"/>
      <c r="BX356" s="1046"/>
      <c r="BY356" s="1046"/>
      <c r="BZ356" s="1046"/>
      <c r="CA356" s="690"/>
      <c r="CB356" s="1044"/>
      <c r="CC356" s="691"/>
      <c r="CD356" s="691"/>
      <c r="CE356" s="691"/>
      <c r="CF356" s="692"/>
      <c r="CG356" s="692"/>
      <c r="CH356" s="692"/>
      <c r="CI356" s="674"/>
      <c r="CJ356" s="674"/>
      <c r="CK356" s="689"/>
      <c r="CL356" s="689"/>
      <c r="CM356" s="667"/>
      <c r="CN356" s="667"/>
      <c r="CO356" s="691"/>
      <c r="CP356" s="691"/>
      <c r="CQ356" s="691"/>
      <c r="CR356" s="691"/>
      <c r="CS356" s="691"/>
      <c r="CT356" s="691"/>
      <c r="CU356" s="692"/>
      <c r="CV356" s="1045"/>
      <c r="CW356" s="1046"/>
      <c r="CX356" s="1046"/>
      <c r="CY356" s="1046"/>
      <c r="CZ356" s="1046"/>
      <c r="DA356" s="690"/>
      <c r="DB356" s="1044"/>
      <c r="DC356" s="691"/>
      <c r="DD356" s="691"/>
      <c r="DE356" s="691"/>
      <c r="DF356" s="692"/>
      <c r="DG356" s="692"/>
      <c r="DH356" s="692"/>
      <c r="DI356" s="674"/>
      <c r="DJ356" s="674"/>
      <c r="DK356" s="689"/>
      <c r="DL356" s="689"/>
      <c r="DM356" s="667"/>
      <c r="DN356" s="667"/>
      <c r="DO356" s="691"/>
      <c r="DP356" s="691"/>
      <c r="DQ356" s="691"/>
      <c r="DR356" s="691"/>
      <c r="DS356" s="691"/>
      <c r="DT356" s="691"/>
      <c r="DU356" s="692"/>
      <c r="DV356" s="1045"/>
      <c r="DW356" s="1046"/>
      <c r="DX356" s="1046"/>
      <c r="DY356" s="1046"/>
      <c r="DZ356" s="1046"/>
    </row>
    <row r="357" spans="12:130" s="539" customFormat="1" ht="15" hidden="1" customHeight="1">
      <c r="L357" s="1168" t="s">
        <v>3087</v>
      </c>
      <c r="M357" s="1047"/>
      <c r="N357" s="1047"/>
      <c r="O357" s="1047"/>
      <c r="P357" s="1047"/>
      <c r="Q357" s="1047"/>
      <c r="R357" s="1047"/>
      <c r="S357" s="1047"/>
      <c r="T357" s="1047"/>
      <c r="U357" s="1047"/>
      <c r="V357" s="1047"/>
      <c r="W357" s="1047"/>
      <c r="X357" s="1047"/>
      <c r="Y357" s="1047"/>
      <c r="Z357" s="1047"/>
      <c r="AA357" s="1047"/>
      <c r="AB357" s="1750"/>
      <c r="AC357" s="1049"/>
      <c r="AD357" s="1049"/>
      <c r="AE357" s="691"/>
      <c r="AF357" s="692"/>
      <c r="AG357" s="692"/>
      <c r="AH357" s="692"/>
      <c r="AI357" s="674"/>
      <c r="AJ357" s="674"/>
      <c r="AK357" s="689"/>
      <c r="AL357" s="689"/>
      <c r="AM357" s="667"/>
      <c r="AN357" s="667"/>
      <c r="AO357" s="691"/>
      <c r="AP357" s="691"/>
      <c r="AQ357" s="691"/>
      <c r="AR357" s="691"/>
      <c r="AS357" s="691"/>
      <c r="AT357" s="691"/>
      <c r="AU357" s="692"/>
      <c r="AV357" s="1045"/>
      <c r="AW357" s="1046"/>
      <c r="AX357" s="1046"/>
      <c r="AY357" s="1046"/>
      <c r="AZ357" s="1046"/>
      <c r="BA357" s="689"/>
      <c r="BB357" s="1044"/>
      <c r="BC357" s="691"/>
      <c r="BD357" s="691"/>
      <c r="BE357" s="691"/>
      <c r="BF357" s="692"/>
      <c r="BG357" s="692"/>
      <c r="BH357" s="692"/>
      <c r="BI357" s="674"/>
      <c r="BJ357" s="674"/>
      <c r="BK357" s="689"/>
      <c r="BL357" s="689"/>
      <c r="BM357" s="667"/>
      <c r="BN357" s="667"/>
      <c r="BO357" s="691"/>
      <c r="BP357" s="691"/>
      <c r="BQ357" s="691"/>
      <c r="BR357" s="691"/>
      <c r="BS357" s="691"/>
      <c r="BT357" s="691"/>
      <c r="BU357" s="692"/>
      <c r="BV357" s="1045"/>
      <c r="BW357" s="1046"/>
      <c r="BX357" s="1046"/>
      <c r="BY357" s="1046"/>
      <c r="BZ357" s="1046"/>
      <c r="CA357" s="690"/>
      <c r="CB357" s="1044"/>
      <c r="CC357" s="691"/>
      <c r="CD357" s="691"/>
      <c r="CE357" s="691"/>
      <c r="CF357" s="692"/>
      <c r="CG357" s="692"/>
      <c r="CH357" s="692"/>
      <c r="CI357" s="674"/>
      <c r="CJ357" s="674"/>
      <c r="CK357" s="689"/>
      <c r="CL357" s="689"/>
      <c r="CM357" s="667"/>
      <c r="CN357" s="667"/>
      <c r="CO357" s="691"/>
      <c r="CP357" s="691"/>
      <c r="CQ357" s="691"/>
      <c r="CR357" s="691"/>
      <c r="CS357" s="691"/>
      <c r="CT357" s="691"/>
      <c r="CU357" s="692"/>
      <c r="CV357" s="1045"/>
      <c r="CW357" s="1046"/>
      <c r="CX357" s="1046"/>
      <c r="CY357" s="1046"/>
      <c r="CZ357" s="1046"/>
      <c r="DA357" s="690"/>
      <c r="DB357" s="1044"/>
      <c r="DC357" s="691"/>
      <c r="DD357" s="691"/>
      <c r="DE357" s="691"/>
      <c r="DF357" s="692"/>
      <c r="DG357" s="692"/>
      <c r="DH357" s="692"/>
      <c r="DI357" s="674"/>
      <c r="DJ357" s="674"/>
      <c r="DK357" s="689"/>
      <c r="DL357" s="689"/>
      <c r="DM357" s="667"/>
      <c r="DN357" s="667"/>
      <c r="DO357" s="691"/>
      <c r="DP357" s="691"/>
      <c r="DQ357" s="691"/>
      <c r="DR357" s="691"/>
      <c r="DS357" s="691"/>
      <c r="DT357" s="691"/>
      <c r="DU357" s="692"/>
      <c r="DV357" s="1045"/>
      <c r="DW357" s="1046"/>
      <c r="DX357" s="1046"/>
      <c r="DY357" s="1046"/>
      <c r="DZ357" s="1046"/>
    </row>
    <row r="358" spans="12:130" s="539" customFormat="1" ht="15" hidden="1" customHeight="1">
      <c r="L358" s="1168" t="s">
        <v>3088</v>
      </c>
      <c r="M358" s="1047"/>
      <c r="N358" s="1047"/>
      <c r="O358" s="1047"/>
      <c r="P358" s="1047"/>
      <c r="Q358" s="1047"/>
      <c r="R358" s="1047"/>
      <c r="S358" s="1047"/>
      <c r="T358" s="1047"/>
      <c r="U358" s="1047"/>
      <c r="V358" s="1047"/>
      <c r="W358" s="1047"/>
      <c r="X358" s="1047"/>
      <c r="Y358" s="1047"/>
      <c r="Z358" s="1047"/>
      <c r="AA358" s="1047"/>
      <c r="AB358" s="1750"/>
      <c r="AC358" s="1049"/>
      <c r="AD358" s="1049"/>
      <c r="AE358" s="691"/>
      <c r="AF358" s="692"/>
      <c r="AG358" s="692"/>
      <c r="AH358" s="692"/>
      <c r="AI358" s="674"/>
      <c r="AJ358" s="674"/>
      <c r="AK358" s="689"/>
      <c r="AL358" s="689"/>
      <c r="AM358" s="667"/>
      <c r="AN358" s="667"/>
      <c r="AO358" s="691"/>
      <c r="AP358" s="691"/>
      <c r="AQ358" s="691"/>
      <c r="AR358" s="691"/>
      <c r="AS358" s="691"/>
      <c r="AT358" s="691"/>
      <c r="AU358" s="692"/>
      <c r="AV358" s="1045"/>
      <c r="AW358" s="1046"/>
      <c r="AX358" s="1046"/>
      <c r="AY358" s="1046"/>
      <c r="AZ358" s="1046"/>
      <c r="BA358" s="689"/>
      <c r="BB358" s="1044"/>
      <c r="BC358" s="691"/>
      <c r="BD358" s="691"/>
      <c r="BE358" s="691"/>
      <c r="BF358" s="692"/>
      <c r="BG358" s="692"/>
      <c r="BH358" s="692"/>
      <c r="BI358" s="674"/>
      <c r="BJ358" s="674"/>
      <c r="BK358" s="689"/>
      <c r="BL358" s="689"/>
      <c r="BM358" s="667"/>
      <c r="BN358" s="667"/>
      <c r="BO358" s="691"/>
      <c r="BP358" s="691"/>
      <c r="BQ358" s="691"/>
      <c r="BR358" s="691"/>
      <c r="BS358" s="691"/>
      <c r="BT358" s="691"/>
      <c r="BU358" s="692"/>
      <c r="BV358" s="1045"/>
      <c r="BW358" s="1046"/>
      <c r="BX358" s="1046"/>
      <c r="BY358" s="1046"/>
      <c r="BZ358" s="1046"/>
      <c r="CA358" s="690"/>
      <c r="CB358" s="1044"/>
      <c r="CC358" s="691"/>
      <c r="CD358" s="691"/>
      <c r="CE358" s="691"/>
      <c r="CF358" s="692"/>
      <c r="CG358" s="692"/>
      <c r="CH358" s="692"/>
      <c r="CI358" s="674"/>
      <c r="CJ358" s="674"/>
      <c r="CK358" s="689"/>
      <c r="CL358" s="689"/>
      <c r="CM358" s="667"/>
      <c r="CN358" s="667"/>
      <c r="CO358" s="691"/>
      <c r="CP358" s="691"/>
      <c r="CQ358" s="691"/>
      <c r="CR358" s="691"/>
      <c r="CS358" s="691"/>
      <c r="CT358" s="691"/>
      <c r="CU358" s="692"/>
      <c r="CV358" s="1045"/>
      <c r="CW358" s="1046"/>
      <c r="CX358" s="1046"/>
      <c r="CY358" s="1046"/>
      <c r="CZ358" s="1046"/>
      <c r="DA358" s="690"/>
      <c r="DB358" s="1044"/>
      <c r="DC358" s="691"/>
      <c r="DD358" s="691"/>
      <c r="DE358" s="691"/>
      <c r="DF358" s="692"/>
      <c r="DG358" s="692"/>
      <c r="DH358" s="692"/>
      <c r="DI358" s="674"/>
      <c r="DJ358" s="674"/>
      <c r="DK358" s="689"/>
      <c r="DL358" s="689"/>
      <c r="DM358" s="667"/>
      <c r="DN358" s="667"/>
      <c r="DO358" s="691"/>
      <c r="DP358" s="691"/>
      <c r="DQ358" s="691"/>
      <c r="DR358" s="691"/>
      <c r="DS358" s="691"/>
      <c r="DT358" s="691"/>
      <c r="DU358" s="692"/>
      <c r="DV358" s="1045"/>
      <c r="DW358" s="1046"/>
      <c r="DX358" s="1046"/>
      <c r="DY358" s="1046"/>
      <c r="DZ358" s="1046"/>
    </row>
    <row r="359" spans="12:130" s="539" customFormat="1" ht="15" hidden="1" customHeight="1">
      <c r="L359" s="1168" t="s">
        <v>3089</v>
      </c>
      <c r="M359" s="1047"/>
      <c r="N359" s="1047"/>
      <c r="O359" s="1047"/>
      <c r="P359" s="1047"/>
      <c r="Q359" s="1047"/>
      <c r="R359" s="1047"/>
      <c r="S359" s="1047"/>
      <c r="T359" s="1047"/>
      <c r="U359" s="1047"/>
      <c r="V359" s="1047"/>
      <c r="W359" s="1047"/>
      <c r="X359" s="1047"/>
      <c r="Y359" s="1047"/>
      <c r="Z359" s="1047"/>
      <c r="AA359" s="1047"/>
      <c r="AB359" s="1750"/>
      <c r="AC359" s="1049"/>
      <c r="AD359" s="1049"/>
      <c r="AE359" s="691"/>
      <c r="AF359" s="692"/>
      <c r="AG359" s="692"/>
      <c r="AH359" s="692"/>
      <c r="AI359" s="674"/>
      <c r="AJ359" s="674"/>
      <c r="AK359" s="689"/>
      <c r="AL359" s="689"/>
      <c r="AM359" s="667"/>
      <c r="AN359" s="667"/>
      <c r="AO359" s="691"/>
      <c r="AP359" s="691"/>
      <c r="AQ359" s="691"/>
      <c r="AR359" s="691"/>
      <c r="AS359" s="691"/>
      <c r="AT359" s="691"/>
      <c r="AU359" s="692"/>
      <c r="AV359" s="1045"/>
      <c r="AW359" s="1046"/>
      <c r="AX359" s="1046"/>
      <c r="AY359" s="1046"/>
      <c r="AZ359" s="1046"/>
      <c r="BA359" s="689"/>
      <c r="BB359" s="1044"/>
      <c r="BC359" s="691"/>
      <c r="BD359" s="691"/>
      <c r="BE359" s="691"/>
      <c r="BF359" s="692"/>
      <c r="BG359" s="692"/>
      <c r="BH359" s="692"/>
      <c r="BI359" s="674"/>
      <c r="BJ359" s="674"/>
      <c r="BK359" s="689"/>
      <c r="BL359" s="689"/>
      <c r="BM359" s="667"/>
      <c r="BN359" s="667"/>
      <c r="BO359" s="691"/>
      <c r="BP359" s="691"/>
      <c r="BQ359" s="691"/>
      <c r="BR359" s="691"/>
      <c r="BS359" s="691"/>
      <c r="BT359" s="691"/>
      <c r="BU359" s="692"/>
      <c r="BV359" s="1045"/>
      <c r="BW359" s="1046"/>
      <c r="BX359" s="1046"/>
      <c r="BY359" s="1046"/>
      <c r="BZ359" s="1046"/>
      <c r="CA359" s="690"/>
      <c r="CB359" s="1044"/>
      <c r="CC359" s="691"/>
      <c r="CD359" s="691"/>
      <c r="CE359" s="691"/>
      <c r="CF359" s="692"/>
      <c r="CG359" s="692"/>
      <c r="CH359" s="692"/>
      <c r="CI359" s="674"/>
      <c r="CJ359" s="674"/>
      <c r="CK359" s="689"/>
      <c r="CL359" s="689"/>
      <c r="CM359" s="667"/>
      <c r="CN359" s="667"/>
      <c r="CO359" s="691"/>
      <c r="CP359" s="691"/>
      <c r="CQ359" s="691"/>
      <c r="CR359" s="691"/>
      <c r="CS359" s="691"/>
      <c r="CT359" s="691"/>
      <c r="CU359" s="692"/>
      <c r="CV359" s="1045"/>
      <c r="CW359" s="1046"/>
      <c r="CX359" s="1046"/>
      <c r="CY359" s="1046"/>
      <c r="CZ359" s="1046"/>
      <c r="DA359" s="690"/>
      <c r="DB359" s="1044"/>
      <c r="DC359" s="691"/>
      <c r="DD359" s="691"/>
      <c r="DE359" s="691"/>
      <c r="DF359" s="692"/>
      <c r="DG359" s="692"/>
      <c r="DH359" s="692"/>
      <c r="DI359" s="674"/>
      <c r="DJ359" s="674"/>
      <c r="DK359" s="689"/>
      <c r="DL359" s="689"/>
      <c r="DM359" s="667"/>
      <c r="DN359" s="667"/>
      <c r="DO359" s="691"/>
      <c r="DP359" s="691"/>
      <c r="DQ359" s="691"/>
      <c r="DR359" s="691"/>
      <c r="DS359" s="691"/>
      <c r="DT359" s="691"/>
      <c r="DU359" s="692"/>
      <c r="DV359" s="1045"/>
      <c r="DW359" s="1046"/>
      <c r="DX359" s="1046"/>
      <c r="DY359" s="1046"/>
      <c r="DZ359" s="1046"/>
    </row>
    <row r="360" spans="12:130" s="539" customFormat="1" ht="15" hidden="1" customHeight="1">
      <c r="L360" s="1168" t="s">
        <v>3090</v>
      </c>
      <c r="M360" s="1047"/>
      <c r="N360" s="1047"/>
      <c r="O360" s="1047"/>
      <c r="P360" s="1047"/>
      <c r="Q360" s="1047"/>
      <c r="R360" s="1047"/>
      <c r="S360" s="1047"/>
      <c r="T360" s="1047"/>
      <c r="U360" s="1047"/>
      <c r="V360" s="1047"/>
      <c r="W360" s="1047"/>
      <c r="X360" s="1047"/>
      <c r="Y360" s="1047"/>
      <c r="Z360" s="1047"/>
      <c r="AA360" s="1047"/>
      <c r="AB360" s="1750"/>
      <c r="AC360" s="1049"/>
      <c r="AD360" s="1049"/>
      <c r="AE360" s="691"/>
      <c r="AF360" s="692"/>
      <c r="AG360" s="692"/>
      <c r="AH360" s="692"/>
      <c r="AI360" s="674"/>
      <c r="AJ360" s="674"/>
      <c r="AK360" s="689"/>
      <c r="AL360" s="689"/>
      <c r="AM360" s="667"/>
      <c r="AN360" s="667"/>
      <c r="AO360" s="691"/>
      <c r="AP360" s="691"/>
      <c r="AQ360" s="691"/>
      <c r="AR360" s="691"/>
      <c r="AS360" s="691"/>
      <c r="AT360" s="691"/>
      <c r="AU360" s="692"/>
      <c r="AV360" s="1045"/>
      <c r="AW360" s="1046"/>
      <c r="AX360" s="1046"/>
      <c r="AY360" s="1046"/>
      <c r="AZ360" s="1046"/>
      <c r="BA360" s="689"/>
      <c r="BB360" s="1044"/>
      <c r="BC360" s="691"/>
      <c r="BD360" s="691"/>
      <c r="BE360" s="691"/>
      <c r="BF360" s="692"/>
      <c r="BG360" s="692"/>
      <c r="BH360" s="692"/>
      <c r="BI360" s="674"/>
      <c r="BJ360" s="674"/>
      <c r="BK360" s="689"/>
      <c r="BL360" s="689"/>
      <c r="BM360" s="667"/>
      <c r="BN360" s="667"/>
      <c r="BO360" s="691"/>
      <c r="BP360" s="691"/>
      <c r="BQ360" s="691"/>
      <c r="BR360" s="691"/>
      <c r="BS360" s="691"/>
      <c r="BT360" s="691"/>
      <c r="BU360" s="692"/>
      <c r="BV360" s="1045"/>
      <c r="BW360" s="1046"/>
      <c r="BX360" s="1046"/>
      <c r="BY360" s="1046"/>
      <c r="BZ360" s="1046"/>
      <c r="CA360" s="690"/>
      <c r="CB360" s="1044"/>
      <c r="CC360" s="691"/>
      <c r="CD360" s="691"/>
      <c r="CE360" s="691"/>
      <c r="CF360" s="692"/>
      <c r="CG360" s="692"/>
      <c r="CH360" s="692"/>
      <c r="CI360" s="674"/>
      <c r="CJ360" s="674"/>
      <c r="CK360" s="689"/>
      <c r="CL360" s="689"/>
      <c r="CM360" s="667"/>
      <c r="CN360" s="667"/>
      <c r="CO360" s="691"/>
      <c r="CP360" s="691"/>
      <c r="CQ360" s="691"/>
      <c r="CR360" s="691"/>
      <c r="CS360" s="691"/>
      <c r="CT360" s="691"/>
      <c r="CU360" s="692"/>
      <c r="CV360" s="1045"/>
      <c r="CW360" s="1046"/>
      <c r="CX360" s="1046"/>
      <c r="CY360" s="1046"/>
      <c r="CZ360" s="1046"/>
      <c r="DA360" s="690"/>
      <c r="DB360" s="1044"/>
      <c r="DC360" s="691"/>
      <c r="DD360" s="691"/>
      <c r="DE360" s="691"/>
      <c r="DF360" s="692"/>
      <c r="DG360" s="692"/>
      <c r="DH360" s="692"/>
      <c r="DI360" s="674"/>
      <c r="DJ360" s="674"/>
      <c r="DK360" s="689"/>
      <c r="DL360" s="689"/>
      <c r="DM360" s="667"/>
      <c r="DN360" s="667"/>
      <c r="DO360" s="691"/>
      <c r="DP360" s="691"/>
      <c r="DQ360" s="691"/>
      <c r="DR360" s="691"/>
      <c r="DS360" s="691"/>
      <c r="DT360" s="691"/>
      <c r="DU360" s="692"/>
      <c r="DV360" s="1045"/>
      <c r="DW360" s="1046"/>
      <c r="DX360" s="1046"/>
      <c r="DY360" s="1046"/>
      <c r="DZ360" s="1046"/>
    </row>
    <row r="361" spans="12:130" s="539" customFormat="1" ht="15" hidden="1" customHeight="1">
      <c r="L361" s="1168" t="s">
        <v>3091</v>
      </c>
      <c r="M361" s="1047"/>
      <c r="N361" s="1047"/>
      <c r="O361" s="1047"/>
      <c r="P361" s="1047"/>
      <c r="Q361" s="1047"/>
      <c r="R361" s="1047"/>
      <c r="S361" s="1047"/>
      <c r="T361" s="1047"/>
      <c r="U361" s="1047"/>
      <c r="V361" s="1047"/>
      <c r="W361" s="1047"/>
      <c r="X361" s="1047"/>
      <c r="Y361" s="1047"/>
      <c r="Z361" s="1047"/>
      <c r="AA361" s="1047"/>
      <c r="AB361" s="1750"/>
      <c r="AC361" s="1049"/>
      <c r="AD361" s="1049"/>
      <c r="AE361" s="691"/>
      <c r="AF361" s="692"/>
      <c r="AG361" s="692"/>
      <c r="AH361" s="692"/>
      <c r="AI361" s="674"/>
      <c r="AJ361" s="674"/>
      <c r="AK361" s="689"/>
      <c r="AL361" s="689"/>
      <c r="AM361" s="667"/>
      <c r="AN361" s="667"/>
      <c r="AO361" s="691"/>
      <c r="AP361" s="691"/>
      <c r="AQ361" s="691"/>
      <c r="AR361" s="691"/>
      <c r="AS361" s="691"/>
      <c r="AT361" s="691"/>
      <c r="AU361" s="692"/>
      <c r="AV361" s="1045"/>
      <c r="AW361" s="1046"/>
      <c r="AX361" s="1046"/>
      <c r="AY361" s="1046"/>
      <c r="AZ361" s="1046"/>
      <c r="BA361" s="689"/>
      <c r="BB361" s="1044"/>
      <c r="BC361" s="691"/>
      <c r="BD361" s="691"/>
      <c r="BE361" s="691"/>
      <c r="BF361" s="692"/>
      <c r="BG361" s="692"/>
      <c r="BH361" s="692"/>
      <c r="BI361" s="674"/>
      <c r="BJ361" s="674"/>
      <c r="BK361" s="689"/>
      <c r="BL361" s="689"/>
      <c r="BM361" s="667"/>
      <c r="BN361" s="667"/>
      <c r="BO361" s="691"/>
      <c r="BP361" s="691"/>
      <c r="BQ361" s="691"/>
      <c r="BR361" s="691"/>
      <c r="BS361" s="691"/>
      <c r="BT361" s="691"/>
      <c r="BU361" s="692"/>
      <c r="BV361" s="1045"/>
      <c r="BW361" s="1046"/>
      <c r="BX361" s="1046"/>
      <c r="BY361" s="1046"/>
      <c r="BZ361" s="1046"/>
      <c r="CA361" s="690"/>
      <c r="CB361" s="1044"/>
      <c r="CC361" s="691"/>
      <c r="CD361" s="691"/>
      <c r="CE361" s="691"/>
      <c r="CF361" s="692"/>
      <c r="CG361" s="692"/>
      <c r="CH361" s="692"/>
      <c r="CI361" s="674"/>
      <c r="CJ361" s="674"/>
      <c r="CK361" s="689"/>
      <c r="CL361" s="689"/>
      <c r="CM361" s="667"/>
      <c r="CN361" s="667"/>
      <c r="CO361" s="691"/>
      <c r="CP361" s="691"/>
      <c r="CQ361" s="691"/>
      <c r="CR361" s="691"/>
      <c r="CS361" s="691"/>
      <c r="CT361" s="691"/>
      <c r="CU361" s="692"/>
      <c r="CV361" s="1045"/>
      <c r="CW361" s="1046"/>
      <c r="CX361" s="1046"/>
      <c r="CY361" s="1046"/>
      <c r="CZ361" s="1046"/>
      <c r="DA361" s="690"/>
      <c r="DB361" s="1044"/>
      <c r="DC361" s="691"/>
      <c r="DD361" s="691"/>
      <c r="DE361" s="691"/>
      <c r="DF361" s="692"/>
      <c r="DG361" s="692"/>
      <c r="DH361" s="692"/>
      <c r="DI361" s="674"/>
      <c r="DJ361" s="674"/>
      <c r="DK361" s="689"/>
      <c r="DL361" s="689"/>
      <c r="DM361" s="667"/>
      <c r="DN361" s="667"/>
      <c r="DO361" s="691"/>
      <c r="DP361" s="691"/>
      <c r="DQ361" s="691"/>
      <c r="DR361" s="691"/>
      <c r="DS361" s="691"/>
      <c r="DT361" s="691"/>
      <c r="DU361" s="692"/>
      <c r="DV361" s="1045"/>
      <c r="DW361" s="1046"/>
      <c r="DX361" s="1046"/>
      <c r="DY361" s="1046"/>
      <c r="DZ361" s="1046"/>
    </row>
    <row r="362" spans="12:130" s="539" customFormat="1" ht="15" hidden="1" customHeight="1">
      <c r="L362" s="1168" t="s">
        <v>3092</v>
      </c>
      <c r="M362" s="1047"/>
      <c r="N362" s="1047"/>
      <c r="O362" s="1047"/>
      <c r="P362" s="1047"/>
      <c r="Q362" s="1047"/>
      <c r="R362" s="1047"/>
      <c r="S362" s="1047"/>
      <c r="T362" s="1047"/>
      <c r="U362" s="1047"/>
      <c r="V362" s="1047"/>
      <c r="W362" s="1047"/>
      <c r="X362" s="1047"/>
      <c r="Y362" s="1047"/>
      <c r="Z362" s="1047"/>
      <c r="AA362" s="1047"/>
      <c r="AB362" s="1750"/>
      <c r="AC362" s="1049"/>
      <c r="AD362" s="1049"/>
      <c r="AE362" s="691"/>
      <c r="AF362" s="692"/>
      <c r="AG362" s="692"/>
      <c r="AH362" s="692"/>
      <c r="AI362" s="674"/>
      <c r="AJ362" s="674"/>
      <c r="AK362" s="689"/>
      <c r="AL362" s="689"/>
      <c r="AM362" s="667"/>
      <c r="AN362" s="667"/>
      <c r="AO362" s="691"/>
      <c r="AP362" s="691"/>
      <c r="AQ362" s="691"/>
      <c r="AR362" s="691"/>
      <c r="AS362" s="691"/>
      <c r="AT362" s="691"/>
      <c r="AU362" s="692"/>
      <c r="AV362" s="1045"/>
      <c r="AW362" s="1046"/>
      <c r="AX362" s="1046"/>
      <c r="AY362" s="1046"/>
      <c r="AZ362" s="1046"/>
      <c r="BA362" s="689"/>
      <c r="BB362" s="1044"/>
      <c r="BC362" s="691"/>
      <c r="BD362" s="691"/>
      <c r="BE362" s="691"/>
      <c r="BF362" s="692"/>
      <c r="BG362" s="692"/>
      <c r="BH362" s="692"/>
      <c r="BI362" s="674"/>
      <c r="BJ362" s="674"/>
      <c r="BK362" s="689"/>
      <c r="BL362" s="689"/>
      <c r="BM362" s="667"/>
      <c r="BN362" s="667"/>
      <c r="BO362" s="691"/>
      <c r="BP362" s="691"/>
      <c r="BQ362" s="691"/>
      <c r="BR362" s="691"/>
      <c r="BS362" s="691"/>
      <c r="BT362" s="691"/>
      <c r="BU362" s="692"/>
      <c r="BV362" s="1045"/>
      <c r="BW362" s="1046"/>
      <c r="BX362" s="1046"/>
      <c r="BY362" s="1046"/>
      <c r="BZ362" s="1046"/>
      <c r="CA362" s="690"/>
      <c r="CB362" s="1044"/>
      <c r="CC362" s="691"/>
      <c r="CD362" s="691"/>
      <c r="CE362" s="691"/>
      <c r="CF362" s="692"/>
      <c r="CG362" s="692"/>
      <c r="CH362" s="692"/>
      <c r="CI362" s="674"/>
      <c r="CJ362" s="674"/>
      <c r="CK362" s="689"/>
      <c r="CL362" s="689"/>
      <c r="CM362" s="667"/>
      <c r="CN362" s="667"/>
      <c r="CO362" s="691"/>
      <c r="CP362" s="691"/>
      <c r="CQ362" s="691"/>
      <c r="CR362" s="691"/>
      <c r="CS362" s="691"/>
      <c r="CT362" s="691"/>
      <c r="CU362" s="692"/>
      <c r="CV362" s="1045"/>
      <c r="CW362" s="1046"/>
      <c r="CX362" s="1046"/>
      <c r="CY362" s="1046"/>
      <c r="CZ362" s="1046"/>
      <c r="DA362" s="690"/>
      <c r="DB362" s="1044"/>
      <c r="DC362" s="691"/>
      <c r="DD362" s="691"/>
      <c r="DE362" s="691"/>
      <c r="DF362" s="692"/>
      <c r="DG362" s="692"/>
      <c r="DH362" s="692"/>
      <c r="DI362" s="674"/>
      <c r="DJ362" s="674"/>
      <c r="DK362" s="689"/>
      <c r="DL362" s="689"/>
      <c r="DM362" s="667"/>
      <c r="DN362" s="667"/>
      <c r="DO362" s="691"/>
      <c r="DP362" s="691"/>
      <c r="DQ362" s="691"/>
      <c r="DR362" s="691"/>
      <c r="DS362" s="691"/>
      <c r="DT362" s="691"/>
      <c r="DU362" s="692"/>
      <c r="DV362" s="1045"/>
      <c r="DW362" s="1046"/>
      <c r="DX362" s="1046"/>
      <c r="DY362" s="1046"/>
      <c r="DZ362" s="1046"/>
    </row>
    <row r="363" spans="12:130" s="539" customFormat="1" ht="15" hidden="1" customHeight="1">
      <c r="L363" s="1168" t="s">
        <v>3093</v>
      </c>
      <c r="M363" s="1047"/>
      <c r="N363" s="1047"/>
      <c r="O363" s="1047"/>
      <c r="P363" s="1047"/>
      <c r="Q363" s="1047"/>
      <c r="R363" s="1047"/>
      <c r="S363" s="1047"/>
      <c r="T363" s="1047"/>
      <c r="U363" s="1047"/>
      <c r="V363" s="1047"/>
      <c r="W363" s="1047"/>
      <c r="X363" s="1047"/>
      <c r="Y363" s="1047"/>
      <c r="Z363" s="1047"/>
      <c r="AA363" s="1047"/>
      <c r="AB363" s="1750"/>
      <c r="AC363" s="1049"/>
      <c r="AD363" s="1049"/>
      <c r="AE363" s="691"/>
      <c r="AF363" s="692"/>
      <c r="AG363" s="692"/>
      <c r="AH363" s="692"/>
      <c r="AI363" s="674"/>
      <c r="AJ363" s="674"/>
      <c r="AK363" s="689"/>
      <c r="AL363" s="689"/>
      <c r="AM363" s="667"/>
      <c r="AN363" s="667"/>
      <c r="AO363" s="691"/>
      <c r="AP363" s="691"/>
      <c r="AQ363" s="691"/>
      <c r="AR363" s="691"/>
      <c r="AS363" s="691"/>
      <c r="AT363" s="691"/>
      <c r="AU363" s="692"/>
      <c r="AV363" s="1045"/>
      <c r="AW363" s="1046"/>
      <c r="AX363" s="1046"/>
      <c r="AY363" s="1046"/>
      <c r="AZ363" s="1046"/>
      <c r="BA363" s="689"/>
      <c r="BB363" s="1044"/>
      <c r="BC363" s="691"/>
      <c r="BD363" s="691"/>
      <c r="BE363" s="691"/>
      <c r="BF363" s="692"/>
      <c r="BG363" s="692"/>
      <c r="BH363" s="692"/>
      <c r="BI363" s="674"/>
      <c r="BJ363" s="674"/>
      <c r="BK363" s="689"/>
      <c r="BL363" s="689"/>
      <c r="BM363" s="667"/>
      <c r="BN363" s="667"/>
      <c r="BO363" s="691"/>
      <c r="BP363" s="691"/>
      <c r="BQ363" s="691"/>
      <c r="BR363" s="691"/>
      <c r="BS363" s="691"/>
      <c r="BT363" s="691"/>
      <c r="BU363" s="692"/>
      <c r="BV363" s="1045"/>
      <c r="BW363" s="1046"/>
      <c r="BX363" s="1046"/>
      <c r="BY363" s="1046"/>
      <c r="BZ363" s="1046"/>
      <c r="CA363" s="690"/>
      <c r="CB363" s="1044"/>
      <c r="CC363" s="691"/>
      <c r="CD363" s="691"/>
      <c r="CE363" s="691"/>
      <c r="CF363" s="692"/>
      <c r="CG363" s="692"/>
      <c r="CH363" s="692"/>
      <c r="CI363" s="674"/>
      <c r="CJ363" s="674"/>
      <c r="CK363" s="689"/>
      <c r="CL363" s="689"/>
      <c r="CM363" s="667"/>
      <c r="CN363" s="667"/>
      <c r="CO363" s="691"/>
      <c r="CP363" s="691"/>
      <c r="CQ363" s="691"/>
      <c r="CR363" s="691"/>
      <c r="CS363" s="691"/>
      <c r="CT363" s="691"/>
      <c r="CU363" s="692"/>
      <c r="CV363" s="1045"/>
      <c r="CW363" s="1046"/>
      <c r="CX363" s="1046"/>
      <c r="CY363" s="1046"/>
      <c r="CZ363" s="1046"/>
      <c r="DA363" s="690"/>
      <c r="DB363" s="1044"/>
      <c r="DC363" s="691"/>
      <c r="DD363" s="691"/>
      <c r="DE363" s="691"/>
      <c r="DF363" s="692"/>
      <c r="DG363" s="692"/>
      <c r="DH363" s="692"/>
      <c r="DI363" s="674"/>
      <c r="DJ363" s="674"/>
      <c r="DK363" s="689"/>
      <c r="DL363" s="689"/>
      <c r="DM363" s="667"/>
      <c r="DN363" s="667"/>
      <c r="DO363" s="691"/>
      <c r="DP363" s="691"/>
      <c r="DQ363" s="691"/>
      <c r="DR363" s="691"/>
      <c r="DS363" s="691"/>
      <c r="DT363" s="691"/>
      <c r="DU363" s="692"/>
      <c r="DV363" s="1045"/>
      <c r="DW363" s="1046"/>
      <c r="DX363" s="1046"/>
      <c r="DY363" s="1046"/>
      <c r="DZ363" s="1046"/>
    </row>
    <row r="364" spans="12:130" s="539" customFormat="1" ht="15" hidden="1" customHeight="1">
      <c r="L364" s="1168"/>
      <c r="M364" s="1047"/>
      <c r="N364" s="1047"/>
      <c r="O364" s="1047"/>
      <c r="P364" s="1047"/>
      <c r="Q364" s="1047"/>
      <c r="R364" s="1047"/>
      <c r="S364" s="1047"/>
      <c r="T364" s="1047"/>
      <c r="U364" s="1047"/>
      <c r="V364" s="1047"/>
      <c r="W364" s="1047"/>
      <c r="X364" s="1047"/>
      <c r="Y364" s="1047"/>
      <c r="Z364" s="1047"/>
      <c r="AA364" s="1047"/>
      <c r="AB364" s="1750"/>
      <c r="AC364" s="1049"/>
      <c r="AD364" s="1049"/>
      <c r="AE364" s="691"/>
      <c r="AF364" s="692"/>
      <c r="AG364" s="692"/>
      <c r="AH364" s="692"/>
      <c r="AI364" s="674"/>
      <c r="AJ364" s="674"/>
      <c r="AK364" s="689"/>
      <c r="AL364" s="689"/>
      <c r="AM364" s="667"/>
      <c r="AN364" s="667"/>
      <c r="AO364" s="691"/>
      <c r="AP364" s="691"/>
      <c r="AQ364" s="691"/>
      <c r="AR364" s="691"/>
      <c r="AS364" s="691"/>
      <c r="AT364" s="691"/>
      <c r="AU364" s="692"/>
      <c r="AV364" s="1045"/>
      <c r="AW364" s="1046"/>
      <c r="AX364" s="1046"/>
      <c r="AY364" s="1046"/>
      <c r="AZ364" s="1046"/>
      <c r="BA364" s="689"/>
      <c r="BB364" s="1044"/>
      <c r="BC364" s="691"/>
      <c r="BD364" s="691"/>
      <c r="BE364" s="691"/>
      <c r="BF364" s="692"/>
      <c r="BG364" s="692"/>
      <c r="BH364" s="692"/>
      <c r="BI364" s="674"/>
      <c r="BJ364" s="674"/>
      <c r="BK364" s="689"/>
      <c r="BL364" s="689"/>
      <c r="BM364" s="667"/>
      <c r="BN364" s="667"/>
      <c r="BO364" s="691"/>
      <c r="BP364" s="691"/>
      <c r="BQ364" s="691"/>
      <c r="BR364" s="691"/>
      <c r="BS364" s="691"/>
      <c r="BT364" s="691"/>
      <c r="BU364" s="692"/>
      <c r="BV364" s="1045"/>
      <c r="BW364" s="1046"/>
      <c r="BX364" s="1046"/>
      <c r="BY364" s="1046"/>
      <c r="BZ364" s="1046"/>
      <c r="CA364" s="690"/>
      <c r="CB364" s="1044"/>
      <c r="CC364" s="691"/>
      <c r="CD364" s="691"/>
      <c r="CE364" s="691"/>
      <c r="CF364" s="692"/>
      <c r="CG364" s="692"/>
      <c r="CH364" s="692"/>
      <c r="CI364" s="674"/>
      <c r="CJ364" s="674"/>
      <c r="CK364" s="689"/>
      <c r="CL364" s="689"/>
      <c r="CM364" s="667"/>
      <c r="CN364" s="667"/>
      <c r="CO364" s="691"/>
      <c r="CP364" s="691"/>
      <c r="CQ364" s="691"/>
      <c r="CR364" s="691"/>
      <c r="CS364" s="691"/>
      <c r="CT364" s="691"/>
      <c r="CU364" s="692"/>
      <c r="CV364" s="1045"/>
      <c r="CW364" s="1046"/>
      <c r="CX364" s="1046"/>
      <c r="CY364" s="1046"/>
      <c r="CZ364" s="1046"/>
      <c r="DA364" s="690"/>
      <c r="DB364" s="1044"/>
      <c r="DC364" s="691"/>
      <c r="DD364" s="691"/>
      <c r="DE364" s="691"/>
      <c r="DF364" s="692"/>
      <c r="DG364" s="692"/>
      <c r="DH364" s="692"/>
      <c r="DI364" s="674"/>
      <c r="DJ364" s="674"/>
      <c r="DK364" s="689"/>
      <c r="DL364" s="689"/>
      <c r="DM364" s="667"/>
      <c r="DN364" s="667"/>
      <c r="DO364" s="691"/>
      <c r="DP364" s="691"/>
      <c r="DQ364" s="691"/>
      <c r="DR364" s="691"/>
      <c r="DS364" s="691"/>
      <c r="DT364" s="691"/>
      <c r="DU364" s="692"/>
      <c r="DV364" s="1045"/>
      <c r="DW364" s="1046"/>
      <c r="DX364" s="1046"/>
      <c r="DY364" s="1046"/>
      <c r="DZ364" s="1046"/>
    </row>
    <row r="365" spans="12:130" s="539" customFormat="1" ht="15" hidden="1" customHeight="1">
      <c r="L365" s="1168"/>
      <c r="M365" s="1047"/>
      <c r="N365" s="1047"/>
      <c r="O365" s="1047"/>
      <c r="P365" s="1047"/>
      <c r="Q365" s="1047"/>
      <c r="R365" s="1047"/>
      <c r="S365" s="1047"/>
      <c r="T365" s="1047"/>
      <c r="U365" s="1047"/>
      <c r="V365" s="1047"/>
      <c r="W365" s="1047"/>
      <c r="X365" s="1047"/>
      <c r="Y365" s="1047"/>
      <c r="Z365" s="1047"/>
      <c r="AA365" s="1047"/>
      <c r="AB365" s="1750"/>
      <c r="AC365" s="1049"/>
      <c r="AD365" s="1049"/>
      <c r="AE365" s="691"/>
      <c r="AF365" s="692"/>
      <c r="AG365" s="692"/>
      <c r="AH365" s="692"/>
      <c r="AI365" s="674"/>
      <c r="AJ365" s="674"/>
      <c r="AK365" s="689"/>
      <c r="AL365" s="689"/>
      <c r="AM365" s="667"/>
      <c r="AN365" s="667"/>
      <c r="AO365" s="691"/>
      <c r="AP365" s="691"/>
      <c r="AQ365" s="691"/>
      <c r="AR365" s="691"/>
      <c r="AS365" s="691"/>
      <c r="AT365" s="691"/>
      <c r="AU365" s="692"/>
      <c r="AV365" s="1045"/>
      <c r="AW365" s="1046"/>
      <c r="AX365" s="1046"/>
      <c r="AY365" s="1046"/>
      <c r="AZ365" s="1046"/>
      <c r="BA365" s="689"/>
      <c r="BB365" s="1044"/>
      <c r="BC365" s="691"/>
      <c r="BD365" s="691"/>
      <c r="BE365" s="691"/>
      <c r="BF365" s="692"/>
      <c r="BG365" s="692"/>
      <c r="BH365" s="692"/>
      <c r="BI365" s="674"/>
      <c r="BJ365" s="674"/>
      <c r="BK365" s="689"/>
      <c r="BL365" s="689"/>
      <c r="BM365" s="667"/>
      <c r="BN365" s="667"/>
      <c r="BO365" s="691"/>
      <c r="BP365" s="691"/>
      <c r="BQ365" s="691"/>
      <c r="BR365" s="691"/>
      <c r="BS365" s="691"/>
      <c r="BT365" s="691"/>
      <c r="BU365" s="692"/>
      <c r="BV365" s="1045"/>
      <c r="BW365" s="1046"/>
      <c r="BX365" s="1046"/>
      <c r="BY365" s="1046"/>
      <c r="BZ365" s="1046"/>
      <c r="CA365" s="690"/>
      <c r="CB365" s="1044"/>
      <c r="CC365" s="691"/>
      <c r="CD365" s="691"/>
      <c r="CE365" s="691"/>
      <c r="CF365" s="692"/>
      <c r="CG365" s="692"/>
      <c r="CH365" s="692"/>
      <c r="CI365" s="674"/>
      <c r="CJ365" s="674"/>
      <c r="CK365" s="689"/>
      <c r="CL365" s="689"/>
      <c r="CM365" s="667"/>
      <c r="CN365" s="667"/>
      <c r="CO365" s="691"/>
      <c r="CP365" s="691"/>
      <c r="CQ365" s="691"/>
      <c r="CR365" s="691"/>
      <c r="CS365" s="691"/>
      <c r="CT365" s="691"/>
      <c r="CU365" s="692"/>
      <c r="CV365" s="1045"/>
      <c r="CW365" s="1046"/>
      <c r="CX365" s="1046"/>
      <c r="CY365" s="1046"/>
      <c r="CZ365" s="1046"/>
      <c r="DA365" s="690"/>
      <c r="DB365" s="1044"/>
      <c r="DC365" s="691"/>
      <c r="DD365" s="691"/>
      <c r="DE365" s="691"/>
      <c r="DF365" s="692"/>
      <c r="DG365" s="692"/>
      <c r="DH365" s="692"/>
      <c r="DI365" s="674"/>
      <c r="DJ365" s="674"/>
      <c r="DK365" s="689"/>
      <c r="DL365" s="689"/>
      <c r="DM365" s="667"/>
      <c r="DN365" s="667"/>
      <c r="DO365" s="691"/>
      <c r="DP365" s="691"/>
      <c r="DQ365" s="691"/>
      <c r="DR365" s="691"/>
      <c r="DS365" s="691"/>
      <c r="DT365" s="691"/>
      <c r="DU365" s="692"/>
      <c r="DV365" s="1045"/>
      <c r="DW365" s="1046"/>
      <c r="DX365" s="1046"/>
      <c r="DY365" s="1046"/>
      <c r="DZ365" s="1046"/>
    </row>
    <row r="366" spans="12:130" s="539" customFormat="1" ht="15" hidden="1" customHeight="1">
      <c r="L366" s="1168" t="s">
        <v>380</v>
      </c>
      <c r="M366" s="1047"/>
      <c r="N366" s="1047"/>
      <c r="O366" s="1047"/>
      <c r="P366" s="1047"/>
      <c r="Q366" s="1047"/>
      <c r="R366" s="1047"/>
      <c r="S366" s="1047"/>
      <c r="T366" s="1047"/>
      <c r="U366" s="1047"/>
      <c r="V366" s="1047"/>
      <c r="W366" s="1047"/>
      <c r="X366" s="1047"/>
      <c r="Y366" s="1047"/>
      <c r="Z366" s="1047"/>
      <c r="AA366" s="1047"/>
      <c r="AB366" s="1750"/>
      <c r="AC366" s="1049"/>
      <c r="AD366" s="1049"/>
      <c r="AE366" s="691"/>
      <c r="AF366" s="692"/>
      <c r="AG366" s="692"/>
      <c r="AH366" s="692"/>
      <c r="AI366" s="674"/>
      <c r="AJ366" s="674"/>
      <c r="AK366" s="689"/>
      <c r="AL366" s="689"/>
      <c r="AM366" s="667"/>
      <c r="AN366" s="667"/>
      <c r="AO366" s="691"/>
      <c r="AP366" s="691"/>
      <c r="AQ366" s="691"/>
      <c r="AR366" s="691"/>
      <c r="AS366" s="691"/>
      <c r="AT366" s="691"/>
      <c r="AU366" s="692"/>
      <c r="AV366" s="1045"/>
      <c r="AW366" s="1046"/>
      <c r="AX366" s="1046"/>
      <c r="AY366" s="1046"/>
      <c r="AZ366" s="1046"/>
      <c r="BA366" s="689"/>
      <c r="BB366" s="1044"/>
      <c r="BC366" s="691"/>
      <c r="BD366" s="691"/>
      <c r="BE366" s="691"/>
      <c r="BF366" s="692"/>
      <c r="BG366" s="692"/>
      <c r="BH366" s="692"/>
      <c r="BI366" s="674"/>
      <c r="BJ366" s="674"/>
      <c r="BK366" s="689"/>
      <c r="BL366" s="689"/>
      <c r="BM366" s="667"/>
      <c r="BN366" s="667"/>
      <c r="BO366" s="691"/>
      <c r="BP366" s="691"/>
      <c r="BQ366" s="691"/>
      <c r="BR366" s="691"/>
      <c r="BS366" s="691"/>
      <c r="BT366" s="691"/>
      <c r="BU366" s="692"/>
      <c r="BV366" s="1045"/>
      <c r="BW366" s="1046"/>
      <c r="BX366" s="1046"/>
      <c r="BY366" s="1046"/>
      <c r="BZ366" s="1046"/>
      <c r="CA366" s="690"/>
      <c r="CB366" s="1044"/>
      <c r="CC366" s="691"/>
      <c r="CD366" s="691"/>
      <c r="CE366" s="691"/>
      <c r="CF366" s="692"/>
      <c r="CG366" s="692"/>
      <c r="CH366" s="692"/>
      <c r="CI366" s="674"/>
      <c r="CJ366" s="674"/>
      <c r="CK366" s="689"/>
      <c r="CL366" s="689"/>
      <c r="CM366" s="667"/>
      <c r="CN366" s="667"/>
      <c r="CO366" s="691"/>
      <c r="CP366" s="691"/>
      <c r="CQ366" s="691"/>
      <c r="CR366" s="691"/>
      <c r="CS366" s="691"/>
      <c r="CT366" s="691"/>
      <c r="CU366" s="692"/>
      <c r="CV366" s="1045"/>
      <c r="CW366" s="1046"/>
      <c r="CX366" s="1046"/>
      <c r="CY366" s="1046"/>
      <c r="CZ366" s="1046"/>
      <c r="DA366" s="690"/>
      <c r="DB366" s="1044"/>
      <c r="DC366" s="691"/>
      <c r="DD366" s="691"/>
      <c r="DE366" s="691"/>
      <c r="DF366" s="692"/>
      <c r="DG366" s="692"/>
      <c r="DH366" s="692"/>
      <c r="DI366" s="674"/>
      <c r="DJ366" s="674"/>
      <c r="DK366" s="689"/>
      <c r="DL366" s="689"/>
      <c r="DM366" s="667"/>
      <c r="DN366" s="667"/>
      <c r="DO366" s="691"/>
      <c r="DP366" s="691"/>
      <c r="DQ366" s="691"/>
      <c r="DR366" s="691"/>
      <c r="DS366" s="691"/>
      <c r="DT366" s="691"/>
      <c r="DU366" s="692"/>
      <c r="DV366" s="1045"/>
      <c r="DW366" s="1046"/>
      <c r="DX366" s="1046"/>
      <c r="DY366" s="1046"/>
      <c r="DZ366" s="1046"/>
    </row>
    <row r="367" spans="12:130" s="539" customFormat="1" ht="15" hidden="1" customHeight="1">
      <c r="L367" s="1168"/>
      <c r="M367" s="1047"/>
      <c r="N367" s="1047"/>
      <c r="O367" s="1047"/>
      <c r="P367" s="1047"/>
      <c r="Q367" s="1047"/>
      <c r="R367" s="1047"/>
      <c r="S367" s="1047"/>
      <c r="T367" s="1047"/>
      <c r="U367" s="1047"/>
      <c r="V367" s="1047"/>
      <c r="W367" s="1047"/>
      <c r="X367" s="1047"/>
      <c r="Y367" s="1047"/>
      <c r="Z367" s="1047"/>
      <c r="AA367" s="1047"/>
      <c r="AB367" s="1750"/>
      <c r="AC367" s="1049"/>
      <c r="AD367" s="1049"/>
      <c r="AE367" s="691"/>
      <c r="AF367" s="692"/>
      <c r="AG367" s="692"/>
      <c r="AH367" s="692"/>
      <c r="AI367" s="674"/>
      <c r="AJ367" s="674"/>
      <c r="AK367" s="689"/>
      <c r="AL367" s="689"/>
      <c r="AM367" s="667"/>
      <c r="AN367" s="667"/>
      <c r="AO367" s="691"/>
      <c r="AP367" s="691"/>
      <c r="AQ367" s="691"/>
      <c r="AR367" s="691"/>
      <c r="AS367" s="691"/>
      <c r="AT367" s="691"/>
      <c r="AU367" s="692"/>
      <c r="AV367" s="1045"/>
      <c r="AW367" s="1046"/>
      <c r="AX367" s="1046"/>
      <c r="AY367" s="1046"/>
      <c r="AZ367" s="1046"/>
      <c r="BA367" s="689"/>
      <c r="BB367" s="1044"/>
      <c r="BC367" s="691"/>
      <c r="BD367" s="691"/>
      <c r="BE367" s="691"/>
      <c r="BF367" s="692"/>
      <c r="BG367" s="692"/>
      <c r="BH367" s="692"/>
      <c r="BI367" s="674"/>
      <c r="BJ367" s="674"/>
      <c r="BK367" s="689"/>
      <c r="BL367" s="689"/>
      <c r="BM367" s="667"/>
      <c r="BN367" s="667"/>
      <c r="BO367" s="691"/>
      <c r="BP367" s="691"/>
      <c r="BQ367" s="691"/>
      <c r="BR367" s="691"/>
      <c r="BS367" s="691"/>
      <c r="BT367" s="691"/>
      <c r="BU367" s="692"/>
      <c r="BV367" s="1045"/>
      <c r="BW367" s="1046"/>
      <c r="BX367" s="1046"/>
      <c r="BY367" s="1046"/>
      <c r="BZ367" s="1046"/>
      <c r="CA367" s="690"/>
      <c r="CB367" s="1044"/>
      <c r="CC367" s="691"/>
      <c r="CD367" s="691"/>
      <c r="CE367" s="691"/>
      <c r="CF367" s="692"/>
      <c r="CG367" s="692"/>
      <c r="CH367" s="692"/>
      <c r="CI367" s="674"/>
      <c r="CJ367" s="674"/>
      <c r="CK367" s="689"/>
      <c r="CL367" s="689"/>
      <c r="CM367" s="667"/>
      <c r="CN367" s="667"/>
      <c r="CO367" s="691"/>
      <c r="CP367" s="691"/>
      <c r="CQ367" s="691"/>
      <c r="CR367" s="691"/>
      <c r="CS367" s="691"/>
      <c r="CT367" s="691"/>
      <c r="CU367" s="692"/>
      <c r="CV367" s="1045"/>
      <c r="CW367" s="1046"/>
      <c r="CX367" s="1046"/>
      <c r="CY367" s="1046"/>
      <c r="CZ367" s="1046"/>
      <c r="DA367" s="690"/>
      <c r="DB367" s="1044"/>
      <c r="DC367" s="691"/>
      <c r="DD367" s="691"/>
      <c r="DE367" s="691"/>
      <c r="DF367" s="692"/>
      <c r="DG367" s="692"/>
      <c r="DH367" s="692"/>
      <c r="DI367" s="674"/>
      <c r="DJ367" s="674"/>
      <c r="DK367" s="689"/>
      <c r="DL367" s="689"/>
      <c r="DM367" s="667"/>
      <c r="DN367" s="667"/>
      <c r="DO367" s="691"/>
      <c r="DP367" s="691"/>
      <c r="DQ367" s="691"/>
      <c r="DR367" s="691"/>
      <c r="DS367" s="691"/>
      <c r="DT367" s="691"/>
      <c r="DU367" s="692"/>
      <c r="DV367" s="1045"/>
      <c r="DW367" s="1046"/>
      <c r="DX367" s="1046"/>
      <c r="DY367" s="1046"/>
      <c r="DZ367" s="1046"/>
    </row>
    <row r="368" spans="12:130" s="539" customFormat="1" ht="15" hidden="1" customHeight="1">
      <c r="L368" s="1168" t="s">
        <v>3094</v>
      </c>
      <c r="M368" s="1047"/>
      <c r="N368" s="1047"/>
      <c r="O368" s="1047"/>
      <c r="P368" s="1047"/>
      <c r="Q368" s="1047"/>
      <c r="R368" s="1047"/>
      <c r="S368" s="1047"/>
      <c r="T368" s="1047"/>
      <c r="U368" s="1047"/>
      <c r="V368" s="1047"/>
      <c r="W368" s="1047"/>
      <c r="X368" s="1047"/>
      <c r="Y368" s="1047"/>
      <c r="Z368" s="1047"/>
      <c r="AA368" s="1047"/>
      <c r="AB368" s="1750"/>
      <c r="AC368" s="1049"/>
      <c r="AD368" s="1049"/>
      <c r="AE368" s="691"/>
      <c r="AF368" s="692"/>
      <c r="AG368" s="692"/>
      <c r="AH368" s="692"/>
      <c r="AI368" s="674"/>
      <c r="AJ368" s="674"/>
      <c r="AK368" s="689"/>
      <c r="AL368" s="689"/>
      <c r="AM368" s="667"/>
      <c r="AN368" s="667"/>
      <c r="AO368" s="691"/>
      <c r="AP368" s="691"/>
      <c r="AQ368" s="691"/>
      <c r="AR368" s="691"/>
      <c r="AS368" s="691"/>
      <c r="AT368" s="691"/>
      <c r="AU368" s="692"/>
      <c r="AV368" s="1045"/>
      <c r="AW368" s="1046"/>
      <c r="AX368" s="1046"/>
      <c r="AY368" s="1046"/>
      <c r="AZ368" s="1046"/>
      <c r="BA368" s="689"/>
      <c r="BB368" s="1044"/>
      <c r="BC368" s="691"/>
      <c r="BD368" s="691"/>
      <c r="BE368" s="691"/>
      <c r="BF368" s="692"/>
      <c r="BG368" s="692"/>
      <c r="BH368" s="692"/>
      <c r="BI368" s="674"/>
      <c r="BJ368" s="674"/>
      <c r="BK368" s="689"/>
      <c r="BL368" s="689"/>
      <c r="BM368" s="667"/>
      <c r="BN368" s="667"/>
      <c r="BO368" s="691"/>
      <c r="BP368" s="691"/>
      <c r="BQ368" s="691"/>
      <c r="BR368" s="691"/>
      <c r="BS368" s="691"/>
      <c r="BT368" s="691"/>
      <c r="BU368" s="692"/>
      <c r="BV368" s="1045"/>
      <c r="BW368" s="1046"/>
      <c r="BX368" s="1046"/>
      <c r="BY368" s="1046"/>
      <c r="BZ368" s="1046"/>
      <c r="CA368" s="690"/>
      <c r="CB368" s="1044"/>
      <c r="CC368" s="691"/>
      <c r="CD368" s="691"/>
      <c r="CE368" s="691"/>
      <c r="CF368" s="692"/>
      <c r="CG368" s="692"/>
      <c r="CH368" s="692"/>
      <c r="CI368" s="674"/>
      <c r="CJ368" s="674"/>
      <c r="CK368" s="689"/>
      <c r="CL368" s="689"/>
      <c r="CM368" s="667"/>
      <c r="CN368" s="667"/>
      <c r="CO368" s="691"/>
      <c r="CP368" s="691"/>
      <c r="CQ368" s="691"/>
      <c r="CR368" s="691"/>
      <c r="CS368" s="691"/>
      <c r="CT368" s="691"/>
      <c r="CU368" s="692"/>
      <c r="CV368" s="1045"/>
      <c r="CW368" s="1046"/>
      <c r="CX368" s="1046"/>
      <c r="CY368" s="1046"/>
      <c r="CZ368" s="1046"/>
      <c r="DA368" s="690"/>
      <c r="DB368" s="1044"/>
      <c r="DC368" s="691"/>
      <c r="DD368" s="691"/>
      <c r="DE368" s="691"/>
      <c r="DF368" s="692"/>
      <c r="DG368" s="692"/>
      <c r="DH368" s="692"/>
      <c r="DI368" s="674"/>
      <c r="DJ368" s="674"/>
      <c r="DK368" s="689"/>
      <c r="DL368" s="689"/>
      <c r="DM368" s="667"/>
      <c r="DN368" s="667"/>
      <c r="DO368" s="691"/>
      <c r="DP368" s="691"/>
      <c r="DQ368" s="691"/>
      <c r="DR368" s="691"/>
      <c r="DS368" s="691"/>
      <c r="DT368" s="691"/>
      <c r="DU368" s="692"/>
      <c r="DV368" s="1045"/>
      <c r="DW368" s="1046"/>
      <c r="DX368" s="1046"/>
      <c r="DY368" s="1046"/>
      <c r="DZ368" s="1046"/>
    </row>
    <row r="369" spans="12:130" s="539" customFormat="1" ht="15" hidden="1" customHeight="1">
      <c r="L369" s="1168" t="s">
        <v>2900</v>
      </c>
      <c r="M369" s="1047"/>
      <c r="N369" s="1047"/>
      <c r="O369" s="1047"/>
      <c r="P369" s="1047"/>
      <c r="Q369" s="1047"/>
      <c r="R369" s="1047"/>
      <c r="S369" s="1047"/>
      <c r="T369" s="1047"/>
      <c r="U369" s="1047"/>
      <c r="V369" s="1047"/>
      <c r="W369" s="1047"/>
      <c r="X369" s="1047"/>
      <c r="Y369" s="1047"/>
      <c r="Z369" s="1047"/>
      <c r="AA369" s="1047"/>
      <c r="AB369" s="1750"/>
      <c r="AC369" s="1049"/>
      <c r="AD369" s="1049"/>
      <c r="AE369" s="691"/>
      <c r="AF369" s="692"/>
      <c r="AG369" s="692"/>
      <c r="AH369" s="692"/>
      <c r="AI369" s="674"/>
      <c r="AJ369" s="674"/>
      <c r="AK369" s="689"/>
      <c r="AL369" s="689"/>
      <c r="AM369" s="667"/>
      <c r="AN369" s="667"/>
      <c r="AO369" s="691"/>
      <c r="AP369" s="691"/>
      <c r="AQ369" s="691"/>
      <c r="AR369" s="691"/>
      <c r="AS369" s="691"/>
      <c r="AT369" s="691"/>
      <c r="AU369" s="692"/>
      <c r="AV369" s="1045"/>
      <c r="AW369" s="1046"/>
      <c r="AX369" s="1046"/>
      <c r="AY369" s="1046"/>
      <c r="AZ369" s="1046"/>
      <c r="BA369" s="689"/>
      <c r="BB369" s="1044"/>
      <c r="BC369" s="691"/>
      <c r="BD369" s="691"/>
      <c r="BE369" s="691"/>
      <c r="BF369" s="692"/>
      <c r="BG369" s="692"/>
      <c r="BH369" s="692"/>
      <c r="BI369" s="674"/>
      <c r="BJ369" s="674"/>
      <c r="BK369" s="689"/>
      <c r="BL369" s="689"/>
      <c r="BM369" s="667"/>
      <c r="BN369" s="667"/>
      <c r="BO369" s="691"/>
      <c r="BP369" s="691"/>
      <c r="BQ369" s="691"/>
      <c r="BR369" s="691"/>
      <c r="BS369" s="691"/>
      <c r="BT369" s="691"/>
      <c r="BU369" s="692"/>
      <c r="BV369" s="1045"/>
      <c r="BW369" s="1046"/>
      <c r="BX369" s="1046"/>
      <c r="BY369" s="1046"/>
      <c r="BZ369" s="1046"/>
      <c r="CA369" s="690"/>
      <c r="CB369" s="1044"/>
      <c r="CC369" s="691"/>
      <c r="CD369" s="691"/>
      <c r="CE369" s="691"/>
      <c r="CF369" s="692"/>
      <c r="CG369" s="692"/>
      <c r="CH369" s="692"/>
      <c r="CI369" s="674"/>
      <c r="CJ369" s="674"/>
      <c r="CK369" s="689"/>
      <c r="CL369" s="689"/>
      <c r="CM369" s="667"/>
      <c r="CN369" s="667"/>
      <c r="CO369" s="691"/>
      <c r="CP369" s="691"/>
      <c r="CQ369" s="691"/>
      <c r="CR369" s="691"/>
      <c r="CS369" s="691"/>
      <c r="CT369" s="691"/>
      <c r="CU369" s="692"/>
      <c r="CV369" s="1045"/>
      <c r="CW369" s="1046"/>
      <c r="CX369" s="1046"/>
      <c r="CY369" s="1046"/>
      <c r="CZ369" s="1046"/>
      <c r="DA369" s="690"/>
      <c r="DB369" s="1044"/>
      <c r="DC369" s="691"/>
      <c r="DD369" s="691"/>
      <c r="DE369" s="691"/>
      <c r="DF369" s="692"/>
      <c r="DG369" s="692"/>
      <c r="DH369" s="692"/>
      <c r="DI369" s="674"/>
      <c r="DJ369" s="674"/>
      <c r="DK369" s="689"/>
      <c r="DL369" s="689"/>
      <c r="DM369" s="667"/>
      <c r="DN369" s="667"/>
      <c r="DO369" s="691"/>
      <c r="DP369" s="691"/>
      <c r="DQ369" s="691"/>
      <c r="DR369" s="691"/>
      <c r="DS369" s="691"/>
      <c r="DT369" s="691"/>
      <c r="DU369" s="692"/>
      <c r="DV369" s="1045"/>
      <c r="DW369" s="1046"/>
      <c r="DX369" s="1046"/>
      <c r="DY369" s="1046"/>
      <c r="DZ369" s="1046"/>
    </row>
    <row r="370" spans="12:130" s="539" customFormat="1" ht="15" hidden="1" customHeight="1">
      <c r="L370" s="1168" t="s">
        <v>3095</v>
      </c>
      <c r="M370" s="1047"/>
      <c r="N370" s="1047"/>
      <c r="O370" s="1047"/>
      <c r="P370" s="1047"/>
      <c r="Q370" s="1047"/>
      <c r="R370" s="1047"/>
      <c r="S370" s="1047"/>
      <c r="T370" s="1047"/>
      <c r="U370" s="1047"/>
      <c r="V370" s="1047"/>
      <c r="W370" s="1047"/>
      <c r="X370" s="1047"/>
      <c r="Y370" s="1047"/>
      <c r="Z370" s="1047"/>
      <c r="AA370" s="1047"/>
      <c r="AB370" s="1750"/>
      <c r="AC370" s="1049"/>
      <c r="AD370" s="1049"/>
      <c r="AE370" s="691"/>
      <c r="AF370" s="692"/>
      <c r="AG370" s="692"/>
      <c r="AH370" s="692"/>
      <c r="AI370" s="674"/>
      <c r="AJ370" s="674"/>
      <c r="AK370" s="689"/>
      <c r="AL370" s="689"/>
      <c r="AM370" s="667"/>
      <c r="AN370" s="667"/>
      <c r="AO370" s="691"/>
      <c r="AP370" s="691"/>
      <c r="AQ370" s="691"/>
      <c r="AR370" s="691"/>
      <c r="AS370" s="691"/>
      <c r="AT370" s="691"/>
      <c r="AU370" s="692"/>
      <c r="AV370" s="1045"/>
      <c r="AW370" s="1046"/>
      <c r="AX370" s="1046"/>
      <c r="AY370" s="1046"/>
      <c r="AZ370" s="1046"/>
      <c r="BA370" s="689"/>
      <c r="BB370" s="1044"/>
      <c r="BC370" s="691"/>
      <c r="BD370" s="691"/>
      <c r="BE370" s="691"/>
      <c r="BF370" s="692"/>
      <c r="BG370" s="692"/>
      <c r="BH370" s="692"/>
      <c r="BI370" s="674"/>
      <c r="BJ370" s="674"/>
      <c r="BK370" s="689"/>
      <c r="BL370" s="689"/>
      <c r="BM370" s="667"/>
      <c r="BN370" s="667"/>
      <c r="BO370" s="691"/>
      <c r="BP370" s="691"/>
      <c r="BQ370" s="691"/>
      <c r="BR370" s="691"/>
      <c r="BS370" s="691"/>
      <c r="BT370" s="691"/>
      <c r="BU370" s="692"/>
      <c r="BV370" s="1045"/>
      <c r="BW370" s="1046"/>
      <c r="BX370" s="1046"/>
      <c r="BY370" s="1046"/>
      <c r="BZ370" s="1046"/>
      <c r="CA370" s="690"/>
      <c r="CB370" s="1044"/>
      <c r="CC370" s="691"/>
      <c r="CD370" s="691"/>
      <c r="CE370" s="691"/>
      <c r="CF370" s="692"/>
      <c r="CG370" s="692"/>
      <c r="CH370" s="692"/>
      <c r="CI370" s="674"/>
      <c r="CJ370" s="674"/>
      <c r="CK370" s="689"/>
      <c r="CL370" s="689"/>
      <c r="CM370" s="667"/>
      <c r="CN370" s="667"/>
      <c r="CO370" s="691"/>
      <c r="CP370" s="691"/>
      <c r="CQ370" s="691"/>
      <c r="CR370" s="691"/>
      <c r="CS370" s="691"/>
      <c r="CT370" s="691"/>
      <c r="CU370" s="692"/>
      <c r="CV370" s="1045"/>
      <c r="CW370" s="1046"/>
      <c r="CX370" s="1046"/>
      <c r="CY370" s="1046"/>
      <c r="CZ370" s="1046"/>
      <c r="DA370" s="690"/>
      <c r="DB370" s="1044"/>
      <c r="DC370" s="691"/>
      <c r="DD370" s="691"/>
      <c r="DE370" s="691"/>
      <c r="DF370" s="692"/>
      <c r="DG370" s="692"/>
      <c r="DH370" s="692"/>
      <c r="DI370" s="674"/>
      <c r="DJ370" s="674"/>
      <c r="DK370" s="689"/>
      <c r="DL370" s="689"/>
      <c r="DM370" s="667"/>
      <c r="DN370" s="667"/>
      <c r="DO370" s="691"/>
      <c r="DP370" s="691"/>
      <c r="DQ370" s="691"/>
      <c r="DR370" s="691"/>
      <c r="DS370" s="691"/>
      <c r="DT370" s="691"/>
      <c r="DU370" s="692"/>
      <c r="DV370" s="1045"/>
      <c r="DW370" s="1046"/>
      <c r="DX370" s="1046"/>
      <c r="DY370" s="1046"/>
      <c r="DZ370" s="1046"/>
    </row>
    <row r="371" spans="12:130" s="539" customFormat="1" ht="15" hidden="1" customHeight="1">
      <c r="L371" s="1168" t="s">
        <v>3096</v>
      </c>
      <c r="M371" s="1047"/>
      <c r="N371" s="1047"/>
      <c r="O371" s="1047"/>
      <c r="P371" s="1047"/>
      <c r="Q371" s="1047"/>
      <c r="R371" s="1047"/>
      <c r="S371" s="1047"/>
      <c r="T371" s="1047"/>
      <c r="U371" s="1047"/>
      <c r="V371" s="1047"/>
      <c r="W371" s="1047"/>
      <c r="X371" s="1047"/>
      <c r="Y371" s="1047"/>
      <c r="Z371" s="1047"/>
      <c r="AA371" s="1047"/>
      <c r="AB371" s="1750"/>
      <c r="AC371" s="1049"/>
      <c r="AD371" s="1049"/>
      <c r="AE371" s="691"/>
      <c r="AF371" s="692"/>
      <c r="AG371" s="692"/>
      <c r="AH371" s="692"/>
      <c r="AI371" s="674"/>
      <c r="AJ371" s="674"/>
      <c r="AK371" s="689"/>
      <c r="AL371" s="689"/>
      <c r="AM371" s="667"/>
      <c r="AN371" s="667"/>
      <c r="AO371" s="691"/>
      <c r="AP371" s="691"/>
      <c r="AQ371" s="691"/>
      <c r="AR371" s="691"/>
      <c r="AS371" s="691"/>
      <c r="AT371" s="691"/>
      <c r="AU371" s="692"/>
      <c r="AV371" s="1045"/>
      <c r="AW371" s="1046"/>
      <c r="AX371" s="1046"/>
      <c r="AY371" s="1046"/>
      <c r="AZ371" s="1046"/>
      <c r="BA371" s="689"/>
      <c r="BB371" s="1044"/>
      <c r="BC371" s="691"/>
      <c r="BD371" s="691"/>
      <c r="BE371" s="691"/>
      <c r="BF371" s="692"/>
      <c r="BG371" s="692"/>
      <c r="BH371" s="692"/>
      <c r="BI371" s="674"/>
      <c r="BJ371" s="674"/>
      <c r="BK371" s="689"/>
      <c r="BL371" s="689"/>
      <c r="BM371" s="667"/>
      <c r="BN371" s="667"/>
      <c r="BO371" s="691"/>
      <c r="BP371" s="691"/>
      <c r="BQ371" s="691"/>
      <c r="BR371" s="691"/>
      <c r="BS371" s="691"/>
      <c r="BT371" s="691"/>
      <c r="BU371" s="692"/>
      <c r="BV371" s="1045"/>
      <c r="BW371" s="1046"/>
      <c r="BX371" s="1046"/>
      <c r="BY371" s="1046"/>
      <c r="BZ371" s="1046"/>
      <c r="CA371" s="690"/>
      <c r="CB371" s="1044"/>
      <c r="CC371" s="691"/>
      <c r="CD371" s="691"/>
      <c r="CE371" s="691"/>
      <c r="CF371" s="692"/>
      <c r="CG371" s="692"/>
      <c r="CH371" s="692"/>
      <c r="CI371" s="674"/>
      <c r="CJ371" s="674"/>
      <c r="CK371" s="689"/>
      <c r="CL371" s="689"/>
      <c r="CM371" s="667"/>
      <c r="CN371" s="667"/>
      <c r="CO371" s="691"/>
      <c r="CP371" s="691"/>
      <c r="CQ371" s="691"/>
      <c r="CR371" s="691"/>
      <c r="CS371" s="691"/>
      <c r="CT371" s="691"/>
      <c r="CU371" s="692"/>
      <c r="CV371" s="1045"/>
      <c r="CW371" s="1046"/>
      <c r="CX371" s="1046"/>
      <c r="CY371" s="1046"/>
      <c r="CZ371" s="1046"/>
      <c r="DA371" s="690"/>
      <c r="DB371" s="1044"/>
      <c r="DC371" s="691"/>
      <c r="DD371" s="691"/>
      <c r="DE371" s="691"/>
      <c r="DF371" s="692"/>
      <c r="DG371" s="692"/>
      <c r="DH371" s="692"/>
      <c r="DI371" s="674"/>
      <c r="DJ371" s="674"/>
      <c r="DK371" s="689"/>
      <c r="DL371" s="689"/>
      <c r="DM371" s="667"/>
      <c r="DN371" s="667"/>
      <c r="DO371" s="691"/>
      <c r="DP371" s="691"/>
      <c r="DQ371" s="691"/>
      <c r="DR371" s="691"/>
      <c r="DS371" s="691"/>
      <c r="DT371" s="691"/>
      <c r="DU371" s="692"/>
      <c r="DV371" s="1045"/>
      <c r="DW371" s="1046"/>
      <c r="DX371" s="1046"/>
      <c r="DY371" s="1046"/>
      <c r="DZ371" s="1046"/>
    </row>
    <row r="372" spans="12:130" s="539" customFormat="1" ht="15" hidden="1" customHeight="1">
      <c r="L372" s="1168" t="s">
        <v>3097</v>
      </c>
      <c r="M372" s="1047"/>
      <c r="N372" s="1047"/>
      <c r="O372" s="1047"/>
      <c r="P372" s="1047"/>
      <c r="Q372" s="1047"/>
      <c r="R372" s="1047"/>
      <c r="S372" s="1047"/>
      <c r="T372" s="1047"/>
      <c r="U372" s="1047"/>
      <c r="V372" s="1047"/>
      <c r="W372" s="1047"/>
      <c r="X372" s="1047"/>
      <c r="Y372" s="1047"/>
      <c r="Z372" s="1047"/>
      <c r="AA372" s="1047"/>
      <c r="AB372" s="1750"/>
      <c r="AC372" s="1049"/>
      <c r="AD372" s="1049"/>
      <c r="AE372" s="691"/>
      <c r="AF372" s="692"/>
      <c r="AG372" s="692"/>
      <c r="AH372" s="692"/>
      <c r="AI372" s="674"/>
      <c r="AJ372" s="674"/>
      <c r="AK372" s="689"/>
      <c r="AL372" s="689"/>
      <c r="AM372" s="667"/>
      <c r="AN372" s="667"/>
      <c r="AO372" s="691"/>
      <c r="AP372" s="691"/>
      <c r="AQ372" s="691"/>
      <c r="AR372" s="691"/>
      <c r="AS372" s="691"/>
      <c r="AT372" s="691"/>
      <c r="AU372" s="692"/>
      <c r="AV372" s="1045"/>
      <c r="AW372" s="1046"/>
      <c r="AX372" s="1046"/>
      <c r="AY372" s="1046"/>
      <c r="AZ372" s="1046"/>
      <c r="BA372" s="689"/>
      <c r="BB372" s="1044"/>
      <c r="BC372" s="691"/>
      <c r="BD372" s="691"/>
      <c r="BE372" s="691"/>
      <c r="BF372" s="692"/>
      <c r="BG372" s="692"/>
      <c r="BH372" s="692"/>
      <c r="BI372" s="674"/>
      <c r="BJ372" s="674"/>
      <c r="BK372" s="689"/>
      <c r="BL372" s="689"/>
      <c r="BM372" s="667"/>
      <c r="BN372" s="667"/>
      <c r="BO372" s="691"/>
      <c r="BP372" s="691"/>
      <c r="BQ372" s="691"/>
      <c r="BR372" s="691"/>
      <c r="BS372" s="691"/>
      <c r="BT372" s="691"/>
      <c r="BU372" s="692"/>
      <c r="BV372" s="1045"/>
      <c r="BW372" s="1046"/>
      <c r="BX372" s="1046"/>
      <c r="BY372" s="1046"/>
      <c r="BZ372" s="1046"/>
      <c r="CA372" s="690"/>
      <c r="CB372" s="1044"/>
      <c r="CC372" s="691"/>
      <c r="CD372" s="691"/>
      <c r="CE372" s="691"/>
      <c r="CF372" s="692"/>
      <c r="CG372" s="692"/>
      <c r="CH372" s="692"/>
      <c r="CI372" s="674"/>
      <c r="CJ372" s="674"/>
      <c r="CK372" s="689"/>
      <c r="CL372" s="689"/>
      <c r="CM372" s="667"/>
      <c r="CN372" s="667"/>
      <c r="CO372" s="691"/>
      <c r="CP372" s="691"/>
      <c r="CQ372" s="691"/>
      <c r="CR372" s="691"/>
      <c r="CS372" s="691"/>
      <c r="CT372" s="691"/>
      <c r="CU372" s="692"/>
      <c r="CV372" s="1045"/>
      <c r="CW372" s="1046"/>
      <c r="CX372" s="1046"/>
      <c r="CY372" s="1046"/>
      <c r="CZ372" s="1046"/>
      <c r="DA372" s="690"/>
      <c r="DB372" s="1044"/>
      <c r="DC372" s="691"/>
      <c r="DD372" s="691"/>
      <c r="DE372" s="691"/>
      <c r="DF372" s="692"/>
      <c r="DG372" s="692"/>
      <c r="DH372" s="692"/>
      <c r="DI372" s="674"/>
      <c r="DJ372" s="674"/>
      <c r="DK372" s="689"/>
      <c r="DL372" s="689"/>
      <c r="DM372" s="667"/>
      <c r="DN372" s="667"/>
      <c r="DO372" s="691"/>
      <c r="DP372" s="691"/>
      <c r="DQ372" s="691"/>
      <c r="DR372" s="691"/>
      <c r="DS372" s="691"/>
      <c r="DT372" s="691"/>
      <c r="DU372" s="692"/>
      <c r="DV372" s="1045"/>
      <c r="DW372" s="1046"/>
      <c r="DX372" s="1046"/>
      <c r="DY372" s="1046"/>
      <c r="DZ372" s="1046"/>
    </row>
    <row r="373" spans="12:130" s="539" customFormat="1" ht="15" hidden="1" customHeight="1">
      <c r="L373" s="1168" t="s">
        <v>3098</v>
      </c>
      <c r="M373" s="1047"/>
      <c r="N373" s="1047"/>
      <c r="O373" s="1047"/>
      <c r="P373" s="1047"/>
      <c r="Q373" s="1047"/>
      <c r="R373" s="1047"/>
      <c r="S373" s="1047"/>
      <c r="T373" s="1047"/>
      <c r="U373" s="1047"/>
      <c r="V373" s="1047"/>
      <c r="W373" s="1047"/>
      <c r="X373" s="1047"/>
      <c r="Y373" s="1047"/>
      <c r="Z373" s="1047"/>
      <c r="AA373" s="1047"/>
      <c r="AB373" s="1750"/>
      <c r="AC373" s="1049"/>
      <c r="AD373" s="1049"/>
      <c r="AE373" s="691"/>
      <c r="AF373" s="692"/>
      <c r="AG373" s="692"/>
      <c r="AH373" s="692"/>
      <c r="AI373" s="674"/>
      <c r="AJ373" s="674"/>
      <c r="AK373" s="689"/>
      <c r="AL373" s="689"/>
      <c r="AM373" s="667"/>
      <c r="AN373" s="667"/>
      <c r="AO373" s="691"/>
      <c r="AP373" s="691"/>
      <c r="AQ373" s="691"/>
      <c r="AR373" s="691"/>
      <c r="AS373" s="691"/>
      <c r="AT373" s="691"/>
      <c r="AU373" s="692"/>
      <c r="AV373" s="1045"/>
      <c r="AW373" s="1046"/>
      <c r="AX373" s="1046"/>
      <c r="AY373" s="1046"/>
      <c r="AZ373" s="1046"/>
      <c r="BA373" s="689"/>
      <c r="BB373" s="1044"/>
      <c r="BC373" s="691"/>
      <c r="BD373" s="691"/>
      <c r="BE373" s="691"/>
      <c r="BF373" s="692"/>
      <c r="BG373" s="692"/>
      <c r="BH373" s="692"/>
      <c r="BI373" s="674"/>
      <c r="BJ373" s="674"/>
      <c r="BK373" s="689"/>
      <c r="BL373" s="689"/>
      <c r="BM373" s="667"/>
      <c r="BN373" s="667"/>
      <c r="BO373" s="691"/>
      <c r="BP373" s="691"/>
      <c r="BQ373" s="691"/>
      <c r="BR373" s="691"/>
      <c r="BS373" s="691"/>
      <c r="BT373" s="691"/>
      <c r="BU373" s="692"/>
      <c r="BV373" s="1045"/>
      <c r="BW373" s="1046"/>
      <c r="BX373" s="1046"/>
      <c r="BY373" s="1046"/>
      <c r="BZ373" s="1046"/>
      <c r="CA373" s="690"/>
      <c r="CB373" s="1044"/>
      <c r="CC373" s="691"/>
      <c r="CD373" s="691"/>
      <c r="CE373" s="691"/>
      <c r="CF373" s="692"/>
      <c r="CG373" s="692"/>
      <c r="CH373" s="692"/>
      <c r="CI373" s="674"/>
      <c r="CJ373" s="674"/>
      <c r="CK373" s="689"/>
      <c r="CL373" s="689"/>
      <c r="CM373" s="667"/>
      <c r="CN373" s="667"/>
      <c r="CO373" s="691"/>
      <c r="CP373" s="691"/>
      <c r="CQ373" s="691"/>
      <c r="CR373" s="691"/>
      <c r="CS373" s="691"/>
      <c r="CT373" s="691"/>
      <c r="CU373" s="692"/>
      <c r="CV373" s="1045"/>
      <c r="CW373" s="1046"/>
      <c r="CX373" s="1046"/>
      <c r="CY373" s="1046"/>
      <c r="CZ373" s="1046"/>
      <c r="DA373" s="690"/>
      <c r="DB373" s="1044"/>
      <c r="DC373" s="691"/>
      <c r="DD373" s="691"/>
      <c r="DE373" s="691"/>
      <c r="DF373" s="692"/>
      <c r="DG373" s="692"/>
      <c r="DH373" s="692"/>
      <c r="DI373" s="674"/>
      <c r="DJ373" s="674"/>
      <c r="DK373" s="689"/>
      <c r="DL373" s="689"/>
      <c r="DM373" s="667"/>
      <c r="DN373" s="667"/>
      <c r="DO373" s="691"/>
      <c r="DP373" s="691"/>
      <c r="DQ373" s="691"/>
      <c r="DR373" s="691"/>
      <c r="DS373" s="691"/>
      <c r="DT373" s="691"/>
      <c r="DU373" s="692"/>
      <c r="DV373" s="1045"/>
      <c r="DW373" s="1046"/>
      <c r="DX373" s="1046"/>
      <c r="DY373" s="1046"/>
      <c r="DZ373" s="1046"/>
    </row>
    <row r="374" spans="12:130" s="539" customFormat="1" ht="15" hidden="1" customHeight="1">
      <c r="L374" s="1168" t="s">
        <v>3099</v>
      </c>
      <c r="M374" s="1047"/>
      <c r="N374" s="1047"/>
      <c r="O374" s="1047"/>
      <c r="P374" s="1047"/>
      <c r="Q374" s="1047"/>
      <c r="R374" s="1047"/>
      <c r="S374" s="1047"/>
      <c r="T374" s="1047"/>
      <c r="U374" s="1047"/>
      <c r="V374" s="1047"/>
      <c r="W374" s="1047"/>
      <c r="X374" s="1047"/>
      <c r="Y374" s="1047"/>
      <c r="Z374" s="1047"/>
      <c r="AA374" s="1047"/>
      <c r="AB374" s="1750"/>
      <c r="AC374" s="1049"/>
      <c r="AD374" s="1049"/>
      <c r="AE374" s="691"/>
      <c r="AF374" s="692"/>
      <c r="AG374" s="692"/>
      <c r="AH374" s="692"/>
      <c r="AI374" s="674"/>
      <c r="AJ374" s="674"/>
      <c r="AK374" s="689"/>
      <c r="AL374" s="689"/>
      <c r="AM374" s="667"/>
      <c r="AN374" s="667"/>
      <c r="AO374" s="691"/>
      <c r="AP374" s="691"/>
      <c r="AQ374" s="691"/>
      <c r="AR374" s="691"/>
      <c r="AS374" s="691"/>
      <c r="AT374" s="691"/>
      <c r="AU374" s="692"/>
      <c r="AV374" s="1045"/>
      <c r="AW374" s="1046"/>
      <c r="AX374" s="1046"/>
      <c r="AY374" s="1046"/>
      <c r="AZ374" s="1046"/>
      <c r="BA374" s="689"/>
      <c r="BB374" s="1044"/>
      <c r="BC374" s="691"/>
      <c r="BD374" s="691"/>
      <c r="BE374" s="691"/>
      <c r="BF374" s="692"/>
      <c r="BG374" s="692"/>
      <c r="BH374" s="692"/>
      <c r="BI374" s="674"/>
      <c r="BJ374" s="674"/>
      <c r="BK374" s="689"/>
      <c r="BL374" s="689"/>
      <c r="BM374" s="667"/>
      <c r="BN374" s="667"/>
      <c r="BO374" s="691"/>
      <c r="BP374" s="691"/>
      <c r="BQ374" s="691"/>
      <c r="BR374" s="691"/>
      <c r="BS374" s="691"/>
      <c r="BT374" s="691"/>
      <c r="BU374" s="692"/>
      <c r="BV374" s="1045"/>
      <c r="BW374" s="1046"/>
      <c r="BX374" s="1046"/>
      <c r="BY374" s="1046"/>
      <c r="BZ374" s="1046"/>
      <c r="CA374" s="690"/>
      <c r="CB374" s="1044"/>
      <c r="CC374" s="691"/>
      <c r="CD374" s="691"/>
      <c r="CE374" s="691"/>
      <c r="CF374" s="692"/>
      <c r="CG374" s="692"/>
      <c r="CH374" s="692"/>
      <c r="CI374" s="674"/>
      <c r="CJ374" s="674"/>
      <c r="CK374" s="689"/>
      <c r="CL374" s="689"/>
      <c r="CM374" s="667"/>
      <c r="CN374" s="667"/>
      <c r="CO374" s="691"/>
      <c r="CP374" s="691"/>
      <c r="CQ374" s="691"/>
      <c r="CR374" s="691"/>
      <c r="CS374" s="691"/>
      <c r="CT374" s="691"/>
      <c r="CU374" s="692"/>
      <c r="CV374" s="1045"/>
      <c r="CW374" s="1046"/>
      <c r="CX374" s="1046"/>
      <c r="CY374" s="1046"/>
      <c r="CZ374" s="1046"/>
      <c r="DA374" s="690"/>
      <c r="DB374" s="1044"/>
      <c r="DC374" s="691"/>
      <c r="DD374" s="691"/>
      <c r="DE374" s="691"/>
      <c r="DF374" s="692"/>
      <c r="DG374" s="692"/>
      <c r="DH374" s="692"/>
      <c r="DI374" s="674"/>
      <c r="DJ374" s="674"/>
      <c r="DK374" s="689"/>
      <c r="DL374" s="689"/>
      <c r="DM374" s="667"/>
      <c r="DN374" s="667"/>
      <c r="DO374" s="691"/>
      <c r="DP374" s="691"/>
      <c r="DQ374" s="691"/>
      <c r="DR374" s="691"/>
      <c r="DS374" s="691"/>
      <c r="DT374" s="691"/>
      <c r="DU374" s="692"/>
      <c r="DV374" s="1045"/>
      <c r="DW374" s="1046"/>
      <c r="DX374" s="1046"/>
      <c r="DY374" s="1046"/>
      <c r="DZ374" s="1046"/>
    </row>
    <row r="375" spans="12:130" s="539" customFormat="1" ht="15" hidden="1" customHeight="1">
      <c r="L375" s="1168" t="s">
        <v>3100</v>
      </c>
      <c r="M375" s="1047"/>
      <c r="N375" s="1047"/>
      <c r="O375" s="1047"/>
      <c r="P375" s="1047"/>
      <c r="Q375" s="1047"/>
      <c r="R375" s="1047"/>
      <c r="S375" s="1047"/>
      <c r="T375" s="1047"/>
      <c r="U375" s="1047"/>
      <c r="V375" s="1047"/>
      <c r="W375" s="1047"/>
      <c r="X375" s="1047"/>
      <c r="Y375" s="1047"/>
      <c r="Z375" s="1047"/>
      <c r="AA375" s="1047"/>
      <c r="AB375" s="1750"/>
      <c r="AC375" s="1049"/>
      <c r="AD375" s="1049"/>
      <c r="AE375" s="691"/>
      <c r="AF375" s="692"/>
      <c r="AG375" s="692"/>
      <c r="AH375" s="692"/>
      <c r="AI375" s="674"/>
      <c r="AJ375" s="674"/>
      <c r="AK375" s="689"/>
      <c r="AL375" s="689"/>
      <c r="AM375" s="667"/>
      <c r="AN375" s="667"/>
      <c r="AO375" s="691"/>
      <c r="AP375" s="691"/>
      <c r="AQ375" s="691"/>
      <c r="AR375" s="691"/>
      <c r="AS375" s="691"/>
      <c r="AT375" s="691"/>
      <c r="AU375" s="692"/>
      <c r="AV375" s="1045"/>
      <c r="AW375" s="1046"/>
      <c r="AX375" s="1046"/>
      <c r="AY375" s="1046"/>
      <c r="AZ375" s="1046"/>
      <c r="BA375" s="689"/>
      <c r="BB375" s="1044"/>
      <c r="BC375" s="691"/>
      <c r="BD375" s="691"/>
      <c r="BE375" s="691"/>
      <c r="BF375" s="692"/>
      <c r="BG375" s="692"/>
      <c r="BH375" s="692"/>
      <c r="BI375" s="674"/>
      <c r="BJ375" s="674"/>
      <c r="BK375" s="689"/>
      <c r="BL375" s="689"/>
      <c r="BM375" s="667"/>
      <c r="BN375" s="667"/>
      <c r="BO375" s="691"/>
      <c r="BP375" s="691"/>
      <c r="BQ375" s="691"/>
      <c r="BR375" s="691"/>
      <c r="BS375" s="691"/>
      <c r="BT375" s="691"/>
      <c r="BU375" s="692"/>
      <c r="BV375" s="1045"/>
      <c r="BW375" s="1046"/>
      <c r="BX375" s="1046"/>
      <c r="BY375" s="1046"/>
      <c r="BZ375" s="1046"/>
      <c r="CA375" s="690"/>
      <c r="CB375" s="1044"/>
      <c r="CC375" s="691"/>
      <c r="CD375" s="691"/>
      <c r="CE375" s="691"/>
      <c r="CF375" s="692"/>
      <c r="CG375" s="692"/>
      <c r="CH375" s="692"/>
      <c r="CI375" s="674"/>
      <c r="CJ375" s="674"/>
      <c r="CK375" s="689"/>
      <c r="CL375" s="689"/>
      <c r="CM375" s="667"/>
      <c r="CN375" s="667"/>
      <c r="CO375" s="691"/>
      <c r="CP375" s="691"/>
      <c r="CQ375" s="691"/>
      <c r="CR375" s="691"/>
      <c r="CS375" s="691"/>
      <c r="CT375" s="691"/>
      <c r="CU375" s="692"/>
      <c r="CV375" s="1045"/>
      <c r="CW375" s="1046"/>
      <c r="CX375" s="1046"/>
      <c r="CY375" s="1046"/>
      <c r="CZ375" s="1046"/>
      <c r="DA375" s="690"/>
      <c r="DB375" s="1044"/>
      <c r="DC375" s="691"/>
      <c r="DD375" s="691"/>
      <c r="DE375" s="691"/>
      <c r="DF375" s="692"/>
      <c r="DG375" s="692"/>
      <c r="DH375" s="692"/>
      <c r="DI375" s="674"/>
      <c r="DJ375" s="674"/>
      <c r="DK375" s="689"/>
      <c r="DL375" s="689"/>
      <c r="DM375" s="667"/>
      <c r="DN375" s="667"/>
      <c r="DO375" s="691"/>
      <c r="DP375" s="691"/>
      <c r="DQ375" s="691"/>
      <c r="DR375" s="691"/>
      <c r="DS375" s="691"/>
      <c r="DT375" s="691"/>
      <c r="DU375" s="692"/>
      <c r="DV375" s="1045"/>
      <c r="DW375" s="1046"/>
      <c r="DX375" s="1046"/>
      <c r="DY375" s="1046"/>
      <c r="DZ375" s="1046"/>
    </row>
    <row r="376" spans="12:130" s="539" customFormat="1" ht="15" hidden="1" customHeight="1">
      <c r="L376" s="1168" t="s">
        <v>3101</v>
      </c>
      <c r="M376" s="1047"/>
      <c r="N376" s="1047"/>
      <c r="O376" s="1047"/>
      <c r="P376" s="1047"/>
      <c r="Q376" s="1047"/>
      <c r="R376" s="1047"/>
      <c r="S376" s="1047"/>
      <c r="T376" s="1047"/>
      <c r="U376" s="1047"/>
      <c r="V376" s="1047"/>
      <c r="W376" s="1047"/>
      <c r="X376" s="1047"/>
      <c r="Y376" s="1047"/>
      <c r="Z376" s="1047"/>
      <c r="AA376" s="1047"/>
      <c r="AB376" s="1750"/>
      <c r="AC376" s="1049"/>
      <c r="AD376" s="1049"/>
      <c r="AE376" s="691"/>
      <c r="AF376" s="692"/>
      <c r="AG376" s="692"/>
      <c r="AH376" s="692"/>
      <c r="AI376" s="674"/>
      <c r="AJ376" s="674"/>
      <c r="AK376" s="689"/>
      <c r="AL376" s="689"/>
      <c r="AM376" s="667"/>
      <c r="AN376" s="667"/>
      <c r="AO376" s="691"/>
      <c r="AP376" s="691"/>
      <c r="AQ376" s="691"/>
      <c r="AR376" s="691"/>
      <c r="AS376" s="691"/>
      <c r="AT376" s="691"/>
      <c r="AU376" s="692"/>
      <c r="AV376" s="1045"/>
      <c r="AW376" s="1046"/>
      <c r="AX376" s="1046"/>
      <c r="AY376" s="1046"/>
      <c r="AZ376" s="1046"/>
      <c r="BA376" s="689"/>
      <c r="BB376" s="1044"/>
      <c r="BC376" s="691"/>
      <c r="BD376" s="691"/>
      <c r="BE376" s="691"/>
      <c r="BF376" s="692"/>
      <c r="BG376" s="692"/>
      <c r="BH376" s="692"/>
      <c r="BI376" s="674"/>
      <c r="BJ376" s="674"/>
      <c r="BK376" s="689"/>
      <c r="BL376" s="689"/>
      <c r="BM376" s="667"/>
      <c r="BN376" s="667"/>
      <c r="BO376" s="691"/>
      <c r="BP376" s="691"/>
      <c r="BQ376" s="691"/>
      <c r="BR376" s="691"/>
      <c r="BS376" s="691"/>
      <c r="BT376" s="691"/>
      <c r="BU376" s="692"/>
      <c r="BV376" s="1045"/>
      <c r="BW376" s="1046"/>
      <c r="BX376" s="1046"/>
      <c r="BY376" s="1046"/>
      <c r="BZ376" s="1046"/>
      <c r="CA376" s="690"/>
      <c r="CB376" s="1044"/>
      <c r="CC376" s="691"/>
      <c r="CD376" s="691"/>
      <c r="CE376" s="691"/>
      <c r="CF376" s="692"/>
      <c r="CG376" s="692"/>
      <c r="CH376" s="692"/>
      <c r="CI376" s="674"/>
      <c r="CJ376" s="674"/>
      <c r="CK376" s="689"/>
      <c r="CL376" s="689"/>
      <c r="CM376" s="667"/>
      <c r="CN376" s="667"/>
      <c r="CO376" s="691"/>
      <c r="CP376" s="691"/>
      <c r="CQ376" s="691"/>
      <c r="CR376" s="691"/>
      <c r="CS376" s="691"/>
      <c r="CT376" s="691"/>
      <c r="CU376" s="692"/>
      <c r="CV376" s="1045"/>
      <c r="CW376" s="1046"/>
      <c r="CX376" s="1046"/>
      <c r="CY376" s="1046"/>
      <c r="CZ376" s="1046"/>
      <c r="DA376" s="690"/>
      <c r="DB376" s="1044"/>
      <c r="DC376" s="691"/>
      <c r="DD376" s="691"/>
      <c r="DE376" s="691"/>
      <c r="DF376" s="692"/>
      <c r="DG376" s="692"/>
      <c r="DH376" s="692"/>
      <c r="DI376" s="674"/>
      <c r="DJ376" s="674"/>
      <c r="DK376" s="689"/>
      <c r="DL376" s="689"/>
      <c r="DM376" s="667"/>
      <c r="DN376" s="667"/>
      <c r="DO376" s="691"/>
      <c r="DP376" s="691"/>
      <c r="DQ376" s="691"/>
      <c r="DR376" s="691"/>
      <c r="DS376" s="691"/>
      <c r="DT376" s="691"/>
      <c r="DU376" s="692"/>
      <c r="DV376" s="1045"/>
      <c r="DW376" s="1046"/>
      <c r="DX376" s="1046"/>
      <c r="DY376" s="1046"/>
      <c r="DZ376" s="1046"/>
    </row>
    <row r="377" spans="12:130" s="539" customFormat="1" ht="15" hidden="1" customHeight="1">
      <c r="L377" s="1168" t="s">
        <v>3102</v>
      </c>
      <c r="M377" s="1047"/>
      <c r="N377" s="1047"/>
      <c r="O377" s="1047"/>
      <c r="P377" s="1047"/>
      <c r="Q377" s="1047"/>
      <c r="R377" s="1047"/>
      <c r="S377" s="1047"/>
      <c r="T377" s="1047"/>
      <c r="U377" s="1047"/>
      <c r="V377" s="1047"/>
      <c r="W377" s="1047"/>
      <c r="X377" s="1047"/>
      <c r="Y377" s="1047"/>
      <c r="Z377" s="1047"/>
      <c r="AA377" s="1047"/>
      <c r="AB377" s="1750"/>
      <c r="AC377" s="1049"/>
      <c r="AD377" s="1049"/>
      <c r="AE377" s="691"/>
      <c r="AF377" s="692"/>
      <c r="AG377" s="692"/>
      <c r="AH377" s="692"/>
      <c r="AI377" s="674"/>
      <c r="AJ377" s="674"/>
      <c r="AK377" s="689"/>
      <c r="AL377" s="689"/>
      <c r="AM377" s="667"/>
      <c r="AN377" s="667"/>
      <c r="AO377" s="691"/>
      <c r="AP377" s="691"/>
      <c r="AQ377" s="691"/>
      <c r="AR377" s="691"/>
      <c r="AS377" s="691"/>
      <c r="AT377" s="691"/>
      <c r="AU377" s="692"/>
      <c r="AV377" s="1045"/>
      <c r="AW377" s="1046"/>
      <c r="AX377" s="1046"/>
      <c r="AY377" s="1046"/>
      <c r="AZ377" s="1046"/>
      <c r="BA377" s="689"/>
      <c r="BB377" s="1044"/>
      <c r="BC377" s="691"/>
      <c r="BD377" s="691"/>
      <c r="BE377" s="691"/>
      <c r="BF377" s="692"/>
      <c r="BG377" s="692"/>
      <c r="BH377" s="692"/>
      <c r="BI377" s="674"/>
      <c r="BJ377" s="674"/>
      <c r="BK377" s="689"/>
      <c r="BL377" s="689"/>
      <c r="BM377" s="667"/>
      <c r="BN377" s="667"/>
      <c r="BO377" s="691"/>
      <c r="BP377" s="691"/>
      <c r="BQ377" s="691"/>
      <c r="BR377" s="691"/>
      <c r="BS377" s="691"/>
      <c r="BT377" s="691"/>
      <c r="BU377" s="692"/>
      <c r="BV377" s="1045"/>
      <c r="BW377" s="1046"/>
      <c r="BX377" s="1046"/>
      <c r="BY377" s="1046"/>
      <c r="BZ377" s="1046"/>
      <c r="CA377" s="690"/>
      <c r="CB377" s="1044"/>
      <c r="CC377" s="691"/>
      <c r="CD377" s="691"/>
      <c r="CE377" s="691"/>
      <c r="CF377" s="692"/>
      <c r="CG377" s="692"/>
      <c r="CH377" s="692"/>
      <c r="CI377" s="674"/>
      <c r="CJ377" s="674"/>
      <c r="CK377" s="689"/>
      <c r="CL377" s="689"/>
      <c r="CM377" s="667"/>
      <c r="CN377" s="667"/>
      <c r="CO377" s="691"/>
      <c r="CP377" s="691"/>
      <c r="CQ377" s="691"/>
      <c r="CR377" s="691"/>
      <c r="CS377" s="691"/>
      <c r="CT377" s="691"/>
      <c r="CU377" s="692"/>
      <c r="CV377" s="1045"/>
      <c r="CW377" s="1046"/>
      <c r="CX377" s="1046"/>
      <c r="CY377" s="1046"/>
      <c r="CZ377" s="1046"/>
      <c r="DA377" s="690"/>
      <c r="DB377" s="1044"/>
      <c r="DC377" s="691"/>
      <c r="DD377" s="691"/>
      <c r="DE377" s="691"/>
      <c r="DF377" s="692"/>
      <c r="DG377" s="692"/>
      <c r="DH377" s="692"/>
      <c r="DI377" s="674"/>
      <c r="DJ377" s="674"/>
      <c r="DK377" s="689"/>
      <c r="DL377" s="689"/>
      <c r="DM377" s="667"/>
      <c r="DN377" s="667"/>
      <c r="DO377" s="691"/>
      <c r="DP377" s="691"/>
      <c r="DQ377" s="691"/>
      <c r="DR377" s="691"/>
      <c r="DS377" s="691"/>
      <c r="DT377" s="691"/>
      <c r="DU377" s="692"/>
      <c r="DV377" s="1045"/>
      <c r="DW377" s="1046"/>
      <c r="DX377" s="1046"/>
      <c r="DY377" s="1046"/>
      <c r="DZ377" s="1046"/>
    </row>
    <row r="378" spans="12:130" s="539" customFormat="1" ht="15" hidden="1" customHeight="1">
      <c r="L378" s="1168" t="s">
        <v>3103</v>
      </c>
      <c r="M378" s="1047"/>
      <c r="N378" s="1047"/>
      <c r="O378" s="1047"/>
      <c r="P378" s="1047"/>
      <c r="Q378" s="1047"/>
      <c r="R378" s="1047"/>
      <c r="S378" s="1047"/>
      <c r="T378" s="1047"/>
      <c r="U378" s="1047"/>
      <c r="V378" s="1047"/>
      <c r="W378" s="1047"/>
      <c r="X378" s="1047"/>
      <c r="Y378" s="1047"/>
      <c r="Z378" s="1047"/>
      <c r="AA378" s="1047"/>
      <c r="AB378" s="1750"/>
      <c r="AC378" s="1049"/>
      <c r="AD378" s="1049"/>
      <c r="AE378" s="691"/>
      <c r="AF378" s="692"/>
      <c r="AG378" s="692"/>
      <c r="AH378" s="692"/>
      <c r="AI378" s="674"/>
      <c r="AJ378" s="674"/>
      <c r="AK378" s="689"/>
      <c r="AL378" s="689"/>
      <c r="AM378" s="667"/>
      <c r="AN378" s="667"/>
      <c r="AO378" s="691"/>
      <c r="AP378" s="691"/>
      <c r="AQ378" s="691"/>
      <c r="AR378" s="691"/>
      <c r="AS378" s="691"/>
      <c r="AT378" s="691"/>
      <c r="AU378" s="692"/>
      <c r="AV378" s="1045"/>
      <c r="AW378" s="1046"/>
      <c r="AX378" s="1046"/>
      <c r="AY378" s="1046"/>
      <c r="AZ378" s="1046"/>
      <c r="BA378" s="689"/>
      <c r="BB378" s="1044"/>
      <c r="BC378" s="691"/>
      <c r="BD378" s="691"/>
      <c r="BE378" s="691"/>
      <c r="BF378" s="692"/>
      <c r="BG378" s="692"/>
      <c r="BH378" s="692"/>
      <c r="BI378" s="674"/>
      <c r="BJ378" s="674"/>
      <c r="BK378" s="689"/>
      <c r="BL378" s="689"/>
      <c r="BM378" s="667"/>
      <c r="BN378" s="667"/>
      <c r="BO378" s="691"/>
      <c r="BP378" s="691"/>
      <c r="BQ378" s="691"/>
      <c r="BR378" s="691"/>
      <c r="BS378" s="691"/>
      <c r="BT378" s="691"/>
      <c r="BU378" s="692"/>
      <c r="BV378" s="1045"/>
      <c r="BW378" s="1046"/>
      <c r="BX378" s="1046"/>
      <c r="BY378" s="1046"/>
      <c r="BZ378" s="1046"/>
      <c r="CA378" s="690"/>
      <c r="CB378" s="1044"/>
      <c r="CC378" s="691"/>
      <c r="CD378" s="691"/>
      <c r="CE378" s="691"/>
      <c r="CF378" s="692"/>
      <c r="CG378" s="692"/>
      <c r="CH378" s="692"/>
      <c r="CI378" s="674"/>
      <c r="CJ378" s="674"/>
      <c r="CK378" s="689"/>
      <c r="CL378" s="689"/>
      <c r="CM378" s="667"/>
      <c r="CN378" s="667"/>
      <c r="CO378" s="691"/>
      <c r="CP378" s="691"/>
      <c r="CQ378" s="691"/>
      <c r="CR378" s="691"/>
      <c r="CS378" s="691"/>
      <c r="CT378" s="691"/>
      <c r="CU378" s="692"/>
      <c r="CV378" s="1045"/>
      <c r="CW378" s="1046"/>
      <c r="CX378" s="1046"/>
      <c r="CY378" s="1046"/>
      <c r="CZ378" s="1046"/>
      <c r="DA378" s="690"/>
      <c r="DB378" s="1044"/>
      <c r="DC378" s="691"/>
      <c r="DD378" s="691"/>
      <c r="DE378" s="691"/>
      <c r="DF378" s="692"/>
      <c r="DG378" s="692"/>
      <c r="DH378" s="692"/>
      <c r="DI378" s="674"/>
      <c r="DJ378" s="674"/>
      <c r="DK378" s="689"/>
      <c r="DL378" s="689"/>
      <c r="DM378" s="667"/>
      <c r="DN378" s="667"/>
      <c r="DO378" s="691"/>
      <c r="DP378" s="691"/>
      <c r="DQ378" s="691"/>
      <c r="DR378" s="691"/>
      <c r="DS378" s="691"/>
      <c r="DT378" s="691"/>
      <c r="DU378" s="692"/>
      <c r="DV378" s="1045"/>
      <c r="DW378" s="1046"/>
      <c r="DX378" s="1046"/>
      <c r="DY378" s="1046"/>
      <c r="DZ378" s="1046"/>
    </row>
    <row r="379" spans="12:130" s="539" customFormat="1" ht="15" hidden="1" customHeight="1">
      <c r="L379" s="1168" t="s">
        <v>3104</v>
      </c>
      <c r="M379" s="1047"/>
      <c r="N379" s="1047"/>
      <c r="O379" s="1047"/>
      <c r="P379" s="1047"/>
      <c r="Q379" s="1047"/>
      <c r="R379" s="1047"/>
      <c r="S379" s="1047"/>
      <c r="T379" s="1047"/>
      <c r="U379" s="1047"/>
      <c r="V379" s="1047"/>
      <c r="W379" s="1047"/>
      <c r="X379" s="1047"/>
      <c r="Y379" s="1047"/>
      <c r="Z379" s="1047"/>
      <c r="AA379" s="1047"/>
      <c r="AB379" s="1750"/>
      <c r="AC379" s="1049"/>
      <c r="AD379" s="1049"/>
      <c r="AE379" s="691"/>
      <c r="AF379" s="692"/>
      <c r="AG379" s="692"/>
      <c r="AH379" s="692"/>
      <c r="AI379" s="674"/>
      <c r="AJ379" s="674"/>
      <c r="AK379" s="689"/>
      <c r="AL379" s="689"/>
      <c r="AM379" s="667"/>
      <c r="AN379" s="667"/>
      <c r="AO379" s="691"/>
      <c r="AP379" s="691"/>
      <c r="AQ379" s="691"/>
      <c r="AR379" s="691"/>
      <c r="AS379" s="691"/>
      <c r="AT379" s="691"/>
      <c r="AU379" s="692"/>
      <c r="AV379" s="1045"/>
      <c r="AW379" s="1046"/>
      <c r="AX379" s="1046"/>
      <c r="AY379" s="1046"/>
      <c r="AZ379" s="1046"/>
      <c r="BA379" s="689"/>
      <c r="BB379" s="1044"/>
      <c r="BC379" s="691"/>
      <c r="BD379" s="691"/>
      <c r="BE379" s="691"/>
      <c r="BF379" s="692"/>
      <c r="BG379" s="692"/>
      <c r="BH379" s="692"/>
      <c r="BI379" s="674"/>
      <c r="BJ379" s="674"/>
      <c r="BK379" s="689"/>
      <c r="BL379" s="689"/>
      <c r="BM379" s="667"/>
      <c r="BN379" s="667"/>
      <c r="BO379" s="691"/>
      <c r="BP379" s="691"/>
      <c r="BQ379" s="691"/>
      <c r="BR379" s="691"/>
      <c r="BS379" s="691"/>
      <c r="BT379" s="691"/>
      <c r="BU379" s="692"/>
      <c r="BV379" s="1045"/>
      <c r="BW379" s="1046"/>
      <c r="BX379" s="1046"/>
      <c r="BY379" s="1046"/>
      <c r="BZ379" s="1046"/>
      <c r="CA379" s="690"/>
      <c r="CB379" s="1044"/>
      <c r="CC379" s="691"/>
      <c r="CD379" s="691"/>
      <c r="CE379" s="691"/>
      <c r="CF379" s="692"/>
      <c r="CG379" s="692"/>
      <c r="CH379" s="692"/>
      <c r="CI379" s="674"/>
      <c r="CJ379" s="674"/>
      <c r="CK379" s="689"/>
      <c r="CL379" s="689"/>
      <c r="CM379" s="667"/>
      <c r="CN379" s="667"/>
      <c r="CO379" s="691"/>
      <c r="CP379" s="691"/>
      <c r="CQ379" s="691"/>
      <c r="CR379" s="691"/>
      <c r="CS379" s="691"/>
      <c r="CT379" s="691"/>
      <c r="CU379" s="692"/>
      <c r="CV379" s="1045"/>
      <c r="CW379" s="1046"/>
      <c r="CX379" s="1046"/>
      <c r="CY379" s="1046"/>
      <c r="CZ379" s="1046"/>
      <c r="DA379" s="690"/>
      <c r="DB379" s="1044"/>
      <c r="DC379" s="691"/>
      <c r="DD379" s="691"/>
      <c r="DE379" s="691"/>
      <c r="DF379" s="692"/>
      <c r="DG379" s="692"/>
      <c r="DH379" s="692"/>
      <c r="DI379" s="674"/>
      <c r="DJ379" s="674"/>
      <c r="DK379" s="689"/>
      <c r="DL379" s="689"/>
      <c r="DM379" s="667"/>
      <c r="DN379" s="667"/>
      <c r="DO379" s="691"/>
      <c r="DP379" s="691"/>
      <c r="DQ379" s="691"/>
      <c r="DR379" s="691"/>
      <c r="DS379" s="691"/>
      <c r="DT379" s="691"/>
      <c r="DU379" s="692"/>
      <c r="DV379" s="1045"/>
      <c r="DW379" s="1046"/>
      <c r="DX379" s="1046"/>
      <c r="DY379" s="1046"/>
      <c r="DZ379" s="1046"/>
    </row>
    <row r="380" spans="12:130" s="539" customFormat="1" ht="15" hidden="1" customHeight="1">
      <c r="L380" s="1168" t="s">
        <v>3105</v>
      </c>
      <c r="M380" s="1047"/>
      <c r="N380" s="1047"/>
      <c r="O380" s="1047"/>
      <c r="P380" s="1047"/>
      <c r="Q380" s="1047"/>
      <c r="R380" s="1047"/>
      <c r="S380" s="1047"/>
      <c r="T380" s="1047"/>
      <c r="U380" s="1047"/>
      <c r="V380" s="1047"/>
      <c r="W380" s="1047"/>
      <c r="X380" s="1047"/>
      <c r="Y380" s="1047"/>
      <c r="Z380" s="1047"/>
      <c r="AA380" s="1047"/>
      <c r="AB380" s="1750"/>
      <c r="AC380" s="1049"/>
      <c r="AD380" s="1049"/>
      <c r="AE380" s="691"/>
      <c r="AF380" s="692"/>
      <c r="AG380" s="692"/>
      <c r="AH380" s="692"/>
      <c r="AI380" s="674"/>
      <c r="AJ380" s="674"/>
      <c r="AK380" s="689"/>
      <c r="AL380" s="689"/>
      <c r="AM380" s="667"/>
      <c r="AN380" s="667"/>
      <c r="AO380" s="691"/>
      <c r="AP380" s="691"/>
      <c r="AQ380" s="691"/>
      <c r="AR380" s="691"/>
      <c r="AS380" s="691"/>
      <c r="AT380" s="691"/>
      <c r="AU380" s="692"/>
      <c r="AV380" s="1045"/>
      <c r="AW380" s="1046"/>
      <c r="AX380" s="1046"/>
      <c r="AY380" s="1046"/>
      <c r="AZ380" s="1046"/>
      <c r="BA380" s="689"/>
      <c r="BB380" s="1044"/>
      <c r="BC380" s="691"/>
      <c r="BD380" s="691"/>
      <c r="BE380" s="691"/>
      <c r="BF380" s="692"/>
      <c r="BG380" s="692"/>
      <c r="BH380" s="692"/>
      <c r="BI380" s="674"/>
      <c r="BJ380" s="674"/>
      <c r="BK380" s="689"/>
      <c r="BL380" s="689"/>
      <c r="BM380" s="667"/>
      <c r="BN380" s="667"/>
      <c r="BO380" s="691"/>
      <c r="BP380" s="691"/>
      <c r="BQ380" s="691"/>
      <c r="BR380" s="691"/>
      <c r="BS380" s="691"/>
      <c r="BT380" s="691"/>
      <c r="BU380" s="692"/>
      <c r="BV380" s="1045"/>
      <c r="BW380" s="1046"/>
      <c r="BX380" s="1046"/>
      <c r="BY380" s="1046"/>
      <c r="BZ380" s="1046"/>
      <c r="CA380" s="690"/>
      <c r="CB380" s="1044"/>
      <c r="CC380" s="691"/>
      <c r="CD380" s="691"/>
      <c r="CE380" s="691"/>
      <c r="CF380" s="692"/>
      <c r="CG380" s="692"/>
      <c r="CH380" s="692"/>
      <c r="CI380" s="674"/>
      <c r="CJ380" s="674"/>
      <c r="CK380" s="689"/>
      <c r="CL380" s="689"/>
      <c r="CM380" s="667"/>
      <c r="CN380" s="667"/>
      <c r="CO380" s="691"/>
      <c r="CP380" s="691"/>
      <c r="CQ380" s="691"/>
      <c r="CR380" s="691"/>
      <c r="CS380" s="691"/>
      <c r="CT380" s="691"/>
      <c r="CU380" s="692"/>
      <c r="CV380" s="1045"/>
      <c r="CW380" s="1046"/>
      <c r="CX380" s="1046"/>
      <c r="CY380" s="1046"/>
      <c r="CZ380" s="1046"/>
      <c r="DA380" s="690"/>
      <c r="DB380" s="1044"/>
      <c r="DC380" s="691"/>
      <c r="DD380" s="691"/>
      <c r="DE380" s="691"/>
      <c r="DF380" s="692"/>
      <c r="DG380" s="692"/>
      <c r="DH380" s="692"/>
      <c r="DI380" s="674"/>
      <c r="DJ380" s="674"/>
      <c r="DK380" s="689"/>
      <c r="DL380" s="689"/>
      <c r="DM380" s="667"/>
      <c r="DN380" s="667"/>
      <c r="DO380" s="691"/>
      <c r="DP380" s="691"/>
      <c r="DQ380" s="691"/>
      <c r="DR380" s="691"/>
      <c r="DS380" s="691"/>
      <c r="DT380" s="691"/>
      <c r="DU380" s="692"/>
      <c r="DV380" s="1045"/>
      <c r="DW380" s="1046"/>
      <c r="DX380" s="1046"/>
      <c r="DY380" s="1046"/>
      <c r="DZ380" s="1046"/>
    </row>
    <row r="381" spans="12:130" s="539" customFormat="1" ht="15" hidden="1" customHeight="1">
      <c r="L381" s="1168" t="s">
        <v>3106</v>
      </c>
      <c r="M381" s="1047"/>
      <c r="N381" s="1047"/>
      <c r="O381" s="1047"/>
      <c r="P381" s="1047"/>
      <c r="Q381" s="1047"/>
      <c r="R381" s="1047"/>
      <c r="S381" s="1047"/>
      <c r="T381" s="1047"/>
      <c r="U381" s="1047"/>
      <c r="V381" s="1047"/>
      <c r="W381" s="1047"/>
      <c r="X381" s="1047"/>
      <c r="Y381" s="1047"/>
      <c r="Z381" s="1047"/>
      <c r="AA381" s="1047"/>
      <c r="AB381" s="1750"/>
      <c r="AC381" s="1049"/>
      <c r="AD381" s="1049"/>
      <c r="AE381" s="691"/>
      <c r="AF381" s="692"/>
      <c r="AG381" s="692"/>
      <c r="AH381" s="692"/>
      <c r="AI381" s="674"/>
      <c r="AJ381" s="674"/>
      <c r="AK381" s="689"/>
      <c r="AL381" s="689"/>
      <c r="AM381" s="667"/>
      <c r="AN381" s="667"/>
      <c r="AO381" s="691"/>
      <c r="AP381" s="691"/>
      <c r="AQ381" s="691"/>
      <c r="AR381" s="691"/>
      <c r="AS381" s="691"/>
      <c r="AT381" s="691"/>
      <c r="AU381" s="692"/>
      <c r="AV381" s="1045"/>
      <c r="AW381" s="1046"/>
      <c r="AX381" s="1046"/>
      <c r="AY381" s="1046"/>
      <c r="AZ381" s="1046"/>
      <c r="BA381" s="689"/>
      <c r="BB381" s="1044"/>
      <c r="BC381" s="691"/>
      <c r="BD381" s="691"/>
      <c r="BE381" s="691"/>
      <c r="BF381" s="692"/>
      <c r="BG381" s="692"/>
      <c r="BH381" s="692"/>
      <c r="BI381" s="674"/>
      <c r="BJ381" s="674"/>
      <c r="BK381" s="689"/>
      <c r="BL381" s="689"/>
      <c r="BM381" s="667"/>
      <c r="BN381" s="667"/>
      <c r="BO381" s="691"/>
      <c r="BP381" s="691"/>
      <c r="BQ381" s="691"/>
      <c r="BR381" s="691"/>
      <c r="BS381" s="691"/>
      <c r="BT381" s="691"/>
      <c r="BU381" s="692"/>
      <c r="BV381" s="1045"/>
      <c r="BW381" s="1046"/>
      <c r="BX381" s="1046"/>
      <c r="BY381" s="1046"/>
      <c r="BZ381" s="1046"/>
      <c r="CA381" s="690"/>
      <c r="CB381" s="1044"/>
      <c r="CC381" s="691"/>
      <c r="CD381" s="691"/>
      <c r="CE381" s="691"/>
      <c r="CF381" s="692"/>
      <c r="CG381" s="692"/>
      <c r="CH381" s="692"/>
      <c r="CI381" s="674"/>
      <c r="CJ381" s="674"/>
      <c r="CK381" s="689"/>
      <c r="CL381" s="689"/>
      <c r="CM381" s="667"/>
      <c r="CN381" s="667"/>
      <c r="CO381" s="691"/>
      <c r="CP381" s="691"/>
      <c r="CQ381" s="691"/>
      <c r="CR381" s="691"/>
      <c r="CS381" s="691"/>
      <c r="CT381" s="691"/>
      <c r="CU381" s="692"/>
      <c r="CV381" s="1045"/>
      <c r="CW381" s="1046"/>
      <c r="CX381" s="1046"/>
      <c r="CY381" s="1046"/>
      <c r="CZ381" s="1046"/>
      <c r="DA381" s="690"/>
      <c r="DB381" s="1044"/>
      <c r="DC381" s="691"/>
      <c r="DD381" s="691"/>
      <c r="DE381" s="691"/>
      <c r="DF381" s="692"/>
      <c r="DG381" s="692"/>
      <c r="DH381" s="692"/>
      <c r="DI381" s="674"/>
      <c r="DJ381" s="674"/>
      <c r="DK381" s="689"/>
      <c r="DL381" s="689"/>
      <c r="DM381" s="667"/>
      <c r="DN381" s="667"/>
      <c r="DO381" s="691"/>
      <c r="DP381" s="691"/>
      <c r="DQ381" s="691"/>
      <c r="DR381" s="691"/>
      <c r="DS381" s="691"/>
      <c r="DT381" s="691"/>
      <c r="DU381" s="692"/>
      <c r="DV381" s="1045"/>
      <c r="DW381" s="1046"/>
      <c r="DX381" s="1046"/>
      <c r="DY381" s="1046"/>
      <c r="DZ381" s="1046"/>
    </row>
    <row r="382" spans="12:130" s="539" customFormat="1" ht="15" hidden="1" customHeight="1">
      <c r="L382" s="1168"/>
      <c r="M382" s="1047"/>
      <c r="N382" s="1047"/>
      <c r="O382" s="1047"/>
      <c r="P382" s="1047"/>
      <c r="Q382" s="1047"/>
      <c r="R382" s="1047"/>
      <c r="S382" s="1047"/>
      <c r="T382" s="1047"/>
      <c r="U382" s="1047"/>
      <c r="V382" s="1047"/>
      <c r="W382" s="1047"/>
      <c r="X382" s="1047"/>
      <c r="Y382" s="1047"/>
      <c r="Z382" s="1047"/>
      <c r="AA382" s="1047"/>
      <c r="AB382" s="1750"/>
      <c r="AC382" s="1049"/>
      <c r="AD382" s="1049"/>
      <c r="AE382" s="691"/>
      <c r="AF382" s="692"/>
      <c r="AG382" s="692"/>
      <c r="AH382" s="692"/>
      <c r="AI382" s="674"/>
      <c r="AJ382" s="674"/>
      <c r="AK382" s="689"/>
      <c r="AL382" s="689"/>
      <c r="AM382" s="667"/>
      <c r="AN382" s="667"/>
      <c r="AO382" s="691"/>
      <c r="AP382" s="691"/>
      <c r="AQ382" s="691"/>
      <c r="AR382" s="691"/>
      <c r="AS382" s="691"/>
      <c r="AT382" s="691"/>
      <c r="AU382" s="692"/>
      <c r="AV382" s="1045"/>
      <c r="AW382" s="1046"/>
      <c r="AX382" s="1046"/>
      <c r="AY382" s="1046"/>
      <c r="AZ382" s="1046"/>
      <c r="BA382" s="689"/>
      <c r="BB382" s="1044"/>
      <c r="BC382" s="691"/>
      <c r="BD382" s="691"/>
      <c r="BE382" s="691"/>
      <c r="BF382" s="692"/>
      <c r="BG382" s="692"/>
      <c r="BH382" s="692"/>
      <c r="BI382" s="674"/>
      <c r="BJ382" s="674"/>
      <c r="BK382" s="689"/>
      <c r="BL382" s="689"/>
      <c r="BM382" s="667"/>
      <c r="BN382" s="667"/>
      <c r="BO382" s="691"/>
      <c r="BP382" s="691"/>
      <c r="BQ382" s="691"/>
      <c r="BR382" s="691"/>
      <c r="BS382" s="691"/>
      <c r="BT382" s="691"/>
      <c r="BU382" s="692"/>
      <c r="BV382" s="1045"/>
      <c r="BW382" s="1046"/>
      <c r="BX382" s="1046"/>
      <c r="BY382" s="1046"/>
      <c r="BZ382" s="1046"/>
      <c r="CA382" s="690"/>
      <c r="CB382" s="1044"/>
      <c r="CC382" s="691"/>
      <c r="CD382" s="691"/>
      <c r="CE382" s="691"/>
      <c r="CF382" s="692"/>
      <c r="CG382" s="692"/>
      <c r="CH382" s="692"/>
      <c r="CI382" s="674"/>
      <c r="CJ382" s="674"/>
      <c r="CK382" s="689"/>
      <c r="CL382" s="689"/>
      <c r="CM382" s="667"/>
      <c r="CN382" s="667"/>
      <c r="CO382" s="691"/>
      <c r="CP382" s="691"/>
      <c r="CQ382" s="691"/>
      <c r="CR382" s="691"/>
      <c r="CS382" s="691"/>
      <c r="CT382" s="691"/>
      <c r="CU382" s="692"/>
      <c r="CV382" s="1045"/>
      <c r="CW382" s="1046"/>
      <c r="CX382" s="1046"/>
      <c r="CY382" s="1046"/>
      <c r="CZ382" s="1046"/>
      <c r="DA382" s="690"/>
      <c r="DB382" s="1044"/>
      <c r="DC382" s="691"/>
      <c r="DD382" s="691"/>
      <c r="DE382" s="691"/>
      <c r="DF382" s="692"/>
      <c r="DG382" s="692"/>
      <c r="DH382" s="692"/>
      <c r="DI382" s="674"/>
      <c r="DJ382" s="674"/>
      <c r="DK382" s="689"/>
      <c r="DL382" s="689"/>
      <c r="DM382" s="667"/>
      <c r="DN382" s="667"/>
      <c r="DO382" s="691"/>
      <c r="DP382" s="691"/>
      <c r="DQ382" s="691"/>
      <c r="DR382" s="691"/>
      <c r="DS382" s="691"/>
      <c r="DT382" s="691"/>
      <c r="DU382" s="692"/>
      <c r="DV382" s="1045"/>
      <c r="DW382" s="1046"/>
      <c r="DX382" s="1046"/>
      <c r="DY382" s="1046"/>
      <c r="DZ382" s="1046"/>
    </row>
    <row r="383" spans="12:130" s="539" customFormat="1" ht="15" hidden="1" customHeight="1">
      <c r="L383" s="1168" t="s">
        <v>2882</v>
      </c>
      <c r="M383" s="1047"/>
      <c r="N383" s="1047"/>
      <c r="O383" s="1047"/>
      <c r="P383" s="1047"/>
      <c r="Q383" s="1047"/>
      <c r="R383" s="1047"/>
      <c r="S383" s="1047"/>
      <c r="T383" s="1047"/>
      <c r="U383" s="1047"/>
      <c r="V383" s="1047"/>
      <c r="W383" s="1047"/>
      <c r="X383" s="1047"/>
      <c r="Y383" s="1047"/>
      <c r="Z383" s="1047"/>
      <c r="AA383" s="1047"/>
      <c r="AB383" s="1750"/>
      <c r="AC383" s="1049"/>
      <c r="AD383" s="1049"/>
      <c r="AE383" s="691"/>
      <c r="AF383" s="692"/>
      <c r="AG383" s="692"/>
      <c r="AH383" s="692"/>
      <c r="AI383" s="674"/>
      <c r="AJ383" s="674"/>
      <c r="AK383" s="689"/>
      <c r="AL383" s="689"/>
      <c r="AM383" s="667"/>
      <c r="AN383" s="667"/>
      <c r="AO383" s="691"/>
      <c r="AP383" s="691"/>
      <c r="AQ383" s="691"/>
      <c r="AR383" s="691"/>
      <c r="AS383" s="691"/>
      <c r="AT383" s="691"/>
      <c r="AU383" s="692"/>
      <c r="AV383" s="1045"/>
      <c r="AW383" s="1046"/>
      <c r="AX383" s="1046"/>
      <c r="AY383" s="1046"/>
      <c r="AZ383" s="1046"/>
      <c r="BA383" s="689"/>
      <c r="BB383" s="1044"/>
      <c r="BC383" s="691"/>
      <c r="BD383" s="691"/>
      <c r="BE383" s="691"/>
      <c r="BF383" s="692"/>
      <c r="BG383" s="692"/>
      <c r="BH383" s="692"/>
      <c r="BI383" s="674"/>
      <c r="BJ383" s="674"/>
      <c r="BK383" s="689"/>
      <c r="BL383" s="689"/>
      <c r="BM383" s="667"/>
      <c r="BN383" s="667"/>
      <c r="BO383" s="691"/>
      <c r="BP383" s="691"/>
      <c r="BQ383" s="691"/>
      <c r="BR383" s="691"/>
      <c r="BS383" s="691"/>
      <c r="BT383" s="691"/>
      <c r="BU383" s="692"/>
      <c r="BV383" s="1045"/>
      <c r="BW383" s="1046"/>
      <c r="BX383" s="1046"/>
      <c r="BY383" s="1046"/>
      <c r="BZ383" s="1046"/>
      <c r="CA383" s="690"/>
      <c r="CB383" s="1044"/>
      <c r="CC383" s="691"/>
      <c r="CD383" s="691"/>
      <c r="CE383" s="691"/>
      <c r="CF383" s="692"/>
      <c r="CG383" s="692"/>
      <c r="CH383" s="692"/>
      <c r="CI383" s="674"/>
      <c r="CJ383" s="674"/>
      <c r="CK383" s="689"/>
      <c r="CL383" s="689"/>
      <c r="CM383" s="667"/>
      <c r="CN383" s="667"/>
      <c r="CO383" s="691"/>
      <c r="CP383" s="691"/>
      <c r="CQ383" s="691"/>
      <c r="CR383" s="691"/>
      <c r="CS383" s="691"/>
      <c r="CT383" s="691"/>
      <c r="CU383" s="692"/>
      <c r="CV383" s="1045"/>
      <c r="CW383" s="1046"/>
      <c r="CX383" s="1046"/>
      <c r="CY383" s="1046"/>
      <c r="CZ383" s="1046"/>
      <c r="DA383" s="690"/>
      <c r="DB383" s="1044"/>
      <c r="DC383" s="691"/>
      <c r="DD383" s="691"/>
      <c r="DE383" s="691"/>
      <c r="DF383" s="692"/>
      <c r="DG383" s="692"/>
      <c r="DH383" s="692"/>
      <c r="DI383" s="674"/>
      <c r="DJ383" s="674"/>
      <c r="DK383" s="689"/>
      <c r="DL383" s="689"/>
      <c r="DM383" s="667"/>
      <c r="DN383" s="667"/>
      <c r="DO383" s="691"/>
      <c r="DP383" s="691"/>
      <c r="DQ383" s="691"/>
      <c r="DR383" s="691"/>
      <c r="DS383" s="691"/>
      <c r="DT383" s="691"/>
      <c r="DU383" s="692"/>
      <c r="DV383" s="1045"/>
      <c r="DW383" s="1046"/>
      <c r="DX383" s="1046"/>
      <c r="DY383" s="1046"/>
      <c r="DZ383" s="1046"/>
    </row>
    <row r="384" spans="12:130" s="539" customFormat="1" ht="15" hidden="1" customHeight="1">
      <c r="L384" s="1168" t="s">
        <v>2883</v>
      </c>
      <c r="M384" s="1047"/>
      <c r="N384" s="1047"/>
      <c r="O384" s="1047"/>
      <c r="P384" s="1047"/>
      <c r="Q384" s="1047"/>
      <c r="R384" s="1047"/>
      <c r="S384" s="1047"/>
      <c r="T384" s="1047"/>
      <c r="U384" s="1047"/>
      <c r="V384" s="1047"/>
      <c r="W384" s="1047"/>
      <c r="X384" s="1047"/>
      <c r="Y384" s="1047"/>
      <c r="Z384" s="1047"/>
      <c r="AA384" s="1047"/>
      <c r="AB384" s="1750"/>
      <c r="AC384" s="1049"/>
      <c r="AD384" s="1049"/>
      <c r="AE384" s="691"/>
      <c r="AF384" s="692"/>
      <c r="AG384" s="692"/>
      <c r="AH384" s="692"/>
      <c r="AI384" s="674"/>
      <c r="AJ384" s="674"/>
      <c r="AK384" s="689"/>
      <c r="AL384" s="689"/>
      <c r="AM384" s="667"/>
      <c r="AN384" s="667"/>
      <c r="AO384" s="691"/>
      <c r="AP384" s="691"/>
      <c r="AQ384" s="691"/>
      <c r="AR384" s="691"/>
      <c r="AS384" s="691"/>
      <c r="AT384" s="691"/>
      <c r="AU384" s="692"/>
      <c r="AV384" s="1045"/>
      <c r="AW384" s="1046"/>
      <c r="AX384" s="1046"/>
      <c r="AY384" s="1046"/>
      <c r="AZ384" s="1046"/>
      <c r="BA384" s="689"/>
      <c r="BB384" s="1044"/>
      <c r="BC384" s="691"/>
      <c r="BD384" s="691"/>
      <c r="BE384" s="691"/>
      <c r="BF384" s="692"/>
      <c r="BG384" s="692"/>
      <c r="BH384" s="692"/>
      <c r="BI384" s="674"/>
      <c r="BJ384" s="674"/>
      <c r="BK384" s="689"/>
      <c r="BL384" s="689"/>
      <c r="BM384" s="667"/>
      <c r="BN384" s="667"/>
      <c r="BO384" s="691"/>
      <c r="BP384" s="691"/>
      <c r="BQ384" s="691"/>
      <c r="BR384" s="691"/>
      <c r="BS384" s="691"/>
      <c r="BT384" s="691"/>
      <c r="BU384" s="692"/>
      <c r="BV384" s="1045"/>
      <c r="BW384" s="1046"/>
      <c r="BX384" s="1046"/>
      <c r="BY384" s="1046"/>
      <c r="BZ384" s="1046"/>
      <c r="CA384" s="690"/>
      <c r="CB384" s="1044"/>
      <c r="CC384" s="691"/>
      <c r="CD384" s="691"/>
      <c r="CE384" s="691"/>
      <c r="CF384" s="692"/>
      <c r="CG384" s="692"/>
      <c r="CH384" s="692"/>
      <c r="CI384" s="674"/>
      <c r="CJ384" s="674"/>
      <c r="CK384" s="689"/>
      <c r="CL384" s="689"/>
      <c r="CM384" s="667"/>
      <c r="CN384" s="667"/>
      <c r="CO384" s="691"/>
      <c r="CP384" s="691"/>
      <c r="CQ384" s="691"/>
      <c r="CR384" s="691"/>
      <c r="CS384" s="691"/>
      <c r="CT384" s="691"/>
      <c r="CU384" s="692"/>
      <c r="CV384" s="1045"/>
      <c r="CW384" s="1046"/>
      <c r="CX384" s="1046"/>
      <c r="CY384" s="1046"/>
      <c r="CZ384" s="1046"/>
      <c r="DA384" s="690"/>
      <c r="DB384" s="1044"/>
      <c r="DC384" s="691"/>
      <c r="DD384" s="691"/>
      <c r="DE384" s="691"/>
      <c r="DF384" s="692"/>
      <c r="DG384" s="692"/>
      <c r="DH384" s="692"/>
      <c r="DI384" s="674"/>
      <c r="DJ384" s="674"/>
      <c r="DK384" s="689"/>
      <c r="DL384" s="689"/>
      <c r="DM384" s="667"/>
      <c r="DN384" s="667"/>
      <c r="DO384" s="691"/>
      <c r="DP384" s="691"/>
      <c r="DQ384" s="691"/>
      <c r="DR384" s="691"/>
      <c r="DS384" s="691"/>
      <c r="DT384" s="691"/>
      <c r="DU384" s="692"/>
      <c r="DV384" s="1045"/>
      <c r="DW384" s="1046"/>
      <c r="DX384" s="1046"/>
      <c r="DY384" s="1046"/>
      <c r="DZ384" s="1046"/>
    </row>
    <row r="385" spans="12:130" s="539" customFormat="1" ht="15" hidden="1" customHeight="1">
      <c r="L385" s="1168" t="s">
        <v>2884</v>
      </c>
      <c r="M385" s="1047"/>
      <c r="N385" s="1047"/>
      <c r="O385" s="1047"/>
      <c r="P385" s="1047"/>
      <c r="Q385" s="1047"/>
      <c r="R385" s="1047"/>
      <c r="S385" s="1047"/>
      <c r="T385" s="1047"/>
      <c r="U385" s="1047"/>
      <c r="V385" s="1047"/>
      <c r="W385" s="1047"/>
      <c r="X385" s="1047"/>
      <c r="Y385" s="1047"/>
      <c r="Z385" s="1047"/>
      <c r="AA385" s="1047"/>
      <c r="AB385" s="1750"/>
      <c r="AC385" s="1049"/>
      <c r="AD385" s="1049"/>
      <c r="AE385" s="691"/>
      <c r="AF385" s="692"/>
      <c r="AG385" s="692"/>
      <c r="AH385" s="692"/>
      <c r="AI385" s="674"/>
      <c r="AJ385" s="674"/>
      <c r="AK385" s="689"/>
      <c r="AL385" s="689"/>
      <c r="AM385" s="667"/>
      <c r="AN385" s="667"/>
      <c r="AO385" s="691"/>
      <c r="AP385" s="691"/>
      <c r="AQ385" s="691"/>
      <c r="AR385" s="691"/>
      <c r="AS385" s="691"/>
      <c r="AT385" s="691"/>
      <c r="AU385" s="692"/>
      <c r="AV385" s="1045"/>
      <c r="AW385" s="1046"/>
      <c r="AX385" s="1046"/>
      <c r="AY385" s="1046"/>
      <c r="AZ385" s="1046"/>
      <c r="BA385" s="689"/>
      <c r="BB385" s="1044"/>
      <c r="BC385" s="691"/>
      <c r="BD385" s="691"/>
      <c r="BE385" s="691"/>
      <c r="BF385" s="692"/>
      <c r="BG385" s="692"/>
      <c r="BH385" s="692"/>
      <c r="BI385" s="674"/>
      <c r="BJ385" s="674"/>
      <c r="BK385" s="689"/>
      <c r="BL385" s="689"/>
      <c r="BM385" s="667"/>
      <c r="BN385" s="667"/>
      <c r="BO385" s="691"/>
      <c r="BP385" s="691"/>
      <c r="BQ385" s="691"/>
      <c r="BR385" s="691"/>
      <c r="BS385" s="691"/>
      <c r="BT385" s="691"/>
      <c r="BU385" s="692"/>
      <c r="BV385" s="1045"/>
      <c r="BW385" s="1046"/>
      <c r="BX385" s="1046"/>
      <c r="BY385" s="1046"/>
      <c r="BZ385" s="1046"/>
      <c r="CA385" s="690"/>
      <c r="CB385" s="1044"/>
      <c r="CC385" s="691"/>
      <c r="CD385" s="691"/>
      <c r="CE385" s="691"/>
      <c r="CF385" s="692"/>
      <c r="CG385" s="692"/>
      <c r="CH385" s="692"/>
      <c r="CI385" s="674"/>
      <c r="CJ385" s="674"/>
      <c r="CK385" s="689"/>
      <c r="CL385" s="689"/>
      <c r="CM385" s="667"/>
      <c r="CN385" s="667"/>
      <c r="CO385" s="691"/>
      <c r="CP385" s="691"/>
      <c r="CQ385" s="691"/>
      <c r="CR385" s="691"/>
      <c r="CS385" s="691"/>
      <c r="CT385" s="691"/>
      <c r="CU385" s="692"/>
      <c r="CV385" s="1045"/>
      <c r="CW385" s="1046"/>
      <c r="CX385" s="1046"/>
      <c r="CY385" s="1046"/>
      <c r="CZ385" s="1046"/>
      <c r="DA385" s="690"/>
      <c r="DB385" s="1044"/>
      <c r="DC385" s="691"/>
      <c r="DD385" s="691"/>
      <c r="DE385" s="691"/>
      <c r="DF385" s="692"/>
      <c r="DG385" s="692"/>
      <c r="DH385" s="692"/>
      <c r="DI385" s="674"/>
      <c r="DJ385" s="674"/>
      <c r="DK385" s="689"/>
      <c r="DL385" s="689"/>
      <c r="DM385" s="667"/>
      <c r="DN385" s="667"/>
      <c r="DO385" s="691"/>
      <c r="DP385" s="691"/>
      <c r="DQ385" s="691"/>
      <c r="DR385" s="691"/>
      <c r="DS385" s="691"/>
      <c r="DT385" s="691"/>
      <c r="DU385" s="692"/>
      <c r="DV385" s="1045"/>
      <c r="DW385" s="1046"/>
      <c r="DX385" s="1046"/>
      <c r="DY385" s="1046"/>
      <c r="DZ385" s="1046"/>
    </row>
    <row r="386" spans="12:130" s="539" customFormat="1" ht="15" hidden="1" customHeight="1">
      <c r="L386" s="1168" t="s">
        <v>2885</v>
      </c>
      <c r="M386" s="1047"/>
      <c r="N386" s="1047"/>
      <c r="O386" s="1047"/>
      <c r="P386" s="1047"/>
      <c r="Q386" s="1047"/>
      <c r="R386" s="1047"/>
      <c r="S386" s="1047"/>
      <c r="T386" s="1047"/>
      <c r="U386" s="1047"/>
      <c r="V386" s="1047"/>
      <c r="W386" s="1047"/>
      <c r="X386" s="1047"/>
      <c r="Y386" s="1047"/>
      <c r="Z386" s="1047"/>
      <c r="AA386" s="1047"/>
      <c r="AB386" s="1750"/>
      <c r="AC386" s="1049"/>
      <c r="AD386" s="1049"/>
      <c r="AE386" s="691"/>
      <c r="AF386" s="692"/>
      <c r="AG386" s="692"/>
      <c r="AH386" s="692"/>
      <c r="AI386" s="674"/>
      <c r="AJ386" s="674"/>
      <c r="AK386" s="689"/>
      <c r="AL386" s="689"/>
      <c r="AM386" s="667"/>
      <c r="AN386" s="667"/>
      <c r="AO386" s="691"/>
      <c r="AP386" s="691"/>
      <c r="AQ386" s="691"/>
      <c r="AR386" s="691"/>
      <c r="AS386" s="691"/>
      <c r="AT386" s="691"/>
      <c r="AU386" s="692"/>
      <c r="AV386" s="1045"/>
      <c r="AW386" s="1046"/>
      <c r="AX386" s="1046"/>
      <c r="AY386" s="1046"/>
      <c r="AZ386" s="1046"/>
      <c r="BA386" s="689"/>
      <c r="BB386" s="1044"/>
      <c r="BC386" s="691"/>
      <c r="BD386" s="691"/>
      <c r="BE386" s="691"/>
      <c r="BF386" s="692"/>
      <c r="BG386" s="692"/>
      <c r="BH386" s="692"/>
      <c r="BI386" s="674"/>
      <c r="BJ386" s="674"/>
      <c r="BK386" s="689"/>
      <c r="BL386" s="689"/>
      <c r="BM386" s="667"/>
      <c r="BN386" s="667"/>
      <c r="BO386" s="691"/>
      <c r="BP386" s="691"/>
      <c r="BQ386" s="691"/>
      <c r="BR386" s="691"/>
      <c r="BS386" s="691"/>
      <c r="BT386" s="691"/>
      <c r="BU386" s="692"/>
      <c r="BV386" s="1045"/>
      <c r="BW386" s="1046"/>
      <c r="BX386" s="1046"/>
      <c r="BY386" s="1046"/>
      <c r="BZ386" s="1046"/>
      <c r="CA386" s="690"/>
      <c r="CB386" s="1044"/>
      <c r="CC386" s="691"/>
      <c r="CD386" s="691"/>
      <c r="CE386" s="691"/>
      <c r="CF386" s="692"/>
      <c r="CG386" s="692"/>
      <c r="CH386" s="692"/>
      <c r="CI386" s="674"/>
      <c r="CJ386" s="674"/>
      <c r="CK386" s="689"/>
      <c r="CL386" s="689"/>
      <c r="CM386" s="667"/>
      <c r="CN386" s="667"/>
      <c r="CO386" s="691"/>
      <c r="CP386" s="691"/>
      <c r="CQ386" s="691"/>
      <c r="CR386" s="691"/>
      <c r="CS386" s="691"/>
      <c r="CT386" s="691"/>
      <c r="CU386" s="692"/>
      <c r="CV386" s="1045"/>
      <c r="CW386" s="1046"/>
      <c r="CX386" s="1046"/>
      <c r="CY386" s="1046"/>
      <c r="CZ386" s="1046"/>
      <c r="DA386" s="690"/>
      <c r="DB386" s="1044"/>
      <c r="DC386" s="691"/>
      <c r="DD386" s="691"/>
      <c r="DE386" s="691"/>
      <c r="DF386" s="692"/>
      <c r="DG386" s="692"/>
      <c r="DH386" s="692"/>
      <c r="DI386" s="674"/>
      <c r="DJ386" s="674"/>
      <c r="DK386" s="689"/>
      <c r="DL386" s="689"/>
      <c r="DM386" s="667"/>
      <c r="DN386" s="667"/>
      <c r="DO386" s="691"/>
      <c r="DP386" s="691"/>
      <c r="DQ386" s="691"/>
      <c r="DR386" s="691"/>
      <c r="DS386" s="691"/>
      <c r="DT386" s="691"/>
      <c r="DU386" s="692"/>
      <c r="DV386" s="1045"/>
      <c r="DW386" s="1046"/>
      <c r="DX386" s="1046"/>
      <c r="DY386" s="1046"/>
      <c r="DZ386" s="1046"/>
    </row>
    <row r="387" spans="12:130" s="539" customFormat="1" ht="15" hidden="1" customHeight="1">
      <c r="L387" s="1168" t="s">
        <v>2886</v>
      </c>
      <c r="M387" s="1047"/>
      <c r="N387" s="1047"/>
      <c r="O387" s="1047"/>
      <c r="P387" s="1047"/>
      <c r="Q387" s="1047"/>
      <c r="R387" s="1047"/>
      <c r="S387" s="1047"/>
      <c r="T387" s="1047"/>
      <c r="U387" s="1047"/>
      <c r="V387" s="1047"/>
      <c r="W387" s="1047"/>
      <c r="X387" s="1047"/>
      <c r="Y387" s="1047"/>
      <c r="Z387" s="1047"/>
      <c r="AA387" s="1047"/>
      <c r="AB387" s="1750"/>
      <c r="AC387" s="1049"/>
      <c r="AD387" s="1049"/>
      <c r="AE387" s="691"/>
      <c r="AF387" s="692"/>
      <c r="AG387" s="692"/>
      <c r="AH387" s="692"/>
      <c r="AI387" s="674"/>
      <c r="AJ387" s="674"/>
      <c r="AK387" s="689"/>
      <c r="AL387" s="689"/>
      <c r="AM387" s="667"/>
      <c r="AN387" s="667"/>
      <c r="AO387" s="691"/>
      <c r="AP387" s="691"/>
      <c r="AQ387" s="691"/>
      <c r="AR387" s="691"/>
      <c r="AS387" s="691"/>
      <c r="AT387" s="691"/>
      <c r="AU387" s="692"/>
      <c r="AV387" s="1045"/>
      <c r="AW387" s="1046"/>
      <c r="AX387" s="1046"/>
      <c r="AY387" s="1046"/>
      <c r="AZ387" s="1046"/>
      <c r="BA387" s="689"/>
      <c r="BB387" s="1044"/>
      <c r="BC387" s="691"/>
      <c r="BD387" s="691"/>
      <c r="BE387" s="691"/>
      <c r="BF387" s="692"/>
      <c r="BG387" s="692"/>
      <c r="BH387" s="692"/>
      <c r="BI387" s="674"/>
      <c r="BJ387" s="674"/>
      <c r="BK387" s="689"/>
      <c r="BL387" s="689"/>
      <c r="BM387" s="667"/>
      <c r="BN387" s="667"/>
      <c r="BO387" s="691"/>
      <c r="BP387" s="691"/>
      <c r="BQ387" s="691"/>
      <c r="BR387" s="691"/>
      <c r="BS387" s="691"/>
      <c r="BT387" s="691"/>
      <c r="BU387" s="692"/>
      <c r="BV387" s="1045"/>
      <c r="BW387" s="1046"/>
      <c r="BX387" s="1046"/>
      <c r="BY387" s="1046"/>
      <c r="BZ387" s="1046"/>
      <c r="CA387" s="690"/>
      <c r="CB387" s="1044"/>
      <c r="CC387" s="691"/>
      <c r="CD387" s="691"/>
      <c r="CE387" s="691"/>
      <c r="CF387" s="692"/>
      <c r="CG387" s="692"/>
      <c r="CH387" s="692"/>
      <c r="CI387" s="674"/>
      <c r="CJ387" s="674"/>
      <c r="CK387" s="689"/>
      <c r="CL387" s="689"/>
      <c r="CM387" s="667"/>
      <c r="CN387" s="667"/>
      <c r="CO387" s="691"/>
      <c r="CP387" s="691"/>
      <c r="CQ387" s="691"/>
      <c r="CR387" s="691"/>
      <c r="CS387" s="691"/>
      <c r="CT387" s="691"/>
      <c r="CU387" s="692"/>
      <c r="CV387" s="1045"/>
      <c r="CW387" s="1046"/>
      <c r="CX387" s="1046"/>
      <c r="CY387" s="1046"/>
      <c r="CZ387" s="1046"/>
      <c r="DA387" s="690"/>
      <c r="DB387" s="1044"/>
      <c r="DC387" s="691"/>
      <c r="DD387" s="691"/>
      <c r="DE387" s="691"/>
      <c r="DF387" s="692"/>
      <c r="DG387" s="692"/>
      <c r="DH387" s="692"/>
      <c r="DI387" s="674"/>
      <c r="DJ387" s="674"/>
      <c r="DK387" s="689"/>
      <c r="DL387" s="689"/>
      <c r="DM387" s="667"/>
      <c r="DN387" s="667"/>
      <c r="DO387" s="691"/>
      <c r="DP387" s="691"/>
      <c r="DQ387" s="691"/>
      <c r="DR387" s="691"/>
      <c r="DS387" s="691"/>
      <c r="DT387" s="691"/>
      <c r="DU387" s="692"/>
      <c r="DV387" s="1045"/>
      <c r="DW387" s="1046"/>
      <c r="DX387" s="1046"/>
      <c r="DY387" s="1046"/>
      <c r="DZ387" s="1046"/>
    </row>
    <row r="388" spans="12:130" s="539" customFormat="1" ht="15" hidden="1" customHeight="1">
      <c r="L388" s="1168" t="s">
        <v>2887</v>
      </c>
      <c r="M388" s="1047"/>
      <c r="N388" s="1047"/>
      <c r="O388" s="1047"/>
      <c r="P388" s="1047"/>
      <c r="Q388" s="1047"/>
      <c r="R388" s="1047"/>
      <c r="S388" s="1047"/>
      <c r="T388" s="1047"/>
      <c r="U388" s="1047"/>
      <c r="V388" s="1047"/>
      <c r="W388" s="1047"/>
      <c r="X388" s="1047"/>
      <c r="Y388" s="1047"/>
      <c r="Z388" s="1047"/>
      <c r="AA388" s="1047"/>
      <c r="AB388" s="1750"/>
      <c r="AC388" s="1049"/>
      <c r="AD388" s="1049"/>
      <c r="AE388" s="691"/>
      <c r="AF388" s="692"/>
      <c r="AG388" s="692"/>
      <c r="AH388" s="692"/>
      <c r="AI388" s="674"/>
      <c r="AJ388" s="674"/>
      <c r="AK388" s="689"/>
      <c r="AL388" s="689"/>
      <c r="AM388" s="667"/>
      <c r="AN388" s="667"/>
      <c r="AO388" s="691"/>
      <c r="AP388" s="691"/>
      <c r="AQ388" s="691"/>
      <c r="AR388" s="691"/>
      <c r="AS388" s="691"/>
      <c r="AT388" s="691"/>
      <c r="AU388" s="692"/>
      <c r="AV388" s="1045"/>
      <c r="AW388" s="1046"/>
      <c r="AX388" s="1046"/>
      <c r="AY388" s="1046"/>
      <c r="AZ388" s="1046"/>
      <c r="BA388" s="689"/>
      <c r="BB388" s="1044"/>
      <c r="BC388" s="691"/>
      <c r="BD388" s="691"/>
      <c r="BE388" s="691"/>
      <c r="BF388" s="692"/>
      <c r="BG388" s="692"/>
      <c r="BH388" s="692"/>
      <c r="BI388" s="674"/>
      <c r="BJ388" s="674"/>
      <c r="BK388" s="689"/>
      <c r="BL388" s="689"/>
      <c r="BM388" s="667"/>
      <c r="BN388" s="667"/>
      <c r="BO388" s="691"/>
      <c r="BP388" s="691"/>
      <c r="BQ388" s="691"/>
      <c r="BR388" s="691"/>
      <c r="BS388" s="691"/>
      <c r="BT388" s="691"/>
      <c r="BU388" s="692"/>
      <c r="BV388" s="1045"/>
      <c r="BW388" s="1046"/>
      <c r="BX388" s="1046"/>
      <c r="BY388" s="1046"/>
      <c r="BZ388" s="1046"/>
      <c r="CA388" s="690"/>
      <c r="CB388" s="1044"/>
      <c r="CC388" s="691"/>
      <c r="CD388" s="691"/>
      <c r="CE388" s="691"/>
      <c r="CF388" s="692"/>
      <c r="CG388" s="692"/>
      <c r="CH388" s="692"/>
      <c r="CI388" s="674"/>
      <c r="CJ388" s="674"/>
      <c r="CK388" s="689"/>
      <c r="CL388" s="689"/>
      <c r="CM388" s="667"/>
      <c r="CN388" s="667"/>
      <c r="CO388" s="691"/>
      <c r="CP388" s="691"/>
      <c r="CQ388" s="691"/>
      <c r="CR388" s="691"/>
      <c r="CS388" s="691"/>
      <c r="CT388" s="691"/>
      <c r="CU388" s="692"/>
      <c r="CV388" s="1045"/>
      <c r="CW388" s="1046"/>
      <c r="CX388" s="1046"/>
      <c r="CY388" s="1046"/>
      <c r="CZ388" s="1046"/>
      <c r="DA388" s="690"/>
      <c r="DB388" s="1044"/>
      <c r="DC388" s="691"/>
      <c r="DD388" s="691"/>
      <c r="DE388" s="691"/>
      <c r="DF388" s="692"/>
      <c r="DG388" s="692"/>
      <c r="DH388" s="692"/>
      <c r="DI388" s="674"/>
      <c r="DJ388" s="674"/>
      <c r="DK388" s="689"/>
      <c r="DL388" s="689"/>
      <c r="DM388" s="667"/>
      <c r="DN388" s="667"/>
      <c r="DO388" s="691"/>
      <c r="DP388" s="691"/>
      <c r="DQ388" s="691"/>
      <c r="DR388" s="691"/>
      <c r="DS388" s="691"/>
      <c r="DT388" s="691"/>
      <c r="DU388" s="692"/>
      <c r="DV388" s="1045"/>
      <c r="DW388" s="1046"/>
      <c r="DX388" s="1046"/>
      <c r="DY388" s="1046"/>
      <c r="DZ388" s="1046"/>
    </row>
    <row r="389" spans="12:130" s="539" customFormat="1" ht="15" hidden="1" customHeight="1">
      <c r="L389" s="1168" t="s">
        <v>2888</v>
      </c>
      <c r="M389" s="1047"/>
      <c r="N389" s="1047"/>
      <c r="O389" s="1047"/>
      <c r="P389" s="1047"/>
      <c r="Q389" s="1047"/>
      <c r="R389" s="1047"/>
      <c r="S389" s="1047"/>
      <c r="T389" s="1047"/>
      <c r="U389" s="1047"/>
      <c r="V389" s="1047"/>
      <c r="W389" s="1047"/>
      <c r="X389" s="1047"/>
      <c r="Y389" s="1047"/>
      <c r="Z389" s="1047"/>
      <c r="AA389" s="1047"/>
      <c r="AB389" s="1750"/>
      <c r="AC389" s="1049"/>
      <c r="AD389" s="1049"/>
      <c r="AE389" s="691"/>
      <c r="AF389" s="692"/>
      <c r="AG389" s="692"/>
      <c r="AH389" s="692"/>
      <c r="AI389" s="674"/>
      <c r="AJ389" s="674"/>
      <c r="AK389" s="689"/>
      <c r="AL389" s="689"/>
      <c r="AM389" s="667"/>
      <c r="AN389" s="667"/>
      <c r="AO389" s="691"/>
      <c r="AP389" s="691"/>
      <c r="AQ389" s="691"/>
      <c r="AR389" s="691"/>
      <c r="AS389" s="691"/>
      <c r="AT389" s="691"/>
      <c r="AU389" s="692"/>
      <c r="AV389" s="1045"/>
      <c r="AW389" s="1046"/>
      <c r="AX389" s="1046"/>
      <c r="AY389" s="1046"/>
      <c r="AZ389" s="1046"/>
      <c r="BA389" s="689"/>
      <c r="BB389" s="1044"/>
      <c r="BC389" s="691"/>
      <c r="BD389" s="691"/>
      <c r="BE389" s="691"/>
      <c r="BF389" s="692"/>
      <c r="BG389" s="692"/>
      <c r="BH389" s="692"/>
      <c r="BI389" s="674"/>
      <c r="BJ389" s="674"/>
      <c r="BK389" s="689"/>
      <c r="BL389" s="689"/>
      <c r="BM389" s="667"/>
      <c r="BN389" s="667"/>
      <c r="BO389" s="691"/>
      <c r="BP389" s="691"/>
      <c r="BQ389" s="691"/>
      <c r="BR389" s="691"/>
      <c r="BS389" s="691"/>
      <c r="BT389" s="691"/>
      <c r="BU389" s="692"/>
      <c r="BV389" s="1045"/>
      <c r="BW389" s="1046"/>
      <c r="BX389" s="1046"/>
      <c r="BY389" s="1046"/>
      <c r="BZ389" s="1046"/>
      <c r="CA389" s="690"/>
      <c r="CB389" s="1044"/>
      <c r="CC389" s="691"/>
      <c r="CD389" s="691"/>
      <c r="CE389" s="691"/>
      <c r="CF389" s="692"/>
      <c r="CG389" s="692"/>
      <c r="CH389" s="692"/>
      <c r="CI389" s="674"/>
      <c r="CJ389" s="674"/>
      <c r="CK389" s="689"/>
      <c r="CL389" s="689"/>
      <c r="CM389" s="667"/>
      <c r="CN389" s="667"/>
      <c r="CO389" s="691"/>
      <c r="CP389" s="691"/>
      <c r="CQ389" s="691"/>
      <c r="CR389" s="691"/>
      <c r="CS389" s="691"/>
      <c r="CT389" s="691"/>
      <c r="CU389" s="692"/>
      <c r="CV389" s="1045"/>
      <c r="CW389" s="1046"/>
      <c r="CX389" s="1046"/>
      <c r="CY389" s="1046"/>
      <c r="CZ389" s="1046"/>
      <c r="DA389" s="690"/>
      <c r="DB389" s="1044"/>
      <c r="DC389" s="691"/>
      <c r="DD389" s="691"/>
      <c r="DE389" s="691"/>
      <c r="DF389" s="692"/>
      <c r="DG389" s="692"/>
      <c r="DH389" s="692"/>
      <c r="DI389" s="674"/>
      <c r="DJ389" s="674"/>
      <c r="DK389" s="689"/>
      <c r="DL389" s="689"/>
      <c r="DM389" s="667"/>
      <c r="DN389" s="667"/>
      <c r="DO389" s="691"/>
      <c r="DP389" s="691"/>
      <c r="DQ389" s="691"/>
      <c r="DR389" s="691"/>
      <c r="DS389" s="691"/>
      <c r="DT389" s="691"/>
      <c r="DU389" s="692"/>
      <c r="DV389" s="1045"/>
      <c r="DW389" s="1046"/>
      <c r="DX389" s="1046"/>
      <c r="DY389" s="1046"/>
      <c r="DZ389" s="1046"/>
    </row>
    <row r="390" spans="12:130" s="539" customFormat="1" ht="15" hidden="1" customHeight="1">
      <c r="L390" s="1168" t="s">
        <v>2889</v>
      </c>
      <c r="M390" s="1047"/>
      <c r="N390" s="1047"/>
      <c r="O390" s="1047"/>
      <c r="P390" s="1047"/>
      <c r="Q390" s="1047"/>
      <c r="R390" s="1047"/>
      <c r="S390" s="1047"/>
      <c r="T390" s="1047"/>
      <c r="U390" s="1047"/>
      <c r="V390" s="1047"/>
      <c r="W390" s="1047"/>
      <c r="X390" s="1047"/>
      <c r="Y390" s="1047"/>
      <c r="Z390" s="1047"/>
      <c r="AA390" s="1047"/>
      <c r="AB390" s="1750"/>
      <c r="AC390" s="1049"/>
      <c r="AD390" s="1049"/>
      <c r="AE390" s="691"/>
      <c r="AF390" s="692"/>
      <c r="AG390" s="692"/>
      <c r="AH390" s="692"/>
      <c r="AI390" s="674"/>
      <c r="AJ390" s="674"/>
      <c r="AK390" s="689"/>
      <c r="AL390" s="689"/>
      <c r="AM390" s="667"/>
      <c r="AN390" s="667"/>
      <c r="AO390" s="691"/>
      <c r="AP390" s="691"/>
      <c r="AQ390" s="691"/>
      <c r="AR390" s="691"/>
      <c r="AS390" s="691"/>
      <c r="AT390" s="691"/>
      <c r="AU390" s="692"/>
      <c r="AV390" s="1045"/>
      <c r="AW390" s="1046"/>
      <c r="AX390" s="1046"/>
      <c r="AY390" s="1046"/>
      <c r="AZ390" s="1046"/>
      <c r="BA390" s="689"/>
      <c r="BB390" s="1044"/>
      <c r="BC390" s="691"/>
      <c r="BD390" s="691"/>
      <c r="BE390" s="691"/>
      <c r="BF390" s="692"/>
      <c r="BG390" s="692"/>
      <c r="BH390" s="692"/>
      <c r="BI390" s="674"/>
      <c r="BJ390" s="674"/>
      <c r="BK390" s="689"/>
      <c r="BL390" s="689"/>
      <c r="BM390" s="667"/>
      <c r="BN390" s="667"/>
      <c r="BO390" s="691"/>
      <c r="BP390" s="691"/>
      <c r="BQ390" s="691"/>
      <c r="BR390" s="691"/>
      <c r="BS390" s="691"/>
      <c r="BT390" s="691"/>
      <c r="BU390" s="692"/>
      <c r="BV390" s="1045"/>
      <c r="BW390" s="1046"/>
      <c r="BX390" s="1046"/>
      <c r="BY390" s="1046"/>
      <c r="BZ390" s="1046"/>
      <c r="CA390" s="690"/>
      <c r="CB390" s="1044"/>
      <c r="CC390" s="691"/>
      <c r="CD390" s="691"/>
      <c r="CE390" s="691"/>
      <c r="CF390" s="692"/>
      <c r="CG390" s="692"/>
      <c r="CH390" s="692"/>
      <c r="CI390" s="674"/>
      <c r="CJ390" s="674"/>
      <c r="CK390" s="689"/>
      <c r="CL390" s="689"/>
      <c r="CM390" s="667"/>
      <c r="CN390" s="667"/>
      <c r="CO390" s="691"/>
      <c r="CP390" s="691"/>
      <c r="CQ390" s="691"/>
      <c r="CR390" s="691"/>
      <c r="CS390" s="691"/>
      <c r="CT390" s="691"/>
      <c r="CU390" s="692"/>
      <c r="CV390" s="1045"/>
      <c r="CW390" s="1046"/>
      <c r="CX390" s="1046"/>
      <c r="CY390" s="1046"/>
      <c r="CZ390" s="1046"/>
      <c r="DA390" s="690"/>
      <c r="DB390" s="1044"/>
      <c r="DC390" s="691"/>
      <c r="DD390" s="691"/>
      <c r="DE390" s="691"/>
      <c r="DF390" s="692"/>
      <c r="DG390" s="692"/>
      <c r="DH390" s="692"/>
      <c r="DI390" s="674"/>
      <c r="DJ390" s="674"/>
      <c r="DK390" s="689"/>
      <c r="DL390" s="689"/>
      <c r="DM390" s="667"/>
      <c r="DN390" s="667"/>
      <c r="DO390" s="691"/>
      <c r="DP390" s="691"/>
      <c r="DQ390" s="691"/>
      <c r="DR390" s="691"/>
      <c r="DS390" s="691"/>
      <c r="DT390" s="691"/>
      <c r="DU390" s="692"/>
      <c r="DV390" s="1045"/>
      <c r="DW390" s="1046"/>
      <c r="DX390" s="1046"/>
      <c r="DY390" s="1046"/>
      <c r="DZ390" s="1046"/>
    </row>
    <row r="391" spans="12:130" s="539" customFormat="1" ht="15" hidden="1" customHeight="1">
      <c r="L391" s="1168" t="s">
        <v>2890</v>
      </c>
      <c r="M391" s="1047"/>
      <c r="N391" s="1047"/>
      <c r="O391" s="1047"/>
      <c r="P391" s="1047"/>
      <c r="Q391" s="1047"/>
      <c r="R391" s="1047"/>
      <c r="S391" s="1047"/>
      <c r="T391" s="1047"/>
      <c r="U391" s="1047"/>
      <c r="V391" s="1047"/>
      <c r="W391" s="1047"/>
      <c r="X391" s="1047"/>
      <c r="Y391" s="1047"/>
      <c r="Z391" s="1047"/>
      <c r="AA391" s="1047"/>
      <c r="AB391" s="1750"/>
      <c r="AC391" s="1049"/>
      <c r="AD391" s="1049"/>
      <c r="AE391" s="691"/>
      <c r="AF391" s="692"/>
      <c r="AG391" s="692"/>
      <c r="AH391" s="692"/>
      <c r="AI391" s="674"/>
      <c r="AJ391" s="674"/>
      <c r="AK391" s="689"/>
      <c r="AL391" s="689"/>
      <c r="AM391" s="667"/>
      <c r="AN391" s="667"/>
      <c r="AO391" s="691"/>
      <c r="AP391" s="691"/>
      <c r="AQ391" s="691"/>
      <c r="AR391" s="691"/>
      <c r="AS391" s="691"/>
      <c r="AT391" s="691"/>
      <c r="AU391" s="692"/>
      <c r="AV391" s="1045"/>
      <c r="AW391" s="1046"/>
      <c r="AX391" s="1046"/>
      <c r="AY391" s="1046"/>
      <c r="AZ391" s="1046"/>
      <c r="BA391" s="689"/>
      <c r="BB391" s="1044"/>
      <c r="BC391" s="691"/>
      <c r="BD391" s="691"/>
      <c r="BE391" s="691"/>
      <c r="BF391" s="692"/>
      <c r="BG391" s="692"/>
      <c r="BH391" s="692"/>
      <c r="BI391" s="674"/>
      <c r="BJ391" s="674"/>
      <c r="BK391" s="689"/>
      <c r="BL391" s="689"/>
      <c r="BM391" s="667"/>
      <c r="BN391" s="667"/>
      <c r="BO391" s="691"/>
      <c r="BP391" s="691"/>
      <c r="BQ391" s="691"/>
      <c r="BR391" s="691"/>
      <c r="BS391" s="691"/>
      <c r="BT391" s="691"/>
      <c r="BU391" s="692"/>
      <c r="BV391" s="1045"/>
      <c r="BW391" s="1046"/>
      <c r="BX391" s="1046"/>
      <c r="BY391" s="1046"/>
      <c r="BZ391" s="1046"/>
      <c r="CA391" s="690"/>
      <c r="CB391" s="1044"/>
      <c r="CC391" s="691"/>
      <c r="CD391" s="691"/>
      <c r="CE391" s="691"/>
      <c r="CF391" s="692"/>
      <c r="CG391" s="692"/>
      <c r="CH391" s="692"/>
      <c r="CI391" s="674"/>
      <c r="CJ391" s="674"/>
      <c r="CK391" s="689"/>
      <c r="CL391" s="689"/>
      <c r="CM391" s="667"/>
      <c r="CN391" s="667"/>
      <c r="CO391" s="691"/>
      <c r="CP391" s="691"/>
      <c r="CQ391" s="691"/>
      <c r="CR391" s="691"/>
      <c r="CS391" s="691"/>
      <c r="CT391" s="691"/>
      <c r="CU391" s="692"/>
      <c r="CV391" s="1045"/>
      <c r="CW391" s="1046"/>
      <c r="CX391" s="1046"/>
      <c r="CY391" s="1046"/>
      <c r="CZ391" s="1046"/>
      <c r="DA391" s="690"/>
      <c r="DB391" s="1044"/>
      <c r="DC391" s="691"/>
      <c r="DD391" s="691"/>
      <c r="DE391" s="691"/>
      <c r="DF391" s="692"/>
      <c r="DG391" s="692"/>
      <c r="DH391" s="692"/>
      <c r="DI391" s="674"/>
      <c r="DJ391" s="674"/>
      <c r="DK391" s="689"/>
      <c r="DL391" s="689"/>
      <c r="DM391" s="667"/>
      <c r="DN391" s="667"/>
      <c r="DO391" s="691"/>
      <c r="DP391" s="691"/>
      <c r="DQ391" s="691"/>
      <c r="DR391" s="691"/>
      <c r="DS391" s="691"/>
      <c r="DT391" s="691"/>
      <c r="DU391" s="692"/>
      <c r="DV391" s="1045"/>
      <c r="DW391" s="1046"/>
      <c r="DX391" s="1046"/>
      <c r="DY391" s="1046"/>
      <c r="DZ391" s="1046"/>
    </row>
    <row r="392" spans="12:130" s="539" customFormat="1" ht="15" hidden="1" customHeight="1">
      <c r="L392" s="1168" t="s">
        <v>2891</v>
      </c>
      <c r="M392" s="1047"/>
      <c r="N392" s="1047"/>
      <c r="O392" s="1047"/>
      <c r="P392" s="1047"/>
      <c r="Q392" s="1047"/>
      <c r="R392" s="1047"/>
      <c r="S392" s="1047"/>
      <c r="T392" s="1047"/>
      <c r="U392" s="1047"/>
      <c r="V392" s="1047"/>
      <c r="W392" s="1047"/>
      <c r="X392" s="1047"/>
      <c r="Y392" s="1047"/>
      <c r="Z392" s="1047"/>
      <c r="AA392" s="1047"/>
      <c r="AB392" s="1750"/>
      <c r="AC392" s="1049"/>
      <c r="AD392" s="1049"/>
      <c r="AE392" s="691"/>
      <c r="AF392" s="692"/>
      <c r="AG392" s="692"/>
      <c r="AH392" s="692"/>
      <c r="AI392" s="674"/>
      <c r="AJ392" s="674"/>
      <c r="AK392" s="689"/>
      <c r="AL392" s="689"/>
      <c r="AM392" s="667"/>
      <c r="AN392" s="667"/>
      <c r="AO392" s="691"/>
      <c r="AP392" s="691"/>
      <c r="AQ392" s="691"/>
      <c r="AR392" s="691"/>
      <c r="AS392" s="691"/>
      <c r="AT392" s="691"/>
      <c r="AU392" s="692"/>
      <c r="AV392" s="1045"/>
      <c r="AW392" s="1046"/>
      <c r="AX392" s="1046"/>
      <c r="AY392" s="1046"/>
      <c r="AZ392" s="1046"/>
      <c r="BA392" s="689"/>
      <c r="BB392" s="1044"/>
      <c r="BC392" s="691"/>
      <c r="BD392" s="691"/>
      <c r="BE392" s="691"/>
      <c r="BF392" s="692"/>
      <c r="BG392" s="692"/>
      <c r="BH392" s="692"/>
      <c r="BI392" s="674"/>
      <c r="BJ392" s="674"/>
      <c r="BK392" s="689"/>
      <c r="BL392" s="689"/>
      <c r="BM392" s="667"/>
      <c r="BN392" s="667"/>
      <c r="BO392" s="691"/>
      <c r="BP392" s="691"/>
      <c r="BQ392" s="691"/>
      <c r="BR392" s="691"/>
      <c r="BS392" s="691"/>
      <c r="BT392" s="691"/>
      <c r="BU392" s="692"/>
      <c r="BV392" s="1045"/>
      <c r="BW392" s="1046"/>
      <c r="BX392" s="1046"/>
      <c r="BY392" s="1046"/>
      <c r="BZ392" s="1046"/>
      <c r="CA392" s="690"/>
      <c r="CB392" s="1044"/>
      <c r="CC392" s="691"/>
      <c r="CD392" s="691"/>
      <c r="CE392" s="691"/>
      <c r="CF392" s="692"/>
      <c r="CG392" s="692"/>
      <c r="CH392" s="692"/>
      <c r="CI392" s="674"/>
      <c r="CJ392" s="674"/>
      <c r="CK392" s="689"/>
      <c r="CL392" s="689"/>
      <c r="CM392" s="667"/>
      <c r="CN392" s="667"/>
      <c r="CO392" s="691"/>
      <c r="CP392" s="691"/>
      <c r="CQ392" s="691"/>
      <c r="CR392" s="691"/>
      <c r="CS392" s="691"/>
      <c r="CT392" s="691"/>
      <c r="CU392" s="692"/>
      <c r="CV392" s="1045"/>
      <c r="CW392" s="1046"/>
      <c r="CX392" s="1046"/>
      <c r="CY392" s="1046"/>
      <c r="CZ392" s="1046"/>
      <c r="DA392" s="690"/>
      <c r="DB392" s="1044"/>
      <c r="DC392" s="691"/>
      <c r="DD392" s="691"/>
      <c r="DE392" s="691"/>
      <c r="DF392" s="692"/>
      <c r="DG392" s="692"/>
      <c r="DH392" s="692"/>
      <c r="DI392" s="674"/>
      <c r="DJ392" s="674"/>
      <c r="DK392" s="689"/>
      <c r="DL392" s="689"/>
      <c r="DM392" s="667"/>
      <c r="DN392" s="667"/>
      <c r="DO392" s="691"/>
      <c r="DP392" s="691"/>
      <c r="DQ392" s="691"/>
      <c r="DR392" s="691"/>
      <c r="DS392" s="691"/>
      <c r="DT392" s="691"/>
      <c r="DU392" s="692"/>
      <c r="DV392" s="1045"/>
      <c r="DW392" s="1046"/>
      <c r="DX392" s="1046"/>
      <c r="DY392" s="1046"/>
      <c r="DZ392" s="1046"/>
    </row>
    <row r="393" spans="12:130" s="539" customFormat="1" ht="15" hidden="1" customHeight="1">
      <c r="L393" s="1168" t="s">
        <v>2879</v>
      </c>
      <c r="M393" s="1047"/>
      <c r="N393" s="1047"/>
      <c r="O393" s="1047"/>
      <c r="P393" s="1047"/>
      <c r="Q393" s="1047"/>
      <c r="R393" s="1047"/>
      <c r="S393" s="1047"/>
      <c r="T393" s="1047"/>
      <c r="U393" s="1047"/>
      <c r="V393" s="1047"/>
      <c r="W393" s="1047"/>
      <c r="X393" s="1047"/>
      <c r="Y393" s="1047"/>
      <c r="Z393" s="1047"/>
      <c r="AA393" s="1047"/>
      <c r="AB393" s="1750"/>
      <c r="AC393" s="1049"/>
      <c r="AD393" s="1049"/>
      <c r="AE393" s="691"/>
      <c r="AF393" s="692"/>
      <c r="AG393" s="692"/>
      <c r="AH393" s="692"/>
      <c r="AI393" s="674"/>
      <c r="AJ393" s="674"/>
      <c r="AK393" s="689"/>
      <c r="AL393" s="689"/>
      <c r="AM393" s="667"/>
      <c r="AN393" s="667"/>
      <c r="AO393" s="691"/>
      <c r="AP393" s="691"/>
      <c r="AQ393" s="691"/>
      <c r="AR393" s="691"/>
      <c r="AS393" s="691"/>
      <c r="AT393" s="691"/>
      <c r="AU393" s="692"/>
      <c r="AV393" s="1045"/>
      <c r="AW393" s="1046"/>
      <c r="AX393" s="1046"/>
      <c r="AY393" s="1046"/>
      <c r="AZ393" s="1046"/>
      <c r="BA393" s="689"/>
      <c r="BB393" s="1044"/>
      <c r="BC393" s="691"/>
      <c r="BD393" s="691"/>
      <c r="BE393" s="691"/>
      <c r="BF393" s="692"/>
      <c r="BG393" s="692"/>
      <c r="BH393" s="692"/>
      <c r="BI393" s="674"/>
      <c r="BJ393" s="674"/>
      <c r="BK393" s="689"/>
      <c r="BL393" s="689"/>
      <c r="BM393" s="667"/>
      <c r="BN393" s="667"/>
      <c r="BO393" s="691"/>
      <c r="BP393" s="691"/>
      <c r="BQ393" s="691"/>
      <c r="BR393" s="691"/>
      <c r="BS393" s="691"/>
      <c r="BT393" s="691"/>
      <c r="BU393" s="692"/>
      <c r="BV393" s="1045"/>
      <c r="BW393" s="1046"/>
      <c r="BX393" s="1046"/>
      <c r="BY393" s="1046"/>
      <c r="BZ393" s="1046"/>
      <c r="CA393" s="690"/>
      <c r="CB393" s="1044"/>
      <c r="CC393" s="691"/>
      <c r="CD393" s="691"/>
      <c r="CE393" s="691"/>
      <c r="CF393" s="692"/>
      <c r="CG393" s="692"/>
      <c r="CH393" s="692"/>
      <c r="CI393" s="674"/>
      <c r="CJ393" s="674"/>
      <c r="CK393" s="689"/>
      <c r="CL393" s="689"/>
      <c r="CM393" s="667"/>
      <c r="CN393" s="667"/>
      <c r="CO393" s="691"/>
      <c r="CP393" s="691"/>
      <c r="CQ393" s="691"/>
      <c r="CR393" s="691"/>
      <c r="CS393" s="691"/>
      <c r="CT393" s="691"/>
      <c r="CU393" s="692"/>
      <c r="CV393" s="1045"/>
      <c r="CW393" s="1046"/>
      <c r="CX393" s="1046"/>
      <c r="CY393" s="1046"/>
      <c r="CZ393" s="1046"/>
      <c r="DA393" s="690"/>
      <c r="DB393" s="1044"/>
      <c r="DC393" s="691"/>
      <c r="DD393" s="691"/>
      <c r="DE393" s="691"/>
      <c r="DF393" s="692"/>
      <c r="DG393" s="692"/>
      <c r="DH393" s="692"/>
      <c r="DI393" s="674"/>
      <c r="DJ393" s="674"/>
      <c r="DK393" s="689"/>
      <c r="DL393" s="689"/>
      <c r="DM393" s="667"/>
      <c r="DN393" s="667"/>
      <c r="DO393" s="691"/>
      <c r="DP393" s="691"/>
      <c r="DQ393" s="691"/>
      <c r="DR393" s="691"/>
      <c r="DS393" s="691"/>
      <c r="DT393" s="691"/>
      <c r="DU393" s="692"/>
      <c r="DV393" s="1045"/>
      <c r="DW393" s="1046"/>
      <c r="DX393" s="1046"/>
      <c r="DY393" s="1046"/>
      <c r="DZ393" s="1046"/>
    </row>
    <row r="394" spans="12:130" s="539" customFormat="1" ht="15" hidden="1" customHeight="1">
      <c r="L394" s="1168" t="s">
        <v>2881</v>
      </c>
      <c r="M394" s="1047"/>
      <c r="N394" s="1047"/>
      <c r="O394" s="1047"/>
      <c r="P394" s="1047"/>
      <c r="Q394" s="1047"/>
      <c r="R394" s="1047"/>
      <c r="S394" s="1047"/>
      <c r="T394" s="1047"/>
      <c r="U394" s="1047"/>
      <c r="V394" s="1047"/>
      <c r="W394" s="1047"/>
      <c r="X394" s="1047"/>
      <c r="Y394" s="1047"/>
      <c r="Z394" s="1047"/>
      <c r="AA394" s="1047"/>
      <c r="AB394" s="1750"/>
      <c r="AC394" s="1049"/>
      <c r="AD394" s="1049"/>
      <c r="AE394" s="691"/>
      <c r="AF394" s="692"/>
      <c r="AG394" s="692"/>
      <c r="AH394" s="692"/>
      <c r="AI394" s="674"/>
      <c r="AJ394" s="674"/>
      <c r="AK394" s="689"/>
      <c r="AL394" s="689"/>
      <c r="AM394" s="667"/>
      <c r="AN394" s="667"/>
      <c r="AO394" s="691"/>
      <c r="AP394" s="691"/>
      <c r="AQ394" s="691"/>
      <c r="AR394" s="691"/>
      <c r="AS394" s="691"/>
      <c r="AT394" s="691"/>
      <c r="AU394" s="692"/>
      <c r="AV394" s="1045"/>
      <c r="AW394" s="1046"/>
      <c r="AX394" s="1046"/>
      <c r="AY394" s="1046"/>
      <c r="AZ394" s="1046"/>
      <c r="BA394" s="689"/>
      <c r="BB394" s="1044"/>
      <c r="BC394" s="691"/>
      <c r="BD394" s="691"/>
      <c r="BE394" s="691"/>
      <c r="BF394" s="692"/>
      <c r="BG394" s="692"/>
      <c r="BH394" s="692"/>
      <c r="BI394" s="674"/>
      <c r="BJ394" s="674"/>
      <c r="BK394" s="689"/>
      <c r="BL394" s="689"/>
      <c r="BM394" s="667"/>
      <c r="BN394" s="667"/>
      <c r="BO394" s="691"/>
      <c r="BP394" s="691"/>
      <c r="BQ394" s="691"/>
      <c r="BR394" s="691"/>
      <c r="BS394" s="691"/>
      <c r="BT394" s="691"/>
      <c r="BU394" s="692"/>
      <c r="BV394" s="1045"/>
      <c r="BW394" s="1046"/>
      <c r="BX394" s="1046"/>
      <c r="BY394" s="1046"/>
      <c r="BZ394" s="1046"/>
      <c r="CA394" s="690"/>
      <c r="CB394" s="1044"/>
      <c r="CC394" s="691"/>
      <c r="CD394" s="691"/>
      <c r="CE394" s="691"/>
      <c r="CF394" s="692"/>
      <c r="CG394" s="692"/>
      <c r="CH394" s="692"/>
      <c r="CI394" s="674"/>
      <c r="CJ394" s="674"/>
      <c r="CK394" s="689"/>
      <c r="CL394" s="689"/>
      <c r="CM394" s="667"/>
      <c r="CN394" s="667"/>
      <c r="CO394" s="691"/>
      <c r="CP394" s="691"/>
      <c r="CQ394" s="691"/>
      <c r="CR394" s="691"/>
      <c r="CS394" s="691"/>
      <c r="CT394" s="691"/>
      <c r="CU394" s="692"/>
      <c r="CV394" s="1045"/>
      <c r="CW394" s="1046"/>
      <c r="CX394" s="1046"/>
      <c r="CY394" s="1046"/>
      <c r="CZ394" s="1046"/>
      <c r="DA394" s="690"/>
      <c r="DB394" s="1044"/>
      <c r="DC394" s="691"/>
      <c r="DD394" s="691"/>
      <c r="DE394" s="691"/>
      <c r="DF394" s="692"/>
      <c r="DG394" s="692"/>
      <c r="DH394" s="692"/>
      <c r="DI394" s="674"/>
      <c r="DJ394" s="674"/>
      <c r="DK394" s="689"/>
      <c r="DL394" s="689"/>
      <c r="DM394" s="667"/>
      <c r="DN394" s="667"/>
      <c r="DO394" s="691"/>
      <c r="DP394" s="691"/>
      <c r="DQ394" s="691"/>
      <c r="DR394" s="691"/>
      <c r="DS394" s="691"/>
      <c r="DT394" s="691"/>
      <c r="DU394" s="692"/>
      <c r="DV394" s="1045"/>
      <c r="DW394" s="1046"/>
      <c r="DX394" s="1046"/>
      <c r="DY394" s="1046"/>
      <c r="DZ394" s="1046"/>
    </row>
    <row r="395" spans="12:130" s="539" customFormat="1" ht="15" hidden="1" customHeight="1">
      <c r="L395" s="1168"/>
      <c r="M395" s="1047"/>
      <c r="N395" s="1047"/>
      <c r="O395" s="1047"/>
      <c r="P395" s="1047"/>
      <c r="Q395" s="1047"/>
      <c r="R395" s="1047"/>
      <c r="S395" s="1047"/>
      <c r="T395" s="1047"/>
      <c r="U395" s="1047"/>
      <c r="V395" s="1047"/>
      <c r="W395" s="1047"/>
      <c r="X395" s="1047"/>
      <c r="Y395" s="1047"/>
      <c r="Z395" s="1047"/>
      <c r="AA395" s="1047"/>
      <c r="AB395" s="1750"/>
      <c r="AC395" s="1049"/>
      <c r="AD395" s="1049"/>
      <c r="AE395" s="691"/>
      <c r="AF395" s="692"/>
      <c r="AG395" s="692"/>
      <c r="AH395" s="692"/>
      <c r="AI395" s="674"/>
      <c r="AJ395" s="674"/>
      <c r="AK395" s="689"/>
      <c r="AL395" s="689"/>
      <c r="AM395" s="667"/>
      <c r="AN395" s="667"/>
      <c r="AO395" s="691"/>
      <c r="AP395" s="691"/>
      <c r="AQ395" s="691"/>
      <c r="AR395" s="691"/>
      <c r="AS395" s="691"/>
      <c r="AT395" s="691"/>
      <c r="AU395" s="692"/>
      <c r="AV395" s="1045"/>
      <c r="AW395" s="1046"/>
      <c r="AX395" s="1046"/>
      <c r="AY395" s="1046"/>
      <c r="AZ395" s="1046"/>
      <c r="BA395" s="689"/>
      <c r="BB395" s="1044"/>
      <c r="BC395" s="691"/>
      <c r="BD395" s="691"/>
      <c r="BE395" s="691"/>
      <c r="BF395" s="692"/>
      <c r="BG395" s="692"/>
      <c r="BH395" s="692"/>
      <c r="BI395" s="674"/>
      <c r="BJ395" s="674"/>
      <c r="BK395" s="689"/>
      <c r="BL395" s="689"/>
      <c r="BM395" s="667"/>
      <c r="BN395" s="667"/>
      <c r="BO395" s="691"/>
      <c r="BP395" s="691"/>
      <c r="BQ395" s="691"/>
      <c r="BR395" s="691"/>
      <c r="BS395" s="691"/>
      <c r="BT395" s="691"/>
      <c r="BU395" s="692"/>
      <c r="BV395" s="1045"/>
      <c r="BW395" s="1046"/>
      <c r="BX395" s="1046"/>
      <c r="BY395" s="1046"/>
      <c r="BZ395" s="1046"/>
      <c r="CA395" s="690"/>
      <c r="CB395" s="1044"/>
      <c r="CC395" s="691"/>
      <c r="CD395" s="691"/>
      <c r="CE395" s="691"/>
      <c r="CF395" s="692"/>
      <c r="CG395" s="692"/>
      <c r="CH395" s="692"/>
      <c r="CI395" s="674"/>
      <c r="CJ395" s="674"/>
      <c r="CK395" s="689"/>
      <c r="CL395" s="689"/>
      <c r="CM395" s="667"/>
      <c r="CN395" s="667"/>
      <c r="CO395" s="691"/>
      <c r="CP395" s="691"/>
      <c r="CQ395" s="691"/>
      <c r="CR395" s="691"/>
      <c r="CS395" s="691"/>
      <c r="CT395" s="691"/>
      <c r="CU395" s="692"/>
      <c r="CV395" s="1045"/>
      <c r="CW395" s="1046"/>
      <c r="CX395" s="1046"/>
      <c r="CY395" s="1046"/>
      <c r="CZ395" s="1046"/>
      <c r="DA395" s="690"/>
      <c r="DB395" s="1044"/>
      <c r="DC395" s="691"/>
      <c r="DD395" s="691"/>
      <c r="DE395" s="691"/>
      <c r="DF395" s="692"/>
      <c r="DG395" s="692"/>
      <c r="DH395" s="692"/>
      <c r="DI395" s="674"/>
      <c r="DJ395" s="674"/>
      <c r="DK395" s="689"/>
      <c r="DL395" s="689"/>
      <c r="DM395" s="667"/>
      <c r="DN395" s="667"/>
      <c r="DO395" s="691"/>
      <c r="DP395" s="691"/>
      <c r="DQ395" s="691"/>
      <c r="DR395" s="691"/>
      <c r="DS395" s="691"/>
      <c r="DT395" s="691"/>
      <c r="DU395" s="692"/>
      <c r="DV395" s="1045"/>
      <c r="DW395" s="1046"/>
      <c r="DX395" s="1046"/>
      <c r="DY395" s="1046"/>
      <c r="DZ395" s="1046"/>
    </row>
    <row r="396" spans="12:130" s="539" customFormat="1" ht="15" hidden="1" customHeight="1">
      <c r="L396" s="1168"/>
      <c r="M396" s="1047"/>
      <c r="N396" s="1047"/>
      <c r="O396" s="1047"/>
      <c r="P396" s="1047"/>
      <c r="Q396" s="1047"/>
      <c r="R396" s="1047"/>
      <c r="S396" s="1047"/>
      <c r="T396" s="1047"/>
      <c r="U396" s="1047"/>
      <c r="V396" s="1047"/>
      <c r="W396" s="1047"/>
      <c r="X396" s="1047"/>
      <c r="Y396" s="1047"/>
      <c r="Z396" s="1047"/>
      <c r="AA396" s="1047"/>
      <c r="AB396" s="1750"/>
      <c r="AC396" s="1049"/>
      <c r="AD396" s="1049"/>
      <c r="AE396" s="691"/>
      <c r="AF396" s="692"/>
      <c r="AG396" s="692"/>
      <c r="AH396" s="692"/>
      <c r="AI396" s="674"/>
      <c r="AJ396" s="674"/>
      <c r="AK396" s="689"/>
      <c r="AL396" s="689"/>
      <c r="AM396" s="667"/>
      <c r="AN396" s="667"/>
      <c r="AO396" s="691"/>
      <c r="AP396" s="691"/>
      <c r="AQ396" s="691"/>
      <c r="AR396" s="691"/>
      <c r="AS396" s="691"/>
      <c r="AT396" s="691"/>
      <c r="AU396" s="692"/>
      <c r="AV396" s="1045"/>
      <c r="AW396" s="1046"/>
      <c r="AX396" s="1046"/>
      <c r="AY396" s="1046"/>
      <c r="AZ396" s="1046"/>
      <c r="BA396" s="689"/>
      <c r="BB396" s="1044"/>
      <c r="BC396" s="691"/>
      <c r="BD396" s="691"/>
      <c r="BE396" s="691"/>
      <c r="BF396" s="692"/>
      <c r="BG396" s="692"/>
      <c r="BH396" s="692"/>
      <c r="BI396" s="674"/>
      <c r="BJ396" s="674"/>
      <c r="BK396" s="689"/>
      <c r="BL396" s="689"/>
      <c r="BM396" s="667"/>
      <c r="BN396" s="667"/>
      <c r="BO396" s="691"/>
      <c r="BP396" s="691"/>
      <c r="BQ396" s="691"/>
      <c r="BR396" s="691"/>
      <c r="BS396" s="691"/>
      <c r="BT396" s="691"/>
      <c r="BU396" s="692"/>
      <c r="BV396" s="1045"/>
      <c r="BW396" s="1046"/>
      <c r="BX396" s="1046"/>
      <c r="BY396" s="1046"/>
      <c r="BZ396" s="1046"/>
      <c r="CA396" s="690"/>
      <c r="CB396" s="1044"/>
      <c r="CC396" s="691"/>
      <c r="CD396" s="691"/>
      <c r="CE396" s="691"/>
      <c r="CF396" s="692"/>
      <c r="CG396" s="692"/>
      <c r="CH396" s="692"/>
      <c r="CI396" s="674"/>
      <c r="CJ396" s="674"/>
      <c r="CK396" s="689"/>
      <c r="CL396" s="689"/>
      <c r="CM396" s="667"/>
      <c r="CN396" s="667"/>
      <c r="CO396" s="691"/>
      <c r="CP396" s="691"/>
      <c r="CQ396" s="691"/>
      <c r="CR396" s="691"/>
      <c r="CS396" s="691"/>
      <c r="CT396" s="691"/>
      <c r="CU396" s="692"/>
      <c r="CV396" s="1045"/>
      <c r="CW396" s="1046"/>
      <c r="CX396" s="1046"/>
      <c r="CY396" s="1046"/>
      <c r="CZ396" s="1046"/>
      <c r="DA396" s="690"/>
      <c r="DB396" s="1044"/>
      <c r="DC396" s="691"/>
      <c r="DD396" s="691"/>
      <c r="DE396" s="691"/>
      <c r="DF396" s="692"/>
      <c r="DG396" s="692"/>
      <c r="DH396" s="692"/>
      <c r="DI396" s="674"/>
      <c r="DJ396" s="674"/>
      <c r="DK396" s="689"/>
      <c r="DL396" s="689"/>
      <c r="DM396" s="667"/>
      <c r="DN396" s="667"/>
      <c r="DO396" s="691"/>
      <c r="DP396" s="691"/>
      <c r="DQ396" s="691"/>
      <c r="DR396" s="691"/>
      <c r="DS396" s="691"/>
      <c r="DT396" s="691"/>
      <c r="DU396" s="692"/>
      <c r="DV396" s="1045"/>
      <c r="DW396" s="1046"/>
      <c r="DX396" s="1046"/>
      <c r="DY396" s="1046"/>
      <c r="DZ396" s="1046"/>
    </row>
    <row r="397" spans="12:130" s="539" customFormat="1" ht="15" hidden="1" customHeight="1">
      <c r="L397" s="1168"/>
      <c r="M397" s="1047"/>
      <c r="N397" s="1047"/>
      <c r="O397" s="1047"/>
      <c r="P397" s="1047"/>
      <c r="Q397" s="1047"/>
      <c r="R397" s="1047"/>
      <c r="S397" s="1047"/>
      <c r="T397" s="1047"/>
      <c r="U397" s="1047"/>
      <c r="V397" s="1047"/>
      <c r="W397" s="1047"/>
      <c r="X397" s="1047"/>
      <c r="Y397" s="1047"/>
      <c r="Z397" s="1047"/>
      <c r="AA397" s="1047"/>
      <c r="AB397" s="1750"/>
      <c r="AC397" s="1049"/>
      <c r="AD397" s="1049"/>
      <c r="AE397" s="691"/>
      <c r="AF397" s="692"/>
      <c r="AG397" s="692"/>
      <c r="AH397" s="692"/>
      <c r="AI397" s="674"/>
      <c r="AJ397" s="674"/>
      <c r="AK397" s="689"/>
      <c r="AL397" s="689"/>
      <c r="AM397" s="667"/>
      <c r="AN397" s="667"/>
      <c r="AO397" s="691"/>
      <c r="AP397" s="691"/>
      <c r="AQ397" s="691"/>
      <c r="AR397" s="691"/>
      <c r="AS397" s="691"/>
      <c r="AT397" s="691"/>
      <c r="AU397" s="692"/>
      <c r="AV397" s="1045"/>
      <c r="AW397" s="1046"/>
      <c r="AX397" s="1046"/>
      <c r="AY397" s="1046"/>
      <c r="AZ397" s="1046"/>
      <c r="BA397" s="689"/>
      <c r="BB397" s="1044"/>
      <c r="BC397" s="691"/>
      <c r="BD397" s="691"/>
      <c r="BE397" s="691"/>
      <c r="BF397" s="692"/>
      <c r="BG397" s="692"/>
      <c r="BH397" s="692"/>
      <c r="BI397" s="674"/>
      <c r="BJ397" s="674"/>
      <c r="BK397" s="689"/>
      <c r="BL397" s="689"/>
      <c r="BM397" s="667"/>
      <c r="BN397" s="667"/>
      <c r="BO397" s="691"/>
      <c r="BP397" s="691"/>
      <c r="BQ397" s="691"/>
      <c r="BR397" s="691"/>
      <c r="BS397" s="691"/>
      <c r="BT397" s="691"/>
      <c r="BU397" s="692"/>
      <c r="BV397" s="1045"/>
      <c r="BW397" s="1046"/>
      <c r="BX397" s="1046"/>
      <c r="BY397" s="1046"/>
      <c r="BZ397" s="1046"/>
      <c r="CA397" s="690"/>
      <c r="CB397" s="1044"/>
      <c r="CC397" s="691"/>
      <c r="CD397" s="691"/>
      <c r="CE397" s="691"/>
      <c r="CF397" s="692"/>
      <c r="CG397" s="692"/>
      <c r="CH397" s="692"/>
      <c r="CI397" s="674"/>
      <c r="CJ397" s="674"/>
      <c r="CK397" s="689"/>
      <c r="CL397" s="689"/>
      <c r="CM397" s="667"/>
      <c r="CN397" s="667"/>
      <c r="CO397" s="691"/>
      <c r="CP397" s="691"/>
      <c r="CQ397" s="691"/>
      <c r="CR397" s="691"/>
      <c r="CS397" s="691"/>
      <c r="CT397" s="691"/>
      <c r="CU397" s="692"/>
      <c r="CV397" s="1045"/>
      <c r="CW397" s="1046"/>
      <c r="CX397" s="1046"/>
      <c r="CY397" s="1046"/>
      <c r="CZ397" s="1046"/>
      <c r="DA397" s="690"/>
      <c r="DB397" s="1044"/>
      <c r="DC397" s="691"/>
      <c r="DD397" s="691"/>
      <c r="DE397" s="691"/>
      <c r="DF397" s="692"/>
      <c r="DG397" s="692"/>
      <c r="DH397" s="692"/>
      <c r="DI397" s="674"/>
      <c r="DJ397" s="674"/>
      <c r="DK397" s="689"/>
      <c r="DL397" s="689"/>
      <c r="DM397" s="667"/>
      <c r="DN397" s="667"/>
      <c r="DO397" s="691"/>
      <c r="DP397" s="691"/>
      <c r="DQ397" s="691"/>
      <c r="DR397" s="691"/>
      <c r="DS397" s="691"/>
      <c r="DT397" s="691"/>
      <c r="DU397" s="692"/>
      <c r="DV397" s="1045"/>
      <c r="DW397" s="1046"/>
      <c r="DX397" s="1046"/>
      <c r="DY397" s="1046"/>
      <c r="DZ397" s="1046"/>
    </row>
    <row r="398" spans="12:130" s="539" customFormat="1" ht="15" hidden="1" customHeight="1">
      <c r="L398" s="1168"/>
      <c r="M398" s="1047"/>
      <c r="N398" s="1047"/>
      <c r="O398" s="1047"/>
      <c r="P398" s="1047"/>
      <c r="Q398" s="1047"/>
      <c r="R398" s="1047"/>
      <c r="S398" s="1047"/>
      <c r="T398" s="1047"/>
      <c r="U398" s="1047"/>
      <c r="V398" s="1047"/>
      <c r="W398" s="1047"/>
      <c r="X398" s="1047"/>
      <c r="Y398" s="1047"/>
      <c r="Z398" s="1047"/>
      <c r="AA398" s="1047"/>
      <c r="AB398" s="1750"/>
      <c r="AC398" s="1049"/>
      <c r="AD398" s="1049"/>
      <c r="AE398" s="691"/>
      <c r="AF398" s="692"/>
      <c r="AG398" s="692"/>
      <c r="AH398" s="692"/>
      <c r="AI398" s="674"/>
      <c r="AJ398" s="674"/>
      <c r="AK398" s="689"/>
      <c r="AL398" s="689"/>
      <c r="AM398" s="667"/>
      <c r="AN398" s="667"/>
      <c r="AO398" s="691"/>
      <c r="AP398" s="691"/>
      <c r="AQ398" s="691"/>
      <c r="AR398" s="691"/>
      <c r="AS398" s="691"/>
      <c r="AT398" s="691"/>
      <c r="AU398" s="692"/>
      <c r="AV398" s="1045"/>
      <c r="AW398" s="1046"/>
      <c r="AX398" s="1046"/>
      <c r="AY398" s="1046"/>
      <c r="AZ398" s="1046"/>
      <c r="BA398" s="689"/>
      <c r="BB398" s="1044"/>
      <c r="BC398" s="691"/>
      <c r="BD398" s="691"/>
      <c r="BE398" s="691"/>
      <c r="BF398" s="692"/>
      <c r="BG398" s="692"/>
      <c r="BH398" s="692"/>
      <c r="BI398" s="674"/>
      <c r="BJ398" s="674"/>
      <c r="BK398" s="689"/>
      <c r="BL398" s="689"/>
      <c r="BM398" s="667"/>
      <c r="BN398" s="667"/>
      <c r="BO398" s="691"/>
      <c r="BP398" s="691"/>
      <c r="BQ398" s="691"/>
      <c r="BR398" s="691"/>
      <c r="BS398" s="691"/>
      <c r="BT398" s="691"/>
      <c r="BU398" s="692"/>
      <c r="BV398" s="1045"/>
      <c r="BW398" s="1046"/>
      <c r="BX398" s="1046"/>
      <c r="BY398" s="1046"/>
      <c r="BZ398" s="1046"/>
      <c r="CA398" s="690"/>
      <c r="CB398" s="1044"/>
      <c r="CC398" s="691"/>
      <c r="CD398" s="691"/>
      <c r="CE398" s="691"/>
      <c r="CF398" s="692"/>
      <c r="CG398" s="692"/>
      <c r="CH398" s="692"/>
      <c r="CI398" s="674"/>
      <c r="CJ398" s="674"/>
      <c r="CK398" s="689"/>
      <c r="CL398" s="689"/>
      <c r="CM398" s="667"/>
      <c r="CN398" s="667"/>
      <c r="CO398" s="691"/>
      <c r="CP398" s="691"/>
      <c r="CQ398" s="691"/>
      <c r="CR398" s="691"/>
      <c r="CS398" s="691"/>
      <c r="CT398" s="691"/>
      <c r="CU398" s="692"/>
      <c r="CV398" s="1045"/>
      <c r="CW398" s="1046"/>
      <c r="CX398" s="1046"/>
      <c r="CY398" s="1046"/>
      <c r="CZ398" s="1046"/>
      <c r="DA398" s="690"/>
      <c r="DB398" s="1044"/>
      <c r="DC398" s="691"/>
      <c r="DD398" s="691"/>
      <c r="DE398" s="691"/>
      <c r="DF398" s="692"/>
      <c r="DG398" s="692"/>
      <c r="DH398" s="692"/>
      <c r="DI398" s="674"/>
      <c r="DJ398" s="674"/>
      <c r="DK398" s="689"/>
      <c r="DL398" s="689"/>
      <c r="DM398" s="667"/>
      <c r="DN398" s="667"/>
      <c r="DO398" s="691"/>
      <c r="DP398" s="691"/>
      <c r="DQ398" s="691"/>
      <c r="DR398" s="691"/>
      <c r="DS398" s="691"/>
      <c r="DT398" s="691"/>
      <c r="DU398" s="692"/>
      <c r="DV398" s="1045"/>
      <c r="DW398" s="1046"/>
      <c r="DX398" s="1046"/>
      <c r="DY398" s="1046"/>
      <c r="DZ398" s="1046"/>
    </row>
    <row r="399" spans="12:130" s="539" customFormat="1" ht="15" hidden="1" customHeight="1">
      <c r="L399" s="1168"/>
      <c r="M399" s="1047"/>
      <c r="N399" s="1047"/>
      <c r="O399" s="1047"/>
      <c r="P399" s="1047"/>
      <c r="Q399" s="1047"/>
      <c r="R399" s="1047"/>
      <c r="S399" s="1047"/>
      <c r="T399" s="1047"/>
      <c r="U399" s="1047"/>
      <c r="V399" s="1047"/>
      <c r="W399" s="1047"/>
      <c r="X399" s="1047"/>
      <c r="Y399" s="1047"/>
      <c r="Z399" s="1047"/>
      <c r="AA399" s="1047"/>
      <c r="AB399" s="1750"/>
      <c r="AC399" s="1049"/>
      <c r="AD399" s="1049"/>
      <c r="AE399" s="691"/>
      <c r="AF399" s="692"/>
      <c r="AG399" s="692"/>
      <c r="AH399" s="692"/>
      <c r="AI399" s="674"/>
      <c r="AJ399" s="674"/>
      <c r="AK399" s="689"/>
      <c r="AL399" s="689"/>
      <c r="AM399" s="667"/>
      <c r="AN399" s="667"/>
      <c r="AO399" s="691"/>
      <c r="AP399" s="691"/>
      <c r="AQ399" s="691"/>
      <c r="AR399" s="691"/>
      <c r="AS399" s="691"/>
      <c r="AT399" s="691"/>
      <c r="AU399" s="692"/>
      <c r="AV399" s="1045"/>
      <c r="AW399" s="1046"/>
      <c r="AX399" s="1046"/>
      <c r="AY399" s="1046"/>
      <c r="AZ399" s="1046"/>
      <c r="BA399" s="689"/>
      <c r="BB399" s="1044"/>
      <c r="BC399" s="691"/>
      <c r="BD399" s="691"/>
      <c r="BE399" s="691"/>
      <c r="BF399" s="692"/>
      <c r="BG399" s="692"/>
      <c r="BH399" s="692"/>
      <c r="BI399" s="674"/>
      <c r="BJ399" s="674"/>
      <c r="BK399" s="689"/>
      <c r="BL399" s="689"/>
      <c r="BM399" s="667"/>
      <c r="BN399" s="667"/>
      <c r="BO399" s="691"/>
      <c r="BP399" s="691"/>
      <c r="BQ399" s="691"/>
      <c r="BR399" s="691"/>
      <c r="BS399" s="691"/>
      <c r="BT399" s="691"/>
      <c r="BU399" s="692"/>
      <c r="BV399" s="1045"/>
      <c r="BW399" s="1046"/>
      <c r="BX399" s="1046"/>
      <c r="BY399" s="1046"/>
      <c r="BZ399" s="1046"/>
      <c r="CA399" s="690"/>
      <c r="CB399" s="1044"/>
      <c r="CC399" s="691"/>
      <c r="CD399" s="691"/>
      <c r="CE399" s="691"/>
      <c r="CF399" s="692"/>
      <c r="CG399" s="692"/>
      <c r="CH399" s="692"/>
      <c r="CI399" s="674"/>
      <c r="CJ399" s="674"/>
      <c r="CK399" s="689"/>
      <c r="CL399" s="689"/>
      <c r="CM399" s="667"/>
      <c r="CN399" s="667"/>
      <c r="CO399" s="691"/>
      <c r="CP399" s="691"/>
      <c r="CQ399" s="691"/>
      <c r="CR399" s="691"/>
      <c r="CS399" s="691"/>
      <c r="CT399" s="691"/>
      <c r="CU399" s="692"/>
      <c r="CV399" s="1045"/>
      <c r="CW399" s="1046"/>
      <c r="CX399" s="1046"/>
      <c r="CY399" s="1046"/>
      <c r="CZ399" s="1046"/>
      <c r="DA399" s="690"/>
      <c r="DB399" s="1044"/>
      <c r="DC399" s="691"/>
      <c r="DD399" s="691"/>
      <c r="DE399" s="691"/>
      <c r="DF399" s="692"/>
      <c r="DG399" s="692"/>
      <c r="DH399" s="692"/>
      <c r="DI399" s="674"/>
      <c r="DJ399" s="674"/>
      <c r="DK399" s="689"/>
      <c r="DL399" s="689"/>
      <c r="DM399" s="667"/>
      <c r="DN399" s="667"/>
      <c r="DO399" s="691"/>
      <c r="DP399" s="691"/>
      <c r="DQ399" s="691"/>
      <c r="DR399" s="691"/>
      <c r="DS399" s="691"/>
      <c r="DT399" s="691"/>
      <c r="DU399" s="692"/>
      <c r="DV399" s="1045"/>
      <c r="DW399" s="1046"/>
      <c r="DX399" s="1046"/>
      <c r="DY399" s="1046"/>
      <c r="DZ399" s="1046"/>
    </row>
    <row r="400" spans="12:130" s="539" customFormat="1" ht="15" hidden="1" customHeight="1">
      <c r="L400" s="1168"/>
      <c r="M400" s="1047"/>
      <c r="N400" s="1047"/>
      <c r="O400" s="1047"/>
      <c r="P400" s="1047"/>
      <c r="Q400" s="1047"/>
      <c r="R400" s="1047"/>
      <c r="S400" s="1047"/>
      <c r="T400" s="1047"/>
      <c r="U400" s="1047"/>
      <c r="V400" s="1047"/>
      <c r="W400" s="1047"/>
      <c r="X400" s="1047"/>
      <c r="Y400" s="1047"/>
      <c r="Z400" s="1047"/>
      <c r="AA400" s="1047"/>
      <c r="AB400" s="1750"/>
      <c r="AC400" s="1049"/>
      <c r="AD400" s="1049"/>
      <c r="AE400" s="691"/>
      <c r="AF400" s="692"/>
      <c r="AG400" s="692"/>
      <c r="AH400" s="692"/>
      <c r="AI400" s="674"/>
      <c r="AJ400" s="674"/>
      <c r="AK400" s="689"/>
      <c r="AL400" s="689"/>
      <c r="AM400" s="667"/>
      <c r="AN400" s="667"/>
      <c r="AO400" s="691"/>
      <c r="AP400" s="691"/>
      <c r="AQ400" s="691"/>
      <c r="AR400" s="691"/>
      <c r="AS400" s="691"/>
      <c r="AT400" s="691"/>
      <c r="AU400" s="692"/>
      <c r="AV400" s="1045"/>
      <c r="AW400" s="1046"/>
      <c r="AX400" s="1046"/>
      <c r="AY400" s="1046"/>
      <c r="AZ400" s="1046"/>
      <c r="BA400" s="689"/>
      <c r="BB400" s="1044"/>
      <c r="BC400" s="691"/>
      <c r="BD400" s="691"/>
      <c r="BE400" s="691"/>
      <c r="BF400" s="692"/>
      <c r="BG400" s="692"/>
      <c r="BH400" s="692"/>
      <c r="BI400" s="674"/>
      <c r="BJ400" s="674"/>
      <c r="BK400" s="689"/>
      <c r="BL400" s="689"/>
      <c r="BM400" s="667"/>
      <c r="BN400" s="667"/>
      <c r="BO400" s="691"/>
      <c r="BP400" s="691"/>
      <c r="BQ400" s="691"/>
      <c r="BR400" s="691"/>
      <c r="BS400" s="691"/>
      <c r="BT400" s="691"/>
      <c r="BU400" s="692"/>
      <c r="BV400" s="1045"/>
      <c r="BW400" s="1046"/>
      <c r="BX400" s="1046"/>
      <c r="BY400" s="1046"/>
      <c r="BZ400" s="1046"/>
      <c r="CA400" s="690"/>
      <c r="CB400" s="1044"/>
      <c r="CC400" s="691"/>
      <c r="CD400" s="691"/>
      <c r="CE400" s="691"/>
      <c r="CF400" s="692"/>
      <c r="CG400" s="692"/>
      <c r="CH400" s="692"/>
      <c r="CI400" s="674"/>
      <c r="CJ400" s="674"/>
      <c r="CK400" s="689"/>
      <c r="CL400" s="689"/>
      <c r="CM400" s="667"/>
      <c r="CN400" s="667"/>
      <c r="CO400" s="691"/>
      <c r="CP400" s="691"/>
      <c r="CQ400" s="691"/>
      <c r="CR400" s="691"/>
      <c r="CS400" s="691"/>
      <c r="CT400" s="691"/>
      <c r="CU400" s="692"/>
      <c r="CV400" s="1045"/>
      <c r="CW400" s="1046"/>
      <c r="CX400" s="1046"/>
      <c r="CY400" s="1046"/>
      <c r="CZ400" s="1046"/>
      <c r="DA400" s="690"/>
      <c r="DB400" s="1044"/>
      <c r="DC400" s="691"/>
      <c r="DD400" s="691"/>
      <c r="DE400" s="691"/>
      <c r="DF400" s="692"/>
      <c r="DG400" s="692"/>
      <c r="DH400" s="692"/>
      <c r="DI400" s="674"/>
      <c r="DJ400" s="674"/>
      <c r="DK400" s="689"/>
      <c r="DL400" s="689"/>
      <c r="DM400" s="667"/>
      <c r="DN400" s="667"/>
      <c r="DO400" s="691"/>
      <c r="DP400" s="691"/>
      <c r="DQ400" s="691"/>
      <c r="DR400" s="691"/>
      <c r="DS400" s="691"/>
      <c r="DT400" s="691"/>
      <c r="DU400" s="692"/>
      <c r="DV400" s="1045"/>
      <c r="DW400" s="1046"/>
      <c r="DX400" s="1046"/>
      <c r="DY400" s="1046"/>
      <c r="DZ400" s="1046"/>
    </row>
    <row r="401" spans="12:130" s="539" customFormat="1" ht="15" hidden="1" customHeight="1">
      <c r="L401" s="1168"/>
      <c r="M401" s="1047"/>
      <c r="N401" s="1047"/>
      <c r="O401" s="1047"/>
      <c r="P401" s="1047"/>
      <c r="Q401" s="1047"/>
      <c r="R401" s="1047"/>
      <c r="S401" s="1047"/>
      <c r="T401" s="1047"/>
      <c r="U401" s="1047"/>
      <c r="V401" s="1047"/>
      <c r="W401" s="1047"/>
      <c r="X401" s="1047"/>
      <c r="Y401" s="1047"/>
      <c r="Z401" s="1047"/>
      <c r="AA401" s="1047"/>
      <c r="AB401" s="1750"/>
      <c r="AC401" s="1049"/>
      <c r="AD401" s="1049"/>
      <c r="AE401" s="691"/>
      <c r="AF401" s="692"/>
      <c r="AG401" s="692"/>
      <c r="AH401" s="692"/>
      <c r="AI401" s="674"/>
      <c r="AJ401" s="674"/>
      <c r="AK401" s="689"/>
      <c r="AL401" s="689"/>
      <c r="AM401" s="667"/>
      <c r="AN401" s="667"/>
      <c r="AO401" s="691"/>
      <c r="AP401" s="691"/>
      <c r="AQ401" s="691"/>
      <c r="AR401" s="691"/>
      <c r="AS401" s="691"/>
      <c r="AT401" s="691"/>
      <c r="AU401" s="692"/>
      <c r="AV401" s="1045"/>
      <c r="AW401" s="1046"/>
      <c r="AX401" s="1046"/>
      <c r="AY401" s="1046"/>
      <c r="AZ401" s="1046"/>
      <c r="BA401" s="689"/>
      <c r="BB401" s="1044"/>
      <c r="BC401" s="691"/>
      <c r="BD401" s="691"/>
      <c r="BE401" s="691"/>
      <c r="BF401" s="692"/>
      <c r="BG401" s="692"/>
      <c r="BH401" s="692"/>
      <c r="BI401" s="674"/>
      <c r="BJ401" s="674"/>
      <c r="BK401" s="689"/>
      <c r="BL401" s="689"/>
      <c r="BM401" s="667"/>
      <c r="BN401" s="667"/>
      <c r="BO401" s="691"/>
      <c r="BP401" s="691"/>
      <c r="BQ401" s="691"/>
      <c r="BR401" s="691"/>
      <c r="BS401" s="691"/>
      <c r="BT401" s="691"/>
      <c r="BU401" s="692"/>
      <c r="BV401" s="1045"/>
      <c r="BW401" s="1046"/>
      <c r="BX401" s="1046"/>
      <c r="BY401" s="1046"/>
      <c r="BZ401" s="1046"/>
      <c r="CA401" s="690"/>
      <c r="CB401" s="1044"/>
      <c r="CC401" s="691"/>
      <c r="CD401" s="691"/>
      <c r="CE401" s="691"/>
      <c r="CF401" s="692"/>
      <c r="CG401" s="692"/>
      <c r="CH401" s="692"/>
      <c r="CI401" s="674"/>
      <c r="CJ401" s="674"/>
      <c r="CK401" s="689"/>
      <c r="CL401" s="689"/>
      <c r="CM401" s="667"/>
      <c r="CN401" s="667"/>
      <c r="CO401" s="691"/>
      <c r="CP401" s="691"/>
      <c r="CQ401" s="691"/>
      <c r="CR401" s="691"/>
      <c r="CS401" s="691"/>
      <c r="CT401" s="691"/>
      <c r="CU401" s="692"/>
      <c r="CV401" s="1045"/>
      <c r="CW401" s="1046"/>
      <c r="CX401" s="1046"/>
      <c r="CY401" s="1046"/>
      <c r="CZ401" s="1046"/>
      <c r="DA401" s="690"/>
      <c r="DB401" s="1044"/>
      <c r="DC401" s="691"/>
      <c r="DD401" s="691"/>
      <c r="DE401" s="691"/>
      <c r="DF401" s="692"/>
      <c r="DG401" s="692"/>
      <c r="DH401" s="692"/>
      <c r="DI401" s="674"/>
      <c r="DJ401" s="674"/>
      <c r="DK401" s="689"/>
      <c r="DL401" s="689"/>
      <c r="DM401" s="667"/>
      <c r="DN401" s="667"/>
      <c r="DO401" s="691"/>
      <c r="DP401" s="691"/>
      <c r="DQ401" s="691"/>
      <c r="DR401" s="691"/>
      <c r="DS401" s="691"/>
      <c r="DT401" s="691"/>
      <c r="DU401" s="692"/>
      <c r="DV401" s="1045"/>
      <c r="DW401" s="1046"/>
      <c r="DX401" s="1046"/>
      <c r="DY401" s="1046"/>
      <c r="DZ401" s="1046"/>
    </row>
    <row r="402" spans="12:130" s="539" customFormat="1" ht="15" hidden="1" customHeight="1">
      <c r="L402" s="1168"/>
      <c r="M402" s="1047"/>
      <c r="N402" s="1047"/>
      <c r="O402" s="1047"/>
      <c r="P402" s="1047"/>
      <c r="Q402" s="1047"/>
      <c r="R402" s="1047"/>
      <c r="S402" s="1047"/>
      <c r="T402" s="1047"/>
      <c r="U402" s="1047"/>
      <c r="V402" s="1047"/>
      <c r="W402" s="1047"/>
      <c r="X402" s="1047"/>
      <c r="Y402" s="1047"/>
      <c r="Z402" s="1047"/>
      <c r="AA402" s="1047"/>
      <c r="AB402" s="1750"/>
      <c r="AC402" s="1049"/>
      <c r="AD402" s="1049"/>
      <c r="AE402" s="691"/>
      <c r="AF402" s="692"/>
      <c r="AG402" s="692"/>
      <c r="AH402" s="692"/>
      <c r="AI402" s="674"/>
      <c r="AJ402" s="674"/>
      <c r="AK402" s="689"/>
      <c r="AL402" s="689"/>
      <c r="AM402" s="667"/>
      <c r="AN402" s="667"/>
      <c r="AO402" s="691"/>
      <c r="AP402" s="691"/>
      <c r="AQ402" s="691"/>
      <c r="AR402" s="691"/>
      <c r="AS402" s="691"/>
      <c r="AT402" s="691"/>
      <c r="AU402" s="692"/>
      <c r="AV402" s="1045"/>
      <c r="AW402" s="1046"/>
      <c r="AX402" s="1046"/>
      <c r="AY402" s="1046"/>
      <c r="AZ402" s="1046"/>
      <c r="BA402" s="689"/>
      <c r="BB402" s="1044"/>
      <c r="BC402" s="691"/>
      <c r="BD402" s="691"/>
      <c r="BE402" s="691"/>
      <c r="BF402" s="692"/>
      <c r="BG402" s="692"/>
      <c r="BH402" s="692"/>
      <c r="BI402" s="674"/>
      <c r="BJ402" s="674"/>
      <c r="BK402" s="689"/>
      <c r="BL402" s="689"/>
      <c r="BM402" s="667"/>
      <c r="BN402" s="667"/>
      <c r="BO402" s="691"/>
      <c r="BP402" s="691"/>
      <c r="BQ402" s="691"/>
      <c r="BR402" s="691"/>
      <c r="BS402" s="691"/>
      <c r="BT402" s="691"/>
      <c r="BU402" s="692"/>
      <c r="BV402" s="1045"/>
      <c r="BW402" s="1046"/>
      <c r="BX402" s="1046"/>
      <c r="BY402" s="1046"/>
      <c r="BZ402" s="1046"/>
      <c r="CA402" s="690"/>
      <c r="CB402" s="1044"/>
      <c r="CC402" s="691"/>
      <c r="CD402" s="691"/>
      <c r="CE402" s="691"/>
      <c r="CF402" s="692"/>
      <c r="CG402" s="692"/>
      <c r="CH402" s="692"/>
      <c r="CI402" s="674"/>
      <c r="CJ402" s="674"/>
      <c r="CK402" s="689"/>
      <c r="CL402" s="689"/>
      <c r="CM402" s="667"/>
      <c r="CN402" s="667"/>
      <c r="CO402" s="691"/>
      <c r="CP402" s="691"/>
      <c r="CQ402" s="691"/>
      <c r="CR402" s="691"/>
      <c r="CS402" s="691"/>
      <c r="CT402" s="691"/>
      <c r="CU402" s="692"/>
      <c r="CV402" s="1045"/>
      <c r="CW402" s="1046"/>
      <c r="CX402" s="1046"/>
      <c r="CY402" s="1046"/>
      <c r="CZ402" s="1046"/>
      <c r="DA402" s="690"/>
      <c r="DB402" s="1044"/>
      <c r="DC402" s="691"/>
      <c r="DD402" s="691"/>
      <c r="DE402" s="691"/>
      <c r="DF402" s="692"/>
      <c r="DG402" s="692"/>
      <c r="DH402" s="692"/>
      <c r="DI402" s="674"/>
      <c r="DJ402" s="674"/>
      <c r="DK402" s="689"/>
      <c r="DL402" s="689"/>
      <c r="DM402" s="667"/>
      <c r="DN402" s="667"/>
      <c r="DO402" s="691"/>
      <c r="DP402" s="691"/>
      <c r="DQ402" s="691"/>
      <c r="DR402" s="691"/>
      <c r="DS402" s="691"/>
      <c r="DT402" s="691"/>
      <c r="DU402" s="692"/>
      <c r="DV402" s="1045"/>
      <c r="DW402" s="1046"/>
      <c r="DX402" s="1046"/>
      <c r="DY402" s="1046"/>
      <c r="DZ402" s="1046"/>
    </row>
    <row r="403" spans="12:130" s="539" customFormat="1" ht="15" hidden="1" customHeight="1">
      <c r="L403" s="1168"/>
      <c r="M403" s="1047"/>
      <c r="N403" s="1047"/>
      <c r="O403" s="1047"/>
      <c r="P403" s="1047"/>
      <c r="Q403" s="1047"/>
      <c r="R403" s="1047"/>
      <c r="S403" s="1047"/>
      <c r="T403" s="1047"/>
      <c r="U403" s="1047"/>
      <c r="V403" s="1047"/>
      <c r="W403" s="1047"/>
      <c r="X403" s="1047"/>
      <c r="Y403" s="1047"/>
      <c r="Z403" s="1047"/>
      <c r="AA403" s="1047"/>
      <c r="AB403" s="1750"/>
      <c r="AC403" s="1049"/>
      <c r="AD403" s="1049"/>
      <c r="AE403" s="691"/>
      <c r="AF403" s="692"/>
      <c r="AG403" s="692"/>
      <c r="AH403" s="692"/>
      <c r="AI403" s="674"/>
      <c r="AJ403" s="674"/>
      <c r="AK403" s="689"/>
      <c r="AL403" s="689"/>
      <c r="AM403" s="667"/>
      <c r="AN403" s="667"/>
      <c r="AO403" s="691"/>
      <c r="AP403" s="691"/>
      <c r="AQ403" s="691"/>
      <c r="AR403" s="691"/>
      <c r="AS403" s="691"/>
      <c r="AT403" s="691"/>
      <c r="AU403" s="692"/>
      <c r="AV403" s="1045"/>
      <c r="AW403" s="1046"/>
      <c r="AX403" s="1046"/>
      <c r="AY403" s="1046"/>
      <c r="AZ403" s="1046"/>
      <c r="BA403" s="689"/>
      <c r="BB403" s="1044"/>
      <c r="BC403" s="691"/>
      <c r="BD403" s="691"/>
      <c r="BE403" s="691"/>
      <c r="BF403" s="692"/>
      <c r="BG403" s="692"/>
      <c r="BH403" s="692"/>
      <c r="BI403" s="674"/>
      <c r="BJ403" s="674"/>
      <c r="BK403" s="689"/>
      <c r="BL403" s="689"/>
      <c r="BM403" s="667"/>
      <c r="BN403" s="667"/>
      <c r="BO403" s="691"/>
      <c r="BP403" s="691"/>
      <c r="BQ403" s="691"/>
      <c r="BR403" s="691"/>
      <c r="BS403" s="691"/>
      <c r="BT403" s="691"/>
      <c r="BU403" s="692"/>
      <c r="BV403" s="1045"/>
      <c r="BW403" s="1046"/>
      <c r="BX403" s="1046"/>
      <c r="BY403" s="1046"/>
      <c r="BZ403" s="1046"/>
      <c r="CA403" s="690"/>
      <c r="CB403" s="1044"/>
      <c r="CC403" s="691"/>
      <c r="CD403" s="691"/>
      <c r="CE403" s="691"/>
      <c r="CF403" s="692"/>
      <c r="CG403" s="692"/>
      <c r="CH403" s="692"/>
      <c r="CI403" s="674"/>
      <c r="CJ403" s="674"/>
      <c r="CK403" s="689"/>
      <c r="CL403" s="689"/>
      <c r="CM403" s="667"/>
      <c r="CN403" s="667"/>
      <c r="CO403" s="691"/>
      <c r="CP403" s="691"/>
      <c r="CQ403" s="691"/>
      <c r="CR403" s="691"/>
      <c r="CS403" s="691"/>
      <c r="CT403" s="691"/>
      <c r="CU403" s="692"/>
      <c r="CV403" s="1045"/>
      <c r="CW403" s="1046"/>
      <c r="CX403" s="1046"/>
      <c r="CY403" s="1046"/>
      <c r="CZ403" s="1046"/>
      <c r="DA403" s="690"/>
      <c r="DB403" s="1044"/>
      <c r="DC403" s="691"/>
      <c r="DD403" s="691"/>
      <c r="DE403" s="691"/>
      <c r="DF403" s="692"/>
      <c r="DG403" s="692"/>
      <c r="DH403" s="692"/>
      <c r="DI403" s="674"/>
      <c r="DJ403" s="674"/>
      <c r="DK403" s="689"/>
      <c r="DL403" s="689"/>
      <c r="DM403" s="667"/>
      <c r="DN403" s="667"/>
      <c r="DO403" s="691"/>
      <c r="DP403" s="691"/>
      <c r="DQ403" s="691"/>
      <c r="DR403" s="691"/>
      <c r="DS403" s="691"/>
      <c r="DT403" s="691"/>
      <c r="DU403" s="692"/>
      <c r="DV403" s="1045"/>
      <c r="DW403" s="1046"/>
      <c r="DX403" s="1046"/>
      <c r="DY403" s="1046"/>
      <c r="DZ403" s="1046"/>
    </row>
    <row r="404" spans="12:130" s="539" customFormat="1" ht="15" hidden="1" customHeight="1">
      <c r="L404" s="1168"/>
      <c r="M404" s="1047"/>
      <c r="N404" s="1047"/>
      <c r="O404" s="1047"/>
      <c r="P404" s="1047"/>
      <c r="Q404" s="1047"/>
      <c r="R404" s="1047"/>
      <c r="S404" s="1047"/>
      <c r="T404" s="1047"/>
      <c r="U404" s="1047"/>
      <c r="V404" s="1047"/>
      <c r="W404" s="1047"/>
      <c r="X404" s="1047"/>
      <c r="Y404" s="1047"/>
      <c r="Z404" s="1047"/>
      <c r="AA404" s="1047"/>
      <c r="AB404" s="1750"/>
      <c r="AC404" s="1049"/>
      <c r="AD404" s="1049"/>
      <c r="AE404" s="691"/>
      <c r="AF404" s="692"/>
      <c r="AG404" s="692"/>
      <c r="AH404" s="692"/>
      <c r="AI404" s="674"/>
      <c r="AJ404" s="674"/>
      <c r="AK404" s="689"/>
      <c r="AL404" s="689"/>
      <c r="AM404" s="667"/>
      <c r="AN404" s="667"/>
      <c r="AO404" s="691"/>
      <c r="AP404" s="691"/>
      <c r="AQ404" s="691"/>
      <c r="AR404" s="691"/>
      <c r="AS404" s="691"/>
      <c r="AT404" s="691"/>
      <c r="AU404" s="692"/>
      <c r="AV404" s="1045"/>
      <c r="AW404" s="1046"/>
      <c r="AX404" s="1046"/>
      <c r="AY404" s="1046"/>
      <c r="AZ404" s="1046"/>
      <c r="BA404" s="689"/>
      <c r="BB404" s="1044"/>
      <c r="BC404" s="691"/>
      <c r="BD404" s="691"/>
      <c r="BE404" s="691"/>
      <c r="BF404" s="692"/>
      <c r="BG404" s="692"/>
      <c r="BH404" s="692"/>
      <c r="BI404" s="674"/>
      <c r="BJ404" s="674"/>
      <c r="BK404" s="689"/>
      <c r="BL404" s="689"/>
      <c r="BM404" s="667"/>
      <c r="BN404" s="667"/>
      <c r="BO404" s="691"/>
      <c r="BP404" s="691"/>
      <c r="BQ404" s="691"/>
      <c r="BR404" s="691"/>
      <c r="BS404" s="691"/>
      <c r="BT404" s="691"/>
      <c r="BU404" s="692"/>
      <c r="BV404" s="1045"/>
      <c r="BW404" s="1046"/>
      <c r="BX404" s="1046"/>
      <c r="BY404" s="1046"/>
      <c r="BZ404" s="1046"/>
      <c r="CA404" s="690"/>
      <c r="CB404" s="1044"/>
      <c r="CC404" s="691"/>
      <c r="CD404" s="691"/>
      <c r="CE404" s="691"/>
      <c r="CF404" s="692"/>
      <c r="CG404" s="692"/>
      <c r="CH404" s="692"/>
      <c r="CI404" s="674"/>
      <c r="CJ404" s="674"/>
      <c r="CK404" s="689"/>
      <c r="CL404" s="689"/>
      <c r="CM404" s="667"/>
      <c r="CN404" s="667"/>
      <c r="CO404" s="691"/>
      <c r="CP404" s="691"/>
      <c r="CQ404" s="691"/>
      <c r="CR404" s="691"/>
      <c r="CS404" s="691"/>
      <c r="CT404" s="691"/>
      <c r="CU404" s="692"/>
      <c r="CV404" s="1045"/>
      <c r="CW404" s="1046"/>
      <c r="CX404" s="1046"/>
      <c r="CY404" s="1046"/>
      <c r="CZ404" s="1046"/>
      <c r="DA404" s="690"/>
      <c r="DB404" s="1044"/>
      <c r="DC404" s="691"/>
      <c r="DD404" s="691"/>
      <c r="DE404" s="691"/>
      <c r="DF404" s="692"/>
      <c r="DG404" s="692"/>
      <c r="DH404" s="692"/>
      <c r="DI404" s="674"/>
      <c r="DJ404" s="674"/>
      <c r="DK404" s="689"/>
      <c r="DL404" s="689"/>
      <c r="DM404" s="667"/>
      <c r="DN404" s="667"/>
      <c r="DO404" s="691"/>
      <c r="DP404" s="691"/>
      <c r="DQ404" s="691"/>
      <c r="DR404" s="691"/>
      <c r="DS404" s="691"/>
      <c r="DT404" s="691"/>
      <c r="DU404" s="692"/>
      <c r="DV404" s="1045"/>
      <c r="DW404" s="1046"/>
      <c r="DX404" s="1046"/>
      <c r="DY404" s="1046"/>
      <c r="DZ404" s="1046"/>
    </row>
    <row r="405" spans="12:130" s="539" customFormat="1" ht="15" hidden="1" customHeight="1">
      <c r="L405" s="1168"/>
      <c r="M405" s="1047"/>
      <c r="N405" s="1047"/>
      <c r="O405" s="1047"/>
      <c r="P405" s="1047"/>
      <c r="Q405" s="1047"/>
      <c r="R405" s="1047"/>
      <c r="S405" s="1047"/>
      <c r="T405" s="1047"/>
      <c r="U405" s="1047"/>
      <c r="V405" s="1047"/>
      <c r="W405" s="1047"/>
      <c r="X405" s="1047"/>
      <c r="Y405" s="1047"/>
      <c r="Z405" s="1047"/>
      <c r="AA405" s="1047"/>
      <c r="AB405" s="1750"/>
      <c r="AC405" s="1049"/>
      <c r="AD405" s="1049"/>
      <c r="AE405" s="691"/>
      <c r="AF405" s="692"/>
      <c r="AG405" s="692"/>
      <c r="AH405" s="692"/>
      <c r="AI405" s="674"/>
      <c r="AJ405" s="674"/>
      <c r="AK405" s="689"/>
      <c r="AL405" s="689"/>
      <c r="AM405" s="667"/>
      <c r="AN405" s="667"/>
      <c r="AO405" s="691"/>
      <c r="AP405" s="691"/>
      <c r="AQ405" s="691"/>
      <c r="AR405" s="691"/>
      <c r="AS405" s="691"/>
      <c r="AT405" s="691"/>
      <c r="AU405" s="692"/>
      <c r="AV405" s="1045"/>
      <c r="AW405" s="1046"/>
      <c r="AX405" s="1046"/>
      <c r="AY405" s="1046"/>
      <c r="AZ405" s="1046"/>
      <c r="BA405" s="689"/>
      <c r="BB405" s="1044"/>
      <c r="BC405" s="691"/>
      <c r="BD405" s="691"/>
      <c r="BE405" s="691"/>
      <c r="BF405" s="692"/>
      <c r="BG405" s="692"/>
      <c r="BH405" s="692"/>
      <c r="BI405" s="674"/>
      <c r="BJ405" s="674"/>
      <c r="BK405" s="689"/>
      <c r="BL405" s="689"/>
      <c r="BM405" s="667"/>
      <c r="BN405" s="667"/>
      <c r="BO405" s="691"/>
      <c r="BP405" s="691"/>
      <c r="BQ405" s="691"/>
      <c r="BR405" s="691"/>
      <c r="BS405" s="691"/>
      <c r="BT405" s="691"/>
      <c r="BU405" s="692"/>
      <c r="BV405" s="1045"/>
      <c r="BW405" s="1046"/>
      <c r="BX405" s="1046"/>
      <c r="BY405" s="1046"/>
      <c r="BZ405" s="1046"/>
      <c r="CA405" s="690"/>
      <c r="CB405" s="1044"/>
      <c r="CC405" s="691"/>
      <c r="CD405" s="691"/>
      <c r="CE405" s="691"/>
      <c r="CF405" s="692"/>
      <c r="CG405" s="692"/>
      <c r="CH405" s="692"/>
      <c r="CI405" s="674"/>
      <c r="CJ405" s="674"/>
      <c r="CK405" s="689"/>
      <c r="CL405" s="689"/>
      <c r="CM405" s="667"/>
      <c r="CN405" s="667"/>
      <c r="CO405" s="691"/>
      <c r="CP405" s="691"/>
      <c r="CQ405" s="691"/>
      <c r="CR405" s="691"/>
      <c r="CS405" s="691"/>
      <c r="CT405" s="691"/>
      <c r="CU405" s="692"/>
      <c r="CV405" s="1045"/>
      <c r="CW405" s="1046"/>
      <c r="CX405" s="1046"/>
      <c r="CY405" s="1046"/>
      <c r="CZ405" s="1046"/>
      <c r="DA405" s="690"/>
      <c r="DB405" s="1044"/>
      <c r="DC405" s="691"/>
      <c r="DD405" s="691"/>
      <c r="DE405" s="691"/>
      <c r="DF405" s="692"/>
      <c r="DG405" s="692"/>
      <c r="DH405" s="692"/>
      <c r="DI405" s="674"/>
      <c r="DJ405" s="674"/>
      <c r="DK405" s="689"/>
      <c r="DL405" s="689"/>
      <c r="DM405" s="667"/>
      <c r="DN405" s="667"/>
      <c r="DO405" s="691"/>
      <c r="DP405" s="691"/>
      <c r="DQ405" s="691"/>
      <c r="DR405" s="691"/>
      <c r="DS405" s="691"/>
      <c r="DT405" s="691"/>
      <c r="DU405" s="692"/>
      <c r="DV405" s="1045"/>
      <c r="DW405" s="1046"/>
      <c r="DX405" s="1046"/>
      <c r="DY405" s="1046"/>
      <c r="DZ405" s="1046"/>
    </row>
    <row r="406" spans="12:130" s="539" customFormat="1" ht="15" hidden="1" customHeight="1">
      <c r="L406" s="1168"/>
      <c r="M406" s="1047"/>
      <c r="N406" s="1047"/>
      <c r="O406" s="1047"/>
      <c r="P406" s="1047"/>
      <c r="Q406" s="1047"/>
      <c r="R406" s="1047"/>
      <c r="S406" s="1047"/>
      <c r="T406" s="1047"/>
      <c r="U406" s="1047"/>
      <c r="V406" s="1047"/>
      <c r="W406" s="1047"/>
      <c r="X406" s="1047"/>
      <c r="Y406" s="1047"/>
      <c r="Z406" s="1047"/>
      <c r="AA406" s="1047"/>
      <c r="AB406" s="1750"/>
      <c r="AC406" s="1049"/>
      <c r="AD406" s="1049"/>
      <c r="AE406" s="691"/>
      <c r="AF406" s="692"/>
      <c r="AG406" s="692"/>
      <c r="AH406" s="692"/>
      <c r="AI406" s="674"/>
      <c r="AJ406" s="674"/>
      <c r="AK406" s="689"/>
      <c r="AL406" s="689"/>
      <c r="AM406" s="667"/>
      <c r="AN406" s="667"/>
      <c r="AO406" s="691"/>
      <c r="AP406" s="691"/>
      <c r="AQ406" s="691"/>
      <c r="AR406" s="691"/>
      <c r="AS406" s="691"/>
      <c r="AT406" s="691"/>
      <c r="AU406" s="692"/>
      <c r="AV406" s="1045"/>
      <c r="AW406" s="1046"/>
      <c r="AX406" s="1046"/>
      <c r="AY406" s="1046"/>
      <c r="AZ406" s="1046"/>
      <c r="BA406" s="689"/>
      <c r="BB406" s="1044"/>
      <c r="BC406" s="691"/>
      <c r="BD406" s="691"/>
      <c r="BE406" s="691"/>
      <c r="BF406" s="692"/>
      <c r="BG406" s="692"/>
      <c r="BH406" s="692"/>
      <c r="BI406" s="674"/>
      <c r="BJ406" s="674"/>
      <c r="BK406" s="689"/>
      <c r="BL406" s="689"/>
      <c r="BM406" s="667"/>
      <c r="BN406" s="667"/>
      <c r="BO406" s="691"/>
      <c r="BP406" s="691"/>
      <c r="BQ406" s="691"/>
      <c r="BR406" s="691"/>
      <c r="BS406" s="691"/>
      <c r="BT406" s="691"/>
      <c r="BU406" s="692"/>
      <c r="BV406" s="1045"/>
      <c r="BW406" s="1046"/>
      <c r="BX406" s="1046"/>
      <c r="BY406" s="1046"/>
      <c r="BZ406" s="1046"/>
      <c r="CA406" s="690"/>
      <c r="CB406" s="1044"/>
      <c r="CC406" s="691"/>
      <c r="CD406" s="691"/>
      <c r="CE406" s="691"/>
      <c r="CF406" s="692"/>
      <c r="CG406" s="692"/>
      <c r="CH406" s="692"/>
      <c r="CI406" s="674"/>
      <c r="CJ406" s="674"/>
      <c r="CK406" s="689"/>
      <c r="CL406" s="689"/>
      <c r="CM406" s="667"/>
      <c r="CN406" s="667"/>
      <c r="CO406" s="691"/>
      <c r="CP406" s="691"/>
      <c r="CQ406" s="691"/>
      <c r="CR406" s="691"/>
      <c r="CS406" s="691"/>
      <c r="CT406" s="691"/>
      <c r="CU406" s="692"/>
      <c r="CV406" s="1045"/>
      <c r="CW406" s="1046"/>
      <c r="CX406" s="1046"/>
      <c r="CY406" s="1046"/>
      <c r="CZ406" s="1046"/>
      <c r="DA406" s="690"/>
      <c r="DB406" s="1044"/>
      <c r="DC406" s="691"/>
      <c r="DD406" s="691"/>
      <c r="DE406" s="691"/>
      <c r="DF406" s="692"/>
      <c r="DG406" s="692"/>
      <c r="DH406" s="692"/>
      <c r="DI406" s="674"/>
      <c r="DJ406" s="674"/>
      <c r="DK406" s="689"/>
      <c r="DL406" s="689"/>
      <c r="DM406" s="667"/>
      <c r="DN406" s="667"/>
      <c r="DO406" s="691"/>
      <c r="DP406" s="691"/>
      <c r="DQ406" s="691"/>
      <c r="DR406" s="691"/>
      <c r="DS406" s="691"/>
      <c r="DT406" s="691"/>
      <c r="DU406" s="692"/>
      <c r="DV406" s="1045"/>
      <c r="DW406" s="1046"/>
      <c r="DX406" s="1046"/>
      <c r="DY406" s="1046"/>
      <c r="DZ406" s="1046"/>
    </row>
    <row r="407" spans="12:130" s="539" customFormat="1" ht="15" hidden="1" customHeight="1">
      <c r="L407" s="1168"/>
      <c r="M407" s="1047"/>
      <c r="N407" s="1047"/>
      <c r="O407" s="1047"/>
      <c r="P407" s="1047"/>
      <c r="Q407" s="1047"/>
      <c r="R407" s="1047"/>
      <c r="S407" s="1047"/>
      <c r="T407" s="1047"/>
      <c r="U407" s="1047"/>
      <c r="V407" s="1047"/>
      <c r="W407" s="1047"/>
      <c r="X407" s="1047"/>
      <c r="Y407" s="1047"/>
      <c r="Z407" s="1047"/>
      <c r="AA407" s="1047"/>
      <c r="AB407" s="1750"/>
      <c r="AC407" s="1049"/>
      <c r="AD407" s="1049"/>
      <c r="AE407" s="691"/>
      <c r="AF407" s="692"/>
      <c r="AG407" s="692"/>
      <c r="AH407" s="692"/>
      <c r="AI407" s="674"/>
      <c r="AJ407" s="674"/>
      <c r="AK407" s="689"/>
      <c r="AL407" s="689"/>
      <c r="AM407" s="667"/>
      <c r="AN407" s="667"/>
      <c r="AO407" s="691"/>
      <c r="AP407" s="691"/>
      <c r="AQ407" s="691"/>
      <c r="AR407" s="691"/>
      <c r="AS407" s="691"/>
      <c r="AT407" s="691"/>
      <c r="AU407" s="692"/>
      <c r="AV407" s="1045"/>
      <c r="AW407" s="1046"/>
      <c r="AX407" s="1046"/>
      <c r="AY407" s="1046"/>
      <c r="AZ407" s="1046"/>
      <c r="BA407" s="689"/>
      <c r="BB407" s="1044"/>
      <c r="BC407" s="691"/>
      <c r="BD407" s="691"/>
      <c r="BE407" s="691"/>
      <c r="BF407" s="692"/>
      <c r="BG407" s="692"/>
      <c r="BH407" s="692"/>
      <c r="BI407" s="674"/>
      <c r="BJ407" s="674"/>
      <c r="BK407" s="689"/>
      <c r="BL407" s="689"/>
      <c r="BM407" s="667"/>
      <c r="BN407" s="667"/>
      <c r="BO407" s="691"/>
      <c r="BP407" s="691"/>
      <c r="BQ407" s="691"/>
      <c r="BR407" s="691"/>
      <c r="BS407" s="691"/>
      <c r="BT407" s="691"/>
      <c r="BU407" s="692"/>
      <c r="BV407" s="1045"/>
      <c r="BW407" s="1046"/>
      <c r="BX407" s="1046"/>
      <c r="BY407" s="1046"/>
      <c r="BZ407" s="1046"/>
      <c r="CA407" s="690"/>
      <c r="CB407" s="1044"/>
      <c r="CC407" s="691"/>
      <c r="CD407" s="691"/>
      <c r="CE407" s="691"/>
      <c r="CF407" s="692"/>
      <c r="CG407" s="692"/>
      <c r="CH407" s="692"/>
      <c r="CI407" s="674"/>
      <c r="CJ407" s="674"/>
      <c r="CK407" s="689"/>
      <c r="CL407" s="689"/>
      <c r="CM407" s="667"/>
      <c r="CN407" s="667"/>
      <c r="CO407" s="691"/>
      <c r="CP407" s="691"/>
      <c r="CQ407" s="691"/>
      <c r="CR407" s="691"/>
      <c r="CS407" s="691"/>
      <c r="CT407" s="691"/>
      <c r="CU407" s="692"/>
      <c r="CV407" s="1045"/>
      <c r="CW407" s="1046"/>
      <c r="CX407" s="1046"/>
      <c r="CY407" s="1046"/>
      <c r="CZ407" s="1046"/>
      <c r="DA407" s="690"/>
      <c r="DB407" s="1044"/>
      <c r="DC407" s="691"/>
      <c r="DD407" s="691"/>
      <c r="DE407" s="691"/>
      <c r="DF407" s="692"/>
      <c r="DG407" s="692"/>
      <c r="DH407" s="692"/>
      <c r="DI407" s="674"/>
      <c r="DJ407" s="674"/>
      <c r="DK407" s="689"/>
      <c r="DL407" s="689"/>
      <c r="DM407" s="667"/>
      <c r="DN407" s="667"/>
      <c r="DO407" s="691"/>
      <c r="DP407" s="691"/>
      <c r="DQ407" s="691"/>
      <c r="DR407" s="691"/>
      <c r="DS407" s="691"/>
      <c r="DT407" s="691"/>
      <c r="DU407" s="692"/>
      <c r="DV407" s="1045"/>
      <c r="DW407" s="1046"/>
      <c r="DX407" s="1046"/>
      <c r="DY407" s="1046"/>
      <c r="DZ407" s="1046"/>
    </row>
    <row r="408" spans="12:130" s="539" customFormat="1" ht="15" hidden="1" customHeight="1">
      <c r="L408" s="1168"/>
      <c r="M408" s="1047"/>
      <c r="N408" s="1047"/>
      <c r="O408" s="1047"/>
      <c r="P408" s="1047"/>
      <c r="Q408" s="1047"/>
      <c r="R408" s="1047"/>
      <c r="S408" s="1047"/>
      <c r="T408" s="1047"/>
      <c r="U408" s="1047"/>
      <c r="V408" s="1047"/>
      <c r="W408" s="1047"/>
      <c r="X408" s="1047"/>
      <c r="Y408" s="1047"/>
      <c r="Z408" s="1047"/>
      <c r="AA408" s="1047"/>
      <c r="AB408" s="1750"/>
      <c r="AC408" s="1049"/>
      <c r="AD408" s="1049"/>
      <c r="AE408" s="691"/>
      <c r="AF408" s="692"/>
      <c r="AG408" s="692"/>
      <c r="AH408" s="692"/>
      <c r="AI408" s="674"/>
      <c r="AJ408" s="674"/>
      <c r="AK408" s="689"/>
      <c r="AL408" s="689"/>
      <c r="AM408" s="667"/>
      <c r="AN408" s="667"/>
      <c r="AO408" s="691"/>
      <c r="AP408" s="691"/>
      <c r="AQ408" s="691"/>
      <c r="AR408" s="691"/>
      <c r="AS408" s="691"/>
      <c r="AT408" s="691"/>
      <c r="AU408" s="692"/>
      <c r="AV408" s="1045"/>
      <c r="AW408" s="1046"/>
      <c r="AX408" s="1046"/>
      <c r="AY408" s="1046"/>
      <c r="AZ408" s="1046"/>
      <c r="BA408" s="689"/>
      <c r="BB408" s="1044"/>
      <c r="BC408" s="691"/>
      <c r="BD408" s="691"/>
      <c r="BE408" s="691"/>
      <c r="BF408" s="692"/>
      <c r="BG408" s="692"/>
      <c r="BH408" s="692"/>
      <c r="BI408" s="674"/>
      <c r="BJ408" s="674"/>
      <c r="BK408" s="689"/>
      <c r="BL408" s="689"/>
      <c r="BM408" s="667"/>
      <c r="BN408" s="667"/>
      <c r="BO408" s="691"/>
      <c r="BP408" s="691"/>
      <c r="BQ408" s="691"/>
      <c r="BR408" s="691"/>
      <c r="BS408" s="691"/>
      <c r="BT408" s="691"/>
      <c r="BU408" s="692"/>
      <c r="BV408" s="1045"/>
      <c r="BW408" s="1046"/>
      <c r="BX408" s="1046"/>
      <c r="BY408" s="1046"/>
      <c r="BZ408" s="1046"/>
      <c r="CA408" s="690"/>
      <c r="CB408" s="1044"/>
      <c r="CC408" s="691"/>
      <c r="CD408" s="691"/>
      <c r="CE408" s="691"/>
      <c r="CF408" s="692"/>
      <c r="CG408" s="692"/>
      <c r="CH408" s="692"/>
      <c r="CI408" s="674"/>
      <c r="CJ408" s="674"/>
      <c r="CK408" s="689"/>
      <c r="CL408" s="689"/>
      <c r="CM408" s="667"/>
      <c r="CN408" s="667"/>
      <c r="CO408" s="691"/>
      <c r="CP408" s="691"/>
      <c r="CQ408" s="691"/>
      <c r="CR408" s="691"/>
      <c r="CS408" s="691"/>
      <c r="CT408" s="691"/>
      <c r="CU408" s="692"/>
      <c r="CV408" s="1045"/>
      <c r="CW408" s="1046"/>
      <c r="CX408" s="1046"/>
      <c r="CY408" s="1046"/>
      <c r="CZ408" s="1046"/>
      <c r="DA408" s="690"/>
      <c r="DB408" s="1044"/>
      <c r="DC408" s="691"/>
      <c r="DD408" s="691"/>
      <c r="DE408" s="691"/>
      <c r="DF408" s="692"/>
      <c r="DG408" s="692"/>
      <c r="DH408" s="692"/>
      <c r="DI408" s="674"/>
      <c r="DJ408" s="674"/>
      <c r="DK408" s="689"/>
      <c r="DL408" s="689"/>
      <c r="DM408" s="667"/>
      <c r="DN408" s="667"/>
      <c r="DO408" s="691"/>
      <c r="DP408" s="691"/>
      <c r="DQ408" s="691"/>
      <c r="DR408" s="691"/>
      <c r="DS408" s="691"/>
      <c r="DT408" s="691"/>
      <c r="DU408" s="692"/>
      <c r="DV408" s="1045"/>
      <c r="DW408" s="1046"/>
      <c r="DX408" s="1046"/>
      <c r="DY408" s="1046"/>
      <c r="DZ408" s="1046"/>
    </row>
    <row r="409" spans="12:130" s="539" customFormat="1" ht="15" hidden="1" customHeight="1">
      <c r="L409" s="1168"/>
      <c r="M409" s="1047"/>
      <c r="N409" s="1047"/>
      <c r="O409" s="1047"/>
      <c r="P409" s="1047"/>
      <c r="Q409" s="1047"/>
      <c r="R409" s="1047"/>
      <c r="S409" s="1047"/>
      <c r="T409" s="1047"/>
      <c r="U409" s="1047"/>
      <c r="V409" s="1047"/>
      <c r="W409" s="1047"/>
      <c r="X409" s="1047"/>
      <c r="Y409" s="1047"/>
      <c r="Z409" s="1047"/>
      <c r="AA409" s="1047"/>
      <c r="AB409" s="1750"/>
      <c r="AC409" s="1049"/>
      <c r="AD409" s="1049"/>
      <c r="AE409" s="691"/>
      <c r="AF409" s="692"/>
      <c r="AG409" s="692"/>
      <c r="AH409" s="692"/>
      <c r="AI409" s="674"/>
      <c r="AJ409" s="674"/>
      <c r="AK409" s="689"/>
      <c r="AL409" s="689"/>
      <c r="AM409" s="667"/>
      <c r="AN409" s="667"/>
      <c r="AO409" s="691"/>
      <c r="AP409" s="691"/>
      <c r="AQ409" s="691"/>
      <c r="AR409" s="691"/>
      <c r="AS409" s="691"/>
      <c r="AT409" s="691"/>
      <c r="AU409" s="692"/>
      <c r="AV409" s="1045"/>
      <c r="AW409" s="1046"/>
      <c r="AX409" s="1046"/>
      <c r="AY409" s="1046"/>
      <c r="AZ409" s="1046"/>
      <c r="BA409" s="689"/>
      <c r="BB409" s="1044"/>
      <c r="BC409" s="691"/>
      <c r="BD409" s="691"/>
      <c r="BE409" s="691"/>
      <c r="BF409" s="692"/>
      <c r="BG409" s="692"/>
      <c r="BH409" s="692"/>
      <c r="BI409" s="674"/>
      <c r="BJ409" s="674"/>
      <c r="BK409" s="689"/>
      <c r="BL409" s="689"/>
      <c r="BM409" s="667"/>
      <c r="BN409" s="667"/>
      <c r="BO409" s="691"/>
      <c r="BP409" s="691"/>
      <c r="BQ409" s="691"/>
      <c r="BR409" s="691"/>
      <c r="BS409" s="691"/>
      <c r="BT409" s="691"/>
      <c r="BU409" s="692"/>
      <c r="BV409" s="1045"/>
      <c r="BW409" s="1046"/>
      <c r="BX409" s="1046"/>
      <c r="BY409" s="1046"/>
      <c r="BZ409" s="1046"/>
      <c r="CA409" s="690"/>
      <c r="CB409" s="1044"/>
      <c r="CC409" s="691"/>
      <c r="CD409" s="691"/>
      <c r="CE409" s="691"/>
      <c r="CF409" s="692"/>
      <c r="CG409" s="692"/>
      <c r="CH409" s="692"/>
      <c r="CI409" s="674"/>
      <c r="CJ409" s="674"/>
      <c r="CK409" s="689"/>
      <c r="CL409" s="689"/>
      <c r="CM409" s="667"/>
      <c r="CN409" s="667"/>
      <c r="CO409" s="691"/>
      <c r="CP409" s="691"/>
      <c r="CQ409" s="691"/>
      <c r="CR409" s="691"/>
      <c r="CS409" s="691"/>
      <c r="CT409" s="691"/>
      <c r="CU409" s="692"/>
      <c r="CV409" s="1045"/>
      <c r="CW409" s="1046"/>
      <c r="CX409" s="1046"/>
      <c r="CY409" s="1046"/>
      <c r="CZ409" s="1046"/>
      <c r="DA409" s="690"/>
      <c r="DB409" s="1044"/>
      <c r="DC409" s="691"/>
      <c r="DD409" s="691"/>
      <c r="DE409" s="691"/>
      <c r="DF409" s="692"/>
      <c r="DG409" s="692"/>
      <c r="DH409" s="692"/>
      <c r="DI409" s="674"/>
      <c r="DJ409" s="674"/>
      <c r="DK409" s="689"/>
      <c r="DL409" s="689"/>
      <c r="DM409" s="667"/>
      <c r="DN409" s="667"/>
      <c r="DO409" s="691"/>
      <c r="DP409" s="691"/>
      <c r="DQ409" s="691"/>
      <c r="DR409" s="691"/>
      <c r="DS409" s="691"/>
      <c r="DT409" s="691"/>
      <c r="DU409" s="692"/>
      <c r="DV409" s="1045"/>
      <c r="DW409" s="1046"/>
      <c r="DX409" s="1046"/>
      <c r="DY409" s="1046"/>
      <c r="DZ409" s="1046"/>
    </row>
    <row r="410" spans="12:130" s="539" customFormat="1" ht="15" hidden="1" customHeight="1">
      <c r="L410" s="1168"/>
      <c r="M410" s="1047"/>
      <c r="N410" s="1047"/>
      <c r="O410" s="1047"/>
      <c r="P410" s="1047"/>
      <c r="Q410" s="1047"/>
      <c r="R410" s="1047"/>
      <c r="S410" s="1047"/>
      <c r="T410" s="1047"/>
      <c r="U410" s="1047"/>
      <c r="V410" s="1047"/>
      <c r="W410" s="1047"/>
      <c r="X410" s="1047"/>
      <c r="Y410" s="1047"/>
      <c r="Z410" s="1047"/>
      <c r="AA410" s="1047"/>
      <c r="AB410" s="1750"/>
      <c r="AC410" s="1049"/>
      <c r="AD410" s="1049"/>
      <c r="AE410" s="691"/>
      <c r="AF410" s="692"/>
      <c r="AG410" s="692"/>
      <c r="AH410" s="692"/>
      <c r="AI410" s="674"/>
      <c r="AJ410" s="674"/>
      <c r="AK410" s="689"/>
      <c r="AL410" s="689"/>
      <c r="AM410" s="667"/>
      <c r="AN410" s="667"/>
      <c r="AO410" s="691"/>
      <c r="AP410" s="691"/>
      <c r="AQ410" s="691"/>
      <c r="AR410" s="691"/>
      <c r="AS410" s="691"/>
      <c r="AT410" s="691"/>
      <c r="AU410" s="692"/>
      <c r="AV410" s="1045"/>
      <c r="AW410" s="1046"/>
      <c r="AX410" s="1046"/>
      <c r="AY410" s="1046"/>
      <c r="AZ410" s="1046"/>
      <c r="BA410" s="689"/>
      <c r="BB410" s="1044"/>
      <c r="BC410" s="691"/>
      <c r="BD410" s="691"/>
      <c r="BE410" s="691"/>
      <c r="BF410" s="692"/>
      <c r="BG410" s="692"/>
      <c r="BH410" s="692"/>
      <c r="BI410" s="674"/>
      <c r="BJ410" s="674"/>
      <c r="BK410" s="689"/>
      <c r="BL410" s="689"/>
      <c r="BM410" s="667"/>
      <c r="BN410" s="667"/>
      <c r="BO410" s="691"/>
      <c r="BP410" s="691"/>
      <c r="BQ410" s="691"/>
      <c r="BR410" s="691"/>
      <c r="BS410" s="691"/>
      <c r="BT410" s="691"/>
      <c r="BU410" s="692"/>
      <c r="BV410" s="1045"/>
      <c r="BW410" s="1046"/>
      <c r="BX410" s="1046"/>
      <c r="BY410" s="1046"/>
      <c r="BZ410" s="1046"/>
      <c r="CA410" s="690"/>
      <c r="CB410" s="1044"/>
      <c r="CC410" s="691"/>
      <c r="CD410" s="691"/>
      <c r="CE410" s="691"/>
      <c r="CF410" s="692"/>
      <c r="CG410" s="692"/>
      <c r="CH410" s="692"/>
      <c r="CI410" s="674"/>
      <c r="CJ410" s="674"/>
      <c r="CK410" s="689"/>
      <c r="CL410" s="689"/>
      <c r="CM410" s="667"/>
      <c r="CN410" s="667"/>
      <c r="CO410" s="691"/>
      <c r="CP410" s="691"/>
      <c r="CQ410" s="691"/>
      <c r="CR410" s="691"/>
      <c r="CS410" s="691"/>
      <c r="CT410" s="691"/>
      <c r="CU410" s="692"/>
      <c r="CV410" s="1045"/>
      <c r="CW410" s="1046"/>
      <c r="CX410" s="1046"/>
      <c r="CY410" s="1046"/>
      <c r="CZ410" s="1046"/>
      <c r="DA410" s="690"/>
      <c r="DB410" s="1044"/>
      <c r="DC410" s="691"/>
      <c r="DD410" s="691"/>
      <c r="DE410" s="691"/>
      <c r="DF410" s="692"/>
      <c r="DG410" s="692"/>
      <c r="DH410" s="692"/>
      <c r="DI410" s="674"/>
      <c r="DJ410" s="674"/>
      <c r="DK410" s="689"/>
      <c r="DL410" s="689"/>
      <c r="DM410" s="667"/>
      <c r="DN410" s="667"/>
      <c r="DO410" s="691"/>
      <c r="DP410" s="691"/>
      <c r="DQ410" s="691"/>
      <c r="DR410" s="691"/>
      <c r="DS410" s="691"/>
      <c r="DT410" s="691"/>
      <c r="DU410" s="692"/>
      <c r="DV410" s="1045"/>
      <c r="DW410" s="1046"/>
      <c r="DX410" s="1046"/>
      <c r="DY410" s="1046"/>
      <c r="DZ410" s="1046"/>
    </row>
    <row r="411" spans="12:130" s="539" customFormat="1" ht="15" hidden="1" customHeight="1">
      <c r="L411" s="1168"/>
      <c r="M411" s="1047"/>
      <c r="N411" s="1047"/>
      <c r="O411" s="1047"/>
      <c r="P411" s="1047"/>
      <c r="Q411" s="1047"/>
      <c r="R411" s="1047"/>
      <c r="S411" s="1047"/>
      <c r="T411" s="1047"/>
      <c r="U411" s="1047"/>
      <c r="V411" s="1047"/>
      <c r="W411" s="1047"/>
      <c r="X411" s="1047"/>
      <c r="Y411" s="1047"/>
      <c r="Z411" s="1047"/>
      <c r="AA411" s="1047"/>
      <c r="AB411" s="1750"/>
      <c r="AC411" s="1049"/>
      <c r="AD411" s="1049"/>
      <c r="AE411" s="691"/>
      <c r="AF411" s="692"/>
      <c r="AG411" s="692"/>
      <c r="AH411" s="692"/>
      <c r="AI411" s="674"/>
      <c r="AJ411" s="674"/>
      <c r="AK411" s="689"/>
      <c r="AL411" s="689"/>
      <c r="AM411" s="667"/>
      <c r="AN411" s="667"/>
      <c r="AO411" s="691"/>
      <c r="AP411" s="691"/>
      <c r="AQ411" s="691"/>
      <c r="AR411" s="691"/>
      <c r="AS411" s="691"/>
      <c r="AT411" s="691"/>
      <c r="AU411" s="692"/>
      <c r="AV411" s="1045"/>
      <c r="AW411" s="1046"/>
      <c r="AX411" s="1046"/>
      <c r="AY411" s="1046"/>
      <c r="AZ411" s="1046"/>
      <c r="BA411" s="689"/>
      <c r="BB411" s="1044"/>
      <c r="BC411" s="691"/>
      <c r="BD411" s="691"/>
      <c r="BE411" s="691"/>
      <c r="BF411" s="692"/>
      <c r="BG411" s="692"/>
      <c r="BH411" s="692"/>
      <c r="BI411" s="674"/>
      <c r="BJ411" s="674"/>
      <c r="BK411" s="689"/>
      <c r="BL411" s="689"/>
      <c r="BM411" s="667"/>
      <c r="BN411" s="667"/>
      <c r="BO411" s="691"/>
      <c r="BP411" s="691"/>
      <c r="BQ411" s="691"/>
      <c r="BR411" s="691"/>
      <c r="BS411" s="691"/>
      <c r="BT411" s="691"/>
      <c r="BU411" s="692"/>
      <c r="BV411" s="1045"/>
      <c r="BW411" s="1046"/>
      <c r="BX411" s="1046"/>
      <c r="BY411" s="1046"/>
      <c r="BZ411" s="1046"/>
      <c r="CA411" s="690"/>
      <c r="CB411" s="1044"/>
      <c r="CC411" s="691"/>
      <c r="CD411" s="691"/>
      <c r="CE411" s="691"/>
      <c r="CF411" s="692"/>
      <c r="CG411" s="692"/>
      <c r="CH411" s="692"/>
      <c r="CI411" s="674"/>
      <c r="CJ411" s="674"/>
      <c r="CK411" s="689"/>
      <c r="CL411" s="689"/>
      <c r="CM411" s="667"/>
      <c r="CN411" s="667"/>
      <c r="CO411" s="691"/>
      <c r="CP411" s="691"/>
      <c r="CQ411" s="691"/>
      <c r="CR411" s="691"/>
      <c r="CS411" s="691"/>
      <c r="CT411" s="691"/>
      <c r="CU411" s="692"/>
      <c r="CV411" s="1045"/>
      <c r="CW411" s="1046"/>
      <c r="CX411" s="1046"/>
      <c r="CY411" s="1046"/>
      <c r="CZ411" s="1046"/>
      <c r="DA411" s="690"/>
      <c r="DB411" s="1044"/>
      <c r="DC411" s="691"/>
      <c r="DD411" s="691"/>
      <c r="DE411" s="691"/>
      <c r="DF411" s="692"/>
      <c r="DG411" s="692"/>
      <c r="DH411" s="692"/>
      <c r="DI411" s="674"/>
      <c r="DJ411" s="674"/>
      <c r="DK411" s="689"/>
      <c r="DL411" s="689"/>
      <c r="DM411" s="667"/>
      <c r="DN411" s="667"/>
      <c r="DO411" s="691"/>
      <c r="DP411" s="691"/>
      <c r="DQ411" s="691"/>
      <c r="DR411" s="691"/>
      <c r="DS411" s="691"/>
      <c r="DT411" s="691"/>
      <c r="DU411" s="692"/>
      <c r="DV411" s="1045"/>
      <c r="DW411" s="1046"/>
      <c r="DX411" s="1046"/>
      <c r="DY411" s="1046"/>
      <c r="DZ411" s="1046"/>
    </row>
    <row r="412" spans="12:130" s="539" customFormat="1" ht="15" hidden="1" customHeight="1">
      <c r="L412" s="1168"/>
      <c r="M412" s="1047"/>
      <c r="N412" s="1047"/>
      <c r="O412" s="1047"/>
      <c r="P412" s="1047"/>
      <c r="Q412" s="1047"/>
      <c r="R412" s="1047"/>
      <c r="S412" s="1047"/>
      <c r="T412" s="1047"/>
      <c r="U412" s="1047"/>
      <c r="V412" s="1047"/>
      <c r="W412" s="1047"/>
      <c r="X412" s="1047"/>
      <c r="Y412" s="1047"/>
      <c r="Z412" s="1047"/>
      <c r="AA412" s="1047"/>
      <c r="AB412" s="1750"/>
      <c r="AC412" s="1049"/>
      <c r="AD412" s="1049"/>
      <c r="AE412" s="691"/>
      <c r="AF412" s="692"/>
      <c r="AG412" s="692"/>
      <c r="AH412" s="692"/>
      <c r="AI412" s="674"/>
      <c r="AJ412" s="674"/>
      <c r="AK412" s="689"/>
      <c r="AL412" s="689"/>
      <c r="AM412" s="667"/>
      <c r="AN412" s="667"/>
      <c r="AO412" s="691"/>
      <c r="AP412" s="691"/>
      <c r="AQ412" s="691"/>
      <c r="AR412" s="691"/>
      <c r="AS412" s="691"/>
      <c r="AT412" s="691"/>
      <c r="AU412" s="692"/>
      <c r="AV412" s="1045"/>
      <c r="AW412" s="1046"/>
      <c r="AX412" s="1046"/>
      <c r="AY412" s="1046"/>
      <c r="AZ412" s="1046"/>
      <c r="BA412" s="689"/>
      <c r="BB412" s="1044"/>
      <c r="BC412" s="691"/>
      <c r="BD412" s="691"/>
      <c r="BE412" s="691"/>
      <c r="BF412" s="692"/>
      <c r="BG412" s="692"/>
      <c r="BH412" s="692"/>
      <c r="BI412" s="674"/>
      <c r="BJ412" s="674"/>
      <c r="BK412" s="689"/>
      <c r="BL412" s="689"/>
      <c r="BM412" s="667"/>
      <c r="BN412" s="667"/>
      <c r="BO412" s="691"/>
      <c r="BP412" s="691"/>
      <c r="BQ412" s="691"/>
      <c r="BR412" s="691"/>
      <c r="BS412" s="691"/>
      <c r="BT412" s="691"/>
      <c r="BU412" s="692"/>
      <c r="BV412" s="1045"/>
      <c r="BW412" s="1046"/>
      <c r="BX412" s="1046"/>
      <c r="BY412" s="1046"/>
      <c r="BZ412" s="1046"/>
      <c r="CA412" s="690"/>
      <c r="CB412" s="1044"/>
      <c r="CC412" s="691"/>
      <c r="CD412" s="691"/>
      <c r="CE412" s="691"/>
      <c r="CF412" s="692"/>
      <c r="CG412" s="692"/>
      <c r="CH412" s="692"/>
      <c r="CI412" s="674"/>
      <c r="CJ412" s="674"/>
      <c r="CK412" s="689"/>
      <c r="CL412" s="689"/>
      <c r="CM412" s="667"/>
      <c r="CN412" s="667"/>
      <c r="CO412" s="691"/>
      <c r="CP412" s="691"/>
      <c r="CQ412" s="691"/>
      <c r="CR412" s="691"/>
      <c r="CS412" s="691"/>
      <c r="CT412" s="691"/>
      <c r="CU412" s="692"/>
      <c r="CV412" s="1045"/>
      <c r="CW412" s="1046"/>
      <c r="CX412" s="1046"/>
      <c r="CY412" s="1046"/>
      <c r="CZ412" s="1046"/>
      <c r="DA412" s="690"/>
      <c r="DB412" s="1044"/>
      <c r="DC412" s="691"/>
      <c r="DD412" s="691"/>
      <c r="DE412" s="691"/>
      <c r="DF412" s="692"/>
      <c r="DG412" s="692"/>
      <c r="DH412" s="692"/>
      <c r="DI412" s="674"/>
      <c r="DJ412" s="674"/>
      <c r="DK412" s="689"/>
      <c r="DL412" s="689"/>
      <c r="DM412" s="667"/>
      <c r="DN412" s="667"/>
      <c r="DO412" s="691"/>
      <c r="DP412" s="691"/>
      <c r="DQ412" s="691"/>
      <c r="DR412" s="691"/>
      <c r="DS412" s="691"/>
      <c r="DT412" s="691"/>
      <c r="DU412" s="692"/>
      <c r="DV412" s="1045"/>
      <c r="DW412" s="1046"/>
      <c r="DX412" s="1046"/>
      <c r="DY412" s="1046"/>
      <c r="DZ412" s="1046"/>
    </row>
    <row r="413" spans="12:130" s="539" customFormat="1" ht="15" hidden="1" customHeight="1">
      <c r="L413" s="1168"/>
      <c r="M413" s="1047"/>
      <c r="N413" s="1047"/>
      <c r="O413" s="1047"/>
      <c r="P413" s="1047"/>
      <c r="Q413" s="1047"/>
      <c r="R413" s="1047"/>
      <c r="S413" s="1047"/>
      <c r="T413" s="1047"/>
      <c r="U413" s="1047"/>
      <c r="V413" s="1047"/>
      <c r="W413" s="1047"/>
      <c r="X413" s="1047"/>
      <c r="Y413" s="1047"/>
      <c r="Z413" s="1047"/>
      <c r="AA413" s="1047"/>
      <c r="AB413" s="1750"/>
      <c r="AC413" s="1049"/>
      <c r="AD413" s="1049"/>
      <c r="AE413" s="691"/>
      <c r="AF413" s="692"/>
      <c r="AG413" s="692"/>
      <c r="AH413" s="692"/>
      <c r="AI413" s="674"/>
      <c r="AJ413" s="674"/>
      <c r="AK413" s="689"/>
      <c r="AL413" s="689"/>
      <c r="AM413" s="667"/>
      <c r="AN413" s="667"/>
      <c r="AO413" s="691"/>
      <c r="AP413" s="691"/>
      <c r="AQ413" s="691"/>
      <c r="AR413" s="691"/>
      <c r="AS413" s="691"/>
      <c r="AT413" s="691"/>
      <c r="AU413" s="692"/>
      <c r="AV413" s="1045"/>
      <c r="AW413" s="1046"/>
      <c r="AX413" s="1046"/>
      <c r="AY413" s="1046"/>
      <c r="AZ413" s="1046"/>
      <c r="BA413" s="689"/>
      <c r="BB413" s="1044"/>
      <c r="BC413" s="691"/>
      <c r="BD413" s="691"/>
      <c r="BE413" s="691"/>
      <c r="BF413" s="692"/>
      <c r="BG413" s="692"/>
      <c r="BH413" s="692"/>
      <c r="BI413" s="674"/>
      <c r="BJ413" s="674"/>
      <c r="BK413" s="689"/>
      <c r="BL413" s="689"/>
      <c r="BM413" s="667"/>
      <c r="BN413" s="667"/>
      <c r="BO413" s="691"/>
      <c r="BP413" s="691"/>
      <c r="BQ413" s="691"/>
      <c r="BR413" s="691"/>
      <c r="BS413" s="691"/>
      <c r="BT413" s="691"/>
      <c r="BU413" s="692"/>
      <c r="BV413" s="1045"/>
      <c r="BW413" s="1046"/>
      <c r="BX413" s="1046"/>
      <c r="BY413" s="1046"/>
      <c r="BZ413" s="1046"/>
      <c r="CA413" s="690"/>
      <c r="CB413" s="1044"/>
      <c r="CC413" s="691"/>
      <c r="CD413" s="691"/>
      <c r="CE413" s="691"/>
      <c r="CF413" s="692"/>
      <c r="CG413" s="692"/>
      <c r="CH413" s="692"/>
      <c r="CI413" s="674"/>
      <c r="CJ413" s="674"/>
      <c r="CK413" s="689"/>
      <c r="CL413" s="689"/>
      <c r="CM413" s="667"/>
      <c r="CN413" s="667"/>
      <c r="CO413" s="691"/>
      <c r="CP413" s="691"/>
      <c r="CQ413" s="691"/>
      <c r="CR413" s="691"/>
      <c r="CS413" s="691"/>
      <c r="CT413" s="691"/>
      <c r="CU413" s="692"/>
      <c r="CV413" s="1045"/>
      <c r="CW413" s="1046"/>
      <c r="CX413" s="1046"/>
      <c r="CY413" s="1046"/>
      <c r="CZ413" s="1046"/>
      <c r="DA413" s="690"/>
      <c r="DB413" s="1044"/>
      <c r="DC413" s="691"/>
      <c r="DD413" s="691"/>
      <c r="DE413" s="691"/>
      <c r="DF413" s="692"/>
      <c r="DG413" s="692"/>
      <c r="DH413" s="692"/>
      <c r="DI413" s="674"/>
      <c r="DJ413" s="674"/>
      <c r="DK413" s="689"/>
      <c r="DL413" s="689"/>
      <c r="DM413" s="667"/>
      <c r="DN413" s="667"/>
      <c r="DO413" s="691"/>
      <c r="DP413" s="691"/>
      <c r="DQ413" s="691"/>
      <c r="DR413" s="691"/>
      <c r="DS413" s="691"/>
      <c r="DT413" s="691"/>
      <c r="DU413" s="692"/>
      <c r="DV413" s="1045"/>
      <c r="DW413" s="1046"/>
      <c r="DX413" s="1046"/>
      <c r="DY413" s="1046"/>
      <c r="DZ413" s="1046"/>
    </row>
    <row r="414" spans="12:130" s="539" customFormat="1" ht="15" hidden="1" customHeight="1">
      <c r="L414" s="1168"/>
      <c r="M414" s="1047"/>
      <c r="N414" s="1047"/>
      <c r="O414" s="1047"/>
      <c r="P414" s="1047"/>
      <c r="Q414" s="1047"/>
      <c r="R414" s="1047"/>
      <c r="S414" s="1047"/>
      <c r="T414" s="1047"/>
      <c r="U414" s="1047"/>
      <c r="V414" s="1047"/>
      <c r="W414" s="1047"/>
      <c r="X414" s="1047"/>
      <c r="Y414" s="1047"/>
      <c r="Z414" s="1047"/>
      <c r="AA414" s="1047"/>
      <c r="AB414" s="1750"/>
      <c r="AC414" s="1049"/>
      <c r="AD414" s="1049"/>
      <c r="AE414" s="691"/>
      <c r="AF414" s="692"/>
      <c r="AG414" s="692"/>
      <c r="AH414" s="692"/>
      <c r="AI414" s="674"/>
      <c r="AJ414" s="674"/>
      <c r="AK414" s="689"/>
      <c r="AL414" s="689"/>
      <c r="AM414" s="667"/>
      <c r="AN414" s="667"/>
      <c r="AO414" s="691"/>
      <c r="AP414" s="691"/>
      <c r="AQ414" s="691"/>
      <c r="AR414" s="691"/>
      <c r="AS414" s="691"/>
      <c r="AT414" s="691"/>
      <c r="AU414" s="692"/>
      <c r="AV414" s="1045"/>
      <c r="AW414" s="1046"/>
      <c r="AX414" s="1046"/>
      <c r="AY414" s="1046"/>
      <c r="AZ414" s="1046"/>
      <c r="BA414" s="689"/>
      <c r="BB414" s="1044"/>
      <c r="BC414" s="691"/>
      <c r="BD414" s="691"/>
      <c r="BE414" s="691"/>
      <c r="BF414" s="692"/>
      <c r="BG414" s="692"/>
      <c r="BH414" s="692"/>
      <c r="BI414" s="674"/>
      <c r="BJ414" s="674"/>
      <c r="BK414" s="689"/>
      <c r="BL414" s="689"/>
      <c r="BM414" s="667"/>
      <c r="BN414" s="667"/>
      <c r="BO414" s="691"/>
      <c r="BP414" s="691"/>
      <c r="BQ414" s="691"/>
      <c r="BR414" s="691"/>
      <c r="BS414" s="691"/>
      <c r="BT414" s="691"/>
      <c r="BU414" s="692"/>
      <c r="BV414" s="1045"/>
      <c r="BW414" s="1046"/>
      <c r="BX414" s="1046"/>
      <c r="BY414" s="1046"/>
      <c r="BZ414" s="1046"/>
      <c r="CA414" s="690"/>
      <c r="CB414" s="1044"/>
      <c r="CC414" s="691"/>
      <c r="CD414" s="691"/>
      <c r="CE414" s="691"/>
      <c r="CF414" s="692"/>
      <c r="CG414" s="692"/>
      <c r="CH414" s="692"/>
      <c r="CI414" s="674"/>
      <c r="CJ414" s="674"/>
      <c r="CK414" s="689"/>
      <c r="CL414" s="689"/>
      <c r="CM414" s="667"/>
      <c r="CN414" s="667"/>
      <c r="CO414" s="691"/>
      <c r="CP414" s="691"/>
      <c r="CQ414" s="691"/>
      <c r="CR414" s="691"/>
      <c r="CS414" s="691"/>
      <c r="CT414" s="691"/>
      <c r="CU414" s="692"/>
      <c r="CV414" s="1045"/>
      <c r="CW414" s="1046"/>
      <c r="CX414" s="1046"/>
      <c r="CY414" s="1046"/>
      <c r="CZ414" s="1046"/>
      <c r="DA414" s="690"/>
      <c r="DB414" s="1044"/>
      <c r="DC414" s="691"/>
      <c r="DD414" s="691"/>
      <c r="DE414" s="691"/>
      <c r="DF414" s="692"/>
      <c r="DG414" s="692"/>
      <c r="DH414" s="692"/>
      <c r="DI414" s="674"/>
      <c r="DJ414" s="674"/>
      <c r="DK414" s="689"/>
      <c r="DL414" s="689"/>
      <c r="DM414" s="667"/>
      <c r="DN414" s="667"/>
      <c r="DO414" s="691"/>
      <c r="DP414" s="691"/>
      <c r="DQ414" s="691"/>
      <c r="DR414" s="691"/>
      <c r="DS414" s="691"/>
      <c r="DT414" s="691"/>
      <c r="DU414" s="692"/>
      <c r="DV414" s="1045"/>
      <c r="DW414" s="1046"/>
      <c r="DX414" s="1046"/>
      <c r="DY414" s="1046"/>
      <c r="DZ414" s="1046"/>
    </row>
    <row r="415" spans="12:130" s="539" customFormat="1" ht="15" hidden="1" customHeight="1">
      <c r="L415" s="1168"/>
      <c r="M415" s="1047"/>
      <c r="N415" s="1047"/>
      <c r="O415" s="1047"/>
      <c r="P415" s="1047"/>
      <c r="Q415" s="1047"/>
      <c r="R415" s="1047"/>
      <c r="S415" s="1047"/>
      <c r="T415" s="1047"/>
      <c r="U415" s="1047"/>
      <c r="V415" s="1047"/>
      <c r="W415" s="1047"/>
      <c r="X415" s="1047"/>
      <c r="Y415" s="1047"/>
      <c r="Z415" s="1047"/>
      <c r="AA415" s="1047"/>
      <c r="AB415" s="1750"/>
      <c r="AC415" s="1049"/>
      <c r="AD415" s="1049"/>
      <c r="AE415" s="691"/>
      <c r="AF415" s="692"/>
      <c r="AG415" s="692"/>
      <c r="AH415" s="692"/>
      <c r="AI415" s="674"/>
      <c r="AJ415" s="674"/>
      <c r="AK415" s="689"/>
      <c r="AL415" s="689"/>
      <c r="AM415" s="667"/>
      <c r="AN415" s="667"/>
      <c r="AO415" s="691"/>
      <c r="AP415" s="691"/>
      <c r="AQ415" s="691"/>
      <c r="AR415" s="691"/>
      <c r="AS415" s="691"/>
      <c r="AT415" s="691"/>
      <c r="AU415" s="692"/>
      <c r="AV415" s="1045"/>
      <c r="AW415" s="1046"/>
      <c r="AX415" s="1046"/>
      <c r="AY415" s="1046"/>
      <c r="AZ415" s="1046"/>
      <c r="BA415" s="689"/>
      <c r="BB415" s="1044"/>
      <c r="BC415" s="691"/>
      <c r="BD415" s="691"/>
      <c r="BE415" s="691"/>
      <c r="BF415" s="692"/>
      <c r="BG415" s="692"/>
      <c r="BH415" s="692"/>
      <c r="BI415" s="674"/>
      <c r="BJ415" s="674"/>
      <c r="BK415" s="689"/>
      <c r="BL415" s="689"/>
      <c r="BM415" s="667"/>
      <c r="BN415" s="667"/>
      <c r="BO415" s="691"/>
      <c r="BP415" s="691"/>
      <c r="BQ415" s="691"/>
      <c r="BR415" s="691"/>
      <c r="BS415" s="691"/>
      <c r="BT415" s="691"/>
      <c r="BU415" s="692"/>
      <c r="BV415" s="1045"/>
      <c r="BW415" s="1046"/>
      <c r="BX415" s="1046"/>
      <c r="BY415" s="1046"/>
      <c r="BZ415" s="1046"/>
      <c r="CA415" s="690"/>
      <c r="CB415" s="1044"/>
      <c r="CC415" s="691"/>
      <c r="CD415" s="691"/>
      <c r="CE415" s="691"/>
      <c r="CF415" s="692"/>
      <c r="CG415" s="692"/>
      <c r="CH415" s="692"/>
      <c r="CI415" s="674"/>
      <c r="CJ415" s="674"/>
      <c r="CK415" s="689"/>
      <c r="CL415" s="689"/>
      <c r="CM415" s="667"/>
      <c r="CN415" s="667"/>
      <c r="CO415" s="691"/>
      <c r="CP415" s="691"/>
      <c r="CQ415" s="691"/>
      <c r="CR415" s="691"/>
      <c r="CS415" s="691"/>
      <c r="CT415" s="691"/>
      <c r="CU415" s="692"/>
      <c r="CV415" s="1045"/>
      <c r="CW415" s="1046"/>
      <c r="CX415" s="1046"/>
      <c r="CY415" s="1046"/>
      <c r="CZ415" s="1046"/>
      <c r="DA415" s="690"/>
      <c r="DB415" s="1044"/>
      <c r="DC415" s="691"/>
      <c r="DD415" s="691"/>
      <c r="DE415" s="691"/>
      <c r="DF415" s="692"/>
      <c r="DG415" s="692"/>
      <c r="DH415" s="692"/>
      <c r="DI415" s="674"/>
      <c r="DJ415" s="674"/>
      <c r="DK415" s="689"/>
      <c r="DL415" s="689"/>
      <c r="DM415" s="667"/>
      <c r="DN415" s="667"/>
      <c r="DO415" s="691"/>
      <c r="DP415" s="691"/>
      <c r="DQ415" s="691"/>
      <c r="DR415" s="691"/>
      <c r="DS415" s="691"/>
      <c r="DT415" s="691"/>
      <c r="DU415" s="692"/>
      <c r="DV415" s="1045"/>
      <c r="DW415" s="1046"/>
      <c r="DX415" s="1046"/>
      <c r="DY415" s="1046"/>
      <c r="DZ415" s="1046"/>
    </row>
    <row r="416" spans="12:130" s="539" customFormat="1" ht="15" hidden="1" customHeight="1">
      <c r="L416" s="1168"/>
      <c r="M416" s="1047"/>
      <c r="N416" s="1047"/>
      <c r="O416" s="1047"/>
      <c r="P416" s="1047"/>
      <c r="Q416" s="1047"/>
      <c r="R416" s="1047"/>
      <c r="S416" s="1047"/>
      <c r="T416" s="1047"/>
      <c r="U416" s="1047"/>
      <c r="V416" s="1047"/>
      <c r="W416" s="1047"/>
      <c r="X416" s="1047"/>
      <c r="Y416" s="1047"/>
      <c r="Z416" s="1047"/>
      <c r="AA416" s="1047"/>
      <c r="AB416" s="1750"/>
      <c r="AC416" s="1049"/>
      <c r="AD416" s="1049"/>
      <c r="AE416" s="691"/>
      <c r="AF416" s="692"/>
      <c r="AG416" s="692"/>
      <c r="AH416" s="692"/>
      <c r="AI416" s="674"/>
      <c r="AJ416" s="674"/>
      <c r="AK416" s="689"/>
      <c r="AL416" s="689"/>
      <c r="AM416" s="667"/>
      <c r="AN416" s="667"/>
      <c r="AO416" s="691"/>
      <c r="AP416" s="691"/>
      <c r="AQ416" s="691"/>
      <c r="AR416" s="691"/>
      <c r="AS416" s="691"/>
      <c r="AT416" s="691"/>
      <c r="AU416" s="692"/>
      <c r="AV416" s="1045"/>
      <c r="AW416" s="1046"/>
      <c r="AX416" s="1046"/>
      <c r="AY416" s="1046"/>
      <c r="AZ416" s="1046"/>
      <c r="BA416" s="689"/>
      <c r="BB416" s="1044"/>
      <c r="BC416" s="691"/>
      <c r="BD416" s="691"/>
      <c r="BE416" s="691"/>
      <c r="BF416" s="692"/>
      <c r="BG416" s="692"/>
      <c r="BH416" s="692"/>
      <c r="BI416" s="674"/>
      <c r="BJ416" s="674"/>
      <c r="BK416" s="689"/>
      <c r="BL416" s="689"/>
      <c r="BM416" s="667"/>
      <c r="BN416" s="667"/>
      <c r="BO416" s="691"/>
      <c r="BP416" s="691"/>
      <c r="BQ416" s="691"/>
      <c r="BR416" s="691"/>
      <c r="BS416" s="691"/>
      <c r="BT416" s="691"/>
      <c r="BU416" s="692"/>
      <c r="BV416" s="1045"/>
      <c r="BW416" s="1046"/>
      <c r="BX416" s="1046"/>
      <c r="BY416" s="1046"/>
      <c r="BZ416" s="1046"/>
      <c r="CA416" s="690"/>
      <c r="CB416" s="1044"/>
      <c r="CC416" s="691"/>
      <c r="CD416" s="691"/>
      <c r="CE416" s="691"/>
      <c r="CF416" s="692"/>
      <c r="CG416" s="692"/>
      <c r="CH416" s="692"/>
      <c r="CI416" s="674"/>
      <c r="CJ416" s="674"/>
      <c r="CK416" s="689"/>
      <c r="CL416" s="689"/>
      <c r="CM416" s="667"/>
      <c r="CN416" s="667"/>
      <c r="CO416" s="691"/>
      <c r="CP416" s="691"/>
      <c r="CQ416" s="691"/>
      <c r="CR416" s="691"/>
      <c r="CS416" s="691"/>
      <c r="CT416" s="691"/>
      <c r="CU416" s="692"/>
      <c r="CV416" s="1045"/>
      <c r="CW416" s="1046"/>
      <c r="CX416" s="1046"/>
      <c r="CY416" s="1046"/>
      <c r="CZ416" s="1046"/>
      <c r="DA416" s="690"/>
      <c r="DB416" s="1044"/>
      <c r="DC416" s="691"/>
      <c r="DD416" s="691"/>
      <c r="DE416" s="691"/>
      <c r="DF416" s="692"/>
      <c r="DG416" s="692"/>
      <c r="DH416" s="692"/>
      <c r="DI416" s="674"/>
      <c r="DJ416" s="674"/>
      <c r="DK416" s="689"/>
      <c r="DL416" s="689"/>
      <c r="DM416" s="667"/>
      <c r="DN416" s="667"/>
      <c r="DO416" s="691"/>
      <c r="DP416" s="691"/>
      <c r="DQ416" s="691"/>
      <c r="DR416" s="691"/>
      <c r="DS416" s="691"/>
      <c r="DT416" s="691"/>
      <c r="DU416" s="692"/>
      <c r="DV416" s="1045"/>
      <c r="DW416" s="1046"/>
      <c r="DX416" s="1046"/>
      <c r="DY416" s="1046"/>
      <c r="DZ416" s="1046"/>
    </row>
    <row r="417" spans="1:243" s="539" customFormat="1" ht="15" hidden="1" customHeight="1">
      <c r="L417" s="1168"/>
      <c r="M417" s="1047"/>
      <c r="N417" s="1047"/>
      <c r="O417" s="1047"/>
      <c r="P417" s="1047"/>
      <c r="Q417" s="1047"/>
      <c r="R417" s="1047"/>
      <c r="S417" s="1047"/>
      <c r="T417" s="1047"/>
      <c r="U417" s="1047"/>
      <c r="V417" s="1047"/>
      <c r="W417" s="1047"/>
      <c r="X417" s="1047"/>
      <c r="Y417" s="1047"/>
      <c r="Z417" s="1047"/>
      <c r="AA417" s="1047"/>
      <c r="AB417" s="1750"/>
      <c r="AC417" s="1049"/>
      <c r="AD417" s="1049"/>
      <c r="AE417" s="691"/>
      <c r="AF417" s="692"/>
      <c r="AG417" s="692"/>
      <c r="AH417" s="692"/>
      <c r="AI417" s="674"/>
      <c r="AJ417" s="674"/>
      <c r="AK417" s="689"/>
      <c r="AL417" s="689"/>
      <c r="AM417" s="667"/>
      <c r="AN417" s="667"/>
      <c r="AO417" s="691"/>
      <c r="AP417" s="691"/>
      <c r="AQ417" s="691"/>
      <c r="AR417" s="691"/>
      <c r="AS417" s="691"/>
      <c r="AT417" s="691"/>
      <c r="AU417" s="692"/>
      <c r="AV417" s="1045"/>
      <c r="AW417" s="1046"/>
      <c r="AX417" s="1046"/>
      <c r="AY417" s="1046"/>
      <c r="AZ417" s="1046"/>
      <c r="BA417" s="689"/>
      <c r="BB417" s="1044"/>
      <c r="BC417" s="691"/>
      <c r="BD417" s="691"/>
      <c r="BE417" s="691"/>
      <c r="BF417" s="692"/>
      <c r="BG417" s="692"/>
      <c r="BH417" s="692"/>
      <c r="BI417" s="674"/>
      <c r="BJ417" s="674"/>
      <c r="BK417" s="689"/>
      <c r="BL417" s="689"/>
      <c r="BM417" s="667"/>
      <c r="BN417" s="667"/>
      <c r="BO417" s="691"/>
      <c r="BP417" s="691"/>
      <c r="BQ417" s="691"/>
      <c r="BR417" s="691"/>
      <c r="BS417" s="691"/>
      <c r="BT417" s="691"/>
      <c r="BU417" s="692"/>
      <c r="BV417" s="1045"/>
      <c r="BW417" s="1046"/>
      <c r="BX417" s="1046"/>
      <c r="BY417" s="1046"/>
      <c r="BZ417" s="1046"/>
      <c r="CA417" s="690"/>
      <c r="CB417" s="1044"/>
      <c r="CC417" s="691"/>
      <c r="CD417" s="691"/>
      <c r="CE417" s="691"/>
      <c r="CF417" s="692"/>
      <c r="CG417" s="692"/>
      <c r="CH417" s="692"/>
      <c r="CI417" s="674"/>
      <c r="CJ417" s="674"/>
      <c r="CK417" s="689"/>
      <c r="CL417" s="689"/>
      <c r="CM417" s="667"/>
      <c r="CN417" s="667"/>
      <c r="CO417" s="691"/>
      <c r="CP417" s="691"/>
      <c r="CQ417" s="691"/>
      <c r="CR417" s="691"/>
      <c r="CS417" s="691"/>
      <c r="CT417" s="691"/>
      <c r="CU417" s="692"/>
      <c r="CV417" s="1045"/>
      <c r="CW417" s="1046"/>
      <c r="CX417" s="1046"/>
      <c r="CY417" s="1046"/>
      <c r="CZ417" s="1046"/>
      <c r="DA417" s="690"/>
      <c r="DB417" s="1044"/>
      <c r="DC417" s="691"/>
      <c r="DD417" s="691"/>
      <c r="DE417" s="691"/>
      <c r="DF417" s="692"/>
      <c r="DG417" s="692"/>
      <c r="DH417" s="692"/>
      <c r="DI417" s="674"/>
      <c r="DJ417" s="674"/>
      <c r="DK417" s="689"/>
      <c r="DL417" s="689"/>
      <c r="DM417" s="667"/>
      <c r="DN417" s="667"/>
      <c r="DO417" s="691"/>
      <c r="DP417" s="691"/>
      <c r="DQ417" s="691"/>
      <c r="DR417" s="691"/>
      <c r="DS417" s="691"/>
      <c r="DT417" s="691"/>
      <c r="DU417" s="692"/>
      <c r="DV417" s="1045"/>
      <c r="DW417" s="1046"/>
      <c r="DX417" s="1046"/>
      <c r="DY417" s="1046"/>
      <c r="DZ417" s="1046"/>
    </row>
    <row r="418" spans="1:243" s="539" customFormat="1" ht="15" hidden="1" customHeight="1">
      <c r="L418" s="1168"/>
      <c r="M418" s="1047"/>
      <c r="N418" s="1047"/>
      <c r="O418" s="1047"/>
      <c r="P418" s="1047"/>
      <c r="Q418" s="1047"/>
      <c r="R418" s="1047"/>
      <c r="S418" s="1047"/>
      <c r="T418" s="1047"/>
      <c r="U418" s="1047"/>
      <c r="V418" s="1047"/>
      <c r="W418" s="1047"/>
      <c r="X418" s="1047"/>
      <c r="Y418" s="1047"/>
      <c r="Z418" s="1047"/>
      <c r="AA418" s="1047"/>
      <c r="AB418" s="1750"/>
      <c r="AC418" s="1049"/>
      <c r="AD418" s="1049"/>
      <c r="AE418" s="691"/>
      <c r="AF418" s="692"/>
      <c r="AG418" s="692"/>
      <c r="AH418" s="692"/>
      <c r="AI418" s="674"/>
      <c r="AJ418" s="674"/>
      <c r="AK418" s="689"/>
      <c r="AL418" s="689"/>
      <c r="AM418" s="667"/>
      <c r="AN418" s="667"/>
      <c r="AO418" s="691"/>
      <c r="AP418" s="691"/>
      <c r="AQ418" s="691"/>
      <c r="AR418" s="691"/>
      <c r="AS418" s="691"/>
      <c r="AT418" s="691"/>
      <c r="AU418" s="692"/>
      <c r="AV418" s="1045"/>
      <c r="AW418" s="1046"/>
      <c r="AX418" s="1046"/>
      <c r="AY418" s="1046"/>
      <c r="AZ418" s="1046"/>
      <c r="BA418" s="689"/>
      <c r="BB418" s="1044"/>
      <c r="BC418" s="691"/>
      <c r="BD418" s="691"/>
      <c r="BE418" s="691"/>
      <c r="BF418" s="692"/>
      <c r="BG418" s="692"/>
      <c r="BH418" s="692"/>
      <c r="BI418" s="674"/>
      <c r="BJ418" s="674"/>
      <c r="BK418" s="689"/>
      <c r="BL418" s="689"/>
      <c r="BM418" s="667"/>
      <c r="BN418" s="667"/>
      <c r="BO418" s="691"/>
      <c r="BP418" s="691"/>
      <c r="BQ418" s="691"/>
      <c r="BR418" s="691"/>
      <c r="BS418" s="691"/>
      <c r="BT418" s="691"/>
      <c r="BU418" s="692"/>
      <c r="BV418" s="1045"/>
      <c r="BW418" s="1046"/>
      <c r="BX418" s="1046"/>
      <c r="BY418" s="1046"/>
      <c r="BZ418" s="1046"/>
      <c r="CA418" s="690"/>
      <c r="CB418" s="1044"/>
      <c r="CC418" s="691"/>
      <c r="CD418" s="691"/>
      <c r="CE418" s="691"/>
      <c r="CF418" s="692"/>
      <c r="CG418" s="692"/>
      <c r="CH418" s="692"/>
      <c r="CI418" s="674"/>
      <c r="CJ418" s="674"/>
      <c r="CK418" s="689"/>
      <c r="CL418" s="689"/>
      <c r="CM418" s="667"/>
      <c r="CN418" s="667"/>
      <c r="CO418" s="691"/>
      <c r="CP418" s="691"/>
      <c r="CQ418" s="691"/>
      <c r="CR418" s="691"/>
      <c r="CS418" s="691"/>
      <c r="CT418" s="691"/>
      <c r="CU418" s="692"/>
      <c r="CV418" s="1045"/>
      <c r="CW418" s="1046"/>
      <c r="CX418" s="1046"/>
      <c r="CY418" s="1046"/>
      <c r="CZ418" s="1046"/>
      <c r="DA418" s="690"/>
      <c r="DB418" s="1044"/>
      <c r="DC418" s="691"/>
      <c r="DD418" s="691"/>
      <c r="DE418" s="691"/>
      <c r="DF418" s="692"/>
      <c r="DG418" s="692"/>
      <c r="DH418" s="692"/>
      <c r="DI418" s="674"/>
      <c r="DJ418" s="674"/>
      <c r="DK418" s="689"/>
      <c r="DL418" s="689"/>
      <c r="DM418" s="667"/>
      <c r="DN418" s="667"/>
      <c r="DO418" s="691"/>
      <c r="DP418" s="691"/>
      <c r="DQ418" s="691"/>
      <c r="DR418" s="691"/>
      <c r="DS418" s="691"/>
      <c r="DT418" s="691"/>
      <c r="DU418" s="692"/>
      <c r="DV418" s="1045"/>
      <c r="DW418" s="1046"/>
      <c r="DX418" s="1046"/>
      <c r="DY418" s="1046"/>
      <c r="DZ418" s="1046"/>
    </row>
    <row r="419" spans="1:243" s="539" customFormat="1" ht="15" hidden="1" customHeight="1">
      <c r="L419" s="1168"/>
      <c r="M419" s="1047"/>
      <c r="N419" s="1047"/>
      <c r="O419" s="1047"/>
      <c r="P419" s="1047"/>
      <c r="Q419" s="1047"/>
      <c r="R419" s="1047"/>
      <c r="S419" s="1047"/>
      <c r="T419" s="1047"/>
      <c r="U419" s="1047"/>
      <c r="V419" s="1047"/>
      <c r="W419" s="1047"/>
      <c r="X419" s="1047"/>
      <c r="Y419" s="1047"/>
      <c r="Z419" s="1047"/>
      <c r="AA419" s="1047"/>
      <c r="AB419" s="1750"/>
      <c r="AC419" s="1049"/>
      <c r="AD419" s="1049"/>
      <c r="AE419" s="691"/>
      <c r="AF419" s="692"/>
      <c r="AG419" s="692"/>
      <c r="AH419" s="692"/>
      <c r="AI419" s="674"/>
      <c r="AJ419" s="674"/>
      <c r="AK419" s="689"/>
      <c r="AL419" s="689"/>
      <c r="AM419" s="667"/>
      <c r="AN419" s="667"/>
      <c r="AO419" s="691"/>
      <c r="AP419" s="691"/>
      <c r="AQ419" s="691"/>
      <c r="AR419" s="691"/>
      <c r="AS419" s="691"/>
      <c r="AT419" s="691"/>
      <c r="AU419" s="692"/>
      <c r="AV419" s="1045"/>
      <c r="AW419" s="1046"/>
      <c r="AX419" s="1046"/>
      <c r="AY419" s="1046"/>
      <c r="AZ419" s="1046"/>
      <c r="BA419" s="689"/>
      <c r="BB419" s="1044"/>
      <c r="BC419" s="691"/>
      <c r="BD419" s="691"/>
      <c r="BE419" s="691"/>
      <c r="BF419" s="692"/>
      <c r="BG419" s="692"/>
      <c r="BH419" s="692"/>
      <c r="BI419" s="674"/>
      <c r="BJ419" s="674"/>
      <c r="BK419" s="689"/>
      <c r="BL419" s="689"/>
      <c r="BM419" s="667"/>
      <c r="BN419" s="667"/>
      <c r="BO419" s="691"/>
      <c r="BP419" s="691"/>
      <c r="BQ419" s="691"/>
      <c r="BR419" s="691"/>
      <c r="BS419" s="691"/>
      <c r="BT419" s="691"/>
      <c r="BU419" s="692"/>
      <c r="BV419" s="1045"/>
      <c r="BW419" s="1046"/>
      <c r="BX419" s="1046"/>
      <c r="BY419" s="1046"/>
      <c r="BZ419" s="1046"/>
      <c r="CA419" s="690"/>
      <c r="CB419" s="1044"/>
      <c r="CC419" s="691"/>
      <c r="CD419" s="691"/>
      <c r="CE419" s="691"/>
      <c r="CF419" s="692"/>
      <c r="CG419" s="692"/>
      <c r="CH419" s="692"/>
      <c r="CI419" s="674"/>
      <c r="CJ419" s="674"/>
      <c r="CK419" s="689"/>
      <c r="CL419" s="689"/>
      <c r="CM419" s="667"/>
      <c r="CN419" s="667"/>
      <c r="CO419" s="691"/>
      <c r="CP419" s="691"/>
      <c r="CQ419" s="691"/>
      <c r="CR419" s="691"/>
      <c r="CS419" s="691"/>
      <c r="CT419" s="691"/>
      <c r="CU419" s="692"/>
      <c r="CV419" s="1045"/>
      <c r="CW419" s="1046"/>
      <c r="CX419" s="1046"/>
      <c r="CY419" s="1046"/>
      <c r="CZ419" s="1046"/>
      <c r="DA419" s="690"/>
      <c r="DB419" s="1044"/>
      <c r="DC419" s="691"/>
      <c r="DD419" s="691"/>
      <c r="DE419" s="691"/>
      <c r="DF419" s="692"/>
      <c r="DG419" s="692"/>
      <c r="DH419" s="692"/>
      <c r="DI419" s="674"/>
      <c r="DJ419" s="674"/>
      <c r="DK419" s="689"/>
      <c r="DL419" s="689"/>
      <c r="DM419" s="667"/>
      <c r="DN419" s="667"/>
      <c r="DO419" s="691"/>
      <c r="DP419" s="691"/>
      <c r="DQ419" s="691"/>
      <c r="DR419" s="691"/>
      <c r="DS419" s="691"/>
      <c r="DT419" s="691"/>
      <c r="DU419" s="692"/>
      <c r="DV419" s="1045"/>
      <c r="DW419" s="1046"/>
      <c r="DX419" s="1046"/>
      <c r="DY419" s="1046"/>
      <c r="DZ419" s="1046"/>
    </row>
    <row r="420" spans="1:243" s="539" customFormat="1" ht="15" hidden="1" customHeight="1">
      <c r="L420" s="1168"/>
      <c r="M420" s="1047"/>
      <c r="N420" s="1047"/>
      <c r="O420" s="1047"/>
      <c r="P420" s="1047"/>
      <c r="Q420" s="1047"/>
      <c r="R420" s="1047"/>
      <c r="S420" s="1047"/>
      <c r="T420" s="1047"/>
      <c r="U420" s="1047"/>
      <c r="V420" s="1047"/>
      <c r="W420" s="1047"/>
      <c r="X420" s="1047"/>
      <c r="Y420" s="1047"/>
      <c r="Z420" s="1047"/>
      <c r="AA420" s="1047"/>
      <c r="AB420" s="1750"/>
      <c r="AC420" s="1049"/>
      <c r="AD420" s="1049"/>
      <c r="AE420" s="691"/>
      <c r="AF420" s="692"/>
      <c r="AG420" s="692"/>
      <c r="AH420" s="692"/>
      <c r="AI420" s="674"/>
      <c r="AJ420" s="674"/>
      <c r="AK420" s="689"/>
      <c r="AL420" s="689"/>
      <c r="AM420" s="667"/>
      <c r="AN420" s="667"/>
      <c r="AO420" s="691"/>
      <c r="AP420" s="691"/>
      <c r="AQ420" s="691"/>
      <c r="AR420" s="691"/>
      <c r="AS420" s="691"/>
      <c r="AT420" s="691"/>
      <c r="AU420" s="692"/>
      <c r="AV420" s="1045"/>
      <c r="AW420" s="1046"/>
      <c r="AX420" s="1046"/>
      <c r="AY420" s="1046"/>
      <c r="AZ420" s="1046"/>
      <c r="BA420" s="689"/>
      <c r="BB420" s="1044"/>
      <c r="BC420" s="691"/>
      <c r="BD420" s="691"/>
      <c r="BE420" s="691"/>
      <c r="BF420" s="692"/>
      <c r="BG420" s="692"/>
      <c r="BH420" s="692"/>
      <c r="BI420" s="674"/>
      <c r="BJ420" s="674"/>
      <c r="BK420" s="689"/>
      <c r="BL420" s="689"/>
      <c r="BM420" s="667"/>
      <c r="BN420" s="667"/>
      <c r="BO420" s="691"/>
      <c r="BP420" s="691"/>
      <c r="BQ420" s="691"/>
      <c r="BR420" s="691"/>
      <c r="BS420" s="691"/>
      <c r="BT420" s="691"/>
      <c r="BU420" s="692"/>
      <c r="BV420" s="1045"/>
      <c r="BW420" s="1046"/>
      <c r="BX420" s="1046"/>
      <c r="BY420" s="1046"/>
      <c r="BZ420" s="1046"/>
      <c r="CA420" s="690"/>
      <c r="CB420" s="1044"/>
      <c r="CC420" s="691"/>
      <c r="CD420" s="691"/>
      <c r="CE420" s="691"/>
      <c r="CF420" s="692"/>
      <c r="CG420" s="692"/>
      <c r="CH420" s="692"/>
      <c r="CI420" s="674"/>
      <c r="CJ420" s="674"/>
      <c r="CK420" s="689"/>
      <c r="CL420" s="689"/>
      <c r="CM420" s="667"/>
      <c r="CN420" s="667"/>
      <c r="CO420" s="691"/>
      <c r="CP420" s="691"/>
      <c r="CQ420" s="691"/>
      <c r="CR420" s="691"/>
      <c r="CS420" s="691"/>
      <c r="CT420" s="691"/>
      <c r="CU420" s="692"/>
      <c r="CV420" s="1045"/>
      <c r="CW420" s="1046"/>
      <c r="CX420" s="1046"/>
      <c r="CY420" s="1046"/>
      <c r="CZ420" s="1046"/>
      <c r="DA420" s="690"/>
      <c r="DB420" s="1044"/>
      <c r="DC420" s="691"/>
      <c r="DD420" s="691"/>
      <c r="DE420" s="691"/>
      <c r="DF420" s="692"/>
      <c r="DG420" s="692"/>
      <c r="DH420" s="692"/>
      <c r="DI420" s="674"/>
      <c r="DJ420" s="674"/>
      <c r="DK420" s="689"/>
      <c r="DL420" s="689"/>
      <c r="DM420" s="667"/>
      <c r="DN420" s="667"/>
      <c r="DO420" s="691"/>
      <c r="DP420" s="691"/>
      <c r="DQ420" s="691"/>
      <c r="DR420" s="691"/>
      <c r="DS420" s="691"/>
      <c r="DT420" s="691"/>
      <c r="DU420" s="692"/>
      <c r="DV420" s="1045"/>
      <c r="DW420" s="1046"/>
      <c r="DX420" s="1046"/>
      <c r="DY420" s="1046"/>
      <c r="DZ420" s="1046"/>
    </row>
    <row r="421" spans="1:243" s="539" customFormat="1" ht="15" hidden="1" customHeight="1">
      <c r="L421" s="1169"/>
      <c r="AB421" s="1747"/>
      <c r="AC421" s="691"/>
      <c r="AD421" s="691"/>
      <c r="AE421" s="691"/>
      <c r="AF421" s="692"/>
      <c r="AG421" s="692"/>
      <c r="AH421" s="692"/>
      <c r="AI421" s="674"/>
      <c r="AJ421" s="674"/>
      <c r="AK421" s="689"/>
      <c r="AL421" s="689"/>
      <c r="AM421" s="667"/>
      <c r="AN421" s="667"/>
      <c r="AO421" s="691"/>
      <c r="AP421" s="691"/>
      <c r="AQ421" s="691"/>
      <c r="AR421" s="691"/>
      <c r="AS421" s="691"/>
      <c r="AT421" s="691"/>
      <c r="AU421" s="692"/>
      <c r="AV421" s="1045"/>
      <c r="AW421" s="1046"/>
      <c r="AX421" s="1046"/>
      <c r="AY421" s="1046"/>
      <c r="AZ421" s="1046"/>
      <c r="BA421" s="689"/>
      <c r="BB421" s="1044"/>
      <c r="BC421" s="691"/>
      <c r="BD421" s="691"/>
      <c r="BE421" s="691"/>
      <c r="BF421" s="692"/>
      <c r="BG421" s="692"/>
      <c r="BH421" s="692"/>
      <c r="BI421" s="674"/>
      <c r="BJ421" s="674"/>
      <c r="BK421" s="689"/>
      <c r="BL421" s="689"/>
      <c r="BM421" s="667"/>
      <c r="BN421" s="667"/>
      <c r="BO421" s="691"/>
      <c r="BP421" s="691"/>
      <c r="BQ421" s="691"/>
      <c r="BR421" s="691"/>
      <c r="BS421" s="691"/>
      <c r="BT421" s="691"/>
      <c r="BU421" s="692"/>
      <c r="BV421" s="1045"/>
      <c r="BW421" s="1046"/>
      <c r="BX421" s="1046"/>
      <c r="BY421" s="1046"/>
      <c r="BZ421" s="1046"/>
      <c r="CA421" s="690"/>
      <c r="CB421" s="1044"/>
      <c r="CC421" s="691"/>
      <c r="CD421" s="691"/>
      <c r="CE421" s="691"/>
      <c r="CF421" s="692"/>
      <c r="CG421" s="692"/>
      <c r="CH421" s="692"/>
      <c r="CI421" s="674"/>
      <c r="CJ421" s="674"/>
      <c r="CK421" s="689"/>
      <c r="CL421" s="689"/>
      <c r="CM421" s="667"/>
      <c r="CN421" s="667"/>
      <c r="CO421" s="691"/>
      <c r="CP421" s="691"/>
      <c r="CQ421" s="691"/>
      <c r="CR421" s="691"/>
      <c r="CS421" s="691"/>
      <c r="CT421" s="691"/>
      <c r="CU421" s="692"/>
      <c r="CV421" s="1045"/>
      <c r="CW421" s="1046"/>
      <c r="CX421" s="1046"/>
      <c r="CY421" s="1046"/>
      <c r="CZ421" s="1046"/>
      <c r="DA421" s="690"/>
      <c r="DB421" s="1044"/>
      <c r="DC421" s="691"/>
      <c r="DD421" s="691"/>
      <c r="DE421" s="691"/>
      <c r="DF421" s="692"/>
      <c r="DG421" s="692"/>
      <c r="DH421" s="692"/>
      <c r="DI421" s="674"/>
      <c r="DJ421" s="674"/>
      <c r="DK421" s="689"/>
      <c r="DL421" s="689"/>
      <c r="DM421" s="667"/>
      <c r="DN421" s="667"/>
      <c r="DO421" s="691"/>
      <c r="DP421" s="691"/>
      <c r="DQ421" s="691"/>
      <c r="DR421" s="691"/>
      <c r="DS421" s="691"/>
      <c r="DT421" s="691"/>
      <c r="DU421" s="692"/>
      <c r="DV421" s="1045"/>
      <c r="DW421" s="1046"/>
      <c r="DX421" s="1046"/>
      <c r="DY421" s="1046"/>
      <c r="DZ421" s="1046"/>
    </row>
    <row r="422" spans="1:243" s="1043" customFormat="1" ht="14.25" hidden="1" customHeight="1">
      <c r="A422" s="1038"/>
      <c r="B422" s="1038"/>
      <c r="C422" s="1038"/>
      <c r="D422" s="1038"/>
      <c r="E422" s="1038"/>
      <c r="F422" s="1038"/>
      <c r="G422" s="1038"/>
      <c r="H422" s="1038"/>
      <c r="I422" s="1038"/>
      <c r="J422" s="1038"/>
      <c r="K422" s="1038"/>
      <c r="L422" s="1858"/>
      <c r="M422" s="1038"/>
      <c r="N422" s="1038"/>
      <c r="O422" s="1038"/>
      <c r="P422" s="1038"/>
      <c r="Q422" s="1038"/>
      <c r="R422" s="1038"/>
      <c r="S422" s="1038"/>
      <c r="T422" s="1038"/>
      <c r="U422" s="1038"/>
      <c r="V422" s="1039"/>
      <c r="W422" s="1038"/>
      <c r="X422" s="1038"/>
      <c r="Y422" s="1038"/>
      <c r="Z422" s="1038"/>
      <c r="AA422" s="1038"/>
      <c r="AB422" s="1751"/>
      <c r="AC422" s="1039"/>
      <c r="AD422" s="1040"/>
      <c r="AE422" s="1040"/>
      <c r="AF422" s="690"/>
      <c r="AG422" s="690"/>
      <c r="AH422" s="690"/>
      <c r="AI422" s="688"/>
      <c r="AJ422" s="688"/>
      <c r="AK422" s="1041"/>
      <c r="AL422" s="1041"/>
      <c r="AM422" s="1042"/>
      <c r="AN422" s="1042"/>
      <c r="AO422" s="1040"/>
      <c r="AP422" s="1040"/>
      <c r="AQ422" s="1040"/>
      <c r="AR422" s="1040"/>
      <c r="AS422" s="1040"/>
      <c r="AT422" s="1040"/>
      <c r="AU422" s="690"/>
      <c r="AV422" s="690"/>
      <c r="AW422" s="690"/>
      <c r="AX422" s="688"/>
      <c r="AY422" s="688"/>
      <c r="AZ422" s="1041"/>
      <c r="BA422" s="1041"/>
      <c r="BB422" s="1041"/>
      <c r="BC422" s="1042"/>
      <c r="BD422" s="1042"/>
      <c r="BE422" s="1040"/>
      <c r="BF422" s="1040"/>
      <c r="BG422" s="1040"/>
      <c r="BH422" s="1040"/>
      <c r="BI422" s="1040"/>
      <c r="BJ422" s="1040"/>
      <c r="BK422" s="690"/>
      <c r="BL422" s="690"/>
      <c r="BM422" s="690"/>
      <c r="BN422" s="688"/>
      <c r="BO422" s="688"/>
      <c r="BP422" s="1041"/>
      <c r="BQ422" s="1041"/>
      <c r="BR422" s="1042"/>
      <c r="BS422" s="1042"/>
      <c r="BT422" s="1040"/>
      <c r="BU422" s="1040"/>
      <c r="BV422" s="688"/>
      <c r="BW422" s="1040"/>
      <c r="BX422" s="1040"/>
      <c r="BY422" s="1040"/>
      <c r="BZ422" s="690"/>
      <c r="CA422" s="690"/>
      <c r="CB422" s="690"/>
      <c r="CC422" s="690"/>
      <c r="CD422" s="688"/>
      <c r="CE422" s="688"/>
      <c r="CF422" s="1041"/>
      <c r="CG422" s="1041"/>
      <c r="CH422" s="1042"/>
      <c r="CI422" s="1042"/>
      <c r="CJ422" s="1040"/>
      <c r="CK422" s="1040"/>
      <c r="CL422" s="1038"/>
      <c r="CM422" s="1038"/>
      <c r="CN422" s="1038"/>
      <c r="CO422" s="1038"/>
      <c r="CP422" s="1038"/>
      <c r="CQ422" s="1038"/>
      <c r="CR422" s="1038"/>
      <c r="CS422" s="1038"/>
      <c r="CT422" s="1038"/>
      <c r="CU422" s="1038"/>
      <c r="CV422" s="1038"/>
      <c r="CW422" s="1038"/>
      <c r="CX422" s="1038"/>
      <c r="CY422" s="1038"/>
      <c r="CZ422" s="1038"/>
      <c r="DA422" s="1038"/>
      <c r="DB422" s="1038"/>
      <c r="DC422" s="1038"/>
      <c r="DD422" s="1038"/>
      <c r="DE422" s="1038"/>
      <c r="DF422" s="1038"/>
      <c r="DG422" s="1038"/>
      <c r="DH422" s="1038"/>
      <c r="DI422" s="1038"/>
      <c r="DJ422" s="1038"/>
      <c r="DK422" s="1038"/>
      <c r="DL422" s="1038"/>
      <c r="DM422" s="1038"/>
      <c r="DN422" s="1038"/>
      <c r="DO422" s="1038"/>
      <c r="DP422" s="1038"/>
      <c r="DQ422" s="1038"/>
      <c r="DR422" s="1038"/>
      <c r="DS422" s="1038"/>
      <c r="DT422" s="1038"/>
      <c r="DU422" s="1038"/>
      <c r="DV422" s="1038"/>
      <c r="DW422" s="1038"/>
      <c r="DX422" s="1038"/>
      <c r="DY422" s="1038"/>
      <c r="DZ422" s="1038"/>
      <c r="EA422" s="1038"/>
      <c r="EB422" s="1038"/>
      <c r="EC422" s="1038"/>
      <c r="ED422" s="1038"/>
      <c r="EE422" s="1038"/>
      <c r="EF422" s="1038"/>
      <c r="EG422" s="1038"/>
      <c r="EH422" s="1038"/>
      <c r="EI422" s="1038"/>
      <c r="EJ422" s="1038"/>
      <c r="EK422" s="1038"/>
      <c r="EL422" s="1038"/>
      <c r="EM422" s="1038"/>
      <c r="EN422" s="1038"/>
      <c r="EO422" s="1038"/>
      <c r="EP422" s="1038"/>
      <c r="EQ422" s="1038"/>
      <c r="ER422" s="1038"/>
      <c r="ES422" s="1038"/>
      <c r="ET422" s="1038"/>
      <c r="EU422" s="1038"/>
      <c r="EV422" s="1038"/>
      <c r="EW422" s="1038"/>
      <c r="EX422" s="1038"/>
      <c r="EY422" s="1038"/>
      <c r="EZ422" s="1038"/>
      <c r="FA422" s="1038"/>
      <c r="FB422" s="1038"/>
      <c r="FC422" s="1038"/>
      <c r="FD422" s="1038"/>
      <c r="FE422" s="1038"/>
      <c r="FF422" s="1038"/>
      <c r="FG422" s="1038"/>
      <c r="FH422" s="1038"/>
      <c r="FI422" s="1038"/>
      <c r="FJ422" s="1038"/>
      <c r="FK422" s="1038"/>
      <c r="FL422" s="1038"/>
      <c r="FM422" s="1038"/>
      <c r="FN422" s="1038"/>
      <c r="FO422" s="1038"/>
      <c r="FP422" s="1038"/>
      <c r="FQ422" s="1038"/>
      <c r="FR422" s="1038"/>
      <c r="FS422" s="1038"/>
      <c r="FT422" s="1038"/>
      <c r="FU422" s="1038"/>
      <c r="FV422" s="1038"/>
      <c r="FW422" s="1038"/>
      <c r="FX422" s="1038"/>
      <c r="FY422" s="1038"/>
      <c r="FZ422" s="1038"/>
      <c r="GA422" s="1038"/>
      <c r="GB422" s="1038"/>
      <c r="GC422" s="1038"/>
      <c r="GD422" s="1038"/>
      <c r="GE422" s="1038"/>
      <c r="GF422" s="1038"/>
      <c r="GG422" s="1038"/>
      <c r="GH422" s="1038"/>
      <c r="GI422" s="1038"/>
      <c r="GJ422" s="1038"/>
      <c r="GK422" s="1038"/>
      <c r="GL422" s="1038"/>
      <c r="GM422" s="1038"/>
      <c r="GN422" s="1038"/>
      <c r="GO422" s="1038"/>
      <c r="GP422" s="1038"/>
      <c r="GQ422" s="1038"/>
      <c r="GR422" s="1038"/>
      <c r="GS422" s="1038"/>
      <c r="GT422" s="1038"/>
      <c r="GU422" s="1038"/>
      <c r="GV422" s="1038"/>
      <c r="GW422" s="1038"/>
      <c r="GX422" s="1038"/>
      <c r="GY422" s="1038"/>
      <c r="GZ422" s="1038"/>
      <c r="HA422" s="1038"/>
      <c r="HB422" s="1038"/>
      <c r="HC422" s="1038"/>
      <c r="HD422" s="1038"/>
      <c r="HE422" s="1038"/>
      <c r="HF422" s="1038"/>
      <c r="HG422" s="1038"/>
      <c r="HH422" s="1038"/>
      <c r="HI422" s="1038"/>
      <c r="HJ422" s="1038"/>
      <c r="HK422" s="1038"/>
      <c r="HL422" s="1038"/>
      <c r="HM422" s="1038"/>
      <c r="HN422" s="1038"/>
      <c r="HO422" s="1038"/>
      <c r="HP422" s="1038"/>
      <c r="HQ422" s="1038"/>
      <c r="HR422" s="1038"/>
      <c r="HS422" s="1038"/>
      <c r="HT422" s="1038"/>
      <c r="HU422" s="1038"/>
      <c r="HV422" s="1038"/>
      <c r="HW422" s="1038"/>
      <c r="HX422" s="1038"/>
      <c r="HY422" s="1038"/>
      <c r="HZ422" s="1038"/>
      <c r="IA422" s="1038"/>
      <c r="IB422" s="1038"/>
      <c r="IC422" s="1038"/>
      <c r="ID422" s="1038"/>
      <c r="IE422" s="1038"/>
      <c r="IF422" s="1038"/>
      <c r="IG422" s="1038"/>
      <c r="IH422" s="1038"/>
      <c r="II422" s="1038"/>
    </row>
    <row r="423" spans="1:243" ht="20.5" thickBot="1">
      <c r="A423" s="423"/>
      <c r="B423" s="693" t="s">
        <v>381</v>
      </c>
      <c r="C423" s="423"/>
      <c r="D423" s="423"/>
      <c r="E423" s="423"/>
      <c r="F423" s="423"/>
      <c r="G423" s="423"/>
      <c r="H423" s="423"/>
      <c r="I423" s="423"/>
      <c r="J423" s="423"/>
      <c r="K423" s="423"/>
      <c r="L423" s="988"/>
      <c r="M423" s="423"/>
      <c r="N423" s="423"/>
      <c r="O423" s="423"/>
      <c r="P423" s="423"/>
      <c r="Q423" s="423"/>
      <c r="R423" s="423"/>
      <c r="S423" s="423"/>
      <c r="T423" s="423"/>
      <c r="U423" s="423"/>
      <c r="V423" s="693"/>
      <c r="W423" s="423"/>
      <c r="X423" s="423"/>
      <c r="Y423" s="423"/>
      <c r="Z423" s="423"/>
      <c r="AA423" s="423"/>
      <c r="AB423" s="1735"/>
      <c r="AC423" s="423"/>
      <c r="AD423" s="423"/>
      <c r="AE423" s="423"/>
      <c r="AF423" s="423"/>
      <c r="AG423" s="423"/>
      <c r="AH423" s="423"/>
      <c r="AI423" s="423"/>
      <c r="AJ423" s="423"/>
      <c r="AK423" s="423"/>
      <c r="AL423" s="423"/>
      <c r="AM423" s="423"/>
      <c r="AN423" s="423"/>
      <c r="AO423" s="423"/>
      <c r="AP423" s="423"/>
      <c r="AQ423" s="423"/>
      <c r="AR423" s="423"/>
      <c r="AS423" s="423"/>
      <c r="AT423" s="423"/>
      <c r="AU423" s="423"/>
      <c r="AV423" s="423"/>
      <c r="AW423" s="423"/>
      <c r="AX423" s="423"/>
      <c r="AY423" s="423"/>
      <c r="AZ423" s="423"/>
      <c r="BA423" s="423"/>
      <c r="BB423" s="423"/>
      <c r="BC423" s="3285" t="s">
        <v>382</v>
      </c>
      <c r="BD423" s="3285"/>
      <c r="BE423" s="3285"/>
      <c r="BF423" s="3285"/>
      <c r="BG423" s="3285"/>
      <c r="BH423" s="3285"/>
      <c r="BI423" s="3285"/>
      <c r="BJ423" s="3285"/>
      <c r="BK423" s="3285"/>
      <c r="BL423" s="3285"/>
      <c r="BM423" s="3285"/>
      <c r="BN423" s="3285"/>
      <c r="BO423" s="423"/>
      <c r="BP423" s="423"/>
      <c r="BQ423" s="423"/>
      <c r="BR423" s="423"/>
      <c r="BS423" s="423"/>
      <c r="BT423" s="423"/>
      <c r="BU423" s="423"/>
      <c r="BV423" s="423"/>
      <c r="BW423" s="423"/>
      <c r="BX423" s="423"/>
      <c r="BY423" s="423"/>
      <c r="BZ423" s="423"/>
      <c r="CA423" s="423"/>
      <c r="CB423" s="423"/>
      <c r="CC423" s="423"/>
      <c r="CD423" s="423"/>
      <c r="CE423" s="423"/>
      <c r="CF423" s="423"/>
      <c r="CG423" s="423"/>
      <c r="CH423" s="423"/>
      <c r="CI423" s="423"/>
      <c r="CJ423" s="423"/>
      <c r="CK423" s="423"/>
      <c r="CL423" s="423"/>
      <c r="CM423" s="423"/>
      <c r="CN423" s="423"/>
      <c r="CO423" s="423"/>
      <c r="CP423" s="423"/>
      <c r="CQ423" s="423"/>
      <c r="CR423" s="423"/>
      <c r="CS423" s="423"/>
      <c r="CT423" s="423"/>
      <c r="CU423" s="423"/>
      <c r="CV423" s="423"/>
      <c r="CW423" s="423"/>
      <c r="CX423" s="423"/>
      <c r="CY423" s="423"/>
      <c r="CZ423" s="423"/>
      <c r="DA423" s="423"/>
      <c r="DB423" s="423"/>
      <c r="DC423" s="423"/>
      <c r="DD423" s="423"/>
      <c r="DE423" s="423"/>
      <c r="DF423" s="423"/>
      <c r="DG423" s="423"/>
      <c r="DH423" s="423"/>
      <c r="DI423" s="423"/>
      <c r="DJ423" s="423"/>
      <c r="DK423" s="423"/>
      <c r="DL423" s="423"/>
      <c r="DM423" s="423"/>
      <c r="DN423" s="423"/>
      <c r="DO423" s="423"/>
      <c r="DP423" s="423"/>
      <c r="DQ423" s="423"/>
      <c r="DR423" s="423"/>
      <c r="DS423" s="423"/>
      <c r="DT423" s="423"/>
      <c r="DU423" s="423"/>
      <c r="DV423" s="423"/>
      <c r="DW423" s="423"/>
      <c r="DX423" s="423"/>
      <c r="DY423" s="423"/>
      <c r="DZ423" s="423"/>
      <c r="EA423" s="423"/>
      <c r="EB423" s="423"/>
      <c r="EC423" s="423"/>
      <c r="ED423" s="423"/>
      <c r="EE423" s="423"/>
      <c r="EF423" s="423"/>
      <c r="EG423" s="423"/>
      <c r="EH423" s="423"/>
      <c r="EI423" s="423"/>
      <c r="EJ423" s="423"/>
      <c r="EK423" s="423"/>
      <c r="EL423" s="423"/>
      <c r="EM423" s="423"/>
      <c r="EN423" s="423"/>
      <c r="EO423" s="423"/>
      <c r="EP423" s="423"/>
      <c r="EQ423" s="423"/>
      <c r="ER423" s="423"/>
      <c r="ES423" s="423"/>
      <c r="ET423" s="423"/>
      <c r="EU423" s="423"/>
      <c r="EV423" s="423"/>
      <c r="EW423" s="423"/>
      <c r="EX423" s="423"/>
      <c r="EY423" s="423"/>
      <c r="EZ423" s="423"/>
      <c r="FA423" s="423"/>
      <c r="FB423" s="423"/>
      <c r="FC423" s="423"/>
      <c r="FD423" s="423"/>
      <c r="FE423" s="423"/>
      <c r="FF423" s="423"/>
      <c r="FG423" s="423"/>
      <c r="FH423" s="423"/>
      <c r="FI423" s="423"/>
      <c r="FJ423" s="423"/>
      <c r="FK423" s="423"/>
      <c r="FL423" s="423"/>
      <c r="FM423" s="423"/>
      <c r="FN423" s="423"/>
      <c r="FO423" s="423"/>
      <c r="FP423" s="423"/>
      <c r="FQ423" s="423"/>
      <c r="FR423" s="423"/>
      <c r="FS423" s="423"/>
      <c r="FT423" s="423"/>
      <c r="FU423" s="423"/>
      <c r="FV423" s="423"/>
      <c r="FW423" s="423"/>
      <c r="FX423" s="423"/>
      <c r="FY423" s="423"/>
      <c r="FZ423" s="423"/>
      <c r="GA423" s="423"/>
      <c r="GB423" s="423"/>
      <c r="GC423" s="423"/>
      <c r="GD423" s="423"/>
      <c r="GE423" s="423"/>
      <c r="GF423" s="423"/>
      <c r="GG423" s="423"/>
      <c r="GH423" s="423"/>
      <c r="GI423" s="423"/>
      <c r="GJ423" s="423"/>
      <c r="GK423" s="423"/>
      <c r="GL423" s="423"/>
      <c r="GM423" s="423"/>
      <c r="GN423" s="423"/>
      <c r="GO423" s="423"/>
      <c r="GP423" s="423"/>
      <c r="GQ423" s="423"/>
      <c r="GR423" s="423"/>
      <c r="GS423" s="423"/>
      <c r="GT423" s="423"/>
      <c r="GU423" s="423"/>
      <c r="GV423" s="423"/>
      <c r="GW423" s="423"/>
      <c r="GX423" s="423"/>
      <c r="GY423" s="423"/>
      <c r="GZ423" s="423"/>
      <c r="HA423" s="423"/>
      <c r="HB423" s="423"/>
      <c r="HC423" s="423"/>
      <c r="HD423" s="423"/>
      <c r="HE423" s="423"/>
      <c r="HF423" s="423"/>
      <c r="HG423" s="423"/>
      <c r="HH423" s="423"/>
      <c r="HI423" s="423"/>
      <c r="HJ423" s="423"/>
      <c r="HK423" s="423"/>
      <c r="HL423" s="423"/>
      <c r="HM423" s="423"/>
      <c r="HN423" s="423"/>
      <c r="HO423" s="423"/>
      <c r="HP423" s="423"/>
      <c r="HQ423" s="423"/>
      <c r="HR423" s="423"/>
      <c r="HS423" s="423"/>
      <c r="HT423" s="423"/>
      <c r="HU423" s="423"/>
      <c r="HV423" s="423"/>
      <c r="HW423" s="423"/>
      <c r="HX423" s="423"/>
      <c r="HY423" s="423"/>
      <c r="HZ423" s="423"/>
      <c r="IA423" s="423"/>
      <c r="IB423" s="423"/>
      <c r="IC423" s="423"/>
      <c r="ID423" s="423"/>
      <c r="IE423" s="423"/>
      <c r="IF423" s="423"/>
      <c r="IG423" s="423"/>
      <c r="IH423" s="423"/>
      <c r="II423" s="423"/>
    </row>
    <row r="424" spans="1:243" ht="14.25" customHeight="1">
      <c r="A424" s="423"/>
      <c r="B424" s="423"/>
      <c r="C424" s="423"/>
      <c r="D424" s="423"/>
      <c r="E424" s="423"/>
      <c r="F424" s="423"/>
      <c r="G424" s="423"/>
      <c r="H424" s="423"/>
      <c r="I424" s="423"/>
      <c r="J424" s="423"/>
      <c r="K424" s="423"/>
      <c r="L424" s="988"/>
      <c r="M424" s="423"/>
      <c r="N424" s="423"/>
      <c r="O424" s="423"/>
      <c r="P424" s="423"/>
      <c r="Q424" s="423"/>
      <c r="R424" s="423"/>
      <c r="S424" s="423"/>
      <c r="T424" s="423"/>
      <c r="U424" s="423"/>
      <c r="V424" s="423"/>
      <c r="W424" s="423"/>
      <c r="X424" s="423"/>
      <c r="Y424" s="423"/>
      <c r="Z424" s="423"/>
      <c r="AA424" s="423"/>
      <c r="AB424" s="3275" t="s">
        <v>383</v>
      </c>
      <c r="AC424" s="3276"/>
      <c r="AD424" s="3276"/>
      <c r="AE424" s="3276"/>
      <c r="AF424" s="3276"/>
      <c r="AG424" s="3276"/>
      <c r="AH424" s="3276"/>
      <c r="AI424" s="3276"/>
      <c r="AJ424" s="3276"/>
      <c r="AK424" s="3276"/>
      <c r="AL424" s="3276"/>
      <c r="AM424" s="3276"/>
      <c r="AN424" s="3276"/>
      <c r="AO424" s="3276"/>
      <c r="AP424" s="3276"/>
      <c r="AQ424" s="3276"/>
      <c r="AR424" s="3276"/>
      <c r="AS424" s="3276"/>
      <c r="AT424" s="3276"/>
      <c r="AU424" s="3276"/>
      <c r="AV424" s="3276"/>
      <c r="AW424" s="3276"/>
      <c r="AX424" s="3276"/>
      <c r="AY424" s="3277"/>
      <c r="AZ424" s="423"/>
      <c r="BA424" s="423"/>
      <c r="BB424" s="423"/>
      <c r="BC424" s="3285"/>
      <c r="BD424" s="3285"/>
      <c r="BE424" s="3285"/>
      <c r="BF424" s="3285"/>
      <c r="BG424" s="3285"/>
      <c r="BH424" s="3285"/>
      <c r="BI424" s="3285"/>
      <c r="BJ424" s="3285"/>
      <c r="BK424" s="3285"/>
      <c r="BL424" s="3285"/>
      <c r="BM424" s="3285"/>
      <c r="BN424" s="3285"/>
      <c r="BO424" s="423"/>
      <c r="BP424" s="423"/>
      <c r="BQ424" s="423"/>
      <c r="BR424" s="423"/>
      <c r="BS424" s="423"/>
      <c r="BT424" s="1588"/>
      <c r="BU424" s="423"/>
      <c r="BV424" s="423"/>
      <c r="BW424" s="423"/>
      <c r="BX424" s="423"/>
      <c r="BY424" s="423"/>
      <c r="BZ424" s="423"/>
      <c r="CA424" s="423"/>
      <c r="CB424" s="423"/>
      <c r="CC424" s="423"/>
      <c r="CD424" s="423"/>
      <c r="CE424" s="423"/>
      <c r="CF424" s="423"/>
      <c r="CG424" s="423"/>
      <c r="CH424" s="423"/>
      <c r="CI424" s="423"/>
      <c r="CJ424" s="423"/>
      <c r="CK424" s="423"/>
      <c r="CL424" s="423"/>
      <c r="CM424" s="423"/>
      <c r="CN424" s="423"/>
      <c r="CO424" s="423"/>
      <c r="CP424" s="423"/>
      <c r="CQ424" s="423"/>
      <c r="CR424" s="423"/>
      <c r="CS424" s="423"/>
      <c r="CT424" s="423"/>
      <c r="CU424" s="423"/>
      <c r="CV424" s="423"/>
      <c r="CW424" s="423"/>
      <c r="CX424" s="423"/>
      <c r="CY424" s="423"/>
      <c r="CZ424" s="423"/>
      <c r="DA424" s="423"/>
      <c r="DB424" s="423"/>
      <c r="DC424" s="423"/>
      <c r="DD424" s="423"/>
      <c r="DE424" s="423"/>
      <c r="DF424" s="423"/>
      <c r="DG424" s="423"/>
      <c r="DH424" s="423"/>
      <c r="DI424" s="423"/>
      <c r="DJ424" s="423"/>
      <c r="DK424" s="423"/>
      <c r="DL424" s="423"/>
      <c r="DM424" s="423"/>
      <c r="DN424" s="423"/>
      <c r="DO424" s="423"/>
      <c r="DP424" s="423"/>
      <c r="DQ424" s="423"/>
      <c r="DR424" s="423"/>
      <c r="DS424" s="423"/>
      <c r="DT424" s="423"/>
      <c r="DU424" s="423"/>
      <c r="DV424" s="423"/>
      <c r="DW424" s="423"/>
      <c r="DX424" s="423"/>
      <c r="DY424" s="423"/>
      <c r="DZ424" s="423"/>
      <c r="EA424" s="423"/>
      <c r="EB424" s="423"/>
      <c r="EC424" s="423"/>
      <c r="ED424" s="423"/>
      <c r="EE424" s="423"/>
      <c r="EF424" s="423"/>
      <c r="EG424" s="423"/>
      <c r="EH424" s="423"/>
      <c r="EI424" s="423"/>
      <c r="EJ424" s="423"/>
      <c r="EK424" s="423"/>
      <c r="EL424" s="423"/>
      <c r="EM424" s="423"/>
      <c r="EN424" s="423"/>
      <c r="EO424" s="423"/>
      <c r="EP424" s="423"/>
      <c r="EQ424" s="423"/>
      <c r="ER424" s="423"/>
      <c r="ES424" s="423"/>
      <c r="ET424" s="423"/>
      <c r="EU424" s="423"/>
      <c r="EV424" s="423"/>
      <c r="EW424" s="423"/>
      <c r="EX424" s="423"/>
      <c r="EY424" s="423"/>
      <c r="EZ424" s="423"/>
      <c r="FA424" s="423"/>
      <c r="FB424" s="423"/>
      <c r="FC424" s="423"/>
      <c r="FD424" s="423"/>
      <c r="FE424" s="423"/>
      <c r="FF424" s="423"/>
      <c r="FG424" s="423"/>
      <c r="FH424" s="423"/>
      <c r="FI424" s="423"/>
      <c r="FJ424" s="423"/>
      <c r="FK424" s="423"/>
      <c r="FL424" s="423"/>
      <c r="FM424" s="423"/>
      <c r="FN424" s="423"/>
      <c r="FO424" s="423"/>
      <c r="FP424" s="423"/>
      <c r="FQ424" s="423"/>
      <c r="FR424" s="423"/>
      <c r="FS424" s="423"/>
      <c r="FT424" s="423"/>
      <c r="FU424" s="423"/>
      <c r="FV424" s="423"/>
      <c r="FW424" s="423"/>
      <c r="FX424" s="423"/>
      <c r="FY424" s="423"/>
      <c r="FZ424" s="423"/>
      <c r="GA424" s="423"/>
      <c r="GB424" s="423"/>
      <c r="GC424" s="423"/>
      <c r="GD424" s="423"/>
      <c r="GE424" s="423"/>
      <c r="GF424" s="423"/>
      <c r="GG424" s="423"/>
      <c r="GH424" s="423"/>
      <c r="GI424" s="423"/>
      <c r="GJ424" s="423"/>
      <c r="GK424" s="423"/>
      <c r="GL424" s="423"/>
      <c r="GM424" s="423"/>
      <c r="GN424" s="423"/>
      <c r="GO424" s="423"/>
      <c r="GP424" s="423"/>
      <c r="GQ424" s="423"/>
      <c r="GR424" s="423"/>
      <c r="GS424" s="423"/>
      <c r="GT424" s="423"/>
      <c r="GU424" s="423"/>
      <c r="GV424" s="423"/>
      <c r="GW424" s="423"/>
      <c r="GX424" s="423"/>
      <c r="GY424" s="423"/>
      <c r="GZ424" s="423"/>
      <c r="HA424" s="423"/>
      <c r="HB424" s="423"/>
      <c r="HC424" s="423"/>
      <c r="HD424" s="423"/>
      <c r="HE424" s="423"/>
      <c r="HF424" s="423"/>
      <c r="HG424" s="423"/>
      <c r="HH424" s="423"/>
      <c r="HI424" s="423"/>
      <c r="HJ424" s="423"/>
      <c r="HK424" s="423"/>
      <c r="HL424" s="423"/>
      <c r="HM424" s="423"/>
      <c r="HN424" s="423"/>
      <c r="HO424" s="423"/>
      <c r="HP424" s="423"/>
      <c r="HQ424" s="423"/>
      <c r="HR424" s="423"/>
      <c r="HS424" s="423"/>
      <c r="HT424" s="423"/>
      <c r="HU424" s="423"/>
      <c r="HV424" s="423"/>
      <c r="HW424" s="423"/>
      <c r="HX424" s="423"/>
      <c r="HY424" s="423"/>
      <c r="HZ424" s="423"/>
      <c r="IA424" s="423"/>
      <c r="IB424" s="423"/>
      <c r="IC424" s="423"/>
      <c r="ID424" s="423"/>
      <c r="IE424" s="423"/>
      <c r="IF424" s="423"/>
      <c r="IG424" s="423"/>
      <c r="IH424" s="423"/>
      <c r="II424" s="423"/>
    </row>
    <row r="425" spans="1:243" ht="14.25" customHeight="1" thickBot="1">
      <c r="A425" s="423"/>
      <c r="B425" s="423"/>
      <c r="C425" s="423"/>
      <c r="D425" s="423"/>
      <c r="E425" s="423"/>
      <c r="F425" s="423"/>
      <c r="G425" s="423"/>
      <c r="H425" s="423"/>
      <c r="I425" s="423"/>
      <c r="J425" s="423"/>
      <c r="K425" s="423"/>
      <c r="L425" s="988"/>
      <c r="M425" s="423"/>
      <c r="N425" s="423"/>
      <c r="O425" s="423"/>
      <c r="P425" s="423"/>
      <c r="Q425" s="423"/>
      <c r="R425" s="423"/>
      <c r="S425" s="423"/>
      <c r="T425" s="423"/>
      <c r="U425" s="423"/>
      <c r="V425" s="423"/>
      <c r="W425" s="423"/>
      <c r="X425" s="423"/>
      <c r="Y425" s="423"/>
      <c r="Z425" s="423"/>
      <c r="AA425" s="423"/>
      <c r="AB425" s="3278"/>
      <c r="AC425" s="3279"/>
      <c r="AD425" s="3279"/>
      <c r="AE425" s="3279"/>
      <c r="AF425" s="3279"/>
      <c r="AG425" s="3279"/>
      <c r="AH425" s="3279"/>
      <c r="AI425" s="3279"/>
      <c r="AJ425" s="3279"/>
      <c r="AK425" s="3279"/>
      <c r="AL425" s="3279"/>
      <c r="AM425" s="3279"/>
      <c r="AN425" s="3279"/>
      <c r="AO425" s="3279"/>
      <c r="AP425" s="3279"/>
      <c r="AQ425" s="3279"/>
      <c r="AR425" s="3279"/>
      <c r="AS425" s="3279"/>
      <c r="AT425" s="3279"/>
      <c r="AU425" s="3279"/>
      <c r="AV425" s="3279"/>
      <c r="AW425" s="3279"/>
      <c r="AX425" s="3279"/>
      <c r="AY425" s="3280"/>
      <c r="AZ425" s="423"/>
      <c r="BA425" s="423"/>
      <c r="BB425" s="423"/>
      <c r="BC425" s="1589"/>
      <c r="BD425" s="1590"/>
      <c r="BE425" s="1810"/>
      <c r="BF425" s="3232">
        <f>BF426</f>
        <v>0</v>
      </c>
      <c r="BG425" s="3232"/>
      <c r="BH425" s="3232"/>
      <c r="BI425" s="3232">
        <f>BI426</f>
        <v>99</v>
      </c>
      <c r="BJ425" s="3232"/>
      <c r="BK425" s="3232"/>
      <c r="BL425" s="3232">
        <f>BL426</f>
        <v>99</v>
      </c>
      <c r="BM425" s="3232"/>
      <c r="BN425" s="3232"/>
      <c r="BO425" s="3232">
        <f>BO426</f>
        <v>99</v>
      </c>
      <c r="BP425" s="3232"/>
      <c r="BQ425" s="3232"/>
      <c r="BR425" s="3267">
        <f>BR426</f>
        <v>99</v>
      </c>
      <c r="BS425" s="3267"/>
      <c r="BT425" s="3267"/>
      <c r="BU425" s="882"/>
      <c r="BV425" s="882"/>
      <c r="BW425" s="882"/>
      <c r="BX425" s="882"/>
      <c r="BY425" s="882"/>
      <c r="BZ425" s="882"/>
      <c r="CA425" s="1778"/>
      <c r="CB425" s="1778"/>
      <c r="CC425" s="1778"/>
      <c r="CD425" s="1778"/>
      <c r="CE425" s="423"/>
      <c r="CF425" s="1591">
        <v>1</v>
      </c>
      <c r="CG425" s="1591">
        <v>2</v>
      </c>
      <c r="CH425" s="1591">
        <v>3</v>
      </c>
      <c r="CI425" s="1591">
        <v>4</v>
      </c>
      <c r="CJ425" s="1591">
        <v>5</v>
      </c>
      <c r="CK425" s="1591">
        <v>6</v>
      </c>
      <c r="CL425" s="1591">
        <v>9</v>
      </c>
      <c r="CM425" s="1591">
        <v>12</v>
      </c>
      <c r="CN425" s="423"/>
      <c r="CO425" s="423"/>
      <c r="CP425" s="423"/>
      <c r="CQ425" s="423"/>
      <c r="CR425" s="423"/>
      <c r="CS425" s="423"/>
      <c r="CT425" s="423"/>
      <c r="CU425" s="423"/>
      <c r="CV425" s="423"/>
      <c r="CW425" s="423"/>
      <c r="CX425" s="423"/>
      <c r="CY425" s="423"/>
      <c r="CZ425" s="423"/>
      <c r="DA425" s="423"/>
      <c r="DB425" s="423"/>
      <c r="DC425" s="423"/>
      <c r="DD425" s="423"/>
      <c r="DE425" s="423"/>
      <c r="DF425" s="423"/>
      <c r="DG425" s="423"/>
      <c r="DH425" s="423"/>
      <c r="DI425" s="423"/>
      <c r="DJ425" s="423"/>
      <c r="DK425" s="423"/>
      <c r="DL425" s="423"/>
      <c r="DM425" s="423"/>
      <c r="DN425" s="423"/>
      <c r="DO425" s="423"/>
      <c r="DP425" s="423"/>
      <c r="DQ425" s="423"/>
      <c r="DR425" s="423"/>
      <c r="DS425" s="423"/>
      <c r="DT425" s="423"/>
      <c r="DU425" s="423"/>
      <c r="DV425" s="423"/>
      <c r="DW425" s="423"/>
      <c r="DX425" s="423"/>
      <c r="DY425" s="423"/>
      <c r="DZ425" s="423"/>
      <c r="EA425" s="423"/>
      <c r="EB425" s="423"/>
      <c r="EC425" s="423"/>
      <c r="ED425" s="423"/>
      <c r="EE425" s="423"/>
      <c r="EF425" s="423"/>
      <c r="EG425" s="423"/>
      <c r="EH425" s="423"/>
      <c r="EI425" s="423"/>
      <c r="EJ425" s="423"/>
      <c r="EK425" s="423"/>
      <c r="EL425" s="423"/>
      <c r="EM425" s="423"/>
      <c r="EN425" s="423"/>
      <c r="EO425" s="423"/>
      <c r="EP425" s="423"/>
      <c r="EQ425" s="423"/>
      <c r="ER425" s="423"/>
      <c r="ES425" s="423"/>
      <c r="ET425" s="423"/>
      <c r="EU425" s="423"/>
      <c r="EV425" s="423"/>
      <c r="EW425" s="423"/>
      <c r="EX425" s="423"/>
      <c r="EY425" s="423"/>
      <c r="EZ425" s="423"/>
      <c r="FA425" s="423"/>
      <c r="FB425" s="423"/>
      <c r="FC425" s="423"/>
      <c r="FD425" s="423"/>
      <c r="FE425" s="423"/>
      <c r="FF425" s="423"/>
      <c r="FG425" s="423"/>
      <c r="FH425" s="423"/>
      <c r="FI425" s="423"/>
      <c r="FJ425" s="423"/>
      <c r="FK425" s="423"/>
      <c r="FL425" s="423"/>
      <c r="FM425" s="423"/>
      <c r="FN425" s="423"/>
      <c r="FO425" s="423"/>
      <c r="FP425" s="423"/>
      <c r="FQ425" s="423"/>
      <c r="FR425" s="423"/>
      <c r="FS425" s="423"/>
      <c r="FT425" s="423"/>
      <c r="FU425" s="423"/>
      <c r="FV425" s="423"/>
      <c r="FW425" s="423"/>
      <c r="FX425" s="423"/>
      <c r="FY425" s="423"/>
      <c r="FZ425" s="423"/>
      <c r="GA425" s="423"/>
      <c r="GB425" s="423"/>
      <c r="GC425" s="423"/>
      <c r="GD425" s="423"/>
      <c r="GE425" s="423"/>
      <c r="GF425" s="423"/>
      <c r="GG425" s="423"/>
      <c r="GH425" s="423"/>
      <c r="GI425" s="423"/>
      <c r="GJ425" s="423"/>
      <c r="GK425" s="423"/>
      <c r="GL425" s="423"/>
      <c r="GM425" s="423"/>
      <c r="GN425" s="423"/>
      <c r="GO425" s="423"/>
      <c r="GP425" s="423"/>
      <c r="GQ425" s="423"/>
      <c r="GR425" s="423"/>
      <c r="GS425" s="423"/>
      <c r="GT425" s="423"/>
      <c r="GU425" s="423"/>
      <c r="GV425" s="423"/>
      <c r="GW425" s="423"/>
      <c r="GX425" s="423"/>
      <c r="GY425" s="423"/>
      <c r="GZ425" s="423"/>
      <c r="HA425" s="423"/>
      <c r="HB425" s="423"/>
      <c r="HC425" s="423"/>
      <c r="HD425" s="423"/>
      <c r="HE425" s="423"/>
      <c r="HF425" s="423"/>
      <c r="HG425" s="423"/>
      <c r="HH425" s="423"/>
      <c r="HI425" s="423"/>
      <c r="HJ425" s="423"/>
      <c r="HK425" s="423"/>
      <c r="HL425" s="423"/>
      <c r="HM425" s="423"/>
      <c r="HN425" s="423"/>
      <c r="HO425" s="423"/>
      <c r="HP425" s="423"/>
      <c r="HQ425" s="423"/>
      <c r="HR425" s="423"/>
      <c r="HS425" s="423"/>
      <c r="HT425" s="423"/>
      <c r="HU425" s="423"/>
      <c r="HV425" s="423"/>
      <c r="HW425" s="423"/>
      <c r="HX425" s="423"/>
      <c r="HY425" s="423"/>
      <c r="HZ425" s="423"/>
      <c r="IA425" s="423"/>
      <c r="IB425" s="423"/>
      <c r="IC425" s="423"/>
      <c r="ID425" s="423"/>
      <c r="IE425" s="423"/>
      <c r="IF425" s="423"/>
      <c r="IG425" s="423"/>
      <c r="IH425" s="423"/>
      <c r="II425" s="423"/>
    </row>
    <row r="426" spans="1:243" ht="18" customHeight="1" thickBot="1">
      <c r="A426" s="423"/>
      <c r="B426" s="423"/>
      <c r="C426" s="423"/>
      <c r="D426" s="423"/>
      <c r="E426" s="423"/>
      <c r="F426" s="423"/>
      <c r="G426" s="423"/>
      <c r="H426" s="423"/>
      <c r="I426" s="423"/>
      <c r="J426" s="423"/>
      <c r="K426" s="423"/>
      <c r="L426" s="988"/>
      <c r="M426" s="423"/>
      <c r="N426" s="423"/>
      <c r="O426" s="423"/>
      <c r="P426" s="423"/>
      <c r="Q426" s="423"/>
      <c r="R426" s="423"/>
      <c r="S426" s="423"/>
      <c r="T426" s="423"/>
      <c r="U426" s="423"/>
      <c r="V426" s="423"/>
      <c r="W426" s="423"/>
      <c r="X426" s="423"/>
      <c r="Y426" s="423"/>
      <c r="Z426" s="423"/>
      <c r="AA426" s="423"/>
      <c r="AB426" s="3296" t="s">
        <v>384</v>
      </c>
      <c r="AC426" s="3297"/>
      <c r="AD426" s="3297"/>
      <c r="AE426" s="3298"/>
      <c r="AF426" s="3292">
        <f>Q6</f>
        <v>44748</v>
      </c>
      <c r="AG426" s="3293"/>
      <c r="AH426" s="3293"/>
      <c r="AI426" s="3294"/>
      <c r="AJ426" s="3293">
        <f>AF426+1</f>
        <v>44749</v>
      </c>
      <c r="AK426" s="3293"/>
      <c r="AL426" s="3293"/>
      <c r="AM426" s="3293"/>
      <c r="AN426" s="3292">
        <f>AJ426+1</f>
        <v>44750</v>
      </c>
      <c r="AO426" s="3293"/>
      <c r="AP426" s="3293"/>
      <c r="AQ426" s="3294"/>
      <c r="AR426" s="3293">
        <f>AN426+1</f>
        <v>44751</v>
      </c>
      <c r="AS426" s="3293"/>
      <c r="AT426" s="3293"/>
      <c r="AU426" s="3293"/>
      <c r="AV426" s="3292">
        <f>AR426+1</f>
        <v>44752</v>
      </c>
      <c r="AW426" s="3293"/>
      <c r="AX426" s="3293"/>
      <c r="AY426" s="3294"/>
      <c r="AZ426" s="423"/>
      <c r="BA426" s="423"/>
      <c r="BB426" s="1949" t="str">
        <f>BC426</f>
        <v>GOGONGNGNGNGNGGOGOGOGOGOGOGOGOGOGOGOGOGOGOGONGNG,TD</v>
      </c>
      <c r="BC426" s="1837" t="str">
        <f>CN426&amp;CN427&amp;CN429&amp;","&amp;L6</f>
        <v>GOGONGNGNGNGNGGOGOGOGOGOGOGOGOGOGOGOGOGOGOGONGNG,TD</v>
      </c>
      <c r="BD426" s="1592"/>
      <c r="BE426" s="1808"/>
      <c r="BF426" s="1815">
        <v>0</v>
      </c>
      <c r="BG426" s="1815">
        <f>IF(OR(AE290="",AW292=""),99,ROUND((AV291-AY290)*24,1))</f>
        <v>7</v>
      </c>
      <c r="BH426" s="1815">
        <f>IF(OR(AE290="",AW292=""),99,ROUND((AY291-AY290)*24,1))</f>
        <v>12</v>
      </c>
      <c r="BI426" s="1815">
        <f>IF(BE290="",99,IF(BF426&gt;11,99,ROUND((BY290-AY290)*24,1)))</f>
        <v>99</v>
      </c>
      <c r="BJ426" s="1815">
        <f>IF(OR(BE290="",BW292=""),99,ROUND((BV291-AY290)*24,1))</f>
        <v>99</v>
      </c>
      <c r="BK426" s="1815">
        <f>IF(OR(BE290="",BW292=""),99,ROUND((BY291-AY290)*24,1))</f>
        <v>99</v>
      </c>
      <c r="BL426" s="1815">
        <f>IF(CE290="",99,IF(BI426&gt;11,99,ROUND((CY290-AY290)*24,1)))</f>
        <v>99</v>
      </c>
      <c r="BM426" s="1815">
        <f>IF(OR(CE290="",CW292=""),99,ROUND((CV291-AY290)*24,1))</f>
        <v>99</v>
      </c>
      <c r="BN426" s="1815">
        <f>IF(OR(CE290="",CW292=""),99,ROUND((CY291-AY290)*24,1))</f>
        <v>99</v>
      </c>
      <c r="BO426" s="1815">
        <f>IF(DE290="",99,IF(BL426&gt;11,99,ROUND((DY290-AY290)*24,1)))</f>
        <v>99</v>
      </c>
      <c r="BP426" s="1815">
        <f>IF(OR(DE290="",DW292=""),99,ROUND((DV291-AY290)*24,1))</f>
        <v>99</v>
      </c>
      <c r="BQ426" s="1815">
        <f>IF(OR(DE290="",DW292=""),99,ROUND((DY291-AY290)*24,1))</f>
        <v>99</v>
      </c>
      <c r="BR426" s="1805">
        <f>IF(BO426=99,99,12)</f>
        <v>99</v>
      </c>
      <c r="BS426" s="1816"/>
      <c r="BT426" s="1815">
        <v>1</v>
      </c>
      <c r="BU426" s="1808">
        <v>2</v>
      </c>
      <c r="BV426" s="1808">
        <v>3</v>
      </c>
      <c r="BW426" s="1808">
        <v>4</v>
      </c>
      <c r="BX426" s="1808">
        <v>5</v>
      </c>
      <c r="BY426" s="1808">
        <v>6</v>
      </c>
      <c r="BZ426" s="1808">
        <v>9</v>
      </c>
      <c r="CA426" s="1808">
        <v>12</v>
      </c>
      <c r="CB426" s="1809"/>
      <c r="CC426" s="1779"/>
      <c r="CD426" s="1779"/>
      <c r="CE426" s="423"/>
      <c r="CF426" s="1593" t="str">
        <f>IF(OR(AP68&gt;90.4,AP69&gt;90,CF428="NG"),"NG","GO")</f>
        <v>GO</v>
      </c>
      <c r="CG426" s="1593" t="str">
        <f>IF(OR(AP70&gt;90.4,CG428="NG"),"NG","GO")</f>
        <v>GO</v>
      </c>
      <c r="CH426" s="1593" t="str">
        <f>IF(OR(AP71&gt;90.4,CH428="NG"),"NG","GO")</f>
        <v>NG</v>
      </c>
      <c r="CI426" s="1593" t="str">
        <f>IF(OR(AP72&gt;90.4,CI428="NG"),"NG","GO")</f>
        <v>NG</v>
      </c>
      <c r="CJ426" s="1593" t="str">
        <f>IF(OR(AP73&gt;90.4,CJ428="NG"),"NG","GO")</f>
        <v>NG</v>
      </c>
      <c r="CK426" s="1593" t="str">
        <f>IF(OR(AP74&gt;90.4,CK428="NG"),"NG","GO")</f>
        <v>NG</v>
      </c>
      <c r="CL426" s="1593" t="str">
        <f>IF(OR(AP77&gt;90.4,CL428="NG"),"NG","GO")</f>
        <v>NG</v>
      </c>
      <c r="CM426" s="1593" t="str">
        <f>IF(OR(AP80&gt;90.4,CM428="NG"),"NG","GO")</f>
        <v>GO</v>
      </c>
      <c r="CN426" s="1806" t="str">
        <f>CF426&amp;CG426&amp;CH426&amp;CI426&amp;CJ426&amp;CK426&amp;CL426&amp;CM426</f>
        <v>GOGONGNGNGNGNGGO</v>
      </c>
      <c r="CO426" s="1594"/>
      <c r="CP426" s="1594"/>
      <c r="CQ426" s="1784" t="s">
        <v>385</v>
      </c>
      <c r="CR426" s="1594"/>
      <c r="CS426" s="423"/>
      <c r="CT426" s="423"/>
      <c r="CU426" s="423"/>
      <c r="CV426" s="423"/>
      <c r="CW426" s="423"/>
      <c r="CX426" s="423"/>
      <c r="CY426" s="423"/>
      <c r="CZ426" s="423"/>
      <c r="DA426" s="423"/>
      <c r="DB426" s="423"/>
      <c r="DC426" s="423"/>
      <c r="DD426" s="423"/>
      <c r="DE426" s="423"/>
      <c r="DF426" s="423"/>
      <c r="DG426" s="423"/>
      <c r="DH426" s="423"/>
      <c r="DI426" s="423"/>
      <c r="DJ426" s="423"/>
      <c r="DK426" s="423"/>
      <c r="DL426" s="423"/>
      <c r="DM426" s="423"/>
      <c r="DN426" s="423"/>
      <c r="DO426" s="423"/>
      <c r="DP426" s="423"/>
      <c r="DQ426" s="423"/>
      <c r="DR426" s="423"/>
      <c r="DS426" s="423"/>
      <c r="DT426" s="423"/>
      <c r="DU426" s="423"/>
      <c r="DV426" s="423"/>
      <c r="DW426" s="423"/>
      <c r="DX426" s="423"/>
      <c r="DY426" s="423"/>
      <c r="DZ426" s="423"/>
      <c r="EA426" s="423"/>
      <c r="EB426" s="423"/>
      <c r="EC426" s="423"/>
      <c r="ED426" s="423"/>
      <c r="EE426" s="423"/>
      <c r="EF426" s="423"/>
      <c r="EG426" s="423"/>
      <c r="EH426" s="423"/>
      <c r="EI426" s="423"/>
      <c r="EJ426" s="423"/>
      <c r="EK426" s="423"/>
      <c r="EL426" s="423"/>
      <c r="EM426" s="423"/>
      <c r="EN426" s="423"/>
      <c r="EO426" s="423"/>
      <c r="EP426" s="423"/>
      <c r="EQ426" s="423"/>
      <c r="ER426" s="423"/>
      <c r="ES426" s="423"/>
      <c r="ET426" s="423"/>
      <c r="EU426" s="423"/>
      <c r="EV426" s="423"/>
      <c r="EW426" s="423"/>
      <c r="EX426" s="423"/>
      <c r="EY426" s="423"/>
      <c r="EZ426" s="423"/>
      <c r="FA426" s="423"/>
      <c r="FB426" s="423"/>
      <c r="FC426" s="423"/>
      <c r="FD426" s="423"/>
      <c r="FE426" s="423"/>
      <c r="FF426" s="423"/>
      <c r="FG426" s="423"/>
      <c r="FH426" s="423"/>
      <c r="FI426" s="423"/>
      <c r="FJ426" s="423"/>
      <c r="FK426" s="423"/>
      <c r="FL426" s="423"/>
      <c r="FM426" s="423"/>
      <c r="FN426" s="423"/>
      <c r="FO426" s="423"/>
      <c r="FP426" s="423"/>
      <c r="FQ426" s="423"/>
      <c r="FR426" s="423"/>
      <c r="FS426" s="423"/>
      <c r="FT426" s="423"/>
      <c r="FU426" s="423"/>
      <c r="FV426" s="423"/>
      <c r="FW426" s="423"/>
      <c r="FX426" s="423"/>
      <c r="FY426" s="423"/>
      <c r="FZ426" s="423"/>
      <c r="GA426" s="423"/>
      <c r="GB426" s="423"/>
      <c r="GC426" s="423"/>
      <c r="GD426" s="423"/>
      <c r="GE426" s="423"/>
      <c r="GF426" s="423"/>
      <c r="GG426" s="423"/>
      <c r="GH426" s="423"/>
      <c r="GI426" s="423"/>
      <c r="GJ426" s="423"/>
      <c r="GK426" s="423"/>
      <c r="GL426" s="423"/>
      <c r="GM426" s="423"/>
      <c r="GN426" s="423"/>
      <c r="GO426" s="423"/>
      <c r="GP426" s="423"/>
      <c r="GQ426" s="423"/>
      <c r="GR426" s="423"/>
      <c r="GS426" s="423"/>
      <c r="GT426" s="423"/>
      <c r="GU426" s="423"/>
      <c r="GV426" s="423"/>
      <c r="GW426" s="423"/>
      <c r="GX426" s="423"/>
      <c r="GY426" s="423"/>
      <c r="GZ426" s="423"/>
      <c r="HA426" s="423"/>
      <c r="HB426" s="423"/>
      <c r="HC426" s="423"/>
      <c r="HD426" s="423"/>
      <c r="HE426" s="423"/>
      <c r="HF426" s="423"/>
      <c r="HG426" s="423"/>
      <c r="HH426" s="423"/>
      <c r="HI426" s="423"/>
      <c r="HJ426" s="423"/>
      <c r="HK426" s="423"/>
      <c r="HL426" s="423"/>
      <c r="HM426" s="423"/>
      <c r="HN426" s="423"/>
      <c r="HO426" s="423"/>
      <c r="HP426" s="423"/>
      <c r="HQ426" s="423"/>
      <c r="HR426" s="423"/>
      <c r="HS426" s="423"/>
      <c r="HT426" s="423"/>
      <c r="HU426" s="423"/>
      <c r="HV426" s="423"/>
      <c r="HW426" s="423"/>
      <c r="HX426" s="423"/>
      <c r="HY426" s="423"/>
      <c r="HZ426" s="423"/>
      <c r="IA426" s="423"/>
      <c r="IB426" s="423"/>
      <c r="IC426" s="423"/>
      <c r="ID426" s="423"/>
      <c r="IE426" s="423"/>
      <c r="IF426" s="423"/>
      <c r="IG426" s="423"/>
      <c r="IH426" s="423"/>
      <c r="II426" s="423"/>
    </row>
    <row r="427" spans="1:243" ht="18" customHeight="1">
      <c r="A427" s="423"/>
      <c r="B427" s="423"/>
      <c r="C427" s="423"/>
      <c r="D427" s="423"/>
      <c r="E427" s="423"/>
      <c r="F427" s="423"/>
      <c r="G427" s="423"/>
      <c r="H427" s="423"/>
      <c r="I427" s="423"/>
      <c r="J427" s="423"/>
      <c r="K427" s="423"/>
      <c r="L427" s="988"/>
      <c r="M427" s="423"/>
      <c r="N427" s="423"/>
      <c r="O427" s="423"/>
      <c r="P427" s="423"/>
      <c r="Q427" s="423"/>
      <c r="R427" s="423"/>
      <c r="S427" s="423"/>
      <c r="T427" s="423"/>
      <c r="U427" s="423"/>
      <c r="V427" s="423"/>
      <c r="W427" s="423"/>
      <c r="X427" s="423"/>
      <c r="Y427" s="423"/>
      <c r="Z427" s="423"/>
      <c r="AA427" s="423"/>
      <c r="AB427" s="3299"/>
      <c r="AC427" s="3300"/>
      <c r="AD427" s="3300"/>
      <c r="AE427" s="3301"/>
      <c r="AF427" s="3242" t="s">
        <v>386</v>
      </c>
      <c r="AG427" s="3243"/>
      <c r="AH427" s="3244" t="s">
        <v>387</v>
      </c>
      <c r="AI427" s="3245"/>
      <c r="AJ427" s="3242" t="s">
        <v>386</v>
      </c>
      <c r="AK427" s="3243"/>
      <c r="AL427" s="3244" t="s">
        <v>387</v>
      </c>
      <c r="AM427" s="3245"/>
      <c r="AN427" s="3242" t="s">
        <v>386</v>
      </c>
      <c r="AO427" s="3243"/>
      <c r="AP427" s="3244" t="s">
        <v>387</v>
      </c>
      <c r="AQ427" s="3245"/>
      <c r="AR427" s="3242" t="s">
        <v>386</v>
      </c>
      <c r="AS427" s="3243"/>
      <c r="AT427" s="3244" t="s">
        <v>387</v>
      </c>
      <c r="AU427" s="3245"/>
      <c r="AV427" s="3242" t="s">
        <v>386</v>
      </c>
      <c r="AW427" s="3243"/>
      <c r="AX427" s="3244" t="s">
        <v>387</v>
      </c>
      <c r="AY427" s="3245"/>
      <c r="AZ427" s="423"/>
      <c r="BA427" s="423"/>
      <c r="BB427" s="1596"/>
      <c r="BC427" s="423"/>
      <c r="BD427" s="1592"/>
      <c r="BE427" s="1817" t="s">
        <v>388</v>
      </c>
      <c r="BF427" s="1820" t="str">
        <f>IF(OR(BF428&lt;10,BF429&lt;3),"IFR","VFR")</f>
        <v>VFR</v>
      </c>
      <c r="BG427" s="1821" t="str">
        <f>IF(BG426=99,"",IF(OR(BG428&lt;10,BG429&lt;3),"IFR","VFR"))</f>
        <v>VFR</v>
      </c>
      <c r="BH427" s="1822" t="str">
        <f>IF(BH426=99,"",IF(OR(BF427="IFR",BG427="IFR"),"IFR","VFR"))</f>
        <v>VFR</v>
      </c>
      <c r="BI427" s="1820" t="str">
        <f>IF(BI426=99,"",IF(OR(BI428&lt;10,BI429&lt;3),"IFR","VFR"))</f>
        <v/>
      </c>
      <c r="BJ427" s="1821" t="str">
        <f>IF(BJ426=99,"",IF(OR(BJ428&lt;10,BJ429&lt;3),"IFR","VFR"))</f>
        <v/>
      </c>
      <c r="BK427" s="1822" t="str">
        <f>IF(BK426=99,"",IF(OR(BI427="IFR",BJ427="IFR"),"IFR","VFR"))</f>
        <v/>
      </c>
      <c r="BL427" s="1820" t="str">
        <f>IF(BL426=99,"",IF(OR(BL428&lt;10,BL429&lt;3),"IFR","VFR"))</f>
        <v/>
      </c>
      <c r="BM427" s="1821" t="str">
        <f>IF(BM426=99,"",IF(OR(BM428&lt;10,BM429&lt;3),"IFR","VFR"))</f>
        <v/>
      </c>
      <c r="BN427" s="1822" t="str">
        <f>IF(BN426=99,"",IF(OR(BL427="IFR",BM427="IFR"),"IFR","VFR"))</f>
        <v/>
      </c>
      <c r="BO427" s="1820" t="str">
        <f>IF(BO426=99,"",IF(OR(BO428&lt;10,BO429&lt;3),"IFR","VFR"))</f>
        <v/>
      </c>
      <c r="BP427" s="1821" t="str">
        <f>IF(BP426=99,"",IF(OR(BP428&lt;10,BP429&lt;3),"IFR","VFR"))</f>
        <v/>
      </c>
      <c r="BQ427" s="1822" t="str">
        <f>IF(BQ426=99,"",IF(OR(BO427="IFR",BP427="IFR"),"IFR","VFR"))</f>
        <v/>
      </c>
      <c r="BR427" s="1811"/>
      <c r="BS427" s="1812"/>
      <c r="BT427" s="1830">
        <f t="shared" ref="BT427:CA427" si="9">INDEX($BF$432:$BT$432,1,MATCH(BT426-1,$BF$425:$BR$425,1))</f>
        <v>1</v>
      </c>
      <c r="BU427" s="1831">
        <f t="shared" si="9"/>
        <v>1</v>
      </c>
      <c r="BV427" s="1831">
        <f t="shared" si="9"/>
        <v>1</v>
      </c>
      <c r="BW427" s="1831">
        <f t="shared" si="9"/>
        <v>1</v>
      </c>
      <c r="BX427" s="1831">
        <f t="shared" si="9"/>
        <v>1</v>
      </c>
      <c r="BY427" s="1831">
        <f t="shared" si="9"/>
        <v>1</v>
      </c>
      <c r="BZ427" s="1831">
        <f t="shared" si="9"/>
        <v>1</v>
      </c>
      <c r="CA427" s="1832">
        <f t="shared" si="9"/>
        <v>1</v>
      </c>
      <c r="CB427" s="1809" t="s">
        <v>389</v>
      </c>
      <c r="CC427" s="1779"/>
      <c r="CD427" s="1779"/>
      <c r="CE427" s="423"/>
      <c r="CF427" s="1593" t="str">
        <f t="shared" ref="CF427:CM427" si="10">IF(BT428="VFR","GO","NG")</f>
        <v>GO</v>
      </c>
      <c r="CG427" s="1593" t="str">
        <f t="shared" si="10"/>
        <v>GO</v>
      </c>
      <c r="CH427" s="1593" t="str">
        <f t="shared" si="10"/>
        <v>GO</v>
      </c>
      <c r="CI427" s="1593" t="str">
        <f t="shared" si="10"/>
        <v>GO</v>
      </c>
      <c r="CJ427" s="1593" t="str">
        <f t="shared" si="10"/>
        <v>GO</v>
      </c>
      <c r="CK427" s="1593" t="str">
        <f t="shared" si="10"/>
        <v>GO</v>
      </c>
      <c r="CL427" s="1593" t="str">
        <f t="shared" si="10"/>
        <v>GO</v>
      </c>
      <c r="CM427" s="1593" t="str">
        <f t="shared" si="10"/>
        <v>GO</v>
      </c>
      <c r="CN427" s="1806" t="str">
        <f>CF427&amp;CG427&amp;CH427&amp;CI427&amp;CJ427&amp;CK427&amp;CL427&amp;CM427</f>
        <v>GOGOGOGOGOGOGOGO</v>
      </c>
      <c r="CO427" s="1594"/>
      <c r="CP427" s="1594"/>
      <c r="CQ427" s="1784" t="s">
        <v>390</v>
      </c>
      <c r="CR427" s="1594"/>
      <c r="CS427" s="423"/>
      <c r="CT427" s="423"/>
      <c r="CU427" s="423"/>
      <c r="CV427" s="423"/>
      <c r="CW427" s="423"/>
      <c r="CX427" s="423"/>
      <c r="CY427" s="423"/>
      <c r="CZ427" s="423"/>
      <c r="DA427" s="423"/>
      <c r="DB427" s="423"/>
      <c r="DC427" s="423"/>
      <c r="DD427" s="423"/>
      <c r="DE427" s="423"/>
      <c r="DF427" s="423"/>
      <c r="DG427" s="423"/>
      <c r="DH427" s="423"/>
      <c r="DI427" s="423"/>
      <c r="DJ427" s="423"/>
      <c r="DK427" s="423"/>
      <c r="DL427" s="423"/>
      <c r="DM427" s="423"/>
      <c r="DN427" s="423"/>
      <c r="DO427" s="423"/>
      <c r="DP427" s="423"/>
      <c r="DQ427" s="423"/>
      <c r="DR427" s="423"/>
      <c r="DS427" s="423"/>
      <c r="DT427" s="423"/>
      <c r="DU427" s="423"/>
      <c r="DV427" s="423"/>
      <c r="DW427" s="423"/>
      <c r="DX427" s="423"/>
      <c r="DY427" s="423"/>
      <c r="DZ427" s="423"/>
      <c r="EA427" s="423"/>
      <c r="EB427" s="423"/>
      <c r="EC427" s="423"/>
      <c r="ED427" s="423"/>
      <c r="EE427" s="423"/>
      <c r="EF427" s="423"/>
      <c r="EG427" s="423"/>
      <c r="EH427" s="423"/>
      <c r="EI427" s="423"/>
      <c r="EJ427" s="423"/>
      <c r="EK427" s="423"/>
      <c r="EL427" s="423"/>
      <c r="EM427" s="423"/>
      <c r="EN427" s="423"/>
      <c r="EO427" s="423"/>
      <c r="EP427" s="423"/>
      <c r="EQ427" s="423"/>
      <c r="ER427" s="423"/>
      <c r="ES427" s="423"/>
      <c r="ET427" s="423"/>
      <c r="EU427" s="423"/>
      <c r="EV427" s="423"/>
      <c r="EW427" s="423"/>
      <c r="EX427" s="423"/>
      <c r="EY427" s="423"/>
      <c r="EZ427" s="423"/>
      <c r="FA427" s="423"/>
      <c r="FB427" s="423"/>
      <c r="FC427" s="423"/>
      <c r="FD427" s="423"/>
      <c r="FE427" s="423"/>
      <c r="FF427" s="423"/>
      <c r="FG427" s="423"/>
      <c r="FH427" s="423"/>
      <c r="FI427" s="423"/>
      <c r="FJ427" s="423"/>
      <c r="FK427" s="423"/>
      <c r="FL427" s="423"/>
      <c r="FM427" s="423"/>
      <c r="FN427" s="423"/>
      <c r="FO427" s="423"/>
      <c r="FP427" s="423"/>
      <c r="FQ427" s="423"/>
      <c r="FR427" s="423"/>
      <c r="FS427" s="423"/>
      <c r="FT427" s="423"/>
      <c r="FU427" s="423"/>
      <c r="FV427" s="423"/>
      <c r="FW427" s="423"/>
      <c r="FX427" s="423"/>
      <c r="FY427" s="423"/>
      <c r="FZ427" s="423"/>
      <c r="GA427" s="423"/>
      <c r="GB427" s="423"/>
      <c r="GC427" s="423"/>
      <c r="GD427" s="423"/>
      <c r="GE427" s="423"/>
      <c r="GF427" s="423"/>
      <c r="GG427" s="423"/>
      <c r="GH427" s="423"/>
      <c r="GI427" s="423"/>
      <c r="GJ427" s="423"/>
      <c r="GK427" s="423"/>
      <c r="GL427" s="423"/>
      <c r="GM427" s="423"/>
      <c r="GN427" s="423"/>
      <c r="GO427" s="423"/>
      <c r="GP427" s="423"/>
      <c r="GQ427" s="423"/>
      <c r="GR427" s="423"/>
      <c r="GS427" s="423"/>
      <c r="GT427" s="423"/>
      <c r="GU427" s="423"/>
      <c r="GV427" s="423"/>
      <c r="GW427" s="423"/>
      <c r="GX427" s="423"/>
      <c r="GY427" s="423"/>
      <c r="GZ427" s="423"/>
      <c r="HA427" s="423"/>
      <c r="HB427" s="423"/>
      <c r="HC427" s="423"/>
      <c r="HD427" s="423"/>
      <c r="HE427" s="423"/>
      <c r="HF427" s="423"/>
      <c r="HG427" s="423"/>
      <c r="HH427" s="423"/>
      <c r="HI427" s="423"/>
      <c r="HJ427" s="423"/>
      <c r="HK427" s="423"/>
      <c r="HL427" s="423"/>
      <c r="HM427" s="423"/>
      <c r="HN427" s="423"/>
      <c r="HO427" s="423"/>
      <c r="HP427" s="423"/>
      <c r="HQ427" s="423"/>
      <c r="HR427" s="423"/>
      <c r="HS427" s="423"/>
      <c r="HT427" s="423"/>
      <c r="HU427" s="423"/>
      <c r="HV427" s="423"/>
      <c r="HW427" s="423"/>
      <c r="HX427" s="423"/>
      <c r="HY427" s="423"/>
      <c r="HZ427" s="423"/>
      <c r="IA427" s="423"/>
      <c r="IB427" s="423"/>
      <c r="IC427" s="423"/>
      <c r="ID427" s="423"/>
      <c r="IE427" s="423"/>
      <c r="IF427" s="423"/>
      <c r="IG427" s="423"/>
      <c r="IH427" s="423"/>
      <c r="II427" s="423"/>
    </row>
    <row r="428" spans="1:243" ht="18" customHeight="1">
      <c r="A428" s="423"/>
      <c r="B428" s="423"/>
      <c r="C428" s="423"/>
      <c r="D428" s="423"/>
      <c r="E428" s="423"/>
      <c r="F428" s="423"/>
      <c r="G428" s="423"/>
      <c r="H428" s="423"/>
      <c r="I428" s="423"/>
      <c r="J428" s="423"/>
      <c r="K428" s="423"/>
      <c r="L428" s="988"/>
      <c r="M428" s="423"/>
      <c r="N428" s="423"/>
      <c r="O428" s="423"/>
      <c r="P428" s="423"/>
      <c r="Q428" s="423"/>
      <c r="R428" s="423"/>
      <c r="S428" s="423"/>
      <c r="T428" s="423"/>
      <c r="U428" s="423"/>
      <c r="V428" s="423"/>
      <c r="W428" s="423"/>
      <c r="X428" s="423"/>
      <c r="Y428" s="423"/>
      <c r="Z428" s="423"/>
      <c r="AA428" s="423"/>
      <c r="AB428" s="3246" t="s">
        <v>391</v>
      </c>
      <c r="AC428" s="3247"/>
      <c r="AD428" s="3247"/>
      <c r="AE428" s="3248"/>
      <c r="AF428" s="3237"/>
      <c r="AG428" s="3283"/>
      <c r="AH428" s="3251">
        <v>37</v>
      </c>
      <c r="AI428" s="3281"/>
      <c r="AJ428" s="3238">
        <v>24</v>
      </c>
      <c r="AK428" s="3238"/>
      <c r="AL428" s="3251">
        <v>34</v>
      </c>
      <c r="AM428" s="3238"/>
      <c r="AN428" s="3237">
        <v>22</v>
      </c>
      <c r="AO428" s="3238"/>
      <c r="AP428" s="3251">
        <v>38</v>
      </c>
      <c r="AQ428" s="3281"/>
      <c r="AR428" s="3238">
        <v>45</v>
      </c>
      <c r="AS428" s="3238"/>
      <c r="AT428" s="3251">
        <v>28</v>
      </c>
      <c r="AU428" s="3238"/>
      <c r="AV428" s="3237">
        <v>33</v>
      </c>
      <c r="AW428" s="3238"/>
      <c r="AX428" s="3251">
        <v>47</v>
      </c>
      <c r="AY428" s="3281"/>
      <c r="AZ428" s="423"/>
      <c r="BA428" s="423"/>
      <c r="BB428" s="423"/>
      <c r="BC428" s="423"/>
      <c r="BD428" s="1592"/>
      <c r="BE428" s="1818" t="s">
        <v>392</v>
      </c>
      <c r="BF428" s="1823">
        <f>IF(AP319="NONE",999,AP319)</f>
        <v>250</v>
      </c>
      <c r="BG428" s="1824">
        <f>IF(AW292="","",IF(AR319="NONE",999,AR319))</f>
        <v>40</v>
      </c>
      <c r="BH428" s="1825"/>
      <c r="BI428" s="1823" t="str">
        <f>IF(OR(BE290="",BY290&gt;AW2),"",IF(BP319="NONE", 999,BP319))</f>
        <v/>
      </c>
      <c r="BJ428" s="1824" t="str">
        <f>IF(OR(BE290="",BY290&gt;AW2,BW292=""),"",IF(BR319="NONE", 999,BR319))</f>
        <v/>
      </c>
      <c r="BK428" s="1825"/>
      <c r="BL428" s="1823" t="str">
        <f>IF(OR(CE290="",CY290&gt;AW2),"",IF(CP319="NONE", 999,CP319))</f>
        <v/>
      </c>
      <c r="BM428" s="1824" t="str">
        <f>IF(OR(CE290="",CY290&gt;AW2,CW292=""),"",IF(CR319="NONE", 999,CR319))</f>
        <v/>
      </c>
      <c r="BN428" s="1825"/>
      <c r="BO428" s="1823" t="str">
        <f>IF(OR(DE290="",DY290&gt;AW2),"",IF(DP319="NONE", 999,DP319))</f>
        <v/>
      </c>
      <c r="BP428" s="1824" t="str">
        <f>IF(OR(DE290="",DY290&gt;AW2,DW292=""),"",IF(DR319="NONE", 999,DR319))</f>
        <v/>
      </c>
      <c r="BQ428" s="1825"/>
      <c r="BR428" s="1811"/>
      <c r="BS428" s="1812"/>
      <c r="BT428" s="1833" t="str">
        <f>INDEX(BF427:BQ427,1,MATCH(BT$426,BF435:BQ435,0))</f>
        <v>VFR</v>
      </c>
      <c r="BU428" s="1824" t="str">
        <f>INDEX(BF427:BQ427,1,MATCH(BU$426,$BF$436:$BQ$436,0))</f>
        <v>VFR</v>
      </c>
      <c r="BV428" s="1824" t="str">
        <f>INDEX(BF427:BQ427,1,MATCH(BV426,BF437:BQ437,0))</f>
        <v>VFR</v>
      </c>
      <c r="BW428" s="1824" t="str">
        <f>INDEX(BF427:BQ427,1,MATCH(BW426,BF438:BQ438,0))</f>
        <v>VFR</v>
      </c>
      <c r="BX428" s="1824" t="str">
        <f>INDEX(BF427:BQ427,1,MATCH(BX426,BF439:BQ439,0))</f>
        <v>VFR</v>
      </c>
      <c r="BY428" s="1824" t="str">
        <f>INDEX(BF427:BQ427,1,MATCH(BY426,BF440:BQ440,0))</f>
        <v>VFR</v>
      </c>
      <c r="BZ428" s="1824" t="str">
        <f>INDEX(BF427:BQ427,1,MATCH(BZ426,BF443:BQ443,0))</f>
        <v>VFR</v>
      </c>
      <c r="CA428" s="1834" t="str">
        <f>INDEX(BF427:BQ427,1,MATCH(CA426,BF446:BQ446,0))</f>
        <v>VFR</v>
      </c>
      <c r="CB428" s="1809" t="s">
        <v>388</v>
      </c>
      <c r="CC428" s="1779"/>
      <c r="CD428" s="1779"/>
      <c r="CE428" s="423"/>
      <c r="CF428" s="1593" t="str">
        <f t="shared" ref="CF428:CM428" si="11">IF(BT429="NFZ","GO","NG")</f>
        <v>GO</v>
      </c>
      <c r="CG428" s="1593" t="str">
        <f t="shared" si="11"/>
        <v>GO</v>
      </c>
      <c r="CH428" s="1593" t="str">
        <f t="shared" si="11"/>
        <v>GO</v>
      </c>
      <c r="CI428" s="1593" t="str">
        <f t="shared" si="11"/>
        <v>GO</v>
      </c>
      <c r="CJ428" s="1593" t="str">
        <f t="shared" si="11"/>
        <v>GO</v>
      </c>
      <c r="CK428" s="1593" t="str">
        <f t="shared" si="11"/>
        <v>GO</v>
      </c>
      <c r="CL428" s="1593" t="str">
        <f t="shared" si="11"/>
        <v>GO</v>
      </c>
      <c r="CM428" s="1593" t="str">
        <f t="shared" si="11"/>
        <v>GO</v>
      </c>
      <c r="CN428" s="1806"/>
      <c r="CO428" s="1594"/>
      <c r="CP428" s="1594"/>
      <c r="CQ428" s="1784" t="s">
        <v>393</v>
      </c>
      <c r="CR428" s="1594"/>
      <c r="CS428" s="423"/>
      <c r="CT428" s="423"/>
      <c r="CU428" s="423"/>
      <c r="CV428" s="423"/>
      <c r="CW428" s="423"/>
      <c r="CX428" s="423"/>
      <c r="CY428" s="423"/>
      <c r="CZ428" s="423"/>
      <c r="DA428" s="423"/>
      <c r="DB428" s="423"/>
      <c r="DC428" s="423"/>
      <c r="DD428" s="423"/>
      <c r="DE428" s="423"/>
      <c r="DF428" s="423"/>
      <c r="DG428" s="423"/>
      <c r="DH428" s="423"/>
      <c r="DI428" s="423"/>
      <c r="DJ428" s="423"/>
      <c r="DK428" s="423"/>
      <c r="DL428" s="423"/>
      <c r="DM428" s="423"/>
      <c r="DN428" s="423"/>
      <c r="DO428" s="423"/>
      <c r="DP428" s="423"/>
      <c r="DQ428" s="423"/>
      <c r="DR428" s="423"/>
      <c r="DS428" s="423"/>
      <c r="DT428" s="423"/>
      <c r="DU428" s="423"/>
      <c r="DV428" s="423"/>
      <c r="DW428" s="423"/>
      <c r="DX428" s="423"/>
      <c r="DY428" s="423"/>
      <c r="DZ428" s="423"/>
      <c r="EA428" s="423"/>
      <c r="EB428" s="423"/>
      <c r="EC428" s="423"/>
      <c r="ED428" s="423"/>
      <c r="EE428" s="423"/>
      <c r="EF428" s="423"/>
      <c r="EG428" s="423"/>
      <c r="EH428" s="423"/>
      <c r="EI428" s="423"/>
      <c r="EJ428" s="423"/>
      <c r="EK428" s="423"/>
      <c r="EL428" s="423"/>
      <c r="EM428" s="423"/>
      <c r="EN428" s="423"/>
      <c r="EO428" s="423"/>
      <c r="EP428" s="423"/>
      <c r="EQ428" s="423"/>
      <c r="ER428" s="423"/>
      <c r="ES428" s="423"/>
      <c r="ET428" s="423"/>
      <c r="EU428" s="423"/>
      <c r="EV428" s="423"/>
      <c r="EW428" s="423"/>
      <c r="EX428" s="423"/>
      <c r="EY428" s="423"/>
      <c r="EZ428" s="423"/>
      <c r="FA428" s="423"/>
      <c r="FB428" s="423"/>
      <c r="FC428" s="423"/>
      <c r="FD428" s="423"/>
      <c r="FE428" s="423"/>
      <c r="FF428" s="423"/>
      <c r="FG428" s="423"/>
      <c r="FH428" s="423"/>
      <c r="FI428" s="423"/>
      <c r="FJ428" s="423"/>
      <c r="FK428" s="423"/>
      <c r="FL428" s="423"/>
      <c r="FM428" s="423"/>
      <c r="FN428" s="423"/>
      <c r="FO428" s="423"/>
      <c r="FP428" s="423"/>
      <c r="FQ428" s="423"/>
      <c r="FR428" s="423"/>
      <c r="FS428" s="423"/>
      <c r="FT428" s="423"/>
      <c r="FU428" s="423"/>
      <c r="FV428" s="423"/>
      <c r="FW428" s="423"/>
      <c r="FX428" s="423"/>
      <c r="FY428" s="423"/>
      <c r="FZ428" s="423"/>
      <c r="GA428" s="423"/>
      <c r="GB428" s="423"/>
      <c r="GC428" s="423"/>
      <c r="GD428" s="423"/>
      <c r="GE428" s="423"/>
      <c r="GF428" s="423"/>
      <c r="GG428" s="423"/>
      <c r="GH428" s="423"/>
      <c r="GI428" s="423"/>
      <c r="GJ428" s="423"/>
      <c r="GK428" s="423"/>
      <c r="GL428" s="423"/>
      <c r="GM428" s="423"/>
      <c r="GN428" s="423"/>
      <c r="GO428" s="423"/>
      <c r="GP428" s="423"/>
      <c r="GQ428" s="423"/>
      <c r="GR428" s="423"/>
      <c r="GS428" s="423"/>
      <c r="GT428" s="423"/>
      <c r="GU428" s="423"/>
      <c r="GV428" s="423"/>
      <c r="GW428" s="423"/>
      <c r="GX428" s="423"/>
      <c r="GY428" s="423"/>
      <c r="GZ428" s="423"/>
      <c r="HA428" s="423"/>
      <c r="HB428" s="423"/>
      <c r="HC428" s="423"/>
      <c r="HD428" s="423"/>
      <c r="HE428" s="423"/>
      <c r="HF428" s="423"/>
      <c r="HG428" s="423"/>
      <c r="HH428" s="423"/>
      <c r="HI428" s="423"/>
      <c r="HJ428" s="423"/>
      <c r="HK428" s="423"/>
      <c r="HL428" s="423"/>
      <c r="HM428" s="423"/>
      <c r="HN428" s="423"/>
      <c r="HO428" s="423"/>
      <c r="HP428" s="423"/>
      <c r="HQ428" s="423"/>
      <c r="HR428" s="423"/>
      <c r="HS428" s="423"/>
      <c r="HT428" s="423"/>
      <c r="HU428" s="423"/>
      <c r="HV428" s="423"/>
      <c r="HW428" s="423"/>
      <c r="HX428" s="423"/>
      <c r="HY428" s="423"/>
      <c r="HZ428" s="423"/>
      <c r="IA428" s="423"/>
      <c r="IB428" s="423"/>
      <c r="IC428" s="423"/>
      <c r="ID428" s="423"/>
      <c r="IE428" s="423"/>
      <c r="IF428" s="423"/>
      <c r="IG428" s="423"/>
      <c r="IH428" s="423"/>
      <c r="II428" s="423"/>
    </row>
    <row r="429" spans="1:243" ht="18" customHeight="1">
      <c r="A429" s="423"/>
      <c r="B429" s="423"/>
      <c r="C429" s="423"/>
      <c r="D429" s="423"/>
      <c r="E429" s="423"/>
      <c r="F429" s="423"/>
      <c r="G429" s="423"/>
      <c r="H429" s="423"/>
      <c r="I429" s="423"/>
      <c r="J429" s="423"/>
      <c r="K429" s="423"/>
      <c r="L429" s="988"/>
      <c r="M429" s="423"/>
      <c r="N429" s="423"/>
      <c r="O429" s="423"/>
      <c r="P429" s="423"/>
      <c r="Q429" s="423"/>
      <c r="R429" s="423"/>
      <c r="S429" s="423"/>
      <c r="T429" s="423"/>
      <c r="U429" s="423"/>
      <c r="V429" s="423"/>
      <c r="W429" s="423"/>
      <c r="X429" s="423"/>
      <c r="Y429" s="423"/>
      <c r="Z429" s="423"/>
      <c r="AA429" s="423"/>
      <c r="AB429" s="3271" t="s">
        <v>394</v>
      </c>
      <c r="AC429" s="3272"/>
      <c r="AD429" s="3272"/>
      <c r="AE429" s="3273"/>
      <c r="AF429" s="3233">
        <v>33</v>
      </c>
      <c r="AG429" s="3302"/>
      <c r="AH429" s="3270">
        <v>38</v>
      </c>
      <c r="AI429" s="3284"/>
      <c r="AJ429" s="3234">
        <v>26</v>
      </c>
      <c r="AK429" s="3234"/>
      <c r="AL429" s="3270">
        <v>34</v>
      </c>
      <c r="AM429" s="3234"/>
      <c r="AN429" s="3233">
        <v>23</v>
      </c>
      <c r="AO429" s="3234"/>
      <c r="AP429" s="3270">
        <v>39</v>
      </c>
      <c r="AQ429" s="3284"/>
      <c r="AR429" s="3234">
        <v>26</v>
      </c>
      <c r="AS429" s="3234"/>
      <c r="AT429" s="3270">
        <v>45</v>
      </c>
      <c r="AU429" s="3234"/>
      <c r="AV429" s="3233">
        <v>27</v>
      </c>
      <c r="AW429" s="3234"/>
      <c r="AX429" s="3270">
        <v>49</v>
      </c>
      <c r="AY429" s="3284"/>
      <c r="AZ429" s="423"/>
      <c r="BA429" s="423"/>
      <c r="BB429" s="423"/>
      <c r="BC429" s="423"/>
      <c r="BD429" s="1594"/>
      <c r="BE429" s="1818" t="s">
        <v>333</v>
      </c>
      <c r="BF429" s="1823">
        <f>AK319</f>
        <v>7</v>
      </c>
      <c r="BG429" s="1824">
        <f>IF(AW292="","",AL319)</f>
        <v>3</v>
      </c>
      <c r="BH429" s="1825"/>
      <c r="BI429" s="1823" t="str">
        <f>IF(OR(BE290="",BY290&gt;AW2),"",BK319)</f>
        <v/>
      </c>
      <c r="BJ429" s="1824" t="str">
        <f>IF(OR(BE290="",BY290&gt;AW2,BW292=""),"",BL319)</f>
        <v/>
      </c>
      <c r="BK429" s="1825"/>
      <c r="BL429" s="1823" t="str">
        <f>IF(OR(CE290="",CY290&gt;AW2),"",CK319)</f>
        <v/>
      </c>
      <c r="BM429" s="1824" t="str">
        <f>IF(OR(CE290="",CY290&gt;AW2,CW292=""),"",CL319)</f>
        <v/>
      </c>
      <c r="BN429" s="1825"/>
      <c r="BO429" s="1823" t="str">
        <f>IF(OR(DE290="",DY290&gt;AW2),"",DK319)</f>
        <v/>
      </c>
      <c r="BP429" s="1824" t="str">
        <f>IF(OR(DE290="",DY290&gt;AW2,DW292=""),"",DL319)</f>
        <v/>
      </c>
      <c r="BQ429" s="1825"/>
      <c r="BR429" s="1811"/>
      <c r="BS429" s="1812"/>
      <c r="BT429" s="1833" t="str">
        <f>INDEX(BF430:BQ430,1,MATCH(BT$426,BF435:BQ435))</f>
        <v>NFZ</v>
      </c>
      <c r="BU429" s="1824" t="str">
        <f>INDEX(BF430:BQ430,1,MATCH(BU$426,$BF$436:$BQ$436,0))</f>
        <v>NFZ</v>
      </c>
      <c r="BV429" s="1824" t="str">
        <f>INDEX(BF430:BQ430,1,MATCH(BV426,BF437:BQ437,0))</f>
        <v>NFZ</v>
      </c>
      <c r="BW429" s="1824" t="str">
        <f>INDEX(BF430:BQ430,1,MATCH(BW426,BF438:BQ438,0))</f>
        <v>NFZ</v>
      </c>
      <c r="BX429" s="1824" t="str">
        <f>INDEX(BF430:BQ430,1,MATCH(BX426,BF439:BQ439,0))</f>
        <v>NFZ</v>
      </c>
      <c r="BY429" s="1824" t="str">
        <f>INDEX(BF430:BQ430,1,MATCH(BY426,BF440:BQ440,0))</f>
        <v>NFZ</v>
      </c>
      <c r="BZ429" s="1824" t="str">
        <f>INDEX(BF430:BQ430,1,MATCH(BZ426,BF443:BQ443,0))</f>
        <v>NFZ</v>
      </c>
      <c r="CA429" s="1834" t="str">
        <f>INDEX(BF430:BQ430,1,MATCH(CA426,BF446:BQ446,0))</f>
        <v>NFZ</v>
      </c>
      <c r="CB429" s="1809" t="s">
        <v>393</v>
      </c>
      <c r="CC429" s="1779"/>
      <c r="CD429" s="1779"/>
      <c r="CE429" s="423"/>
      <c r="CF429" s="1593" t="str">
        <f t="shared" ref="CF429:CM429" si="12">IF(BT430="NTS","GO","NG")</f>
        <v>GO</v>
      </c>
      <c r="CG429" s="1593" t="str">
        <f t="shared" si="12"/>
        <v>GO</v>
      </c>
      <c r="CH429" s="1593" t="str">
        <f t="shared" si="12"/>
        <v>GO</v>
      </c>
      <c r="CI429" s="1593" t="str">
        <f t="shared" si="12"/>
        <v>GO</v>
      </c>
      <c r="CJ429" s="1593" t="str">
        <f t="shared" si="12"/>
        <v>GO</v>
      </c>
      <c r="CK429" s="1593" t="str">
        <f t="shared" si="12"/>
        <v>GO</v>
      </c>
      <c r="CL429" s="1593" t="str">
        <f t="shared" si="12"/>
        <v>NG</v>
      </c>
      <c r="CM429" s="1593" t="str">
        <f t="shared" si="12"/>
        <v>NG</v>
      </c>
      <c r="CN429" s="1806" t="str">
        <f>CF429&amp;CG429&amp;CH429&amp;CI429&amp;CJ429&amp;CK429&amp;CL429&amp;CM429</f>
        <v>GOGOGOGOGOGONGNG</v>
      </c>
      <c r="CO429" s="1594"/>
      <c r="CP429" s="1594"/>
      <c r="CQ429" s="1784" t="s">
        <v>395</v>
      </c>
      <c r="CR429" s="1594"/>
      <c r="CS429" s="423"/>
      <c r="CT429" s="423"/>
      <c r="CU429" s="423"/>
      <c r="CV429" s="423"/>
      <c r="CW429" s="423"/>
      <c r="CX429" s="423"/>
      <c r="CY429" s="423"/>
      <c r="CZ429" s="423"/>
      <c r="DA429" s="423"/>
      <c r="DB429" s="423"/>
      <c r="DC429" s="423"/>
      <c r="DD429" s="423"/>
      <c r="DE429" s="423"/>
      <c r="DF429" s="423"/>
      <c r="DG429" s="423"/>
      <c r="DH429" s="423"/>
      <c r="DI429" s="423"/>
      <c r="DJ429" s="423"/>
      <c r="DK429" s="423"/>
      <c r="DL429" s="423"/>
      <c r="DM429" s="423"/>
      <c r="DN429" s="423"/>
      <c r="DO429" s="423"/>
      <c r="DP429" s="423"/>
      <c r="DQ429" s="423"/>
      <c r="DR429" s="423"/>
      <c r="DS429" s="423"/>
      <c r="DT429" s="423"/>
      <c r="DU429" s="423"/>
      <c r="DV429" s="423"/>
      <c r="DW429" s="423"/>
      <c r="DX429" s="423"/>
      <c r="DY429" s="423"/>
      <c r="DZ429" s="423"/>
      <c r="EA429" s="423"/>
      <c r="EB429" s="423"/>
      <c r="EC429" s="423"/>
      <c r="ED429" s="423"/>
      <c r="EE429" s="423"/>
      <c r="EF429" s="423"/>
      <c r="EG429" s="423"/>
      <c r="EH429" s="423"/>
      <c r="EI429" s="423"/>
      <c r="EJ429" s="423"/>
      <c r="EK429" s="423"/>
      <c r="EL429" s="423"/>
      <c r="EM429" s="423"/>
      <c r="EN429" s="423"/>
      <c r="EO429" s="423"/>
      <c r="EP429" s="423"/>
      <c r="EQ429" s="423"/>
      <c r="ER429" s="423"/>
      <c r="ES429" s="423"/>
      <c r="ET429" s="423"/>
      <c r="EU429" s="423"/>
      <c r="EV429" s="423"/>
      <c r="EW429" s="423"/>
      <c r="EX429" s="423"/>
      <c r="EY429" s="423"/>
      <c r="EZ429" s="423"/>
      <c r="FA429" s="423"/>
      <c r="FB429" s="423"/>
      <c r="FC429" s="423"/>
      <c r="FD429" s="423"/>
      <c r="FE429" s="423"/>
      <c r="FF429" s="423"/>
      <c r="FG429" s="423"/>
      <c r="FH429" s="423"/>
      <c r="FI429" s="423"/>
      <c r="FJ429" s="423"/>
      <c r="FK429" s="423"/>
      <c r="FL429" s="423"/>
      <c r="FM429" s="423"/>
      <c r="FN429" s="423"/>
      <c r="FO429" s="423"/>
      <c r="FP429" s="423"/>
      <c r="FQ429" s="423"/>
      <c r="FR429" s="423"/>
      <c r="FS429" s="423"/>
      <c r="FT429" s="423"/>
      <c r="FU429" s="423"/>
      <c r="FV429" s="423"/>
      <c r="FW429" s="423"/>
      <c r="FX429" s="423"/>
      <c r="FY429" s="423"/>
      <c r="FZ429" s="423"/>
      <c r="GA429" s="423"/>
      <c r="GB429" s="423"/>
      <c r="GC429" s="423"/>
      <c r="GD429" s="423"/>
      <c r="GE429" s="423"/>
      <c r="GF429" s="423"/>
      <c r="GG429" s="423"/>
      <c r="GH429" s="423"/>
      <c r="GI429" s="423"/>
      <c r="GJ429" s="423"/>
      <c r="GK429" s="423"/>
      <c r="GL429" s="423"/>
      <c r="GM429" s="423"/>
      <c r="GN429" s="423"/>
      <c r="GO429" s="423"/>
      <c r="GP429" s="423"/>
      <c r="GQ429" s="423"/>
      <c r="GR429" s="423"/>
      <c r="GS429" s="423"/>
      <c r="GT429" s="423"/>
      <c r="GU429" s="423"/>
      <c r="GV429" s="423"/>
      <c r="GW429" s="423"/>
      <c r="GX429" s="423"/>
      <c r="GY429" s="423"/>
      <c r="GZ429" s="423"/>
      <c r="HA429" s="423"/>
      <c r="HB429" s="423"/>
      <c r="HC429" s="423"/>
      <c r="HD429" s="423"/>
      <c r="HE429" s="423"/>
      <c r="HF429" s="423"/>
      <c r="HG429" s="423"/>
      <c r="HH429" s="423"/>
      <c r="HI429" s="423"/>
      <c r="HJ429" s="423"/>
      <c r="HK429" s="423"/>
      <c r="HL429" s="423"/>
      <c r="HM429" s="423"/>
      <c r="HN429" s="423"/>
      <c r="HO429" s="423"/>
      <c r="HP429" s="423"/>
      <c r="HQ429" s="423"/>
      <c r="HR429" s="423"/>
      <c r="HS429" s="423"/>
      <c r="HT429" s="423"/>
      <c r="HU429" s="423"/>
      <c r="HV429" s="423"/>
      <c r="HW429" s="423"/>
      <c r="HX429" s="423"/>
      <c r="HY429" s="423"/>
      <c r="HZ429" s="423"/>
      <c r="IA429" s="423"/>
      <c r="IB429" s="423"/>
      <c r="IC429" s="423"/>
      <c r="ID429" s="423"/>
      <c r="IE429" s="423"/>
      <c r="IF429" s="423"/>
      <c r="IG429" s="423"/>
      <c r="IH429" s="423"/>
      <c r="II429" s="423"/>
    </row>
    <row r="430" spans="1:243" ht="18" customHeight="1" thickBot="1">
      <c r="A430" s="423"/>
      <c r="B430" s="423"/>
      <c r="C430" s="423"/>
      <c r="D430" s="423"/>
      <c r="E430" s="423"/>
      <c r="F430" s="423"/>
      <c r="G430" s="423"/>
      <c r="H430" s="423"/>
      <c r="I430" s="423"/>
      <c r="J430" s="423"/>
      <c r="K430" s="423"/>
      <c r="L430" s="423"/>
      <c r="M430" s="423"/>
      <c r="N430" s="423"/>
      <c r="O430" s="423"/>
      <c r="P430" s="423"/>
      <c r="Q430" s="423"/>
      <c r="R430" s="694"/>
      <c r="S430" s="695"/>
      <c r="T430" s="695"/>
      <c r="U430" s="695"/>
      <c r="V430" s="695"/>
      <c r="W430" s="695"/>
      <c r="X430" s="695"/>
      <c r="Y430" s="696"/>
      <c r="Z430" s="696"/>
      <c r="AA430" s="423"/>
      <c r="AB430" s="3246" t="s">
        <v>215</v>
      </c>
      <c r="AC430" s="3247"/>
      <c r="AD430" s="3247"/>
      <c r="AE430" s="3248"/>
      <c r="AF430" s="3295"/>
      <c r="AG430" s="3303"/>
      <c r="AH430" s="3240">
        <v>36</v>
      </c>
      <c r="AI430" s="3274"/>
      <c r="AJ430" s="3241">
        <v>23</v>
      </c>
      <c r="AK430" s="3241"/>
      <c r="AL430" s="3240">
        <v>30</v>
      </c>
      <c r="AM430" s="3241"/>
      <c r="AN430" s="3295">
        <v>19</v>
      </c>
      <c r="AO430" s="3241"/>
      <c r="AP430" s="3240">
        <v>36</v>
      </c>
      <c r="AQ430" s="3274"/>
      <c r="AR430" s="3241">
        <v>24</v>
      </c>
      <c r="AS430" s="3241"/>
      <c r="AT430" s="3240">
        <v>44</v>
      </c>
      <c r="AU430" s="3241"/>
      <c r="AV430" s="3295">
        <v>26</v>
      </c>
      <c r="AW430" s="3241"/>
      <c r="AX430" s="3240">
        <v>47</v>
      </c>
      <c r="AY430" s="3274"/>
      <c r="AZ430" s="423"/>
      <c r="BA430" s="423"/>
      <c r="BB430" s="423"/>
      <c r="BC430" s="423"/>
      <c r="BD430" s="1595"/>
      <c r="BE430" s="1818" t="s">
        <v>393</v>
      </c>
      <c r="BF430" s="1823" t="str">
        <f>IF(ISNUMBER(FIND("FZ",AJ298)),"FZ+","NFZ")</f>
        <v>NFZ</v>
      </c>
      <c r="BG430" s="1824" t="str">
        <f>IF(AW292="","",IF(ISNUMBER(FIND("FZ",AU298)),"FZ+","NFZ"))</f>
        <v>NFZ</v>
      </c>
      <c r="BH430" s="1826" t="str">
        <f>IF(BH426=99,"",IF(OR(BF430="FZ+",BG430="FZ+"),"FZ+","NFZ"))</f>
        <v>NFZ</v>
      </c>
      <c r="BI430" s="1823" t="str">
        <f>IF(OR(BE290="",BY290&gt;AW2),"",IF(ISNUMBER(FIND("FZ",BJ298)),"FZ+","NFZ"))</f>
        <v/>
      </c>
      <c r="BJ430" s="1824" t="str">
        <f>IF(OR(BE290="",BY290&gt;AW2,BW292=""),"",IF(ISNUMBER(FIND("FZ",BU298)),"FZ+","NFZ"))</f>
        <v/>
      </c>
      <c r="BK430" s="1826" t="str">
        <f>IF(BK426=99,"",IF(OR(BI430="FZ+",BJ430="FZ+"),"FZ+","NFZ"))</f>
        <v/>
      </c>
      <c r="BL430" s="1823" t="str">
        <f>IF(OR(CE290="",CY290&gt;AW2),"",IF(ISNUMBER(FIND("FZ",CJ298)),"FZ+","NFZ"))</f>
        <v/>
      </c>
      <c r="BM430" s="1824" t="str">
        <f>IF(OR(CE290="",CY290&gt;AW2,CW292=""),"",IF(ISNUMBER(FIND("FZ",CU298)),"FZ+","NFZ"))</f>
        <v/>
      </c>
      <c r="BN430" s="1826" t="str">
        <f>IF(BN426=99,"",IF(OR(BL430="FZ+",BM430="FZ+"),"FZ+","NFZ"))</f>
        <v/>
      </c>
      <c r="BO430" s="1823" t="str">
        <f>IF(OR(DE290="",DY290&gt;AW2),"",IF(ISNUMBER(FIND("FZ",DJ298)),"FZ+","NFZ"))</f>
        <v/>
      </c>
      <c r="BP430" s="1824" t="str">
        <f>IF(OR(DE290="",DY290&gt;AW2,DW292=""),"",IF(ISNUMBER(FIND("FZ",DU298)),"FZ+","NFZ"))</f>
        <v/>
      </c>
      <c r="BQ430" s="1826" t="str">
        <f>IF(BQ426=99,"",IF(OR(BO430="FZ+",BP430="FZ+"),"FZ+","NFZ"))</f>
        <v/>
      </c>
      <c r="BR430" s="1811"/>
      <c r="BS430" s="1812"/>
      <c r="BT430" s="1835" t="str">
        <f>INDEX(BF431:BQ431,1,MATCH(BT$426,BF435:BQ435))</f>
        <v>NTS</v>
      </c>
      <c r="BU430" s="1828" t="str">
        <f>INDEX(BF431:BQ431,1,MATCH(BU$426,$BF$436:$BQ$436,0))</f>
        <v>NTS</v>
      </c>
      <c r="BV430" s="1828" t="str">
        <f>INDEX(BF431:BQ431,1,MATCH(BV426,BF437:BQ437,0))</f>
        <v>NTS</v>
      </c>
      <c r="BW430" s="1828" t="str">
        <f>INDEX(BF431:BQ431,1,MATCH(BW426,BF438:BQ438,0))</f>
        <v>NTS</v>
      </c>
      <c r="BX430" s="1828" t="str">
        <f>INDEX(BF431:BQ431,1,MATCH(BX426,BF439:BQ439,0))</f>
        <v>NTS</v>
      </c>
      <c r="BY430" s="1828" t="str">
        <f>INDEX(BF431:BQ431,1,MATCH(BY426,BF440:BQ440,0))</f>
        <v>NTS</v>
      </c>
      <c r="BZ430" s="1828" t="str">
        <f>INDEX(BF431:BQ431,1,MATCH(BZ426,BF443:BQ443,0))</f>
        <v>TS+</v>
      </c>
      <c r="CA430" s="1836" t="str">
        <f>INDEX(BF431:BQ431,1,MATCH(CA426,BF446:BQ446,0))</f>
        <v>TS+</v>
      </c>
      <c r="CB430" s="1809" t="s">
        <v>395</v>
      </c>
      <c r="CC430" s="1779"/>
      <c r="CD430" s="1779"/>
      <c r="CE430" s="423"/>
      <c r="CF430" s="1594"/>
      <c r="CG430" s="1594"/>
      <c r="CH430" s="1594"/>
      <c r="CI430" s="1594"/>
      <c r="CJ430" s="1594"/>
      <c r="CK430" s="1595"/>
      <c r="CL430" s="1595"/>
      <c r="CM430" s="1595"/>
      <c r="CN430" s="1595"/>
      <c r="CO430" s="1595"/>
      <c r="CP430" s="1595"/>
      <c r="CQ430" s="1595"/>
      <c r="CR430" s="1595"/>
      <c r="CS430" s="423"/>
      <c r="CT430" s="423"/>
      <c r="CU430" s="423"/>
      <c r="CV430" s="423"/>
      <c r="CW430" s="423"/>
      <c r="CX430" s="423"/>
      <c r="CY430" s="423"/>
      <c r="CZ430" s="423"/>
      <c r="DA430" s="423"/>
      <c r="DB430" s="423"/>
      <c r="DC430" s="423"/>
      <c r="DD430" s="423"/>
      <c r="DE430" s="423"/>
      <c r="DF430" s="423"/>
      <c r="DG430" s="423"/>
      <c r="DH430" s="423"/>
      <c r="DI430" s="423"/>
      <c r="DJ430" s="423"/>
      <c r="DK430" s="423"/>
      <c r="DL430" s="423"/>
      <c r="DM430" s="423"/>
      <c r="DN430" s="423"/>
      <c r="DO430" s="423"/>
      <c r="DP430" s="423"/>
      <c r="DQ430" s="423"/>
      <c r="DR430" s="423"/>
      <c r="DS430" s="423"/>
      <c r="DT430" s="423"/>
      <c r="DU430" s="423"/>
      <c r="DV430" s="423"/>
      <c r="DW430" s="423"/>
      <c r="DX430" s="423"/>
      <c r="DY430" s="423"/>
      <c r="DZ430" s="423"/>
      <c r="EA430" s="423"/>
      <c r="EB430" s="423"/>
      <c r="EC430" s="423"/>
      <c r="ED430" s="423"/>
      <c r="EE430" s="423"/>
      <c r="EF430" s="423"/>
      <c r="EG430" s="423"/>
      <c r="EH430" s="423"/>
      <c r="EI430" s="423"/>
      <c r="EJ430" s="423"/>
      <c r="EK430" s="423"/>
      <c r="EL430" s="423"/>
      <c r="EM430" s="423"/>
      <c r="EN430" s="423"/>
      <c r="EO430" s="423"/>
      <c r="EP430" s="423"/>
      <c r="EQ430" s="423"/>
      <c r="ER430" s="423"/>
      <c r="ES430" s="423"/>
      <c r="ET430" s="423"/>
      <c r="EU430" s="423"/>
      <c r="EV430" s="423"/>
      <c r="EW430" s="423"/>
      <c r="EX430" s="423"/>
      <c r="EY430" s="423"/>
      <c r="EZ430" s="423"/>
      <c r="FA430" s="423"/>
      <c r="FB430" s="423"/>
      <c r="FC430" s="423"/>
      <c r="FD430" s="423"/>
      <c r="FE430" s="423"/>
      <c r="FF430" s="423"/>
      <c r="FG430" s="423"/>
      <c r="FH430" s="423"/>
      <c r="FI430" s="423"/>
      <c r="FJ430" s="423"/>
      <c r="FK430" s="423"/>
      <c r="FL430" s="423"/>
      <c r="FM430" s="423"/>
      <c r="FN430" s="423"/>
      <c r="FO430" s="423"/>
      <c r="FP430" s="423"/>
      <c r="FQ430" s="423"/>
      <c r="FR430" s="423"/>
      <c r="FS430" s="423"/>
      <c r="FT430" s="423"/>
      <c r="FU430" s="423"/>
      <c r="FV430" s="423"/>
      <c r="FW430" s="423"/>
      <c r="FX430" s="423"/>
      <c r="FY430" s="423"/>
      <c r="FZ430" s="423"/>
      <c r="GA430" s="423"/>
      <c r="GB430" s="423"/>
      <c r="GC430" s="423"/>
      <c r="GD430" s="423"/>
      <c r="GE430" s="423"/>
      <c r="GF430" s="423"/>
      <c r="GG430" s="423"/>
      <c r="GH430" s="423"/>
      <c r="GI430" s="423"/>
      <c r="GJ430" s="423"/>
      <c r="GK430" s="423"/>
      <c r="GL430" s="423"/>
      <c r="GM430" s="423"/>
      <c r="GN430" s="423"/>
      <c r="GO430" s="423"/>
      <c r="GP430" s="423"/>
      <c r="GQ430" s="423"/>
      <c r="GR430" s="423"/>
      <c r="GS430" s="423"/>
      <c r="GT430" s="423"/>
      <c r="GU430" s="423"/>
      <c r="GV430" s="423"/>
      <c r="GW430" s="423"/>
      <c r="GX430" s="423"/>
      <c r="GY430" s="423"/>
      <c r="GZ430" s="423"/>
      <c r="HA430" s="423"/>
      <c r="HB430" s="423"/>
      <c r="HC430" s="423"/>
      <c r="HD430" s="423"/>
      <c r="HE430" s="423"/>
      <c r="HF430" s="423"/>
      <c r="HG430" s="423"/>
      <c r="HH430" s="423"/>
      <c r="HI430" s="423"/>
      <c r="HJ430" s="423"/>
      <c r="HK430" s="423"/>
      <c r="HL430" s="423"/>
      <c r="HM430" s="423"/>
      <c r="HN430" s="423"/>
      <c r="HO430" s="423"/>
      <c r="HP430" s="423"/>
      <c r="HQ430" s="423"/>
      <c r="HR430" s="423"/>
      <c r="HS430" s="423"/>
      <c r="HT430" s="423"/>
      <c r="HU430" s="423"/>
      <c r="HV430" s="423"/>
      <c r="HW430" s="423"/>
      <c r="HX430" s="423"/>
      <c r="HY430" s="423"/>
      <c r="HZ430" s="423"/>
      <c r="IA430" s="423"/>
      <c r="IB430" s="423"/>
      <c r="IC430" s="423"/>
      <c r="ID430" s="423"/>
      <c r="IE430" s="423"/>
      <c r="IF430" s="423"/>
      <c r="IG430" s="423"/>
      <c r="IH430" s="423"/>
      <c r="II430" s="423"/>
    </row>
    <row r="431" spans="1:243" ht="18" customHeight="1" thickBot="1">
      <c r="A431" s="423"/>
      <c r="B431" s="423"/>
      <c r="C431" s="423"/>
      <c r="D431" s="423"/>
      <c r="E431" s="423"/>
      <c r="F431" s="423"/>
      <c r="G431" s="423"/>
      <c r="H431" s="423"/>
      <c r="I431" s="423"/>
      <c r="J431" s="423"/>
      <c r="K431" s="423"/>
      <c r="L431" s="423"/>
      <c r="M431" s="423"/>
      <c r="N431" s="423"/>
      <c r="O431" s="423"/>
      <c r="P431" s="423"/>
      <c r="Q431" s="423"/>
      <c r="R431" s="695"/>
      <c r="S431" s="695"/>
      <c r="T431" s="695"/>
      <c r="U431" s="695"/>
      <c r="V431" s="695"/>
      <c r="W431" s="695"/>
      <c r="X431" s="695"/>
      <c r="Y431" s="696"/>
      <c r="Z431" s="696"/>
      <c r="AA431" s="423"/>
      <c r="AB431" s="3252" t="s">
        <v>396</v>
      </c>
      <c r="AC431" s="3253"/>
      <c r="AD431" s="3253"/>
      <c r="AE431" s="3254"/>
      <c r="AF431" s="3255"/>
      <c r="AG431" s="3282"/>
      <c r="AH431" s="3257"/>
      <c r="AI431" s="3258"/>
      <c r="AJ431" s="3256"/>
      <c r="AK431" s="3256"/>
      <c r="AL431" s="3257"/>
      <c r="AM431" s="3256"/>
      <c r="AN431" s="3255"/>
      <c r="AO431" s="3256"/>
      <c r="AP431" s="3257"/>
      <c r="AQ431" s="3258"/>
      <c r="AR431" s="3256"/>
      <c r="AS431" s="3256"/>
      <c r="AT431" s="3257"/>
      <c r="AU431" s="3256"/>
      <c r="AV431" s="3255">
        <v>54</v>
      </c>
      <c r="AW431" s="3256"/>
      <c r="AX431" s="3257"/>
      <c r="AY431" s="3258"/>
      <c r="AZ431" s="423"/>
      <c r="BA431" s="423"/>
      <c r="BB431" s="423"/>
      <c r="BC431" s="423"/>
      <c r="BD431" s="423"/>
      <c r="BE431" s="1819" t="s">
        <v>395</v>
      </c>
      <c r="BF431" s="1827" t="str">
        <f>IF(OR(ISNUMBER(FIND("TS",AJ298)),AE311="TS"),"TS+","NTS")</f>
        <v>NTS</v>
      </c>
      <c r="BG431" s="1828" t="str">
        <f>IF(AW292="","",IF(OR(ISNUMBER(FIND("TS",AU298)),AQ311="TS"),"TS+","NTS"))</f>
        <v>TS+</v>
      </c>
      <c r="BH431" s="1829" t="str">
        <f>IF(BH426=99,"",IF(OR(BF431="TS+",BG431="TS+"),"TS+","NTS"))</f>
        <v>TS+</v>
      </c>
      <c r="BI431" s="1827" t="str">
        <f>IF(OR(BE290="",BY290&gt;AW2),"",IF(OR(ISNUMBER(FIND("TS",BJ298)),BE311="TS"),"TS+","NTS"))</f>
        <v/>
      </c>
      <c r="BJ431" s="1828" t="str">
        <f>IF(OR(BE290="",BY290&gt;AW2,BW292=""),"",IF(OR(ISNUMBER(FIND("TS",BU298)),BQ311="TS"),"TS+","NTS"))</f>
        <v/>
      </c>
      <c r="BK431" s="1829" t="str">
        <f>IF(BK426=99,"",IF(OR(BI431="TS+",BJ431="TS+"),"TS+","NTS"))</f>
        <v/>
      </c>
      <c r="BL431" s="1827" t="str">
        <f>IF(OR(CE290="",CY290&gt;AW2),"",IF(OR(ISNUMBER(FIND("TS",CJ298)),CE311="TS"),"TS+","NTS"))</f>
        <v/>
      </c>
      <c r="BM431" s="1828" t="str">
        <f>IF(OR(CE290="",CY290&gt;AW2,CW292=""),"",IF(OR(ISNUMBER(FIND("TS",CU298)),CQ311="TS"),"TS+","NTS"))</f>
        <v/>
      </c>
      <c r="BN431" s="1829" t="str">
        <f>IF(BN426=99,"",IF(OR(BL431="TS+",BM431="TS+"),"TS+","NTS"))</f>
        <v/>
      </c>
      <c r="BO431" s="1827" t="str">
        <f>IF(OR(DE290="",DY290&gt;AW2),"",IF(OR(ISNUMBER(FIND("TS",DJ298)),DE311="TS"),"TS+","NTS"))</f>
        <v/>
      </c>
      <c r="BP431" s="1828" t="str">
        <f>IF(OR(DE290="",DY290&gt;AW2,DW292=""),"",IF(OR(ISNUMBER(FIND("TS",DU298)),DQ311="TS"),"TS+","NTS"))</f>
        <v/>
      </c>
      <c r="BQ431" s="1829" t="str">
        <f>IF(BQ426=99,"",IF(OR(BO431="TS+",BP431="TS+"),"TS+","NTS"))</f>
        <v/>
      </c>
      <c r="BR431" s="1811"/>
      <c r="BS431" s="1920"/>
      <c r="BT431" s="1920"/>
      <c r="BU431" s="1790"/>
      <c r="BV431" s="1790"/>
      <c r="BW431" s="1790"/>
      <c r="BX431" s="1790"/>
      <c r="BY431" s="1790"/>
      <c r="BZ431" s="1791"/>
      <c r="CA431" s="1789"/>
      <c r="CB431" s="423"/>
      <c r="CC431" s="423"/>
      <c r="CD431" s="423"/>
      <c r="CE431" s="423"/>
      <c r="CF431" s="423"/>
      <c r="CG431" s="423"/>
      <c r="CH431" s="423"/>
      <c r="CI431" s="423"/>
      <c r="CJ431" s="423"/>
      <c r="CK431" s="423"/>
      <c r="CL431" s="423"/>
      <c r="CM431" s="423"/>
      <c r="CN431" s="423"/>
      <c r="CO431" s="423"/>
      <c r="CP431" s="423"/>
      <c r="CQ431" s="423"/>
      <c r="CR431" s="423"/>
      <c r="CS431" s="423"/>
      <c r="CT431" s="423"/>
      <c r="CU431" s="423"/>
      <c r="CV431" s="423"/>
      <c r="CW431" s="423"/>
      <c r="CX431" s="423"/>
      <c r="CY431" s="423"/>
      <c r="CZ431" s="423"/>
      <c r="DA431" s="423"/>
      <c r="DB431" s="423"/>
      <c r="DC431" s="423"/>
      <c r="DD431" s="423"/>
      <c r="DE431" s="423"/>
      <c r="DF431" s="423"/>
      <c r="DG431" s="423"/>
      <c r="DH431" s="423"/>
      <c r="DI431" s="423"/>
      <c r="DJ431" s="423"/>
      <c r="DK431" s="423"/>
      <c r="DL431" s="423"/>
      <c r="DM431" s="423"/>
      <c r="DN431" s="423"/>
      <c r="DO431" s="423"/>
      <c r="DP431" s="423"/>
      <c r="DQ431" s="423"/>
      <c r="DR431" s="423"/>
      <c r="DS431" s="423"/>
      <c r="DT431" s="423"/>
      <c r="DU431" s="423"/>
      <c r="DV431" s="423"/>
      <c r="DW431" s="423"/>
      <c r="DX431" s="423"/>
      <c r="DY431" s="423"/>
      <c r="DZ431" s="423"/>
      <c r="EA431" s="423"/>
      <c r="EB431" s="423"/>
      <c r="EC431" s="423"/>
      <c r="ED431" s="423"/>
      <c r="EE431" s="423"/>
      <c r="EF431" s="423"/>
      <c r="EG431" s="423"/>
      <c r="EH431" s="423"/>
      <c r="EI431" s="423"/>
      <c r="EJ431" s="423"/>
      <c r="EK431" s="423"/>
      <c r="EL431" s="423"/>
      <c r="EM431" s="423"/>
      <c r="EN431" s="423"/>
      <c r="EO431" s="423"/>
      <c r="EP431" s="423"/>
      <c r="EQ431" s="423"/>
      <c r="ER431" s="423"/>
      <c r="ES431" s="423"/>
      <c r="ET431" s="423"/>
      <c r="EU431" s="423"/>
      <c r="EV431" s="423"/>
      <c r="EW431" s="423"/>
      <c r="EX431" s="423"/>
      <c r="EY431" s="423"/>
      <c r="EZ431" s="423"/>
      <c r="FA431" s="423"/>
      <c r="FB431" s="423"/>
      <c r="FC431" s="423"/>
      <c r="FD431" s="423"/>
      <c r="FE431" s="423"/>
      <c r="FF431" s="423"/>
      <c r="FG431" s="423"/>
      <c r="FH431" s="423"/>
      <c r="FI431" s="423"/>
      <c r="FJ431" s="423"/>
      <c r="FK431" s="423"/>
      <c r="FL431" s="423"/>
      <c r="FM431" s="423"/>
      <c r="FN431" s="423"/>
      <c r="FO431" s="423"/>
      <c r="FP431" s="423"/>
      <c r="FQ431" s="423"/>
      <c r="FR431" s="423"/>
      <c r="FS431" s="423"/>
      <c r="FT431" s="423"/>
      <c r="FU431" s="423"/>
      <c r="FV431" s="423"/>
      <c r="FW431" s="423"/>
      <c r="FX431" s="423"/>
      <c r="FY431" s="423"/>
      <c r="FZ431" s="423"/>
      <c r="GA431" s="423"/>
      <c r="GB431" s="423"/>
      <c r="GC431" s="423"/>
      <c r="GD431" s="423"/>
      <c r="GE431" s="423"/>
      <c r="GF431" s="423"/>
      <c r="GG431" s="423"/>
      <c r="GH431" s="423"/>
      <c r="GI431" s="423"/>
      <c r="GJ431" s="423"/>
      <c r="GK431" s="423"/>
      <c r="GL431" s="423"/>
      <c r="GM431" s="423"/>
      <c r="GN431" s="423"/>
      <c r="GO431" s="423"/>
      <c r="GP431" s="423"/>
      <c r="GQ431" s="423"/>
      <c r="GR431" s="423"/>
      <c r="GS431" s="423"/>
      <c r="GT431" s="423"/>
      <c r="GU431" s="423"/>
      <c r="GV431" s="423"/>
      <c r="GW431" s="423"/>
      <c r="GX431" s="423"/>
      <c r="GY431" s="423"/>
      <c r="GZ431" s="423"/>
      <c r="HA431" s="423"/>
      <c r="HB431" s="423"/>
      <c r="HC431" s="423"/>
      <c r="HD431" s="423"/>
      <c r="HE431" s="423"/>
      <c r="HF431" s="423"/>
      <c r="HG431" s="423"/>
      <c r="HH431" s="423"/>
      <c r="HI431" s="423"/>
      <c r="HJ431" s="423"/>
      <c r="HK431" s="423"/>
      <c r="HL431" s="423"/>
      <c r="HM431" s="423"/>
      <c r="HN431" s="423"/>
      <c r="HO431" s="423"/>
      <c r="HP431" s="423"/>
      <c r="HQ431" s="423"/>
      <c r="HR431" s="423"/>
      <c r="HS431" s="423"/>
      <c r="HT431" s="423"/>
      <c r="HU431" s="423"/>
      <c r="HV431" s="423"/>
      <c r="HW431" s="423"/>
      <c r="HX431" s="423"/>
      <c r="HY431" s="423"/>
      <c r="HZ431" s="423"/>
      <c r="IA431" s="423"/>
      <c r="IB431" s="423"/>
      <c r="IC431" s="423"/>
      <c r="ID431" s="423"/>
      <c r="IE431" s="423"/>
      <c r="IF431" s="423"/>
      <c r="IG431" s="423"/>
      <c r="IH431" s="423"/>
      <c r="II431" s="423"/>
    </row>
    <row r="432" spans="1:243" ht="18" customHeight="1" thickBot="1">
      <c r="A432" s="423"/>
      <c r="B432" s="423"/>
      <c r="C432" s="423"/>
      <c r="D432" s="423"/>
      <c r="E432" s="423"/>
      <c r="F432" s="423"/>
      <c r="G432" s="423"/>
      <c r="H432" s="423"/>
      <c r="I432" s="423"/>
      <c r="J432" s="423"/>
      <c r="K432" s="423"/>
      <c r="L432" s="423"/>
      <c r="M432" s="423"/>
      <c r="N432" s="423"/>
      <c r="O432" s="423"/>
      <c r="P432" s="423"/>
      <c r="Q432" s="423"/>
      <c r="R432" s="695"/>
      <c r="S432" s="695"/>
      <c r="T432" s="695"/>
      <c r="U432" s="695"/>
      <c r="V432" s="695"/>
      <c r="W432" s="695"/>
      <c r="X432" s="695"/>
      <c r="Y432" s="696"/>
      <c r="Z432" s="696"/>
      <c r="AA432" s="423"/>
      <c r="AB432" s="3259" t="s">
        <v>397</v>
      </c>
      <c r="AC432" s="3260"/>
      <c r="AD432" s="3260"/>
      <c r="AE432" s="3261"/>
      <c r="AF432" s="3263">
        <f>AVERAGE(AF428:AF431)</f>
        <v>33</v>
      </c>
      <c r="AG432" s="3264"/>
      <c r="AH432" s="3265">
        <f>AVERAGE(AH428:AH431)</f>
        <v>37</v>
      </c>
      <c r="AI432" s="3266"/>
      <c r="AJ432" s="3263">
        <f>AVERAGE(AJ428:AJ431)</f>
        <v>24.333333333333332</v>
      </c>
      <c r="AK432" s="3264"/>
      <c r="AL432" s="3265">
        <f>AVERAGE(AL428:AL431)</f>
        <v>32.666666666666664</v>
      </c>
      <c r="AM432" s="3266"/>
      <c r="AN432" s="3263">
        <f>AVERAGE(AN428:AN431)</f>
        <v>21.333333333333332</v>
      </c>
      <c r="AO432" s="3264"/>
      <c r="AP432" s="3265">
        <f>AVERAGE(AP428:AP431)</f>
        <v>37.666666666666664</v>
      </c>
      <c r="AQ432" s="3266"/>
      <c r="AR432" s="3263">
        <f>AVERAGE(AR428:AR431)</f>
        <v>31.666666666666668</v>
      </c>
      <c r="AS432" s="3264"/>
      <c r="AT432" s="3265">
        <f>AVERAGE(AT428:AT431)</f>
        <v>39</v>
      </c>
      <c r="AU432" s="3266"/>
      <c r="AV432" s="3263">
        <f>AVERAGE(AV428:AV431)</f>
        <v>35</v>
      </c>
      <c r="AW432" s="3264"/>
      <c r="AX432" s="3265">
        <f>AVERAGE(AX428:AX431)</f>
        <v>47.666666666666664</v>
      </c>
      <c r="AY432" s="3266"/>
      <c r="AZ432" s="423"/>
      <c r="BA432" s="423"/>
      <c r="BB432" s="423"/>
      <c r="BC432" s="423"/>
      <c r="BD432" s="423"/>
      <c r="BE432" s="1813"/>
      <c r="BF432" s="3239">
        <v>1</v>
      </c>
      <c r="BG432" s="3239"/>
      <c r="BH432" s="3239"/>
      <c r="BI432" s="3239">
        <v>2</v>
      </c>
      <c r="BJ432" s="3239"/>
      <c r="BK432" s="3239"/>
      <c r="BL432" s="3239">
        <v>3</v>
      </c>
      <c r="BM432" s="3239"/>
      <c r="BN432" s="3239"/>
      <c r="BO432" s="3239">
        <v>4</v>
      </c>
      <c r="BP432" s="3239"/>
      <c r="BQ432" s="3239"/>
      <c r="BR432" s="1814"/>
      <c r="BS432" s="1814"/>
      <c r="BT432" s="1814"/>
      <c r="BU432" s="882"/>
      <c r="BV432" s="882"/>
      <c r="BW432" s="423"/>
      <c r="BX432" s="423"/>
      <c r="BY432" s="423"/>
      <c r="BZ432" s="423"/>
      <c r="CA432" s="423"/>
      <c r="CB432" s="423"/>
      <c r="CC432" s="423"/>
      <c r="CD432" s="423"/>
      <c r="CE432" s="423"/>
      <c r="CF432" s="423"/>
      <c r="CG432" s="423"/>
      <c r="CH432" s="423"/>
      <c r="CI432" s="423"/>
      <c r="CJ432" s="423"/>
      <c r="CK432" s="423"/>
      <c r="CL432" s="423"/>
      <c r="CM432" s="423"/>
      <c r="CN432" s="423"/>
      <c r="CO432" s="423"/>
      <c r="CP432" s="423"/>
      <c r="CQ432" s="423"/>
      <c r="CR432" s="423"/>
      <c r="CS432" s="423"/>
      <c r="CT432" s="423"/>
      <c r="CU432" s="423"/>
      <c r="CV432" s="423"/>
      <c r="CW432" s="423"/>
      <c r="CX432" s="423"/>
      <c r="CY432" s="423"/>
      <c r="CZ432" s="423"/>
      <c r="DA432" s="423"/>
      <c r="DB432" s="423"/>
      <c r="DC432" s="423"/>
      <c r="DD432" s="423"/>
      <c r="DE432" s="423"/>
      <c r="DF432" s="423"/>
      <c r="DG432" s="423"/>
      <c r="DH432" s="423"/>
      <c r="DI432" s="423"/>
      <c r="DJ432" s="423"/>
      <c r="DK432" s="423"/>
      <c r="DL432" s="423"/>
      <c r="DM432" s="423"/>
      <c r="DN432" s="423"/>
      <c r="DO432" s="423"/>
      <c r="DP432" s="423"/>
      <c r="DQ432" s="423"/>
      <c r="DR432" s="423"/>
      <c r="DS432" s="423"/>
      <c r="DT432" s="423"/>
      <c r="DU432" s="423"/>
      <c r="DV432" s="423"/>
      <c r="DW432" s="423"/>
      <c r="DX432" s="423"/>
      <c r="DY432" s="423"/>
      <c r="DZ432" s="423"/>
      <c r="EA432" s="423"/>
      <c r="EB432" s="423"/>
      <c r="EC432" s="423"/>
      <c r="ED432" s="423"/>
      <c r="EE432" s="423"/>
      <c r="EF432" s="423"/>
      <c r="EG432" s="423"/>
      <c r="EH432" s="423"/>
      <c r="EI432" s="423"/>
      <c r="EJ432" s="423"/>
      <c r="EK432" s="423"/>
      <c r="EL432" s="423"/>
      <c r="EM432" s="423"/>
      <c r="EN432" s="423"/>
      <c r="EO432" s="423"/>
      <c r="EP432" s="423"/>
      <c r="EQ432" s="423"/>
      <c r="ER432" s="423"/>
      <c r="ES432" s="423"/>
      <c r="ET432" s="423"/>
      <c r="EU432" s="423"/>
      <c r="EV432" s="423"/>
      <c r="EW432" s="423"/>
      <c r="EX432" s="423"/>
      <c r="EY432" s="423"/>
      <c r="EZ432" s="423"/>
      <c r="FA432" s="423"/>
      <c r="FB432" s="423"/>
      <c r="FC432" s="423"/>
      <c r="FD432" s="423"/>
      <c r="FE432" s="423"/>
      <c r="FF432" s="423"/>
      <c r="FG432" s="423"/>
      <c r="FH432" s="423"/>
      <c r="FI432" s="423"/>
      <c r="FJ432" s="423"/>
      <c r="FK432" s="423"/>
      <c r="FL432" s="423"/>
      <c r="FM432" s="423"/>
      <c r="FN432" s="423"/>
      <c r="FO432" s="423"/>
      <c r="FP432" s="423"/>
      <c r="FQ432" s="423"/>
      <c r="FR432" s="423"/>
      <c r="FS432" s="423"/>
      <c r="FT432" s="423"/>
      <c r="FU432" s="423"/>
      <c r="FV432" s="423"/>
      <c r="FW432" s="423"/>
      <c r="FX432" s="423"/>
      <c r="FY432" s="423"/>
      <c r="FZ432" s="423"/>
      <c r="GA432" s="423"/>
      <c r="GB432" s="423"/>
      <c r="GC432" s="423"/>
      <c r="GD432" s="423"/>
      <c r="GE432" s="423"/>
      <c r="GF432" s="423"/>
      <c r="GG432" s="423"/>
      <c r="GH432" s="423"/>
      <c r="GI432" s="423"/>
      <c r="GJ432" s="423"/>
      <c r="GK432" s="423"/>
      <c r="GL432" s="423"/>
      <c r="GM432" s="423"/>
      <c r="GN432" s="423"/>
      <c r="GO432" s="423"/>
      <c r="GP432" s="423"/>
      <c r="GQ432" s="423"/>
      <c r="GR432" s="423"/>
      <c r="GS432" s="423"/>
      <c r="GT432" s="423"/>
      <c r="GU432" s="423"/>
      <c r="GV432" s="423"/>
      <c r="GW432" s="423"/>
      <c r="GX432" s="423"/>
      <c r="GY432" s="423"/>
      <c r="GZ432" s="423"/>
      <c r="HA432" s="423"/>
      <c r="HB432" s="423"/>
      <c r="HC432" s="423"/>
      <c r="HD432" s="423"/>
      <c r="HE432" s="423"/>
      <c r="HF432" s="423"/>
      <c r="HG432" s="423"/>
      <c r="HH432" s="423"/>
      <c r="HI432" s="423"/>
      <c r="HJ432" s="423"/>
      <c r="HK432" s="423"/>
      <c r="HL432" s="423"/>
      <c r="HM432" s="423"/>
      <c r="HN432" s="423"/>
      <c r="HO432" s="423"/>
      <c r="HP432" s="423"/>
      <c r="HQ432" s="423"/>
      <c r="HR432" s="423"/>
      <c r="HS432" s="423"/>
      <c r="HT432" s="423"/>
      <c r="HU432" s="423"/>
      <c r="HV432" s="423"/>
      <c r="HW432" s="423"/>
      <c r="HX432" s="423"/>
      <c r="HY432" s="423"/>
      <c r="HZ432" s="423"/>
      <c r="IA432" s="423"/>
      <c r="IB432" s="423"/>
      <c r="IC432" s="423"/>
      <c r="ID432" s="423"/>
      <c r="IE432" s="423"/>
      <c r="IF432" s="423"/>
      <c r="IG432" s="423"/>
      <c r="IH432" s="423"/>
      <c r="II432" s="423"/>
    </row>
    <row r="433" spans="1:243" ht="12" customHeight="1">
      <c r="A433" s="423"/>
      <c r="B433" s="423"/>
      <c r="C433" s="423"/>
      <c r="D433" s="423"/>
      <c r="E433" s="423"/>
      <c r="F433" s="423"/>
      <c r="G433" s="423"/>
      <c r="H433" s="423"/>
      <c r="I433" s="423"/>
      <c r="J433" s="423"/>
      <c r="K433" s="423"/>
      <c r="L433" s="423"/>
      <c r="M433" s="423"/>
      <c r="N433" s="423"/>
      <c r="O433" s="423"/>
      <c r="P433" s="423"/>
      <c r="Q433" s="423"/>
      <c r="R433" s="695"/>
      <c r="S433" s="695"/>
      <c r="T433" s="695"/>
      <c r="U433" s="695"/>
      <c r="V433" s="695"/>
      <c r="W433" s="695"/>
      <c r="X433" s="695"/>
      <c r="Y433" s="696"/>
      <c r="Z433" s="696"/>
      <c r="AA433" s="423"/>
      <c r="AB433" s="440"/>
      <c r="AC433" s="440"/>
      <c r="AD433" s="440"/>
      <c r="AE433" s="440"/>
      <c r="AF433" s="1781"/>
      <c r="AG433" s="1781"/>
      <c r="AH433" s="1782"/>
      <c r="AI433" s="1782"/>
      <c r="AJ433" s="1781"/>
      <c r="AK433" s="1781"/>
      <c r="AL433" s="1782"/>
      <c r="AM433" s="1782"/>
      <c r="AN433" s="1781"/>
      <c r="AO433" s="1781"/>
      <c r="AP433" s="1782"/>
      <c r="AQ433" s="1782"/>
      <c r="AR433" s="1781"/>
      <c r="AS433" s="1781"/>
      <c r="AT433" s="1782"/>
      <c r="AU433" s="1782"/>
      <c r="AV433" s="1781"/>
      <c r="AW433" s="1781"/>
      <c r="AX433" s="1782"/>
      <c r="AY433" s="1782"/>
      <c r="AZ433" s="423"/>
      <c r="BA433" s="423"/>
      <c r="BB433" s="423"/>
      <c r="BC433" s="423"/>
      <c r="BD433" s="423"/>
      <c r="BE433" s="423"/>
      <c r="BF433" s="1796"/>
      <c r="BG433" s="1796"/>
      <c r="BH433" s="1796"/>
      <c r="BI433" s="1796"/>
      <c r="BJ433" s="1796"/>
      <c r="BK433" s="1796"/>
      <c r="BL433" s="1796"/>
      <c r="BM433" s="1796"/>
      <c r="BN433" s="1796"/>
      <c r="BO433" s="1796"/>
      <c r="BP433" s="1796"/>
      <c r="BQ433" s="1796"/>
      <c r="BR433" s="1780"/>
      <c r="BS433" s="1780"/>
      <c r="BT433" s="1780"/>
      <c r="BU433" s="882"/>
      <c r="BV433" s="882"/>
      <c r="BW433" s="423"/>
      <c r="BX433" s="423"/>
      <c r="BY433" s="423"/>
      <c r="BZ433" s="423"/>
      <c r="CA433" s="423"/>
      <c r="CB433" s="423"/>
      <c r="CC433" s="423"/>
      <c r="CD433" s="423"/>
      <c r="CE433" s="423"/>
      <c r="CF433" s="423"/>
      <c r="CG433" s="423"/>
      <c r="CH433" s="423"/>
      <c r="CI433" s="423"/>
      <c r="CJ433" s="423"/>
      <c r="CK433" s="423"/>
      <c r="CL433" s="423"/>
      <c r="CM433" s="423"/>
      <c r="CN433" s="423"/>
      <c r="CO433" s="423"/>
      <c r="CP433" s="423"/>
      <c r="CQ433" s="423"/>
      <c r="CR433" s="423"/>
      <c r="CS433" s="423"/>
      <c r="CT433" s="423"/>
      <c r="CU433" s="423"/>
      <c r="CV433" s="423"/>
      <c r="CW433" s="423"/>
      <c r="CX433" s="423"/>
      <c r="CY433" s="423"/>
      <c r="CZ433" s="423"/>
      <c r="DA433" s="423"/>
      <c r="DB433" s="423"/>
      <c r="DC433" s="423"/>
      <c r="DD433" s="423"/>
      <c r="DE433" s="423"/>
      <c r="DF433" s="423"/>
      <c r="DG433" s="423"/>
      <c r="DH433" s="423"/>
      <c r="DI433" s="423"/>
      <c r="DJ433" s="423"/>
      <c r="DK433" s="423"/>
      <c r="DL433" s="423"/>
      <c r="DM433" s="423"/>
      <c r="DN433" s="423"/>
      <c r="DO433" s="423"/>
      <c r="DP433" s="423"/>
      <c r="DQ433" s="423"/>
      <c r="DR433" s="423"/>
      <c r="DS433" s="423"/>
      <c r="DT433" s="423"/>
      <c r="DU433" s="423"/>
      <c r="DV433" s="423"/>
      <c r="DW433" s="423"/>
      <c r="DX433" s="423"/>
      <c r="DY433" s="423"/>
      <c r="DZ433" s="423"/>
      <c r="EA433" s="423"/>
      <c r="EB433" s="423"/>
      <c r="EC433" s="423"/>
      <c r="ED433" s="423"/>
      <c r="EE433" s="423"/>
      <c r="EF433" s="423"/>
      <c r="EG433" s="423"/>
      <c r="EH433" s="423"/>
      <c r="EI433" s="423"/>
      <c r="EJ433" s="423"/>
      <c r="EK433" s="423"/>
      <c r="EL433" s="423"/>
      <c r="EM433" s="423"/>
      <c r="EN433" s="423"/>
      <c r="EO433" s="423"/>
      <c r="EP433" s="423"/>
      <c r="EQ433" s="423"/>
      <c r="ER433" s="423"/>
      <c r="ES433" s="423"/>
      <c r="ET433" s="423"/>
      <c r="EU433" s="423"/>
      <c r="EV433" s="423"/>
      <c r="EW433" s="423"/>
      <c r="EX433" s="423"/>
      <c r="EY433" s="423"/>
      <c r="EZ433" s="423"/>
      <c r="FA433" s="423"/>
      <c r="FB433" s="423"/>
      <c r="FC433" s="423"/>
      <c r="FD433" s="423"/>
      <c r="FE433" s="423"/>
      <c r="FF433" s="423"/>
      <c r="FG433" s="423"/>
      <c r="FH433" s="423"/>
      <c r="FI433" s="423"/>
      <c r="FJ433" s="423"/>
      <c r="FK433" s="423"/>
      <c r="FL433" s="423"/>
      <c r="FM433" s="423"/>
      <c r="FN433" s="423"/>
      <c r="FO433" s="423"/>
      <c r="FP433" s="423"/>
      <c r="FQ433" s="423"/>
      <c r="FR433" s="423"/>
      <c r="FS433" s="423"/>
      <c r="FT433" s="423"/>
      <c r="FU433" s="423"/>
      <c r="FV433" s="423"/>
      <c r="FW433" s="423"/>
      <c r="FX433" s="423"/>
      <c r="FY433" s="423"/>
      <c r="FZ433" s="423"/>
      <c r="GA433" s="423"/>
      <c r="GB433" s="423"/>
      <c r="GC433" s="423"/>
      <c r="GD433" s="423"/>
      <c r="GE433" s="423"/>
      <c r="GF433" s="423"/>
      <c r="GG433" s="423"/>
      <c r="GH433" s="423"/>
      <c r="GI433" s="423"/>
      <c r="GJ433" s="423"/>
      <c r="GK433" s="423"/>
      <c r="GL433" s="423"/>
      <c r="GM433" s="423"/>
      <c r="GN433" s="423"/>
      <c r="GO433" s="423"/>
      <c r="GP433" s="423"/>
      <c r="GQ433" s="423"/>
      <c r="GR433" s="423"/>
      <c r="GS433" s="423"/>
      <c r="GT433" s="423"/>
      <c r="GU433" s="423"/>
      <c r="GV433" s="423"/>
      <c r="GW433" s="423"/>
      <c r="GX433" s="423"/>
      <c r="GY433" s="423"/>
      <c r="GZ433" s="423"/>
      <c r="HA433" s="423"/>
      <c r="HB433" s="423"/>
      <c r="HC433" s="423"/>
      <c r="HD433" s="423"/>
      <c r="HE433" s="423"/>
      <c r="HF433" s="423"/>
      <c r="HG433" s="423"/>
      <c r="HH433" s="423"/>
      <c r="HI433" s="423"/>
      <c r="HJ433" s="423"/>
      <c r="HK433" s="423"/>
      <c r="HL433" s="423"/>
      <c r="HM433" s="423"/>
      <c r="HN433" s="423"/>
      <c r="HO433" s="423"/>
      <c r="HP433" s="423"/>
      <c r="HQ433" s="423"/>
      <c r="HR433" s="423"/>
      <c r="HS433" s="423"/>
      <c r="HT433" s="423"/>
      <c r="HU433" s="423"/>
      <c r="HV433" s="423"/>
      <c r="HW433" s="423"/>
      <c r="HX433" s="423"/>
      <c r="HY433" s="423"/>
      <c r="HZ433" s="423"/>
      <c r="IA433" s="423"/>
      <c r="IB433" s="423"/>
      <c r="IC433" s="423"/>
      <c r="ID433" s="423"/>
      <c r="IE433" s="423"/>
      <c r="IF433" s="423"/>
      <c r="IG433" s="423"/>
      <c r="IH433" s="423"/>
      <c r="II433" s="423"/>
    </row>
    <row r="434" spans="1:243" ht="12" hidden="1" customHeight="1">
      <c r="A434" s="423"/>
      <c r="B434" s="423"/>
      <c r="C434" s="423"/>
      <c r="D434" s="423"/>
      <c r="E434" s="423"/>
      <c r="F434" s="423"/>
      <c r="G434" s="423"/>
      <c r="H434" s="423"/>
      <c r="I434" s="423"/>
      <c r="J434" s="423"/>
      <c r="K434" s="423"/>
      <c r="L434" s="423"/>
      <c r="M434" s="423"/>
      <c r="N434" s="423"/>
      <c r="O434" s="423"/>
      <c r="P434" s="423"/>
      <c r="Q434" s="423"/>
      <c r="R434" s="695"/>
      <c r="S434" s="695"/>
      <c r="T434" s="695"/>
      <c r="U434" s="695"/>
      <c r="V434" s="695"/>
      <c r="W434" s="695"/>
      <c r="X434" s="695"/>
      <c r="Y434" s="696"/>
      <c r="Z434" s="696"/>
      <c r="AA434" s="423"/>
      <c r="AB434" s="440"/>
      <c r="AC434" s="440"/>
      <c r="AD434" s="440"/>
      <c r="AE434" s="440"/>
      <c r="AF434" s="1781"/>
      <c r="AG434" s="1781"/>
      <c r="AH434" s="1782"/>
      <c r="AI434" s="1782"/>
      <c r="AJ434" s="1781"/>
      <c r="AK434" s="1781"/>
      <c r="AL434" s="1782"/>
      <c r="AM434" s="1782"/>
      <c r="AN434" s="1781"/>
      <c r="AO434" s="1781"/>
      <c r="AP434" s="1782"/>
      <c r="AQ434" s="1782"/>
      <c r="AR434" s="1781"/>
      <c r="AS434" s="1781"/>
      <c r="AT434" s="1782"/>
      <c r="AU434" s="1782"/>
      <c r="AV434" s="1781"/>
      <c r="AW434" s="1781"/>
      <c r="AX434" s="1782"/>
      <c r="AY434" s="1782"/>
      <c r="AZ434" s="423"/>
      <c r="BA434" s="423"/>
      <c r="BB434" s="423"/>
      <c r="BC434" s="423"/>
      <c r="BD434" s="423"/>
      <c r="BE434" s="423"/>
      <c r="BF434" s="1796" t="s">
        <v>398</v>
      </c>
      <c r="BG434" s="1796"/>
      <c r="BH434" s="1796" t="s">
        <v>399</v>
      </c>
      <c r="BI434" s="1796" t="s">
        <v>398</v>
      </c>
      <c r="BJ434" s="1796"/>
      <c r="BK434" s="1796" t="s">
        <v>399</v>
      </c>
      <c r="BL434" s="1796" t="s">
        <v>398</v>
      </c>
      <c r="BM434" s="1796"/>
      <c r="BN434" s="1796" t="s">
        <v>399</v>
      </c>
      <c r="BO434" s="1796" t="s">
        <v>398</v>
      </c>
      <c r="BP434" s="1796"/>
      <c r="BQ434" s="1796" t="s">
        <v>399</v>
      </c>
      <c r="BR434" s="1780"/>
      <c r="BS434" s="1780"/>
      <c r="BT434" s="1780"/>
      <c r="BU434" s="882"/>
      <c r="BV434" s="882"/>
      <c r="BW434" s="423"/>
      <c r="BX434" s="423"/>
      <c r="BY434" s="423"/>
      <c r="BZ434" s="423"/>
      <c r="CA434" s="423"/>
      <c r="CB434" s="423"/>
      <c r="CC434" s="423"/>
      <c r="CD434" s="423"/>
      <c r="CE434" s="423"/>
      <c r="CF434" s="423"/>
      <c r="CG434" s="423"/>
      <c r="CH434" s="423"/>
      <c r="CI434" s="423"/>
      <c r="CJ434" s="423"/>
      <c r="CK434" s="423"/>
      <c r="CL434" s="423"/>
      <c r="CM434" s="423"/>
      <c r="CN434" s="423"/>
      <c r="CO434" s="423"/>
      <c r="CP434" s="423"/>
      <c r="CQ434" s="423"/>
      <c r="CR434" s="423"/>
      <c r="CS434" s="423"/>
      <c r="CT434" s="423"/>
      <c r="CU434" s="423"/>
      <c r="CV434" s="423"/>
      <c r="CW434" s="423"/>
      <c r="CX434" s="423"/>
      <c r="CY434" s="423"/>
      <c r="CZ434" s="423"/>
      <c r="DA434" s="423"/>
      <c r="DB434" s="423"/>
      <c r="DC434" s="423"/>
      <c r="DD434" s="423"/>
      <c r="DE434" s="423"/>
      <c r="DF434" s="423"/>
      <c r="DG434" s="423"/>
      <c r="DH434" s="423"/>
      <c r="DI434" s="423"/>
      <c r="DJ434" s="423"/>
      <c r="DK434" s="423"/>
      <c r="DL434" s="423"/>
      <c r="DM434" s="423"/>
      <c r="DN434" s="423"/>
      <c r="DO434" s="423"/>
      <c r="DP434" s="423"/>
      <c r="DQ434" s="423"/>
      <c r="DR434" s="423"/>
      <c r="DS434" s="423"/>
      <c r="DT434" s="423"/>
      <c r="DU434" s="423"/>
      <c r="DV434" s="423"/>
      <c r="DW434" s="423"/>
      <c r="DX434" s="423"/>
      <c r="DY434" s="423"/>
      <c r="DZ434" s="423"/>
      <c r="EA434" s="423"/>
      <c r="EB434" s="423"/>
      <c r="EC434" s="423"/>
      <c r="ED434" s="423"/>
      <c r="EE434" s="423"/>
      <c r="EF434" s="423"/>
      <c r="EG434" s="423"/>
      <c r="EH434" s="423"/>
      <c r="EI434" s="423"/>
      <c r="EJ434" s="423"/>
      <c r="EK434" s="423"/>
      <c r="EL434" s="423"/>
      <c r="EM434" s="423"/>
      <c r="EN434" s="423"/>
      <c r="EO434" s="423"/>
      <c r="EP434" s="423"/>
      <c r="EQ434" s="423"/>
      <c r="ER434" s="423"/>
      <c r="ES434" s="423"/>
      <c r="ET434" s="423"/>
      <c r="EU434" s="423"/>
      <c r="EV434" s="423"/>
      <c r="EW434" s="423"/>
      <c r="EX434" s="423"/>
      <c r="EY434" s="423"/>
      <c r="EZ434" s="423"/>
      <c r="FA434" s="423"/>
      <c r="FB434" s="423"/>
      <c r="FC434" s="423"/>
      <c r="FD434" s="423"/>
      <c r="FE434" s="423"/>
      <c r="FF434" s="423"/>
      <c r="FG434" s="423"/>
      <c r="FH434" s="423"/>
      <c r="FI434" s="423"/>
      <c r="FJ434" s="423"/>
      <c r="FK434" s="423"/>
      <c r="FL434" s="423"/>
      <c r="FM434" s="423"/>
      <c r="FN434" s="423"/>
      <c r="FO434" s="423"/>
      <c r="FP434" s="423"/>
      <c r="FQ434" s="423"/>
      <c r="FR434" s="423"/>
      <c r="FS434" s="423"/>
      <c r="FT434" s="423"/>
      <c r="FU434" s="423"/>
      <c r="FV434" s="423"/>
      <c r="FW434" s="423"/>
      <c r="FX434" s="423"/>
      <c r="FY434" s="423"/>
      <c r="FZ434" s="423"/>
      <c r="GA434" s="423"/>
      <c r="GB434" s="423"/>
      <c r="GC434" s="423"/>
      <c r="GD434" s="423"/>
      <c r="GE434" s="423"/>
      <c r="GF434" s="423"/>
      <c r="GG434" s="423"/>
      <c r="GH434" s="423"/>
      <c r="GI434" s="423"/>
      <c r="GJ434" s="423"/>
      <c r="GK434" s="423"/>
      <c r="GL434" s="423"/>
      <c r="GM434" s="423"/>
      <c r="GN434" s="423"/>
      <c r="GO434" s="423"/>
      <c r="GP434" s="423"/>
      <c r="GQ434" s="423"/>
      <c r="GR434" s="423"/>
      <c r="GS434" s="423"/>
      <c r="GT434" s="423"/>
      <c r="GU434" s="423"/>
      <c r="GV434" s="423"/>
      <c r="GW434" s="423"/>
      <c r="GX434" s="423"/>
      <c r="GY434" s="423"/>
      <c r="GZ434" s="423"/>
      <c r="HA434" s="423"/>
      <c r="HB434" s="423"/>
      <c r="HC434" s="423"/>
      <c r="HD434" s="423"/>
      <c r="HE434" s="423"/>
      <c r="HF434" s="423"/>
      <c r="HG434" s="423"/>
      <c r="HH434" s="423"/>
      <c r="HI434" s="423"/>
      <c r="HJ434" s="423"/>
      <c r="HK434" s="423"/>
      <c r="HL434" s="423"/>
      <c r="HM434" s="423"/>
      <c r="HN434" s="423"/>
      <c r="HO434" s="423"/>
      <c r="HP434" s="423"/>
      <c r="HQ434" s="423"/>
      <c r="HR434" s="423"/>
      <c r="HS434" s="423"/>
      <c r="HT434" s="423"/>
      <c r="HU434" s="423"/>
      <c r="HV434" s="423"/>
      <c r="HW434" s="423"/>
      <c r="HX434" s="423"/>
      <c r="HY434" s="423"/>
      <c r="HZ434" s="423"/>
      <c r="IA434" s="423"/>
      <c r="IB434" s="423"/>
      <c r="IC434" s="423"/>
      <c r="ID434" s="423"/>
      <c r="IE434" s="423"/>
      <c r="IF434" s="423"/>
      <c r="IG434" s="423"/>
      <c r="IH434" s="423"/>
      <c r="II434" s="423"/>
    </row>
    <row r="435" spans="1:243" ht="12" hidden="1" customHeight="1">
      <c r="A435" s="423"/>
      <c r="B435" s="423"/>
      <c r="C435" s="423"/>
      <c r="D435" s="423"/>
      <c r="E435" s="423"/>
      <c r="F435" s="423"/>
      <c r="G435" s="423"/>
      <c r="H435" s="423"/>
      <c r="I435" s="423"/>
      <c r="J435" s="423"/>
      <c r="K435" s="423"/>
      <c r="L435" s="423"/>
      <c r="M435" s="423"/>
      <c r="N435" s="423"/>
      <c r="O435" s="423"/>
      <c r="P435" s="423"/>
      <c r="Q435" s="423"/>
      <c r="R435" s="695"/>
      <c r="S435" s="695"/>
      <c r="T435" s="695"/>
      <c r="U435" s="695"/>
      <c r="V435" s="695"/>
      <c r="W435" s="695"/>
      <c r="X435" s="695"/>
      <c r="Y435" s="696"/>
      <c r="Z435" s="696"/>
      <c r="AA435" s="423"/>
      <c r="AB435" s="440"/>
      <c r="AC435" s="440"/>
      <c r="AD435" s="440"/>
      <c r="AE435" s="440"/>
      <c r="AF435" s="1781"/>
      <c r="AG435" s="1781"/>
      <c r="AH435" s="1782"/>
      <c r="AI435" s="1782"/>
      <c r="AJ435" s="1781"/>
      <c r="AK435" s="1781"/>
      <c r="AL435" s="1782"/>
      <c r="AM435" s="1782"/>
      <c r="AN435" s="1781"/>
      <c r="AO435" s="1781"/>
      <c r="AP435" s="1782"/>
      <c r="AQ435" s="1782"/>
      <c r="AR435" s="1781"/>
      <c r="AS435" s="1781"/>
      <c r="AT435" s="1782"/>
      <c r="AU435" s="1782"/>
      <c r="AV435" s="1781"/>
      <c r="AW435" s="1781"/>
      <c r="AX435" s="1782"/>
      <c r="AY435" s="1782"/>
      <c r="AZ435" s="423"/>
      <c r="BA435" s="423"/>
      <c r="BB435" s="423"/>
      <c r="BC435" s="423"/>
      <c r="BD435" s="423"/>
      <c r="BE435" s="1792">
        <v>1</v>
      </c>
      <c r="BF435" s="1795">
        <f t="shared" ref="BF435:BF446" si="13">IF(BF$426=99,"",IF(OR(AND(($BE435-1)&lt;(IF(BG$426=99,BI$426,BG$426)),$BE435&gt;BF$426),AND($BE435&gt;BH$426,($BE435-1)&lt;BI$426)),$BE435,""))</f>
        <v>1</v>
      </c>
      <c r="BG435" s="1793"/>
      <c r="BH435" s="1794" t="str">
        <f t="shared" ref="BH435:BH446" si="14">IF(OR(BF435&lt;&gt;"",BH$426=99),"",IF(AND($BE435&gt;BG$426,($BE435-1)&lt;BH$426),$BE435,""))</f>
        <v/>
      </c>
      <c r="BI435" s="1795" t="str">
        <f t="shared" ref="BI435:BI446" si="15">IF(BI$426=99,"",IF(OR(AND(($BE435-1)&lt;(IF(BJ$426=99,BL$426,BJ$426)),$BE435&gt;BI$426),AND($BE435&gt;BK$426,($BE435-1)&lt;BL$426)),$BE435,""))</f>
        <v/>
      </c>
      <c r="BJ435" s="1793"/>
      <c r="BK435" s="1794" t="str">
        <f t="shared" ref="BK435:BK446" si="16">IF(OR(BI435&lt;&gt;"",BK$426=99),"",IF(AND($BE435&gt;BJ$426,($BE435-1)&lt;BK$426),$BE435,""))</f>
        <v/>
      </c>
      <c r="BL435" s="1795" t="str">
        <f t="shared" ref="BL435:BL446" si="17">IF(BL$426=99,"",IF(OR(AND(($BE435-1)&lt;(IF(BM$426=99,BO$426,BM$426)),$BE435&gt;BL$426),AND($BE435&gt;BN$426,($BE435-1)&lt;BO$426)),$BE435,""))</f>
        <v/>
      </c>
      <c r="BM435" s="1793"/>
      <c r="BN435" s="1794" t="str">
        <f t="shared" ref="BN435:BN446" si="18">IF(OR(BL435&lt;&gt;"",BN$426=99),"",IF(AND($BE435&gt;BM$426,($BE435-1)&lt;BN$426),$BE435,""))</f>
        <v/>
      </c>
      <c r="BO435" s="1795" t="str">
        <f t="shared" ref="BO435:BO446" si="19">IF(BO$426=99,"",IF(OR(AND(($BE435-1)&lt;(IF(BP$426=99,BR$426,BP$426)),$BE435&gt;BO$426),AND($BE435&gt;BQ$426,($BE435-1)&lt;BR$426)),$BE435,""))</f>
        <v/>
      </c>
      <c r="BP435" s="1793"/>
      <c r="BQ435" s="1794" t="str">
        <f t="shared" ref="BQ435:BQ446" si="20">IF(OR(BO435&lt;&gt;"",BQ$426=99),"",IF(AND($BE435&gt;BP$426,($BE435-1)&lt;BQ$426),$BE435,""))</f>
        <v/>
      </c>
      <c r="BR435" s="1780"/>
      <c r="BS435" s="1780"/>
      <c r="BT435" s="1780"/>
      <c r="BU435" s="882"/>
      <c r="BV435" s="882"/>
      <c r="BW435" s="423"/>
      <c r="BX435" s="423"/>
      <c r="BY435" s="423"/>
      <c r="BZ435" s="423"/>
      <c r="CA435" s="423"/>
      <c r="CB435" s="423"/>
      <c r="CC435" s="423"/>
      <c r="CD435" s="423"/>
      <c r="CE435" s="423"/>
      <c r="CF435" s="423"/>
      <c r="CG435" s="423"/>
      <c r="CH435" s="423"/>
      <c r="CI435" s="423"/>
      <c r="CJ435" s="423"/>
      <c r="CK435" s="423"/>
      <c r="CL435" s="423"/>
      <c r="CM435" s="423"/>
      <c r="CN435" s="423"/>
      <c r="CO435" s="423"/>
      <c r="CP435" s="423"/>
      <c r="CQ435" s="423"/>
      <c r="CR435" s="423"/>
      <c r="CS435" s="423"/>
      <c r="CT435" s="423"/>
      <c r="CU435" s="423"/>
      <c r="CV435" s="423"/>
      <c r="CW435" s="423"/>
      <c r="CX435" s="423"/>
      <c r="CY435" s="423"/>
      <c r="CZ435" s="423"/>
      <c r="DA435" s="423"/>
      <c r="DB435" s="423"/>
      <c r="DC435" s="423"/>
      <c r="DD435" s="423"/>
      <c r="DE435" s="423"/>
      <c r="DF435" s="423"/>
      <c r="DG435" s="423"/>
      <c r="DH435" s="423"/>
      <c r="DI435" s="423"/>
      <c r="DJ435" s="423"/>
      <c r="DK435" s="423"/>
      <c r="DL435" s="423"/>
      <c r="DM435" s="423"/>
      <c r="DN435" s="423"/>
      <c r="DO435" s="423"/>
      <c r="DP435" s="423"/>
      <c r="DQ435" s="423"/>
      <c r="DR435" s="423"/>
      <c r="DS435" s="423"/>
      <c r="DT435" s="423"/>
      <c r="DU435" s="423"/>
      <c r="DV435" s="423"/>
      <c r="DW435" s="423"/>
      <c r="DX435" s="423"/>
      <c r="DY435" s="423"/>
      <c r="DZ435" s="423"/>
      <c r="EA435" s="423"/>
      <c r="EB435" s="423"/>
      <c r="EC435" s="423"/>
      <c r="ED435" s="423"/>
      <c r="EE435" s="423"/>
      <c r="EF435" s="423"/>
      <c r="EG435" s="423"/>
      <c r="EH435" s="423"/>
      <c r="EI435" s="423"/>
      <c r="EJ435" s="423"/>
      <c r="EK435" s="423"/>
      <c r="EL435" s="423"/>
      <c r="EM435" s="423"/>
      <c r="EN435" s="423"/>
      <c r="EO435" s="423"/>
      <c r="EP435" s="423"/>
      <c r="EQ435" s="423"/>
      <c r="ER435" s="423"/>
      <c r="ES435" s="423"/>
      <c r="ET435" s="423"/>
      <c r="EU435" s="423"/>
      <c r="EV435" s="423"/>
      <c r="EW435" s="423"/>
      <c r="EX435" s="423"/>
      <c r="EY435" s="423"/>
      <c r="EZ435" s="423"/>
      <c r="FA435" s="423"/>
      <c r="FB435" s="423"/>
      <c r="FC435" s="423"/>
      <c r="FD435" s="423"/>
      <c r="FE435" s="423"/>
      <c r="FF435" s="423"/>
      <c r="FG435" s="423"/>
      <c r="FH435" s="423"/>
      <c r="FI435" s="423"/>
      <c r="FJ435" s="423"/>
      <c r="FK435" s="423"/>
      <c r="FL435" s="423"/>
      <c r="FM435" s="423"/>
      <c r="FN435" s="423"/>
      <c r="FO435" s="423"/>
      <c r="FP435" s="423"/>
      <c r="FQ435" s="423"/>
      <c r="FR435" s="423"/>
      <c r="FS435" s="423"/>
      <c r="FT435" s="423"/>
      <c r="FU435" s="423"/>
      <c r="FV435" s="423"/>
      <c r="FW435" s="423"/>
      <c r="FX435" s="423"/>
      <c r="FY435" s="423"/>
      <c r="FZ435" s="423"/>
      <c r="GA435" s="423"/>
      <c r="GB435" s="423"/>
      <c r="GC435" s="423"/>
      <c r="GD435" s="423"/>
      <c r="GE435" s="423"/>
      <c r="GF435" s="423"/>
      <c r="GG435" s="423"/>
      <c r="GH435" s="423"/>
      <c r="GI435" s="423"/>
      <c r="GJ435" s="423"/>
      <c r="GK435" s="423"/>
      <c r="GL435" s="423"/>
      <c r="GM435" s="423"/>
      <c r="GN435" s="423"/>
      <c r="GO435" s="423"/>
      <c r="GP435" s="423"/>
      <c r="GQ435" s="423"/>
      <c r="GR435" s="423"/>
      <c r="GS435" s="423"/>
      <c r="GT435" s="423"/>
      <c r="GU435" s="423"/>
      <c r="GV435" s="423"/>
      <c r="GW435" s="423"/>
      <c r="GX435" s="423"/>
      <c r="GY435" s="423"/>
      <c r="GZ435" s="423"/>
      <c r="HA435" s="423"/>
      <c r="HB435" s="423"/>
      <c r="HC435" s="423"/>
      <c r="HD435" s="423"/>
      <c r="HE435" s="423"/>
      <c r="HF435" s="423"/>
      <c r="HG435" s="423"/>
      <c r="HH435" s="423"/>
      <c r="HI435" s="423"/>
      <c r="HJ435" s="423"/>
      <c r="HK435" s="423"/>
      <c r="HL435" s="423"/>
      <c r="HM435" s="423"/>
      <c r="HN435" s="423"/>
      <c r="HO435" s="423"/>
      <c r="HP435" s="423"/>
      <c r="HQ435" s="423"/>
      <c r="HR435" s="423"/>
      <c r="HS435" s="423"/>
      <c r="HT435" s="423"/>
      <c r="HU435" s="423"/>
      <c r="HV435" s="423"/>
      <c r="HW435" s="423"/>
      <c r="HX435" s="423"/>
      <c r="HY435" s="423"/>
      <c r="HZ435" s="423"/>
      <c r="IA435" s="423"/>
      <c r="IB435" s="423"/>
      <c r="IC435" s="423"/>
      <c r="ID435" s="423"/>
      <c r="IE435" s="423"/>
      <c r="IF435" s="423"/>
      <c r="IG435" s="423"/>
      <c r="IH435" s="423"/>
      <c r="II435" s="423"/>
    </row>
    <row r="436" spans="1:243" ht="12" hidden="1" customHeight="1">
      <c r="A436" s="423"/>
      <c r="B436" s="423"/>
      <c r="C436" s="423"/>
      <c r="D436" s="423"/>
      <c r="E436" s="423"/>
      <c r="F436" s="423"/>
      <c r="G436" s="423"/>
      <c r="H436" s="423"/>
      <c r="I436" s="423"/>
      <c r="J436" s="423"/>
      <c r="K436" s="423"/>
      <c r="L436" s="423"/>
      <c r="M436" s="423"/>
      <c r="N436" s="423"/>
      <c r="O436" s="423"/>
      <c r="P436" s="423"/>
      <c r="Q436" s="423"/>
      <c r="R436" s="695"/>
      <c r="S436" s="695"/>
      <c r="T436" s="695"/>
      <c r="U436" s="695"/>
      <c r="V436" s="695"/>
      <c r="W436" s="695"/>
      <c r="X436" s="695"/>
      <c r="Y436" s="696"/>
      <c r="Z436" s="696"/>
      <c r="AA436" s="423"/>
      <c r="AB436" s="440"/>
      <c r="AC436" s="440"/>
      <c r="AD436" s="440"/>
      <c r="AE436" s="440"/>
      <c r="AF436" s="1781"/>
      <c r="AG436" s="1781"/>
      <c r="AH436" s="1782"/>
      <c r="AI436" s="1782"/>
      <c r="AJ436" s="1781"/>
      <c r="AK436" s="1781"/>
      <c r="AL436" s="1782"/>
      <c r="AM436" s="1782"/>
      <c r="AN436" s="1781"/>
      <c r="AO436" s="1781"/>
      <c r="AP436" s="1782"/>
      <c r="AQ436" s="1782"/>
      <c r="AR436" s="1781"/>
      <c r="AS436" s="1781"/>
      <c r="AT436" s="1782"/>
      <c r="AU436" s="1782"/>
      <c r="AV436" s="1781"/>
      <c r="AW436" s="1781"/>
      <c r="AX436" s="1782"/>
      <c r="AY436" s="1782"/>
      <c r="AZ436" s="423"/>
      <c r="BA436" s="423"/>
      <c r="BB436" s="423"/>
      <c r="BC436" s="423"/>
      <c r="BD436" s="423"/>
      <c r="BE436" s="1792">
        <v>2</v>
      </c>
      <c r="BF436" s="1795">
        <f t="shared" si="13"/>
        <v>2</v>
      </c>
      <c r="BG436" s="1793"/>
      <c r="BH436" s="1794" t="str">
        <f t="shared" si="14"/>
        <v/>
      </c>
      <c r="BI436" s="1795" t="str">
        <f t="shared" si="15"/>
        <v/>
      </c>
      <c r="BJ436" s="1793"/>
      <c r="BK436" s="1794" t="str">
        <f t="shared" si="16"/>
        <v/>
      </c>
      <c r="BL436" s="1795" t="str">
        <f t="shared" si="17"/>
        <v/>
      </c>
      <c r="BM436" s="1793"/>
      <c r="BN436" s="1794" t="str">
        <f t="shared" si="18"/>
        <v/>
      </c>
      <c r="BO436" s="1795" t="str">
        <f t="shared" si="19"/>
        <v/>
      </c>
      <c r="BP436" s="1793"/>
      <c r="BQ436" s="1794" t="str">
        <f t="shared" si="20"/>
        <v/>
      </c>
      <c r="BR436" s="1780"/>
      <c r="BS436" s="1780"/>
      <c r="BT436" s="1780"/>
      <c r="BU436" s="882"/>
      <c r="BV436" s="882"/>
      <c r="BW436" s="423"/>
      <c r="BX436" s="423"/>
      <c r="BY436" s="423"/>
      <c r="BZ436" s="423"/>
      <c r="CA436" s="423"/>
      <c r="CB436" s="423"/>
      <c r="CC436" s="423"/>
      <c r="CD436" s="423"/>
      <c r="CE436" s="423"/>
      <c r="CF436" s="423"/>
      <c r="CG436" s="423"/>
      <c r="CH436" s="423"/>
      <c r="CI436" s="423"/>
      <c r="CJ436" s="423"/>
      <c r="CK436" s="423"/>
      <c r="CL436" s="423"/>
      <c r="CM436" s="423"/>
      <c r="CN436" s="423"/>
      <c r="CO436" s="423"/>
      <c r="CP436" s="423"/>
      <c r="CQ436" s="423"/>
      <c r="CR436" s="423"/>
      <c r="CS436" s="423"/>
      <c r="CT436" s="423"/>
      <c r="CU436" s="423"/>
      <c r="CV436" s="423"/>
      <c r="CW436" s="423"/>
      <c r="CX436" s="423"/>
      <c r="CY436" s="423"/>
      <c r="CZ436" s="423"/>
      <c r="DA436" s="423"/>
      <c r="DB436" s="423"/>
      <c r="DC436" s="423"/>
      <c r="DD436" s="423"/>
      <c r="DE436" s="423"/>
      <c r="DF436" s="423"/>
      <c r="DG436" s="423"/>
      <c r="DH436" s="423"/>
      <c r="DI436" s="423"/>
      <c r="DJ436" s="423"/>
      <c r="DK436" s="423"/>
      <c r="DL436" s="423"/>
      <c r="DM436" s="423"/>
      <c r="DN436" s="423"/>
      <c r="DO436" s="423"/>
      <c r="DP436" s="423"/>
      <c r="DQ436" s="423"/>
      <c r="DR436" s="423"/>
      <c r="DS436" s="423"/>
      <c r="DT436" s="423"/>
      <c r="DU436" s="423"/>
      <c r="DV436" s="423"/>
      <c r="DW436" s="423"/>
      <c r="DX436" s="423"/>
      <c r="DY436" s="423"/>
      <c r="DZ436" s="423"/>
      <c r="EA436" s="423"/>
      <c r="EB436" s="423"/>
      <c r="EC436" s="423"/>
      <c r="ED436" s="423"/>
      <c r="EE436" s="423"/>
      <c r="EF436" s="423"/>
      <c r="EG436" s="423"/>
      <c r="EH436" s="423"/>
      <c r="EI436" s="423"/>
      <c r="EJ436" s="423"/>
      <c r="EK436" s="423"/>
      <c r="EL436" s="423"/>
      <c r="EM436" s="423"/>
      <c r="EN436" s="423"/>
      <c r="EO436" s="423"/>
      <c r="EP436" s="423"/>
      <c r="EQ436" s="423"/>
      <c r="ER436" s="423"/>
      <c r="ES436" s="423"/>
      <c r="ET436" s="423"/>
      <c r="EU436" s="423"/>
      <c r="EV436" s="423"/>
      <c r="EW436" s="423"/>
      <c r="EX436" s="423"/>
      <c r="EY436" s="423"/>
      <c r="EZ436" s="423"/>
      <c r="FA436" s="423"/>
      <c r="FB436" s="423"/>
      <c r="FC436" s="423"/>
      <c r="FD436" s="423"/>
      <c r="FE436" s="423"/>
      <c r="FF436" s="423"/>
      <c r="FG436" s="423"/>
      <c r="FH436" s="423"/>
      <c r="FI436" s="423"/>
      <c r="FJ436" s="423"/>
      <c r="FK436" s="423"/>
      <c r="FL436" s="423"/>
      <c r="FM436" s="423"/>
      <c r="FN436" s="423"/>
      <c r="FO436" s="423"/>
      <c r="FP436" s="423"/>
      <c r="FQ436" s="423"/>
      <c r="FR436" s="423"/>
      <c r="FS436" s="423"/>
      <c r="FT436" s="423"/>
      <c r="FU436" s="423"/>
      <c r="FV436" s="423"/>
      <c r="FW436" s="423"/>
      <c r="FX436" s="423"/>
      <c r="FY436" s="423"/>
      <c r="FZ436" s="423"/>
      <c r="GA436" s="423"/>
      <c r="GB436" s="423"/>
      <c r="GC436" s="423"/>
      <c r="GD436" s="423"/>
      <c r="GE436" s="423"/>
      <c r="GF436" s="423"/>
      <c r="GG436" s="423"/>
      <c r="GH436" s="423"/>
      <c r="GI436" s="423"/>
      <c r="GJ436" s="423"/>
      <c r="GK436" s="423"/>
      <c r="GL436" s="423"/>
      <c r="GM436" s="423"/>
      <c r="GN436" s="423"/>
      <c r="GO436" s="423"/>
      <c r="GP436" s="423"/>
      <c r="GQ436" s="423"/>
      <c r="GR436" s="423"/>
      <c r="GS436" s="423"/>
      <c r="GT436" s="423"/>
      <c r="GU436" s="423"/>
      <c r="GV436" s="423"/>
      <c r="GW436" s="423"/>
      <c r="GX436" s="423"/>
      <c r="GY436" s="423"/>
      <c r="GZ436" s="423"/>
      <c r="HA436" s="423"/>
      <c r="HB436" s="423"/>
      <c r="HC436" s="423"/>
      <c r="HD436" s="423"/>
      <c r="HE436" s="423"/>
      <c r="HF436" s="423"/>
      <c r="HG436" s="423"/>
      <c r="HH436" s="423"/>
      <c r="HI436" s="423"/>
      <c r="HJ436" s="423"/>
      <c r="HK436" s="423"/>
      <c r="HL436" s="423"/>
      <c r="HM436" s="423"/>
      <c r="HN436" s="423"/>
      <c r="HO436" s="423"/>
      <c r="HP436" s="423"/>
      <c r="HQ436" s="423"/>
      <c r="HR436" s="423"/>
      <c r="HS436" s="423"/>
      <c r="HT436" s="423"/>
      <c r="HU436" s="423"/>
      <c r="HV436" s="423"/>
      <c r="HW436" s="423"/>
      <c r="HX436" s="423"/>
      <c r="HY436" s="423"/>
      <c r="HZ436" s="423"/>
      <c r="IA436" s="423"/>
      <c r="IB436" s="423"/>
      <c r="IC436" s="423"/>
      <c r="ID436" s="423"/>
      <c r="IE436" s="423"/>
      <c r="IF436" s="423"/>
      <c r="IG436" s="423"/>
      <c r="IH436" s="423"/>
      <c r="II436" s="423"/>
    </row>
    <row r="437" spans="1:243" ht="12" hidden="1" customHeight="1">
      <c r="A437" s="423"/>
      <c r="B437" s="423"/>
      <c r="C437" s="423"/>
      <c r="D437" s="423"/>
      <c r="E437" s="423"/>
      <c r="F437" s="423"/>
      <c r="G437" s="423"/>
      <c r="H437" s="423"/>
      <c r="I437" s="423"/>
      <c r="J437" s="423"/>
      <c r="K437" s="423"/>
      <c r="L437" s="423"/>
      <c r="M437" s="423"/>
      <c r="N437" s="423"/>
      <c r="O437" s="423"/>
      <c r="P437" s="423"/>
      <c r="Q437" s="423"/>
      <c r="R437" s="695"/>
      <c r="S437" s="695"/>
      <c r="T437" s="695"/>
      <c r="U437" s="695"/>
      <c r="V437" s="695"/>
      <c r="W437" s="695"/>
      <c r="X437" s="695"/>
      <c r="Y437" s="696"/>
      <c r="Z437" s="696"/>
      <c r="AA437" s="423"/>
      <c r="AB437" s="440"/>
      <c r="AC437" s="440"/>
      <c r="AD437" s="440"/>
      <c r="AE437" s="440"/>
      <c r="AF437" s="1781"/>
      <c r="AG437" s="1781"/>
      <c r="AH437" s="1782"/>
      <c r="AI437" s="1782"/>
      <c r="AJ437" s="1781"/>
      <c r="AK437" s="1781"/>
      <c r="AL437" s="1782"/>
      <c r="AM437" s="1782"/>
      <c r="AN437" s="1781"/>
      <c r="AO437" s="1781"/>
      <c r="AP437" s="1782"/>
      <c r="AQ437" s="1782"/>
      <c r="AR437" s="1781"/>
      <c r="AS437" s="1781"/>
      <c r="AT437" s="1782"/>
      <c r="AU437" s="1782"/>
      <c r="AV437" s="1781"/>
      <c r="AW437" s="1781"/>
      <c r="AX437" s="1782"/>
      <c r="AY437" s="1782"/>
      <c r="AZ437" s="423"/>
      <c r="BA437" s="423"/>
      <c r="BB437" s="423"/>
      <c r="BC437" s="423"/>
      <c r="BD437" s="423"/>
      <c r="BE437" s="1792">
        <v>3</v>
      </c>
      <c r="BF437" s="1795">
        <f t="shared" si="13"/>
        <v>3</v>
      </c>
      <c r="BG437" s="1793"/>
      <c r="BH437" s="1794" t="str">
        <f t="shared" si="14"/>
        <v/>
      </c>
      <c r="BI437" s="1795" t="str">
        <f t="shared" si="15"/>
        <v/>
      </c>
      <c r="BJ437" s="1793"/>
      <c r="BK437" s="1794" t="str">
        <f t="shared" si="16"/>
        <v/>
      </c>
      <c r="BL437" s="1795" t="str">
        <f t="shared" si="17"/>
        <v/>
      </c>
      <c r="BM437" s="1793"/>
      <c r="BN437" s="1794" t="str">
        <f t="shared" si="18"/>
        <v/>
      </c>
      <c r="BO437" s="1795" t="str">
        <f t="shared" si="19"/>
        <v/>
      </c>
      <c r="BP437" s="1793"/>
      <c r="BQ437" s="1794" t="str">
        <f t="shared" si="20"/>
        <v/>
      </c>
      <c r="BR437" s="1780"/>
      <c r="BS437" s="1780"/>
      <c r="BT437" s="1780"/>
      <c r="BU437" s="882"/>
      <c r="BV437" s="882"/>
      <c r="BW437" s="423"/>
      <c r="BX437" s="423"/>
      <c r="BY437" s="423"/>
      <c r="BZ437" s="423"/>
      <c r="CA437" s="423"/>
      <c r="CB437" s="423"/>
      <c r="CC437" s="423"/>
      <c r="CD437" s="423"/>
      <c r="CE437" s="423"/>
      <c r="CF437" s="423"/>
      <c r="CG437" s="423"/>
      <c r="CH437" s="423"/>
      <c r="CI437" s="423"/>
      <c r="CJ437" s="423"/>
      <c r="CK437" s="423"/>
      <c r="CL437" s="423"/>
      <c r="CM437" s="423"/>
      <c r="CN437" s="423"/>
      <c r="CO437" s="423"/>
      <c r="CP437" s="423"/>
      <c r="CQ437" s="423"/>
      <c r="CR437" s="423"/>
      <c r="CS437" s="423"/>
      <c r="CT437" s="423"/>
      <c r="CU437" s="423"/>
      <c r="CV437" s="423"/>
      <c r="CW437" s="423"/>
      <c r="CX437" s="423"/>
      <c r="CY437" s="423"/>
      <c r="CZ437" s="423"/>
      <c r="DA437" s="423"/>
      <c r="DB437" s="423"/>
      <c r="DC437" s="423"/>
      <c r="DD437" s="423"/>
      <c r="DE437" s="423"/>
      <c r="DF437" s="423"/>
      <c r="DG437" s="423"/>
      <c r="DH437" s="423"/>
      <c r="DI437" s="423"/>
      <c r="DJ437" s="423"/>
      <c r="DK437" s="423"/>
      <c r="DL437" s="423"/>
      <c r="DM437" s="423"/>
      <c r="DN437" s="423"/>
      <c r="DO437" s="423"/>
      <c r="DP437" s="423"/>
      <c r="DQ437" s="423"/>
      <c r="DR437" s="423"/>
      <c r="DS437" s="423"/>
      <c r="DT437" s="423"/>
      <c r="DU437" s="423"/>
      <c r="DV437" s="423"/>
      <c r="DW437" s="423"/>
      <c r="DX437" s="423"/>
      <c r="DY437" s="423"/>
      <c r="DZ437" s="423"/>
      <c r="EA437" s="423"/>
      <c r="EB437" s="423"/>
      <c r="EC437" s="423"/>
      <c r="ED437" s="423"/>
      <c r="EE437" s="423"/>
      <c r="EF437" s="423"/>
      <c r="EG437" s="423"/>
      <c r="EH437" s="423"/>
      <c r="EI437" s="423"/>
      <c r="EJ437" s="423"/>
      <c r="EK437" s="423"/>
      <c r="EL437" s="423"/>
      <c r="EM437" s="423"/>
      <c r="EN437" s="423"/>
      <c r="EO437" s="423"/>
      <c r="EP437" s="423"/>
      <c r="EQ437" s="423"/>
      <c r="ER437" s="423"/>
      <c r="ES437" s="423"/>
      <c r="ET437" s="423"/>
      <c r="EU437" s="423"/>
      <c r="EV437" s="423"/>
      <c r="EW437" s="423"/>
      <c r="EX437" s="423"/>
      <c r="EY437" s="423"/>
      <c r="EZ437" s="423"/>
      <c r="FA437" s="423"/>
      <c r="FB437" s="423"/>
      <c r="FC437" s="423"/>
      <c r="FD437" s="423"/>
      <c r="FE437" s="423"/>
      <c r="FF437" s="423"/>
      <c r="FG437" s="423"/>
      <c r="FH437" s="423"/>
      <c r="FI437" s="423"/>
      <c r="FJ437" s="423"/>
      <c r="FK437" s="423"/>
      <c r="FL437" s="423"/>
      <c r="FM437" s="423"/>
      <c r="FN437" s="423"/>
      <c r="FO437" s="423"/>
      <c r="FP437" s="423"/>
      <c r="FQ437" s="423"/>
      <c r="FR437" s="423"/>
      <c r="FS437" s="423"/>
      <c r="FT437" s="423"/>
      <c r="FU437" s="423"/>
      <c r="FV437" s="423"/>
      <c r="FW437" s="423"/>
      <c r="FX437" s="423"/>
      <c r="FY437" s="423"/>
      <c r="FZ437" s="423"/>
      <c r="GA437" s="423"/>
      <c r="GB437" s="423"/>
      <c r="GC437" s="423"/>
      <c r="GD437" s="423"/>
      <c r="GE437" s="423"/>
      <c r="GF437" s="423"/>
      <c r="GG437" s="423"/>
      <c r="GH437" s="423"/>
      <c r="GI437" s="423"/>
      <c r="GJ437" s="423"/>
      <c r="GK437" s="423"/>
      <c r="GL437" s="423"/>
      <c r="GM437" s="423"/>
      <c r="GN437" s="423"/>
      <c r="GO437" s="423"/>
      <c r="GP437" s="423"/>
      <c r="GQ437" s="423"/>
      <c r="GR437" s="423"/>
      <c r="GS437" s="423"/>
      <c r="GT437" s="423"/>
      <c r="GU437" s="423"/>
      <c r="GV437" s="423"/>
      <c r="GW437" s="423"/>
      <c r="GX437" s="423"/>
      <c r="GY437" s="423"/>
      <c r="GZ437" s="423"/>
      <c r="HA437" s="423"/>
      <c r="HB437" s="423"/>
      <c r="HC437" s="423"/>
      <c r="HD437" s="423"/>
      <c r="HE437" s="423"/>
      <c r="HF437" s="423"/>
      <c r="HG437" s="423"/>
      <c r="HH437" s="423"/>
      <c r="HI437" s="423"/>
      <c r="HJ437" s="423"/>
      <c r="HK437" s="423"/>
      <c r="HL437" s="423"/>
      <c r="HM437" s="423"/>
      <c r="HN437" s="423"/>
      <c r="HO437" s="423"/>
      <c r="HP437" s="423"/>
      <c r="HQ437" s="423"/>
      <c r="HR437" s="423"/>
      <c r="HS437" s="423"/>
      <c r="HT437" s="423"/>
      <c r="HU437" s="423"/>
      <c r="HV437" s="423"/>
      <c r="HW437" s="423"/>
      <c r="HX437" s="423"/>
      <c r="HY437" s="423"/>
      <c r="HZ437" s="423"/>
      <c r="IA437" s="423"/>
      <c r="IB437" s="423"/>
      <c r="IC437" s="423"/>
      <c r="ID437" s="423"/>
      <c r="IE437" s="423"/>
      <c r="IF437" s="423"/>
      <c r="IG437" s="423"/>
      <c r="IH437" s="423"/>
      <c r="II437" s="423"/>
    </row>
    <row r="438" spans="1:243" ht="12" hidden="1" customHeight="1">
      <c r="A438" s="423"/>
      <c r="B438" s="423"/>
      <c r="C438" s="423"/>
      <c r="D438" s="423"/>
      <c r="E438" s="423"/>
      <c r="F438" s="423"/>
      <c r="G438" s="423"/>
      <c r="H438" s="423"/>
      <c r="I438" s="423"/>
      <c r="J438" s="423"/>
      <c r="K438" s="423"/>
      <c r="L438" s="423"/>
      <c r="M438" s="423"/>
      <c r="N438" s="423"/>
      <c r="O438" s="423"/>
      <c r="P438" s="423"/>
      <c r="Q438" s="423"/>
      <c r="R438" s="695"/>
      <c r="S438" s="695"/>
      <c r="T438" s="695"/>
      <c r="U438" s="695"/>
      <c r="V438" s="695"/>
      <c r="W438" s="695"/>
      <c r="X438" s="695"/>
      <c r="Y438" s="696"/>
      <c r="Z438" s="696"/>
      <c r="AA438" s="423"/>
      <c r="AB438" s="440"/>
      <c r="AC438" s="440"/>
      <c r="AD438" s="440"/>
      <c r="AE438" s="440"/>
      <c r="AF438" s="1781"/>
      <c r="AG438" s="1781"/>
      <c r="AH438" s="1782"/>
      <c r="AI438" s="1782"/>
      <c r="AJ438" s="1781"/>
      <c r="AK438" s="1781"/>
      <c r="AL438" s="1782"/>
      <c r="AM438" s="1782"/>
      <c r="AN438" s="1781"/>
      <c r="AO438" s="1781"/>
      <c r="AP438" s="1782"/>
      <c r="AQ438" s="1782"/>
      <c r="AR438" s="1781"/>
      <c r="AS438" s="1781"/>
      <c r="AT438" s="1782"/>
      <c r="AU438" s="1782"/>
      <c r="AV438" s="1781"/>
      <c r="AW438" s="1781"/>
      <c r="AX438" s="1782"/>
      <c r="AY438" s="1782"/>
      <c r="AZ438" s="423"/>
      <c r="BA438" s="423"/>
      <c r="BB438" s="423"/>
      <c r="BC438" s="423"/>
      <c r="BD438" s="423"/>
      <c r="BE438" s="1792">
        <v>4</v>
      </c>
      <c r="BF438" s="1795">
        <f t="shared" si="13"/>
        <v>4</v>
      </c>
      <c r="BG438" s="1793"/>
      <c r="BH438" s="1794" t="str">
        <f t="shared" si="14"/>
        <v/>
      </c>
      <c r="BI438" s="1795" t="str">
        <f t="shared" si="15"/>
        <v/>
      </c>
      <c r="BJ438" s="1793"/>
      <c r="BK438" s="1794" t="str">
        <f t="shared" si="16"/>
        <v/>
      </c>
      <c r="BL438" s="1795" t="str">
        <f t="shared" si="17"/>
        <v/>
      </c>
      <c r="BM438" s="1793"/>
      <c r="BN438" s="1794" t="str">
        <f t="shared" si="18"/>
        <v/>
      </c>
      <c r="BO438" s="1795" t="str">
        <f t="shared" si="19"/>
        <v/>
      </c>
      <c r="BP438" s="1793"/>
      <c r="BQ438" s="1794" t="str">
        <f t="shared" si="20"/>
        <v/>
      </c>
      <c r="BR438" s="1780"/>
      <c r="BS438" s="1780"/>
      <c r="BT438" s="1780"/>
      <c r="BU438" s="882"/>
      <c r="BV438" s="882"/>
      <c r="BW438" s="423"/>
      <c r="BX438" s="423"/>
      <c r="BY438" s="423"/>
      <c r="BZ438" s="423"/>
      <c r="CA438" s="423"/>
      <c r="CB438" s="423"/>
      <c r="CC438" s="423"/>
      <c r="CD438" s="423"/>
      <c r="CE438" s="423"/>
      <c r="CF438" s="423"/>
      <c r="CG438" s="423"/>
      <c r="CH438" s="423"/>
      <c r="CI438" s="423"/>
      <c r="CJ438" s="423"/>
      <c r="CK438" s="423"/>
      <c r="CL438" s="423"/>
      <c r="CM438" s="423"/>
      <c r="CN438" s="423"/>
      <c r="CO438" s="423"/>
      <c r="CP438" s="423"/>
      <c r="CQ438" s="423"/>
      <c r="CR438" s="423"/>
      <c r="CS438" s="423"/>
      <c r="CT438" s="423"/>
      <c r="CU438" s="423"/>
      <c r="CV438" s="423"/>
      <c r="CW438" s="423"/>
      <c r="CX438" s="423"/>
      <c r="CY438" s="423"/>
      <c r="CZ438" s="423"/>
      <c r="DA438" s="423"/>
      <c r="DB438" s="423"/>
      <c r="DC438" s="423"/>
      <c r="DD438" s="423"/>
      <c r="DE438" s="423"/>
      <c r="DF438" s="423"/>
      <c r="DG438" s="423"/>
      <c r="DH438" s="423"/>
      <c r="DI438" s="423"/>
      <c r="DJ438" s="423"/>
      <c r="DK438" s="423"/>
      <c r="DL438" s="423"/>
      <c r="DM438" s="423"/>
      <c r="DN438" s="423"/>
      <c r="DO438" s="423"/>
      <c r="DP438" s="423"/>
      <c r="DQ438" s="423"/>
      <c r="DR438" s="423"/>
      <c r="DS438" s="423"/>
      <c r="DT438" s="423"/>
      <c r="DU438" s="423"/>
      <c r="DV438" s="423"/>
      <c r="DW438" s="423"/>
      <c r="DX438" s="423"/>
      <c r="DY438" s="423"/>
      <c r="DZ438" s="423"/>
      <c r="EA438" s="423"/>
      <c r="EB438" s="423"/>
      <c r="EC438" s="423"/>
      <c r="ED438" s="423"/>
      <c r="EE438" s="423"/>
      <c r="EF438" s="423"/>
      <c r="EG438" s="423"/>
      <c r="EH438" s="423"/>
      <c r="EI438" s="423"/>
      <c r="EJ438" s="423"/>
      <c r="EK438" s="423"/>
      <c r="EL438" s="423"/>
      <c r="EM438" s="423"/>
      <c r="EN438" s="423"/>
      <c r="EO438" s="423"/>
      <c r="EP438" s="423"/>
      <c r="EQ438" s="423"/>
      <c r="ER438" s="423"/>
      <c r="ES438" s="423"/>
      <c r="ET438" s="423"/>
      <c r="EU438" s="423"/>
      <c r="EV438" s="423"/>
      <c r="EW438" s="423"/>
      <c r="EX438" s="423"/>
      <c r="EY438" s="423"/>
      <c r="EZ438" s="423"/>
      <c r="FA438" s="423"/>
      <c r="FB438" s="423"/>
      <c r="FC438" s="423"/>
      <c r="FD438" s="423"/>
      <c r="FE438" s="423"/>
      <c r="FF438" s="423"/>
      <c r="FG438" s="423"/>
      <c r="FH438" s="423"/>
      <c r="FI438" s="423"/>
      <c r="FJ438" s="423"/>
      <c r="FK438" s="423"/>
      <c r="FL438" s="423"/>
      <c r="FM438" s="423"/>
      <c r="FN438" s="423"/>
      <c r="FO438" s="423"/>
      <c r="FP438" s="423"/>
      <c r="FQ438" s="423"/>
      <c r="FR438" s="423"/>
      <c r="FS438" s="423"/>
      <c r="FT438" s="423"/>
      <c r="FU438" s="423"/>
      <c r="FV438" s="423"/>
      <c r="FW438" s="423"/>
      <c r="FX438" s="423"/>
      <c r="FY438" s="423"/>
      <c r="FZ438" s="423"/>
      <c r="GA438" s="423"/>
      <c r="GB438" s="423"/>
      <c r="GC438" s="423"/>
      <c r="GD438" s="423"/>
      <c r="GE438" s="423"/>
      <c r="GF438" s="423"/>
      <c r="GG438" s="423"/>
      <c r="GH438" s="423"/>
      <c r="GI438" s="423"/>
      <c r="GJ438" s="423"/>
      <c r="GK438" s="423"/>
      <c r="GL438" s="423"/>
      <c r="GM438" s="423"/>
      <c r="GN438" s="423"/>
      <c r="GO438" s="423"/>
      <c r="GP438" s="423"/>
      <c r="GQ438" s="423"/>
      <c r="GR438" s="423"/>
      <c r="GS438" s="423"/>
      <c r="GT438" s="423"/>
      <c r="GU438" s="423"/>
      <c r="GV438" s="423"/>
      <c r="GW438" s="423"/>
      <c r="GX438" s="423"/>
      <c r="GY438" s="423"/>
      <c r="GZ438" s="423"/>
      <c r="HA438" s="423"/>
      <c r="HB438" s="423"/>
      <c r="HC438" s="423"/>
      <c r="HD438" s="423"/>
      <c r="HE438" s="423"/>
      <c r="HF438" s="423"/>
      <c r="HG438" s="423"/>
      <c r="HH438" s="423"/>
      <c r="HI438" s="423"/>
      <c r="HJ438" s="423"/>
      <c r="HK438" s="423"/>
      <c r="HL438" s="423"/>
      <c r="HM438" s="423"/>
      <c r="HN438" s="423"/>
      <c r="HO438" s="423"/>
      <c r="HP438" s="423"/>
      <c r="HQ438" s="423"/>
      <c r="HR438" s="423"/>
      <c r="HS438" s="423"/>
      <c r="HT438" s="423"/>
      <c r="HU438" s="423"/>
      <c r="HV438" s="423"/>
      <c r="HW438" s="423"/>
      <c r="HX438" s="423"/>
      <c r="HY438" s="423"/>
      <c r="HZ438" s="423"/>
      <c r="IA438" s="423"/>
      <c r="IB438" s="423"/>
      <c r="IC438" s="423"/>
      <c r="ID438" s="423"/>
      <c r="IE438" s="423"/>
      <c r="IF438" s="423"/>
      <c r="IG438" s="423"/>
      <c r="IH438" s="423"/>
      <c r="II438" s="423"/>
    </row>
    <row r="439" spans="1:243" ht="12" hidden="1" customHeight="1">
      <c r="A439" s="423"/>
      <c r="B439" s="423"/>
      <c r="C439" s="423"/>
      <c r="D439" s="423"/>
      <c r="E439" s="423"/>
      <c r="F439" s="423"/>
      <c r="G439" s="423"/>
      <c r="H439" s="423"/>
      <c r="I439" s="423"/>
      <c r="J439" s="423"/>
      <c r="K439" s="423"/>
      <c r="L439" s="423"/>
      <c r="M439" s="423"/>
      <c r="N439" s="423"/>
      <c r="O439" s="423"/>
      <c r="P439" s="423"/>
      <c r="Q439" s="423"/>
      <c r="R439" s="695"/>
      <c r="S439" s="695"/>
      <c r="T439" s="695"/>
      <c r="U439" s="695"/>
      <c r="V439" s="695"/>
      <c r="W439" s="695"/>
      <c r="X439" s="695"/>
      <c r="Y439" s="696"/>
      <c r="Z439" s="696"/>
      <c r="AA439" s="423"/>
      <c r="AB439" s="440"/>
      <c r="AC439" s="440"/>
      <c r="AD439" s="440"/>
      <c r="AE439" s="440"/>
      <c r="AF439" s="1781"/>
      <c r="AG439" s="1781"/>
      <c r="AH439" s="1782"/>
      <c r="AI439" s="1782"/>
      <c r="AJ439" s="1781"/>
      <c r="AK439" s="1781"/>
      <c r="AL439" s="1782"/>
      <c r="AM439" s="1782"/>
      <c r="AN439" s="1781"/>
      <c r="AO439" s="1781"/>
      <c r="AP439" s="1782"/>
      <c r="AQ439" s="1782"/>
      <c r="AR439" s="1781"/>
      <c r="AS439" s="1781"/>
      <c r="AT439" s="1782"/>
      <c r="AU439" s="1782"/>
      <c r="AV439" s="1781"/>
      <c r="AW439" s="1781"/>
      <c r="AX439" s="1782"/>
      <c r="AY439" s="1782"/>
      <c r="AZ439" s="423"/>
      <c r="BA439" s="423"/>
      <c r="BB439" s="423"/>
      <c r="BC439" s="423"/>
      <c r="BD439" s="423"/>
      <c r="BE439" s="1792">
        <v>5</v>
      </c>
      <c r="BF439" s="1795">
        <f t="shared" si="13"/>
        <v>5</v>
      </c>
      <c r="BG439" s="1793"/>
      <c r="BH439" s="1794" t="str">
        <f t="shared" si="14"/>
        <v/>
      </c>
      <c r="BI439" s="1795" t="str">
        <f t="shared" si="15"/>
        <v/>
      </c>
      <c r="BJ439" s="1793"/>
      <c r="BK439" s="1794" t="str">
        <f t="shared" si="16"/>
        <v/>
      </c>
      <c r="BL439" s="1795" t="str">
        <f t="shared" si="17"/>
        <v/>
      </c>
      <c r="BM439" s="1793"/>
      <c r="BN439" s="1794" t="str">
        <f t="shared" si="18"/>
        <v/>
      </c>
      <c r="BO439" s="1795" t="str">
        <f t="shared" si="19"/>
        <v/>
      </c>
      <c r="BP439" s="1793"/>
      <c r="BQ439" s="1794" t="str">
        <f t="shared" si="20"/>
        <v/>
      </c>
      <c r="BR439" s="1780"/>
      <c r="BS439" s="1780"/>
      <c r="BT439" s="1780"/>
      <c r="BU439" s="882"/>
      <c r="BV439" s="882"/>
      <c r="BW439" s="423"/>
      <c r="BX439" s="423"/>
      <c r="BY439" s="423"/>
      <c r="BZ439" s="423"/>
      <c r="CA439" s="423"/>
      <c r="CB439" s="423"/>
      <c r="CC439" s="423"/>
      <c r="CD439" s="423"/>
      <c r="CE439" s="423"/>
      <c r="CF439" s="423"/>
      <c r="CG439" s="423"/>
      <c r="CH439" s="423"/>
      <c r="CI439" s="423"/>
      <c r="CJ439" s="423"/>
      <c r="CK439" s="423"/>
      <c r="CL439" s="423"/>
      <c r="CM439" s="423"/>
      <c r="CN439" s="423"/>
      <c r="CO439" s="423"/>
      <c r="CP439" s="423"/>
      <c r="CQ439" s="423"/>
      <c r="CR439" s="423"/>
      <c r="CS439" s="423"/>
      <c r="CT439" s="423"/>
      <c r="CU439" s="423"/>
      <c r="CV439" s="423"/>
      <c r="CW439" s="423"/>
      <c r="CX439" s="423"/>
      <c r="CY439" s="423"/>
      <c r="CZ439" s="423"/>
      <c r="DA439" s="423"/>
      <c r="DB439" s="423"/>
      <c r="DC439" s="423"/>
      <c r="DD439" s="423"/>
      <c r="DE439" s="423"/>
      <c r="DF439" s="423"/>
      <c r="DG439" s="423"/>
      <c r="DH439" s="423"/>
      <c r="DI439" s="423"/>
      <c r="DJ439" s="423"/>
      <c r="DK439" s="423"/>
      <c r="DL439" s="423"/>
      <c r="DM439" s="423"/>
      <c r="DN439" s="423"/>
      <c r="DO439" s="423"/>
      <c r="DP439" s="423"/>
      <c r="DQ439" s="423"/>
      <c r="DR439" s="423"/>
      <c r="DS439" s="423"/>
      <c r="DT439" s="423"/>
      <c r="DU439" s="423"/>
      <c r="DV439" s="423"/>
      <c r="DW439" s="423"/>
      <c r="DX439" s="423"/>
      <c r="DY439" s="423"/>
      <c r="DZ439" s="423"/>
      <c r="EA439" s="423"/>
      <c r="EB439" s="423"/>
      <c r="EC439" s="423"/>
      <c r="ED439" s="423"/>
      <c r="EE439" s="423"/>
      <c r="EF439" s="423"/>
      <c r="EG439" s="423"/>
      <c r="EH439" s="423"/>
      <c r="EI439" s="423"/>
      <c r="EJ439" s="423"/>
      <c r="EK439" s="423"/>
      <c r="EL439" s="423"/>
      <c r="EM439" s="423"/>
      <c r="EN439" s="423"/>
      <c r="EO439" s="423"/>
      <c r="EP439" s="423"/>
      <c r="EQ439" s="423"/>
      <c r="ER439" s="423"/>
      <c r="ES439" s="423"/>
      <c r="ET439" s="423"/>
      <c r="EU439" s="423"/>
      <c r="EV439" s="423"/>
      <c r="EW439" s="423"/>
      <c r="EX439" s="423"/>
      <c r="EY439" s="423"/>
      <c r="EZ439" s="423"/>
      <c r="FA439" s="423"/>
      <c r="FB439" s="423"/>
      <c r="FC439" s="423"/>
      <c r="FD439" s="423"/>
      <c r="FE439" s="423"/>
      <c r="FF439" s="423"/>
      <c r="FG439" s="423"/>
      <c r="FH439" s="423"/>
      <c r="FI439" s="423"/>
      <c r="FJ439" s="423"/>
      <c r="FK439" s="423"/>
      <c r="FL439" s="423"/>
      <c r="FM439" s="423"/>
      <c r="FN439" s="423"/>
      <c r="FO439" s="423"/>
      <c r="FP439" s="423"/>
      <c r="FQ439" s="423"/>
      <c r="FR439" s="423"/>
      <c r="FS439" s="423"/>
      <c r="FT439" s="423"/>
      <c r="FU439" s="423"/>
      <c r="FV439" s="423"/>
      <c r="FW439" s="423"/>
      <c r="FX439" s="423"/>
      <c r="FY439" s="423"/>
      <c r="FZ439" s="423"/>
      <c r="GA439" s="423"/>
      <c r="GB439" s="423"/>
      <c r="GC439" s="423"/>
      <c r="GD439" s="423"/>
      <c r="GE439" s="423"/>
      <c r="GF439" s="423"/>
      <c r="GG439" s="423"/>
      <c r="GH439" s="423"/>
      <c r="GI439" s="423"/>
      <c r="GJ439" s="423"/>
      <c r="GK439" s="423"/>
      <c r="GL439" s="423"/>
      <c r="GM439" s="423"/>
      <c r="GN439" s="423"/>
      <c r="GO439" s="423"/>
      <c r="GP439" s="423"/>
      <c r="GQ439" s="423"/>
      <c r="GR439" s="423"/>
      <c r="GS439" s="423"/>
      <c r="GT439" s="423"/>
      <c r="GU439" s="423"/>
      <c r="GV439" s="423"/>
      <c r="GW439" s="423"/>
      <c r="GX439" s="423"/>
      <c r="GY439" s="423"/>
      <c r="GZ439" s="423"/>
      <c r="HA439" s="423"/>
      <c r="HB439" s="423"/>
      <c r="HC439" s="423"/>
      <c r="HD439" s="423"/>
      <c r="HE439" s="423"/>
      <c r="HF439" s="423"/>
      <c r="HG439" s="423"/>
      <c r="HH439" s="423"/>
      <c r="HI439" s="423"/>
      <c r="HJ439" s="423"/>
      <c r="HK439" s="423"/>
      <c r="HL439" s="423"/>
      <c r="HM439" s="423"/>
      <c r="HN439" s="423"/>
      <c r="HO439" s="423"/>
      <c r="HP439" s="423"/>
      <c r="HQ439" s="423"/>
      <c r="HR439" s="423"/>
      <c r="HS439" s="423"/>
      <c r="HT439" s="423"/>
      <c r="HU439" s="423"/>
      <c r="HV439" s="423"/>
      <c r="HW439" s="423"/>
      <c r="HX439" s="423"/>
      <c r="HY439" s="423"/>
      <c r="HZ439" s="423"/>
      <c r="IA439" s="423"/>
      <c r="IB439" s="423"/>
      <c r="IC439" s="423"/>
      <c r="ID439" s="423"/>
      <c r="IE439" s="423"/>
      <c r="IF439" s="423"/>
      <c r="IG439" s="423"/>
      <c r="IH439" s="423"/>
      <c r="II439" s="423"/>
    </row>
    <row r="440" spans="1:243" ht="12" hidden="1" customHeight="1">
      <c r="A440" s="423"/>
      <c r="B440" s="423"/>
      <c r="C440" s="423"/>
      <c r="D440" s="423"/>
      <c r="E440" s="423"/>
      <c r="F440" s="423"/>
      <c r="G440" s="423"/>
      <c r="H440" s="423"/>
      <c r="I440" s="423"/>
      <c r="J440" s="423"/>
      <c r="K440" s="423"/>
      <c r="L440" s="423"/>
      <c r="M440" s="423"/>
      <c r="N440" s="423"/>
      <c r="O440" s="423"/>
      <c r="P440" s="423"/>
      <c r="Q440" s="423"/>
      <c r="R440" s="695"/>
      <c r="S440" s="695"/>
      <c r="T440" s="695"/>
      <c r="U440" s="695"/>
      <c r="V440" s="695"/>
      <c r="W440" s="695"/>
      <c r="X440" s="695"/>
      <c r="Y440" s="696"/>
      <c r="Z440" s="696"/>
      <c r="AA440" s="423"/>
      <c r="AB440" s="440"/>
      <c r="AC440" s="440"/>
      <c r="AD440" s="440"/>
      <c r="AE440" s="440"/>
      <c r="AF440" s="1781"/>
      <c r="AG440" s="1781"/>
      <c r="AH440" s="1782"/>
      <c r="AI440" s="1782"/>
      <c r="AJ440" s="1781"/>
      <c r="AK440" s="1781"/>
      <c r="AL440" s="1782"/>
      <c r="AM440" s="1782"/>
      <c r="AN440" s="1781"/>
      <c r="AO440" s="1781"/>
      <c r="AP440" s="1782"/>
      <c r="AQ440" s="1782"/>
      <c r="AR440" s="1781"/>
      <c r="AS440" s="1781"/>
      <c r="AT440" s="1782"/>
      <c r="AU440" s="1782"/>
      <c r="AV440" s="1781"/>
      <c r="AW440" s="1781"/>
      <c r="AX440" s="1782"/>
      <c r="AY440" s="1782"/>
      <c r="AZ440" s="423"/>
      <c r="BA440" s="423"/>
      <c r="BB440" s="423"/>
      <c r="BC440" s="423"/>
      <c r="BD440" s="423"/>
      <c r="BE440" s="1792">
        <v>6</v>
      </c>
      <c r="BF440" s="1795">
        <f t="shared" si="13"/>
        <v>6</v>
      </c>
      <c r="BG440" s="1793"/>
      <c r="BH440" s="1794" t="str">
        <f t="shared" si="14"/>
        <v/>
      </c>
      <c r="BI440" s="1795" t="str">
        <f t="shared" si="15"/>
        <v/>
      </c>
      <c r="BJ440" s="1793"/>
      <c r="BK440" s="1794" t="str">
        <f t="shared" si="16"/>
        <v/>
      </c>
      <c r="BL440" s="1795" t="str">
        <f t="shared" si="17"/>
        <v/>
      </c>
      <c r="BM440" s="1793"/>
      <c r="BN440" s="1794" t="str">
        <f t="shared" si="18"/>
        <v/>
      </c>
      <c r="BO440" s="1795" t="str">
        <f t="shared" si="19"/>
        <v/>
      </c>
      <c r="BP440" s="1793"/>
      <c r="BQ440" s="1794" t="str">
        <f t="shared" si="20"/>
        <v/>
      </c>
      <c r="BR440" s="1780"/>
      <c r="BS440" s="1780"/>
      <c r="BT440" s="1780"/>
      <c r="BU440" s="882"/>
      <c r="BV440" s="882"/>
      <c r="BW440" s="423"/>
      <c r="BX440" s="423"/>
      <c r="BY440" s="423"/>
      <c r="BZ440" s="423"/>
      <c r="CA440" s="423"/>
      <c r="CB440" s="423"/>
      <c r="CC440" s="423"/>
      <c r="CD440" s="423"/>
      <c r="CE440" s="423"/>
      <c r="CF440" s="423"/>
      <c r="CG440" s="423"/>
      <c r="CH440" s="423"/>
      <c r="CI440" s="423"/>
      <c r="CJ440" s="423"/>
      <c r="CK440" s="423"/>
      <c r="CL440" s="423"/>
      <c r="CM440" s="423"/>
      <c r="CN440" s="423"/>
      <c r="CO440" s="423"/>
      <c r="CP440" s="423"/>
      <c r="CQ440" s="423"/>
      <c r="CR440" s="423"/>
      <c r="CS440" s="423"/>
      <c r="CT440" s="423"/>
      <c r="CU440" s="423"/>
      <c r="CV440" s="423"/>
      <c r="CW440" s="423"/>
      <c r="CX440" s="423"/>
      <c r="CY440" s="423"/>
      <c r="CZ440" s="423"/>
      <c r="DA440" s="423"/>
      <c r="DB440" s="423"/>
      <c r="DC440" s="423"/>
      <c r="DD440" s="423"/>
      <c r="DE440" s="423"/>
      <c r="DF440" s="423"/>
      <c r="DG440" s="423"/>
      <c r="DH440" s="423"/>
      <c r="DI440" s="423"/>
      <c r="DJ440" s="423"/>
      <c r="DK440" s="423"/>
      <c r="DL440" s="423"/>
      <c r="DM440" s="423"/>
      <c r="DN440" s="423"/>
      <c r="DO440" s="423"/>
      <c r="DP440" s="423"/>
      <c r="DQ440" s="423"/>
      <c r="DR440" s="423"/>
      <c r="DS440" s="423"/>
      <c r="DT440" s="423"/>
      <c r="DU440" s="423"/>
      <c r="DV440" s="423"/>
      <c r="DW440" s="423"/>
      <c r="DX440" s="423"/>
      <c r="DY440" s="423"/>
      <c r="DZ440" s="423"/>
      <c r="EA440" s="423"/>
      <c r="EB440" s="423"/>
      <c r="EC440" s="423"/>
      <c r="ED440" s="423"/>
      <c r="EE440" s="423"/>
      <c r="EF440" s="423"/>
      <c r="EG440" s="423"/>
      <c r="EH440" s="423"/>
      <c r="EI440" s="423"/>
      <c r="EJ440" s="423"/>
      <c r="EK440" s="423"/>
      <c r="EL440" s="423"/>
      <c r="EM440" s="423"/>
      <c r="EN440" s="423"/>
      <c r="EO440" s="423"/>
      <c r="EP440" s="423"/>
      <c r="EQ440" s="423"/>
      <c r="ER440" s="423"/>
      <c r="ES440" s="423"/>
      <c r="ET440" s="423"/>
      <c r="EU440" s="423"/>
      <c r="EV440" s="423"/>
      <c r="EW440" s="423"/>
      <c r="EX440" s="423"/>
      <c r="EY440" s="423"/>
      <c r="EZ440" s="423"/>
      <c r="FA440" s="423"/>
      <c r="FB440" s="423"/>
      <c r="FC440" s="423"/>
      <c r="FD440" s="423"/>
      <c r="FE440" s="423"/>
      <c r="FF440" s="423"/>
      <c r="FG440" s="423"/>
      <c r="FH440" s="423"/>
      <c r="FI440" s="423"/>
      <c r="FJ440" s="423"/>
      <c r="FK440" s="423"/>
      <c r="FL440" s="423"/>
      <c r="FM440" s="423"/>
      <c r="FN440" s="423"/>
      <c r="FO440" s="423"/>
      <c r="FP440" s="423"/>
      <c r="FQ440" s="423"/>
      <c r="FR440" s="423"/>
      <c r="FS440" s="423"/>
      <c r="FT440" s="423"/>
      <c r="FU440" s="423"/>
      <c r="FV440" s="423"/>
      <c r="FW440" s="423"/>
      <c r="FX440" s="423"/>
      <c r="FY440" s="423"/>
      <c r="FZ440" s="423"/>
      <c r="GA440" s="423"/>
      <c r="GB440" s="423"/>
      <c r="GC440" s="423"/>
      <c r="GD440" s="423"/>
      <c r="GE440" s="423"/>
      <c r="GF440" s="423"/>
      <c r="GG440" s="423"/>
      <c r="GH440" s="423"/>
      <c r="GI440" s="423"/>
      <c r="GJ440" s="423"/>
      <c r="GK440" s="423"/>
      <c r="GL440" s="423"/>
      <c r="GM440" s="423"/>
      <c r="GN440" s="423"/>
      <c r="GO440" s="423"/>
      <c r="GP440" s="423"/>
      <c r="GQ440" s="423"/>
      <c r="GR440" s="423"/>
      <c r="GS440" s="423"/>
      <c r="GT440" s="423"/>
      <c r="GU440" s="423"/>
      <c r="GV440" s="423"/>
      <c r="GW440" s="423"/>
      <c r="GX440" s="423"/>
      <c r="GY440" s="423"/>
      <c r="GZ440" s="423"/>
      <c r="HA440" s="423"/>
      <c r="HB440" s="423"/>
      <c r="HC440" s="423"/>
      <c r="HD440" s="423"/>
      <c r="HE440" s="423"/>
      <c r="HF440" s="423"/>
      <c r="HG440" s="423"/>
      <c r="HH440" s="423"/>
      <c r="HI440" s="423"/>
      <c r="HJ440" s="423"/>
      <c r="HK440" s="423"/>
      <c r="HL440" s="423"/>
      <c r="HM440" s="423"/>
      <c r="HN440" s="423"/>
      <c r="HO440" s="423"/>
      <c r="HP440" s="423"/>
      <c r="HQ440" s="423"/>
      <c r="HR440" s="423"/>
      <c r="HS440" s="423"/>
      <c r="HT440" s="423"/>
      <c r="HU440" s="423"/>
      <c r="HV440" s="423"/>
      <c r="HW440" s="423"/>
      <c r="HX440" s="423"/>
      <c r="HY440" s="423"/>
      <c r="HZ440" s="423"/>
      <c r="IA440" s="423"/>
      <c r="IB440" s="423"/>
      <c r="IC440" s="423"/>
      <c r="ID440" s="423"/>
      <c r="IE440" s="423"/>
      <c r="IF440" s="423"/>
      <c r="IG440" s="423"/>
      <c r="IH440" s="423"/>
      <c r="II440" s="423"/>
    </row>
    <row r="441" spans="1:243" ht="12" hidden="1" customHeight="1">
      <c r="A441" s="423"/>
      <c r="B441" s="423"/>
      <c r="C441" s="423"/>
      <c r="D441" s="423"/>
      <c r="E441" s="423"/>
      <c r="F441" s="423"/>
      <c r="G441" s="423"/>
      <c r="H441" s="423"/>
      <c r="I441" s="423"/>
      <c r="J441" s="423"/>
      <c r="K441" s="423"/>
      <c r="L441" s="423"/>
      <c r="M441" s="423"/>
      <c r="N441" s="423"/>
      <c r="O441" s="423"/>
      <c r="P441" s="423"/>
      <c r="Q441" s="423"/>
      <c r="R441" s="695"/>
      <c r="S441" s="695"/>
      <c r="T441" s="695"/>
      <c r="U441" s="695"/>
      <c r="V441" s="695"/>
      <c r="W441" s="695"/>
      <c r="X441" s="695"/>
      <c r="Y441" s="696"/>
      <c r="Z441" s="696"/>
      <c r="AA441" s="423"/>
      <c r="AB441" s="440"/>
      <c r="AC441" s="440"/>
      <c r="AD441" s="440"/>
      <c r="AE441" s="440"/>
      <c r="AF441" s="1781"/>
      <c r="AG441" s="1781"/>
      <c r="AH441" s="1782"/>
      <c r="AI441" s="1782"/>
      <c r="AJ441" s="1781"/>
      <c r="AK441" s="1781"/>
      <c r="AL441" s="1782"/>
      <c r="AM441" s="1782"/>
      <c r="AN441" s="1781"/>
      <c r="AO441" s="1781"/>
      <c r="AP441" s="1782"/>
      <c r="AQ441" s="1782"/>
      <c r="AR441" s="1781"/>
      <c r="AS441" s="1781"/>
      <c r="AT441" s="1782"/>
      <c r="AU441" s="1782"/>
      <c r="AV441" s="1781"/>
      <c r="AW441" s="1781"/>
      <c r="AX441" s="1782"/>
      <c r="AY441" s="1782"/>
      <c r="AZ441" s="423"/>
      <c r="BA441" s="423"/>
      <c r="BB441" s="423"/>
      <c r="BC441" s="423"/>
      <c r="BD441" s="423"/>
      <c r="BE441" s="1792">
        <v>7</v>
      </c>
      <c r="BF441" s="1795">
        <f t="shared" si="13"/>
        <v>7</v>
      </c>
      <c r="BG441" s="1793"/>
      <c r="BH441" s="1794" t="str">
        <f t="shared" si="14"/>
        <v/>
      </c>
      <c r="BI441" s="1795" t="str">
        <f t="shared" si="15"/>
        <v/>
      </c>
      <c r="BJ441" s="1793"/>
      <c r="BK441" s="1794" t="str">
        <f t="shared" si="16"/>
        <v/>
      </c>
      <c r="BL441" s="1795" t="str">
        <f t="shared" si="17"/>
        <v/>
      </c>
      <c r="BM441" s="1793"/>
      <c r="BN441" s="1794" t="str">
        <f t="shared" si="18"/>
        <v/>
      </c>
      <c r="BO441" s="1795" t="str">
        <f t="shared" si="19"/>
        <v/>
      </c>
      <c r="BP441" s="1793"/>
      <c r="BQ441" s="1794" t="str">
        <f t="shared" si="20"/>
        <v/>
      </c>
      <c r="BR441" s="1780"/>
      <c r="BS441" s="1780"/>
      <c r="BT441" s="1780"/>
      <c r="BU441" s="882"/>
      <c r="BV441" s="882"/>
      <c r="BW441" s="423"/>
      <c r="BX441" s="423"/>
      <c r="BY441" s="423"/>
      <c r="BZ441" s="423"/>
      <c r="CA441" s="423"/>
      <c r="CB441" s="423"/>
      <c r="CC441" s="423"/>
      <c r="CD441" s="423"/>
      <c r="CE441" s="423"/>
      <c r="CF441" s="423"/>
      <c r="CG441" s="423"/>
      <c r="CH441" s="423"/>
      <c r="CI441" s="423"/>
      <c r="CJ441" s="423"/>
      <c r="CK441" s="423"/>
      <c r="CL441" s="423"/>
      <c r="CM441" s="423"/>
      <c r="CN441" s="423"/>
      <c r="CO441" s="423"/>
      <c r="CP441" s="423"/>
      <c r="CQ441" s="423"/>
      <c r="CR441" s="423"/>
      <c r="CS441" s="423"/>
      <c r="CT441" s="423"/>
      <c r="CU441" s="423"/>
      <c r="CV441" s="423"/>
      <c r="CW441" s="423"/>
      <c r="CX441" s="423"/>
      <c r="CY441" s="423"/>
      <c r="CZ441" s="423"/>
      <c r="DA441" s="423"/>
      <c r="DB441" s="423"/>
      <c r="DC441" s="423"/>
      <c r="DD441" s="423"/>
      <c r="DE441" s="423"/>
      <c r="DF441" s="423"/>
      <c r="DG441" s="423"/>
      <c r="DH441" s="423"/>
      <c r="DI441" s="423"/>
      <c r="DJ441" s="423"/>
      <c r="DK441" s="423"/>
      <c r="DL441" s="423"/>
      <c r="DM441" s="423"/>
      <c r="DN441" s="423"/>
      <c r="DO441" s="423"/>
      <c r="DP441" s="423"/>
      <c r="DQ441" s="423"/>
      <c r="DR441" s="423"/>
      <c r="DS441" s="423"/>
      <c r="DT441" s="423"/>
      <c r="DU441" s="423"/>
      <c r="DV441" s="423"/>
      <c r="DW441" s="423"/>
      <c r="DX441" s="423"/>
      <c r="DY441" s="423"/>
      <c r="DZ441" s="423"/>
      <c r="EA441" s="423"/>
      <c r="EB441" s="423"/>
      <c r="EC441" s="423"/>
      <c r="ED441" s="423"/>
      <c r="EE441" s="423"/>
      <c r="EF441" s="423"/>
      <c r="EG441" s="423"/>
      <c r="EH441" s="423"/>
      <c r="EI441" s="423"/>
      <c r="EJ441" s="423"/>
      <c r="EK441" s="423"/>
      <c r="EL441" s="423"/>
      <c r="EM441" s="423"/>
      <c r="EN441" s="423"/>
      <c r="EO441" s="423"/>
      <c r="EP441" s="423"/>
      <c r="EQ441" s="423"/>
      <c r="ER441" s="423"/>
      <c r="ES441" s="423"/>
      <c r="ET441" s="423"/>
      <c r="EU441" s="423"/>
      <c r="EV441" s="423"/>
      <c r="EW441" s="423"/>
      <c r="EX441" s="423"/>
      <c r="EY441" s="423"/>
      <c r="EZ441" s="423"/>
      <c r="FA441" s="423"/>
      <c r="FB441" s="423"/>
      <c r="FC441" s="423"/>
      <c r="FD441" s="423"/>
      <c r="FE441" s="423"/>
      <c r="FF441" s="423"/>
      <c r="FG441" s="423"/>
      <c r="FH441" s="423"/>
      <c r="FI441" s="423"/>
      <c r="FJ441" s="423"/>
      <c r="FK441" s="423"/>
      <c r="FL441" s="423"/>
      <c r="FM441" s="423"/>
      <c r="FN441" s="423"/>
      <c r="FO441" s="423"/>
      <c r="FP441" s="423"/>
      <c r="FQ441" s="423"/>
      <c r="FR441" s="423"/>
      <c r="FS441" s="423"/>
      <c r="FT441" s="423"/>
      <c r="FU441" s="423"/>
      <c r="FV441" s="423"/>
      <c r="FW441" s="423"/>
      <c r="FX441" s="423"/>
      <c r="FY441" s="423"/>
      <c r="FZ441" s="423"/>
      <c r="GA441" s="423"/>
      <c r="GB441" s="423"/>
      <c r="GC441" s="423"/>
      <c r="GD441" s="423"/>
      <c r="GE441" s="423"/>
      <c r="GF441" s="423"/>
      <c r="GG441" s="423"/>
      <c r="GH441" s="423"/>
      <c r="GI441" s="423"/>
      <c r="GJ441" s="423"/>
      <c r="GK441" s="423"/>
      <c r="GL441" s="423"/>
      <c r="GM441" s="423"/>
      <c r="GN441" s="423"/>
      <c r="GO441" s="423"/>
      <c r="GP441" s="423"/>
      <c r="GQ441" s="423"/>
      <c r="GR441" s="423"/>
      <c r="GS441" s="423"/>
      <c r="GT441" s="423"/>
      <c r="GU441" s="423"/>
      <c r="GV441" s="423"/>
      <c r="GW441" s="423"/>
      <c r="GX441" s="423"/>
      <c r="GY441" s="423"/>
      <c r="GZ441" s="423"/>
      <c r="HA441" s="423"/>
      <c r="HB441" s="423"/>
      <c r="HC441" s="423"/>
      <c r="HD441" s="423"/>
      <c r="HE441" s="423"/>
      <c r="HF441" s="423"/>
      <c r="HG441" s="423"/>
      <c r="HH441" s="423"/>
      <c r="HI441" s="423"/>
      <c r="HJ441" s="423"/>
      <c r="HK441" s="423"/>
      <c r="HL441" s="423"/>
      <c r="HM441" s="423"/>
      <c r="HN441" s="423"/>
      <c r="HO441" s="423"/>
      <c r="HP441" s="423"/>
      <c r="HQ441" s="423"/>
      <c r="HR441" s="423"/>
      <c r="HS441" s="423"/>
      <c r="HT441" s="423"/>
      <c r="HU441" s="423"/>
      <c r="HV441" s="423"/>
      <c r="HW441" s="423"/>
      <c r="HX441" s="423"/>
      <c r="HY441" s="423"/>
      <c r="HZ441" s="423"/>
      <c r="IA441" s="423"/>
      <c r="IB441" s="423"/>
      <c r="IC441" s="423"/>
      <c r="ID441" s="423"/>
      <c r="IE441" s="423"/>
      <c r="IF441" s="423"/>
      <c r="IG441" s="423"/>
      <c r="IH441" s="423"/>
      <c r="II441" s="423"/>
    </row>
    <row r="442" spans="1:243" ht="12" hidden="1" customHeight="1">
      <c r="A442" s="423"/>
      <c r="B442" s="423"/>
      <c r="C442" s="423"/>
      <c r="D442" s="423"/>
      <c r="E442" s="423"/>
      <c r="F442" s="423"/>
      <c r="G442" s="423"/>
      <c r="H442" s="423"/>
      <c r="I442" s="423"/>
      <c r="J442" s="423"/>
      <c r="K442" s="423"/>
      <c r="L442" s="423"/>
      <c r="M442" s="423"/>
      <c r="N442" s="423"/>
      <c r="O442" s="423"/>
      <c r="P442" s="423"/>
      <c r="Q442" s="423"/>
      <c r="R442" s="695"/>
      <c r="S442" s="695"/>
      <c r="T442" s="695"/>
      <c r="U442" s="695"/>
      <c r="V442" s="695"/>
      <c r="W442" s="695"/>
      <c r="X442" s="695"/>
      <c r="Y442" s="696"/>
      <c r="Z442" s="696"/>
      <c r="AA442" s="423"/>
      <c r="AB442" s="440"/>
      <c r="AC442" s="440"/>
      <c r="AD442" s="440"/>
      <c r="AE442" s="440"/>
      <c r="AF442" s="1781"/>
      <c r="AG442" s="1781"/>
      <c r="AH442" s="1782"/>
      <c r="AI442" s="1782"/>
      <c r="AJ442" s="1781"/>
      <c r="AK442" s="1781"/>
      <c r="AL442" s="1782"/>
      <c r="AM442" s="1782"/>
      <c r="AN442" s="1781"/>
      <c r="AO442" s="1781"/>
      <c r="AP442" s="1782"/>
      <c r="AQ442" s="1782"/>
      <c r="AR442" s="1781"/>
      <c r="AS442" s="1781"/>
      <c r="AT442" s="1782"/>
      <c r="AU442" s="1782"/>
      <c r="AV442" s="1781"/>
      <c r="AW442" s="1781"/>
      <c r="AX442" s="1782"/>
      <c r="AY442" s="1782"/>
      <c r="AZ442" s="423"/>
      <c r="BA442" s="423"/>
      <c r="BB442" s="423"/>
      <c r="BC442" s="423"/>
      <c r="BD442" s="423"/>
      <c r="BE442" s="1792">
        <v>8</v>
      </c>
      <c r="BF442" s="1795" t="str">
        <f t="shared" si="13"/>
        <v/>
      </c>
      <c r="BG442" s="1793"/>
      <c r="BH442" s="1794">
        <f t="shared" si="14"/>
        <v>8</v>
      </c>
      <c r="BI442" s="1795" t="str">
        <f t="shared" si="15"/>
        <v/>
      </c>
      <c r="BJ442" s="1793"/>
      <c r="BK442" s="1794" t="str">
        <f t="shared" si="16"/>
        <v/>
      </c>
      <c r="BL442" s="1795" t="str">
        <f t="shared" si="17"/>
        <v/>
      </c>
      <c r="BM442" s="1793"/>
      <c r="BN442" s="1794" t="str">
        <f t="shared" si="18"/>
        <v/>
      </c>
      <c r="BO442" s="1795" t="str">
        <f t="shared" si="19"/>
        <v/>
      </c>
      <c r="BP442" s="1793"/>
      <c r="BQ442" s="1794" t="str">
        <f t="shared" si="20"/>
        <v/>
      </c>
      <c r="BR442" s="1780"/>
      <c r="BS442" s="1780"/>
      <c r="BT442" s="1780"/>
      <c r="BU442" s="882"/>
      <c r="BV442" s="882"/>
      <c r="BW442" s="423"/>
      <c r="BX442" s="423"/>
      <c r="BY442" s="423"/>
      <c r="BZ442" s="423"/>
      <c r="CA442" s="423"/>
      <c r="CB442" s="423"/>
      <c r="CC442" s="423"/>
      <c r="CD442" s="423"/>
      <c r="CE442" s="423"/>
      <c r="CF442" s="423"/>
      <c r="CG442" s="423"/>
      <c r="CH442" s="423"/>
      <c r="CI442" s="423"/>
      <c r="CJ442" s="423"/>
      <c r="CK442" s="423"/>
      <c r="CL442" s="423"/>
      <c r="CM442" s="423"/>
      <c r="CN442" s="423"/>
      <c r="CO442" s="423"/>
      <c r="CP442" s="423"/>
      <c r="CQ442" s="423"/>
      <c r="CR442" s="423"/>
      <c r="CS442" s="423"/>
      <c r="CT442" s="423"/>
      <c r="CU442" s="423"/>
      <c r="CV442" s="423"/>
      <c r="CW442" s="423"/>
      <c r="CX442" s="423"/>
      <c r="CY442" s="423"/>
      <c r="CZ442" s="423"/>
      <c r="DA442" s="423"/>
      <c r="DB442" s="423"/>
      <c r="DC442" s="423"/>
      <c r="DD442" s="423"/>
      <c r="DE442" s="423"/>
      <c r="DF442" s="423"/>
      <c r="DG442" s="423"/>
      <c r="DH442" s="423"/>
      <c r="DI442" s="423"/>
      <c r="DJ442" s="423"/>
      <c r="DK442" s="423"/>
      <c r="DL442" s="423"/>
      <c r="DM442" s="423"/>
      <c r="DN442" s="423"/>
      <c r="DO442" s="423"/>
      <c r="DP442" s="423"/>
      <c r="DQ442" s="423"/>
      <c r="DR442" s="423"/>
      <c r="DS442" s="423"/>
      <c r="DT442" s="423"/>
      <c r="DU442" s="423"/>
      <c r="DV442" s="423"/>
      <c r="DW442" s="423"/>
      <c r="DX442" s="423"/>
      <c r="DY442" s="423"/>
      <c r="DZ442" s="423"/>
      <c r="EA442" s="423"/>
      <c r="EB442" s="423"/>
      <c r="EC442" s="423"/>
      <c r="ED442" s="423"/>
      <c r="EE442" s="423"/>
      <c r="EF442" s="423"/>
      <c r="EG442" s="423"/>
      <c r="EH442" s="423"/>
      <c r="EI442" s="423"/>
      <c r="EJ442" s="423"/>
      <c r="EK442" s="423"/>
      <c r="EL442" s="423"/>
      <c r="EM442" s="423"/>
      <c r="EN442" s="423"/>
      <c r="EO442" s="423"/>
      <c r="EP442" s="423"/>
      <c r="EQ442" s="423"/>
      <c r="ER442" s="423"/>
      <c r="ES442" s="423"/>
      <c r="ET442" s="423"/>
      <c r="EU442" s="423"/>
      <c r="EV442" s="423"/>
      <c r="EW442" s="423"/>
      <c r="EX442" s="423"/>
      <c r="EY442" s="423"/>
      <c r="EZ442" s="423"/>
      <c r="FA442" s="423"/>
      <c r="FB442" s="423"/>
      <c r="FC442" s="423"/>
      <c r="FD442" s="423"/>
      <c r="FE442" s="423"/>
      <c r="FF442" s="423"/>
      <c r="FG442" s="423"/>
      <c r="FH442" s="423"/>
      <c r="FI442" s="423"/>
      <c r="FJ442" s="423"/>
      <c r="FK442" s="423"/>
      <c r="FL442" s="423"/>
      <c r="FM442" s="423"/>
      <c r="FN442" s="423"/>
      <c r="FO442" s="423"/>
      <c r="FP442" s="423"/>
      <c r="FQ442" s="423"/>
      <c r="FR442" s="423"/>
      <c r="FS442" s="423"/>
      <c r="FT442" s="423"/>
      <c r="FU442" s="423"/>
      <c r="FV442" s="423"/>
      <c r="FW442" s="423"/>
      <c r="FX442" s="423"/>
      <c r="FY442" s="423"/>
      <c r="FZ442" s="423"/>
      <c r="GA442" s="423"/>
      <c r="GB442" s="423"/>
      <c r="GC442" s="423"/>
      <c r="GD442" s="423"/>
      <c r="GE442" s="423"/>
      <c r="GF442" s="423"/>
      <c r="GG442" s="423"/>
      <c r="GH442" s="423"/>
      <c r="GI442" s="423"/>
      <c r="GJ442" s="423"/>
      <c r="GK442" s="423"/>
      <c r="GL442" s="423"/>
      <c r="GM442" s="423"/>
      <c r="GN442" s="423"/>
      <c r="GO442" s="423"/>
      <c r="GP442" s="423"/>
      <c r="GQ442" s="423"/>
      <c r="GR442" s="423"/>
      <c r="GS442" s="423"/>
      <c r="GT442" s="423"/>
      <c r="GU442" s="423"/>
      <c r="GV442" s="423"/>
      <c r="GW442" s="423"/>
      <c r="GX442" s="423"/>
      <c r="GY442" s="423"/>
      <c r="GZ442" s="423"/>
      <c r="HA442" s="423"/>
      <c r="HB442" s="423"/>
      <c r="HC442" s="423"/>
      <c r="HD442" s="423"/>
      <c r="HE442" s="423"/>
      <c r="HF442" s="423"/>
      <c r="HG442" s="423"/>
      <c r="HH442" s="423"/>
      <c r="HI442" s="423"/>
      <c r="HJ442" s="423"/>
      <c r="HK442" s="423"/>
      <c r="HL442" s="423"/>
      <c r="HM442" s="423"/>
      <c r="HN442" s="423"/>
      <c r="HO442" s="423"/>
      <c r="HP442" s="423"/>
      <c r="HQ442" s="423"/>
      <c r="HR442" s="423"/>
      <c r="HS442" s="423"/>
      <c r="HT442" s="423"/>
      <c r="HU442" s="423"/>
      <c r="HV442" s="423"/>
      <c r="HW442" s="423"/>
      <c r="HX442" s="423"/>
      <c r="HY442" s="423"/>
      <c r="HZ442" s="423"/>
      <c r="IA442" s="423"/>
      <c r="IB442" s="423"/>
      <c r="IC442" s="423"/>
      <c r="ID442" s="423"/>
      <c r="IE442" s="423"/>
      <c r="IF442" s="423"/>
      <c r="IG442" s="423"/>
      <c r="IH442" s="423"/>
      <c r="II442" s="423"/>
    </row>
    <row r="443" spans="1:243" ht="12" hidden="1" customHeight="1">
      <c r="A443" s="423"/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423"/>
      <c r="Q443" s="423"/>
      <c r="R443" s="695"/>
      <c r="S443" s="695"/>
      <c r="T443" s="695"/>
      <c r="U443" s="695"/>
      <c r="V443" s="695"/>
      <c r="W443" s="695"/>
      <c r="X443" s="695"/>
      <c r="Y443" s="696"/>
      <c r="Z443" s="696"/>
      <c r="AA443" s="423"/>
      <c r="AB443" s="440"/>
      <c r="AC443" s="440"/>
      <c r="AD443" s="440"/>
      <c r="AE443" s="440"/>
      <c r="AF443" s="1781"/>
      <c r="AG443" s="1781"/>
      <c r="AH443" s="1782"/>
      <c r="AI443" s="1782"/>
      <c r="AJ443" s="1781"/>
      <c r="AK443" s="1781"/>
      <c r="AL443" s="1782"/>
      <c r="AM443" s="1782"/>
      <c r="AN443" s="1781"/>
      <c r="AO443" s="1781"/>
      <c r="AP443" s="1782"/>
      <c r="AQ443" s="1782"/>
      <c r="AR443" s="1781"/>
      <c r="AS443" s="1781"/>
      <c r="AT443" s="1782"/>
      <c r="AU443" s="1782"/>
      <c r="AV443" s="1781"/>
      <c r="AW443" s="1781"/>
      <c r="AX443" s="1782"/>
      <c r="AY443" s="1782"/>
      <c r="AZ443" s="423"/>
      <c r="BA443" s="423"/>
      <c r="BB443" s="423"/>
      <c r="BC443" s="423"/>
      <c r="BD443" s="423"/>
      <c r="BE443" s="1792">
        <v>9</v>
      </c>
      <c r="BF443" s="1795" t="str">
        <f t="shared" si="13"/>
        <v/>
      </c>
      <c r="BG443" s="1793"/>
      <c r="BH443" s="1794">
        <f t="shared" si="14"/>
        <v>9</v>
      </c>
      <c r="BI443" s="1795" t="str">
        <f t="shared" si="15"/>
        <v/>
      </c>
      <c r="BJ443" s="1793"/>
      <c r="BK443" s="1794" t="str">
        <f t="shared" si="16"/>
        <v/>
      </c>
      <c r="BL443" s="1795" t="str">
        <f t="shared" si="17"/>
        <v/>
      </c>
      <c r="BM443" s="1793"/>
      <c r="BN443" s="1794" t="str">
        <f t="shared" si="18"/>
        <v/>
      </c>
      <c r="BO443" s="1795" t="str">
        <f t="shared" si="19"/>
        <v/>
      </c>
      <c r="BP443" s="1793"/>
      <c r="BQ443" s="1794" t="str">
        <f t="shared" si="20"/>
        <v/>
      </c>
      <c r="BR443" s="1780"/>
      <c r="BS443" s="1780"/>
      <c r="BT443" s="1780"/>
      <c r="BU443" s="882"/>
      <c r="BV443" s="882"/>
      <c r="BW443" s="423"/>
      <c r="BX443" s="423"/>
      <c r="BY443" s="423"/>
      <c r="BZ443" s="423"/>
      <c r="CA443" s="423"/>
      <c r="CB443" s="423"/>
      <c r="CC443" s="423"/>
      <c r="CD443" s="423"/>
      <c r="CE443" s="423"/>
      <c r="CF443" s="423"/>
      <c r="CG443" s="423"/>
      <c r="CH443" s="423"/>
      <c r="CI443" s="423"/>
      <c r="CJ443" s="423"/>
      <c r="CK443" s="423"/>
      <c r="CL443" s="423"/>
      <c r="CM443" s="423"/>
      <c r="CN443" s="423"/>
      <c r="CO443" s="423"/>
      <c r="CP443" s="423"/>
      <c r="CQ443" s="423"/>
      <c r="CR443" s="423"/>
      <c r="CS443" s="423"/>
      <c r="CT443" s="423"/>
      <c r="CU443" s="423"/>
      <c r="CV443" s="423"/>
      <c r="CW443" s="423"/>
      <c r="CX443" s="423"/>
      <c r="CY443" s="423"/>
      <c r="CZ443" s="423"/>
      <c r="DA443" s="423"/>
      <c r="DB443" s="423"/>
      <c r="DC443" s="423"/>
      <c r="DD443" s="423"/>
      <c r="DE443" s="423"/>
      <c r="DF443" s="423"/>
      <c r="DG443" s="423"/>
      <c r="DH443" s="423"/>
      <c r="DI443" s="423"/>
      <c r="DJ443" s="423"/>
      <c r="DK443" s="423"/>
      <c r="DL443" s="423"/>
      <c r="DM443" s="423"/>
      <c r="DN443" s="423"/>
      <c r="DO443" s="423"/>
      <c r="DP443" s="423"/>
      <c r="DQ443" s="423"/>
      <c r="DR443" s="423"/>
      <c r="DS443" s="423"/>
      <c r="DT443" s="423"/>
      <c r="DU443" s="423"/>
      <c r="DV443" s="423"/>
      <c r="DW443" s="423"/>
      <c r="DX443" s="423"/>
      <c r="DY443" s="423"/>
      <c r="DZ443" s="423"/>
      <c r="EA443" s="423"/>
      <c r="EB443" s="423"/>
      <c r="EC443" s="423"/>
      <c r="ED443" s="423"/>
      <c r="EE443" s="423"/>
      <c r="EF443" s="423"/>
      <c r="EG443" s="423"/>
      <c r="EH443" s="423"/>
      <c r="EI443" s="423"/>
      <c r="EJ443" s="423"/>
      <c r="EK443" s="423"/>
      <c r="EL443" s="423"/>
      <c r="EM443" s="423"/>
      <c r="EN443" s="423"/>
      <c r="EO443" s="423"/>
      <c r="EP443" s="423"/>
      <c r="EQ443" s="423"/>
      <c r="ER443" s="423"/>
      <c r="ES443" s="423"/>
      <c r="ET443" s="423"/>
      <c r="EU443" s="423"/>
      <c r="EV443" s="423"/>
      <c r="EW443" s="423"/>
      <c r="EX443" s="423"/>
      <c r="EY443" s="423"/>
      <c r="EZ443" s="423"/>
      <c r="FA443" s="423"/>
      <c r="FB443" s="423"/>
      <c r="FC443" s="423"/>
      <c r="FD443" s="423"/>
      <c r="FE443" s="423"/>
      <c r="FF443" s="423"/>
      <c r="FG443" s="423"/>
      <c r="FH443" s="423"/>
      <c r="FI443" s="423"/>
      <c r="FJ443" s="423"/>
      <c r="FK443" s="423"/>
      <c r="FL443" s="423"/>
      <c r="FM443" s="423"/>
      <c r="FN443" s="423"/>
      <c r="FO443" s="423"/>
      <c r="FP443" s="423"/>
      <c r="FQ443" s="423"/>
      <c r="FR443" s="423"/>
      <c r="FS443" s="423"/>
      <c r="FT443" s="423"/>
      <c r="FU443" s="423"/>
      <c r="FV443" s="423"/>
      <c r="FW443" s="423"/>
      <c r="FX443" s="423"/>
      <c r="FY443" s="423"/>
      <c r="FZ443" s="423"/>
      <c r="GA443" s="423"/>
      <c r="GB443" s="423"/>
      <c r="GC443" s="423"/>
      <c r="GD443" s="423"/>
      <c r="GE443" s="423"/>
      <c r="GF443" s="423"/>
      <c r="GG443" s="423"/>
      <c r="GH443" s="423"/>
      <c r="GI443" s="423"/>
      <c r="GJ443" s="423"/>
      <c r="GK443" s="423"/>
      <c r="GL443" s="423"/>
      <c r="GM443" s="423"/>
      <c r="GN443" s="423"/>
      <c r="GO443" s="423"/>
      <c r="GP443" s="423"/>
      <c r="GQ443" s="423"/>
      <c r="GR443" s="423"/>
      <c r="GS443" s="423"/>
      <c r="GT443" s="423"/>
      <c r="GU443" s="423"/>
      <c r="GV443" s="423"/>
      <c r="GW443" s="423"/>
      <c r="GX443" s="423"/>
      <c r="GY443" s="423"/>
      <c r="GZ443" s="423"/>
      <c r="HA443" s="423"/>
      <c r="HB443" s="423"/>
      <c r="HC443" s="423"/>
      <c r="HD443" s="423"/>
      <c r="HE443" s="423"/>
      <c r="HF443" s="423"/>
      <c r="HG443" s="423"/>
      <c r="HH443" s="423"/>
      <c r="HI443" s="423"/>
      <c r="HJ443" s="423"/>
      <c r="HK443" s="423"/>
      <c r="HL443" s="423"/>
      <c r="HM443" s="423"/>
      <c r="HN443" s="423"/>
      <c r="HO443" s="423"/>
      <c r="HP443" s="423"/>
      <c r="HQ443" s="423"/>
      <c r="HR443" s="423"/>
      <c r="HS443" s="423"/>
      <c r="HT443" s="423"/>
      <c r="HU443" s="423"/>
      <c r="HV443" s="423"/>
      <c r="HW443" s="423"/>
      <c r="HX443" s="423"/>
      <c r="HY443" s="423"/>
      <c r="HZ443" s="423"/>
      <c r="IA443" s="423"/>
      <c r="IB443" s="423"/>
      <c r="IC443" s="423"/>
      <c r="ID443" s="423"/>
      <c r="IE443" s="423"/>
      <c r="IF443" s="423"/>
      <c r="IG443" s="423"/>
      <c r="IH443" s="423"/>
      <c r="II443" s="423"/>
    </row>
    <row r="444" spans="1:243" ht="12" hidden="1" customHeight="1">
      <c r="A444" s="423"/>
      <c r="B444" s="423"/>
      <c r="C444" s="423"/>
      <c r="D444" s="423"/>
      <c r="E444" s="423"/>
      <c r="F444" s="423"/>
      <c r="G444" s="423"/>
      <c r="H444" s="423"/>
      <c r="I444" s="423"/>
      <c r="J444" s="423"/>
      <c r="K444" s="423"/>
      <c r="L444" s="423"/>
      <c r="M444" s="423"/>
      <c r="N444" s="423"/>
      <c r="O444" s="423"/>
      <c r="P444" s="423"/>
      <c r="Q444" s="423"/>
      <c r="R444" s="695"/>
      <c r="S444" s="695"/>
      <c r="T444" s="695"/>
      <c r="U444" s="695"/>
      <c r="V444" s="695"/>
      <c r="W444" s="695"/>
      <c r="X444" s="695"/>
      <c r="Y444" s="696"/>
      <c r="Z444" s="696"/>
      <c r="AA444" s="423"/>
      <c r="AB444" s="440"/>
      <c r="AC444" s="440"/>
      <c r="AD444" s="440"/>
      <c r="AE444" s="440"/>
      <c r="AF444" s="1781"/>
      <c r="AG444" s="1781"/>
      <c r="AH444" s="1782"/>
      <c r="AI444" s="1782"/>
      <c r="AJ444" s="1781"/>
      <c r="AK444" s="1781"/>
      <c r="AL444" s="1782"/>
      <c r="AM444" s="1782"/>
      <c r="AN444" s="1781"/>
      <c r="AO444" s="1781"/>
      <c r="AP444" s="1782"/>
      <c r="AQ444" s="1782"/>
      <c r="AR444" s="1781"/>
      <c r="AS444" s="1781"/>
      <c r="AT444" s="1782"/>
      <c r="AU444" s="1782"/>
      <c r="AV444" s="1781"/>
      <c r="AW444" s="1781"/>
      <c r="AX444" s="1782"/>
      <c r="AY444" s="1782"/>
      <c r="AZ444" s="423"/>
      <c r="BA444" s="423"/>
      <c r="BB444" s="423"/>
      <c r="BC444" s="423"/>
      <c r="BD444" s="423"/>
      <c r="BE444" s="1792">
        <v>10</v>
      </c>
      <c r="BF444" s="1795" t="str">
        <f t="shared" si="13"/>
        <v/>
      </c>
      <c r="BG444" s="1793"/>
      <c r="BH444" s="1794">
        <f t="shared" si="14"/>
        <v>10</v>
      </c>
      <c r="BI444" s="1795" t="str">
        <f t="shared" si="15"/>
        <v/>
      </c>
      <c r="BJ444" s="1793"/>
      <c r="BK444" s="1794" t="str">
        <f t="shared" si="16"/>
        <v/>
      </c>
      <c r="BL444" s="1795" t="str">
        <f t="shared" si="17"/>
        <v/>
      </c>
      <c r="BM444" s="1793"/>
      <c r="BN444" s="1794" t="str">
        <f t="shared" si="18"/>
        <v/>
      </c>
      <c r="BO444" s="1795" t="str">
        <f t="shared" si="19"/>
        <v/>
      </c>
      <c r="BP444" s="1793"/>
      <c r="BQ444" s="1794" t="str">
        <f t="shared" si="20"/>
        <v/>
      </c>
      <c r="BR444" s="1780"/>
      <c r="BS444" s="1780"/>
      <c r="BT444" s="1780"/>
      <c r="BU444" s="882"/>
      <c r="BV444" s="882"/>
      <c r="BW444" s="423"/>
      <c r="BX444" s="423"/>
      <c r="BY444" s="423"/>
      <c r="BZ444" s="423"/>
      <c r="CA444" s="423"/>
      <c r="CB444" s="423"/>
      <c r="CC444" s="423"/>
      <c r="CD444" s="423"/>
      <c r="CE444" s="423"/>
      <c r="CF444" s="423"/>
      <c r="CG444" s="423"/>
      <c r="CH444" s="423"/>
      <c r="CI444" s="423"/>
      <c r="CJ444" s="423"/>
      <c r="CK444" s="423"/>
      <c r="CL444" s="423"/>
      <c r="CM444" s="423"/>
      <c r="CN444" s="423"/>
      <c r="CO444" s="423"/>
      <c r="CP444" s="423"/>
      <c r="CQ444" s="423"/>
      <c r="CR444" s="423"/>
      <c r="CS444" s="423"/>
      <c r="CT444" s="423"/>
      <c r="CU444" s="423"/>
      <c r="CV444" s="423"/>
      <c r="CW444" s="423"/>
      <c r="CX444" s="423"/>
      <c r="CY444" s="423"/>
      <c r="CZ444" s="423"/>
      <c r="DA444" s="423"/>
      <c r="DB444" s="423"/>
      <c r="DC444" s="423"/>
      <c r="DD444" s="423"/>
      <c r="DE444" s="423"/>
      <c r="DF444" s="423"/>
      <c r="DG444" s="423"/>
      <c r="DH444" s="423"/>
      <c r="DI444" s="423"/>
      <c r="DJ444" s="423"/>
      <c r="DK444" s="423"/>
      <c r="DL444" s="423"/>
      <c r="DM444" s="423"/>
      <c r="DN444" s="423"/>
      <c r="DO444" s="423"/>
      <c r="DP444" s="423"/>
      <c r="DQ444" s="423"/>
      <c r="DR444" s="423"/>
      <c r="DS444" s="423"/>
      <c r="DT444" s="423"/>
      <c r="DU444" s="423"/>
      <c r="DV444" s="423"/>
      <c r="DW444" s="423"/>
      <c r="DX444" s="423"/>
      <c r="DY444" s="423"/>
      <c r="DZ444" s="423"/>
      <c r="EA444" s="423"/>
      <c r="EB444" s="423"/>
      <c r="EC444" s="423"/>
      <c r="ED444" s="423"/>
      <c r="EE444" s="423"/>
      <c r="EF444" s="423"/>
      <c r="EG444" s="423"/>
      <c r="EH444" s="423"/>
      <c r="EI444" s="423"/>
      <c r="EJ444" s="423"/>
      <c r="EK444" s="423"/>
      <c r="EL444" s="423"/>
      <c r="EM444" s="423"/>
      <c r="EN444" s="423"/>
      <c r="EO444" s="423"/>
      <c r="EP444" s="423"/>
      <c r="EQ444" s="423"/>
      <c r="ER444" s="423"/>
      <c r="ES444" s="423"/>
      <c r="ET444" s="423"/>
      <c r="EU444" s="423"/>
      <c r="EV444" s="423"/>
      <c r="EW444" s="423"/>
      <c r="EX444" s="423"/>
      <c r="EY444" s="423"/>
      <c r="EZ444" s="423"/>
      <c r="FA444" s="423"/>
      <c r="FB444" s="423"/>
      <c r="FC444" s="423"/>
      <c r="FD444" s="423"/>
      <c r="FE444" s="423"/>
      <c r="FF444" s="423"/>
      <c r="FG444" s="423"/>
      <c r="FH444" s="423"/>
      <c r="FI444" s="423"/>
      <c r="FJ444" s="423"/>
      <c r="FK444" s="423"/>
      <c r="FL444" s="423"/>
      <c r="FM444" s="423"/>
      <c r="FN444" s="423"/>
      <c r="FO444" s="423"/>
      <c r="FP444" s="423"/>
      <c r="FQ444" s="423"/>
      <c r="FR444" s="423"/>
      <c r="FS444" s="423"/>
      <c r="FT444" s="423"/>
      <c r="FU444" s="423"/>
      <c r="FV444" s="423"/>
      <c r="FW444" s="423"/>
      <c r="FX444" s="423"/>
      <c r="FY444" s="423"/>
      <c r="FZ444" s="423"/>
      <c r="GA444" s="423"/>
      <c r="GB444" s="423"/>
      <c r="GC444" s="423"/>
      <c r="GD444" s="423"/>
      <c r="GE444" s="423"/>
      <c r="GF444" s="423"/>
      <c r="GG444" s="423"/>
      <c r="GH444" s="423"/>
      <c r="GI444" s="423"/>
      <c r="GJ444" s="423"/>
      <c r="GK444" s="423"/>
      <c r="GL444" s="423"/>
      <c r="GM444" s="423"/>
      <c r="GN444" s="423"/>
      <c r="GO444" s="423"/>
      <c r="GP444" s="423"/>
      <c r="GQ444" s="423"/>
      <c r="GR444" s="423"/>
      <c r="GS444" s="423"/>
      <c r="GT444" s="423"/>
      <c r="GU444" s="423"/>
      <c r="GV444" s="423"/>
      <c r="GW444" s="423"/>
      <c r="GX444" s="423"/>
      <c r="GY444" s="423"/>
      <c r="GZ444" s="423"/>
      <c r="HA444" s="423"/>
      <c r="HB444" s="423"/>
      <c r="HC444" s="423"/>
      <c r="HD444" s="423"/>
      <c r="HE444" s="423"/>
      <c r="HF444" s="423"/>
      <c r="HG444" s="423"/>
      <c r="HH444" s="423"/>
      <c r="HI444" s="423"/>
      <c r="HJ444" s="423"/>
      <c r="HK444" s="423"/>
      <c r="HL444" s="423"/>
      <c r="HM444" s="423"/>
      <c r="HN444" s="423"/>
      <c r="HO444" s="423"/>
      <c r="HP444" s="423"/>
      <c r="HQ444" s="423"/>
      <c r="HR444" s="423"/>
      <c r="HS444" s="423"/>
      <c r="HT444" s="423"/>
      <c r="HU444" s="423"/>
      <c r="HV444" s="423"/>
      <c r="HW444" s="423"/>
      <c r="HX444" s="423"/>
      <c r="HY444" s="423"/>
      <c r="HZ444" s="423"/>
      <c r="IA444" s="423"/>
      <c r="IB444" s="423"/>
      <c r="IC444" s="423"/>
      <c r="ID444" s="423"/>
      <c r="IE444" s="423"/>
      <c r="IF444" s="423"/>
      <c r="IG444" s="423"/>
      <c r="IH444" s="423"/>
      <c r="II444" s="423"/>
    </row>
    <row r="445" spans="1:243" ht="12" hidden="1" customHeight="1">
      <c r="A445" s="423"/>
      <c r="B445" s="423"/>
      <c r="C445" s="423"/>
      <c r="D445" s="423"/>
      <c r="E445" s="423"/>
      <c r="F445" s="423"/>
      <c r="G445" s="423"/>
      <c r="H445" s="423"/>
      <c r="I445" s="423"/>
      <c r="J445" s="423"/>
      <c r="K445" s="423"/>
      <c r="L445" s="423"/>
      <c r="M445" s="423"/>
      <c r="N445" s="423"/>
      <c r="O445" s="423"/>
      <c r="P445" s="423"/>
      <c r="Q445" s="423"/>
      <c r="R445" s="695"/>
      <c r="S445" s="695"/>
      <c r="T445" s="695"/>
      <c r="U445" s="695"/>
      <c r="V445" s="695"/>
      <c r="W445" s="695"/>
      <c r="X445" s="695"/>
      <c r="Y445" s="696"/>
      <c r="Z445" s="696"/>
      <c r="AA445" s="423"/>
      <c r="AB445" s="440"/>
      <c r="AC445" s="440"/>
      <c r="AD445" s="440"/>
      <c r="AE445" s="440"/>
      <c r="AF445" s="1781"/>
      <c r="AG445" s="1781"/>
      <c r="AH445" s="1782"/>
      <c r="AI445" s="1782"/>
      <c r="AJ445" s="1781"/>
      <c r="AK445" s="1781"/>
      <c r="AL445" s="1782"/>
      <c r="AM445" s="1782"/>
      <c r="AN445" s="1781"/>
      <c r="AO445" s="1781"/>
      <c r="AP445" s="1782"/>
      <c r="AQ445" s="1782"/>
      <c r="AR445" s="1781"/>
      <c r="AS445" s="1781"/>
      <c r="AT445" s="1782"/>
      <c r="AU445" s="1782"/>
      <c r="AV445" s="1781"/>
      <c r="AW445" s="1781"/>
      <c r="AX445" s="1782"/>
      <c r="AY445" s="1782"/>
      <c r="AZ445" s="423"/>
      <c r="BA445" s="423"/>
      <c r="BB445" s="423"/>
      <c r="BC445" s="423"/>
      <c r="BD445" s="423"/>
      <c r="BE445" s="1792">
        <v>11</v>
      </c>
      <c r="BF445" s="1795" t="str">
        <f t="shared" si="13"/>
        <v/>
      </c>
      <c r="BG445" s="1793"/>
      <c r="BH445" s="1794">
        <f t="shared" si="14"/>
        <v>11</v>
      </c>
      <c r="BI445" s="1795" t="str">
        <f t="shared" si="15"/>
        <v/>
      </c>
      <c r="BJ445" s="1793"/>
      <c r="BK445" s="1794" t="str">
        <f t="shared" si="16"/>
        <v/>
      </c>
      <c r="BL445" s="1795" t="str">
        <f t="shared" si="17"/>
        <v/>
      </c>
      <c r="BM445" s="1793"/>
      <c r="BN445" s="1794" t="str">
        <f t="shared" si="18"/>
        <v/>
      </c>
      <c r="BO445" s="1795" t="str">
        <f t="shared" si="19"/>
        <v/>
      </c>
      <c r="BP445" s="1793"/>
      <c r="BQ445" s="1794" t="str">
        <f t="shared" si="20"/>
        <v/>
      </c>
      <c r="BR445" s="1780"/>
      <c r="BS445" s="1780"/>
      <c r="BT445" s="1780"/>
      <c r="BU445" s="882"/>
      <c r="BV445" s="882"/>
      <c r="BW445" s="423"/>
      <c r="BX445" s="423"/>
      <c r="BY445" s="423"/>
      <c r="BZ445" s="423"/>
      <c r="CA445" s="423"/>
      <c r="CB445" s="423"/>
      <c r="CC445" s="423"/>
      <c r="CD445" s="423"/>
      <c r="CE445" s="423"/>
      <c r="CF445" s="423"/>
      <c r="CG445" s="423"/>
      <c r="CH445" s="423"/>
      <c r="CI445" s="423"/>
      <c r="CJ445" s="423"/>
      <c r="CK445" s="423"/>
      <c r="CL445" s="423"/>
      <c r="CM445" s="423"/>
      <c r="CN445" s="423"/>
      <c r="CO445" s="423"/>
      <c r="CP445" s="423"/>
      <c r="CQ445" s="423"/>
      <c r="CR445" s="423"/>
      <c r="CS445" s="423"/>
      <c r="CT445" s="423"/>
      <c r="CU445" s="423"/>
      <c r="CV445" s="423"/>
      <c r="CW445" s="423"/>
      <c r="CX445" s="423"/>
      <c r="CY445" s="423"/>
      <c r="CZ445" s="423"/>
      <c r="DA445" s="423"/>
      <c r="DB445" s="423"/>
      <c r="DC445" s="423"/>
      <c r="DD445" s="423"/>
      <c r="DE445" s="423"/>
      <c r="DF445" s="423"/>
      <c r="DG445" s="423"/>
      <c r="DH445" s="423"/>
      <c r="DI445" s="423"/>
      <c r="DJ445" s="423"/>
      <c r="DK445" s="423"/>
      <c r="DL445" s="423"/>
      <c r="DM445" s="423"/>
      <c r="DN445" s="423"/>
      <c r="DO445" s="423"/>
      <c r="DP445" s="423"/>
      <c r="DQ445" s="423"/>
      <c r="DR445" s="423"/>
      <c r="DS445" s="423"/>
      <c r="DT445" s="423"/>
      <c r="DU445" s="423"/>
      <c r="DV445" s="423"/>
      <c r="DW445" s="423"/>
      <c r="DX445" s="423"/>
      <c r="DY445" s="423"/>
      <c r="DZ445" s="423"/>
      <c r="EA445" s="423"/>
      <c r="EB445" s="423"/>
      <c r="EC445" s="423"/>
      <c r="ED445" s="423"/>
      <c r="EE445" s="423"/>
      <c r="EF445" s="423"/>
      <c r="EG445" s="423"/>
      <c r="EH445" s="423"/>
      <c r="EI445" s="423"/>
      <c r="EJ445" s="423"/>
      <c r="EK445" s="423"/>
      <c r="EL445" s="423"/>
      <c r="EM445" s="423"/>
      <c r="EN445" s="423"/>
      <c r="EO445" s="423"/>
      <c r="EP445" s="423"/>
      <c r="EQ445" s="423"/>
      <c r="ER445" s="423"/>
      <c r="ES445" s="423"/>
      <c r="ET445" s="423"/>
      <c r="EU445" s="423"/>
      <c r="EV445" s="423"/>
      <c r="EW445" s="423"/>
      <c r="EX445" s="423"/>
      <c r="EY445" s="423"/>
      <c r="EZ445" s="423"/>
      <c r="FA445" s="423"/>
      <c r="FB445" s="423"/>
      <c r="FC445" s="423"/>
      <c r="FD445" s="423"/>
      <c r="FE445" s="423"/>
      <c r="FF445" s="423"/>
      <c r="FG445" s="423"/>
      <c r="FH445" s="423"/>
      <c r="FI445" s="423"/>
      <c r="FJ445" s="423"/>
      <c r="FK445" s="423"/>
      <c r="FL445" s="423"/>
      <c r="FM445" s="423"/>
      <c r="FN445" s="423"/>
      <c r="FO445" s="423"/>
      <c r="FP445" s="423"/>
      <c r="FQ445" s="423"/>
      <c r="FR445" s="423"/>
      <c r="FS445" s="423"/>
      <c r="FT445" s="423"/>
      <c r="FU445" s="423"/>
      <c r="FV445" s="423"/>
      <c r="FW445" s="423"/>
      <c r="FX445" s="423"/>
      <c r="FY445" s="423"/>
      <c r="FZ445" s="423"/>
      <c r="GA445" s="423"/>
      <c r="GB445" s="423"/>
      <c r="GC445" s="423"/>
      <c r="GD445" s="423"/>
      <c r="GE445" s="423"/>
      <c r="GF445" s="423"/>
      <c r="GG445" s="423"/>
      <c r="GH445" s="423"/>
      <c r="GI445" s="423"/>
      <c r="GJ445" s="423"/>
      <c r="GK445" s="423"/>
      <c r="GL445" s="423"/>
      <c r="GM445" s="423"/>
      <c r="GN445" s="423"/>
      <c r="GO445" s="423"/>
      <c r="GP445" s="423"/>
      <c r="GQ445" s="423"/>
      <c r="GR445" s="423"/>
      <c r="GS445" s="423"/>
      <c r="GT445" s="423"/>
      <c r="GU445" s="423"/>
      <c r="GV445" s="423"/>
      <c r="GW445" s="423"/>
      <c r="GX445" s="423"/>
      <c r="GY445" s="423"/>
      <c r="GZ445" s="423"/>
      <c r="HA445" s="423"/>
      <c r="HB445" s="423"/>
      <c r="HC445" s="423"/>
      <c r="HD445" s="423"/>
      <c r="HE445" s="423"/>
      <c r="HF445" s="423"/>
      <c r="HG445" s="423"/>
      <c r="HH445" s="423"/>
      <c r="HI445" s="423"/>
      <c r="HJ445" s="423"/>
      <c r="HK445" s="423"/>
      <c r="HL445" s="423"/>
      <c r="HM445" s="423"/>
      <c r="HN445" s="423"/>
      <c r="HO445" s="423"/>
      <c r="HP445" s="423"/>
      <c r="HQ445" s="423"/>
      <c r="HR445" s="423"/>
      <c r="HS445" s="423"/>
      <c r="HT445" s="423"/>
      <c r="HU445" s="423"/>
      <c r="HV445" s="423"/>
      <c r="HW445" s="423"/>
      <c r="HX445" s="423"/>
      <c r="HY445" s="423"/>
      <c r="HZ445" s="423"/>
      <c r="IA445" s="423"/>
      <c r="IB445" s="423"/>
      <c r="IC445" s="423"/>
      <c r="ID445" s="423"/>
      <c r="IE445" s="423"/>
      <c r="IF445" s="423"/>
      <c r="IG445" s="423"/>
      <c r="IH445" s="423"/>
      <c r="II445" s="423"/>
    </row>
    <row r="446" spans="1:243" ht="13.5" hidden="1" customHeight="1">
      <c r="A446" s="423"/>
      <c r="B446" s="423"/>
      <c r="C446" s="423"/>
      <c r="D446" s="423"/>
      <c r="E446" s="423"/>
      <c r="F446" s="423"/>
      <c r="G446" s="423"/>
      <c r="H446" s="423"/>
      <c r="I446" s="423"/>
      <c r="J446" s="423"/>
      <c r="K446" s="423"/>
      <c r="L446" s="423"/>
      <c r="M446" s="423"/>
      <c r="N446" s="423"/>
      <c r="O446" s="423"/>
      <c r="P446" s="423"/>
      <c r="Q446" s="423"/>
      <c r="R446" s="423"/>
      <c r="S446" s="423"/>
      <c r="T446" s="423"/>
      <c r="U446" s="423"/>
      <c r="V446" s="423"/>
      <c r="W446" s="423"/>
      <c r="X446" s="423"/>
      <c r="Y446" s="423"/>
      <c r="Z446" s="423"/>
      <c r="AA446" s="423"/>
      <c r="AB446" s="1735"/>
      <c r="AC446" s="440"/>
      <c r="AD446" s="440"/>
      <c r="AE446" s="440"/>
      <c r="AF446" s="697"/>
      <c r="AG446" s="697"/>
      <c r="AH446" s="697"/>
      <c r="AI446" s="697"/>
      <c r="AJ446" s="697"/>
      <c r="AK446" s="697"/>
      <c r="AL446" s="697"/>
      <c r="AM446" s="697"/>
      <c r="AN446" s="697"/>
      <c r="AO446" s="697"/>
      <c r="AP446" s="697"/>
      <c r="AQ446" s="697"/>
      <c r="AR446" s="697"/>
      <c r="AS446" s="697"/>
      <c r="AT446" s="697"/>
      <c r="AU446" s="697"/>
      <c r="AV446" s="697"/>
      <c r="AW446" s="697"/>
      <c r="AX446" s="697"/>
      <c r="AY446" s="697"/>
      <c r="AZ446" s="423"/>
      <c r="BA446" s="423"/>
      <c r="BB446" s="423"/>
      <c r="BC446" s="423"/>
      <c r="BD446" s="423"/>
      <c r="BE446" s="1792">
        <v>12</v>
      </c>
      <c r="BF446" s="1795" t="str">
        <f t="shared" si="13"/>
        <v/>
      </c>
      <c r="BG446" s="1793"/>
      <c r="BH446" s="1794">
        <f t="shared" si="14"/>
        <v>12</v>
      </c>
      <c r="BI446" s="1795" t="str">
        <f t="shared" si="15"/>
        <v/>
      </c>
      <c r="BJ446" s="1793"/>
      <c r="BK446" s="1794" t="str">
        <f t="shared" si="16"/>
        <v/>
      </c>
      <c r="BL446" s="1795" t="str">
        <f t="shared" si="17"/>
        <v/>
      </c>
      <c r="BM446" s="1793"/>
      <c r="BN446" s="1794" t="str">
        <f t="shared" si="18"/>
        <v/>
      </c>
      <c r="BO446" s="1795" t="str">
        <f t="shared" si="19"/>
        <v/>
      </c>
      <c r="BP446" s="1793"/>
      <c r="BQ446" s="1794" t="str">
        <f t="shared" si="20"/>
        <v/>
      </c>
      <c r="BR446" s="423"/>
      <c r="BS446" s="423"/>
      <c r="BT446" s="423"/>
      <c r="BU446" s="423"/>
      <c r="BV446" s="423"/>
      <c r="BW446" s="423"/>
      <c r="BX446" s="423"/>
      <c r="BY446" s="423"/>
      <c r="BZ446" s="423"/>
      <c r="CA446" s="423"/>
      <c r="CB446" s="423"/>
      <c r="CC446" s="423"/>
      <c r="CD446" s="423"/>
      <c r="CE446" s="423"/>
      <c r="CF446" s="423"/>
      <c r="CG446" s="423"/>
      <c r="CH446" s="423"/>
      <c r="CI446" s="423"/>
      <c r="CJ446" s="423"/>
      <c r="CK446" s="423"/>
      <c r="CL446" s="423"/>
      <c r="CM446" s="423"/>
      <c r="CN446" s="423"/>
      <c r="CO446" s="423"/>
      <c r="CP446" s="423"/>
      <c r="CQ446" s="423"/>
      <c r="CR446" s="423"/>
      <c r="CS446" s="423"/>
      <c r="CT446" s="423"/>
      <c r="CU446" s="423"/>
      <c r="CV446" s="423"/>
      <c r="CW446" s="423"/>
      <c r="CX446" s="423"/>
      <c r="CY446" s="423"/>
      <c r="CZ446" s="423"/>
      <c r="DA446" s="423"/>
      <c r="DB446" s="423"/>
      <c r="DC446" s="423"/>
      <c r="DD446" s="423"/>
      <c r="DE446" s="423"/>
      <c r="DF446" s="423"/>
      <c r="DG446" s="423"/>
      <c r="DH446" s="423"/>
      <c r="DI446" s="423"/>
      <c r="DJ446" s="423"/>
      <c r="DK446" s="423"/>
      <c r="DL446" s="423"/>
      <c r="DM446" s="423"/>
      <c r="DN446" s="423"/>
      <c r="DO446" s="423"/>
      <c r="DP446" s="423"/>
      <c r="DQ446" s="423"/>
      <c r="DR446" s="423"/>
      <c r="DS446" s="423"/>
      <c r="DT446" s="423"/>
      <c r="DU446" s="423"/>
      <c r="DV446" s="423"/>
      <c r="DW446" s="423"/>
      <c r="DX446" s="423"/>
      <c r="DY446" s="423"/>
      <c r="DZ446" s="423"/>
      <c r="EA446" s="423"/>
      <c r="EB446" s="423"/>
      <c r="EC446" s="423"/>
      <c r="ED446" s="423"/>
      <c r="EE446" s="423"/>
      <c r="EF446" s="698"/>
      <c r="EG446" s="423"/>
      <c r="EH446" s="423"/>
      <c r="EI446" s="423"/>
      <c r="EJ446" s="423"/>
      <c r="EK446" s="423"/>
      <c r="EL446" s="423"/>
      <c r="EM446" s="423"/>
      <c r="EN446" s="423"/>
      <c r="EO446" s="423"/>
      <c r="EP446" s="423"/>
      <c r="EQ446" s="423"/>
      <c r="ER446" s="423"/>
      <c r="ES446" s="423"/>
      <c r="ET446" s="423"/>
      <c r="EU446" s="423"/>
      <c r="EV446" s="423"/>
      <c r="EW446" s="423"/>
      <c r="EX446" s="423"/>
      <c r="EY446" s="423"/>
      <c r="EZ446" s="423"/>
      <c r="FA446" s="423"/>
      <c r="FB446" s="423"/>
      <c r="FC446" s="423"/>
      <c r="FD446" s="423"/>
      <c r="FE446" s="423"/>
      <c r="FF446" s="423"/>
      <c r="FG446" s="1305"/>
      <c r="FH446" s="1305"/>
      <c r="FI446" s="1305"/>
      <c r="FJ446" s="1305"/>
      <c r="FK446" s="1305"/>
      <c r="FL446" s="1305"/>
      <c r="FM446" s="1305"/>
      <c r="FN446" s="1305"/>
      <c r="FO446" s="1305"/>
      <c r="FP446" s="1305"/>
      <c r="FQ446" s="1305"/>
      <c r="FR446" s="1305"/>
      <c r="FS446" s="1305"/>
      <c r="FT446" s="1305"/>
      <c r="FU446" s="1305"/>
      <c r="FV446" s="1305"/>
      <c r="FW446" s="1305"/>
      <c r="FX446" s="1305"/>
      <c r="FY446" s="1305"/>
      <c r="FZ446" s="1305"/>
      <c r="GA446" s="1305"/>
      <c r="GB446" s="1305"/>
      <c r="GC446" s="1305"/>
      <c r="GD446" s="1305"/>
      <c r="GE446" s="1305"/>
      <c r="GF446" s="1305"/>
      <c r="GG446" s="1305"/>
      <c r="GH446" s="1305"/>
      <c r="GI446" s="1305"/>
      <c r="GJ446" s="1305"/>
      <c r="GK446" s="1305"/>
      <c r="GL446" s="1305"/>
      <c r="GM446" s="1305"/>
      <c r="GN446" s="1305"/>
      <c r="GO446" s="1305"/>
      <c r="GP446" s="1305"/>
      <c r="GQ446" s="1305"/>
      <c r="GR446" s="1305"/>
      <c r="GS446" s="1305"/>
      <c r="GT446" s="1305"/>
      <c r="GU446" s="1305"/>
      <c r="GV446" s="1305"/>
      <c r="GW446" s="1305"/>
      <c r="GX446" s="1305"/>
      <c r="GY446" s="1305"/>
      <c r="GZ446" s="1305"/>
      <c r="HA446" s="1305"/>
      <c r="HB446" s="1305"/>
      <c r="HC446" s="1305"/>
      <c r="HD446" s="1305"/>
      <c r="HE446" s="1305"/>
      <c r="HF446" s="1305"/>
      <c r="HG446" s="1305"/>
      <c r="HH446" s="1305"/>
      <c r="HI446" s="1305"/>
      <c r="HJ446" s="1305"/>
      <c r="HK446" s="1305"/>
      <c r="HL446" s="1305"/>
      <c r="HM446" s="1305"/>
      <c r="HN446" s="1305"/>
      <c r="HO446" s="1305"/>
      <c r="HP446" s="1305"/>
      <c r="HQ446" s="1305"/>
      <c r="HR446" s="1305"/>
      <c r="HS446" s="1305"/>
      <c r="HT446" s="1305"/>
      <c r="HU446" s="1305"/>
      <c r="HV446" s="1305"/>
      <c r="HW446" s="1305"/>
      <c r="HX446" s="1305"/>
      <c r="HY446" s="1305"/>
      <c r="HZ446" s="1305"/>
      <c r="IA446" s="1305"/>
      <c r="IB446" s="1305"/>
      <c r="IC446" s="1305"/>
      <c r="ID446" s="1305"/>
      <c r="IE446" s="1305"/>
      <c r="IF446" s="1305"/>
      <c r="IG446" s="1305"/>
      <c r="IH446" s="1305"/>
      <c r="II446" s="1305"/>
    </row>
    <row r="447" spans="1:243" ht="13.5" hidden="1" customHeight="1">
      <c r="A447" s="423"/>
      <c r="B447" s="423"/>
      <c r="C447" s="423"/>
      <c r="D447" s="423"/>
      <c r="E447" s="423"/>
      <c r="F447" s="423"/>
      <c r="G447" s="423"/>
      <c r="H447" s="423"/>
      <c r="I447" s="423"/>
      <c r="J447" s="423"/>
      <c r="K447" s="423"/>
      <c r="L447" s="423"/>
      <c r="M447" s="423"/>
      <c r="N447" s="423"/>
      <c r="O447" s="423"/>
      <c r="P447" s="423"/>
      <c r="Q447" s="423"/>
      <c r="R447" s="423"/>
      <c r="S447" s="423"/>
      <c r="T447" s="423"/>
      <c r="U447" s="423"/>
      <c r="V447" s="423"/>
      <c r="W447" s="423"/>
      <c r="X447" s="423"/>
      <c r="Y447" s="423"/>
      <c r="Z447" s="423"/>
      <c r="AA447" s="423"/>
      <c r="AB447" s="1735"/>
      <c r="AC447" s="440"/>
      <c r="AD447" s="440"/>
      <c r="AE447" s="440"/>
      <c r="AF447" s="697"/>
      <c r="AG447" s="697"/>
      <c r="AH447" s="697"/>
      <c r="AI447" s="697"/>
      <c r="AJ447" s="697"/>
      <c r="AK447" s="697"/>
      <c r="AL447" s="697"/>
      <c r="AM447" s="697"/>
      <c r="AN447" s="697"/>
      <c r="AO447" s="697"/>
      <c r="AP447" s="697"/>
      <c r="AQ447" s="697"/>
      <c r="AR447" s="697"/>
      <c r="AS447" s="697"/>
      <c r="AT447" s="697"/>
      <c r="AU447" s="697"/>
      <c r="AV447" s="697"/>
      <c r="AW447" s="697"/>
      <c r="AX447" s="697"/>
      <c r="AY447" s="697"/>
      <c r="AZ447" s="423"/>
      <c r="BA447" s="423"/>
      <c r="BB447" s="423"/>
      <c r="BC447" s="423"/>
      <c r="BD447" s="423"/>
      <c r="BE447" s="1792"/>
      <c r="BF447" s="1807"/>
      <c r="BG447" s="1807"/>
      <c r="BH447" s="1807"/>
      <c r="BI447" s="1807"/>
      <c r="BJ447" s="1807"/>
      <c r="BK447" s="1807"/>
      <c r="BL447" s="1807"/>
      <c r="BM447" s="1807"/>
      <c r="BN447" s="1807"/>
      <c r="BO447" s="1807"/>
      <c r="BP447" s="1807"/>
      <c r="BQ447" s="1807"/>
      <c r="BR447" s="423"/>
      <c r="BS447" s="423"/>
      <c r="BT447" s="423"/>
      <c r="BU447" s="423"/>
      <c r="BV447" s="423"/>
      <c r="BW447" s="423"/>
      <c r="BX447" s="423"/>
      <c r="BY447" s="423"/>
      <c r="BZ447" s="423"/>
      <c r="CA447" s="423"/>
      <c r="CB447" s="423"/>
      <c r="CC447" s="423"/>
      <c r="CD447" s="423"/>
      <c r="CE447" s="423"/>
      <c r="CF447" s="423"/>
      <c r="CG447" s="423"/>
      <c r="CH447" s="423"/>
      <c r="CI447" s="423"/>
      <c r="CJ447" s="423"/>
      <c r="CK447" s="423"/>
      <c r="CL447" s="423"/>
      <c r="CM447" s="423"/>
      <c r="CN447" s="423"/>
      <c r="CO447" s="423"/>
      <c r="CP447" s="423"/>
      <c r="CQ447" s="423"/>
      <c r="CR447" s="423"/>
      <c r="CS447" s="423"/>
      <c r="CT447" s="423"/>
      <c r="CU447" s="423"/>
      <c r="CV447" s="423"/>
      <c r="CW447" s="423"/>
      <c r="CX447" s="423"/>
      <c r="CY447" s="423"/>
      <c r="CZ447" s="423"/>
      <c r="DA447" s="423"/>
      <c r="DB447" s="423"/>
      <c r="DC447" s="423"/>
      <c r="DD447" s="423"/>
      <c r="DE447" s="423"/>
      <c r="DF447" s="423"/>
      <c r="DG447" s="423"/>
      <c r="DH447" s="423"/>
      <c r="DI447" s="423"/>
      <c r="DJ447" s="423"/>
      <c r="DK447" s="423"/>
      <c r="DL447" s="423"/>
      <c r="DM447" s="423"/>
      <c r="DN447" s="423"/>
      <c r="DO447" s="423"/>
      <c r="DP447" s="423"/>
      <c r="DQ447" s="423"/>
      <c r="DR447" s="423"/>
      <c r="DS447" s="423"/>
      <c r="DT447" s="423"/>
      <c r="DU447" s="423"/>
      <c r="DV447" s="423"/>
      <c r="DW447" s="423"/>
      <c r="DX447" s="423"/>
      <c r="DY447" s="423"/>
      <c r="DZ447" s="423"/>
      <c r="EA447" s="423"/>
      <c r="EB447" s="423"/>
      <c r="EC447" s="423"/>
      <c r="ED447" s="423"/>
      <c r="EE447" s="423"/>
      <c r="EF447" s="698"/>
      <c r="EG447" s="423"/>
      <c r="EH447" s="423"/>
      <c r="EI447" s="423"/>
      <c r="EJ447" s="423"/>
      <c r="EK447" s="423"/>
      <c r="EL447" s="423"/>
      <c r="EM447" s="423"/>
      <c r="EN447" s="423"/>
      <c r="EO447" s="423"/>
      <c r="EP447" s="423"/>
      <c r="EQ447" s="423"/>
      <c r="ER447" s="423"/>
      <c r="ES447" s="423"/>
      <c r="ET447" s="423"/>
      <c r="EU447" s="423"/>
      <c r="EV447" s="423"/>
      <c r="EW447" s="423"/>
      <c r="EX447" s="423"/>
      <c r="EY447" s="423"/>
      <c r="EZ447" s="423"/>
      <c r="FA447" s="423"/>
      <c r="FB447" s="423"/>
      <c r="FC447" s="423"/>
      <c r="FD447" s="423"/>
      <c r="FE447" s="423"/>
      <c r="FF447" s="423"/>
      <c r="FG447" s="1305"/>
      <c r="FH447" s="1305"/>
      <c r="FI447" s="1305"/>
      <c r="FJ447" s="1305"/>
      <c r="FK447" s="1305"/>
      <c r="FL447" s="1305"/>
      <c r="FM447" s="1305"/>
      <c r="FN447" s="1305"/>
      <c r="FO447" s="1305"/>
      <c r="FP447" s="1305"/>
      <c r="FQ447" s="1305"/>
      <c r="FR447" s="1305"/>
      <c r="FS447" s="1305"/>
      <c r="FT447" s="1305"/>
      <c r="FU447" s="1305"/>
      <c r="FV447" s="1305"/>
      <c r="FW447" s="1305"/>
      <c r="FX447" s="1305"/>
      <c r="FY447" s="1305"/>
      <c r="FZ447" s="1305"/>
      <c r="GA447" s="1305"/>
      <c r="GB447" s="1305"/>
      <c r="GC447" s="1305"/>
      <c r="GD447" s="1305"/>
      <c r="GE447" s="1305"/>
      <c r="GF447" s="1305"/>
      <c r="GG447" s="1305"/>
      <c r="GH447" s="1305"/>
      <c r="GI447" s="1305"/>
      <c r="GJ447" s="1305"/>
      <c r="GK447" s="1305"/>
      <c r="GL447" s="1305"/>
      <c r="GM447" s="1305"/>
      <c r="GN447" s="1305"/>
      <c r="GO447" s="1305"/>
      <c r="GP447" s="1305"/>
      <c r="GQ447" s="1305"/>
      <c r="GR447" s="1305"/>
      <c r="GS447" s="1305"/>
      <c r="GT447" s="1305"/>
      <c r="GU447" s="1305"/>
      <c r="GV447" s="1305"/>
      <c r="GW447" s="1305"/>
      <c r="GX447" s="1305"/>
      <c r="GY447" s="1305"/>
      <c r="GZ447" s="1305"/>
      <c r="HA447" s="1305"/>
      <c r="HB447" s="1305"/>
      <c r="HC447" s="1305"/>
      <c r="HD447" s="1305"/>
      <c r="HE447" s="1305"/>
      <c r="HF447" s="1305"/>
      <c r="HG447" s="1305"/>
      <c r="HH447" s="1305"/>
      <c r="HI447" s="1305"/>
      <c r="HJ447" s="1305"/>
      <c r="HK447" s="1305"/>
      <c r="HL447" s="1305"/>
      <c r="HM447" s="1305"/>
      <c r="HN447" s="1305"/>
      <c r="HO447" s="1305"/>
      <c r="HP447" s="1305"/>
      <c r="HQ447" s="1305"/>
      <c r="HR447" s="1305"/>
      <c r="HS447" s="1305"/>
      <c r="HT447" s="1305"/>
      <c r="HU447" s="1305"/>
      <c r="HV447" s="1305"/>
      <c r="HW447" s="1305"/>
      <c r="HX447" s="1305"/>
      <c r="HY447" s="1305"/>
      <c r="HZ447" s="1305"/>
      <c r="IA447" s="1305"/>
      <c r="IB447" s="1305"/>
      <c r="IC447" s="1305"/>
      <c r="ID447" s="1305"/>
      <c r="IE447" s="1305"/>
      <c r="IF447" s="1305"/>
      <c r="IG447" s="1305"/>
      <c r="IH447" s="1305"/>
      <c r="II447" s="1305"/>
    </row>
    <row r="448" spans="1:243" ht="18.75" customHeight="1" thickBot="1">
      <c r="A448" s="423"/>
      <c r="B448" s="423"/>
      <c r="C448" s="423"/>
      <c r="D448" s="423"/>
      <c r="E448" s="423"/>
      <c r="F448" s="423"/>
      <c r="G448" s="423"/>
      <c r="H448" s="423"/>
      <c r="I448" s="423"/>
      <c r="J448" s="423"/>
      <c r="K448" s="423"/>
      <c r="L448" s="423"/>
      <c r="M448" s="423"/>
      <c r="N448" s="423"/>
      <c r="O448" s="423"/>
      <c r="P448" s="423"/>
      <c r="Q448" s="423"/>
      <c r="R448" s="694"/>
      <c r="S448" s="695"/>
      <c r="T448" s="695"/>
      <c r="U448" s="695"/>
      <c r="V448" s="695"/>
      <c r="W448" s="695"/>
      <c r="X448" s="695"/>
      <c r="Y448" s="696"/>
      <c r="Z448" s="696"/>
      <c r="AA448" s="423"/>
      <c r="AB448" s="3095" t="s">
        <v>400</v>
      </c>
      <c r="AC448" s="3095"/>
      <c r="AD448" s="3095"/>
      <c r="AE448" s="3095"/>
      <c r="AF448" s="3095"/>
      <c r="AG448" s="3095"/>
      <c r="AH448" s="3095"/>
      <c r="AI448" s="3095"/>
      <c r="AJ448" s="3095"/>
      <c r="AK448" s="3095"/>
      <c r="AL448" s="3095"/>
      <c r="AM448" s="3095"/>
      <c r="AN448" s="3095"/>
      <c r="AO448" s="3095"/>
      <c r="AP448" s="3095"/>
      <c r="AQ448" s="3095"/>
      <c r="AR448" s="3095"/>
      <c r="AS448" s="3095"/>
      <c r="AT448" s="3095"/>
      <c r="AU448" s="3095"/>
      <c r="AV448" s="3095"/>
      <c r="AW448" s="3095"/>
      <c r="AX448" s="3095"/>
      <c r="AY448" s="3095"/>
      <c r="AZ448" s="3095"/>
      <c r="BA448" s="3095"/>
      <c r="BB448" s="699"/>
      <c r="BC448" s="3095" t="s">
        <v>401</v>
      </c>
      <c r="BD448" s="3095"/>
      <c r="BE448" s="3095"/>
      <c r="BF448" s="3095"/>
      <c r="BG448" s="3095"/>
      <c r="BH448" s="3095"/>
      <c r="BI448" s="3095"/>
      <c r="BJ448" s="3095"/>
      <c r="BK448" s="3095"/>
      <c r="BL448" s="3095"/>
      <c r="BM448" s="3095"/>
      <c r="BN448" s="3095"/>
      <c r="BO448" s="3095"/>
      <c r="BP448" s="3095"/>
      <c r="BQ448" s="3095"/>
      <c r="BR448" s="3095"/>
      <c r="BS448" s="3095"/>
      <c r="BT448" s="3095"/>
      <c r="BU448" s="3095"/>
      <c r="BV448" s="3095"/>
      <c r="BW448" s="3095"/>
      <c r="BX448" s="3095"/>
      <c r="BY448" s="3095"/>
      <c r="BZ448" s="3095"/>
      <c r="CA448" s="3095"/>
      <c r="CB448" s="3095"/>
      <c r="CC448" s="699"/>
      <c r="CD448" s="3095" t="s">
        <v>402</v>
      </c>
      <c r="CE448" s="3095"/>
      <c r="CF448" s="3095"/>
      <c r="CG448" s="3095"/>
      <c r="CH448" s="3095"/>
      <c r="CI448" s="3095"/>
      <c r="CJ448" s="3095"/>
      <c r="CK448" s="3095"/>
      <c r="CL448" s="3095"/>
      <c r="CM448" s="3095"/>
      <c r="CN448" s="3095"/>
      <c r="CO448" s="3095"/>
      <c r="CP448" s="3095"/>
      <c r="CQ448" s="3095"/>
      <c r="CR448" s="3095"/>
      <c r="CS448" s="3095"/>
      <c r="CT448" s="3095"/>
      <c r="CU448" s="3095"/>
      <c r="CV448" s="3095"/>
      <c r="CW448" s="3095"/>
      <c r="CX448" s="3095"/>
      <c r="CY448" s="3095"/>
      <c r="CZ448" s="3095"/>
      <c r="DA448" s="3095"/>
      <c r="DB448" s="3095"/>
      <c r="DC448" s="3095"/>
      <c r="DD448" s="699"/>
      <c r="DE448" s="3095" t="s">
        <v>403</v>
      </c>
      <c r="DF448" s="3095"/>
      <c r="DG448" s="3095"/>
      <c r="DH448" s="3095"/>
      <c r="DI448" s="3095"/>
      <c r="DJ448" s="3095"/>
      <c r="DK448" s="3095"/>
      <c r="DL448" s="3095"/>
      <c r="DM448" s="3095"/>
      <c r="DN448" s="3095"/>
      <c r="DO448" s="3095"/>
      <c r="DP448" s="3095"/>
      <c r="DQ448" s="3095"/>
      <c r="DR448" s="3095"/>
      <c r="DS448" s="3095"/>
      <c r="DT448" s="3095"/>
      <c r="DU448" s="3095"/>
      <c r="DV448" s="3095"/>
      <c r="DW448" s="3095"/>
      <c r="DX448" s="3095"/>
      <c r="DY448" s="3095"/>
      <c r="DZ448" s="3095"/>
      <c r="EA448" s="3095"/>
      <c r="EB448" s="3095"/>
      <c r="EC448" s="3095"/>
      <c r="ED448" s="3095"/>
      <c r="EE448" s="699"/>
      <c r="EF448" s="3095" t="s">
        <v>404</v>
      </c>
      <c r="EG448" s="3095"/>
      <c r="EH448" s="3095"/>
      <c r="EI448" s="3095"/>
      <c r="EJ448" s="3095"/>
      <c r="EK448" s="3095"/>
      <c r="EL448" s="3095"/>
      <c r="EM448" s="3095"/>
      <c r="EN448" s="3095"/>
      <c r="EO448" s="3095"/>
      <c r="EP448" s="3095"/>
      <c r="EQ448" s="3095"/>
      <c r="ER448" s="3095"/>
      <c r="ES448" s="3095"/>
      <c r="ET448" s="3095"/>
      <c r="EU448" s="3095"/>
      <c r="EV448" s="3095"/>
      <c r="EW448" s="3095"/>
      <c r="EX448" s="3095"/>
      <c r="EY448" s="3095"/>
      <c r="EZ448" s="3095"/>
      <c r="FA448" s="3095"/>
      <c r="FB448" s="3095"/>
      <c r="FC448" s="3095"/>
      <c r="FD448" s="3095"/>
      <c r="FE448" s="3095"/>
      <c r="FF448" s="423"/>
      <c r="FG448" s="1305"/>
      <c r="FH448" s="1305"/>
      <c r="FI448" s="1305"/>
      <c r="FJ448" s="1305"/>
      <c r="FK448" s="1305"/>
      <c r="FL448" s="1305"/>
      <c r="FM448" s="1305"/>
      <c r="FN448" s="1305"/>
      <c r="FO448" s="1305"/>
      <c r="FP448" s="1305"/>
      <c r="FQ448" s="1305"/>
      <c r="FR448" s="1305"/>
      <c r="FS448" s="1305"/>
      <c r="FT448" s="1305"/>
      <c r="FU448" s="1305"/>
      <c r="FV448" s="1305"/>
      <c r="FW448" s="1305"/>
      <c r="FX448" s="1305"/>
      <c r="FY448" s="1305"/>
      <c r="FZ448" s="1305"/>
      <c r="GA448" s="1305"/>
      <c r="GB448" s="1305"/>
      <c r="GC448" s="1305"/>
      <c r="GD448" s="1305"/>
      <c r="GE448" s="1305"/>
      <c r="GF448" s="1305"/>
      <c r="GG448" s="1305"/>
      <c r="GH448" s="1305"/>
      <c r="GI448" s="1305"/>
      <c r="GJ448" s="1305"/>
      <c r="GK448" s="1305"/>
      <c r="GL448" s="1305"/>
      <c r="GM448" s="1305"/>
      <c r="GN448" s="1305"/>
      <c r="GO448" s="1305"/>
      <c r="GP448" s="1305"/>
      <c r="GQ448" s="1305"/>
      <c r="GR448" s="1305"/>
      <c r="GS448" s="1305"/>
      <c r="GT448" s="1305"/>
      <c r="GU448" s="1305"/>
      <c r="GV448" s="1305"/>
      <c r="GW448" s="1305"/>
      <c r="GX448" s="1305"/>
      <c r="GY448" s="1305"/>
      <c r="GZ448" s="1305"/>
      <c r="HA448" s="1305"/>
      <c r="HB448" s="1305"/>
      <c r="HC448" s="1305"/>
      <c r="HD448" s="1305"/>
      <c r="HE448" s="1305"/>
      <c r="HF448" s="1305"/>
      <c r="HG448" s="1305"/>
      <c r="HH448" s="1305"/>
      <c r="HI448" s="1305"/>
      <c r="HJ448" s="1305"/>
      <c r="HK448" s="1305"/>
      <c r="HL448" s="1305"/>
      <c r="HM448" s="1305"/>
      <c r="HN448" s="1305"/>
      <c r="HO448" s="1305"/>
      <c r="HP448" s="1305"/>
      <c r="HQ448" s="1305"/>
      <c r="HR448" s="1305"/>
      <c r="HS448" s="1305"/>
      <c r="HT448" s="1305"/>
      <c r="HU448" s="1305"/>
      <c r="HV448" s="1305"/>
      <c r="HW448" s="1305"/>
      <c r="HX448" s="1305"/>
      <c r="HY448" s="1305"/>
      <c r="HZ448" s="1305"/>
      <c r="IA448" s="1305"/>
      <c r="IB448" s="1305"/>
      <c r="IC448" s="1305"/>
      <c r="ID448" s="1305"/>
      <c r="IE448" s="1305"/>
      <c r="IF448" s="1305"/>
      <c r="IG448" s="1305"/>
      <c r="IH448" s="1305"/>
      <c r="II448" s="1305"/>
    </row>
    <row r="449" spans="1:243" s="655" customFormat="1" ht="20.25" customHeight="1">
      <c r="A449" s="700"/>
      <c r="B449" s="700"/>
      <c r="C449" s="700"/>
      <c r="D449" s="700"/>
      <c r="E449" s="700"/>
      <c r="F449" s="700"/>
      <c r="G449" s="700"/>
      <c r="H449" s="700"/>
      <c r="I449" s="700"/>
      <c r="J449" s="700"/>
      <c r="K449" s="700"/>
      <c r="L449" s="700"/>
      <c r="M449" s="700"/>
      <c r="N449" s="700"/>
      <c r="O449" s="700"/>
      <c r="P449" s="700"/>
      <c r="Q449" s="700"/>
      <c r="R449" s="695"/>
      <c r="S449" s="695"/>
      <c r="T449" s="695"/>
      <c r="U449" s="695"/>
      <c r="V449" s="695"/>
      <c r="W449" s="695"/>
      <c r="X449" s="695"/>
      <c r="Y449" s="696"/>
      <c r="Z449" s="696"/>
      <c r="AA449" s="700"/>
      <c r="AB449" s="3081">
        <f>Q6</f>
        <v>44748</v>
      </c>
      <c r="AC449" s="3082"/>
      <c r="AD449" s="3082"/>
      <c r="AE449" s="3082"/>
      <c r="AF449" s="3082"/>
      <c r="AG449" s="3082"/>
      <c r="AH449" s="3082"/>
      <c r="AI449" s="3082"/>
      <c r="AJ449" s="3082"/>
      <c r="AK449" s="3082"/>
      <c r="AL449" s="3082"/>
      <c r="AM449" s="3082"/>
      <c r="AN449" s="3082"/>
      <c r="AO449" s="3082"/>
      <c r="AP449" s="3082"/>
      <c r="AQ449" s="3082"/>
      <c r="AR449" s="3082"/>
      <c r="AS449" s="3082"/>
      <c r="AT449" s="3082"/>
      <c r="AU449" s="3082"/>
      <c r="AV449" s="3082"/>
      <c r="AW449" s="3082"/>
      <c r="AX449" s="3082"/>
      <c r="AY449" s="3082"/>
      <c r="AZ449" s="3082"/>
      <c r="BA449" s="3083"/>
      <c r="BB449" s="701"/>
      <c r="BC449" s="3081">
        <f>AB449+1</f>
        <v>44749</v>
      </c>
      <c r="BD449" s="3082"/>
      <c r="BE449" s="3082"/>
      <c r="BF449" s="3082"/>
      <c r="BG449" s="3082"/>
      <c r="BH449" s="3082"/>
      <c r="BI449" s="3082"/>
      <c r="BJ449" s="3082"/>
      <c r="BK449" s="3082"/>
      <c r="BL449" s="3082"/>
      <c r="BM449" s="3082"/>
      <c r="BN449" s="3082"/>
      <c r="BO449" s="3082"/>
      <c r="BP449" s="3082"/>
      <c r="BQ449" s="3082"/>
      <c r="BR449" s="3082"/>
      <c r="BS449" s="3082"/>
      <c r="BT449" s="3082"/>
      <c r="BU449" s="3082"/>
      <c r="BV449" s="3082"/>
      <c r="BW449" s="3082"/>
      <c r="BX449" s="3082"/>
      <c r="BY449" s="3082"/>
      <c r="BZ449" s="3082"/>
      <c r="CA449" s="3082"/>
      <c r="CB449" s="3083"/>
      <c r="CC449" s="701"/>
      <c r="CD449" s="3081">
        <f>BC449+1</f>
        <v>44750</v>
      </c>
      <c r="CE449" s="3082"/>
      <c r="CF449" s="3082"/>
      <c r="CG449" s="3082"/>
      <c r="CH449" s="3082"/>
      <c r="CI449" s="3082"/>
      <c r="CJ449" s="3082"/>
      <c r="CK449" s="3082"/>
      <c r="CL449" s="3082"/>
      <c r="CM449" s="3082"/>
      <c r="CN449" s="3082"/>
      <c r="CO449" s="3082"/>
      <c r="CP449" s="3082"/>
      <c r="CQ449" s="3082"/>
      <c r="CR449" s="3082"/>
      <c r="CS449" s="3082"/>
      <c r="CT449" s="3082"/>
      <c r="CU449" s="3082"/>
      <c r="CV449" s="3082"/>
      <c r="CW449" s="3082"/>
      <c r="CX449" s="3082"/>
      <c r="CY449" s="3082"/>
      <c r="CZ449" s="3082"/>
      <c r="DA449" s="3082"/>
      <c r="DB449" s="3082"/>
      <c r="DC449" s="3083"/>
      <c r="DD449" s="702"/>
      <c r="DE449" s="3081">
        <f>CD449+1</f>
        <v>44751</v>
      </c>
      <c r="DF449" s="3082"/>
      <c r="DG449" s="3082"/>
      <c r="DH449" s="3082"/>
      <c r="DI449" s="3082"/>
      <c r="DJ449" s="3082"/>
      <c r="DK449" s="3082"/>
      <c r="DL449" s="3082"/>
      <c r="DM449" s="3082"/>
      <c r="DN449" s="3082"/>
      <c r="DO449" s="3082"/>
      <c r="DP449" s="3082"/>
      <c r="DQ449" s="3082"/>
      <c r="DR449" s="3082"/>
      <c r="DS449" s="3082"/>
      <c r="DT449" s="3082"/>
      <c r="DU449" s="3082"/>
      <c r="DV449" s="3082"/>
      <c r="DW449" s="3082"/>
      <c r="DX449" s="3082"/>
      <c r="DY449" s="3082"/>
      <c r="DZ449" s="3082"/>
      <c r="EA449" s="3082"/>
      <c r="EB449" s="3082"/>
      <c r="EC449" s="3082"/>
      <c r="ED449" s="3083"/>
      <c r="EE449" s="700"/>
      <c r="EF449" s="3081">
        <f>DE449+1</f>
        <v>44752</v>
      </c>
      <c r="EG449" s="3082"/>
      <c r="EH449" s="3082"/>
      <c r="EI449" s="3082"/>
      <c r="EJ449" s="3082"/>
      <c r="EK449" s="3082"/>
      <c r="EL449" s="3082"/>
      <c r="EM449" s="3082"/>
      <c r="EN449" s="3082"/>
      <c r="EO449" s="3082"/>
      <c r="EP449" s="3082"/>
      <c r="EQ449" s="3082"/>
      <c r="ER449" s="3082"/>
      <c r="ES449" s="3082"/>
      <c r="ET449" s="3082"/>
      <c r="EU449" s="3082"/>
      <c r="EV449" s="3082"/>
      <c r="EW449" s="3082"/>
      <c r="EX449" s="3082"/>
      <c r="EY449" s="3082"/>
      <c r="EZ449" s="3082"/>
      <c r="FA449" s="3082"/>
      <c r="FB449" s="3082"/>
      <c r="FC449" s="3082"/>
      <c r="FD449" s="3082"/>
      <c r="FE449" s="3083"/>
      <c r="FF449" s="700"/>
      <c r="FG449" s="1305"/>
      <c r="FH449" s="1305"/>
      <c r="FI449" s="1305"/>
      <c r="FJ449" s="1305"/>
      <c r="FK449" s="1305"/>
      <c r="FL449" s="1305"/>
      <c r="FM449" s="1305"/>
      <c r="FN449" s="1305"/>
      <c r="FO449" s="1305"/>
      <c r="FP449" s="1305"/>
      <c r="FQ449" s="1305"/>
      <c r="FR449" s="1305"/>
      <c r="FS449" s="1305"/>
      <c r="FT449" s="1305"/>
      <c r="FU449" s="1305"/>
      <c r="FV449" s="1305"/>
      <c r="FW449" s="1305"/>
      <c r="FX449" s="1305"/>
      <c r="FY449" s="1305"/>
      <c r="FZ449" s="1305"/>
      <c r="GA449" s="1305"/>
      <c r="GB449" s="1305"/>
      <c r="GC449" s="1305"/>
      <c r="GD449" s="1305"/>
      <c r="GE449" s="1305"/>
      <c r="GF449" s="1305"/>
      <c r="GG449" s="1305"/>
      <c r="GH449" s="1305"/>
      <c r="GI449" s="1305"/>
      <c r="GJ449" s="1305"/>
      <c r="GK449" s="1305"/>
      <c r="GL449" s="1305"/>
      <c r="GM449" s="1305"/>
      <c r="GN449" s="1305"/>
      <c r="GO449" s="1305"/>
      <c r="GP449" s="1305"/>
      <c r="GQ449" s="1305"/>
      <c r="GR449" s="1305"/>
      <c r="GS449" s="1305"/>
      <c r="GT449" s="1305"/>
      <c r="GU449" s="1305"/>
      <c r="GV449" s="1305"/>
      <c r="GW449" s="1305"/>
      <c r="GX449" s="1305"/>
      <c r="GY449" s="1305"/>
      <c r="GZ449" s="1305"/>
      <c r="HA449" s="1305"/>
      <c r="HB449" s="1305"/>
      <c r="HC449" s="1305"/>
      <c r="HD449" s="1305"/>
      <c r="HE449" s="1305"/>
      <c r="HF449" s="1305"/>
      <c r="HG449" s="1305"/>
      <c r="HH449" s="1305"/>
      <c r="HI449" s="1305"/>
      <c r="HJ449" s="1305"/>
      <c r="HK449" s="1305"/>
      <c r="HL449" s="1305"/>
      <c r="HM449" s="1305"/>
      <c r="HN449" s="1305"/>
      <c r="HO449" s="1305"/>
      <c r="HP449" s="1305"/>
      <c r="HQ449" s="1305"/>
      <c r="HR449" s="1305"/>
      <c r="HS449" s="1305"/>
      <c r="HT449" s="1305"/>
      <c r="HU449" s="1305"/>
      <c r="HV449" s="1305"/>
      <c r="HW449" s="1305"/>
      <c r="HX449" s="1305"/>
      <c r="HY449" s="1305"/>
      <c r="HZ449" s="1305"/>
      <c r="IA449" s="1305"/>
      <c r="IB449" s="1305"/>
      <c r="IC449" s="1305"/>
      <c r="ID449" s="1305"/>
      <c r="IE449" s="1305"/>
      <c r="IF449" s="1305"/>
      <c r="IG449" s="1305"/>
      <c r="IH449" s="1305"/>
      <c r="II449" s="1305"/>
    </row>
    <row r="450" spans="1:243" s="655" customFormat="1" ht="18" customHeight="1">
      <c r="A450" s="700"/>
      <c r="B450" s="700"/>
      <c r="C450" s="700"/>
      <c r="D450" s="700"/>
      <c r="E450" s="700"/>
      <c r="F450" s="700"/>
      <c r="G450" s="700"/>
      <c r="H450" s="700"/>
      <c r="I450" s="700"/>
      <c r="J450" s="700"/>
      <c r="K450" s="700"/>
      <c r="L450" s="700"/>
      <c r="M450" s="700"/>
      <c r="N450" s="700"/>
      <c r="O450" s="700"/>
      <c r="P450" s="700"/>
      <c r="Q450" s="700"/>
      <c r="R450" s="703"/>
      <c r="S450" s="703"/>
      <c r="T450" s="703"/>
      <c r="U450" s="703"/>
      <c r="V450" s="703"/>
      <c r="W450" s="703"/>
      <c r="X450" s="703"/>
      <c r="Y450" s="703"/>
      <c r="Z450" s="703"/>
      <c r="AA450" s="700"/>
      <c r="AB450" s="704"/>
      <c r="AC450" s="705"/>
      <c r="AD450" s="705"/>
      <c r="AE450" s="706"/>
      <c r="AF450" s="705"/>
      <c r="AG450" s="705"/>
      <c r="AH450" s="705"/>
      <c r="AI450" s="705"/>
      <c r="AJ450" s="705"/>
      <c r="AK450" s="705"/>
      <c r="AL450" s="705"/>
      <c r="AM450" s="705"/>
      <c r="AN450" s="705"/>
      <c r="AO450" s="705"/>
      <c r="AP450" s="705"/>
      <c r="AQ450" s="707"/>
      <c r="AR450" s="707"/>
      <c r="AS450" s="707"/>
      <c r="AT450" s="707"/>
      <c r="AU450" s="707"/>
      <c r="AV450" s="707"/>
      <c r="AW450" s="707"/>
      <c r="AX450" s="707"/>
      <c r="AY450" s="707"/>
      <c r="AZ450" s="707"/>
      <c r="BA450" s="708"/>
      <c r="BB450" s="709"/>
      <c r="BC450" s="710"/>
      <c r="BD450" s="3101" t="s">
        <v>57</v>
      </c>
      <c r="BE450" s="3101"/>
      <c r="BF450" s="3101"/>
      <c r="BG450" s="3101"/>
      <c r="BH450" s="3101"/>
      <c r="BI450" s="3101"/>
      <c r="BJ450" s="3101"/>
      <c r="BK450" s="3101"/>
      <c r="BL450" s="3101"/>
      <c r="BM450" s="3101"/>
      <c r="BN450" s="3101"/>
      <c r="BO450" s="711"/>
      <c r="BP450" s="3092" t="s">
        <v>58</v>
      </c>
      <c r="BQ450" s="3093"/>
      <c r="BR450" s="3093"/>
      <c r="BS450" s="3093"/>
      <c r="BT450" s="3093"/>
      <c r="BU450" s="3093"/>
      <c r="BV450" s="3093"/>
      <c r="BW450" s="3093"/>
      <c r="BX450" s="3093"/>
      <c r="BY450" s="3093"/>
      <c r="BZ450" s="3093"/>
      <c r="CA450" s="3093"/>
      <c r="CB450" s="3094"/>
      <c r="CC450" s="712"/>
      <c r="CD450" s="710"/>
      <c r="CE450" s="3101" t="s">
        <v>57</v>
      </c>
      <c r="CF450" s="3101"/>
      <c r="CG450" s="3101"/>
      <c r="CH450" s="3101"/>
      <c r="CI450" s="3101"/>
      <c r="CJ450" s="3101"/>
      <c r="CK450" s="3101"/>
      <c r="CL450" s="3101"/>
      <c r="CM450" s="3101"/>
      <c r="CN450" s="3101"/>
      <c r="CO450" s="3101"/>
      <c r="CP450" s="711"/>
      <c r="CQ450" s="3092" t="s">
        <v>58</v>
      </c>
      <c r="CR450" s="3093"/>
      <c r="CS450" s="3093"/>
      <c r="CT450" s="3093"/>
      <c r="CU450" s="3093"/>
      <c r="CV450" s="3093"/>
      <c r="CW450" s="3093"/>
      <c r="CX450" s="3093"/>
      <c r="CY450" s="3093"/>
      <c r="CZ450" s="3093"/>
      <c r="DA450" s="3093"/>
      <c r="DB450" s="3093"/>
      <c r="DC450" s="3094"/>
      <c r="DD450" s="712"/>
      <c r="DE450" s="710"/>
      <c r="DF450" s="3101" t="s">
        <v>57</v>
      </c>
      <c r="DG450" s="3101"/>
      <c r="DH450" s="3101"/>
      <c r="DI450" s="3101"/>
      <c r="DJ450" s="3101"/>
      <c r="DK450" s="3101"/>
      <c r="DL450" s="3101"/>
      <c r="DM450" s="3101"/>
      <c r="DN450" s="3101"/>
      <c r="DO450" s="3101"/>
      <c r="DP450" s="3101"/>
      <c r="DQ450" s="711"/>
      <c r="DR450" s="3092" t="s">
        <v>58</v>
      </c>
      <c r="DS450" s="3093"/>
      <c r="DT450" s="3093"/>
      <c r="DU450" s="3093"/>
      <c r="DV450" s="3093"/>
      <c r="DW450" s="3093"/>
      <c r="DX450" s="3093"/>
      <c r="DY450" s="3093"/>
      <c r="DZ450" s="3093"/>
      <c r="EA450" s="3093"/>
      <c r="EB450" s="3093"/>
      <c r="EC450" s="3093"/>
      <c r="ED450" s="3094"/>
      <c r="EE450" s="713"/>
      <c r="EF450" s="710"/>
      <c r="EG450" s="3101" t="s">
        <v>57</v>
      </c>
      <c r="EH450" s="3101"/>
      <c r="EI450" s="3101"/>
      <c r="EJ450" s="3101"/>
      <c r="EK450" s="3101"/>
      <c r="EL450" s="3101"/>
      <c r="EM450" s="3101"/>
      <c r="EN450" s="3101"/>
      <c r="EO450" s="3101"/>
      <c r="EP450" s="3101"/>
      <c r="EQ450" s="3101"/>
      <c r="ER450" s="711"/>
      <c r="ES450" s="3092" t="s">
        <v>58</v>
      </c>
      <c r="ET450" s="3093"/>
      <c r="EU450" s="3093"/>
      <c r="EV450" s="3093"/>
      <c r="EW450" s="3093"/>
      <c r="EX450" s="3093"/>
      <c r="EY450" s="3093"/>
      <c r="EZ450" s="3093"/>
      <c r="FA450" s="3093"/>
      <c r="FB450" s="3093"/>
      <c r="FC450" s="3093"/>
      <c r="FD450" s="3093"/>
      <c r="FE450" s="3094"/>
      <c r="FF450" s="700"/>
      <c r="FG450" s="1305"/>
      <c r="FH450" s="1305"/>
      <c r="FI450" s="1305"/>
      <c r="FJ450" s="1305"/>
      <c r="FK450" s="1305"/>
      <c r="FL450" s="1305"/>
      <c r="FM450" s="1305"/>
      <c r="FN450" s="1305"/>
      <c r="FO450" s="1305"/>
      <c r="FP450" s="1305"/>
      <c r="FQ450" s="1305"/>
      <c r="FR450" s="1305"/>
      <c r="FS450" s="1305"/>
      <c r="FT450" s="1305"/>
      <c r="FU450" s="1305"/>
      <c r="FV450" s="1305"/>
      <c r="FW450" s="1305"/>
      <c r="FX450" s="1305"/>
      <c r="FY450" s="1305"/>
      <c r="FZ450" s="1305"/>
      <c r="GA450" s="1305"/>
      <c r="GB450" s="1305"/>
      <c r="GC450" s="1305"/>
      <c r="GD450" s="1305"/>
      <c r="GE450" s="1305"/>
      <c r="GF450" s="1305"/>
      <c r="GG450" s="1305"/>
      <c r="GH450" s="1305"/>
      <c r="GI450" s="1305"/>
      <c r="GJ450" s="1305"/>
      <c r="GK450" s="1305"/>
      <c r="GL450" s="1305"/>
      <c r="GM450" s="1305"/>
      <c r="GN450" s="1305"/>
      <c r="GO450" s="1305"/>
      <c r="GP450" s="1305"/>
      <c r="GQ450" s="1305"/>
      <c r="GR450" s="1305"/>
      <c r="GS450" s="1305"/>
      <c r="GT450" s="1305"/>
      <c r="GU450" s="1305"/>
      <c r="GV450" s="1305"/>
      <c r="GW450" s="1305"/>
      <c r="GX450" s="1305"/>
      <c r="GY450" s="1305"/>
      <c r="GZ450" s="1305"/>
      <c r="HA450" s="1305"/>
      <c r="HB450" s="1305"/>
      <c r="HC450" s="1305"/>
      <c r="HD450" s="1305"/>
      <c r="HE450" s="1305"/>
      <c r="HF450" s="1305"/>
      <c r="HG450" s="1305"/>
      <c r="HH450" s="1305"/>
      <c r="HI450" s="1305"/>
      <c r="HJ450" s="1305"/>
      <c r="HK450" s="1305"/>
      <c r="HL450" s="1305"/>
      <c r="HM450" s="1305"/>
      <c r="HN450" s="1305"/>
      <c r="HO450" s="1305"/>
      <c r="HP450" s="1305"/>
      <c r="HQ450" s="1305"/>
      <c r="HR450" s="1305"/>
      <c r="HS450" s="1305"/>
      <c r="HT450" s="1305"/>
      <c r="HU450" s="1305"/>
      <c r="HV450" s="1305"/>
      <c r="HW450" s="1305"/>
      <c r="HX450" s="1305"/>
      <c r="HY450" s="1305"/>
      <c r="HZ450" s="1305"/>
      <c r="IA450" s="1305"/>
      <c r="IB450" s="1305"/>
      <c r="IC450" s="1305"/>
      <c r="ID450" s="1305"/>
      <c r="IE450" s="1305"/>
      <c r="IF450" s="1305"/>
      <c r="IG450" s="1305"/>
      <c r="IH450" s="1305"/>
      <c r="II450" s="1305"/>
    </row>
    <row r="451" spans="1:243" s="655" customFormat="1" ht="18" customHeight="1">
      <c r="A451" s="700"/>
      <c r="B451" s="700"/>
      <c r="C451" s="700"/>
      <c r="D451" s="700"/>
      <c r="E451" s="700"/>
      <c r="F451" s="700"/>
      <c r="G451" s="700"/>
      <c r="H451" s="700"/>
      <c r="I451" s="700"/>
      <c r="J451" s="700"/>
      <c r="K451" s="700"/>
      <c r="L451" s="700"/>
      <c r="M451" s="700"/>
      <c r="N451" s="700"/>
      <c r="O451" s="700"/>
      <c r="P451" s="700"/>
      <c r="Q451" s="700"/>
      <c r="R451" s="694"/>
      <c r="S451" s="694"/>
      <c r="T451" s="694"/>
      <c r="U451" s="694"/>
      <c r="V451" s="694"/>
      <c r="W451" s="694"/>
      <c r="X451" s="694"/>
      <c r="Y451" s="714"/>
      <c r="Z451" s="714"/>
      <c r="AA451" s="700"/>
      <c r="AB451" s="715"/>
      <c r="AC451" s="716"/>
      <c r="AD451" s="3262" t="s">
        <v>405</v>
      </c>
      <c r="AE451" s="3262"/>
      <c r="AF451" s="3262"/>
      <c r="AG451" s="3262"/>
      <c r="AH451" s="3262"/>
      <c r="AI451" s="3262"/>
      <c r="AJ451" s="3262"/>
      <c r="AK451" s="3262"/>
      <c r="AL451" s="3262"/>
      <c r="AM451" s="717"/>
      <c r="AN451" s="717"/>
      <c r="AO451" s="718"/>
      <c r="AP451" s="719"/>
      <c r="AQ451" s="662"/>
      <c r="AR451" s="662"/>
      <c r="AS451" s="662"/>
      <c r="AT451" s="718"/>
      <c r="AU451" s="662"/>
      <c r="AV451" s="662"/>
      <c r="AW451" s="719"/>
      <c r="AX451" s="719"/>
      <c r="AY451" s="719"/>
      <c r="AZ451" s="719"/>
      <c r="BA451" s="720"/>
      <c r="BB451" s="694"/>
      <c r="BC451" s="721"/>
      <c r="BD451" s="3135" t="s">
        <v>406</v>
      </c>
      <c r="BE451" s="3135"/>
      <c r="BF451" s="3136"/>
      <c r="BG451" s="1320" t="s">
        <v>335</v>
      </c>
      <c r="BH451" s="3123" t="s">
        <v>408</v>
      </c>
      <c r="BI451" s="3100"/>
      <c r="BJ451" s="2961"/>
      <c r="BK451" s="3098"/>
      <c r="BL451" s="1321"/>
      <c r="BM451" s="1321"/>
      <c r="BN451" s="1322"/>
      <c r="BO451" s="1323"/>
      <c r="BP451" s="1324"/>
      <c r="BQ451" s="3099" t="s">
        <v>406</v>
      </c>
      <c r="BR451" s="3099"/>
      <c r="BS451" s="3100"/>
      <c r="BT451" s="1320" t="s">
        <v>2646</v>
      </c>
      <c r="BU451" s="3123" t="s">
        <v>408</v>
      </c>
      <c r="BV451" s="3100"/>
      <c r="BW451" s="2961" t="s">
        <v>2899</v>
      </c>
      <c r="BX451" s="3098"/>
      <c r="BY451" s="1321"/>
      <c r="BZ451" s="1325"/>
      <c r="CA451" s="1325"/>
      <c r="CB451" s="1326"/>
      <c r="CC451" s="1327"/>
      <c r="CD451" s="1328"/>
      <c r="CE451" s="3099" t="s">
        <v>406</v>
      </c>
      <c r="CF451" s="3099"/>
      <c r="CG451" s="3100"/>
      <c r="CH451" s="1318" t="s">
        <v>335</v>
      </c>
      <c r="CI451" s="3123" t="s">
        <v>408</v>
      </c>
      <c r="CJ451" s="3100"/>
      <c r="CK451" s="2961"/>
      <c r="CL451" s="2963"/>
      <c r="CM451" s="1321"/>
      <c r="CN451" s="1321"/>
      <c r="CO451" s="1322"/>
      <c r="CP451" s="1323"/>
      <c r="CQ451" s="1324"/>
      <c r="CR451" s="3099" t="s">
        <v>406</v>
      </c>
      <c r="CS451" s="3099"/>
      <c r="CT451" s="3100"/>
      <c r="CU451" s="1320" t="s">
        <v>407</v>
      </c>
      <c r="CV451" s="3123" t="s">
        <v>408</v>
      </c>
      <c r="CW451" s="3100"/>
      <c r="CX451" s="2961" t="s">
        <v>2899</v>
      </c>
      <c r="CY451" s="3098"/>
      <c r="CZ451" s="1321"/>
      <c r="DA451" s="1325"/>
      <c r="DB451" s="1325"/>
      <c r="DC451" s="1326"/>
      <c r="DD451" s="1327"/>
      <c r="DE451" s="1328"/>
      <c r="DF451" s="3099" t="s">
        <v>406</v>
      </c>
      <c r="DG451" s="3099"/>
      <c r="DH451" s="3100"/>
      <c r="DI451" s="1320" t="s">
        <v>335</v>
      </c>
      <c r="DJ451" s="3123" t="s">
        <v>408</v>
      </c>
      <c r="DK451" s="3100"/>
      <c r="DL451" s="2961"/>
      <c r="DM451" s="3098"/>
      <c r="DN451" s="1321"/>
      <c r="DO451" s="1321"/>
      <c r="DP451" s="1322"/>
      <c r="DQ451" s="1323"/>
      <c r="DR451" s="1324"/>
      <c r="DS451" s="3099" t="s">
        <v>406</v>
      </c>
      <c r="DT451" s="3099"/>
      <c r="DU451" s="3100"/>
      <c r="DV451" s="1320" t="s">
        <v>2650</v>
      </c>
      <c r="DW451" s="3123" t="s">
        <v>408</v>
      </c>
      <c r="DX451" s="3100"/>
      <c r="DY451" s="2961" t="s">
        <v>2899</v>
      </c>
      <c r="DZ451" s="3098"/>
      <c r="EA451" s="1321"/>
      <c r="EB451" s="1325"/>
      <c r="EC451" s="1325"/>
      <c r="ED451" s="1326"/>
      <c r="EE451" s="1329"/>
      <c r="EF451" s="1328"/>
      <c r="EG451" s="3099" t="s">
        <v>406</v>
      </c>
      <c r="EH451" s="3099"/>
      <c r="EI451" s="3100"/>
      <c r="EJ451" s="1318" t="s">
        <v>335</v>
      </c>
      <c r="EK451" s="3123" t="s">
        <v>408</v>
      </c>
      <c r="EL451" s="3100"/>
      <c r="EM451" s="2961"/>
      <c r="EN451" s="3098"/>
      <c r="EO451" s="1321"/>
      <c r="EP451" s="1321"/>
      <c r="EQ451" s="1322"/>
      <c r="ER451" s="1323"/>
      <c r="ES451" s="1324"/>
      <c r="ET451" s="3099" t="s">
        <v>406</v>
      </c>
      <c r="EU451" s="3099"/>
      <c r="EV451" s="3100"/>
      <c r="EW451" s="1319" t="s">
        <v>335</v>
      </c>
      <c r="EX451" s="3123" t="s">
        <v>408</v>
      </c>
      <c r="EY451" s="3100"/>
      <c r="EZ451" s="2961"/>
      <c r="FA451" s="3098"/>
      <c r="FB451" s="719"/>
      <c r="FC451" s="724"/>
      <c r="FD451" s="724"/>
      <c r="FE451" s="725"/>
      <c r="FF451" s="700"/>
      <c r="FG451" s="1305"/>
      <c r="FH451" s="1305"/>
      <c r="FI451" s="1305"/>
      <c r="FJ451" s="1305"/>
      <c r="FK451" s="1305"/>
      <c r="FL451" s="1305"/>
      <c r="FM451" s="1305"/>
      <c r="FN451" s="1305"/>
      <c r="FO451" s="1305"/>
      <c r="FP451" s="1305"/>
      <c r="FQ451" s="1305"/>
      <c r="FR451" s="1305"/>
      <c r="FS451" s="1305"/>
      <c r="FT451" s="1305"/>
      <c r="FU451" s="1305"/>
      <c r="FV451" s="1305"/>
      <c r="FW451" s="1305"/>
      <c r="FX451" s="1305"/>
      <c r="FY451" s="1305"/>
      <c r="FZ451" s="1305"/>
      <c r="GA451" s="1305"/>
      <c r="GB451" s="1305"/>
      <c r="GC451" s="1305"/>
      <c r="GD451" s="1305"/>
      <c r="GE451" s="1305"/>
      <c r="GF451" s="1305"/>
      <c r="GG451" s="1305"/>
      <c r="GH451" s="1305"/>
      <c r="GI451" s="1305"/>
      <c r="GJ451" s="1305"/>
      <c r="GK451" s="1305"/>
      <c r="GL451" s="1305"/>
      <c r="GM451" s="1305"/>
      <c r="GN451" s="1305"/>
      <c r="GO451" s="1305"/>
      <c r="GP451" s="1305"/>
      <c r="GQ451" s="1305"/>
      <c r="GR451" s="1305"/>
      <c r="GS451" s="1305"/>
      <c r="GT451" s="1305"/>
      <c r="GU451" s="1305"/>
      <c r="GV451" s="1305"/>
      <c r="GW451" s="1305"/>
      <c r="GX451" s="1305"/>
      <c r="GY451" s="1305"/>
      <c r="GZ451" s="1305"/>
      <c r="HA451" s="1305"/>
      <c r="HB451" s="1305"/>
      <c r="HC451" s="1305"/>
      <c r="HD451" s="1305"/>
      <c r="HE451" s="1305"/>
      <c r="HF451" s="1305"/>
      <c r="HG451" s="1305"/>
      <c r="HH451" s="1305"/>
      <c r="HI451" s="1305"/>
      <c r="HJ451" s="1305"/>
      <c r="HK451" s="1305"/>
      <c r="HL451" s="1305"/>
      <c r="HM451" s="1305"/>
      <c r="HN451" s="1305"/>
      <c r="HO451" s="1305"/>
      <c r="HP451" s="1305"/>
      <c r="HQ451" s="1305"/>
      <c r="HR451" s="1305"/>
      <c r="HS451" s="1305"/>
      <c r="HT451" s="1305"/>
      <c r="HU451" s="1305"/>
      <c r="HV451" s="1305"/>
      <c r="HW451" s="1305"/>
      <c r="HX451" s="1305"/>
      <c r="HY451" s="1305"/>
      <c r="HZ451" s="1305"/>
      <c r="IA451" s="1305"/>
      <c r="IB451" s="1305"/>
      <c r="IC451" s="1305"/>
      <c r="ID451" s="1305"/>
      <c r="IE451" s="1305"/>
      <c r="IF451" s="1305"/>
      <c r="IG451" s="1305"/>
      <c r="IH451" s="1305"/>
      <c r="II451" s="1305"/>
    </row>
    <row r="452" spans="1:243" s="655" customFormat="1" ht="18" customHeight="1">
      <c r="A452" s="700"/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694"/>
      <c r="S452" s="694"/>
      <c r="T452" s="694"/>
      <c r="U452" s="694"/>
      <c r="V452" s="694"/>
      <c r="W452" s="694"/>
      <c r="X452" s="694"/>
      <c r="Y452" s="714"/>
      <c r="Z452" s="714"/>
      <c r="AA452" s="700"/>
      <c r="AB452" s="726"/>
      <c r="AC452" s="727"/>
      <c r="AD452" s="3286" t="s">
        <v>411</v>
      </c>
      <c r="AE452" s="3286"/>
      <c r="AF452" s="3286"/>
      <c r="AG452" s="3286"/>
      <c r="AH452" s="3286"/>
      <c r="AI452" s="3286"/>
      <c r="AJ452" s="3286"/>
      <c r="AK452" s="3286"/>
      <c r="AL452" s="3287"/>
      <c r="AM452" s="3235">
        <f>MEF!AJ19</f>
        <v>98</v>
      </c>
      <c r="AN452" s="3236"/>
      <c r="AO452" s="728"/>
      <c r="AP452" s="729"/>
      <c r="AQ452" s="729"/>
      <c r="AR452" s="729"/>
      <c r="AS452" s="730"/>
      <c r="AT452" s="3235">
        <f>MEF!AJ21</f>
        <v>84</v>
      </c>
      <c r="AU452" s="3236"/>
      <c r="AV452" s="718"/>
      <c r="AW452" s="731"/>
      <c r="AX452" s="731"/>
      <c r="AY452" s="732"/>
      <c r="AZ452" s="732"/>
      <c r="BA452" s="720"/>
      <c r="BB452" s="733"/>
      <c r="BC452" s="715"/>
      <c r="BD452" s="3135" t="s">
        <v>412</v>
      </c>
      <c r="BE452" s="3135"/>
      <c r="BF452" s="3136"/>
      <c r="BG452" s="2946" t="s">
        <v>192</v>
      </c>
      <c r="BH452" s="2947"/>
      <c r="BI452" s="731"/>
      <c r="BJ452" s="731"/>
      <c r="BK452" s="731"/>
      <c r="BL452" s="3120" t="s">
        <v>413</v>
      </c>
      <c r="BM452" s="3120"/>
      <c r="BN452" s="722"/>
      <c r="BO452" s="734"/>
      <c r="BP452" s="723"/>
      <c r="BQ452" s="3106" t="s">
        <v>412</v>
      </c>
      <c r="BR452" s="3106"/>
      <c r="BS452" s="3107"/>
      <c r="BT452" s="2946">
        <v>30</v>
      </c>
      <c r="BU452" s="2947"/>
      <c r="BV452" s="724"/>
      <c r="BW452" s="724"/>
      <c r="BX452" s="731"/>
      <c r="BY452" s="3120" t="s">
        <v>413</v>
      </c>
      <c r="BZ452" s="3120"/>
      <c r="CA452" s="724"/>
      <c r="CB452" s="735"/>
      <c r="CC452" s="733"/>
      <c r="CD452" s="715"/>
      <c r="CE452" s="3135" t="s">
        <v>412</v>
      </c>
      <c r="CF452" s="3135"/>
      <c r="CG452" s="3136"/>
      <c r="CH452" s="2946" t="s">
        <v>192</v>
      </c>
      <c r="CI452" s="2947"/>
      <c r="CJ452" s="731"/>
      <c r="CK452" s="731"/>
      <c r="CL452" s="731"/>
      <c r="CM452" s="3120" t="s">
        <v>413</v>
      </c>
      <c r="CN452" s="3120"/>
      <c r="CO452" s="722"/>
      <c r="CP452" s="734"/>
      <c r="CQ452" s="723"/>
      <c r="CR452" s="3106" t="s">
        <v>412</v>
      </c>
      <c r="CS452" s="3106"/>
      <c r="CT452" s="3107"/>
      <c r="CU452" s="2946">
        <v>40</v>
      </c>
      <c r="CV452" s="2947"/>
      <c r="CW452" s="724"/>
      <c r="CX452" s="724"/>
      <c r="CY452" s="731"/>
      <c r="CZ452" s="3120" t="s">
        <v>413</v>
      </c>
      <c r="DA452" s="3120"/>
      <c r="DB452" s="724"/>
      <c r="DC452" s="735"/>
      <c r="DD452" s="733"/>
      <c r="DE452" s="715"/>
      <c r="DF452" s="3135" t="s">
        <v>412</v>
      </c>
      <c r="DG452" s="3135"/>
      <c r="DH452" s="3136"/>
      <c r="DI452" s="2946" t="s">
        <v>192</v>
      </c>
      <c r="DJ452" s="2947"/>
      <c r="DK452" s="731"/>
      <c r="DL452" s="731"/>
      <c r="DM452" s="731"/>
      <c r="DN452" s="3120" t="s">
        <v>413</v>
      </c>
      <c r="DO452" s="3120"/>
      <c r="DP452" s="722"/>
      <c r="DQ452" s="734"/>
      <c r="DR452" s="723"/>
      <c r="DS452" s="3106" t="s">
        <v>412</v>
      </c>
      <c r="DT452" s="3106"/>
      <c r="DU452" s="3107"/>
      <c r="DV452" s="2946">
        <v>40</v>
      </c>
      <c r="DW452" s="2947"/>
      <c r="DX452" s="724"/>
      <c r="DY452" s="724"/>
      <c r="DZ452" s="731"/>
      <c r="EA452" s="3120" t="s">
        <v>413</v>
      </c>
      <c r="EB452" s="3120"/>
      <c r="EC452" s="724"/>
      <c r="ED452" s="735"/>
      <c r="EE452" s="700"/>
      <c r="EF452" s="715"/>
      <c r="EG452" s="3135" t="s">
        <v>412</v>
      </c>
      <c r="EH452" s="3135"/>
      <c r="EI452" s="3136"/>
      <c r="EJ452" s="2946" t="s">
        <v>192</v>
      </c>
      <c r="EK452" s="2947"/>
      <c r="EL452" s="731"/>
      <c r="EM452" s="731"/>
      <c r="EN452" s="731"/>
      <c r="EO452" s="3120" t="s">
        <v>413</v>
      </c>
      <c r="EP452" s="3120"/>
      <c r="EQ452" s="722"/>
      <c r="ER452" s="734"/>
      <c r="ES452" s="723"/>
      <c r="ET452" s="3106" t="s">
        <v>412</v>
      </c>
      <c r="EU452" s="3106"/>
      <c r="EV452" s="3107"/>
      <c r="EW452" s="2946" t="s">
        <v>192</v>
      </c>
      <c r="EX452" s="2947"/>
      <c r="EY452" s="724"/>
      <c r="EZ452" s="724"/>
      <c r="FA452" s="731"/>
      <c r="FB452" s="3120" t="s">
        <v>413</v>
      </c>
      <c r="FC452" s="3120"/>
      <c r="FD452" s="724"/>
      <c r="FE452" s="735"/>
      <c r="FF452" s="700"/>
      <c r="FG452" s="1305"/>
      <c r="FH452" s="1305"/>
      <c r="FI452" s="1305"/>
      <c r="FJ452" s="1305"/>
      <c r="FK452" s="1305"/>
      <c r="FL452" s="1305"/>
      <c r="FM452" s="1305"/>
      <c r="FN452" s="1305"/>
      <c r="FO452" s="1305"/>
      <c r="FP452" s="1305"/>
      <c r="FQ452" s="1305"/>
      <c r="FR452" s="1305"/>
      <c r="FS452" s="1305"/>
      <c r="FT452" s="1305"/>
      <c r="FU452" s="1305"/>
      <c r="FV452" s="1305"/>
      <c r="FW452" s="1305"/>
      <c r="FX452" s="1305"/>
      <c r="FY452" s="1305"/>
      <c r="FZ452" s="1305"/>
      <c r="GA452" s="1305"/>
      <c r="GB452" s="1305"/>
      <c r="GC452" s="1305"/>
      <c r="GD452" s="1305"/>
      <c r="GE452" s="1305"/>
      <c r="GF452" s="1305"/>
      <c r="GG452" s="1305"/>
      <c r="GH452" s="1305"/>
      <c r="GI452" s="1305"/>
      <c r="GJ452" s="1305"/>
      <c r="GK452" s="1305"/>
      <c r="GL452" s="1305"/>
      <c r="GM452" s="1305"/>
      <c r="GN452" s="1305"/>
      <c r="GO452" s="1305"/>
      <c r="GP452" s="1305"/>
      <c r="GQ452" s="1305"/>
      <c r="GR452" s="1305"/>
      <c r="GS452" s="1305"/>
      <c r="GT452" s="1305"/>
      <c r="GU452" s="1305"/>
      <c r="GV452" s="1305"/>
      <c r="GW452" s="1305"/>
      <c r="GX452" s="1305"/>
      <c r="GY452" s="1305"/>
      <c r="GZ452" s="1305"/>
      <c r="HA452" s="1305"/>
      <c r="HB452" s="1305"/>
      <c r="HC452" s="1305"/>
      <c r="HD452" s="1305"/>
      <c r="HE452" s="1305"/>
      <c r="HF452" s="1305"/>
      <c r="HG452" s="1305"/>
      <c r="HH452" s="1305"/>
      <c r="HI452" s="1305"/>
      <c r="HJ452" s="1305"/>
      <c r="HK452" s="1305"/>
      <c r="HL452" s="1305"/>
      <c r="HM452" s="1305"/>
      <c r="HN452" s="1305"/>
      <c r="HO452" s="1305"/>
      <c r="HP452" s="1305"/>
      <c r="HQ452" s="1305"/>
      <c r="HR452" s="1305"/>
      <c r="HS452" s="1305"/>
      <c r="HT452" s="1305"/>
      <c r="HU452" s="1305"/>
      <c r="HV452" s="1305"/>
      <c r="HW452" s="1305"/>
      <c r="HX452" s="1305"/>
      <c r="HY452" s="1305"/>
      <c r="HZ452" s="1305"/>
      <c r="IA452" s="1305"/>
      <c r="IB452" s="1305"/>
      <c r="IC452" s="1305"/>
      <c r="ID452" s="1305"/>
      <c r="IE452" s="1305"/>
      <c r="IF452" s="1305"/>
      <c r="IG452" s="1305"/>
      <c r="IH452" s="1305"/>
      <c r="II452" s="1305"/>
    </row>
    <row r="453" spans="1:243" s="655" customFormat="1" ht="18" customHeight="1">
      <c r="A453" s="700"/>
      <c r="B453" s="700"/>
      <c r="C453" s="700"/>
      <c r="D453" s="700"/>
      <c r="E453" s="700"/>
      <c r="F453" s="700"/>
      <c r="G453" s="700"/>
      <c r="H453" s="700"/>
      <c r="I453" s="700"/>
      <c r="J453" s="700"/>
      <c r="K453" s="700"/>
      <c r="L453" s="700"/>
      <c r="M453" s="700"/>
      <c r="N453" s="700"/>
      <c r="O453" s="700"/>
      <c r="P453" s="700"/>
      <c r="Q453" s="700"/>
      <c r="R453" s="703"/>
      <c r="S453" s="703"/>
      <c r="T453" s="703"/>
      <c r="U453" s="703"/>
      <c r="V453" s="703"/>
      <c r="W453" s="703"/>
      <c r="X453" s="703"/>
      <c r="Y453" s="703"/>
      <c r="Z453" s="703"/>
      <c r="AA453" s="700"/>
      <c r="AB453" s="1752"/>
      <c r="AC453" s="736"/>
      <c r="AD453" s="736"/>
      <c r="AE453" s="736"/>
      <c r="AF453" s="737"/>
      <c r="AG453" s="737"/>
      <c r="AH453" s="737"/>
      <c r="AI453" s="727"/>
      <c r="AJ453" s="727"/>
      <c r="AK453" s="3117" t="s">
        <v>77</v>
      </c>
      <c r="AL453" s="3117"/>
      <c r="AM453" s="3102">
        <v>95</v>
      </c>
      <c r="AN453" s="3103"/>
      <c r="AO453" s="738" t="s">
        <v>414</v>
      </c>
      <c r="AP453" s="739"/>
      <c r="AQ453" s="739"/>
      <c r="AR453" s="739" t="s">
        <v>78</v>
      </c>
      <c r="AS453" s="739"/>
      <c r="AT453" s="3102">
        <v>73</v>
      </c>
      <c r="AU453" s="3103"/>
      <c r="AV453" s="740" t="s">
        <v>414</v>
      </c>
      <c r="AW453" s="741"/>
      <c r="AX453" s="741"/>
      <c r="AY453" s="742"/>
      <c r="AZ453" s="742"/>
      <c r="BA453" s="743"/>
      <c r="BB453" s="744"/>
      <c r="BC453" s="715"/>
      <c r="BD453" s="3124" t="s">
        <v>415</v>
      </c>
      <c r="BE453" s="3124"/>
      <c r="BF453" s="3124"/>
      <c r="BG453" s="3124"/>
      <c r="BH453" s="3125" t="s">
        <v>416</v>
      </c>
      <c r="BI453" s="3125"/>
      <c r="BJ453" s="3122" t="s">
        <v>417</v>
      </c>
      <c r="BK453" s="3122"/>
      <c r="BL453" s="3121"/>
      <c r="BM453" s="3121"/>
      <c r="BN453" s="745"/>
      <c r="BO453" s="746"/>
      <c r="BP453" s="747"/>
      <c r="BQ453" s="3134" t="s">
        <v>418</v>
      </c>
      <c r="BR453" s="3134"/>
      <c r="BS453" s="3134"/>
      <c r="BT453" s="3134"/>
      <c r="BU453" s="3121" t="s">
        <v>416</v>
      </c>
      <c r="BV453" s="3121"/>
      <c r="BW453" s="3097" t="s">
        <v>417</v>
      </c>
      <c r="BX453" s="3097"/>
      <c r="BY453" s="3121"/>
      <c r="BZ453" s="3121"/>
      <c r="CA453" s="748"/>
      <c r="CB453" s="749"/>
      <c r="CC453" s="744"/>
      <c r="CD453" s="715"/>
      <c r="CE453" s="3124" t="s">
        <v>415</v>
      </c>
      <c r="CF453" s="3124"/>
      <c r="CG453" s="3124"/>
      <c r="CH453" s="3124"/>
      <c r="CI453" s="3125" t="s">
        <v>416</v>
      </c>
      <c r="CJ453" s="3125"/>
      <c r="CK453" s="3122" t="s">
        <v>417</v>
      </c>
      <c r="CL453" s="3122"/>
      <c r="CM453" s="3121"/>
      <c r="CN453" s="3121"/>
      <c r="CO453" s="745"/>
      <c r="CP453" s="746"/>
      <c r="CQ453" s="747"/>
      <c r="CR453" s="3134" t="s">
        <v>418</v>
      </c>
      <c r="CS453" s="3134"/>
      <c r="CT453" s="3134"/>
      <c r="CU453" s="3134"/>
      <c r="CV453" s="3121" t="s">
        <v>416</v>
      </c>
      <c r="CW453" s="3121"/>
      <c r="CX453" s="3097" t="s">
        <v>417</v>
      </c>
      <c r="CY453" s="3097"/>
      <c r="CZ453" s="3121"/>
      <c r="DA453" s="3121"/>
      <c r="DB453" s="748"/>
      <c r="DC453" s="749"/>
      <c r="DD453" s="744"/>
      <c r="DE453" s="715"/>
      <c r="DF453" s="3124" t="s">
        <v>415</v>
      </c>
      <c r="DG453" s="3124"/>
      <c r="DH453" s="3124"/>
      <c r="DI453" s="3124"/>
      <c r="DJ453" s="3125" t="s">
        <v>416</v>
      </c>
      <c r="DK453" s="3125"/>
      <c r="DL453" s="3122" t="s">
        <v>417</v>
      </c>
      <c r="DM453" s="3122"/>
      <c r="DN453" s="3121"/>
      <c r="DO453" s="3121"/>
      <c r="DP453" s="745"/>
      <c r="DQ453" s="746"/>
      <c r="DR453" s="747"/>
      <c r="DS453" s="3134" t="s">
        <v>418</v>
      </c>
      <c r="DT453" s="3134"/>
      <c r="DU453" s="3134"/>
      <c r="DV453" s="3134"/>
      <c r="DW453" s="3121" t="s">
        <v>416</v>
      </c>
      <c r="DX453" s="3121"/>
      <c r="DY453" s="3097" t="s">
        <v>417</v>
      </c>
      <c r="DZ453" s="3097"/>
      <c r="EA453" s="3121"/>
      <c r="EB453" s="3121"/>
      <c r="EC453" s="748"/>
      <c r="ED453" s="749"/>
      <c r="EE453" s="700"/>
      <c r="EF453" s="715"/>
      <c r="EG453" s="3124" t="s">
        <v>415</v>
      </c>
      <c r="EH453" s="3124"/>
      <c r="EI453" s="3124"/>
      <c r="EJ453" s="3124"/>
      <c r="EK453" s="3125" t="s">
        <v>416</v>
      </c>
      <c r="EL453" s="3125"/>
      <c r="EM453" s="3122" t="s">
        <v>417</v>
      </c>
      <c r="EN453" s="3122"/>
      <c r="EO453" s="3121"/>
      <c r="EP453" s="3121"/>
      <c r="EQ453" s="745"/>
      <c r="ER453" s="746"/>
      <c r="ES453" s="747"/>
      <c r="ET453" s="3134" t="s">
        <v>418</v>
      </c>
      <c r="EU453" s="3134"/>
      <c r="EV453" s="3134"/>
      <c r="EW453" s="3134"/>
      <c r="EX453" s="3121" t="s">
        <v>416</v>
      </c>
      <c r="EY453" s="3121"/>
      <c r="EZ453" s="3097" t="s">
        <v>417</v>
      </c>
      <c r="FA453" s="3097"/>
      <c r="FB453" s="3121"/>
      <c r="FC453" s="3121"/>
      <c r="FD453" s="748"/>
      <c r="FE453" s="749"/>
      <c r="FF453" s="700"/>
      <c r="FG453" s="1305"/>
      <c r="FH453" s="1305"/>
      <c r="FI453" s="1305"/>
      <c r="FJ453" s="1305"/>
      <c r="FK453" s="1305"/>
      <c r="FL453" s="1305"/>
      <c r="FM453" s="1305"/>
      <c r="FN453" s="1305"/>
      <c r="FO453" s="1305"/>
      <c r="FP453" s="1305"/>
      <c r="FQ453" s="1305"/>
      <c r="FR453" s="1305"/>
      <c r="FS453" s="1305"/>
      <c r="FT453" s="1305"/>
      <c r="FU453" s="1305"/>
      <c r="FV453" s="1305"/>
      <c r="FW453" s="1305"/>
      <c r="FX453" s="1305"/>
      <c r="FY453" s="1305"/>
      <c r="FZ453" s="1305"/>
      <c r="GA453" s="1305"/>
      <c r="GB453" s="1305"/>
      <c r="GC453" s="1305"/>
      <c r="GD453" s="1305"/>
      <c r="GE453" s="1305"/>
      <c r="GF453" s="1305"/>
      <c r="GG453" s="1305"/>
      <c r="GH453" s="1305"/>
      <c r="GI453" s="1305"/>
      <c r="GJ453" s="1305"/>
      <c r="GK453" s="1305"/>
      <c r="GL453" s="1305"/>
      <c r="GM453" s="1305"/>
      <c r="GN453" s="1305"/>
      <c r="GO453" s="1305"/>
      <c r="GP453" s="1305"/>
      <c r="GQ453" s="1305"/>
      <c r="GR453" s="1305"/>
      <c r="GS453" s="1305"/>
      <c r="GT453" s="1305"/>
      <c r="GU453" s="1305"/>
      <c r="GV453" s="1305"/>
      <c r="GW453" s="1305"/>
      <c r="GX453" s="1305"/>
      <c r="GY453" s="1305"/>
      <c r="GZ453" s="1305"/>
      <c r="HA453" s="1305"/>
      <c r="HB453" s="1305"/>
      <c r="HC453" s="1305"/>
      <c r="HD453" s="1305"/>
      <c r="HE453" s="1305"/>
      <c r="HF453" s="1305"/>
      <c r="HG453" s="1305"/>
      <c r="HH453" s="1305"/>
      <c r="HI453" s="1305"/>
      <c r="HJ453" s="1305"/>
      <c r="HK453" s="1305"/>
      <c r="HL453" s="1305"/>
      <c r="HM453" s="1305"/>
      <c r="HN453" s="1305"/>
      <c r="HO453" s="1305"/>
      <c r="HP453" s="1305"/>
      <c r="HQ453" s="1305"/>
      <c r="HR453" s="1305"/>
      <c r="HS453" s="1305"/>
      <c r="HT453" s="1305"/>
      <c r="HU453" s="1305"/>
      <c r="HV453" s="1305"/>
      <c r="HW453" s="1305"/>
      <c r="HX453" s="1305"/>
      <c r="HY453" s="1305"/>
      <c r="HZ453" s="1305"/>
      <c r="IA453" s="1305"/>
      <c r="IB453" s="1305"/>
      <c r="IC453" s="1305"/>
      <c r="ID453" s="1305"/>
      <c r="IE453" s="1305"/>
      <c r="IF453" s="1305"/>
      <c r="IG453" s="1305"/>
      <c r="IH453" s="1305"/>
      <c r="II453" s="1305"/>
    </row>
    <row r="454" spans="1:243" s="655" customFormat="1" ht="18" customHeight="1">
      <c r="A454" s="700"/>
      <c r="B454" s="700"/>
      <c r="C454" s="700"/>
      <c r="D454" s="700"/>
      <c r="E454" s="700"/>
      <c r="F454" s="700"/>
      <c r="G454" s="700"/>
      <c r="H454" s="700"/>
      <c r="I454" s="700"/>
      <c r="J454" s="700"/>
      <c r="K454" s="700"/>
      <c r="L454" s="700"/>
      <c r="M454" s="700"/>
      <c r="N454" s="700"/>
      <c r="O454" s="700"/>
      <c r="P454" s="700"/>
      <c r="Q454" s="700"/>
      <c r="R454" s="700"/>
      <c r="S454" s="700"/>
      <c r="T454" s="700"/>
      <c r="U454" s="700"/>
      <c r="V454" s="700"/>
      <c r="W454" s="700"/>
      <c r="X454" s="700"/>
      <c r="Y454" s="700"/>
      <c r="Z454" s="700"/>
      <c r="AA454" s="700"/>
      <c r="AB454" s="1752"/>
      <c r="AC454" s="736"/>
      <c r="AD454" s="736"/>
      <c r="AE454" s="736"/>
      <c r="AF454" s="737"/>
      <c r="AG454" s="737"/>
      <c r="AH454" s="737"/>
      <c r="AI454" s="3250" t="s">
        <v>419</v>
      </c>
      <c r="AJ454" s="3250"/>
      <c r="AK454" s="3250"/>
      <c r="AL454" s="3250"/>
      <c r="AM454" s="737"/>
      <c r="AN454" s="737"/>
      <c r="AO454" s="737"/>
      <c r="AP454" s="732"/>
      <c r="AQ454" s="732"/>
      <c r="AR454" s="732"/>
      <c r="AS454" s="732"/>
      <c r="AT454" s="750"/>
      <c r="AU454" s="750"/>
      <c r="AV454" s="750"/>
      <c r="AW454" s="751"/>
      <c r="AX454" s="751"/>
      <c r="AY454" s="751"/>
      <c r="AZ454" s="751"/>
      <c r="BA454" s="752"/>
      <c r="BB454" s="744"/>
      <c r="BC454" s="715"/>
      <c r="BD454" s="3124"/>
      <c r="BE454" s="3124"/>
      <c r="BF454" s="3124"/>
      <c r="BG454" s="3124"/>
      <c r="BH454" s="3090" t="s">
        <v>2674</v>
      </c>
      <c r="BI454" s="3091"/>
      <c r="BJ454" s="3088">
        <v>4</v>
      </c>
      <c r="BK454" s="3089"/>
      <c r="BL454" s="3104"/>
      <c r="BM454" s="3105"/>
      <c r="BN454" s="753" t="s">
        <v>420</v>
      </c>
      <c r="BO454" s="746"/>
      <c r="BP454" s="747"/>
      <c r="BQ454" s="3134"/>
      <c r="BR454" s="3134"/>
      <c r="BS454" s="3134"/>
      <c r="BT454" s="3134"/>
      <c r="BU454" s="3090" t="s">
        <v>2676</v>
      </c>
      <c r="BV454" s="3091"/>
      <c r="BW454" s="3088">
        <v>10</v>
      </c>
      <c r="BX454" s="3089"/>
      <c r="BY454" s="3104">
        <v>15</v>
      </c>
      <c r="BZ454" s="3105"/>
      <c r="CA454" s="753" t="s">
        <v>420</v>
      </c>
      <c r="CB454" s="749"/>
      <c r="CC454" s="744"/>
      <c r="CD454" s="715"/>
      <c r="CE454" s="3124"/>
      <c r="CF454" s="3124"/>
      <c r="CG454" s="3124"/>
      <c r="CH454" s="3124"/>
      <c r="CI454" s="3090" t="s">
        <v>2673</v>
      </c>
      <c r="CJ454" s="3091"/>
      <c r="CK454" s="3088">
        <v>7</v>
      </c>
      <c r="CL454" s="3089"/>
      <c r="CM454" s="3104"/>
      <c r="CN454" s="3105"/>
      <c r="CO454" s="753" t="s">
        <v>420</v>
      </c>
      <c r="CP454" s="746"/>
      <c r="CQ454" s="747"/>
      <c r="CR454" s="3134"/>
      <c r="CS454" s="3134"/>
      <c r="CT454" s="3134"/>
      <c r="CU454" s="3134"/>
      <c r="CV454" s="3090" t="s">
        <v>2678</v>
      </c>
      <c r="CW454" s="3091"/>
      <c r="CX454" s="3088">
        <v>12</v>
      </c>
      <c r="CY454" s="3089"/>
      <c r="CZ454" s="3104">
        <v>20</v>
      </c>
      <c r="DA454" s="3105"/>
      <c r="DB454" s="753" t="s">
        <v>420</v>
      </c>
      <c r="DC454" s="749"/>
      <c r="DD454" s="744"/>
      <c r="DE454" s="715"/>
      <c r="DF454" s="3124"/>
      <c r="DG454" s="3124"/>
      <c r="DH454" s="3124"/>
      <c r="DI454" s="3124"/>
      <c r="DJ454" s="3090" t="s">
        <v>2647</v>
      </c>
      <c r="DK454" s="3091"/>
      <c r="DL454" s="3088">
        <v>5</v>
      </c>
      <c r="DM454" s="3089"/>
      <c r="DN454" s="3104"/>
      <c r="DO454" s="3105"/>
      <c r="DP454" s="753" t="s">
        <v>420</v>
      </c>
      <c r="DQ454" s="746"/>
      <c r="DR454" s="747"/>
      <c r="DS454" s="3134"/>
      <c r="DT454" s="3134"/>
      <c r="DU454" s="3134"/>
      <c r="DV454" s="3134"/>
      <c r="DW454" s="3090" t="s">
        <v>2649</v>
      </c>
      <c r="DX454" s="3091"/>
      <c r="DY454" s="3088">
        <v>10</v>
      </c>
      <c r="DZ454" s="3089"/>
      <c r="EA454" s="3104">
        <v>15</v>
      </c>
      <c r="EB454" s="3105"/>
      <c r="EC454" s="753" t="s">
        <v>420</v>
      </c>
      <c r="ED454" s="749"/>
      <c r="EE454" s="700"/>
      <c r="EF454" s="715"/>
      <c r="EG454" s="3124"/>
      <c r="EH454" s="3124"/>
      <c r="EI454" s="3124"/>
      <c r="EJ454" s="3124"/>
      <c r="EK454" s="3090" t="s">
        <v>2647</v>
      </c>
      <c r="EL454" s="3091"/>
      <c r="EM454" s="3088">
        <v>7</v>
      </c>
      <c r="EN454" s="3089"/>
      <c r="EO454" s="3104"/>
      <c r="EP454" s="3105"/>
      <c r="EQ454" s="753" t="s">
        <v>420</v>
      </c>
      <c r="ER454" s="746"/>
      <c r="ES454" s="747"/>
      <c r="ET454" s="3134"/>
      <c r="EU454" s="3134"/>
      <c r="EV454" s="3134"/>
      <c r="EW454" s="3134"/>
      <c r="EX454" s="3090" t="s">
        <v>2647</v>
      </c>
      <c r="EY454" s="3091"/>
      <c r="EZ454" s="3088">
        <v>7</v>
      </c>
      <c r="FA454" s="3089"/>
      <c r="FB454" s="3104"/>
      <c r="FC454" s="3105"/>
      <c r="FD454" s="753" t="s">
        <v>420</v>
      </c>
      <c r="FE454" s="749"/>
      <c r="FF454" s="700"/>
      <c r="FG454" s="1305"/>
      <c r="FH454" s="1305"/>
      <c r="FI454" s="1305"/>
      <c r="FJ454" s="1305"/>
      <c r="FK454" s="1305"/>
      <c r="FL454" s="1305"/>
      <c r="FM454" s="1305"/>
      <c r="FN454" s="1305"/>
      <c r="FO454" s="1305"/>
      <c r="FP454" s="1305"/>
      <c r="FQ454" s="1305"/>
      <c r="FR454" s="1305"/>
      <c r="FS454" s="1305"/>
      <c r="FT454" s="1305"/>
      <c r="FU454" s="1305"/>
      <c r="FV454" s="1305"/>
      <c r="FW454" s="1305"/>
      <c r="FX454" s="1305"/>
      <c r="FY454" s="1305"/>
      <c r="FZ454" s="1305"/>
      <c r="GA454" s="1305"/>
      <c r="GB454" s="1305"/>
      <c r="GC454" s="1305"/>
      <c r="GD454" s="1305"/>
      <c r="GE454" s="1305"/>
      <c r="GF454" s="1305"/>
      <c r="GG454" s="1305"/>
      <c r="GH454" s="1305"/>
      <c r="GI454" s="1305"/>
      <c r="GJ454" s="1305"/>
      <c r="GK454" s="1305"/>
      <c r="GL454" s="1305"/>
      <c r="GM454" s="1305"/>
      <c r="GN454" s="1305"/>
      <c r="GO454" s="1305"/>
      <c r="GP454" s="1305"/>
      <c r="GQ454" s="1305"/>
      <c r="GR454" s="1305"/>
      <c r="GS454" s="1305"/>
      <c r="GT454" s="1305"/>
      <c r="GU454" s="1305"/>
      <c r="GV454" s="1305"/>
      <c r="GW454" s="1305"/>
      <c r="GX454" s="1305"/>
      <c r="GY454" s="1305"/>
      <c r="GZ454" s="1305"/>
      <c r="HA454" s="1305"/>
      <c r="HB454" s="1305"/>
      <c r="HC454" s="1305"/>
      <c r="HD454" s="1305"/>
      <c r="HE454" s="1305"/>
      <c r="HF454" s="1305"/>
      <c r="HG454" s="1305"/>
      <c r="HH454" s="1305"/>
      <c r="HI454" s="1305"/>
      <c r="HJ454" s="1305"/>
      <c r="HK454" s="1305"/>
      <c r="HL454" s="1305"/>
      <c r="HM454" s="1305"/>
      <c r="HN454" s="1305"/>
      <c r="HO454" s="1305"/>
      <c r="HP454" s="1305"/>
      <c r="HQ454" s="1305"/>
      <c r="HR454" s="1305"/>
      <c r="HS454" s="1305"/>
      <c r="HT454" s="1305"/>
      <c r="HU454" s="1305"/>
      <c r="HV454" s="1305"/>
      <c r="HW454" s="1305"/>
      <c r="HX454" s="1305"/>
      <c r="HY454" s="1305"/>
      <c r="HZ454" s="1305"/>
      <c r="IA454" s="1305"/>
      <c r="IB454" s="1305"/>
      <c r="IC454" s="1305"/>
      <c r="ID454" s="1305"/>
      <c r="IE454" s="1305"/>
      <c r="IF454" s="1305"/>
      <c r="IG454" s="1305"/>
      <c r="IH454" s="1305"/>
      <c r="II454" s="1305"/>
    </row>
    <row r="455" spans="1:243" s="655" customFormat="1" ht="18" customHeight="1">
      <c r="A455" s="700"/>
      <c r="B455" s="700"/>
      <c r="C455" s="700"/>
      <c r="D455" s="700"/>
      <c r="E455" s="700"/>
      <c r="F455" s="700"/>
      <c r="G455" s="700"/>
      <c r="H455" s="700"/>
      <c r="I455" s="700"/>
      <c r="J455" s="700"/>
      <c r="K455" s="700"/>
      <c r="L455" s="700"/>
      <c r="M455" s="700"/>
      <c r="N455" s="700"/>
      <c r="O455" s="700"/>
      <c r="P455" s="700"/>
      <c r="Q455" s="700"/>
      <c r="R455" s="694"/>
      <c r="S455" s="694"/>
      <c r="T455" s="694"/>
      <c r="U455" s="694"/>
      <c r="V455" s="694"/>
      <c r="W455" s="694"/>
      <c r="X455" s="694"/>
      <c r="Y455" s="714"/>
      <c r="Z455" s="714"/>
      <c r="AA455" s="700"/>
      <c r="AB455" s="1753"/>
      <c r="AC455" s="754"/>
      <c r="AD455" s="754"/>
      <c r="AE455" s="754"/>
      <c r="AF455" s="755"/>
      <c r="AG455" s="755"/>
      <c r="AH455" s="724"/>
      <c r="AI455" s="3250"/>
      <c r="AJ455" s="3250"/>
      <c r="AK455" s="3250"/>
      <c r="AL455" s="3250"/>
      <c r="AM455" s="3111"/>
      <c r="AN455" s="3112"/>
      <c r="AO455" s="3113"/>
      <c r="AP455" s="732"/>
      <c r="AQ455" s="732"/>
      <c r="AR455" s="756"/>
      <c r="AS455" s="756"/>
      <c r="AT455" s="3111"/>
      <c r="AU455" s="3112"/>
      <c r="AV455" s="3113"/>
      <c r="AW455" s="757"/>
      <c r="AX455" s="757"/>
      <c r="AY455" s="757"/>
      <c r="AZ455" s="757"/>
      <c r="BA455" s="758"/>
      <c r="BB455" s="759"/>
      <c r="BC455" s="760"/>
      <c r="BD455" s="761"/>
      <c r="BE455" s="761"/>
      <c r="BF455" s="761"/>
      <c r="BG455" s="761"/>
      <c r="BH455" s="762"/>
      <c r="BI455" s="762"/>
      <c r="BJ455" s="763"/>
      <c r="BK455" s="763"/>
      <c r="BL455" s="763"/>
      <c r="BM455" s="763"/>
      <c r="BN455" s="764"/>
      <c r="BO455" s="765"/>
      <c r="BP455" s="766"/>
      <c r="BQ455" s="767"/>
      <c r="BR455" s="767"/>
      <c r="BS455" s="767"/>
      <c r="BT455" s="767"/>
      <c r="BU455" s="768"/>
      <c r="BV455" s="768"/>
      <c r="BW455" s="769"/>
      <c r="BX455" s="769"/>
      <c r="BY455" s="769"/>
      <c r="BZ455" s="769"/>
      <c r="CA455" s="770"/>
      <c r="CB455" s="771"/>
      <c r="CC455" s="759"/>
      <c r="CD455" s="760"/>
      <c r="CE455" s="761"/>
      <c r="CF455" s="761"/>
      <c r="CG455" s="761"/>
      <c r="CH455" s="761"/>
      <c r="CI455" s="762"/>
      <c r="CJ455" s="762"/>
      <c r="CK455" s="763"/>
      <c r="CL455" s="763"/>
      <c r="CM455" s="763"/>
      <c r="CN455" s="763"/>
      <c r="CO455" s="764"/>
      <c r="CP455" s="765"/>
      <c r="CQ455" s="766"/>
      <c r="CR455" s="767"/>
      <c r="CS455" s="767"/>
      <c r="CT455" s="767"/>
      <c r="CU455" s="767"/>
      <c r="CV455" s="768"/>
      <c r="CW455" s="768"/>
      <c r="CX455" s="769"/>
      <c r="CY455" s="769"/>
      <c r="CZ455" s="769"/>
      <c r="DA455" s="769"/>
      <c r="DB455" s="770"/>
      <c r="DC455" s="771"/>
      <c r="DD455" s="759"/>
      <c r="DE455" s="760"/>
      <c r="DF455" s="761"/>
      <c r="DG455" s="761"/>
      <c r="DH455" s="761"/>
      <c r="DI455" s="761"/>
      <c r="DJ455" s="762"/>
      <c r="DK455" s="762"/>
      <c r="DL455" s="763"/>
      <c r="DM455" s="763"/>
      <c r="DN455" s="763"/>
      <c r="DO455" s="763"/>
      <c r="DP455" s="764"/>
      <c r="DQ455" s="765"/>
      <c r="DR455" s="766"/>
      <c r="DS455" s="767"/>
      <c r="DT455" s="767"/>
      <c r="DU455" s="767"/>
      <c r="DV455" s="767"/>
      <c r="DW455" s="768"/>
      <c r="DX455" s="768"/>
      <c r="DY455" s="769"/>
      <c r="DZ455" s="769"/>
      <c r="EA455" s="769"/>
      <c r="EB455" s="769"/>
      <c r="EC455" s="770"/>
      <c r="ED455" s="771"/>
      <c r="EE455" s="700"/>
      <c r="EF455" s="760"/>
      <c r="EG455" s="761"/>
      <c r="EH455" s="761"/>
      <c r="EI455" s="761"/>
      <c r="EJ455" s="761"/>
      <c r="EK455" s="762"/>
      <c r="EL455" s="762"/>
      <c r="EM455" s="763"/>
      <c r="EN455" s="763"/>
      <c r="EO455" s="763"/>
      <c r="EP455" s="763"/>
      <c r="EQ455" s="764"/>
      <c r="ER455" s="765"/>
      <c r="ES455" s="766"/>
      <c r="ET455" s="767"/>
      <c r="EU455" s="767"/>
      <c r="EV455" s="767"/>
      <c r="EW455" s="767"/>
      <c r="EX455" s="768"/>
      <c r="EY455" s="768"/>
      <c r="EZ455" s="769"/>
      <c r="FA455" s="769"/>
      <c r="FB455" s="769"/>
      <c r="FC455" s="769"/>
      <c r="FD455" s="770"/>
      <c r="FE455" s="771"/>
      <c r="FF455" s="700"/>
      <c r="FG455" s="1305"/>
      <c r="FH455" s="1305"/>
      <c r="FI455" s="1305"/>
      <c r="FJ455" s="1305"/>
      <c r="FK455" s="1305"/>
      <c r="FL455" s="1305"/>
      <c r="FM455" s="1305"/>
      <c r="FN455" s="1305"/>
      <c r="FO455" s="1305"/>
      <c r="FP455" s="1305"/>
      <c r="FQ455" s="1305"/>
      <c r="FR455" s="1305"/>
      <c r="FS455" s="1305"/>
      <c r="FT455" s="1305"/>
      <c r="FU455" s="1305"/>
      <c r="FV455" s="1305"/>
      <c r="FW455" s="1305"/>
      <c r="FX455" s="1305"/>
      <c r="FY455" s="1305"/>
      <c r="FZ455" s="1305"/>
      <c r="GA455" s="1305"/>
      <c r="GB455" s="1305"/>
      <c r="GC455" s="1305"/>
      <c r="GD455" s="1305"/>
      <c r="GE455" s="1305"/>
      <c r="GF455" s="1305"/>
      <c r="GG455" s="1305"/>
      <c r="GH455" s="1305"/>
      <c r="GI455" s="1305"/>
      <c r="GJ455" s="1305"/>
      <c r="GK455" s="1305"/>
      <c r="GL455" s="1305"/>
      <c r="GM455" s="1305"/>
      <c r="GN455" s="1305"/>
      <c r="GO455" s="1305"/>
      <c r="GP455" s="1305"/>
      <c r="GQ455" s="1305"/>
      <c r="GR455" s="1305"/>
      <c r="GS455" s="1305"/>
      <c r="GT455" s="1305"/>
      <c r="GU455" s="1305"/>
      <c r="GV455" s="1305"/>
      <c r="GW455" s="1305"/>
      <c r="GX455" s="1305"/>
      <c r="GY455" s="1305"/>
      <c r="GZ455" s="1305"/>
      <c r="HA455" s="1305"/>
      <c r="HB455" s="1305"/>
      <c r="HC455" s="1305"/>
      <c r="HD455" s="1305"/>
      <c r="HE455" s="1305"/>
      <c r="HF455" s="1305"/>
      <c r="HG455" s="1305"/>
      <c r="HH455" s="1305"/>
      <c r="HI455" s="1305"/>
      <c r="HJ455" s="1305"/>
      <c r="HK455" s="1305"/>
      <c r="HL455" s="1305"/>
      <c r="HM455" s="1305"/>
      <c r="HN455" s="1305"/>
      <c r="HO455" s="1305"/>
      <c r="HP455" s="1305"/>
      <c r="HQ455" s="1305"/>
      <c r="HR455" s="1305"/>
      <c r="HS455" s="1305"/>
      <c r="HT455" s="1305"/>
      <c r="HU455" s="1305"/>
      <c r="HV455" s="1305"/>
      <c r="HW455" s="1305"/>
      <c r="HX455" s="1305"/>
      <c r="HY455" s="1305"/>
      <c r="HZ455" s="1305"/>
      <c r="IA455" s="1305"/>
      <c r="IB455" s="1305"/>
      <c r="IC455" s="1305"/>
      <c r="ID455" s="1305"/>
      <c r="IE455" s="1305"/>
      <c r="IF455" s="1305"/>
      <c r="IG455" s="1305"/>
      <c r="IH455" s="1305"/>
      <c r="II455" s="1305"/>
    </row>
    <row r="456" spans="1:243" s="655" customFormat="1" ht="20.25" customHeight="1">
      <c r="A456" s="700"/>
      <c r="B456" s="700"/>
      <c r="C456" s="700"/>
      <c r="D456" s="700"/>
      <c r="E456" s="700"/>
      <c r="F456" s="700"/>
      <c r="G456" s="700"/>
      <c r="H456" s="700"/>
      <c r="I456" s="700"/>
      <c r="J456" s="700"/>
      <c r="K456" s="700"/>
      <c r="L456" s="700"/>
      <c r="M456" s="700"/>
      <c r="N456" s="700"/>
      <c r="O456" s="700"/>
      <c r="P456" s="700"/>
      <c r="Q456" s="700"/>
      <c r="R456" s="694"/>
      <c r="S456" s="694"/>
      <c r="T456" s="694"/>
      <c r="U456" s="694"/>
      <c r="V456" s="694"/>
      <c r="W456" s="694"/>
      <c r="X456" s="694"/>
      <c r="Y456" s="714"/>
      <c r="Z456" s="714"/>
      <c r="AA456" s="700"/>
      <c r="AB456" s="1018"/>
      <c r="AC456" s="1019"/>
      <c r="AD456" s="1020"/>
      <c r="AE456" s="1020"/>
      <c r="AF456" s="1021"/>
      <c r="AG456" s="1021"/>
      <c r="AH456" s="1021"/>
      <c r="AI456" s="1021"/>
      <c r="AJ456" s="1021"/>
      <c r="AK456" s="1021"/>
      <c r="AL456" s="1021"/>
      <c r="AM456" s="1021"/>
      <c r="AN456" s="1021"/>
      <c r="AO456" s="1022"/>
      <c r="AP456" s="1023"/>
      <c r="AQ456" s="1024"/>
      <c r="AR456" s="1024"/>
      <c r="AS456" s="1024"/>
      <c r="AT456" s="1024"/>
      <c r="AU456" s="1024"/>
      <c r="AV456" s="1024"/>
      <c r="AW456" s="1025"/>
      <c r="AX456" s="1025"/>
      <c r="AY456" s="1026"/>
      <c r="AZ456" s="1026"/>
      <c r="BA456" s="1027"/>
      <c r="BB456" s="773"/>
      <c r="BC456" s="3132" t="s">
        <v>405</v>
      </c>
      <c r="BD456" s="3133"/>
      <c r="BE456" s="3133"/>
      <c r="BF456" s="3133"/>
      <c r="BG456" s="3133"/>
      <c r="BH456" s="3133"/>
      <c r="BI456" s="3133"/>
      <c r="BJ456" s="774"/>
      <c r="BK456" s="774"/>
      <c r="BL456" s="775"/>
      <c r="BM456" s="775"/>
      <c r="BN456" s="775"/>
      <c r="BO456" s="775"/>
      <c r="BP456" s="776"/>
      <c r="BQ456" s="777"/>
      <c r="BR456" s="778"/>
      <c r="BS456" s="778"/>
      <c r="BT456" s="779"/>
      <c r="BU456" s="780"/>
      <c r="BV456" s="781"/>
      <c r="BW456" s="782"/>
      <c r="BX456" s="783"/>
      <c r="BY456" s="784"/>
      <c r="BZ456" s="780"/>
      <c r="CA456" s="781"/>
      <c r="CB456" s="785"/>
      <c r="CC456" s="773"/>
      <c r="CD456" s="3132" t="s">
        <v>405</v>
      </c>
      <c r="CE456" s="3133"/>
      <c r="CF456" s="3133"/>
      <c r="CG456" s="3133"/>
      <c r="CH456" s="3133"/>
      <c r="CI456" s="3133"/>
      <c r="CJ456" s="3133"/>
      <c r="CK456" s="774"/>
      <c r="CL456" s="774"/>
      <c r="CM456" s="775"/>
      <c r="CN456" s="775"/>
      <c r="CO456" s="775"/>
      <c r="CP456" s="775"/>
      <c r="CQ456" s="776"/>
      <c r="CR456" s="777"/>
      <c r="CS456" s="778"/>
      <c r="CT456" s="778"/>
      <c r="CU456" s="779"/>
      <c r="CV456" s="780"/>
      <c r="CW456" s="781"/>
      <c r="CX456" s="781"/>
      <c r="CY456" s="778"/>
      <c r="CZ456" s="784"/>
      <c r="DA456" s="780"/>
      <c r="DB456" s="781"/>
      <c r="DC456" s="785"/>
      <c r="DD456" s="773"/>
      <c r="DE456" s="3132" t="s">
        <v>405</v>
      </c>
      <c r="DF456" s="3133"/>
      <c r="DG456" s="3133"/>
      <c r="DH456" s="3133"/>
      <c r="DI456" s="3133"/>
      <c r="DJ456" s="3133"/>
      <c r="DK456" s="3133"/>
      <c r="DL456" s="774"/>
      <c r="DM456" s="774"/>
      <c r="DN456" s="775"/>
      <c r="DO456" s="775"/>
      <c r="DP456" s="775"/>
      <c r="DQ456" s="775"/>
      <c r="DR456" s="776"/>
      <c r="DS456" s="777"/>
      <c r="DT456" s="778"/>
      <c r="DU456" s="778"/>
      <c r="DV456" s="779"/>
      <c r="DW456" s="780"/>
      <c r="DX456" s="781"/>
      <c r="DY456" s="781"/>
      <c r="DZ456" s="778"/>
      <c r="EA456" s="784"/>
      <c r="EB456" s="780"/>
      <c r="EC456" s="781"/>
      <c r="ED456" s="785"/>
      <c r="EE456" s="700"/>
      <c r="EF456" s="3132" t="s">
        <v>405</v>
      </c>
      <c r="EG456" s="3133"/>
      <c r="EH456" s="3133"/>
      <c r="EI456" s="3133"/>
      <c r="EJ456" s="3133"/>
      <c r="EK456" s="3133"/>
      <c r="EL456" s="3133"/>
      <c r="EM456" s="774"/>
      <c r="EN456" s="774"/>
      <c r="EO456" s="775"/>
      <c r="EP456" s="775"/>
      <c r="EQ456" s="775"/>
      <c r="ER456" s="775"/>
      <c r="ES456" s="776"/>
      <c r="ET456" s="777"/>
      <c r="EU456" s="778"/>
      <c r="EV456" s="778"/>
      <c r="EW456" s="779"/>
      <c r="EX456" s="780"/>
      <c r="EY456" s="781"/>
      <c r="EZ456" s="781"/>
      <c r="FA456" s="778"/>
      <c r="FB456" s="784"/>
      <c r="FC456" s="780"/>
      <c r="FD456" s="781"/>
      <c r="FE456" s="785"/>
      <c r="FF456" s="700"/>
      <c r="FG456" s="1305"/>
      <c r="FH456" s="1305"/>
      <c r="FI456" s="1305"/>
      <c r="FJ456" s="1305"/>
      <c r="FK456" s="1305"/>
      <c r="FL456" s="1305"/>
      <c r="FM456" s="1305"/>
      <c r="FN456" s="1305"/>
      <c r="FO456" s="1305"/>
      <c r="FP456" s="1305"/>
      <c r="FQ456" s="1305"/>
      <c r="FR456" s="1305"/>
      <c r="FS456" s="1305"/>
      <c r="FT456" s="1305"/>
      <c r="FU456" s="1305"/>
      <c r="FV456" s="1305"/>
      <c r="FW456" s="1305"/>
      <c r="FX456" s="1305"/>
      <c r="FY456" s="1305"/>
      <c r="FZ456" s="1305"/>
      <c r="GA456" s="1305"/>
      <c r="GB456" s="1305"/>
      <c r="GC456" s="1305"/>
      <c r="GD456" s="1305"/>
      <c r="GE456" s="1305"/>
      <c r="GF456" s="1305"/>
      <c r="GG456" s="1305"/>
      <c r="GH456" s="1305"/>
      <c r="GI456" s="1305"/>
      <c r="GJ456" s="1305"/>
      <c r="GK456" s="1305"/>
      <c r="GL456" s="1305"/>
      <c r="GM456" s="1305"/>
      <c r="GN456" s="1305"/>
      <c r="GO456" s="1305"/>
      <c r="GP456" s="1305"/>
      <c r="GQ456" s="1305"/>
      <c r="GR456" s="1305"/>
      <c r="GS456" s="1305"/>
      <c r="GT456" s="1305"/>
      <c r="GU456" s="1305"/>
      <c r="GV456" s="1305"/>
      <c r="GW456" s="1305"/>
      <c r="GX456" s="1305"/>
      <c r="GY456" s="1305"/>
      <c r="GZ456" s="1305"/>
      <c r="HA456" s="1305"/>
      <c r="HB456" s="1305"/>
      <c r="HC456" s="1305"/>
      <c r="HD456" s="1305"/>
      <c r="HE456" s="1305"/>
      <c r="HF456" s="1305"/>
      <c r="HG456" s="1305"/>
      <c r="HH456" s="1305"/>
      <c r="HI456" s="1305"/>
      <c r="HJ456" s="1305"/>
      <c r="HK456" s="1305"/>
      <c r="HL456" s="1305"/>
      <c r="HM456" s="1305"/>
      <c r="HN456" s="1305"/>
      <c r="HO456" s="1305"/>
      <c r="HP456" s="1305"/>
      <c r="HQ456" s="1305"/>
      <c r="HR456" s="1305"/>
      <c r="HS456" s="1305"/>
      <c r="HT456" s="1305"/>
      <c r="HU456" s="1305"/>
      <c r="HV456" s="1305"/>
      <c r="HW456" s="1305"/>
      <c r="HX456" s="1305"/>
      <c r="HY456" s="1305"/>
      <c r="HZ456" s="1305"/>
      <c r="IA456" s="1305"/>
      <c r="IB456" s="1305"/>
      <c r="IC456" s="1305"/>
      <c r="ID456" s="1305"/>
      <c r="IE456" s="1305"/>
      <c r="IF456" s="1305"/>
      <c r="IG456" s="1305"/>
      <c r="IH456" s="1305"/>
      <c r="II456" s="1305"/>
    </row>
    <row r="457" spans="1:243" s="655" customFormat="1" ht="18" customHeight="1">
      <c r="A457" s="700"/>
      <c r="B457" s="700"/>
      <c r="C457" s="700"/>
      <c r="D457" s="700"/>
      <c r="E457" s="700"/>
      <c r="F457" s="700"/>
      <c r="G457" s="700"/>
      <c r="H457" s="700"/>
      <c r="I457" s="700"/>
      <c r="J457" s="700"/>
      <c r="K457" s="700"/>
      <c r="L457" s="700"/>
      <c r="M457" s="700"/>
      <c r="N457" s="700"/>
      <c r="O457" s="700"/>
      <c r="P457" s="700"/>
      <c r="Q457" s="700"/>
      <c r="R457" s="700"/>
      <c r="S457" s="700"/>
      <c r="T457" s="700"/>
      <c r="U457" s="700"/>
      <c r="V457" s="700"/>
      <c r="W457" s="700"/>
      <c r="X457" s="700"/>
      <c r="Y457" s="700"/>
      <c r="Z457" s="700"/>
      <c r="AA457" s="700"/>
      <c r="AB457" s="1028"/>
      <c r="AC457" s="1029"/>
      <c r="AD457" s="1029"/>
      <c r="AE457" s="1029"/>
      <c r="AF457" s="1029"/>
      <c r="AG457" s="3289"/>
      <c r="AH457" s="3289"/>
      <c r="AI457" s="3290"/>
      <c r="AJ457" s="3290"/>
      <c r="AK457" s="3288"/>
      <c r="AL457" s="3288"/>
      <c r="AM457" s="1025"/>
      <c r="AN457" s="1021"/>
      <c r="AO457" s="1022"/>
      <c r="AP457" s="1029"/>
      <c r="AQ457" s="1029"/>
      <c r="AR457" s="1029"/>
      <c r="AS457" s="1029"/>
      <c r="AT457" s="3289"/>
      <c r="AU457" s="3289"/>
      <c r="AV457" s="3290"/>
      <c r="AW457" s="3290"/>
      <c r="AX457" s="3288"/>
      <c r="AY457" s="3288"/>
      <c r="AZ457" s="1025"/>
      <c r="BA457" s="1030"/>
      <c r="BB457" s="624"/>
      <c r="BC457" s="788"/>
      <c r="BD457" s="754"/>
      <c r="BE457" s="754"/>
      <c r="BF457" s="727"/>
      <c r="BG457" s="727"/>
      <c r="BH457" s="3118" t="s">
        <v>77</v>
      </c>
      <c r="BI457" s="3119"/>
      <c r="BJ457" s="3102">
        <v>94</v>
      </c>
      <c r="BK457" s="3103"/>
      <c r="BL457" s="772" t="s">
        <v>414</v>
      </c>
      <c r="BM457" s="772"/>
      <c r="BN457" s="3118" t="s">
        <v>78</v>
      </c>
      <c r="BO457" s="3119"/>
      <c r="BP457" s="3102">
        <v>74</v>
      </c>
      <c r="BQ457" s="3103"/>
      <c r="BR457" s="740" t="s">
        <v>414</v>
      </c>
      <c r="BS457" s="750"/>
      <c r="BT457" s="3117" t="str">
        <f>IF(AQ6="Wind Chill","0800L:","")</f>
        <v/>
      </c>
      <c r="BU457" s="3117"/>
      <c r="BV457" s="3117"/>
      <c r="BW457" s="3269"/>
      <c r="BX457" s="3103"/>
      <c r="BY457" s="740" t="str">
        <f>IF(AY4="Wind Chill","F","")</f>
        <v/>
      </c>
      <c r="BZ457" s="787"/>
      <c r="CA457" s="787"/>
      <c r="CB457" s="789"/>
      <c r="CC457" s="624"/>
      <c r="CD457" s="788"/>
      <c r="CE457" s="754"/>
      <c r="CF457" s="754"/>
      <c r="CG457" s="727"/>
      <c r="CH457" s="727"/>
      <c r="CI457" s="3118" t="s">
        <v>77</v>
      </c>
      <c r="CJ457" s="3119"/>
      <c r="CK457" s="3102">
        <v>91</v>
      </c>
      <c r="CL457" s="3103"/>
      <c r="CM457" s="772" t="s">
        <v>414</v>
      </c>
      <c r="CN457" s="772"/>
      <c r="CO457" s="3118" t="s">
        <v>78</v>
      </c>
      <c r="CP457" s="3119"/>
      <c r="CQ457" s="3102">
        <v>74</v>
      </c>
      <c r="CR457" s="3103"/>
      <c r="CS457" s="740" t="s">
        <v>414</v>
      </c>
      <c r="CT457" s="750"/>
      <c r="CU457" s="3117" t="str">
        <f>IF(AQ6="Wind Chill","0800L:","")</f>
        <v/>
      </c>
      <c r="CV457" s="3117"/>
      <c r="CW457" s="3117"/>
      <c r="CX457" s="3102"/>
      <c r="CY457" s="3103"/>
      <c r="CZ457" s="740" t="str">
        <f>IF(AY4="Wind Chill","F","")</f>
        <v/>
      </c>
      <c r="DA457" s="787"/>
      <c r="DB457" s="787"/>
      <c r="DC457" s="789"/>
      <c r="DD457" s="624"/>
      <c r="DE457" s="788"/>
      <c r="DF457" s="754"/>
      <c r="DG457" s="754"/>
      <c r="DH457" s="727"/>
      <c r="DI457" s="727"/>
      <c r="DJ457" s="3118" t="s">
        <v>77</v>
      </c>
      <c r="DK457" s="3119"/>
      <c r="DL457" s="3102">
        <v>83</v>
      </c>
      <c r="DM457" s="3103"/>
      <c r="DN457" s="772" t="s">
        <v>414</v>
      </c>
      <c r="DO457" s="772"/>
      <c r="DP457" s="3118" t="s">
        <v>78</v>
      </c>
      <c r="DQ457" s="3119"/>
      <c r="DR457" s="3102">
        <v>69</v>
      </c>
      <c r="DS457" s="3103"/>
      <c r="DT457" s="740" t="s">
        <v>414</v>
      </c>
      <c r="DU457" s="750"/>
      <c r="DV457" s="3117" t="str">
        <f>IF(AQ6="Wind Chill","0800L:","")</f>
        <v/>
      </c>
      <c r="DW457" s="3117"/>
      <c r="DX457" s="3117"/>
      <c r="DY457" s="3102"/>
      <c r="DZ457" s="3103"/>
      <c r="EA457" s="740" t="str">
        <f>IF(AY4="Wind Chill","F","")</f>
        <v/>
      </c>
      <c r="EB457" s="787"/>
      <c r="EC457" s="787"/>
      <c r="ED457" s="789"/>
      <c r="EE457" s="700"/>
      <c r="EF457" s="788"/>
      <c r="EG457" s="754"/>
      <c r="EH457" s="754"/>
      <c r="EI457" s="727"/>
      <c r="EJ457" s="727"/>
      <c r="EK457" s="3118" t="s">
        <v>77</v>
      </c>
      <c r="EL457" s="3119"/>
      <c r="EM457" s="3102">
        <v>86</v>
      </c>
      <c r="EN457" s="3103"/>
      <c r="EO457" s="772" t="s">
        <v>414</v>
      </c>
      <c r="EP457" s="772"/>
      <c r="EQ457" s="3118" t="s">
        <v>78</v>
      </c>
      <c r="ER457" s="3119"/>
      <c r="ES457" s="3102">
        <v>62</v>
      </c>
      <c r="ET457" s="3103"/>
      <c r="EU457" s="740" t="s">
        <v>414</v>
      </c>
      <c r="EV457" s="750"/>
      <c r="EW457" s="3117" t="str">
        <f>IF(AQ6="Wind Chill","0800L:","")</f>
        <v/>
      </c>
      <c r="EX457" s="3117"/>
      <c r="EY457" s="3117"/>
      <c r="EZ457" s="3102"/>
      <c r="FA457" s="3103"/>
      <c r="FB457" s="740" t="str">
        <f>IF(AY4="Wind Chill","F","")</f>
        <v/>
      </c>
      <c r="FC457" s="787"/>
      <c r="FD457" s="787"/>
      <c r="FE457" s="789"/>
      <c r="FF457" s="700"/>
      <c r="FG457" s="1305"/>
      <c r="FH457" s="1305"/>
      <c r="FI457" s="1305"/>
      <c r="FJ457" s="1305"/>
      <c r="FK457" s="1305"/>
      <c r="FL457" s="1305"/>
      <c r="FM457" s="1305"/>
      <c r="FN457" s="1305"/>
      <c r="FO457" s="1305"/>
      <c r="FP457" s="1305"/>
      <c r="FQ457" s="1305"/>
      <c r="FR457" s="1305"/>
      <c r="FS457" s="1305"/>
      <c r="FT457" s="1305"/>
      <c r="FU457" s="1305"/>
      <c r="FV457" s="1305"/>
      <c r="FW457" s="1305"/>
      <c r="FX457" s="1305"/>
      <c r="FY457" s="1305"/>
      <c r="FZ457" s="1305"/>
      <c r="GA457" s="1305"/>
      <c r="GB457" s="1305"/>
      <c r="GC457" s="1305"/>
      <c r="GD457" s="1305"/>
      <c r="GE457" s="1305"/>
      <c r="GF457" s="1305"/>
      <c r="GG457" s="1305"/>
      <c r="GH457" s="1305"/>
      <c r="GI457" s="1305"/>
      <c r="GJ457" s="1305"/>
      <c r="GK457" s="1305"/>
      <c r="GL457" s="1305"/>
      <c r="GM457" s="1305"/>
      <c r="GN457" s="1305"/>
      <c r="GO457" s="1305"/>
      <c r="GP457" s="1305"/>
      <c r="GQ457" s="1305"/>
      <c r="GR457" s="1305"/>
      <c r="GS457" s="1305"/>
      <c r="GT457" s="1305"/>
      <c r="GU457" s="1305"/>
      <c r="GV457" s="1305"/>
      <c r="GW457" s="1305"/>
      <c r="GX457" s="1305"/>
      <c r="GY457" s="1305"/>
      <c r="GZ457" s="1305"/>
      <c r="HA457" s="1305"/>
      <c r="HB457" s="1305"/>
      <c r="HC457" s="1305"/>
      <c r="HD457" s="1305"/>
      <c r="HE457" s="1305"/>
      <c r="HF457" s="1305"/>
      <c r="HG457" s="1305"/>
      <c r="HH457" s="1305"/>
      <c r="HI457" s="1305"/>
      <c r="HJ457" s="1305"/>
      <c r="HK457" s="1305"/>
      <c r="HL457" s="1305"/>
      <c r="HM457" s="1305"/>
      <c r="HN457" s="1305"/>
      <c r="HO457" s="1305"/>
      <c r="HP457" s="1305"/>
      <c r="HQ457" s="1305"/>
      <c r="HR457" s="1305"/>
      <c r="HS457" s="1305"/>
      <c r="HT457" s="1305"/>
      <c r="HU457" s="1305"/>
      <c r="HV457" s="1305"/>
      <c r="HW457" s="1305"/>
      <c r="HX457" s="1305"/>
      <c r="HY457" s="1305"/>
      <c r="HZ457" s="1305"/>
      <c r="IA457" s="1305"/>
      <c r="IB457" s="1305"/>
      <c r="IC457" s="1305"/>
      <c r="ID457" s="1305"/>
      <c r="IE457" s="1305"/>
      <c r="IF457" s="1305"/>
      <c r="IG457" s="1305"/>
      <c r="IH457" s="1305"/>
      <c r="II457" s="1305"/>
    </row>
    <row r="458" spans="1:243" s="655" customFormat="1" ht="18" customHeight="1">
      <c r="A458" s="700"/>
      <c r="B458" s="700"/>
      <c r="C458" s="700"/>
      <c r="D458" s="700"/>
      <c r="E458" s="700"/>
      <c r="F458" s="700"/>
      <c r="G458" s="700"/>
      <c r="H458" s="700"/>
      <c r="I458" s="700"/>
      <c r="J458" s="700"/>
      <c r="K458" s="700"/>
      <c r="L458" s="700"/>
      <c r="M458" s="700"/>
      <c r="N458" s="700"/>
      <c r="O458" s="700"/>
      <c r="P458" s="700"/>
      <c r="Q458" s="700"/>
      <c r="R458" s="700"/>
      <c r="S458" s="700"/>
      <c r="T458" s="700"/>
      <c r="U458" s="700"/>
      <c r="V458" s="700"/>
      <c r="W458" s="700"/>
      <c r="X458" s="700"/>
      <c r="Y458" s="700"/>
      <c r="Z458" s="700"/>
      <c r="AA458" s="700"/>
      <c r="AB458" s="1753"/>
      <c r="AC458" s="3099"/>
      <c r="AD458" s="3099"/>
      <c r="AE458" s="3099"/>
      <c r="AF458" s="3099"/>
      <c r="AG458" s="3249"/>
      <c r="AH458" s="3249"/>
      <c r="AI458" s="3534"/>
      <c r="AJ458" s="3534"/>
      <c r="AK458" s="3291"/>
      <c r="AL458" s="3291"/>
      <c r="AM458" s="1014"/>
      <c r="AN458" s="786"/>
      <c r="AO458" s="786"/>
      <c r="AP458" s="3099"/>
      <c r="AQ458" s="3099"/>
      <c r="AR458" s="3099"/>
      <c r="AS458" s="3099"/>
      <c r="AT458" s="3249"/>
      <c r="AU458" s="3249"/>
      <c r="AV458" s="3534"/>
      <c r="AW458" s="3534"/>
      <c r="AX458" s="3291"/>
      <c r="AY458" s="3291"/>
      <c r="AZ458" s="1014"/>
      <c r="BA458" s="790"/>
      <c r="BB458" s="791"/>
      <c r="BC458" s="3108" t="s">
        <v>426</v>
      </c>
      <c r="BD458" s="3109"/>
      <c r="BE458" s="3109"/>
      <c r="BF458" s="3109"/>
      <c r="BG458" s="3109"/>
      <c r="BH458" s="3109"/>
      <c r="BI458" s="3110"/>
      <c r="BJ458" s="3111"/>
      <c r="BK458" s="3112"/>
      <c r="BL458" s="3113"/>
      <c r="BM458" s="732"/>
      <c r="BN458" s="750"/>
      <c r="BO458" s="732"/>
      <c r="BP458" s="3111"/>
      <c r="BQ458" s="3112"/>
      <c r="BR458" s="3113"/>
      <c r="BS458" s="750"/>
      <c r="BT458" s="786"/>
      <c r="BU458" s="786"/>
      <c r="BV458" s="787"/>
      <c r="BW458" s="787"/>
      <c r="BX458" s="787"/>
      <c r="BY458" s="787"/>
      <c r="BZ458" s="787"/>
      <c r="CA458" s="787"/>
      <c r="CB458" s="789"/>
      <c r="CC458" s="791"/>
      <c r="CD458" s="3108" t="s">
        <v>426</v>
      </c>
      <c r="CE458" s="3109"/>
      <c r="CF458" s="3109"/>
      <c r="CG458" s="3109"/>
      <c r="CH458" s="3109"/>
      <c r="CI458" s="3109"/>
      <c r="CJ458" s="3110"/>
      <c r="CK458" s="3114"/>
      <c r="CL458" s="3115"/>
      <c r="CM458" s="3116"/>
      <c r="CN458" s="732"/>
      <c r="CO458" s="750"/>
      <c r="CP458" s="732"/>
      <c r="CQ458" s="3111"/>
      <c r="CR458" s="3112"/>
      <c r="CS458" s="3113"/>
      <c r="CT458" s="750"/>
      <c r="CU458" s="786"/>
      <c r="CV458" s="786"/>
      <c r="CW458" s="787"/>
      <c r="CX458" s="787"/>
      <c r="CY458" s="787"/>
      <c r="CZ458" s="787"/>
      <c r="DA458" s="787"/>
      <c r="DB458" s="787"/>
      <c r="DC458" s="789"/>
      <c r="DD458" s="791"/>
      <c r="DE458" s="3108" t="s">
        <v>426</v>
      </c>
      <c r="DF458" s="3109"/>
      <c r="DG458" s="3109"/>
      <c r="DH458" s="3109"/>
      <c r="DI458" s="3109"/>
      <c r="DJ458" s="3109"/>
      <c r="DK458" s="3110"/>
      <c r="DL458" s="3114"/>
      <c r="DM458" s="3115"/>
      <c r="DN458" s="3116"/>
      <c r="DO458" s="732"/>
      <c r="DP458" s="750"/>
      <c r="DQ458" s="732"/>
      <c r="DR458" s="3111"/>
      <c r="DS458" s="3112"/>
      <c r="DT458" s="3113"/>
      <c r="DU458" s="750"/>
      <c r="DV458" s="786"/>
      <c r="DW458" s="786"/>
      <c r="DX458" s="787"/>
      <c r="DY458" s="787"/>
      <c r="DZ458" s="787"/>
      <c r="EA458" s="787"/>
      <c r="EB458" s="787"/>
      <c r="EC458" s="787"/>
      <c r="ED458" s="789"/>
      <c r="EE458" s="700"/>
      <c r="EF458" s="3108" t="s">
        <v>426</v>
      </c>
      <c r="EG458" s="3109"/>
      <c r="EH458" s="3109"/>
      <c r="EI458" s="3109"/>
      <c r="EJ458" s="3109"/>
      <c r="EK458" s="3109"/>
      <c r="EL458" s="3110"/>
      <c r="EM458" s="3114"/>
      <c r="EN458" s="3115"/>
      <c r="EO458" s="3116"/>
      <c r="EP458" s="732"/>
      <c r="EQ458" s="750"/>
      <c r="ER458" s="732"/>
      <c r="ES458" s="3111"/>
      <c r="ET458" s="3112"/>
      <c r="EU458" s="3113"/>
      <c r="EV458" s="750"/>
      <c r="EW458" s="786"/>
      <c r="EX458" s="786"/>
      <c r="EY458" s="787"/>
      <c r="EZ458" s="787"/>
      <c r="FA458" s="787"/>
      <c r="FB458" s="787"/>
      <c r="FC458" s="787"/>
      <c r="FD458" s="787"/>
      <c r="FE458" s="789"/>
      <c r="FF458" s="700"/>
      <c r="FG458" s="1305"/>
      <c r="FH458" s="1305"/>
      <c r="FI458" s="1305"/>
      <c r="FJ458" s="1305"/>
      <c r="FK458" s="1305"/>
      <c r="FL458" s="1305"/>
      <c r="FM458" s="1305"/>
      <c r="FN458" s="1305"/>
      <c r="FO458" s="1305"/>
      <c r="FP458" s="1305"/>
      <c r="FQ458" s="1305"/>
      <c r="FR458" s="1305"/>
      <c r="FS458" s="1305"/>
      <c r="FT458" s="1305"/>
      <c r="FU458" s="1305"/>
      <c r="FV458" s="1305"/>
      <c r="FW458" s="1305"/>
      <c r="FX458" s="1305"/>
      <c r="FY458" s="1305"/>
      <c r="FZ458" s="1305"/>
      <c r="GA458" s="1305"/>
      <c r="GB458" s="1305"/>
      <c r="GC458" s="1305"/>
      <c r="GD458" s="1305"/>
      <c r="GE458" s="1305"/>
      <c r="GF458" s="1305"/>
      <c r="GG458" s="1305"/>
      <c r="GH458" s="1305"/>
      <c r="GI458" s="1305"/>
      <c r="GJ458" s="1305"/>
      <c r="GK458" s="1305"/>
      <c r="GL458" s="1305"/>
      <c r="GM458" s="1305"/>
      <c r="GN458" s="1305"/>
      <c r="GO458" s="1305"/>
      <c r="GP458" s="1305"/>
      <c r="GQ458" s="1305"/>
      <c r="GR458" s="1305"/>
      <c r="GS458" s="1305"/>
      <c r="GT458" s="1305"/>
      <c r="GU458" s="1305"/>
      <c r="GV458" s="1305"/>
      <c r="GW458" s="1305"/>
      <c r="GX458" s="1305"/>
      <c r="GY458" s="1305"/>
      <c r="GZ458" s="1305"/>
      <c r="HA458" s="1305"/>
      <c r="HB458" s="1305"/>
      <c r="HC458" s="1305"/>
      <c r="HD458" s="1305"/>
      <c r="HE458" s="1305"/>
      <c r="HF458" s="1305"/>
      <c r="HG458" s="1305"/>
      <c r="HH458" s="1305"/>
      <c r="HI458" s="1305"/>
      <c r="HJ458" s="1305"/>
      <c r="HK458" s="1305"/>
      <c r="HL458" s="1305"/>
      <c r="HM458" s="1305"/>
      <c r="HN458" s="1305"/>
      <c r="HO458" s="1305"/>
      <c r="HP458" s="1305"/>
      <c r="HQ458" s="1305"/>
      <c r="HR458" s="1305"/>
      <c r="HS458" s="1305"/>
      <c r="HT458" s="1305"/>
      <c r="HU458" s="1305"/>
      <c r="HV458" s="1305"/>
      <c r="HW458" s="1305"/>
      <c r="HX458" s="1305"/>
      <c r="HY458" s="1305"/>
      <c r="HZ458" s="1305"/>
      <c r="IA458" s="1305"/>
      <c r="IB458" s="1305"/>
      <c r="IC458" s="1305"/>
      <c r="ID458" s="1305"/>
      <c r="IE458" s="1305"/>
      <c r="IF458" s="1305"/>
      <c r="IG458" s="1305"/>
      <c r="IH458" s="1305"/>
      <c r="II458" s="1305"/>
    </row>
    <row r="459" spans="1:243" s="655" customFormat="1" ht="18">
      <c r="A459" s="700"/>
      <c r="B459" s="700"/>
      <c r="C459" s="700"/>
      <c r="D459" s="700"/>
      <c r="E459" s="700"/>
      <c r="F459" s="700"/>
      <c r="G459" s="700"/>
      <c r="H459" s="700"/>
      <c r="I459" s="700"/>
      <c r="J459" s="700"/>
      <c r="K459" s="700"/>
      <c r="L459" s="700"/>
      <c r="M459" s="700"/>
      <c r="N459" s="700"/>
      <c r="O459" s="700"/>
      <c r="P459" s="700"/>
      <c r="Q459" s="700"/>
      <c r="R459" s="694"/>
      <c r="S459" s="694"/>
      <c r="T459" s="694"/>
      <c r="U459" s="694"/>
      <c r="V459" s="694"/>
      <c r="W459" s="694"/>
      <c r="X459" s="694"/>
      <c r="Y459" s="714"/>
      <c r="Z459" s="714"/>
      <c r="AA459" s="700"/>
      <c r="AB459" s="792" t="s">
        <v>427</v>
      </c>
      <c r="AC459" s="793"/>
      <c r="AD459" s="794"/>
      <c r="AE459" s="794"/>
      <c r="AF459" s="795"/>
      <c r="AG459" s="795"/>
      <c r="AH459" s="795"/>
      <c r="AI459" s="795"/>
      <c r="AJ459" s="795"/>
      <c r="AK459" s="795"/>
      <c r="AL459" s="795"/>
      <c r="AM459" s="795"/>
      <c r="AN459" s="795"/>
      <c r="AO459" s="796" t="s">
        <v>428</v>
      </c>
      <c r="AP459" s="797"/>
      <c r="AQ459" s="798"/>
      <c r="AR459" s="798"/>
      <c r="AS459" s="798"/>
      <c r="AT459" s="798"/>
      <c r="AU459" s="798"/>
      <c r="AV459" s="798"/>
      <c r="AW459" s="799"/>
      <c r="AX459" s="799"/>
      <c r="AY459" s="800"/>
      <c r="AZ459" s="800"/>
      <c r="BA459" s="801"/>
      <c r="BB459" s="802"/>
      <c r="BC459" s="803"/>
      <c r="BD459" s="798"/>
      <c r="BE459" s="798"/>
      <c r="BF459" s="804"/>
      <c r="BG459" s="804"/>
      <c r="BH459" s="804"/>
      <c r="BI459" s="804"/>
      <c r="BJ459" s="799"/>
      <c r="BK459" s="799"/>
      <c r="BL459" s="800"/>
      <c r="BM459" s="800"/>
      <c r="BN459" s="800"/>
      <c r="BO459" s="800"/>
      <c r="BP459" s="800"/>
      <c r="BQ459" s="800"/>
      <c r="BR459" s="799"/>
      <c r="BS459" s="799"/>
      <c r="BT459" s="795"/>
      <c r="BU459" s="795"/>
      <c r="BV459" s="805"/>
      <c r="BW459" s="805"/>
      <c r="BX459" s="805"/>
      <c r="BY459" s="806"/>
      <c r="BZ459" s="805"/>
      <c r="CA459" s="805"/>
      <c r="CB459" s="807"/>
      <c r="CC459" s="802"/>
      <c r="CD459" s="803"/>
      <c r="CE459" s="798"/>
      <c r="CF459" s="798"/>
      <c r="CG459" s="804"/>
      <c r="CH459" s="804"/>
      <c r="CI459" s="804"/>
      <c r="CJ459" s="804"/>
      <c r="CK459" s="799"/>
      <c r="CL459" s="799"/>
      <c r="CM459" s="800"/>
      <c r="CN459" s="800"/>
      <c r="CO459" s="800"/>
      <c r="CP459" s="800"/>
      <c r="CQ459" s="800"/>
      <c r="CR459" s="800"/>
      <c r="CS459" s="799"/>
      <c r="CT459" s="799"/>
      <c r="CU459" s="795"/>
      <c r="CV459" s="795"/>
      <c r="CW459" s="805"/>
      <c r="CX459" s="805"/>
      <c r="CY459" s="805"/>
      <c r="CZ459" s="806"/>
      <c r="DA459" s="805"/>
      <c r="DB459" s="805"/>
      <c r="DC459" s="807"/>
      <c r="DD459" s="802"/>
      <c r="DE459" s="803"/>
      <c r="DF459" s="798"/>
      <c r="DG459" s="798"/>
      <c r="DH459" s="804"/>
      <c r="DI459" s="804"/>
      <c r="DJ459" s="804"/>
      <c r="DK459" s="804"/>
      <c r="DL459" s="799"/>
      <c r="DM459" s="799"/>
      <c r="DN459" s="800"/>
      <c r="DO459" s="800"/>
      <c r="DP459" s="800"/>
      <c r="DQ459" s="800"/>
      <c r="DR459" s="800"/>
      <c r="DS459" s="800"/>
      <c r="DT459" s="799"/>
      <c r="DU459" s="799"/>
      <c r="DV459" s="795"/>
      <c r="DW459" s="795"/>
      <c r="DX459" s="805"/>
      <c r="DY459" s="805"/>
      <c r="DZ459" s="805"/>
      <c r="EA459" s="806"/>
      <c r="EB459" s="805"/>
      <c r="EC459" s="805"/>
      <c r="ED459" s="807"/>
      <c r="EE459" s="700"/>
      <c r="EF459" s="803"/>
      <c r="EG459" s="798"/>
      <c r="EH459" s="798"/>
      <c r="EI459" s="804"/>
      <c r="EJ459" s="804"/>
      <c r="EK459" s="804"/>
      <c r="EL459" s="804"/>
      <c r="EM459" s="799"/>
      <c r="EN459" s="799"/>
      <c r="EO459" s="800"/>
      <c r="EP459" s="800"/>
      <c r="EQ459" s="800"/>
      <c r="ER459" s="800"/>
      <c r="ES459" s="800"/>
      <c r="ET459" s="800"/>
      <c r="EU459" s="799"/>
      <c r="EV459" s="799"/>
      <c r="EW459" s="795"/>
      <c r="EX459" s="795"/>
      <c r="EY459" s="805"/>
      <c r="EZ459" s="805"/>
      <c r="FA459" s="805"/>
      <c r="FB459" s="806"/>
      <c r="FC459" s="805"/>
      <c r="FD459" s="805"/>
      <c r="FE459" s="807"/>
      <c r="FF459" s="700"/>
      <c r="FG459" s="1305"/>
      <c r="FH459" s="1305"/>
      <c r="FI459" s="1305"/>
      <c r="FJ459" s="1305"/>
      <c r="FK459" s="1305"/>
      <c r="FL459" s="1305"/>
      <c r="FM459" s="1305"/>
      <c r="FN459" s="1305"/>
      <c r="FO459" s="1305"/>
      <c r="FP459" s="1305"/>
      <c r="FQ459" s="1305"/>
      <c r="FR459" s="1305"/>
      <c r="FS459" s="1305"/>
      <c r="FT459" s="1305"/>
      <c r="FU459" s="1305"/>
      <c r="FV459" s="1305"/>
      <c r="FW459" s="1305"/>
      <c r="FX459" s="1305"/>
      <c r="FY459" s="1305"/>
      <c r="FZ459" s="1305"/>
      <c r="GA459" s="1305"/>
      <c r="GB459" s="1305"/>
      <c r="GC459" s="1305"/>
      <c r="GD459" s="1305"/>
      <c r="GE459" s="1305"/>
      <c r="GF459" s="1305"/>
      <c r="GG459" s="1305"/>
      <c r="GH459" s="1305"/>
      <c r="GI459" s="1305"/>
      <c r="GJ459" s="1305"/>
      <c r="GK459" s="1305"/>
      <c r="GL459" s="1305"/>
      <c r="GM459" s="1305"/>
      <c r="GN459" s="1305"/>
      <c r="GO459" s="1305"/>
      <c r="GP459" s="1305"/>
      <c r="GQ459" s="1305"/>
      <c r="GR459" s="1305"/>
      <c r="GS459" s="1305"/>
      <c r="GT459" s="1305"/>
      <c r="GU459" s="1305"/>
      <c r="GV459" s="1305"/>
      <c r="GW459" s="1305"/>
      <c r="GX459" s="1305"/>
      <c r="GY459" s="1305"/>
      <c r="GZ459" s="1305"/>
      <c r="HA459" s="1305"/>
      <c r="HB459" s="1305"/>
      <c r="HC459" s="1305"/>
      <c r="HD459" s="1305"/>
      <c r="HE459" s="1305"/>
      <c r="HF459" s="1305"/>
      <c r="HG459" s="1305"/>
      <c r="HH459" s="1305"/>
      <c r="HI459" s="1305"/>
      <c r="HJ459" s="1305"/>
      <c r="HK459" s="1305"/>
      <c r="HL459" s="1305"/>
      <c r="HM459" s="1305"/>
      <c r="HN459" s="1305"/>
      <c r="HO459" s="1305"/>
      <c r="HP459" s="1305"/>
      <c r="HQ459" s="1305"/>
      <c r="HR459" s="1305"/>
      <c r="HS459" s="1305"/>
      <c r="HT459" s="1305"/>
      <c r="HU459" s="1305"/>
      <c r="HV459" s="1305"/>
      <c r="HW459" s="1305"/>
      <c r="HX459" s="1305"/>
      <c r="HY459" s="1305"/>
      <c r="HZ459" s="1305"/>
      <c r="IA459" s="1305"/>
      <c r="IB459" s="1305"/>
      <c r="IC459" s="1305"/>
      <c r="ID459" s="1305"/>
      <c r="IE459" s="1305"/>
      <c r="IF459" s="1305"/>
      <c r="IG459" s="1305"/>
      <c r="IH459" s="1305"/>
      <c r="II459" s="1305"/>
    </row>
    <row r="460" spans="1:243" s="655" customFormat="1" ht="30" customHeight="1">
      <c r="A460" s="700"/>
      <c r="B460" s="700"/>
      <c r="C460" s="700"/>
      <c r="D460" s="700"/>
      <c r="E460" s="700"/>
      <c r="F460" s="700"/>
      <c r="G460" s="700"/>
      <c r="H460" s="700"/>
      <c r="I460" s="700"/>
      <c r="J460" s="700"/>
      <c r="K460" s="700"/>
      <c r="L460" s="700"/>
      <c r="M460" s="700"/>
      <c r="N460" s="700"/>
      <c r="O460" s="700"/>
      <c r="P460" s="700"/>
      <c r="Q460" s="700"/>
      <c r="R460" s="694"/>
      <c r="S460" s="694"/>
      <c r="T460" s="694"/>
      <c r="U460" s="694"/>
      <c r="V460" s="694"/>
      <c r="W460" s="3532" t="s">
        <v>429</v>
      </c>
      <c r="X460" s="3532"/>
      <c r="Y460" s="3532"/>
      <c r="Z460" s="3532"/>
      <c r="AA460" s="3533"/>
      <c r="AB460" s="3126" t="s">
        <v>2897</v>
      </c>
      <c r="AC460" s="3127"/>
      <c r="AD460" s="3127"/>
      <c r="AE460" s="3127"/>
      <c r="AF460" s="3127"/>
      <c r="AG460" s="3127"/>
      <c r="AH460" s="3127"/>
      <c r="AI460" s="3127"/>
      <c r="AJ460" s="3127"/>
      <c r="AK460" s="3127"/>
      <c r="AL460" s="3127"/>
      <c r="AM460" s="3127"/>
      <c r="AN460" s="3128"/>
      <c r="AO460" s="3126" t="s">
        <v>3109</v>
      </c>
      <c r="AP460" s="3127"/>
      <c r="AQ460" s="3127"/>
      <c r="AR460" s="3127"/>
      <c r="AS460" s="3127"/>
      <c r="AT460" s="3127"/>
      <c r="AU460" s="3127"/>
      <c r="AV460" s="3127"/>
      <c r="AW460" s="3127"/>
      <c r="AX460" s="3127"/>
      <c r="AY460" s="3127"/>
      <c r="AZ460" s="3127"/>
      <c r="BA460" s="3128"/>
      <c r="BB460" s="808"/>
      <c r="BC460" s="3126" t="s">
        <v>3107</v>
      </c>
      <c r="BD460" s="3127"/>
      <c r="BE460" s="3127"/>
      <c r="BF460" s="3127"/>
      <c r="BG460" s="3127"/>
      <c r="BH460" s="3127"/>
      <c r="BI460" s="3127"/>
      <c r="BJ460" s="3127"/>
      <c r="BK460" s="3127"/>
      <c r="BL460" s="3127"/>
      <c r="BM460" s="3127"/>
      <c r="BN460" s="3127"/>
      <c r="BO460" s="3128"/>
      <c r="BP460" s="3126" t="s">
        <v>3108</v>
      </c>
      <c r="BQ460" s="3127"/>
      <c r="BR460" s="3127"/>
      <c r="BS460" s="3127"/>
      <c r="BT460" s="3127"/>
      <c r="BU460" s="3127"/>
      <c r="BV460" s="3127"/>
      <c r="BW460" s="3127"/>
      <c r="BX460" s="3127"/>
      <c r="BY460" s="3127"/>
      <c r="BZ460" s="3127"/>
      <c r="CA460" s="3127"/>
      <c r="CB460" s="3128"/>
      <c r="CC460" s="808"/>
      <c r="CD460" s="3126" t="s">
        <v>2897</v>
      </c>
      <c r="CE460" s="3127"/>
      <c r="CF460" s="3127"/>
      <c r="CG460" s="3127"/>
      <c r="CH460" s="3127"/>
      <c r="CI460" s="3127"/>
      <c r="CJ460" s="3127"/>
      <c r="CK460" s="3127"/>
      <c r="CL460" s="3127"/>
      <c r="CM460" s="3127"/>
      <c r="CN460" s="3127"/>
      <c r="CO460" s="3127"/>
      <c r="CP460" s="3128"/>
      <c r="CQ460" s="3126" t="s">
        <v>2911</v>
      </c>
      <c r="CR460" s="3127"/>
      <c r="CS460" s="3127"/>
      <c r="CT460" s="3127"/>
      <c r="CU460" s="3127"/>
      <c r="CV460" s="3127"/>
      <c r="CW460" s="3127"/>
      <c r="CX460" s="3127"/>
      <c r="CY460" s="3127"/>
      <c r="CZ460" s="3127"/>
      <c r="DA460" s="3127"/>
      <c r="DB460" s="3127"/>
      <c r="DC460" s="3128"/>
      <c r="DD460" s="808"/>
      <c r="DE460" s="3126" t="s">
        <v>2897</v>
      </c>
      <c r="DF460" s="3127"/>
      <c r="DG460" s="3127"/>
      <c r="DH460" s="3127"/>
      <c r="DI460" s="3127"/>
      <c r="DJ460" s="3127"/>
      <c r="DK460" s="3127"/>
      <c r="DL460" s="3127"/>
      <c r="DM460" s="3127"/>
      <c r="DN460" s="3127"/>
      <c r="DO460" s="3127"/>
      <c r="DP460" s="3127"/>
      <c r="DQ460" s="3128"/>
      <c r="DR460" s="3126" t="s">
        <v>2912</v>
      </c>
      <c r="DS460" s="3127"/>
      <c r="DT460" s="3127"/>
      <c r="DU460" s="3127"/>
      <c r="DV460" s="3127"/>
      <c r="DW460" s="3127"/>
      <c r="DX460" s="3127"/>
      <c r="DY460" s="3127"/>
      <c r="DZ460" s="3127"/>
      <c r="EA460" s="3127"/>
      <c r="EB460" s="3127"/>
      <c r="EC460" s="3127"/>
      <c r="ED460" s="3128"/>
      <c r="EE460" s="700"/>
      <c r="EF460" s="3126" t="s">
        <v>3107</v>
      </c>
      <c r="EG460" s="3127"/>
      <c r="EH460" s="3127"/>
      <c r="EI460" s="3127"/>
      <c r="EJ460" s="3127"/>
      <c r="EK460" s="3127"/>
      <c r="EL460" s="3127"/>
      <c r="EM460" s="3127"/>
      <c r="EN460" s="3127"/>
      <c r="EO460" s="3127"/>
      <c r="EP460" s="3127"/>
      <c r="EQ460" s="3127"/>
      <c r="ER460" s="3128"/>
      <c r="ES460" s="3126" t="s">
        <v>3107</v>
      </c>
      <c r="ET460" s="3127"/>
      <c r="EU460" s="3127"/>
      <c r="EV460" s="3127"/>
      <c r="EW460" s="3127"/>
      <c r="EX460" s="3127"/>
      <c r="EY460" s="3127"/>
      <c r="EZ460" s="3127"/>
      <c r="FA460" s="3127"/>
      <c r="FB460" s="3127"/>
      <c r="FC460" s="3127"/>
      <c r="FD460" s="3127"/>
      <c r="FE460" s="3128"/>
      <c r="FF460" s="700"/>
      <c r="FG460" s="1305"/>
      <c r="FH460" s="1305"/>
      <c r="FI460" s="1305"/>
      <c r="FJ460" s="1305"/>
      <c r="FK460" s="1305"/>
      <c r="FL460" s="1305"/>
      <c r="FM460" s="1305"/>
      <c r="FN460" s="1305"/>
      <c r="FO460" s="1305"/>
      <c r="FP460" s="1305"/>
      <c r="FQ460" s="1305"/>
      <c r="FR460" s="1305"/>
      <c r="FS460" s="1305"/>
      <c r="FT460" s="1305"/>
      <c r="FU460" s="1305"/>
      <c r="FV460" s="1305"/>
      <c r="FW460" s="1305"/>
      <c r="FX460" s="1305"/>
      <c r="FY460" s="1305"/>
      <c r="FZ460" s="1305"/>
      <c r="GA460" s="1305"/>
      <c r="GB460" s="1305"/>
      <c r="GC460" s="1305"/>
      <c r="GD460" s="1305"/>
      <c r="GE460" s="1305"/>
      <c r="GF460" s="1305"/>
      <c r="GG460" s="1305"/>
      <c r="GH460" s="1305"/>
      <c r="GI460" s="1305"/>
      <c r="GJ460" s="1305"/>
      <c r="GK460" s="1305"/>
      <c r="GL460" s="1305"/>
      <c r="GM460" s="1305"/>
      <c r="GN460" s="1305"/>
      <c r="GO460" s="1305"/>
      <c r="GP460" s="1305"/>
      <c r="GQ460" s="1305"/>
      <c r="GR460" s="1305"/>
      <c r="GS460" s="1305"/>
      <c r="GT460" s="1305"/>
      <c r="GU460" s="1305"/>
      <c r="GV460" s="1305"/>
      <c r="GW460" s="1305"/>
      <c r="GX460" s="1305"/>
      <c r="GY460" s="1305"/>
      <c r="GZ460" s="1305"/>
      <c r="HA460" s="1305"/>
      <c r="HB460" s="1305"/>
      <c r="HC460" s="1305"/>
      <c r="HD460" s="1305"/>
      <c r="HE460" s="1305"/>
      <c r="HF460" s="1305"/>
      <c r="HG460" s="1305"/>
      <c r="HH460" s="1305"/>
      <c r="HI460" s="1305"/>
      <c r="HJ460" s="1305"/>
      <c r="HK460" s="1305"/>
      <c r="HL460" s="1305"/>
      <c r="HM460" s="1305"/>
      <c r="HN460" s="1305"/>
      <c r="HO460" s="1305"/>
      <c r="HP460" s="1305"/>
      <c r="HQ460" s="1305"/>
      <c r="HR460" s="1305"/>
      <c r="HS460" s="1305"/>
      <c r="HT460" s="1305"/>
      <c r="HU460" s="1305"/>
      <c r="HV460" s="1305"/>
      <c r="HW460" s="1305"/>
      <c r="HX460" s="1305"/>
      <c r="HY460" s="1305"/>
      <c r="HZ460" s="1305"/>
      <c r="IA460" s="1305"/>
      <c r="IB460" s="1305"/>
      <c r="IC460" s="1305"/>
      <c r="ID460" s="1305"/>
      <c r="IE460" s="1305"/>
      <c r="IF460" s="1305"/>
      <c r="IG460" s="1305"/>
      <c r="IH460" s="1305"/>
      <c r="II460" s="1305"/>
    </row>
    <row r="461" spans="1:243" s="655" customFormat="1" ht="30" customHeight="1" thickBot="1">
      <c r="A461" s="700"/>
      <c r="B461" s="700"/>
      <c r="C461" s="700"/>
      <c r="D461" s="700"/>
      <c r="E461" s="700"/>
      <c r="F461" s="700"/>
      <c r="G461" s="700"/>
      <c r="H461" s="700"/>
      <c r="I461" s="700"/>
      <c r="J461" s="700"/>
      <c r="K461" s="700"/>
      <c r="L461" s="700"/>
      <c r="M461" s="700"/>
      <c r="N461" s="700"/>
      <c r="O461" s="700"/>
      <c r="P461" s="700"/>
      <c r="Q461" s="700"/>
      <c r="R461" s="700"/>
      <c r="S461" s="700"/>
      <c r="T461" s="700"/>
      <c r="U461" s="700"/>
      <c r="V461" s="700"/>
      <c r="W461" s="3532"/>
      <c r="X461" s="3532"/>
      <c r="Y461" s="3532"/>
      <c r="Z461" s="3532"/>
      <c r="AA461" s="3533"/>
      <c r="AB461" s="3129"/>
      <c r="AC461" s="3130"/>
      <c r="AD461" s="3130"/>
      <c r="AE461" s="3130"/>
      <c r="AF461" s="3130"/>
      <c r="AG461" s="3130"/>
      <c r="AH461" s="3130"/>
      <c r="AI461" s="3130"/>
      <c r="AJ461" s="3130"/>
      <c r="AK461" s="3130"/>
      <c r="AL461" s="3130"/>
      <c r="AM461" s="3130"/>
      <c r="AN461" s="3131"/>
      <c r="AO461" s="3129"/>
      <c r="AP461" s="3130"/>
      <c r="AQ461" s="3130"/>
      <c r="AR461" s="3130"/>
      <c r="AS461" s="3130"/>
      <c r="AT461" s="3130"/>
      <c r="AU461" s="3130"/>
      <c r="AV461" s="3130"/>
      <c r="AW461" s="3130"/>
      <c r="AX461" s="3130"/>
      <c r="AY461" s="3130"/>
      <c r="AZ461" s="3130"/>
      <c r="BA461" s="3131"/>
      <c r="BB461" s="808"/>
      <c r="BC461" s="3129"/>
      <c r="BD461" s="3130"/>
      <c r="BE461" s="3130"/>
      <c r="BF461" s="3130"/>
      <c r="BG461" s="3130"/>
      <c r="BH461" s="3130"/>
      <c r="BI461" s="3130"/>
      <c r="BJ461" s="3130"/>
      <c r="BK461" s="3130"/>
      <c r="BL461" s="3130"/>
      <c r="BM461" s="3130"/>
      <c r="BN461" s="3130"/>
      <c r="BO461" s="3131"/>
      <c r="BP461" s="3129"/>
      <c r="BQ461" s="3130"/>
      <c r="BR461" s="3130"/>
      <c r="BS461" s="3130"/>
      <c r="BT461" s="3130"/>
      <c r="BU461" s="3130"/>
      <c r="BV461" s="3130"/>
      <c r="BW461" s="3130"/>
      <c r="BX461" s="3130"/>
      <c r="BY461" s="3130"/>
      <c r="BZ461" s="3130"/>
      <c r="CA461" s="3130"/>
      <c r="CB461" s="3131"/>
      <c r="CC461" s="808"/>
      <c r="CD461" s="3129"/>
      <c r="CE461" s="3130"/>
      <c r="CF461" s="3130"/>
      <c r="CG461" s="3130"/>
      <c r="CH461" s="3130"/>
      <c r="CI461" s="3130"/>
      <c r="CJ461" s="3130"/>
      <c r="CK461" s="3130"/>
      <c r="CL461" s="3130"/>
      <c r="CM461" s="3130"/>
      <c r="CN461" s="3130"/>
      <c r="CO461" s="3130"/>
      <c r="CP461" s="3131"/>
      <c r="CQ461" s="3129"/>
      <c r="CR461" s="3130"/>
      <c r="CS461" s="3130"/>
      <c r="CT461" s="3130"/>
      <c r="CU461" s="3130"/>
      <c r="CV461" s="3130"/>
      <c r="CW461" s="3130"/>
      <c r="CX461" s="3130"/>
      <c r="CY461" s="3130"/>
      <c r="CZ461" s="3130"/>
      <c r="DA461" s="3130"/>
      <c r="DB461" s="3130"/>
      <c r="DC461" s="3131"/>
      <c r="DD461" s="808"/>
      <c r="DE461" s="3129"/>
      <c r="DF461" s="3130"/>
      <c r="DG461" s="3130"/>
      <c r="DH461" s="3130"/>
      <c r="DI461" s="3130"/>
      <c r="DJ461" s="3130"/>
      <c r="DK461" s="3130"/>
      <c r="DL461" s="3130"/>
      <c r="DM461" s="3130"/>
      <c r="DN461" s="3130"/>
      <c r="DO461" s="3130"/>
      <c r="DP461" s="3130"/>
      <c r="DQ461" s="3131"/>
      <c r="DR461" s="3129"/>
      <c r="DS461" s="3130"/>
      <c r="DT461" s="3130"/>
      <c r="DU461" s="3130"/>
      <c r="DV461" s="3130"/>
      <c r="DW461" s="3130"/>
      <c r="DX461" s="3130"/>
      <c r="DY461" s="3130"/>
      <c r="DZ461" s="3130"/>
      <c r="EA461" s="3130"/>
      <c r="EB461" s="3130"/>
      <c r="EC461" s="3130"/>
      <c r="ED461" s="3131"/>
      <c r="EE461" s="700"/>
      <c r="EF461" s="3129"/>
      <c r="EG461" s="3130"/>
      <c r="EH461" s="3130"/>
      <c r="EI461" s="3130"/>
      <c r="EJ461" s="3130"/>
      <c r="EK461" s="3130"/>
      <c r="EL461" s="3130"/>
      <c r="EM461" s="3130"/>
      <c r="EN461" s="3130"/>
      <c r="EO461" s="3130"/>
      <c r="EP461" s="3130"/>
      <c r="EQ461" s="3130"/>
      <c r="ER461" s="3131"/>
      <c r="ES461" s="3129"/>
      <c r="ET461" s="3130"/>
      <c r="EU461" s="3130"/>
      <c r="EV461" s="3130"/>
      <c r="EW461" s="3130"/>
      <c r="EX461" s="3130"/>
      <c r="EY461" s="3130"/>
      <c r="EZ461" s="3130"/>
      <c r="FA461" s="3130"/>
      <c r="FB461" s="3130"/>
      <c r="FC461" s="3130"/>
      <c r="FD461" s="3130"/>
      <c r="FE461" s="3131"/>
      <c r="FF461" s="700"/>
      <c r="FG461" s="1305"/>
      <c r="FH461" s="1305"/>
      <c r="FI461" s="1305"/>
      <c r="FJ461" s="1305"/>
      <c r="FK461" s="1305"/>
      <c r="FL461" s="1305"/>
      <c r="FM461" s="1305"/>
      <c r="FN461" s="1305"/>
      <c r="FO461" s="1305"/>
      <c r="FP461" s="1305"/>
      <c r="FQ461" s="1305"/>
      <c r="FR461" s="1305"/>
      <c r="FS461" s="1305"/>
      <c r="FT461" s="1305"/>
      <c r="FU461" s="1305"/>
      <c r="FV461" s="1305"/>
      <c r="FW461" s="1305"/>
      <c r="FX461" s="1305"/>
      <c r="FY461" s="1305"/>
      <c r="FZ461" s="1305"/>
      <c r="GA461" s="1305"/>
      <c r="GB461" s="1305"/>
      <c r="GC461" s="1305"/>
      <c r="GD461" s="1305"/>
      <c r="GE461" s="1305"/>
      <c r="GF461" s="1305"/>
      <c r="GG461" s="1305"/>
      <c r="GH461" s="1305"/>
      <c r="GI461" s="1305"/>
      <c r="GJ461" s="1305"/>
      <c r="GK461" s="1305"/>
      <c r="GL461" s="1305"/>
      <c r="GM461" s="1305"/>
      <c r="GN461" s="1305"/>
      <c r="GO461" s="1305"/>
      <c r="GP461" s="1305"/>
      <c r="GQ461" s="1305"/>
      <c r="GR461" s="1305"/>
      <c r="GS461" s="1305"/>
      <c r="GT461" s="1305"/>
      <c r="GU461" s="1305"/>
      <c r="GV461" s="1305"/>
      <c r="GW461" s="1305"/>
      <c r="GX461" s="1305"/>
      <c r="GY461" s="1305"/>
      <c r="GZ461" s="1305"/>
      <c r="HA461" s="1305"/>
      <c r="HB461" s="1305"/>
      <c r="HC461" s="1305"/>
      <c r="HD461" s="1305"/>
      <c r="HE461" s="1305"/>
      <c r="HF461" s="1305"/>
      <c r="HG461" s="1305"/>
      <c r="HH461" s="1305"/>
      <c r="HI461" s="1305"/>
      <c r="HJ461" s="1305"/>
      <c r="HK461" s="1305"/>
      <c r="HL461" s="1305"/>
      <c r="HM461" s="1305"/>
      <c r="HN461" s="1305"/>
      <c r="HO461" s="1305"/>
      <c r="HP461" s="1305"/>
      <c r="HQ461" s="1305"/>
      <c r="HR461" s="1305"/>
      <c r="HS461" s="1305"/>
      <c r="HT461" s="1305"/>
      <c r="HU461" s="1305"/>
      <c r="HV461" s="1305"/>
      <c r="HW461" s="1305"/>
      <c r="HX461" s="1305"/>
      <c r="HY461" s="1305"/>
      <c r="HZ461" s="1305"/>
      <c r="IA461" s="1305"/>
      <c r="IB461" s="1305"/>
      <c r="IC461" s="1305"/>
      <c r="ID461" s="1305"/>
      <c r="IE461" s="1305"/>
      <c r="IF461" s="1305"/>
      <c r="IG461" s="1305"/>
      <c r="IH461" s="1305"/>
      <c r="II461" s="1305"/>
    </row>
    <row r="462" spans="1:243" s="655" customFormat="1" ht="18.5" thickBot="1">
      <c r="A462" s="700"/>
      <c r="B462" s="700"/>
      <c r="C462" s="700"/>
      <c r="D462" s="700"/>
      <c r="E462" s="700"/>
      <c r="F462" s="700"/>
      <c r="G462" s="700"/>
      <c r="H462" s="700"/>
      <c r="I462" s="700"/>
      <c r="J462" s="700"/>
      <c r="K462" s="700"/>
      <c r="L462" s="700"/>
      <c r="M462" s="700"/>
      <c r="N462" s="700"/>
      <c r="O462" s="700"/>
      <c r="P462" s="700"/>
      <c r="Q462" s="700"/>
      <c r="R462" s="700"/>
      <c r="S462" s="700"/>
      <c r="T462" s="700"/>
      <c r="U462" s="700"/>
      <c r="V462" s="700"/>
      <c r="W462" s="700"/>
      <c r="X462" s="700"/>
      <c r="Y462" s="700"/>
      <c r="Z462" s="700"/>
      <c r="AA462" s="700"/>
      <c r="AB462" s="809"/>
      <c r="AC462" s="810"/>
      <c r="AD462" s="810"/>
      <c r="AE462" s="810"/>
      <c r="AF462" s="811"/>
      <c r="AG462" s="811"/>
      <c r="AH462" s="811"/>
      <c r="AI462" s="811"/>
      <c r="AJ462" s="811"/>
      <c r="AK462" s="811"/>
      <c r="AL462" s="811"/>
      <c r="AM462" s="811"/>
      <c r="AN462" s="811"/>
      <c r="AO462" s="811"/>
      <c r="AP462" s="809"/>
      <c r="AQ462" s="809"/>
      <c r="AR462" s="810"/>
      <c r="AS462" s="810"/>
      <c r="AT462" s="810"/>
      <c r="AU462" s="810"/>
      <c r="AV462" s="810"/>
      <c r="AW462" s="811"/>
      <c r="AX462" s="811"/>
      <c r="AY462" s="811"/>
      <c r="AZ462" s="811"/>
      <c r="BA462" s="811"/>
      <c r="BB462" s="811"/>
      <c r="BC462" s="811"/>
      <c r="BD462" s="811"/>
      <c r="BE462" s="811"/>
      <c r="BF462" s="811"/>
      <c r="BG462" s="811"/>
      <c r="BH462" s="811"/>
      <c r="BI462" s="809"/>
      <c r="BJ462" s="809"/>
      <c r="BK462" s="809"/>
      <c r="BL462" s="809"/>
      <c r="BM462" s="809"/>
      <c r="BN462" s="809"/>
      <c r="BO462" s="809"/>
      <c r="BP462" s="809"/>
      <c r="BQ462" s="809"/>
      <c r="BR462" s="809"/>
      <c r="BS462" s="809"/>
      <c r="BT462" s="809"/>
      <c r="BU462" s="809"/>
      <c r="BV462" s="809"/>
      <c r="BW462" s="809"/>
      <c r="BX462" s="811"/>
      <c r="BY462" s="811"/>
      <c r="BZ462" s="809"/>
      <c r="CA462" s="809"/>
      <c r="CB462" s="809"/>
      <c r="CC462" s="809"/>
      <c r="CD462" s="809"/>
      <c r="CE462" s="809"/>
      <c r="CF462" s="809"/>
      <c r="CG462" s="809"/>
      <c r="CH462" s="809"/>
      <c r="CI462" s="809"/>
      <c r="CJ462" s="809"/>
      <c r="CK462" s="809"/>
      <c r="CL462" s="809"/>
      <c r="CM462" s="809"/>
      <c r="CN462" s="809"/>
      <c r="CO462" s="809"/>
      <c r="CP462" s="809"/>
      <c r="CQ462" s="809"/>
      <c r="CR462" s="809"/>
      <c r="CS462" s="809"/>
      <c r="CT462" s="809"/>
      <c r="CU462" s="809"/>
      <c r="CV462" s="809"/>
      <c r="CW462" s="809"/>
      <c r="CX462" s="809"/>
      <c r="CY462" s="809"/>
      <c r="CZ462" s="809"/>
      <c r="DA462" s="809"/>
      <c r="DB462" s="809"/>
      <c r="DC462" s="809"/>
      <c r="DD462" s="809"/>
      <c r="DE462" s="809"/>
      <c r="DF462" s="809"/>
      <c r="DG462" s="809"/>
      <c r="DH462" s="700"/>
      <c r="DI462" s="700"/>
      <c r="DJ462" s="700"/>
      <c r="DK462" s="700"/>
      <c r="DL462" s="700"/>
      <c r="DM462" s="700"/>
      <c r="DN462" s="700"/>
      <c r="DO462" s="700"/>
      <c r="DP462" s="700"/>
      <c r="DQ462" s="700"/>
      <c r="DR462" s="700"/>
      <c r="DS462" s="700"/>
      <c r="DT462" s="700"/>
      <c r="DU462" s="700"/>
      <c r="DV462" s="700"/>
      <c r="DW462" s="700"/>
      <c r="DX462" s="700"/>
      <c r="DY462" s="700"/>
      <c r="DZ462" s="700"/>
      <c r="EA462" s="700"/>
      <c r="EB462" s="700"/>
      <c r="EC462" s="700"/>
      <c r="ED462" s="700"/>
      <c r="EE462" s="700"/>
      <c r="EF462" s="700"/>
      <c r="EG462" s="700"/>
      <c r="EH462" s="700"/>
      <c r="EI462" s="700"/>
      <c r="EJ462" s="700"/>
      <c r="EK462" s="700"/>
      <c r="EL462" s="700"/>
      <c r="EM462" s="700"/>
      <c r="EN462" s="700"/>
      <c r="EO462" s="700"/>
      <c r="EP462" s="700"/>
      <c r="EQ462" s="700"/>
      <c r="ER462" s="700"/>
      <c r="ES462" s="700"/>
      <c r="ET462" s="700"/>
      <c r="EU462" s="700"/>
      <c r="EV462" s="700"/>
      <c r="EW462" s="700"/>
      <c r="EX462" s="700"/>
      <c r="EY462" s="700"/>
      <c r="EZ462" s="700"/>
      <c r="FA462" s="700"/>
      <c r="FB462" s="700"/>
      <c r="FC462" s="700"/>
      <c r="FD462" s="700"/>
      <c r="FE462" s="700" t="s">
        <v>252</v>
      </c>
      <c r="FF462" s="700"/>
      <c r="FG462" s="1305"/>
      <c r="FH462" s="1305"/>
      <c r="FI462" s="1305"/>
      <c r="FJ462" s="1305"/>
      <c r="FK462" s="1305"/>
      <c r="FL462" s="1305"/>
      <c r="FM462" s="1305"/>
      <c r="FN462" s="1305"/>
      <c r="FO462" s="1305"/>
      <c r="FP462" s="1305"/>
      <c r="FQ462" s="1305"/>
      <c r="FR462" s="1305"/>
      <c r="FS462" s="1305"/>
      <c r="FT462" s="1305"/>
      <c r="FU462" s="1305"/>
      <c r="FV462" s="1305"/>
      <c r="FW462" s="1305"/>
      <c r="FX462" s="1305"/>
      <c r="FY462" s="1305"/>
      <c r="FZ462" s="1305"/>
      <c r="GA462" s="1305"/>
      <c r="GB462" s="1305"/>
      <c r="GC462" s="1305"/>
      <c r="GD462" s="1305"/>
      <c r="GE462" s="1305"/>
      <c r="GF462" s="1305"/>
      <c r="GG462" s="1305"/>
      <c r="GH462" s="1305"/>
      <c r="GI462" s="1305"/>
      <c r="GJ462" s="1305"/>
      <c r="GK462" s="1305"/>
      <c r="GL462" s="1305"/>
      <c r="GM462" s="1305"/>
      <c r="GN462" s="1305"/>
      <c r="GO462" s="1305"/>
      <c r="GP462" s="1305"/>
      <c r="GQ462" s="1305"/>
      <c r="GR462" s="1305"/>
      <c r="GS462" s="1305"/>
      <c r="GT462" s="1305"/>
      <c r="GU462" s="1305"/>
      <c r="GV462" s="1305"/>
      <c r="GW462" s="1305"/>
      <c r="GX462" s="1305"/>
      <c r="GY462" s="1305"/>
      <c r="GZ462" s="1305"/>
      <c r="HA462" s="1305"/>
      <c r="HB462" s="1305"/>
      <c r="HC462" s="1305"/>
      <c r="HD462" s="1305"/>
      <c r="HE462" s="1305"/>
      <c r="HF462" s="1305"/>
      <c r="HG462" s="1305"/>
      <c r="HH462" s="1305"/>
      <c r="HI462" s="1305"/>
      <c r="HJ462" s="1305"/>
      <c r="HK462" s="1305"/>
      <c r="HL462" s="1305"/>
      <c r="HM462" s="1305"/>
      <c r="HN462" s="1305"/>
      <c r="HO462" s="1305"/>
      <c r="HP462" s="1305"/>
      <c r="HQ462" s="1305"/>
      <c r="HR462" s="1305"/>
      <c r="HS462" s="1305"/>
      <c r="HT462" s="1305"/>
      <c r="HU462" s="1305"/>
      <c r="HV462" s="1305"/>
      <c r="HW462" s="1305"/>
      <c r="HX462" s="1305"/>
      <c r="HY462" s="1305"/>
      <c r="HZ462" s="1305"/>
      <c r="IA462" s="1305"/>
      <c r="IB462" s="1305"/>
      <c r="IC462" s="1305"/>
      <c r="ID462" s="1305"/>
      <c r="IE462" s="1305"/>
      <c r="IF462" s="1305"/>
      <c r="IG462" s="1305"/>
      <c r="IH462" s="1305"/>
      <c r="II462" s="1305"/>
    </row>
    <row r="463" spans="1:243" s="655" customFormat="1" ht="30" customHeight="1">
      <c r="A463" s="700"/>
      <c r="B463" s="700"/>
      <c r="C463" s="700"/>
      <c r="D463" s="700"/>
      <c r="E463" s="700"/>
      <c r="F463" s="700"/>
      <c r="G463" s="700"/>
      <c r="H463" s="700"/>
      <c r="I463" s="700"/>
      <c r="J463" s="700"/>
      <c r="K463" s="700"/>
      <c r="L463" s="700"/>
      <c r="M463" s="700"/>
      <c r="N463" s="700"/>
      <c r="O463" s="700"/>
      <c r="P463" s="700"/>
      <c r="Q463" s="700"/>
      <c r="R463" s="694"/>
      <c r="S463" s="694"/>
      <c r="T463" s="694"/>
      <c r="U463" s="694"/>
      <c r="V463" s="694"/>
      <c r="W463" s="3532" t="s">
        <v>430</v>
      </c>
      <c r="X463" s="3532"/>
      <c r="Y463" s="3532"/>
      <c r="Z463" s="3532"/>
      <c r="AA463" s="3533"/>
      <c r="AB463" s="3526" t="s">
        <v>2910</v>
      </c>
      <c r="AC463" s="3527"/>
      <c r="AD463" s="3527"/>
      <c r="AE463" s="3527"/>
      <c r="AF463" s="3527"/>
      <c r="AG463" s="3527"/>
      <c r="AH463" s="3527"/>
      <c r="AI463" s="3527"/>
      <c r="AJ463" s="3527"/>
      <c r="AK463" s="3527"/>
      <c r="AL463" s="3527"/>
      <c r="AM463" s="3527"/>
      <c r="AN463" s="3527"/>
      <c r="AO463" s="3527"/>
      <c r="AP463" s="3527"/>
      <c r="AQ463" s="3527"/>
      <c r="AR463" s="3527"/>
      <c r="AS463" s="3527"/>
      <c r="AT463" s="3527"/>
      <c r="AU463" s="3527"/>
      <c r="AV463" s="3527"/>
      <c r="AW463" s="3527"/>
      <c r="AX463" s="3527"/>
      <c r="AY463" s="3527"/>
      <c r="AZ463" s="3527"/>
      <c r="BA463" s="3527"/>
      <c r="BB463" s="3527"/>
      <c r="BC463" s="3527"/>
      <c r="BD463" s="3527"/>
      <c r="BE463" s="3527"/>
      <c r="BF463" s="3527"/>
      <c r="BG463" s="3528"/>
      <c r="BH463" s="812"/>
      <c r="BI463" s="812"/>
      <c r="BJ463" s="812"/>
      <c r="BK463" s="809"/>
      <c r="BL463" s="809"/>
      <c r="BM463" s="809"/>
      <c r="BN463" s="809"/>
      <c r="BO463" s="809"/>
      <c r="BP463" s="809"/>
      <c r="BQ463" s="809"/>
      <c r="BR463" s="809"/>
      <c r="BS463" s="809"/>
      <c r="BT463" s="809"/>
      <c r="BU463" s="809"/>
      <c r="BV463" s="809"/>
      <c r="BW463" s="809"/>
      <c r="BX463" s="811"/>
      <c r="BY463" s="811"/>
      <c r="BZ463" s="809"/>
      <c r="CA463" s="809"/>
      <c r="CB463" s="809"/>
      <c r="CC463" s="809"/>
      <c r="CD463" s="809"/>
      <c r="CE463" s="809"/>
      <c r="CF463" s="809"/>
      <c r="CG463" s="809"/>
      <c r="CH463" s="809"/>
      <c r="CI463" s="809"/>
      <c r="CJ463" s="809"/>
      <c r="CK463" s="809"/>
      <c r="CL463" s="809"/>
      <c r="CM463" s="809"/>
      <c r="CN463" s="809"/>
      <c r="CO463" s="809"/>
      <c r="CP463" s="809"/>
      <c r="CQ463" s="809"/>
      <c r="CR463" s="809"/>
      <c r="CS463" s="809"/>
      <c r="CT463" s="809"/>
      <c r="CU463" s="809"/>
      <c r="CV463" s="809"/>
      <c r="CW463" s="809"/>
      <c r="CX463" s="809"/>
      <c r="CY463" s="809"/>
      <c r="CZ463" s="809"/>
      <c r="DA463" s="809"/>
      <c r="DB463" s="809"/>
      <c r="DC463" s="809"/>
      <c r="DD463" s="809"/>
      <c r="DE463" s="809"/>
      <c r="DF463" s="809"/>
      <c r="DG463" s="809"/>
      <c r="DH463" s="700"/>
      <c r="DI463" s="700"/>
      <c r="DJ463" s="700"/>
      <c r="DK463" s="700"/>
      <c r="DL463" s="700"/>
      <c r="DM463" s="700"/>
      <c r="DN463" s="700"/>
      <c r="DO463" s="700"/>
      <c r="DP463" s="700"/>
      <c r="DQ463" s="700"/>
      <c r="DR463" s="700"/>
      <c r="DS463" s="700"/>
      <c r="DT463" s="700"/>
      <c r="DU463" s="700"/>
      <c r="DV463" s="700"/>
      <c r="DW463" s="700"/>
      <c r="DX463" s="700"/>
      <c r="DY463" s="700"/>
      <c r="DZ463" s="700"/>
      <c r="EA463" s="700"/>
      <c r="EB463" s="700"/>
      <c r="EC463" s="700"/>
      <c r="ED463" s="700"/>
      <c r="EE463" s="700"/>
      <c r="EF463" s="700"/>
      <c r="EG463" s="700"/>
      <c r="EH463" s="700"/>
      <c r="EI463" s="700"/>
      <c r="EJ463" s="700"/>
      <c r="EK463" s="700"/>
      <c r="EL463" s="700"/>
      <c r="EM463" s="700"/>
      <c r="EN463" s="700"/>
      <c r="EO463" s="700"/>
      <c r="EP463" s="700"/>
      <c r="EQ463" s="700"/>
      <c r="ER463" s="700"/>
      <c r="ES463" s="700"/>
      <c r="ET463" s="700"/>
      <c r="EU463" s="700"/>
      <c r="EV463" s="700"/>
      <c r="EW463" s="700"/>
      <c r="EX463" s="700"/>
      <c r="EY463" s="700"/>
      <c r="EZ463" s="700"/>
      <c r="FA463" s="700"/>
      <c r="FB463" s="700"/>
      <c r="FC463" s="700"/>
      <c r="FD463" s="700"/>
      <c r="FE463" s="700"/>
      <c r="FF463" s="700"/>
      <c r="FG463" s="1305"/>
      <c r="FH463" s="1305"/>
      <c r="FI463" s="1305"/>
      <c r="FJ463" s="1305"/>
      <c r="FK463" s="1305"/>
      <c r="FL463" s="1305"/>
      <c r="FM463" s="1305"/>
      <c r="FN463" s="1305"/>
      <c r="FO463" s="1305"/>
      <c r="FP463" s="1305"/>
      <c r="FQ463" s="1305"/>
      <c r="FR463" s="1305"/>
      <c r="FS463" s="1305"/>
      <c r="FT463" s="1305"/>
      <c r="FU463" s="1305"/>
      <c r="FV463" s="1305"/>
      <c r="FW463" s="1305"/>
      <c r="FX463" s="1305"/>
      <c r="FY463" s="1305"/>
      <c r="FZ463" s="1305"/>
      <c r="GA463" s="1305"/>
      <c r="GB463" s="1305"/>
      <c r="GC463" s="1305"/>
      <c r="GD463" s="1305"/>
      <c r="GE463" s="1305"/>
      <c r="GF463" s="1305"/>
      <c r="GG463" s="1305"/>
      <c r="GH463" s="1305"/>
      <c r="GI463" s="1305"/>
      <c r="GJ463" s="1305"/>
      <c r="GK463" s="1305"/>
      <c r="GL463" s="1305"/>
      <c r="GM463" s="1305"/>
      <c r="GN463" s="1305"/>
      <c r="GO463" s="1305"/>
      <c r="GP463" s="1305"/>
      <c r="GQ463" s="1305"/>
      <c r="GR463" s="1305"/>
      <c r="GS463" s="1305"/>
      <c r="GT463" s="1305"/>
      <c r="GU463" s="1305"/>
      <c r="GV463" s="1305"/>
      <c r="GW463" s="1305"/>
      <c r="GX463" s="1305"/>
      <c r="GY463" s="1305"/>
      <c r="GZ463" s="1305"/>
      <c r="HA463" s="1305"/>
      <c r="HB463" s="1305"/>
      <c r="HC463" s="1305"/>
      <c r="HD463" s="1305"/>
      <c r="HE463" s="1305"/>
      <c r="HF463" s="1305"/>
      <c r="HG463" s="1305"/>
      <c r="HH463" s="1305"/>
      <c r="HI463" s="1305"/>
      <c r="HJ463" s="1305"/>
      <c r="HK463" s="1305"/>
      <c r="HL463" s="1305"/>
      <c r="HM463" s="1305"/>
      <c r="HN463" s="1305"/>
      <c r="HO463" s="1305"/>
      <c r="HP463" s="1305"/>
      <c r="HQ463" s="1305"/>
      <c r="HR463" s="1305"/>
      <c r="HS463" s="1305"/>
      <c r="HT463" s="1305"/>
      <c r="HU463" s="1305"/>
      <c r="HV463" s="1305"/>
      <c r="HW463" s="1305"/>
      <c r="HX463" s="1305"/>
      <c r="HY463" s="1305"/>
      <c r="HZ463" s="1305"/>
      <c r="IA463" s="1305"/>
      <c r="IB463" s="1305"/>
      <c r="IC463" s="1305"/>
      <c r="ID463" s="1305"/>
      <c r="IE463" s="1305"/>
      <c r="IF463" s="1305"/>
      <c r="IG463" s="1305"/>
      <c r="IH463" s="1305"/>
      <c r="II463" s="1305"/>
    </row>
    <row r="464" spans="1:243" s="655" customFormat="1" ht="30" customHeight="1" thickBot="1">
      <c r="A464" s="700"/>
      <c r="B464" s="700"/>
      <c r="C464" s="700"/>
      <c r="D464" s="700"/>
      <c r="E464" s="700"/>
      <c r="F464" s="700"/>
      <c r="G464" s="700"/>
      <c r="H464" s="700"/>
      <c r="I464" s="700"/>
      <c r="J464" s="700"/>
      <c r="K464" s="700"/>
      <c r="L464" s="700"/>
      <c r="M464" s="700"/>
      <c r="N464" s="700"/>
      <c r="O464" s="700"/>
      <c r="P464" s="700"/>
      <c r="Q464" s="700"/>
      <c r="R464" s="694"/>
      <c r="S464" s="694"/>
      <c r="T464" s="694"/>
      <c r="U464" s="694"/>
      <c r="V464" s="694"/>
      <c r="W464" s="3532"/>
      <c r="X464" s="3532"/>
      <c r="Y464" s="3532"/>
      <c r="Z464" s="3532"/>
      <c r="AA464" s="3533"/>
      <c r="AB464" s="3529"/>
      <c r="AC464" s="3530"/>
      <c r="AD464" s="3530"/>
      <c r="AE464" s="3530"/>
      <c r="AF464" s="3530"/>
      <c r="AG464" s="3530"/>
      <c r="AH464" s="3530"/>
      <c r="AI464" s="3530"/>
      <c r="AJ464" s="3530"/>
      <c r="AK464" s="3530"/>
      <c r="AL464" s="3530"/>
      <c r="AM464" s="3530"/>
      <c r="AN464" s="3530"/>
      <c r="AO464" s="3530"/>
      <c r="AP464" s="3530"/>
      <c r="AQ464" s="3530"/>
      <c r="AR464" s="3530"/>
      <c r="AS464" s="3530"/>
      <c r="AT464" s="3530"/>
      <c r="AU464" s="3530"/>
      <c r="AV464" s="3530"/>
      <c r="AW464" s="3530"/>
      <c r="AX464" s="3530"/>
      <c r="AY464" s="3530"/>
      <c r="AZ464" s="3530"/>
      <c r="BA464" s="3530"/>
      <c r="BB464" s="3530"/>
      <c r="BC464" s="3530"/>
      <c r="BD464" s="3530"/>
      <c r="BE464" s="3530"/>
      <c r="BF464" s="3530"/>
      <c r="BG464" s="3531"/>
      <c r="BH464" s="812"/>
      <c r="BI464" s="812"/>
      <c r="BJ464" s="812"/>
      <c r="BK464" s="809"/>
      <c r="BL464" s="809"/>
      <c r="BM464" s="809"/>
      <c r="BN464" s="809"/>
      <c r="BO464" s="809"/>
      <c r="BP464" s="809"/>
      <c r="BQ464" s="809"/>
      <c r="BR464" s="809"/>
      <c r="BS464" s="809"/>
      <c r="BT464" s="809"/>
      <c r="BU464" s="809"/>
      <c r="BV464" s="809"/>
      <c r="BW464" s="809"/>
      <c r="BX464" s="811"/>
      <c r="BY464" s="811"/>
      <c r="BZ464" s="809"/>
      <c r="CA464" s="809"/>
      <c r="CB464" s="809"/>
      <c r="CC464" s="809"/>
      <c r="CD464" s="809"/>
      <c r="CE464" s="809"/>
      <c r="CF464" s="809"/>
      <c r="CG464" s="809"/>
      <c r="CH464" s="809"/>
      <c r="CI464" s="809"/>
      <c r="CJ464" s="809"/>
      <c r="CK464" s="809"/>
      <c r="CL464" s="809"/>
      <c r="CM464" s="809"/>
      <c r="CN464" s="809"/>
      <c r="CO464" s="809"/>
      <c r="CP464" s="809"/>
      <c r="CQ464" s="809"/>
      <c r="CR464" s="809"/>
      <c r="CS464" s="809"/>
      <c r="CT464" s="809"/>
      <c r="CU464" s="809"/>
      <c r="CV464" s="809"/>
      <c r="CW464" s="809"/>
      <c r="CX464" s="809"/>
      <c r="CY464" s="809"/>
      <c r="CZ464" s="809"/>
      <c r="DA464" s="809"/>
      <c r="DB464" s="809"/>
      <c r="DC464" s="809"/>
      <c r="DD464" s="809"/>
      <c r="DE464" s="809"/>
      <c r="DF464" s="809"/>
      <c r="DG464" s="809"/>
      <c r="DH464" s="700"/>
      <c r="DI464" s="700"/>
      <c r="DJ464" s="700"/>
      <c r="DK464" s="700"/>
      <c r="DL464" s="700"/>
      <c r="DM464" s="700"/>
      <c r="DN464" s="700"/>
      <c r="DO464" s="700"/>
      <c r="DP464" s="700"/>
      <c r="DQ464" s="700"/>
      <c r="DR464" s="700"/>
      <c r="DS464" s="700"/>
      <c r="DT464" s="700"/>
      <c r="DU464" s="700"/>
      <c r="DV464" s="700"/>
      <c r="DW464" s="700"/>
      <c r="DX464" s="700"/>
      <c r="DY464" s="700"/>
      <c r="DZ464" s="700"/>
      <c r="EA464" s="700"/>
      <c r="EB464" s="700"/>
      <c r="EC464" s="700"/>
      <c r="ED464" s="700"/>
      <c r="EE464" s="700"/>
      <c r="EF464" s="700"/>
      <c r="EG464" s="700"/>
      <c r="EH464" s="700"/>
      <c r="EI464" s="700"/>
      <c r="EJ464" s="700"/>
      <c r="EK464" s="700"/>
      <c r="EL464" s="700"/>
      <c r="EM464" s="700"/>
      <c r="EN464" s="700"/>
      <c r="EO464" s="700"/>
      <c r="EP464" s="700"/>
      <c r="EQ464" s="700"/>
      <c r="ER464" s="700"/>
      <c r="ES464" s="700"/>
      <c r="ET464" s="700"/>
      <c r="EU464" s="700"/>
      <c r="EV464" s="700"/>
      <c r="EW464" s="700"/>
      <c r="EX464" s="700"/>
      <c r="EY464" s="700"/>
      <c r="EZ464" s="700"/>
      <c r="FA464" s="700"/>
      <c r="FB464" s="700"/>
      <c r="FC464" s="700"/>
      <c r="FD464" s="700"/>
      <c r="FE464" s="700"/>
      <c r="FF464" s="700"/>
      <c r="FG464" s="700"/>
      <c r="FH464" s="700"/>
      <c r="FI464" s="700"/>
      <c r="FJ464" s="700"/>
      <c r="FK464" s="700"/>
      <c r="FL464" s="700"/>
      <c r="FM464" s="1031"/>
      <c r="FN464" s="1031" t="str">
        <f>IF(FN463*1&lt;0,LEFT(FN463,2),LEFT(FN463,1))&amp;IF(OR(FN463*1&gt;9,FN463*1&lt;-9),"0's","'s")</f>
        <v>'s</v>
      </c>
      <c r="FO464" s="1031"/>
      <c r="FP464" s="1031" t="str">
        <f>IF(FO463*1&lt;0,LEFT(FO463,2),LEFT(FO463,1))&amp;IF(OR(FO463*1&gt;9,FO463*1&lt;-9),"0's","'s")</f>
        <v>'s</v>
      </c>
      <c r="FQ464" s="1031"/>
      <c r="FR464" s="1031"/>
      <c r="FS464" s="1031"/>
      <c r="FT464" s="1031" t="str">
        <f>IF(FT463*1&lt;0,LEFT(FT463,2),LEFT(FT463,1))&amp;IF(OR(FT463*1&gt;9,FT463*1&lt;-9),"0's","'s")</f>
        <v>'s</v>
      </c>
      <c r="FU464" s="1031"/>
      <c r="FV464" s="1031" t="str">
        <f>IF(FU463*1&lt;0,LEFT(FU463,2),LEFT(FU463,1))&amp;IF(OR(FU463*1&gt;9,FU463*1&lt;-9),"0's","'s")</f>
        <v>'s</v>
      </c>
      <c r="FW464" s="1031"/>
      <c r="FX464" s="1031"/>
      <c r="FY464" s="1031"/>
      <c r="FZ464" s="1031"/>
      <c r="GA464" s="1031"/>
      <c r="GB464" s="1031"/>
      <c r="GC464" s="1031"/>
      <c r="GD464" s="1031"/>
      <c r="GE464" s="1031"/>
      <c r="GF464" s="1031"/>
      <c r="GG464" s="1031"/>
      <c r="GH464" s="1031"/>
      <c r="GI464" s="1031"/>
      <c r="GJ464" s="1031"/>
      <c r="GK464" s="1031"/>
      <c r="GL464" s="1031"/>
      <c r="GM464" s="1031"/>
      <c r="GN464" s="1031"/>
      <c r="GO464" s="1031" t="str">
        <f>IF(GO463*1&lt;0,LEFT(GO463,2),LEFT(GO463,1))&amp;IF(OR(GO463*1&gt;9,GO463*1&lt;-9),"0's","'s")</f>
        <v>'s</v>
      </c>
      <c r="GP464" s="1031"/>
      <c r="GQ464" s="1031" t="str">
        <f>IF(GP463*1&lt;0,LEFT(GP463,2),LEFT(GP463,1))&amp;IF(OR(GP463*1&gt;9,GP463*1&lt;-9),"0's","'s")</f>
        <v>'s</v>
      </c>
      <c r="GR464" s="1031"/>
      <c r="GS464" s="1031"/>
      <c r="GT464" s="1031"/>
      <c r="GU464" s="1031" t="str">
        <f>IF(GU463*1&lt;0,LEFT(GU463,2),LEFT(GU463,1))&amp;IF(OR(GU463*1&gt;9,GU463*1&lt;-9),"0's","'s")</f>
        <v>'s</v>
      </c>
      <c r="GV464" s="1031"/>
      <c r="GW464" s="1031" t="str">
        <f>IF(GV463*1&lt;0,LEFT(GV463,2),LEFT(GV463,1))&amp;IF(OR(GV463*1&gt;9,GV463*1&lt;-9),"0's","'s")</f>
        <v>'s</v>
      </c>
      <c r="GX464" s="1031"/>
      <c r="GY464" s="1031"/>
      <c r="GZ464" s="1031"/>
      <c r="HA464" s="1031"/>
      <c r="HB464" s="1031"/>
      <c r="HC464" s="1031"/>
      <c r="HD464" s="1031"/>
      <c r="HE464" s="1031"/>
      <c r="HF464" s="1031"/>
      <c r="HG464" s="1031"/>
      <c r="HH464" s="1031"/>
      <c r="HI464" s="1031"/>
      <c r="HJ464" s="1031"/>
      <c r="HK464" s="1031"/>
      <c r="HL464" s="1031"/>
      <c r="HM464" s="1031"/>
      <c r="HN464" s="1031"/>
      <c r="HO464" s="1031"/>
      <c r="HP464" s="1031" t="str">
        <f>IF(HP463*1&lt;0,LEFT(HP463,2),LEFT(HP463,1))&amp;IF(OR(HP463*1&gt;9,HP463*1&lt;-9),"0's","'s")</f>
        <v>'s</v>
      </c>
      <c r="HQ464" s="1031"/>
      <c r="HR464" s="1031" t="str">
        <f>IF(HQ463*1&lt;0,LEFT(HQ463,2),LEFT(HQ463,1))&amp;IF(OR(HQ463*1&gt;9,HQ463*1&lt;-9),"0's","'s")</f>
        <v>'s</v>
      </c>
      <c r="HS464" s="1031"/>
      <c r="HT464" s="1031"/>
      <c r="HU464" s="1031"/>
      <c r="HV464" s="1031" t="str">
        <f>IF(HV463*1&lt;0,LEFT(HV463,2),LEFT(HV463,1))&amp;IF(OR(HV463*1&gt;9,HV463*1&lt;-9),"0's","'s")</f>
        <v>'s</v>
      </c>
      <c r="HW464" s="1031"/>
      <c r="HX464" s="1031" t="str">
        <f>IF(HW463*1&lt;0,LEFT(HW463,2),LEFT(HW463,1))&amp;IF(OR(HW463*1&gt;9,HW463*1&lt;-9),"0's","'s")</f>
        <v>'s</v>
      </c>
      <c r="HY464" s="1031"/>
      <c r="HZ464" s="1031"/>
      <c r="IA464" s="1031"/>
      <c r="IB464" s="1031"/>
      <c r="IC464" s="1031"/>
      <c r="ID464" s="1031"/>
      <c r="IE464" s="1031"/>
      <c r="IF464" s="1031"/>
      <c r="IG464" s="1031"/>
      <c r="IH464" s="1031"/>
      <c r="II464" s="1031"/>
    </row>
    <row r="465" spans="1:243" ht="18">
      <c r="A465" s="423"/>
      <c r="B465" s="423"/>
      <c r="C465" s="423"/>
      <c r="D465" s="423"/>
      <c r="E465" s="423"/>
      <c r="F465" s="423"/>
      <c r="G465" s="423"/>
      <c r="H465" s="423"/>
      <c r="I465" s="423"/>
      <c r="J465" s="423"/>
      <c r="K465" s="423"/>
      <c r="L465" s="423"/>
      <c r="M465" s="423"/>
      <c r="N465" s="423"/>
      <c r="O465" s="423"/>
      <c r="P465" s="423"/>
      <c r="Q465" s="423"/>
      <c r="R465" s="423"/>
      <c r="S465" s="423"/>
      <c r="T465" s="423"/>
      <c r="U465" s="423"/>
      <c r="V465" s="423"/>
      <c r="W465" s="423"/>
      <c r="X465" s="423"/>
      <c r="Y465" s="423"/>
      <c r="Z465" s="423"/>
      <c r="AA465" s="423"/>
      <c r="AB465" s="1735"/>
      <c r="AC465" s="810"/>
      <c r="AD465" s="810"/>
      <c r="AE465" s="810"/>
      <c r="AF465" s="811"/>
      <c r="AG465" s="811"/>
      <c r="AH465" s="811"/>
      <c r="AI465" s="811"/>
      <c r="AJ465" s="811"/>
      <c r="AK465" s="811"/>
      <c r="AL465" s="811"/>
      <c r="AM465" s="811"/>
      <c r="AN465" s="811"/>
      <c r="AO465" s="813"/>
      <c r="AP465" s="423"/>
      <c r="AQ465" s="423"/>
      <c r="AR465" s="423"/>
      <c r="AS465" s="423"/>
      <c r="AT465" s="423"/>
      <c r="AU465" s="423"/>
      <c r="AV465" s="423"/>
      <c r="AW465" s="423"/>
      <c r="AX465" s="423"/>
      <c r="AY465" s="423"/>
      <c r="AZ465" s="423"/>
      <c r="BA465" s="423"/>
      <c r="BB465" s="423"/>
      <c r="BC465" s="423"/>
      <c r="BD465" s="423"/>
      <c r="BE465" s="423"/>
      <c r="BF465" s="423"/>
      <c r="BG465" s="423"/>
      <c r="BH465" s="423"/>
      <c r="BI465" s="423"/>
      <c r="BJ465" s="423"/>
      <c r="BK465" s="423"/>
      <c r="BL465" s="423"/>
      <c r="BM465" s="423"/>
      <c r="BN465" s="423"/>
      <c r="BO465" s="423"/>
      <c r="BP465" s="423"/>
      <c r="BQ465" s="423"/>
      <c r="BR465" s="423"/>
      <c r="BS465" s="423"/>
      <c r="BT465" s="423"/>
      <c r="BU465" s="423"/>
      <c r="BV465" s="423"/>
      <c r="BW465" s="423"/>
      <c r="BX465" s="423"/>
      <c r="BY465" s="423"/>
      <c r="BZ465" s="423"/>
      <c r="CA465" s="423"/>
      <c r="CB465" s="423"/>
      <c r="CC465" s="423"/>
      <c r="CD465" s="423"/>
      <c r="CE465" s="423"/>
      <c r="CF465" s="423"/>
      <c r="CG465" s="423"/>
      <c r="CH465" s="423"/>
      <c r="CI465" s="423"/>
      <c r="CJ465" s="423"/>
      <c r="CK465" s="423"/>
      <c r="CL465" s="423"/>
      <c r="CM465" s="423"/>
      <c r="CN465" s="423"/>
      <c r="CO465" s="423"/>
      <c r="CP465" s="423"/>
      <c r="CQ465" s="423"/>
      <c r="CR465" s="423"/>
      <c r="CS465" s="423"/>
      <c r="CT465" s="423"/>
      <c r="CU465" s="423"/>
      <c r="CV465" s="423"/>
      <c r="CW465" s="423"/>
      <c r="CX465" s="423"/>
      <c r="CY465" s="423"/>
      <c r="CZ465" s="423"/>
      <c r="DA465" s="423"/>
      <c r="DB465" s="423"/>
      <c r="DC465" s="423"/>
      <c r="DD465" s="423"/>
      <c r="DE465" s="423"/>
      <c r="DF465" s="423"/>
      <c r="DG465" s="423"/>
      <c r="DH465" s="423"/>
      <c r="DI465" s="423"/>
      <c r="DJ465" s="423"/>
      <c r="DK465" s="423"/>
      <c r="DL465" s="423"/>
      <c r="DM465" s="423"/>
      <c r="DN465" s="423"/>
      <c r="DO465" s="423"/>
      <c r="DP465" s="423"/>
      <c r="DQ465" s="423"/>
      <c r="DR465" s="423"/>
      <c r="DS465" s="423"/>
      <c r="DT465" s="423"/>
      <c r="DU465" s="423"/>
      <c r="DV465" s="423"/>
      <c r="DW465" s="423"/>
      <c r="DX465" s="423"/>
      <c r="DY465" s="423"/>
      <c r="DZ465" s="423"/>
      <c r="EA465" s="423"/>
      <c r="EB465" s="423"/>
      <c r="EC465" s="423"/>
      <c r="ED465" s="423"/>
      <c r="EE465" s="423"/>
      <c r="EF465" s="423"/>
      <c r="EG465" s="423"/>
      <c r="EH465" s="423"/>
      <c r="EI465" s="423"/>
      <c r="EJ465" s="423"/>
      <c r="EK465" s="423"/>
      <c r="EL465" s="423"/>
      <c r="EM465" s="423"/>
      <c r="EN465" s="423"/>
      <c r="EO465" s="423"/>
      <c r="EP465" s="423"/>
      <c r="EQ465" s="423"/>
      <c r="ER465" s="423"/>
      <c r="ES465" s="423"/>
      <c r="ET465" s="423"/>
      <c r="EU465" s="423"/>
      <c r="EV465" s="423"/>
      <c r="EW465" s="423"/>
      <c r="EX465" s="423"/>
      <c r="EY465" s="423"/>
      <c r="EZ465" s="423"/>
      <c r="FA465" s="423"/>
      <c r="FB465" s="423"/>
      <c r="FC465" s="423"/>
      <c r="FD465" s="423"/>
      <c r="FE465" s="423"/>
      <c r="FF465" s="423"/>
      <c r="FG465" s="423"/>
      <c r="FH465" s="423"/>
      <c r="FI465" s="423"/>
      <c r="FJ465" s="423"/>
      <c r="FK465" s="423"/>
      <c r="FL465" s="423"/>
      <c r="FM465" s="983"/>
      <c r="FN465" s="983"/>
      <c r="FO465" s="983"/>
      <c r="FP465" s="983"/>
      <c r="FQ465" s="983"/>
      <c r="FR465" s="983"/>
      <c r="FS465" s="983"/>
      <c r="FT465" s="983"/>
      <c r="FU465" s="983"/>
      <c r="FV465" s="983"/>
      <c r="FW465" s="983"/>
      <c r="FX465" s="983"/>
      <c r="FY465" s="983"/>
      <c r="FZ465" s="983"/>
      <c r="GA465" s="983"/>
      <c r="GB465" s="983"/>
      <c r="GC465" s="983"/>
      <c r="GD465" s="983"/>
      <c r="GE465" s="983"/>
      <c r="GF465" s="983"/>
      <c r="GG465" s="983"/>
      <c r="GH465" s="983"/>
      <c r="GI465" s="983"/>
      <c r="GJ465" s="983"/>
      <c r="GK465" s="983"/>
      <c r="GL465" s="983"/>
      <c r="GM465" s="983"/>
      <c r="GN465" s="983"/>
      <c r="GO465" s="983"/>
      <c r="GP465" s="983"/>
      <c r="GQ465" s="983"/>
      <c r="GR465" s="983"/>
      <c r="GS465" s="983"/>
      <c r="GT465" s="983"/>
      <c r="GU465" s="983"/>
      <c r="GV465" s="983"/>
      <c r="GW465" s="983"/>
      <c r="GX465" s="983"/>
      <c r="GY465" s="983"/>
      <c r="GZ465" s="983"/>
      <c r="HA465" s="983"/>
      <c r="HB465" s="983"/>
      <c r="HC465" s="983"/>
      <c r="HD465" s="983"/>
      <c r="HE465" s="983"/>
      <c r="HF465" s="983"/>
      <c r="HG465" s="983"/>
      <c r="HH465" s="983"/>
      <c r="HI465" s="983"/>
      <c r="HJ465" s="983"/>
      <c r="HK465" s="983"/>
      <c r="HL465" s="983"/>
      <c r="HM465" s="983"/>
      <c r="HN465" s="983"/>
      <c r="HO465" s="983"/>
      <c r="HP465" s="983"/>
      <c r="HQ465" s="983"/>
      <c r="HR465" s="983"/>
      <c r="HS465" s="983"/>
      <c r="HT465" s="983"/>
      <c r="HU465" s="983"/>
      <c r="HV465" s="983"/>
      <c r="HW465" s="983"/>
      <c r="HX465" s="983"/>
      <c r="HY465" s="983"/>
      <c r="HZ465" s="983"/>
      <c r="IA465" s="983"/>
      <c r="IB465" s="983"/>
      <c r="IC465" s="983"/>
      <c r="ID465" s="983"/>
      <c r="IE465" s="983"/>
      <c r="IF465" s="983"/>
      <c r="IG465" s="983"/>
      <c r="IH465" s="983"/>
      <c r="II465" s="983"/>
    </row>
    <row r="466" spans="1:243">
      <c r="AC466" s="814"/>
      <c r="AD466" s="814"/>
      <c r="AE466" s="814"/>
      <c r="AF466" s="814"/>
      <c r="AG466" s="815"/>
      <c r="AH466" s="815"/>
      <c r="AI466" s="815"/>
      <c r="AJ466" s="815"/>
      <c r="AK466" s="815"/>
      <c r="AL466" s="814"/>
      <c r="AM466" s="814"/>
      <c r="AN466" s="814"/>
      <c r="AO466" s="814"/>
    </row>
    <row r="467" spans="1:243" ht="12.75" customHeight="1">
      <c r="AC467" s="816"/>
      <c r="AD467" s="816"/>
      <c r="AE467" s="816"/>
      <c r="AF467" s="816"/>
      <c r="AG467" s="816"/>
      <c r="AH467" s="816"/>
      <c r="AI467" s="816"/>
      <c r="AJ467" s="816"/>
      <c r="AK467" s="816"/>
      <c r="AL467" s="816"/>
      <c r="AM467" s="816"/>
      <c r="AN467" s="816"/>
      <c r="AO467" s="816"/>
      <c r="AP467" s="816"/>
      <c r="AQ467" s="816"/>
      <c r="AR467" s="816"/>
      <c r="AS467" s="816"/>
      <c r="AT467" s="816"/>
      <c r="AU467" s="816"/>
      <c r="AV467" s="816"/>
      <c r="AW467" s="816"/>
      <c r="AX467" s="564"/>
    </row>
    <row r="468" spans="1:243" ht="12.75" customHeight="1">
      <c r="AC468" s="816"/>
      <c r="AD468" s="816"/>
      <c r="AE468" s="816"/>
      <c r="AF468" s="816"/>
      <c r="AG468" s="816"/>
      <c r="AH468" s="816"/>
      <c r="AI468" s="816"/>
      <c r="AJ468" s="816"/>
      <c r="AK468" s="816"/>
      <c r="AL468" s="816"/>
      <c r="AM468" s="816"/>
      <c r="AN468" s="816"/>
      <c r="AO468" s="816"/>
      <c r="AP468" s="816"/>
      <c r="AQ468" s="816"/>
      <c r="AR468" s="816"/>
      <c r="AS468" s="816"/>
      <c r="AT468" s="816"/>
      <c r="AU468" s="816"/>
      <c r="AV468" s="816"/>
      <c r="AW468" s="816"/>
      <c r="AX468" s="564"/>
    </row>
    <row r="469" spans="1:243" ht="14.25" customHeight="1">
      <c r="A469" s="3547" t="s">
        <v>431</v>
      </c>
      <c r="B469" s="3547"/>
      <c r="C469" s="3547"/>
      <c r="D469" s="3547"/>
      <c r="E469" s="3547"/>
      <c r="F469" s="3547"/>
      <c r="G469" s="3547"/>
      <c r="H469" s="3547"/>
      <c r="I469" s="3547"/>
      <c r="J469" s="3547"/>
      <c r="K469" s="3547"/>
      <c r="L469" s="3547"/>
      <c r="N469" s="1605" t="str">
        <f>TEXT(calc!B237,"m/d/yyyy hhmm")&amp;" UTC"</f>
        <v>7/5/2022 1800 UTC</v>
      </c>
      <c r="P469" s="378"/>
      <c r="R469" s="1307"/>
      <c r="T469" s="3548"/>
      <c r="U469" s="3548"/>
      <c r="AE469" s="816"/>
      <c r="AF469" s="816"/>
      <c r="AG469" s="816"/>
      <c r="AH469" s="816"/>
      <c r="AI469" s="816"/>
      <c r="AJ469" s="816"/>
      <c r="AK469" s="816"/>
      <c r="AL469" s="816"/>
      <c r="AM469" s="816"/>
      <c r="AN469" s="816"/>
      <c r="AO469" s="816"/>
      <c r="AP469" s="816"/>
      <c r="AQ469" s="816"/>
      <c r="AR469" s="816"/>
      <c r="AS469" s="816"/>
      <c r="AT469" s="816"/>
      <c r="AU469" s="816"/>
      <c r="AV469" s="816"/>
      <c r="AW469" s="816"/>
      <c r="AX469" s="564"/>
    </row>
    <row r="470" spans="1:243" ht="3.75" customHeight="1">
      <c r="AF470" s="816"/>
      <c r="AG470" s="816"/>
      <c r="AH470" s="816"/>
      <c r="AI470" s="816"/>
      <c r="AJ470" s="816"/>
      <c r="AK470" s="816"/>
      <c r="AL470" s="816"/>
      <c r="AM470" s="816"/>
      <c r="AN470" s="816"/>
      <c r="AO470" s="816"/>
      <c r="AP470" s="816"/>
      <c r="AQ470" s="816"/>
      <c r="AR470" s="816"/>
      <c r="AS470" s="816"/>
      <c r="AT470" s="816"/>
      <c r="AU470" s="816"/>
      <c r="AV470" s="816"/>
      <c r="AW470" s="816"/>
      <c r="AX470" s="564"/>
    </row>
    <row r="471" spans="1:243" ht="12.75" customHeight="1">
      <c r="A471" s="1308" t="s">
        <v>432</v>
      </c>
      <c r="B471" s="3538" t="s">
        <v>433</v>
      </c>
      <c r="C471" s="3539"/>
      <c r="D471" s="3540"/>
      <c r="E471" s="3544" t="s">
        <v>434</v>
      </c>
      <c r="F471" s="3545"/>
      <c r="G471" s="3545"/>
      <c r="H471" s="3545"/>
      <c r="I471" s="3545"/>
      <c r="J471" s="3545"/>
      <c r="K471" s="3545"/>
      <c r="L471" s="3546"/>
      <c r="M471" s="3539" t="s">
        <v>435</v>
      </c>
      <c r="N471" s="3539"/>
      <c r="O471" s="3538" t="s">
        <v>436</v>
      </c>
      <c r="P471" s="3540"/>
      <c r="Q471" s="3538" t="s">
        <v>437</v>
      </c>
      <c r="R471" s="3539"/>
      <c r="S471" s="3539" t="s">
        <v>438</v>
      </c>
      <c r="T471" s="3540"/>
      <c r="U471" s="3538" t="s">
        <v>334</v>
      </c>
      <c r="V471" s="3540"/>
      <c r="W471" s="3541" t="s">
        <v>439</v>
      </c>
      <c r="X471" s="3542"/>
      <c r="Y471" s="3542" t="s">
        <v>440</v>
      </c>
      <c r="Z471" s="3542"/>
      <c r="AA471" s="3542" t="s">
        <v>441</v>
      </c>
      <c r="AB471" s="3542"/>
      <c r="AC471" s="3542" t="s">
        <v>393</v>
      </c>
      <c r="AD471" s="3542"/>
      <c r="AE471" s="3542" t="s">
        <v>442</v>
      </c>
      <c r="AF471" s="3543"/>
      <c r="AG471" s="816"/>
      <c r="AH471" s="816"/>
      <c r="AI471" s="816"/>
      <c r="AJ471" s="816"/>
      <c r="AK471" s="816"/>
      <c r="AL471" s="816"/>
      <c r="AM471" s="816"/>
      <c r="AN471" s="816"/>
      <c r="AO471" s="816"/>
      <c r="AP471" s="816"/>
      <c r="AQ471" s="816"/>
      <c r="AR471" s="816"/>
      <c r="AS471" s="816"/>
      <c r="AT471" s="816"/>
      <c r="AU471" s="816"/>
      <c r="AV471" s="816"/>
      <c r="AW471" s="816"/>
      <c r="AX471" s="564"/>
    </row>
    <row r="472" spans="1:243" ht="12.75" customHeight="1">
      <c r="A472" s="1309"/>
      <c r="B472" s="3591">
        <f>calc!B237</f>
        <v>44747.75</v>
      </c>
      <c r="C472" s="3592"/>
      <c r="D472" s="3593"/>
      <c r="E472" s="3567" t="s">
        <v>443</v>
      </c>
      <c r="F472" s="3568"/>
      <c r="G472" s="3568" t="s">
        <v>444</v>
      </c>
      <c r="H472" s="3568"/>
      <c r="I472" s="3568" t="s">
        <v>445</v>
      </c>
      <c r="J472" s="3568"/>
      <c r="K472" s="3568" t="s">
        <v>446</v>
      </c>
      <c r="L472" s="3569"/>
      <c r="M472" s="1330" t="str">
        <f>IF(calc!W240="","",VALUE(MID(calc!A240,17,3)))</f>
        <v/>
      </c>
      <c r="N472" s="1330"/>
      <c r="O472" s="1310" t="str">
        <f>IF(calc!W240="","",IF(VALUE(MID(calc!A240,20,2))&gt;50,VALUE(MID(calc!A240,20,2))-100,VALUE(MID(calc!A240,20,2))))</f>
        <v/>
      </c>
      <c r="P472" s="1331"/>
      <c r="Q472" s="1332"/>
      <c r="R472" s="1333"/>
      <c r="S472" s="1333"/>
      <c r="T472" s="1331"/>
      <c r="U472" s="1311"/>
      <c r="V472" s="1311"/>
      <c r="W472" s="1334"/>
      <c r="X472" s="1333"/>
      <c r="Y472" s="1333"/>
      <c r="Z472" s="1312"/>
      <c r="AA472" s="1335"/>
      <c r="AB472" s="1754"/>
      <c r="AC472" s="1333"/>
      <c r="AD472" s="1333"/>
      <c r="AE472" s="1333"/>
      <c r="AF472" s="1313"/>
      <c r="AG472" s="816"/>
      <c r="AH472" s="816"/>
      <c r="AI472" s="816"/>
      <c r="AJ472" s="816"/>
      <c r="AK472" s="816"/>
      <c r="AL472" s="816"/>
      <c r="AM472" s="816"/>
      <c r="AN472" s="816"/>
      <c r="AO472" s="816"/>
      <c r="AP472" s="816"/>
      <c r="AQ472" s="816"/>
      <c r="AR472" s="816"/>
      <c r="AS472" s="816"/>
      <c r="AT472" s="816"/>
      <c r="AU472" s="816"/>
      <c r="AV472" s="816"/>
      <c r="AW472" s="816"/>
      <c r="AX472" s="564"/>
    </row>
    <row r="473" spans="1:243" ht="9.75" customHeight="1">
      <c r="A473" s="1601">
        <v>1</v>
      </c>
      <c r="B473" s="3549">
        <f>calc!W243</f>
        <v>44747.75</v>
      </c>
      <c r="C473" s="3550"/>
      <c r="D473" s="3551"/>
      <c r="E473" s="3552">
        <f>IF(calc!W243="","",IF(VALUE(MID(calc!A243,35,1))&gt;4,VALUE(MID(calc!A243,35,2))-100,VALUE(MID(calc!A243,35,2)))*(9/5)+32)</f>
        <v>93.2</v>
      </c>
      <c r="F473" s="3553"/>
      <c r="G473" s="3552">
        <f>IF(calc!W243="","",IF(VALUE(MID(calc!A243,37,1))&gt;4,VALUE(MID(calc!A243,37,2))-100,VALUE(MID(calc!A243,37,2)))*(9/5)+32)</f>
        <v>87.800000000000011</v>
      </c>
      <c r="H473" s="3553"/>
      <c r="I473" s="3553">
        <f>IF(calc!W243="","",IF(VALUE(MID(calc!A243,39,1))&gt;4,VALUE(MID(calc!A243,39,2))-100,VALUE(MID(calc!A243,39,2)))*(9/5)+32)</f>
        <v>80.599999999999994</v>
      </c>
      <c r="J473" s="3553"/>
      <c r="K473" s="3553">
        <f>IF(calc!W243="","",IF(VALUE(MID(calc!A243,41,1))&gt;4,VALUE(MID(calc!A243,41,2))-100,VALUE(MID(calc!A243,41,2)))*(9/5)+32)</f>
        <v>75.2</v>
      </c>
      <c r="L473" s="3554"/>
      <c r="M473" s="3555">
        <f>IF(calc!W243="","",VALUE(MID(calc!A243,17,3)))</f>
        <v>-58</v>
      </c>
      <c r="N473" s="3555"/>
      <c r="O473" s="3556">
        <f>IF(calc!W243="","",IF(VALUE(MID(calc!A243,20,2))&gt;50,VALUE(MID(calc!A243,20,2))-100,VALUE(MID(calc!A243,20,2))))</f>
        <v>-4</v>
      </c>
      <c r="P473" s="3557"/>
      <c r="Q473" s="3558">
        <v>0</v>
      </c>
      <c r="R473" s="3559"/>
      <c r="S473" s="3559">
        <f>Q473</f>
        <v>0</v>
      </c>
      <c r="T473" s="3560"/>
      <c r="U473" s="3561" t="str">
        <f>IF(Q473=0,"",IF(W473&lt;&gt;"","RASN",IF(Y473&lt;&gt;"","RA",IF(AA473&lt;&gt;"","SN",IF(AC473&lt;&gt;"","FZ","IP")))))</f>
        <v/>
      </c>
      <c r="V473" s="3562"/>
      <c r="W473" s="3563" t="str">
        <f t="shared" ref="W473:W520" si="21">IF(AND(Y473="",AA473="",AC473="",AE473=""),"RASN","")</f>
        <v/>
      </c>
      <c r="X473" s="3564"/>
      <c r="Y473" s="3564" t="str">
        <f t="shared" ref="Y473:Y520" si="22">IF(AND(E473&gt;32,G473&gt;32,I473&gt;32,K473&gt;32),"RA",IF(AND(E473&gt;41,G473&gt;40),"RA",""))</f>
        <v>RA</v>
      </c>
      <c r="Z473" s="3564"/>
      <c r="AA473" s="3565" t="str">
        <f>IF(AND(E473&lt;37,G473&lt;35,I473&lt;32.01,K473&lt;32.01),"SN","")</f>
        <v/>
      </c>
      <c r="AB473" s="3565"/>
      <c r="AC473" s="3564" t="str">
        <f>IF(OR(Y473="RA",AA473="SN"),"",IF(E473&lt;33,"FZ",""))</f>
        <v/>
      </c>
      <c r="AD473" s="3564"/>
      <c r="AE473" s="3564" t="str">
        <f>IF(OR(Y473="RA",AC473="FZ"),"",IF(OR(AND(OR(K473&gt;32,I473&gt;32),G473&lt;32.01),AND(OR(G473&lt;32,I473&lt;32.01),K473&gt;32)),"IP",""))</f>
        <v/>
      </c>
      <c r="AF473" s="3566"/>
      <c r="AG473" s="816"/>
      <c r="AH473" s="816"/>
      <c r="AI473" s="816"/>
      <c r="AJ473" s="816"/>
      <c r="AK473" s="816"/>
      <c r="AL473" s="816"/>
      <c r="AM473" s="816"/>
      <c r="AN473" s="816"/>
      <c r="AO473" s="816"/>
      <c r="AP473" s="816"/>
      <c r="AQ473" s="816"/>
      <c r="AR473" s="816"/>
      <c r="AS473" s="816"/>
      <c r="AT473" s="816"/>
      <c r="AU473" s="816"/>
      <c r="AV473" s="816"/>
      <c r="AW473" s="816"/>
      <c r="AX473" s="564"/>
    </row>
    <row r="474" spans="1:243" ht="9.75" customHeight="1">
      <c r="A474" s="1602">
        <f>A473+1</f>
        <v>2</v>
      </c>
      <c r="B474" s="3570">
        <f>calc!W244</f>
        <v>44747.791666666664</v>
      </c>
      <c r="C474" s="3571"/>
      <c r="D474" s="3572"/>
      <c r="E474" s="3573">
        <f>IF(calc!W244="","",IF(VALUE(MID(calc!A244,35,1))&gt;4,VALUE(MID(calc!A244,35,2))-100,VALUE(MID(calc!A244,35,2)))*(9/5)+32)</f>
        <v>93.2</v>
      </c>
      <c r="F474" s="3574"/>
      <c r="G474" s="3573">
        <f>IF(calc!W244="","",IF(VALUE(MID(calc!A244,37,1))&gt;4,VALUE(MID(calc!A244,37,2))-100,VALUE(MID(calc!A244,37,2)))*(9/5)+32)</f>
        <v>89.6</v>
      </c>
      <c r="H474" s="3574"/>
      <c r="I474" s="3574">
        <f>IF(calc!W244="","",IF(VALUE(MID(calc!A244,39,1))&gt;4,VALUE(MID(calc!A244,39,2))-100,VALUE(MID(calc!A244,39,2)))*(9/5)+32)</f>
        <v>80.599999999999994</v>
      </c>
      <c r="J474" s="3574"/>
      <c r="K474" s="3574">
        <f>IF(calc!W244="","",IF(VALUE(MID(calc!A244,41,1))&gt;4,VALUE(MID(calc!A244,41,2))-100,VALUE(MID(calc!A244,41,2)))*(9/5)+32)</f>
        <v>75.2</v>
      </c>
      <c r="L474" s="3575"/>
      <c r="M474" s="3576">
        <f>IF(calc!W244="","",VALUE(MID(calc!A244,17,3)))</f>
        <v>-20</v>
      </c>
      <c r="N474" s="3576"/>
      <c r="O474" s="3577">
        <f>IF(calc!W244="","",IF(VALUE(MID(calc!A244,20,2))&gt;50,VALUE(MID(calc!A244,20,2))-100,VALUE(MID(calc!A244,20,2))))</f>
        <v>-5</v>
      </c>
      <c r="P474" s="3578"/>
      <c r="Q474" s="3579">
        <f>IF(calc!W244="","",VALUE(MID(calc!A244,4,3))/100)</f>
        <v>0</v>
      </c>
      <c r="R474" s="3580"/>
      <c r="S474" s="3580">
        <f>SUM(Q473:R474)</f>
        <v>0</v>
      </c>
      <c r="T474" s="3581"/>
      <c r="U474" s="3582" t="str">
        <f t="shared" ref="U474:U520" si="23">IF(Q474=0,"",IF(W474&lt;&gt;"","RASN",IF(Y474&lt;&gt;"","RA",IF(AA474&lt;&gt;"","SN",IF(AC474&lt;&gt;"","FZ","IP")))))</f>
        <v/>
      </c>
      <c r="V474" s="3583"/>
      <c r="W474" s="3584" t="str">
        <f t="shared" si="21"/>
        <v/>
      </c>
      <c r="X474" s="3585"/>
      <c r="Y474" s="3585" t="str">
        <f t="shared" si="22"/>
        <v>RA</v>
      </c>
      <c r="Z474" s="3585"/>
      <c r="AA474" s="3586" t="str">
        <f t="shared" ref="AA474:AA520" si="24">IF(AND(E474&lt;37,G474&lt;35,I474&lt;32.01,K474&lt;32.01),"SN","")</f>
        <v/>
      </c>
      <c r="AB474" s="3586"/>
      <c r="AC474" s="3585" t="str">
        <f t="shared" ref="AC474:AC520" si="25">IF(OR(Y474="RA",AA474="SN"),"",IF(E474&lt;33,"FZ",""))</f>
        <v/>
      </c>
      <c r="AD474" s="3585"/>
      <c r="AE474" s="3585" t="str">
        <f t="shared" ref="AE474:AE520" si="26">IF(OR(Y474="RA",AC474="FZ"),"",IF(OR(AND(OR(K474&gt;32,I474&gt;32),G474&lt;32.01),AND(OR(G474&lt;32,I474&lt;32.01),K474&gt;32)),"IP",""))</f>
        <v/>
      </c>
      <c r="AF474" s="3587"/>
      <c r="AG474" s="816"/>
      <c r="AH474" s="816"/>
      <c r="AI474" s="816"/>
      <c r="AJ474" s="816"/>
      <c r="AK474" s="816"/>
      <c r="AL474" s="816"/>
      <c r="AM474" s="816"/>
      <c r="AN474" s="816"/>
      <c r="AO474" s="816"/>
      <c r="AP474" s="816"/>
      <c r="AQ474" s="816"/>
      <c r="AR474" s="816"/>
      <c r="AS474" s="816"/>
      <c r="AT474" s="816"/>
      <c r="AU474" s="816"/>
      <c r="AV474" s="816"/>
      <c r="AW474" s="816"/>
      <c r="AX474" s="564"/>
    </row>
    <row r="475" spans="1:243" ht="9.75" customHeight="1">
      <c r="A475" s="1601">
        <f t="shared" ref="A475:A514" si="27">A474+1</f>
        <v>3</v>
      </c>
      <c r="B475" s="3549">
        <f>calc!W245</f>
        <v>44747.833333333328</v>
      </c>
      <c r="C475" s="3550"/>
      <c r="D475" s="3551"/>
      <c r="E475" s="3552">
        <f>IF(calc!W245="","",IF(VALUE(MID(calc!A245,35,1))&gt;4,VALUE(MID(calc!A245,35,2))-100,VALUE(MID(calc!A245,35,2)))*(9/5)+32)</f>
        <v>93.2</v>
      </c>
      <c r="F475" s="3553"/>
      <c r="G475" s="3552">
        <f>IF(calc!W245="","",IF(VALUE(MID(calc!A245,37,1))&gt;4,VALUE(MID(calc!A245,37,2))-100,VALUE(MID(calc!A245,37,2)))*(9/5)+32)</f>
        <v>89.6</v>
      </c>
      <c r="H475" s="3553"/>
      <c r="I475" s="3553">
        <f>IF(calc!W245="","",IF(VALUE(MID(calc!A245,39,1))&gt;4,VALUE(MID(calc!A245,39,2))-100,VALUE(MID(calc!A245,39,2)))*(9/5)+32)</f>
        <v>82.4</v>
      </c>
      <c r="J475" s="3553"/>
      <c r="K475" s="3553">
        <f>IF(calc!W245="","",IF(VALUE(MID(calc!A245,41,1))&gt;4,VALUE(MID(calc!A245,41,2))-100,VALUE(MID(calc!A245,41,2)))*(9/5)+32)</f>
        <v>77</v>
      </c>
      <c r="L475" s="3554"/>
      <c r="M475" s="3555">
        <f>IF(calc!W245="","",VALUE(MID(calc!A245,17,3)))</f>
        <v>-3</v>
      </c>
      <c r="N475" s="3555"/>
      <c r="O475" s="3556">
        <f>IF(calc!W245="","",IF(VALUE(MID(calc!A245,20,2))&gt;50,VALUE(MID(calc!A245,20,2))-100,VALUE(MID(calc!A245,20,2))))</f>
        <v>-5</v>
      </c>
      <c r="P475" s="3557"/>
      <c r="Q475" s="3558">
        <f>IF(calc!W245="","",VALUE(MID(calc!A245,4,3))/100)</f>
        <v>0</v>
      </c>
      <c r="R475" s="3559"/>
      <c r="S475" s="3559">
        <f>SUM(Q473:R475)</f>
        <v>0</v>
      </c>
      <c r="T475" s="3560"/>
      <c r="U475" s="3561" t="str">
        <f t="shared" si="23"/>
        <v/>
      </c>
      <c r="V475" s="3562"/>
      <c r="W475" s="3563" t="str">
        <f t="shared" si="21"/>
        <v/>
      </c>
      <c r="X475" s="3564"/>
      <c r="Y475" s="3564" t="str">
        <f t="shared" si="22"/>
        <v>RA</v>
      </c>
      <c r="Z475" s="3564"/>
      <c r="AA475" s="3565" t="str">
        <f t="shared" si="24"/>
        <v/>
      </c>
      <c r="AB475" s="3565"/>
      <c r="AC475" s="3564" t="str">
        <f t="shared" si="25"/>
        <v/>
      </c>
      <c r="AD475" s="3564"/>
      <c r="AE475" s="3564" t="str">
        <f t="shared" si="26"/>
        <v/>
      </c>
      <c r="AF475" s="3566"/>
      <c r="AG475" s="816"/>
      <c r="AH475" s="816"/>
      <c r="AI475" s="816"/>
      <c r="AJ475" s="816"/>
      <c r="AK475" s="816"/>
      <c r="AL475" s="816"/>
      <c r="AM475" s="816"/>
      <c r="AN475" s="816"/>
      <c r="AO475" s="816"/>
      <c r="AP475" s="816"/>
      <c r="AQ475" s="816"/>
      <c r="AR475" s="816"/>
      <c r="AS475" s="816"/>
      <c r="AT475" s="816"/>
      <c r="AU475" s="816"/>
      <c r="AV475" s="816"/>
      <c r="AW475" s="816"/>
      <c r="AX475" s="564"/>
    </row>
    <row r="476" spans="1:243" ht="9.75" customHeight="1">
      <c r="A476" s="1602">
        <f t="shared" si="27"/>
        <v>4</v>
      </c>
      <c r="B476" s="3570">
        <f>calc!W246</f>
        <v>44747.875</v>
      </c>
      <c r="C476" s="3571"/>
      <c r="D476" s="3572"/>
      <c r="E476" s="3573">
        <f>IF(calc!W246="","",IF(VALUE(MID(calc!A246,35,1))&gt;4,VALUE(MID(calc!A246,35,2))-100,VALUE(MID(calc!A246,35,2)))*(9/5)+32)</f>
        <v>93.2</v>
      </c>
      <c r="F476" s="3574"/>
      <c r="G476" s="3573">
        <f>IF(calc!W246="","",IF(VALUE(MID(calc!A246,37,1))&gt;4,VALUE(MID(calc!A246,37,2))-100,VALUE(MID(calc!A246,37,2)))*(9/5)+32)</f>
        <v>89.6</v>
      </c>
      <c r="H476" s="3574"/>
      <c r="I476" s="3574">
        <f>IF(calc!W246="","",IF(VALUE(MID(calc!A246,39,1))&gt;4,VALUE(MID(calc!A246,39,2))-100,VALUE(MID(calc!A246,39,2)))*(9/5)+32)</f>
        <v>82.4</v>
      </c>
      <c r="J476" s="3574"/>
      <c r="K476" s="3574">
        <f>IF(calc!W246="","",IF(VALUE(MID(calc!A246,41,1))&gt;4,VALUE(MID(calc!A246,41,2))-100,VALUE(MID(calc!A246,41,2)))*(9/5)+32)</f>
        <v>77</v>
      </c>
      <c r="L476" s="3575"/>
      <c r="M476" s="3576">
        <f>IF(calc!W246="","",VALUE(MID(calc!A246,17,3)))</f>
        <v>-17</v>
      </c>
      <c r="N476" s="3576"/>
      <c r="O476" s="3577">
        <f>IF(calc!W246="","",IF(VALUE(MID(calc!A246,20,2))&gt;50,VALUE(MID(calc!A246,20,2))-100,VALUE(MID(calc!A246,20,2))))</f>
        <v>-5</v>
      </c>
      <c r="P476" s="3578"/>
      <c r="Q476" s="3579">
        <f>IF(calc!W246="","",VALUE(MID(calc!A246,4,3))/100)</f>
        <v>0</v>
      </c>
      <c r="R476" s="3580"/>
      <c r="S476" s="3580">
        <f>SUM(Q473:R476)</f>
        <v>0</v>
      </c>
      <c r="T476" s="3581"/>
      <c r="U476" s="3582" t="str">
        <f t="shared" si="23"/>
        <v/>
      </c>
      <c r="V476" s="3583"/>
      <c r="W476" s="3584" t="str">
        <f t="shared" si="21"/>
        <v/>
      </c>
      <c r="X476" s="3585"/>
      <c r="Y476" s="3585" t="str">
        <f t="shared" si="22"/>
        <v>RA</v>
      </c>
      <c r="Z476" s="3585"/>
      <c r="AA476" s="3586" t="str">
        <f t="shared" si="24"/>
        <v/>
      </c>
      <c r="AB476" s="3586"/>
      <c r="AC476" s="3585" t="str">
        <f t="shared" si="25"/>
        <v/>
      </c>
      <c r="AD476" s="3585"/>
      <c r="AE476" s="3585" t="str">
        <f t="shared" si="26"/>
        <v/>
      </c>
      <c r="AF476" s="3587"/>
      <c r="AG476" s="816"/>
      <c r="AH476" s="816"/>
      <c r="AI476" s="816"/>
      <c r="AJ476" s="816"/>
      <c r="AK476" s="816"/>
      <c r="AL476" s="816"/>
      <c r="AM476" s="816"/>
      <c r="AN476" s="816"/>
      <c r="AO476" s="816"/>
      <c r="AP476" s="816"/>
      <c r="AQ476" s="816"/>
      <c r="AR476" s="816"/>
      <c r="AS476" s="816"/>
      <c r="AT476" s="816"/>
      <c r="AU476" s="816"/>
      <c r="AV476" s="816"/>
      <c r="AW476" s="816"/>
      <c r="AX476" s="564"/>
    </row>
    <row r="477" spans="1:243" ht="9.75" customHeight="1">
      <c r="A477" s="1601">
        <f t="shared" si="27"/>
        <v>5</v>
      </c>
      <c r="B477" s="3549">
        <f>calc!W247</f>
        <v>44747.916666666664</v>
      </c>
      <c r="C477" s="3550"/>
      <c r="D477" s="3551"/>
      <c r="E477" s="3552">
        <f>IF(calc!W247="","",IF(VALUE(MID(calc!A247,35,1))&gt;4,VALUE(MID(calc!A247,35,2))-100,VALUE(MID(calc!A247,35,2)))*(9/5)+32)</f>
        <v>93.2</v>
      </c>
      <c r="F477" s="3553"/>
      <c r="G477" s="3552">
        <f>IF(calc!W247="","",IF(VALUE(MID(calc!A247,37,1))&gt;4,VALUE(MID(calc!A247,37,2))-100,VALUE(MID(calc!A247,37,2)))*(9/5)+32)</f>
        <v>91.4</v>
      </c>
      <c r="H477" s="3553"/>
      <c r="I477" s="3553">
        <f>IF(calc!W247="","",IF(VALUE(MID(calc!A247,39,1))&gt;4,VALUE(MID(calc!A247,39,2))-100,VALUE(MID(calc!A247,39,2)))*(9/5)+32)</f>
        <v>82.4</v>
      </c>
      <c r="J477" s="3553"/>
      <c r="K477" s="3553">
        <f>IF(calc!W247="","",IF(VALUE(MID(calc!A247,41,1))&gt;4,VALUE(MID(calc!A247,41,2))-100,VALUE(MID(calc!A247,41,2)))*(9/5)+32)</f>
        <v>77</v>
      </c>
      <c r="L477" s="3554"/>
      <c r="M477" s="3555">
        <f>IF(calc!W247="","",VALUE(MID(calc!A247,17,3)))</f>
        <v>1</v>
      </c>
      <c r="N477" s="3555"/>
      <c r="O477" s="3556">
        <f>IF(calc!W247="","",IF(VALUE(MID(calc!A247,20,2))&gt;50,VALUE(MID(calc!A247,20,2))-100,VALUE(MID(calc!A247,20,2))))</f>
        <v>-6</v>
      </c>
      <c r="P477" s="3557"/>
      <c r="Q477" s="3558">
        <f>IF(calc!W247="","",VALUE(MID(calc!A247,4,3))/100)</f>
        <v>0</v>
      </c>
      <c r="R477" s="3559"/>
      <c r="S477" s="3559">
        <f>SUM(Q473:R477)</f>
        <v>0</v>
      </c>
      <c r="T477" s="3560"/>
      <c r="U477" s="3561" t="str">
        <f t="shared" si="23"/>
        <v/>
      </c>
      <c r="V477" s="3562"/>
      <c r="W477" s="3563" t="str">
        <f t="shared" si="21"/>
        <v/>
      </c>
      <c r="X477" s="3564"/>
      <c r="Y477" s="3564" t="str">
        <f t="shared" si="22"/>
        <v>RA</v>
      </c>
      <c r="Z477" s="3564"/>
      <c r="AA477" s="3565" t="str">
        <f t="shared" si="24"/>
        <v/>
      </c>
      <c r="AB477" s="3565"/>
      <c r="AC477" s="3564" t="str">
        <f t="shared" si="25"/>
        <v/>
      </c>
      <c r="AD477" s="3564"/>
      <c r="AE477" s="3564" t="str">
        <f t="shared" si="26"/>
        <v/>
      </c>
      <c r="AF477" s="3566"/>
      <c r="AG477" s="816"/>
      <c r="AH477" s="816"/>
      <c r="AI477" s="816"/>
      <c r="AJ477" s="816"/>
      <c r="AK477" s="816"/>
      <c r="AL477" s="816"/>
      <c r="AM477" s="816"/>
      <c r="AN477" s="816"/>
      <c r="AO477" s="816"/>
      <c r="AP477" s="816"/>
      <c r="AQ477" s="816"/>
      <c r="AR477" s="816"/>
      <c r="AS477" s="816"/>
      <c r="AT477" s="816"/>
      <c r="AU477" s="816"/>
      <c r="AV477" s="816"/>
      <c r="AW477" s="816"/>
      <c r="AX477" s="564"/>
    </row>
    <row r="478" spans="1:243" ht="9.75" customHeight="1">
      <c r="A478" s="1602">
        <f t="shared" si="27"/>
        <v>6</v>
      </c>
      <c r="B478" s="3570">
        <f>calc!W248</f>
        <v>44747.958333333328</v>
      </c>
      <c r="C478" s="3571"/>
      <c r="D478" s="3572"/>
      <c r="E478" s="3573">
        <f>IF(calc!W248="","",IF(VALUE(MID(calc!A248,35,1))&gt;4,VALUE(MID(calc!A248,35,2))-100,VALUE(MID(calc!A248,35,2)))*(9/5)+32)</f>
        <v>91.4</v>
      </c>
      <c r="F478" s="3574"/>
      <c r="G478" s="3573">
        <f>IF(calc!W248="","",IF(VALUE(MID(calc!A248,37,1))&gt;4,VALUE(MID(calc!A248,37,2))-100,VALUE(MID(calc!A248,37,2)))*(9/5)+32)</f>
        <v>89.6</v>
      </c>
      <c r="H478" s="3574"/>
      <c r="I478" s="3574">
        <f>IF(calc!W248="","",IF(VALUE(MID(calc!A248,39,1))&gt;4,VALUE(MID(calc!A248,39,2))-100,VALUE(MID(calc!A248,39,2)))*(9/5)+32)</f>
        <v>82.4</v>
      </c>
      <c r="J478" s="3574"/>
      <c r="K478" s="3574">
        <f>IF(calc!W248="","",IF(VALUE(MID(calc!A248,41,1))&gt;4,VALUE(MID(calc!A248,41,2))-100,VALUE(MID(calc!A248,41,2)))*(9/5)+32)</f>
        <v>77</v>
      </c>
      <c r="L478" s="3575"/>
      <c r="M478" s="3576">
        <f>IF(calc!W248="","",VALUE(MID(calc!A248,17,3)))</f>
        <v>1</v>
      </c>
      <c r="N478" s="3576"/>
      <c r="O478" s="3577">
        <f>IF(calc!W248="","",IF(VALUE(MID(calc!A248,20,2))&gt;50,VALUE(MID(calc!A248,20,2))-100,VALUE(MID(calc!A248,20,2))))</f>
        <v>-7</v>
      </c>
      <c r="P478" s="3578"/>
      <c r="Q478" s="3579">
        <f>IF(calc!W248="","",VALUE(MID(calc!A248,4,3))/100)</f>
        <v>0</v>
      </c>
      <c r="R478" s="3580"/>
      <c r="S478" s="3588">
        <f>SUM(Q473:R478)</f>
        <v>0</v>
      </c>
      <c r="T478" s="3589"/>
      <c r="U478" s="3582" t="str">
        <f t="shared" si="23"/>
        <v/>
      </c>
      <c r="V478" s="3583"/>
      <c r="W478" s="3584" t="str">
        <f t="shared" si="21"/>
        <v/>
      </c>
      <c r="X478" s="3585"/>
      <c r="Y478" s="3585" t="str">
        <f t="shared" si="22"/>
        <v>RA</v>
      </c>
      <c r="Z478" s="3585"/>
      <c r="AA478" s="3586" t="str">
        <f t="shared" si="24"/>
        <v/>
      </c>
      <c r="AB478" s="3586"/>
      <c r="AC478" s="3585" t="str">
        <f t="shared" si="25"/>
        <v/>
      </c>
      <c r="AD478" s="3585"/>
      <c r="AE478" s="3585" t="str">
        <f t="shared" si="26"/>
        <v/>
      </c>
      <c r="AF478" s="3587"/>
      <c r="AG478" s="816"/>
      <c r="AH478" s="816"/>
      <c r="AI478" s="816"/>
      <c r="AJ478" s="816"/>
      <c r="AK478" s="816"/>
      <c r="AL478" s="816"/>
      <c r="AM478" s="816"/>
      <c r="AN478" s="816"/>
      <c r="AO478" s="816"/>
      <c r="AP478" s="816"/>
      <c r="AQ478" s="816"/>
      <c r="AR478" s="816"/>
      <c r="AS478" s="816"/>
      <c r="AT478" s="816"/>
      <c r="AU478" s="816"/>
      <c r="AV478" s="816"/>
      <c r="AW478" s="816"/>
      <c r="AX478" s="564"/>
    </row>
    <row r="479" spans="1:243" ht="9.75" customHeight="1">
      <c r="A479" s="1601">
        <f t="shared" si="27"/>
        <v>7</v>
      </c>
      <c r="B479" s="3549">
        <f>calc!W249</f>
        <v>44748</v>
      </c>
      <c r="C479" s="3550"/>
      <c r="D479" s="3551"/>
      <c r="E479" s="3552">
        <f>IF(calc!W249="","",IF(VALUE(MID(calc!A249,35,1))&gt;4,VALUE(MID(calc!A249,35,2))-100,VALUE(MID(calc!A249,35,2)))*(9/5)+32)</f>
        <v>89.6</v>
      </c>
      <c r="F479" s="3553"/>
      <c r="G479" s="3552">
        <f>IF(calc!W249="","",IF(VALUE(MID(calc!A249,37,1))&gt;4,VALUE(MID(calc!A249,37,2))-100,VALUE(MID(calc!A249,37,2)))*(9/5)+32)</f>
        <v>89.6</v>
      </c>
      <c r="H479" s="3553"/>
      <c r="I479" s="3553">
        <f>IF(calc!W249="","",IF(VALUE(MID(calc!A249,39,1))&gt;4,VALUE(MID(calc!A249,39,2))-100,VALUE(MID(calc!A249,39,2)))*(9/5)+32)</f>
        <v>82.4</v>
      </c>
      <c r="J479" s="3553"/>
      <c r="K479" s="3553">
        <f>IF(calc!W249="","",IF(VALUE(MID(calc!A249,41,1))&gt;4,VALUE(MID(calc!A249,41,2))-100,VALUE(MID(calc!A249,41,2)))*(9/5)+32)</f>
        <v>77</v>
      </c>
      <c r="L479" s="3554"/>
      <c r="M479" s="3555">
        <f>IF(calc!W249="","",VALUE(MID(calc!A249,17,3)))</f>
        <v>-9</v>
      </c>
      <c r="N479" s="3555"/>
      <c r="O479" s="3556">
        <f>IF(calc!W249="","",IF(VALUE(MID(calc!A249,20,2))&gt;50,VALUE(MID(calc!A249,20,2))-100,VALUE(MID(calc!A249,20,2))))</f>
        <v>-9</v>
      </c>
      <c r="P479" s="3557"/>
      <c r="Q479" s="3558">
        <f>IF(calc!W249="","",VALUE(MID(calc!A249,4,3))/100)</f>
        <v>0</v>
      </c>
      <c r="R479" s="3559"/>
      <c r="S479" s="3559">
        <f>SUM(Q473:R479)</f>
        <v>0</v>
      </c>
      <c r="T479" s="3560"/>
      <c r="U479" s="3561" t="str">
        <f t="shared" si="23"/>
        <v/>
      </c>
      <c r="V479" s="3562"/>
      <c r="W479" s="3563" t="str">
        <f t="shared" si="21"/>
        <v/>
      </c>
      <c r="X479" s="3564"/>
      <c r="Y479" s="3564" t="str">
        <f t="shared" si="22"/>
        <v>RA</v>
      </c>
      <c r="Z479" s="3564"/>
      <c r="AA479" s="3565" t="str">
        <f t="shared" si="24"/>
        <v/>
      </c>
      <c r="AB479" s="3565"/>
      <c r="AC479" s="3564" t="str">
        <f t="shared" si="25"/>
        <v/>
      </c>
      <c r="AD479" s="3564"/>
      <c r="AE479" s="3564" t="str">
        <f t="shared" si="26"/>
        <v/>
      </c>
      <c r="AF479" s="3566"/>
      <c r="AG479" s="816"/>
      <c r="AH479" s="816"/>
      <c r="AI479" s="816"/>
      <c r="AJ479" s="816"/>
      <c r="AK479" s="816"/>
      <c r="AL479" s="816"/>
      <c r="AM479" s="816"/>
      <c r="AN479" s="816"/>
      <c r="AO479" s="816"/>
      <c r="AP479" s="816"/>
      <c r="AQ479" s="816"/>
      <c r="AR479" s="816"/>
      <c r="AS479" s="816"/>
      <c r="AT479" s="816"/>
      <c r="AU479" s="816"/>
      <c r="AV479" s="816"/>
      <c r="AW479" s="816"/>
      <c r="AX479" s="564"/>
    </row>
    <row r="480" spans="1:243" ht="9.75" customHeight="1">
      <c r="A480" s="1602">
        <f t="shared" si="27"/>
        <v>8</v>
      </c>
      <c r="B480" s="3570">
        <f>calc!W250</f>
        <v>44748.041666666664</v>
      </c>
      <c r="C480" s="3571"/>
      <c r="D480" s="3572"/>
      <c r="E480" s="3573">
        <f>IF(calc!W250="","",IF(VALUE(MID(calc!A250,35,1))&gt;4,VALUE(MID(calc!A250,35,2))-100,VALUE(MID(calc!A250,35,2)))*(9/5)+32)</f>
        <v>86</v>
      </c>
      <c r="F480" s="3574"/>
      <c r="G480" s="3573">
        <f>IF(calc!W250="","",IF(VALUE(MID(calc!A250,37,1))&gt;4,VALUE(MID(calc!A250,37,2))-100,VALUE(MID(calc!A250,37,2)))*(9/5)+32)</f>
        <v>89.6</v>
      </c>
      <c r="H480" s="3574"/>
      <c r="I480" s="3574">
        <f>IF(calc!W250="","",IF(VALUE(MID(calc!A250,39,1))&gt;4,VALUE(MID(calc!A250,39,2))-100,VALUE(MID(calc!A250,39,2)))*(9/5)+32)</f>
        <v>82.4</v>
      </c>
      <c r="J480" s="3574"/>
      <c r="K480" s="3574">
        <f>IF(calc!W250="","",IF(VALUE(MID(calc!A250,41,1))&gt;4,VALUE(MID(calc!A250,41,2))-100,VALUE(MID(calc!A250,41,2)))*(9/5)+32)</f>
        <v>77</v>
      </c>
      <c r="L480" s="3575"/>
      <c r="M480" s="3576">
        <f>IF(calc!W250="","",VALUE(MID(calc!A250,17,3)))</f>
        <v>14</v>
      </c>
      <c r="N480" s="3576"/>
      <c r="O480" s="3577">
        <f>IF(calc!W250="","",IF(VALUE(MID(calc!A250,20,2))&gt;50,VALUE(MID(calc!A250,20,2))-100,VALUE(MID(calc!A250,20,2))))</f>
        <v>-9</v>
      </c>
      <c r="P480" s="3578"/>
      <c r="Q480" s="3579">
        <f>IF(calc!W250="","",VALUE(MID(calc!A250,4,3))/100)</f>
        <v>0</v>
      </c>
      <c r="R480" s="3580"/>
      <c r="S480" s="3588">
        <f>SUM(Q473:R480)</f>
        <v>0</v>
      </c>
      <c r="T480" s="3589"/>
      <c r="U480" s="3582" t="str">
        <f t="shared" si="23"/>
        <v/>
      </c>
      <c r="V480" s="3583"/>
      <c r="W480" s="3584" t="str">
        <f t="shared" si="21"/>
        <v/>
      </c>
      <c r="X480" s="3585"/>
      <c r="Y480" s="3585" t="str">
        <f t="shared" si="22"/>
        <v>RA</v>
      </c>
      <c r="Z480" s="3585"/>
      <c r="AA480" s="3586" t="str">
        <f t="shared" si="24"/>
        <v/>
      </c>
      <c r="AB480" s="3586"/>
      <c r="AC480" s="3585" t="str">
        <f t="shared" si="25"/>
        <v/>
      </c>
      <c r="AD480" s="3585"/>
      <c r="AE480" s="3585" t="str">
        <f t="shared" si="26"/>
        <v/>
      </c>
      <c r="AF480" s="3587"/>
      <c r="AG480" s="816"/>
      <c r="AH480" s="816"/>
      <c r="AI480" s="816"/>
      <c r="AJ480" s="816"/>
      <c r="AK480" s="816"/>
      <c r="AL480" s="816"/>
      <c r="AM480" s="816"/>
      <c r="AN480" s="816"/>
      <c r="AO480" s="816"/>
      <c r="AP480" s="816"/>
      <c r="AQ480" s="816"/>
      <c r="AR480" s="816"/>
      <c r="AS480" s="816"/>
      <c r="AT480" s="816"/>
      <c r="AU480" s="816"/>
      <c r="AV480" s="816"/>
      <c r="AW480" s="816"/>
      <c r="AX480" s="564"/>
    </row>
    <row r="481" spans="1:50" ht="9.75" customHeight="1">
      <c r="A481" s="1601">
        <f t="shared" si="27"/>
        <v>9</v>
      </c>
      <c r="B481" s="3549">
        <f>calc!W251</f>
        <v>44748.083333333328</v>
      </c>
      <c r="C481" s="3550"/>
      <c r="D481" s="3551"/>
      <c r="E481" s="3552">
        <f>IF(calc!W251="","",IF(VALUE(MID(calc!A251,35,1))&gt;4,VALUE(MID(calc!A251,35,2))-100,VALUE(MID(calc!A251,35,2)))*(9/5)+32)</f>
        <v>84.2</v>
      </c>
      <c r="F481" s="3553"/>
      <c r="G481" s="3552">
        <f>IF(calc!W251="","",IF(VALUE(MID(calc!A251,37,1))&gt;4,VALUE(MID(calc!A251,37,2))-100,VALUE(MID(calc!A251,37,2)))*(9/5)+32)</f>
        <v>87.800000000000011</v>
      </c>
      <c r="H481" s="3553"/>
      <c r="I481" s="3553">
        <f>IF(calc!W251="","",IF(VALUE(MID(calc!A251,39,1))&gt;4,VALUE(MID(calc!A251,39,2))-100,VALUE(MID(calc!A251,39,2)))*(9/5)+32)</f>
        <v>82.4</v>
      </c>
      <c r="J481" s="3553"/>
      <c r="K481" s="3553">
        <f>IF(calc!W251="","",IF(VALUE(MID(calc!A251,41,1))&gt;4,VALUE(MID(calc!A251,41,2))-100,VALUE(MID(calc!A251,41,2)))*(9/5)+32)</f>
        <v>77</v>
      </c>
      <c r="L481" s="3554"/>
      <c r="M481" s="3555">
        <f>IF(calc!W251="","",VALUE(MID(calc!A251,17,3)))</f>
        <v>0</v>
      </c>
      <c r="N481" s="3555"/>
      <c r="O481" s="3556">
        <f>IF(calc!W251="","",IF(VALUE(MID(calc!A251,20,2))&gt;50,VALUE(MID(calc!A251,20,2))-100,VALUE(MID(calc!A251,20,2))))</f>
        <v>-9</v>
      </c>
      <c r="P481" s="3557"/>
      <c r="Q481" s="3558">
        <f>IF(calc!W251="","",VALUE(MID(calc!A251,4,3))/100)</f>
        <v>0</v>
      </c>
      <c r="R481" s="3559"/>
      <c r="S481" s="3559">
        <f>SUM(Q473:R481)</f>
        <v>0</v>
      </c>
      <c r="T481" s="3560"/>
      <c r="U481" s="3561" t="str">
        <f t="shared" si="23"/>
        <v/>
      </c>
      <c r="V481" s="3562"/>
      <c r="W481" s="3563" t="str">
        <f t="shared" si="21"/>
        <v/>
      </c>
      <c r="X481" s="3564"/>
      <c r="Y481" s="3564" t="str">
        <f t="shared" si="22"/>
        <v>RA</v>
      </c>
      <c r="Z481" s="3564"/>
      <c r="AA481" s="3565" t="str">
        <f t="shared" si="24"/>
        <v/>
      </c>
      <c r="AB481" s="3565"/>
      <c r="AC481" s="3564" t="str">
        <f t="shared" si="25"/>
        <v/>
      </c>
      <c r="AD481" s="3564"/>
      <c r="AE481" s="3564" t="str">
        <f t="shared" si="26"/>
        <v/>
      </c>
      <c r="AF481" s="3566"/>
      <c r="AG481" s="816"/>
      <c r="AH481" s="816"/>
      <c r="AI481" s="816"/>
      <c r="AJ481" s="816"/>
      <c r="AK481" s="816"/>
      <c r="AL481" s="816"/>
      <c r="AM481" s="816"/>
      <c r="AN481" s="816"/>
      <c r="AO481" s="816"/>
      <c r="AP481" s="816"/>
      <c r="AQ481" s="816"/>
      <c r="AR481" s="816"/>
      <c r="AS481" s="816"/>
      <c r="AT481" s="816"/>
      <c r="AU481" s="816"/>
      <c r="AV481" s="816"/>
      <c r="AW481" s="816"/>
      <c r="AX481" s="564"/>
    </row>
    <row r="482" spans="1:50" ht="9.75" customHeight="1">
      <c r="A482" s="1602">
        <f t="shared" si="27"/>
        <v>10</v>
      </c>
      <c r="B482" s="3570">
        <f>calc!W252</f>
        <v>44748.125</v>
      </c>
      <c r="C482" s="3571"/>
      <c r="D482" s="3572"/>
      <c r="E482" s="3573">
        <f>IF(calc!W252="","",IF(VALUE(MID(calc!A252,35,1))&gt;4,VALUE(MID(calc!A252,35,2))-100,VALUE(MID(calc!A252,35,2)))*(9/5)+32)</f>
        <v>82.4</v>
      </c>
      <c r="F482" s="3574"/>
      <c r="G482" s="3573">
        <f>IF(calc!W252="","",IF(VALUE(MID(calc!A252,37,1))&gt;4,VALUE(MID(calc!A252,37,2))-100,VALUE(MID(calc!A252,37,2)))*(9/5)+32)</f>
        <v>87.800000000000011</v>
      </c>
      <c r="H482" s="3574"/>
      <c r="I482" s="3574">
        <f>IF(calc!W252="","",IF(VALUE(MID(calc!A252,39,1))&gt;4,VALUE(MID(calc!A252,39,2))-100,VALUE(MID(calc!A252,39,2)))*(9/5)+32)</f>
        <v>80.599999999999994</v>
      </c>
      <c r="J482" s="3574"/>
      <c r="K482" s="3574">
        <f>IF(calc!W252="","",IF(VALUE(MID(calc!A252,41,1))&gt;4,VALUE(MID(calc!A252,41,2))-100,VALUE(MID(calc!A252,41,2)))*(9/5)+32)</f>
        <v>77</v>
      </c>
      <c r="L482" s="3575"/>
      <c r="M482" s="3576">
        <f>IF(calc!W252="","",VALUE(MID(calc!A252,17,3)))</f>
        <v>-25</v>
      </c>
      <c r="N482" s="3576"/>
      <c r="O482" s="3577">
        <f>IF(calc!W252="","",IF(VALUE(MID(calc!A252,20,2))&gt;50,VALUE(MID(calc!A252,20,2))-100,VALUE(MID(calc!A252,20,2))))</f>
        <v>-8</v>
      </c>
      <c r="P482" s="3578"/>
      <c r="Q482" s="3579">
        <f>IF(calc!W252="","",VALUE(MID(calc!A252,4,3))/100)</f>
        <v>0</v>
      </c>
      <c r="R482" s="3580"/>
      <c r="S482" s="3588">
        <f>SUM(Q473:R482)</f>
        <v>0</v>
      </c>
      <c r="T482" s="3589"/>
      <c r="U482" s="3582" t="str">
        <f t="shared" si="23"/>
        <v/>
      </c>
      <c r="V482" s="3583"/>
      <c r="W482" s="3584" t="str">
        <f t="shared" si="21"/>
        <v/>
      </c>
      <c r="X482" s="3585"/>
      <c r="Y482" s="3585" t="str">
        <f t="shared" si="22"/>
        <v>RA</v>
      </c>
      <c r="Z482" s="3585"/>
      <c r="AA482" s="3586" t="str">
        <f t="shared" si="24"/>
        <v/>
      </c>
      <c r="AB482" s="3586"/>
      <c r="AC482" s="3585" t="str">
        <f t="shared" si="25"/>
        <v/>
      </c>
      <c r="AD482" s="3585"/>
      <c r="AE482" s="3585" t="str">
        <f t="shared" si="26"/>
        <v/>
      </c>
      <c r="AF482" s="3587"/>
      <c r="AG482" s="816"/>
      <c r="AH482" s="816"/>
      <c r="AI482" s="816"/>
      <c r="AJ482" s="816"/>
      <c r="AK482" s="816"/>
      <c r="AL482" s="816"/>
      <c r="AM482" s="816"/>
      <c r="AN482" s="816"/>
      <c r="AO482" s="816"/>
      <c r="AP482" s="816"/>
      <c r="AQ482" s="816"/>
      <c r="AR482" s="816"/>
      <c r="AS482" s="816"/>
      <c r="AT482" s="816"/>
      <c r="AU482" s="816"/>
      <c r="AV482" s="816"/>
      <c r="AW482" s="816"/>
      <c r="AX482" s="564"/>
    </row>
    <row r="483" spans="1:50" ht="9.75" customHeight="1">
      <c r="A483" s="1601">
        <f t="shared" si="27"/>
        <v>11</v>
      </c>
      <c r="B483" s="3549">
        <f>calc!W253</f>
        <v>44748.166666666664</v>
      </c>
      <c r="C483" s="3550"/>
      <c r="D483" s="3551"/>
      <c r="E483" s="3552">
        <f>IF(calc!W253="","",IF(VALUE(MID(calc!A253,35,1))&gt;4,VALUE(MID(calc!A253,35,2))-100,VALUE(MID(calc!A253,35,2)))*(9/5)+32)</f>
        <v>80.599999999999994</v>
      </c>
      <c r="F483" s="3553"/>
      <c r="G483" s="3552">
        <f>IF(calc!W253="","",IF(VALUE(MID(calc!A253,37,1))&gt;4,VALUE(MID(calc!A253,37,2))-100,VALUE(MID(calc!A253,37,2)))*(9/5)+32)</f>
        <v>86</v>
      </c>
      <c r="H483" s="3553"/>
      <c r="I483" s="3553">
        <f>IF(calc!W253="","",IF(VALUE(MID(calc!A253,39,1))&gt;4,VALUE(MID(calc!A253,39,2))-100,VALUE(MID(calc!A253,39,2)))*(9/5)+32)</f>
        <v>80.599999999999994</v>
      </c>
      <c r="J483" s="3553"/>
      <c r="K483" s="3553">
        <f>IF(calc!W253="","",IF(VALUE(MID(calc!A253,41,1))&gt;4,VALUE(MID(calc!A253,41,2))-100,VALUE(MID(calc!A253,41,2)))*(9/5)+32)</f>
        <v>77</v>
      </c>
      <c r="L483" s="3554"/>
      <c r="M483" s="3555">
        <f>IF(calc!W253="","",VALUE(MID(calc!A253,17,3)))</f>
        <v>-8</v>
      </c>
      <c r="N483" s="3555"/>
      <c r="O483" s="3556">
        <f>IF(calc!W253="","",IF(VALUE(MID(calc!A253,20,2))&gt;50,VALUE(MID(calc!A253,20,2))-100,VALUE(MID(calc!A253,20,2))))</f>
        <v>-7</v>
      </c>
      <c r="P483" s="3557"/>
      <c r="Q483" s="3558">
        <f>IF(calc!W253="","",VALUE(MID(calc!A253,4,3))/100)</f>
        <v>0</v>
      </c>
      <c r="R483" s="3559"/>
      <c r="S483" s="3559">
        <f>SUM(Q473:R483)</f>
        <v>0</v>
      </c>
      <c r="T483" s="3560"/>
      <c r="U483" s="3561" t="str">
        <f t="shared" si="23"/>
        <v/>
      </c>
      <c r="V483" s="3562"/>
      <c r="W483" s="3563" t="str">
        <f t="shared" si="21"/>
        <v/>
      </c>
      <c r="X483" s="3564"/>
      <c r="Y483" s="3564" t="str">
        <f t="shared" si="22"/>
        <v>RA</v>
      </c>
      <c r="Z483" s="3564"/>
      <c r="AA483" s="3565" t="str">
        <f t="shared" si="24"/>
        <v/>
      </c>
      <c r="AB483" s="3565"/>
      <c r="AC483" s="3564" t="str">
        <f t="shared" si="25"/>
        <v/>
      </c>
      <c r="AD483" s="3564"/>
      <c r="AE483" s="3564" t="str">
        <f t="shared" si="26"/>
        <v/>
      </c>
      <c r="AF483" s="3566"/>
      <c r="AG483" s="816"/>
      <c r="AH483" s="816"/>
      <c r="AI483" s="816"/>
      <c r="AJ483" s="816"/>
      <c r="AK483" s="816"/>
      <c r="AL483" s="816"/>
      <c r="AM483" s="816"/>
      <c r="AN483" s="816"/>
      <c r="AO483" s="816"/>
      <c r="AP483" s="816"/>
      <c r="AQ483" s="816"/>
      <c r="AR483" s="816"/>
      <c r="AS483" s="816"/>
      <c r="AT483" s="816"/>
      <c r="AU483" s="816"/>
      <c r="AV483" s="816"/>
      <c r="AW483" s="816"/>
      <c r="AX483" s="564"/>
    </row>
    <row r="484" spans="1:50" ht="9.75" customHeight="1">
      <c r="A484" s="1602">
        <f t="shared" si="27"/>
        <v>12</v>
      </c>
      <c r="B484" s="3570">
        <f>calc!W254</f>
        <v>44748.208333333328</v>
      </c>
      <c r="C484" s="3571"/>
      <c r="D484" s="3572"/>
      <c r="E484" s="3573">
        <f>IF(calc!W254="","",IF(VALUE(MID(calc!A254,35,1))&gt;4,VALUE(MID(calc!A254,35,2))-100,VALUE(MID(calc!A254,35,2)))*(9/5)+32)</f>
        <v>80.599999999999994</v>
      </c>
      <c r="F484" s="3574"/>
      <c r="G484" s="3573">
        <f>IF(calc!W254="","",IF(VALUE(MID(calc!A254,37,1))&gt;4,VALUE(MID(calc!A254,37,2))-100,VALUE(MID(calc!A254,37,2)))*(9/5)+32)</f>
        <v>86</v>
      </c>
      <c r="H484" s="3574"/>
      <c r="I484" s="3574">
        <f>IF(calc!W254="","",IF(VALUE(MID(calc!A254,39,1))&gt;4,VALUE(MID(calc!A254,39,2))-100,VALUE(MID(calc!A254,39,2)))*(9/5)+32)</f>
        <v>80.599999999999994</v>
      </c>
      <c r="J484" s="3574"/>
      <c r="K484" s="3574">
        <f>IF(calc!W254="","",IF(VALUE(MID(calc!A254,41,1))&gt;4,VALUE(MID(calc!A254,41,2))-100,VALUE(MID(calc!A254,41,2)))*(9/5)+32)</f>
        <v>75.2</v>
      </c>
      <c r="L484" s="3575"/>
      <c r="M484" s="3576">
        <f>IF(calc!W254="","",VALUE(MID(calc!A254,17,3)))</f>
        <v>14</v>
      </c>
      <c r="N484" s="3576"/>
      <c r="O484" s="3577">
        <f>IF(calc!W254="","",IF(VALUE(MID(calc!A254,20,2))&gt;50,VALUE(MID(calc!A254,20,2))-100,VALUE(MID(calc!A254,20,2))))</f>
        <v>-7</v>
      </c>
      <c r="P484" s="3578"/>
      <c r="Q484" s="3579">
        <f>IF(calc!W254="","",VALUE(MID(calc!A254,4,3))/100)</f>
        <v>0</v>
      </c>
      <c r="R484" s="3580"/>
      <c r="S484" s="3588">
        <f t="shared" ref="S484:S514" si="28">SUM(Q473:R484)</f>
        <v>0</v>
      </c>
      <c r="T484" s="3589"/>
      <c r="U484" s="3582" t="str">
        <f t="shared" si="23"/>
        <v/>
      </c>
      <c r="V484" s="3583"/>
      <c r="W484" s="3584" t="str">
        <f t="shared" si="21"/>
        <v/>
      </c>
      <c r="X484" s="3585"/>
      <c r="Y484" s="3585" t="str">
        <f t="shared" si="22"/>
        <v>RA</v>
      </c>
      <c r="Z484" s="3585"/>
      <c r="AA484" s="3586" t="str">
        <f t="shared" si="24"/>
        <v/>
      </c>
      <c r="AB484" s="3586"/>
      <c r="AC484" s="3585" t="str">
        <f t="shared" si="25"/>
        <v/>
      </c>
      <c r="AD484" s="3585"/>
      <c r="AE484" s="3585" t="str">
        <f t="shared" si="26"/>
        <v/>
      </c>
      <c r="AF484" s="3587"/>
      <c r="AG484" s="816"/>
      <c r="AH484" s="816"/>
      <c r="AI484" s="816"/>
      <c r="AJ484" s="816"/>
      <c r="AK484" s="816"/>
      <c r="AL484" s="816"/>
      <c r="AM484" s="816"/>
      <c r="AN484" s="816"/>
      <c r="AO484" s="816"/>
      <c r="AP484" s="816"/>
      <c r="AQ484" s="816"/>
      <c r="AR484" s="816"/>
      <c r="AS484" s="816"/>
      <c r="AT484" s="816"/>
      <c r="AU484" s="816"/>
      <c r="AV484" s="816"/>
      <c r="AW484" s="816"/>
      <c r="AX484" s="564"/>
    </row>
    <row r="485" spans="1:50" ht="9.75" customHeight="1">
      <c r="A485" s="1601">
        <f t="shared" si="27"/>
        <v>13</v>
      </c>
      <c r="B485" s="3549">
        <f>calc!W255</f>
        <v>44748.25</v>
      </c>
      <c r="C485" s="3550"/>
      <c r="D485" s="3551"/>
      <c r="E485" s="3552">
        <f>IF(calc!W255="","",IF(VALUE(MID(calc!A255,35,1))&gt;4,VALUE(MID(calc!A255,35,2))-100,VALUE(MID(calc!A255,35,2)))*(9/5)+32)</f>
        <v>78.800000000000011</v>
      </c>
      <c r="F485" s="3553"/>
      <c r="G485" s="3552">
        <f>IF(calc!W255="","",IF(VALUE(MID(calc!A255,37,1))&gt;4,VALUE(MID(calc!A255,37,2))-100,VALUE(MID(calc!A255,37,2)))*(9/5)+32)</f>
        <v>84.2</v>
      </c>
      <c r="H485" s="3553"/>
      <c r="I485" s="3553">
        <f>IF(calc!W255="","",IF(VALUE(MID(calc!A255,39,1))&gt;4,VALUE(MID(calc!A255,39,2))-100,VALUE(MID(calc!A255,39,2)))*(9/5)+32)</f>
        <v>80.599999999999994</v>
      </c>
      <c r="J485" s="3553"/>
      <c r="K485" s="3553">
        <f>IF(calc!W255="","",IF(VALUE(MID(calc!A255,41,1))&gt;4,VALUE(MID(calc!A255,41,2))-100,VALUE(MID(calc!A255,41,2)))*(9/5)+32)</f>
        <v>75.2</v>
      </c>
      <c r="L485" s="3554"/>
      <c r="M485" s="3555">
        <f>IF(calc!W255="","",VALUE(MID(calc!A255,17,3)))</f>
        <v>-8</v>
      </c>
      <c r="N485" s="3555"/>
      <c r="O485" s="3556">
        <f>IF(calc!W255="","",IF(VALUE(MID(calc!A255,20,2))&gt;50,VALUE(MID(calc!A255,20,2))-100,VALUE(MID(calc!A255,20,2))))</f>
        <v>-7</v>
      </c>
      <c r="P485" s="3557"/>
      <c r="Q485" s="3558">
        <f>IF(calc!W255="","",VALUE(MID(calc!A255,4,3))/100)</f>
        <v>0</v>
      </c>
      <c r="R485" s="3559"/>
      <c r="S485" s="3559">
        <f t="shared" si="28"/>
        <v>0</v>
      </c>
      <c r="T485" s="3560"/>
      <c r="U485" s="3561" t="str">
        <f t="shared" si="23"/>
        <v/>
      </c>
      <c r="V485" s="3562"/>
      <c r="W485" s="3563" t="str">
        <f t="shared" si="21"/>
        <v/>
      </c>
      <c r="X485" s="3564"/>
      <c r="Y485" s="3564" t="str">
        <f t="shared" si="22"/>
        <v>RA</v>
      </c>
      <c r="Z485" s="3564"/>
      <c r="AA485" s="3565" t="str">
        <f t="shared" si="24"/>
        <v/>
      </c>
      <c r="AB485" s="3565"/>
      <c r="AC485" s="3564" t="str">
        <f t="shared" si="25"/>
        <v/>
      </c>
      <c r="AD485" s="3564"/>
      <c r="AE485" s="3564" t="str">
        <f t="shared" si="26"/>
        <v/>
      </c>
      <c r="AF485" s="3566"/>
      <c r="AG485" s="816"/>
      <c r="AH485" s="816"/>
      <c r="AI485" s="816"/>
      <c r="AJ485" s="816"/>
      <c r="AK485" s="816"/>
      <c r="AL485" s="816"/>
      <c r="AM485" s="816"/>
      <c r="AN485" s="816"/>
      <c r="AO485" s="816"/>
      <c r="AP485" s="816"/>
      <c r="AQ485" s="816"/>
      <c r="AR485" s="816"/>
      <c r="AS485" s="816"/>
      <c r="AT485" s="816"/>
      <c r="AU485" s="816"/>
      <c r="AV485" s="816"/>
      <c r="AW485" s="816"/>
      <c r="AX485" s="564"/>
    </row>
    <row r="486" spans="1:50" ht="9.75" customHeight="1">
      <c r="A486" s="1602">
        <f t="shared" si="27"/>
        <v>14</v>
      </c>
      <c r="B486" s="3570">
        <f>calc!W256</f>
        <v>44748.291666666664</v>
      </c>
      <c r="C486" s="3571"/>
      <c r="D486" s="3572"/>
      <c r="E486" s="3573">
        <f>IF(calc!W256="","",IF(VALUE(MID(calc!A256,35,1))&gt;4,VALUE(MID(calc!A256,35,2))-100,VALUE(MID(calc!A256,35,2)))*(9/5)+32)</f>
        <v>78.800000000000011</v>
      </c>
      <c r="F486" s="3574"/>
      <c r="G486" s="3573">
        <f>IF(calc!W256="","",IF(VALUE(MID(calc!A256,37,1))&gt;4,VALUE(MID(calc!A256,37,2))-100,VALUE(MID(calc!A256,37,2)))*(9/5)+32)</f>
        <v>84.2</v>
      </c>
      <c r="H486" s="3574"/>
      <c r="I486" s="3574">
        <f>IF(calc!W256="","",IF(VALUE(MID(calc!A256,39,1))&gt;4,VALUE(MID(calc!A256,39,2))-100,VALUE(MID(calc!A256,39,2)))*(9/5)+32)</f>
        <v>78.800000000000011</v>
      </c>
      <c r="J486" s="3574"/>
      <c r="K486" s="3574">
        <f>IF(calc!W256="","",IF(VALUE(MID(calc!A256,41,1))&gt;4,VALUE(MID(calc!A256,41,2))-100,VALUE(MID(calc!A256,41,2)))*(9/5)+32)</f>
        <v>75.2</v>
      </c>
      <c r="L486" s="3575"/>
      <c r="M486" s="3576">
        <f>IF(calc!W256="","",VALUE(MID(calc!A256,17,3)))</f>
        <v>5</v>
      </c>
      <c r="N486" s="3576"/>
      <c r="O486" s="3577">
        <f>IF(calc!W256="","",IF(VALUE(MID(calc!A256,20,2))&gt;50,VALUE(MID(calc!A256,20,2))-100,VALUE(MID(calc!A256,20,2))))</f>
        <v>-6</v>
      </c>
      <c r="P486" s="3578"/>
      <c r="Q486" s="3579">
        <f>IF(calc!W256="","",VALUE(MID(calc!A256,4,3))/100)</f>
        <v>0</v>
      </c>
      <c r="R486" s="3580"/>
      <c r="S486" s="3588">
        <f t="shared" si="28"/>
        <v>0</v>
      </c>
      <c r="T486" s="3589"/>
      <c r="U486" s="3582" t="str">
        <f>IF(Q486=0,"",IF(W486&lt;&gt;"","RASN",IF(Y486&lt;&gt;"","RA",IF(AA486&lt;&gt;"","SN",IF(AC486&lt;&gt;"","FZ","IP")))))</f>
        <v/>
      </c>
      <c r="V486" s="3583"/>
      <c r="W486" s="3584" t="str">
        <f t="shared" si="21"/>
        <v/>
      </c>
      <c r="X486" s="3585"/>
      <c r="Y486" s="3585" t="str">
        <f t="shared" si="22"/>
        <v>RA</v>
      </c>
      <c r="Z486" s="3585"/>
      <c r="AA486" s="3586" t="str">
        <f t="shared" si="24"/>
        <v/>
      </c>
      <c r="AB486" s="3586"/>
      <c r="AC486" s="3585" t="str">
        <f t="shared" si="25"/>
        <v/>
      </c>
      <c r="AD486" s="3585"/>
      <c r="AE486" s="3585" t="str">
        <f t="shared" si="26"/>
        <v/>
      </c>
      <c r="AF486" s="3587"/>
      <c r="AG486" s="816"/>
      <c r="AH486" s="816"/>
      <c r="AI486" s="816"/>
      <c r="AJ486" s="816"/>
      <c r="AK486" s="816"/>
      <c r="AL486" s="816"/>
      <c r="AM486" s="816"/>
      <c r="AN486" s="816"/>
      <c r="AO486" s="816"/>
      <c r="AP486" s="816"/>
      <c r="AQ486" s="816"/>
      <c r="AR486" s="816"/>
      <c r="AS486" s="816"/>
      <c r="AT486" s="816"/>
      <c r="AU486" s="816"/>
      <c r="AV486" s="816"/>
      <c r="AW486" s="816"/>
      <c r="AX486" s="564"/>
    </row>
    <row r="487" spans="1:50" ht="9.75" customHeight="1">
      <c r="A487" s="1601">
        <f t="shared" si="27"/>
        <v>15</v>
      </c>
      <c r="B487" s="3549">
        <f>calc!W257</f>
        <v>44748.333333333328</v>
      </c>
      <c r="C487" s="3550"/>
      <c r="D487" s="3551"/>
      <c r="E487" s="3552">
        <f>IF(calc!W257="","",IF(VALUE(MID(calc!A257,35,1))&gt;4,VALUE(MID(calc!A257,35,2))-100,VALUE(MID(calc!A257,35,2)))*(9/5)+32)</f>
        <v>78.800000000000011</v>
      </c>
      <c r="F487" s="3553"/>
      <c r="G487" s="3552">
        <f>IF(calc!W257="","",IF(VALUE(MID(calc!A257,37,1))&gt;4,VALUE(MID(calc!A257,37,2))-100,VALUE(MID(calc!A257,37,2)))*(9/5)+32)</f>
        <v>80.599999999999994</v>
      </c>
      <c r="H487" s="3553"/>
      <c r="I487" s="3553">
        <f>IF(calc!W257="","",IF(VALUE(MID(calc!A257,39,1))&gt;4,VALUE(MID(calc!A257,39,2))-100,VALUE(MID(calc!A257,39,2)))*(9/5)+32)</f>
        <v>78.800000000000011</v>
      </c>
      <c r="J487" s="3553"/>
      <c r="K487" s="3553">
        <f>IF(calc!W257="","",IF(VALUE(MID(calc!A257,41,1))&gt;4,VALUE(MID(calc!A257,41,2))-100,VALUE(MID(calc!A257,41,2)))*(9/5)+32)</f>
        <v>75.2</v>
      </c>
      <c r="L487" s="3554"/>
      <c r="M487" s="3555">
        <f>IF(calc!W257="","",VALUE(MID(calc!A257,17,3)))</f>
        <v>35</v>
      </c>
      <c r="N487" s="3555"/>
      <c r="O487" s="3556">
        <f>IF(calc!W257="","",IF(VALUE(MID(calc!A257,20,2))&gt;50,VALUE(MID(calc!A257,20,2))-100,VALUE(MID(calc!A257,20,2))))</f>
        <v>-6</v>
      </c>
      <c r="P487" s="3557"/>
      <c r="Q487" s="3558">
        <f>IF(calc!W257="","",VALUE(MID(calc!A257,4,3))/100)</f>
        <v>0</v>
      </c>
      <c r="R487" s="3559"/>
      <c r="S487" s="3559">
        <f t="shared" si="28"/>
        <v>0</v>
      </c>
      <c r="T487" s="3560"/>
      <c r="U487" s="3561" t="str">
        <f t="shared" si="23"/>
        <v/>
      </c>
      <c r="V487" s="3562"/>
      <c r="W487" s="3563" t="str">
        <f t="shared" si="21"/>
        <v/>
      </c>
      <c r="X487" s="3564"/>
      <c r="Y487" s="3564" t="str">
        <f t="shared" si="22"/>
        <v>RA</v>
      </c>
      <c r="Z487" s="3564"/>
      <c r="AA487" s="3565" t="str">
        <f t="shared" si="24"/>
        <v/>
      </c>
      <c r="AB487" s="3565"/>
      <c r="AC487" s="3564" t="str">
        <f t="shared" si="25"/>
        <v/>
      </c>
      <c r="AD487" s="3564"/>
      <c r="AE487" s="3564" t="str">
        <f t="shared" si="26"/>
        <v/>
      </c>
      <c r="AF487" s="3566"/>
      <c r="AG487" s="816"/>
      <c r="AH487" s="816"/>
      <c r="AI487" s="816"/>
      <c r="AJ487" s="816"/>
      <c r="AK487" s="816"/>
      <c r="AL487" s="816"/>
      <c r="AM487" s="816"/>
      <c r="AN487" s="816"/>
      <c r="AO487" s="816"/>
      <c r="AP487" s="816"/>
      <c r="AQ487" s="816"/>
      <c r="AR487" s="816"/>
      <c r="AS487" s="816"/>
      <c r="AT487" s="816"/>
      <c r="AU487" s="816"/>
      <c r="AV487" s="816"/>
      <c r="AW487" s="816"/>
      <c r="AX487" s="564"/>
    </row>
    <row r="488" spans="1:50" ht="9.75" customHeight="1">
      <c r="A488" s="1602">
        <f t="shared" si="27"/>
        <v>16</v>
      </c>
      <c r="B488" s="3570">
        <f>calc!W258</f>
        <v>44748.375</v>
      </c>
      <c r="C488" s="3571"/>
      <c r="D488" s="3572"/>
      <c r="E488" s="3573">
        <f>IF(calc!W258="","",IF(VALUE(MID(calc!A258,35,1))&gt;4,VALUE(MID(calc!A258,35,2))-100,VALUE(MID(calc!A258,35,2)))*(9/5)+32)</f>
        <v>78.800000000000011</v>
      </c>
      <c r="F488" s="3574"/>
      <c r="G488" s="3573">
        <f>IF(calc!W258="","",IF(VALUE(MID(calc!A258,37,1))&gt;4,VALUE(MID(calc!A258,37,2))-100,VALUE(MID(calc!A258,37,2)))*(9/5)+32)</f>
        <v>80.599999999999994</v>
      </c>
      <c r="H488" s="3574"/>
      <c r="I488" s="3574">
        <f>IF(calc!W258="","",IF(VALUE(MID(calc!A258,39,1))&gt;4,VALUE(MID(calc!A258,39,2))-100,VALUE(MID(calc!A258,39,2)))*(9/5)+32)</f>
        <v>80.599999999999994</v>
      </c>
      <c r="J488" s="3574"/>
      <c r="K488" s="3574">
        <f>IF(calc!W258="","",IF(VALUE(MID(calc!A258,41,1))&gt;4,VALUE(MID(calc!A258,41,2))-100,VALUE(MID(calc!A258,41,2)))*(9/5)+32)</f>
        <v>75.2</v>
      </c>
      <c r="L488" s="3575"/>
      <c r="M488" s="3576">
        <f>IF(calc!W258="","",VALUE(MID(calc!A258,17,3)))</f>
        <v>18</v>
      </c>
      <c r="N488" s="3576"/>
      <c r="O488" s="3577">
        <f>IF(calc!W258="","",IF(VALUE(MID(calc!A258,20,2))&gt;50,VALUE(MID(calc!A258,20,2))-100,VALUE(MID(calc!A258,20,2))))</f>
        <v>-6</v>
      </c>
      <c r="P488" s="3578"/>
      <c r="Q488" s="3579">
        <f>IF(calc!W258="","",VALUE(MID(calc!A258,4,3))/100)</f>
        <v>0</v>
      </c>
      <c r="R488" s="3580"/>
      <c r="S488" s="3588">
        <f t="shared" si="28"/>
        <v>0</v>
      </c>
      <c r="T488" s="3589"/>
      <c r="U488" s="3582" t="str">
        <f t="shared" si="23"/>
        <v/>
      </c>
      <c r="V488" s="3583"/>
      <c r="W488" s="3584" t="str">
        <f t="shared" si="21"/>
        <v/>
      </c>
      <c r="X488" s="3585"/>
      <c r="Y488" s="3585" t="str">
        <f t="shared" si="22"/>
        <v>RA</v>
      </c>
      <c r="Z488" s="3585"/>
      <c r="AA488" s="3586" t="str">
        <f t="shared" si="24"/>
        <v/>
      </c>
      <c r="AB488" s="3586"/>
      <c r="AC488" s="3585" t="str">
        <f t="shared" si="25"/>
        <v/>
      </c>
      <c r="AD488" s="3585"/>
      <c r="AE488" s="3585" t="str">
        <f t="shared" si="26"/>
        <v/>
      </c>
      <c r="AF488" s="3587"/>
      <c r="AG488" s="816"/>
      <c r="AH488" s="816"/>
      <c r="AI488" s="816"/>
      <c r="AJ488" s="816"/>
      <c r="AK488" s="816"/>
      <c r="AL488" s="816"/>
      <c r="AM488" s="816"/>
      <c r="AN488" s="816"/>
      <c r="AO488" s="816"/>
      <c r="AP488" s="816"/>
      <c r="AQ488" s="816"/>
      <c r="AR488" s="816"/>
      <c r="AS488" s="816"/>
      <c r="AT488" s="816"/>
      <c r="AU488" s="816"/>
      <c r="AV488" s="816"/>
      <c r="AW488" s="816"/>
      <c r="AX488" s="564"/>
    </row>
    <row r="489" spans="1:50" ht="9.75" customHeight="1">
      <c r="A489" s="1601">
        <f t="shared" si="27"/>
        <v>17</v>
      </c>
      <c r="B489" s="3549">
        <f>calc!W259</f>
        <v>44748.416666666664</v>
      </c>
      <c r="C489" s="3550"/>
      <c r="D489" s="3551"/>
      <c r="E489" s="3552">
        <f>IF(calc!W259="","",IF(VALUE(MID(calc!A259,35,1))&gt;4,VALUE(MID(calc!A259,35,2))-100,VALUE(MID(calc!A259,35,2)))*(9/5)+32)</f>
        <v>78.800000000000011</v>
      </c>
      <c r="F489" s="3553"/>
      <c r="G489" s="3552">
        <f>IF(calc!W259="","",IF(VALUE(MID(calc!A259,37,1))&gt;4,VALUE(MID(calc!A259,37,2))-100,VALUE(MID(calc!A259,37,2)))*(9/5)+32)</f>
        <v>80.599999999999994</v>
      </c>
      <c r="H489" s="3553"/>
      <c r="I489" s="3553">
        <f>IF(calc!W259="","",IF(VALUE(MID(calc!A259,39,1))&gt;4,VALUE(MID(calc!A259,39,2))-100,VALUE(MID(calc!A259,39,2)))*(9/5)+32)</f>
        <v>80.599999999999994</v>
      </c>
      <c r="J489" s="3553"/>
      <c r="K489" s="3553">
        <f>IF(calc!W259="","",IF(VALUE(MID(calc!A259,41,1))&gt;4,VALUE(MID(calc!A259,41,2))-100,VALUE(MID(calc!A259,41,2)))*(9/5)+32)</f>
        <v>75.2</v>
      </c>
      <c r="L489" s="3554"/>
      <c r="M489" s="3555">
        <f>IF(calc!W259="","",VALUE(MID(calc!A259,17,3)))</f>
        <v>-9</v>
      </c>
      <c r="N489" s="3555"/>
      <c r="O489" s="3556">
        <f>IF(calc!W259="","",IF(VALUE(MID(calc!A259,20,2))&gt;50,VALUE(MID(calc!A259,20,2))-100,VALUE(MID(calc!A259,20,2))))</f>
        <v>-6</v>
      </c>
      <c r="P489" s="3557"/>
      <c r="Q489" s="3558">
        <f>IF(calc!W259="","",VALUE(MID(calc!A259,4,3))/100)</f>
        <v>0</v>
      </c>
      <c r="R489" s="3559"/>
      <c r="S489" s="3559">
        <f t="shared" si="28"/>
        <v>0</v>
      </c>
      <c r="T489" s="3560"/>
      <c r="U489" s="3561" t="str">
        <f t="shared" si="23"/>
        <v/>
      </c>
      <c r="V489" s="3562"/>
      <c r="W489" s="3563" t="str">
        <f t="shared" si="21"/>
        <v/>
      </c>
      <c r="X489" s="3564"/>
      <c r="Y489" s="3564" t="str">
        <f t="shared" si="22"/>
        <v>RA</v>
      </c>
      <c r="Z489" s="3564"/>
      <c r="AA489" s="3565" t="str">
        <f t="shared" si="24"/>
        <v/>
      </c>
      <c r="AB489" s="3565"/>
      <c r="AC489" s="3564" t="str">
        <f t="shared" si="25"/>
        <v/>
      </c>
      <c r="AD489" s="3564"/>
      <c r="AE489" s="3564" t="str">
        <f t="shared" si="26"/>
        <v/>
      </c>
      <c r="AF489" s="3566"/>
      <c r="AG489" s="816"/>
      <c r="AH489" s="816"/>
      <c r="AI489" s="816"/>
      <c r="AJ489" s="816"/>
      <c r="AK489" s="816"/>
      <c r="AL489" s="816"/>
      <c r="AM489" s="816"/>
      <c r="AN489" s="816"/>
      <c r="AO489" s="816"/>
      <c r="AP489" s="816"/>
      <c r="AQ489" s="816"/>
      <c r="AR489" s="816"/>
      <c r="AS489" s="816"/>
      <c r="AT489" s="816"/>
      <c r="AU489" s="816"/>
      <c r="AV489" s="816"/>
      <c r="AW489" s="816"/>
      <c r="AX489" s="564"/>
    </row>
    <row r="490" spans="1:50" ht="9.75" customHeight="1">
      <c r="A490" s="1602">
        <f t="shared" si="27"/>
        <v>18</v>
      </c>
      <c r="B490" s="3570">
        <f>calc!W260</f>
        <v>44748.458333333328</v>
      </c>
      <c r="C490" s="3571"/>
      <c r="D490" s="3572"/>
      <c r="E490" s="3573">
        <f>IF(calc!W260="","",IF(VALUE(MID(calc!A260,35,1))&gt;4,VALUE(MID(calc!A260,35,2))-100,VALUE(MID(calc!A260,35,2)))*(9/5)+32)</f>
        <v>78.800000000000011</v>
      </c>
      <c r="F490" s="3574"/>
      <c r="G490" s="3573">
        <f>IF(calc!W260="","",IF(VALUE(MID(calc!A260,37,1))&gt;4,VALUE(MID(calc!A260,37,2))-100,VALUE(MID(calc!A260,37,2)))*(9/5)+32)</f>
        <v>78.800000000000011</v>
      </c>
      <c r="H490" s="3574"/>
      <c r="I490" s="3574">
        <f>IF(calc!W260="","",IF(VALUE(MID(calc!A260,39,1))&gt;4,VALUE(MID(calc!A260,39,2))-100,VALUE(MID(calc!A260,39,2)))*(9/5)+32)</f>
        <v>78.800000000000011</v>
      </c>
      <c r="J490" s="3574"/>
      <c r="K490" s="3574">
        <f>IF(calc!W260="","",IF(VALUE(MID(calc!A260,41,1))&gt;4,VALUE(MID(calc!A260,41,2))-100,VALUE(MID(calc!A260,41,2)))*(9/5)+32)</f>
        <v>75.2</v>
      </c>
      <c r="L490" s="3575"/>
      <c r="M490" s="3576">
        <f>IF(calc!W260="","",VALUE(MID(calc!A260,17,3)))</f>
        <v>-3</v>
      </c>
      <c r="N490" s="3576"/>
      <c r="O490" s="3577">
        <f>IF(calc!W260="","",IF(VALUE(MID(calc!A260,20,2))&gt;50,VALUE(MID(calc!A260,20,2))-100,VALUE(MID(calc!A260,20,2))))</f>
        <v>-5</v>
      </c>
      <c r="P490" s="3578"/>
      <c r="Q490" s="3579">
        <f>IF(calc!W260="","",VALUE(MID(calc!A260,4,3))/100)</f>
        <v>0</v>
      </c>
      <c r="R490" s="3580"/>
      <c r="S490" s="3588">
        <f t="shared" si="28"/>
        <v>0</v>
      </c>
      <c r="T490" s="3589"/>
      <c r="U490" s="3582" t="str">
        <f t="shared" si="23"/>
        <v/>
      </c>
      <c r="V490" s="3583"/>
      <c r="W490" s="3584" t="str">
        <f t="shared" si="21"/>
        <v/>
      </c>
      <c r="X490" s="3585"/>
      <c r="Y490" s="3585" t="str">
        <f t="shared" si="22"/>
        <v>RA</v>
      </c>
      <c r="Z490" s="3585"/>
      <c r="AA490" s="3586" t="str">
        <f t="shared" si="24"/>
        <v/>
      </c>
      <c r="AB490" s="3586"/>
      <c r="AC490" s="3585" t="str">
        <f t="shared" si="25"/>
        <v/>
      </c>
      <c r="AD490" s="3585"/>
      <c r="AE490" s="3585" t="str">
        <f t="shared" si="26"/>
        <v/>
      </c>
      <c r="AF490" s="3587"/>
      <c r="AG490" s="816"/>
      <c r="AH490" s="816"/>
      <c r="AI490" s="816"/>
      <c r="AJ490" s="816"/>
      <c r="AK490" s="816"/>
      <c r="AL490" s="816"/>
      <c r="AM490" s="816"/>
      <c r="AN490" s="816"/>
      <c r="AO490" s="816"/>
      <c r="AP490" s="816"/>
      <c r="AQ490" s="816"/>
      <c r="AR490" s="816"/>
      <c r="AS490" s="816"/>
      <c r="AT490" s="816"/>
      <c r="AU490" s="816"/>
      <c r="AV490" s="816"/>
      <c r="AW490" s="816"/>
      <c r="AX490" s="564"/>
    </row>
    <row r="491" spans="1:50" ht="9.75" customHeight="1">
      <c r="A491" s="1601">
        <f t="shared" si="27"/>
        <v>19</v>
      </c>
      <c r="B491" s="3549">
        <f>calc!W261</f>
        <v>44748.5</v>
      </c>
      <c r="C491" s="3550"/>
      <c r="D491" s="3551"/>
      <c r="E491" s="3552">
        <f>IF(calc!W261="","",IF(VALUE(MID(calc!A261,35,1))&gt;4,VALUE(MID(calc!A261,35,2))-100,VALUE(MID(calc!A261,35,2)))*(9/5)+32)</f>
        <v>78.800000000000011</v>
      </c>
      <c r="F491" s="3553"/>
      <c r="G491" s="3552">
        <f>IF(calc!W261="","",IF(VALUE(MID(calc!A261,37,1))&gt;4,VALUE(MID(calc!A261,37,2))-100,VALUE(MID(calc!A261,37,2)))*(9/5)+32)</f>
        <v>78.800000000000011</v>
      </c>
      <c r="H491" s="3553"/>
      <c r="I491" s="3553">
        <f>IF(calc!W261="","",IF(VALUE(MID(calc!A261,39,1))&gt;4,VALUE(MID(calc!A261,39,2))-100,VALUE(MID(calc!A261,39,2)))*(9/5)+32)</f>
        <v>78.800000000000011</v>
      </c>
      <c r="J491" s="3553"/>
      <c r="K491" s="3553">
        <f>IF(calc!W261="","",IF(VALUE(MID(calc!A261,41,1))&gt;4,VALUE(MID(calc!A261,41,2))-100,VALUE(MID(calc!A261,41,2)))*(9/5)+32)</f>
        <v>75.2</v>
      </c>
      <c r="L491" s="3554"/>
      <c r="M491" s="3555">
        <f>IF(calc!W261="","",VALUE(MID(calc!A261,17,3)))</f>
        <v>20</v>
      </c>
      <c r="N491" s="3555"/>
      <c r="O491" s="3556">
        <f>IF(calc!W261="","",IF(VALUE(MID(calc!A261,20,2))&gt;50,VALUE(MID(calc!A261,20,2))-100,VALUE(MID(calc!A261,20,2))))</f>
        <v>-6</v>
      </c>
      <c r="P491" s="3557"/>
      <c r="Q491" s="3558">
        <f>IF(calc!W261="","",VALUE(MID(calc!A261,4,3))/100)</f>
        <v>0</v>
      </c>
      <c r="R491" s="3559"/>
      <c r="S491" s="3559">
        <f t="shared" si="28"/>
        <v>0</v>
      </c>
      <c r="T491" s="3560"/>
      <c r="U491" s="3561" t="str">
        <f t="shared" si="23"/>
        <v/>
      </c>
      <c r="V491" s="3562"/>
      <c r="W491" s="3563" t="str">
        <f t="shared" si="21"/>
        <v/>
      </c>
      <c r="X491" s="3564"/>
      <c r="Y491" s="3564" t="str">
        <f t="shared" si="22"/>
        <v>RA</v>
      </c>
      <c r="Z491" s="3564"/>
      <c r="AA491" s="3565" t="str">
        <f t="shared" si="24"/>
        <v/>
      </c>
      <c r="AB491" s="3565"/>
      <c r="AC491" s="3564" t="str">
        <f t="shared" si="25"/>
        <v/>
      </c>
      <c r="AD491" s="3564"/>
      <c r="AE491" s="3564" t="str">
        <f t="shared" si="26"/>
        <v/>
      </c>
      <c r="AF491" s="3566"/>
      <c r="AG491" s="816"/>
      <c r="AH491" s="816"/>
      <c r="AI491" s="816"/>
      <c r="AJ491" s="816"/>
      <c r="AK491" s="816"/>
      <c r="AL491" s="816"/>
      <c r="AM491" s="816"/>
      <c r="AN491" s="816"/>
      <c r="AO491" s="816"/>
      <c r="AP491" s="816"/>
      <c r="AQ491" s="816"/>
      <c r="AR491" s="816"/>
      <c r="AS491" s="816"/>
      <c r="AT491" s="816"/>
      <c r="AU491" s="816"/>
      <c r="AV491" s="816"/>
      <c r="AW491" s="816"/>
      <c r="AX491" s="564"/>
    </row>
    <row r="492" spans="1:50" ht="9.75" customHeight="1">
      <c r="A492" s="1602">
        <f t="shared" si="27"/>
        <v>20</v>
      </c>
      <c r="B492" s="3570">
        <f>calc!W262</f>
        <v>44748.541666666664</v>
      </c>
      <c r="C492" s="3571"/>
      <c r="D492" s="3572"/>
      <c r="E492" s="3573">
        <f>IF(calc!W262="","",IF(VALUE(MID(calc!A262,35,1))&gt;4,VALUE(MID(calc!A262,35,2))-100,VALUE(MID(calc!A262,35,2)))*(9/5)+32)</f>
        <v>82.4</v>
      </c>
      <c r="F492" s="3574"/>
      <c r="G492" s="3573">
        <f>IF(calc!W262="","",IF(VALUE(MID(calc!A262,37,1))&gt;4,VALUE(MID(calc!A262,37,2))-100,VALUE(MID(calc!A262,37,2)))*(9/5)+32)</f>
        <v>78.800000000000011</v>
      </c>
      <c r="H492" s="3574"/>
      <c r="I492" s="3574">
        <f>IF(calc!W262="","",IF(VALUE(MID(calc!A262,39,1))&gt;4,VALUE(MID(calc!A262,39,2))-100,VALUE(MID(calc!A262,39,2)))*(9/5)+32)</f>
        <v>78.800000000000011</v>
      </c>
      <c r="J492" s="3574"/>
      <c r="K492" s="3574">
        <f>IF(calc!W262="","",IF(VALUE(MID(calc!A262,41,1))&gt;4,VALUE(MID(calc!A262,41,2))-100,VALUE(MID(calc!A262,41,2)))*(9/5)+32)</f>
        <v>75.2</v>
      </c>
      <c r="L492" s="3575"/>
      <c r="M492" s="3576">
        <f>IF(calc!W262="","",VALUE(MID(calc!A262,17,3)))</f>
        <v>2</v>
      </c>
      <c r="N492" s="3576"/>
      <c r="O492" s="3577">
        <f>IF(calc!W262="","",IF(VALUE(MID(calc!A262,20,2))&gt;50,VALUE(MID(calc!A262,20,2))-100,VALUE(MID(calc!A262,20,2))))</f>
        <v>-7</v>
      </c>
      <c r="P492" s="3578"/>
      <c r="Q492" s="3579">
        <f>IF(calc!W262="","",VALUE(MID(calc!A262,4,3))/100)</f>
        <v>0</v>
      </c>
      <c r="R492" s="3580"/>
      <c r="S492" s="3588">
        <f t="shared" si="28"/>
        <v>0</v>
      </c>
      <c r="T492" s="3589"/>
      <c r="U492" s="3582" t="str">
        <f t="shared" si="23"/>
        <v/>
      </c>
      <c r="V492" s="3583"/>
      <c r="W492" s="3584" t="str">
        <f t="shared" si="21"/>
        <v/>
      </c>
      <c r="X492" s="3585"/>
      <c r="Y492" s="3585" t="str">
        <f t="shared" si="22"/>
        <v>RA</v>
      </c>
      <c r="Z492" s="3585"/>
      <c r="AA492" s="3586" t="str">
        <f t="shared" si="24"/>
        <v/>
      </c>
      <c r="AB492" s="3586"/>
      <c r="AC492" s="3585" t="str">
        <f t="shared" si="25"/>
        <v/>
      </c>
      <c r="AD492" s="3585"/>
      <c r="AE492" s="3585" t="str">
        <f t="shared" si="26"/>
        <v/>
      </c>
      <c r="AF492" s="3587"/>
      <c r="AG492" s="816"/>
      <c r="AH492" s="816"/>
      <c r="AI492" s="816"/>
      <c r="AJ492" s="816"/>
      <c r="AK492" s="816"/>
      <c r="AL492" s="816"/>
      <c r="AM492" s="816"/>
      <c r="AN492" s="816"/>
      <c r="AO492" s="816"/>
      <c r="AP492" s="816"/>
      <c r="AQ492" s="816"/>
      <c r="AR492" s="816"/>
      <c r="AS492" s="816"/>
      <c r="AT492" s="816"/>
      <c r="AU492" s="816"/>
      <c r="AV492" s="816"/>
      <c r="AW492" s="816"/>
      <c r="AX492" s="564"/>
    </row>
    <row r="493" spans="1:50" ht="9.75" customHeight="1">
      <c r="A493" s="1601">
        <f t="shared" si="27"/>
        <v>21</v>
      </c>
      <c r="B493" s="3549">
        <f>calc!W263</f>
        <v>44748.583333333328</v>
      </c>
      <c r="C493" s="3550"/>
      <c r="D493" s="3551"/>
      <c r="E493" s="3552">
        <f>IF(calc!W263="","",IF(VALUE(MID(calc!A263,35,1))&gt;4,VALUE(MID(calc!A263,35,2))-100,VALUE(MID(calc!A263,35,2)))*(9/5)+32)</f>
        <v>84.2</v>
      </c>
      <c r="F493" s="3553"/>
      <c r="G493" s="3552">
        <f>IF(calc!W263="","",IF(VALUE(MID(calc!A263,37,1))&gt;4,VALUE(MID(calc!A263,37,2))-100,VALUE(MID(calc!A263,37,2)))*(9/5)+32)</f>
        <v>80.599999999999994</v>
      </c>
      <c r="H493" s="3553"/>
      <c r="I493" s="3553">
        <f>IF(calc!W263="","",IF(VALUE(MID(calc!A263,39,1))&gt;4,VALUE(MID(calc!A263,39,2))-100,VALUE(MID(calc!A263,39,2)))*(9/5)+32)</f>
        <v>78.800000000000011</v>
      </c>
      <c r="J493" s="3553"/>
      <c r="K493" s="3553">
        <f>IF(calc!W263="","",IF(VALUE(MID(calc!A263,41,1))&gt;4,VALUE(MID(calc!A263,41,2))-100,VALUE(MID(calc!A263,41,2)))*(9/5)+32)</f>
        <v>75.2</v>
      </c>
      <c r="L493" s="3554"/>
      <c r="M493" s="3555">
        <f>IF(calc!W263="","",VALUE(MID(calc!A263,17,3)))</f>
        <v>-12</v>
      </c>
      <c r="N493" s="3555"/>
      <c r="O493" s="3556">
        <f>IF(calc!W263="","",IF(VALUE(MID(calc!A263,20,2))&gt;50,VALUE(MID(calc!A263,20,2))-100,VALUE(MID(calc!A263,20,2))))</f>
        <v>-7</v>
      </c>
      <c r="P493" s="3557"/>
      <c r="Q493" s="3558">
        <f>IF(calc!W263="","",VALUE(MID(calc!A263,4,3))/100)</f>
        <v>0</v>
      </c>
      <c r="R493" s="3559"/>
      <c r="S493" s="3559">
        <f t="shared" si="28"/>
        <v>0</v>
      </c>
      <c r="T493" s="3560"/>
      <c r="U493" s="3561" t="str">
        <f t="shared" si="23"/>
        <v/>
      </c>
      <c r="V493" s="3562"/>
      <c r="W493" s="3563" t="str">
        <f t="shared" si="21"/>
        <v/>
      </c>
      <c r="X493" s="3564"/>
      <c r="Y493" s="3564" t="str">
        <f t="shared" si="22"/>
        <v>RA</v>
      </c>
      <c r="Z493" s="3564"/>
      <c r="AA493" s="3565" t="str">
        <f t="shared" si="24"/>
        <v/>
      </c>
      <c r="AB493" s="3565"/>
      <c r="AC493" s="3564" t="str">
        <f t="shared" si="25"/>
        <v/>
      </c>
      <c r="AD493" s="3564"/>
      <c r="AE493" s="3564" t="str">
        <f t="shared" si="26"/>
        <v/>
      </c>
      <c r="AF493" s="3566"/>
      <c r="AG493" s="816"/>
      <c r="AH493" s="816"/>
      <c r="AI493" s="816"/>
      <c r="AJ493" s="816"/>
      <c r="AK493" s="816"/>
      <c r="AL493" s="816"/>
      <c r="AM493" s="816"/>
      <c r="AN493" s="816"/>
      <c r="AO493" s="816"/>
      <c r="AP493" s="816"/>
      <c r="AQ493" s="816"/>
      <c r="AR493" s="816"/>
      <c r="AS493" s="816"/>
      <c r="AT493" s="816"/>
      <c r="AU493" s="816"/>
      <c r="AV493" s="816"/>
      <c r="AW493" s="816"/>
      <c r="AX493" s="564"/>
    </row>
    <row r="494" spans="1:50" ht="9.75" customHeight="1">
      <c r="A494" s="1602">
        <f t="shared" si="27"/>
        <v>22</v>
      </c>
      <c r="B494" s="3570">
        <f>calc!W264</f>
        <v>44748.625</v>
      </c>
      <c r="C494" s="3571"/>
      <c r="D494" s="3572"/>
      <c r="E494" s="3573">
        <f>IF(calc!W264="","",IF(VALUE(MID(calc!A264,35,1))&gt;4,VALUE(MID(calc!A264,35,2))-100,VALUE(MID(calc!A264,35,2)))*(9/5)+32)</f>
        <v>87.800000000000011</v>
      </c>
      <c r="F494" s="3574"/>
      <c r="G494" s="3573">
        <f>IF(calc!W264="","",IF(VALUE(MID(calc!A264,37,1))&gt;4,VALUE(MID(calc!A264,37,2))-100,VALUE(MID(calc!A264,37,2)))*(9/5)+32)</f>
        <v>82.4</v>
      </c>
      <c r="H494" s="3574"/>
      <c r="I494" s="3574">
        <f>IF(calc!W264="","",IF(VALUE(MID(calc!A264,39,1))&gt;4,VALUE(MID(calc!A264,39,2))-100,VALUE(MID(calc!A264,39,2)))*(9/5)+32)</f>
        <v>78.800000000000011</v>
      </c>
      <c r="J494" s="3574"/>
      <c r="K494" s="3574">
        <f>IF(calc!W264="","",IF(VALUE(MID(calc!A264,41,1))&gt;4,VALUE(MID(calc!A264,41,2))-100,VALUE(MID(calc!A264,41,2)))*(9/5)+32)</f>
        <v>75.2</v>
      </c>
      <c r="L494" s="3575"/>
      <c r="M494" s="3576">
        <f>IF(calc!W264="","",VALUE(MID(calc!A264,17,3)))</f>
        <v>10</v>
      </c>
      <c r="N494" s="3576"/>
      <c r="O494" s="3577">
        <f>IF(calc!W264="","",IF(VALUE(MID(calc!A264,20,2))&gt;50,VALUE(MID(calc!A264,20,2))-100,VALUE(MID(calc!A264,20,2))))</f>
        <v>-8</v>
      </c>
      <c r="P494" s="3578"/>
      <c r="Q494" s="3579">
        <f>IF(calc!W264="","",VALUE(MID(calc!A264,4,3))/100)</f>
        <v>0</v>
      </c>
      <c r="R494" s="3580"/>
      <c r="S494" s="3588">
        <f t="shared" si="28"/>
        <v>0</v>
      </c>
      <c r="T494" s="3589"/>
      <c r="U494" s="3582" t="str">
        <f t="shared" si="23"/>
        <v/>
      </c>
      <c r="V494" s="3583"/>
      <c r="W494" s="3584" t="str">
        <f t="shared" si="21"/>
        <v/>
      </c>
      <c r="X494" s="3585"/>
      <c r="Y494" s="3585" t="str">
        <f t="shared" si="22"/>
        <v>RA</v>
      </c>
      <c r="Z494" s="3585"/>
      <c r="AA494" s="3586" t="str">
        <f t="shared" si="24"/>
        <v/>
      </c>
      <c r="AB494" s="3586"/>
      <c r="AC494" s="3585" t="str">
        <f t="shared" si="25"/>
        <v/>
      </c>
      <c r="AD494" s="3585"/>
      <c r="AE494" s="3585" t="str">
        <f t="shared" si="26"/>
        <v/>
      </c>
      <c r="AF494" s="3587"/>
      <c r="AG494" s="816"/>
      <c r="AH494" s="816"/>
      <c r="AI494" s="816"/>
      <c r="AJ494" s="816"/>
      <c r="AK494" s="816"/>
      <c r="AL494" s="816"/>
      <c r="AM494" s="816"/>
      <c r="AN494" s="816"/>
      <c r="AO494" s="816"/>
      <c r="AP494" s="816"/>
      <c r="AQ494" s="816"/>
      <c r="AR494" s="816"/>
      <c r="AS494" s="816"/>
      <c r="AT494" s="816"/>
      <c r="AU494" s="816"/>
      <c r="AV494" s="816"/>
      <c r="AW494" s="816"/>
      <c r="AX494" s="564"/>
    </row>
    <row r="495" spans="1:50" ht="9.75" customHeight="1">
      <c r="A495" s="1601">
        <f t="shared" si="27"/>
        <v>23</v>
      </c>
      <c r="B495" s="3549">
        <f>calc!W265</f>
        <v>44748.666666666664</v>
      </c>
      <c r="C495" s="3550"/>
      <c r="D495" s="3551"/>
      <c r="E495" s="3552">
        <f>IF(calc!W265="","",IF(VALUE(MID(calc!A265,35,1))&gt;4,VALUE(MID(calc!A265,35,2))-100,VALUE(MID(calc!A265,35,2)))*(9/5)+32)</f>
        <v>89.6</v>
      </c>
      <c r="F495" s="3553"/>
      <c r="G495" s="3552">
        <f>IF(calc!W265="","",IF(VALUE(MID(calc!A265,37,1))&gt;4,VALUE(MID(calc!A265,37,2))-100,VALUE(MID(calc!A265,37,2)))*(9/5)+32)</f>
        <v>86</v>
      </c>
      <c r="H495" s="3553"/>
      <c r="I495" s="3553">
        <f>IF(calc!W265="","",IF(VALUE(MID(calc!A265,39,1))&gt;4,VALUE(MID(calc!A265,39,2))-100,VALUE(MID(calc!A265,39,2)))*(9/5)+32)</f>
        <v>78.800000000000011</v>
      </c>
      <c r="J495" s="3553"/>
      <c r="K495" s="3553">
        <f>IF(calc!W265="","",IF(VALUE(MID(calc!A265,41,1))&gt;4,VALUE(MID(calc!A265,41,2))-100,VALUE(MID(calc!A265,41,2)))*(9/5)+32)</f>
        <v>75.2</v>
      </c>
      <c r="L495" s="3554"/>
      <c r="M495" s="3555">
        <f>IF(calc!W265="","",VALUE(MID(calc!A265,17,3)))</f>
        <v>-14</v>
      </c>
      <c r="N495" s="3555"/>
      <c r="O495" s="3556">
        <f>IF(calc!W265="","",IF(VALUE(MID(calc!A265,20,2))&gt;50,VALUE(MID(calc!A265,20,2))-100,VALUE(MID(calc!A265,20,2))))</f>
        <v>-8</v>
      </c>
      <c r="P495" s="3557"/>
      <c r="Q495" s="3558">
        <f>IF(calc!W265="","",VALUE(MID(calc!A265,4,3))/100)</f>
        <v>0</v>
      </c>
      <c r="R495" s="3559"/>
      <c r="S495" s="3559">
        <f t="shared" si="28"/>
        <v>0</v>
      </c>
      <c r="T495" s="3560"/>
      <c r="U495" s="3561" t="str">
        <f t="shared" si="23"/>
        <v/>
      </c>
      <c r="V495" s="3562"/>
      <c r="W495" s="3563" t="str">
        <f t="shared" si="21"/>
        <v/>
      </c>
      <c r="X495" s="3564"/>
      <c r="Y495" s="3564" t="str">
        <f t="shared" si="22"/>
        <v>RA</v>
      </c>
      <c r="Z495" s="3564"/>
      <c r="AA495" s="3565" t="str">
        <f t="shared" si="24"/>
        <v/>
      </c>
      <c r="AB495" s="3565"/>
      <c r="AC495" s="3564" t="str">
        <f t="shared" si="25"/>
        <v/>
      </c>
      <c r="AD495" s="3564"/>
      <c r="AE495" s="3564" t="str">
        <f t="shared" si="26"/>
        <v/>
      </c>
      <c r="AF495" s="3566"/>
      <c r="AG495" s="816"/>
      <c r="AH495" s="816"/>
      <c r="AI495" s="816"/>
      <c r="AJ495" s="816"/>
      <c r="AK495" s="816"/>
      <c r="AL495" s="816"/>
      <c r="AM495" s="816"/>
      <c r="AN495" s="816"/>
      <c r="AO495" s="816"/>
      <c r="AP495" s="816"/>
      <c r="AQ495" s="816"/>
      <c r="AR495" s="816"/>
      <c r="AS495" s="816"/>
      <c r="AT495" s="816"/>
      <c r="AU495" s="816"/>
      <c r="AV495" s="816"/>
      <c r="AW495" s="816"/>
      <c r="AX495" s="564"/>
    </row>
    <row r="496" spans="1:50" ht="9.75" customHeight="1">
      <c r="A496" s="1602">
        <f t="shared" si="27"/>
        <v>24</v>
      </c>
      <c r="B496" s="3570">
        <f>calc!W266</f>
        <v>44748.708333333328</v>
      </c>
      <c r="C496" s="3571"/>
      <c r="D496" s="3572"/>
      <c r="E496" s="3573">
        <f>IF(calc!W266="","",IF(VALUE(MID(calc!A266,35,1))&gt;4,VALUE(MID(calc!A266,35,2))-100,VALUE(MID(calc!A266,35,2)))*(9/5)+32)</f>
        <v>91.4</v>
      </c>
      <c r="F496" s="3574"/>
      <c r="G496" s="3573">
        <f>IF(calc!W266="","",IF(VALUE(MID(calc!A266,37,1))&gt;4,VALUE(MID(calc!A266,37,2))-100,VALUE(MID(calc!A266,37,2)))*(9/5)+32)</f>
        <v>87.800000000000011</v>
      </c>
      <c r="H496" s="3574"/>
      <c r="I496" s="3574">
        <f>IF(calc!W266="","",IF(VALUE(MID(calc!A266,39,1))&gt;4,VALUE(MID(calc!A266,39,2))-100,VALUE(MID(calc!A266,39,2)))*(9/5)+32)</f>
        <v>78.800000000000011</v>
      </c>
      <c r="J496" s="3574"/>
      <c r="K496" s="3574">
        <f>IF(calc!W266="","",IF(VALUE(MID(calc!A266,41,1))&gt;4,VALUE(MID(calc!A266,41,2))-100,VALUE(MID(calc!A266,41,2)))*(9/5)+32)</f>
        <v>75.2</v>
      </c>
      <c r="L496" s="3575"/>
      <c r="M496" s="3576">
        <f>IF(calc!W266="","",VALUE(MID(calc!A266,17,3)))</f>
        <v>70</v>
      </c>
      <c r="N496" s="3576"/>
      <c r="O496" s="3577">
        <f>IF(calc!W266="","",IF(VALUE(MID(calc!A266,20,2))&gt;50,VALUE(MID(calc!A266,20,2))-100,VALUE(MID(calc!A266,20,2))))</f>
        <v>-7</v>
      </c>
      <c r="P496" s="3578"/>
      <c r="Q496" s="3579">
        <f>IF(calc!W266="","",VALUE(MID(calc!A266,4,3))/100)</f>
        <v>0.04</v>
      </c>
      <c r="R496" s="3580"/>
      <c r="S496" s="3588">
        <f t="shared" si="28"/>
        <v>0.04</v>
      </c>
      <c r="T496" s="3589"/>
      <c r="U496" s="3582" t="str">
        <f t="shared" si="23"/>
        <v>RA</v>
      </c>
      <c r="V496" s="3583"/>
      <c r="W496" s="3584" t="str">
        <f t="shared" si="21"/>
        <v/>
      </c>
      <c r="X496" s="3585"/>
      <c r="Y496" s="3585" t="str">
        <f t="shared" si="22"/>
        <v>RA</v>
      </c>
      <c r="Z496" s="3585"/>
      <c r="AA496" s="3586" t="str">
        <f t="shared" si="24"/>
        <v/>
      </c>
      <c r="AB496" s="3586"/>
      <c r="AC496" s="3585" t="str">
        <f t="shared" si="25"/>
        <v/>
      </c>
      <c r="AD496" s="3585"/>
      <c r="AE496" s="3585" t="str">
        <f t="shared" si="26"/>
        <v/>
      </c>
      <c r="AF496" s="3587"/>
      <c r="AG496" s="816"/>
      <c r="AH496" s="816"/>
      <c r="AI496" s="816"/>
      <c r="AJ496" s="816"/>
      <c r="AK496" s="816"/>
      <c r="AL496" s="816"/>
      <c r="AM496" s="816"/>
      <c r="AN496" s="816"/>
      <c r="AO496" s="816"/>
      <c r="AP496" s="816"/>
      <c r="AQ496" s="816"/>
      <c r="AR496" s="816"/>
      <c r="AS496" s="816"/>
      <c r="AT496" s="816"/>
      <c r="AU496" s="816"/>
      <c r="AV496" s="816"/>
      <c r="AW496" s="816"/>
      <c r="AX496" s="564"/>
    </row>
    <row r="497" spans="1:50" ht="9.75" customHeight="1">
      <c r="A497" s="1601">
        <f t="shared" si="27"/>
        <v>25</v>
      </c>
      <c r="B497" s="3549">
        <f>calc!W267</f>
        <v>44748.75</v>
      </c>
      <c r="C497" s="3550"/>
      <c r="D497" s="3551"/>
      <c r="E497" s="3552">
        <f>IF(calc!W267="","",IF(VALUE(MID(calc!A267,35,1))&gt;4,VALUE(MID(calc!A267,35,2))-100,VALUE(MID(calc!A267,35,2)))*(9/5)+32)</f>
        <v>91.4</v>
      </c>
      <c r="F497" s="3553"/>
      <c r="G497" s="3552">
        <f>IF(calc!W267="","",IF(VALUE(MID(calc!A267,37,1))&gt;4,VALUE(MID(calc!A267,37,2))-100,VALUE(MID(calc!A267,37,2)))*(9/5)+32)</f>
        <v>87.800000000000011</v>
      </c>
      <c r="H497" s="3553"/>
      <c r="I497" s="3553">
        <f>IF(calc!W267="","",IF(VALUE(MID(calc!A267,39,1))&gt;4,VALUE(MID(calc!A267,39,2))-100,VALUE(MID(calc!A267,39,2)))*(9/5)+32)</f>
        <v>80.599999999999994</v>
      </c>
      <c r="J497" s="3553"/>
      <c r="K497" s="3553">
        <f>IF(calc!W267="","",IF(VALUE(MID(calc!A267,41,1))&gt;4,VALUE(MID(calc!A267,41,2))-100,VALUE(MID(calc!A267,41,2)))*(9/5)+32)</f>
        <v>75.2</v>
      </c>
      <c r="L497" s="3554"/>
      <c r="M497" s="3555">
        <f>IF(calc!W267="","",VALUE(MID(calc!A267,17,3)))</f>
        <v>-20</v>
      </c>
      <c r="N497" s="3555"/>
      <c r="O497" s="3556">
        <f>IF(calc!W267="","",IF(VALUE(MID(calc!A267,20,2))&gt;50,VALUE(MID(calc!A267,20,2))-100,VALUE(MID(calc!A267,20,2))))</f>
        <v>-7</v>
      </c>
      <c r="P497" s="3557"/>
      <c r="Q497" s="3558">
        <f>IF(calc!W267="","",VALUE(MID(calc!A267,4,3))/100)</f>
        <v>0.02</v>
      </c>
      <c r="R497" s="3559"/>
      <c r="S497" s="3559">
        <f t="shared" si="28"/>
        <v>0.06</v>
      </c>
      <c r="T497" s="3560"/>
      <c r="U497" s="3561" t="str">
        <f t="shared" si="23"/>
        <v>RA</v>
      </c>
      <c r="V497" s="3562"/>
      <c r="W497" s="3563" t="str">
        <f t="shared" si="21"/>
        <v/>
      </c>
      <c r="X497" s="3564"/>
      <c r="Y497" s="3564" t="str">
        <f t="shared" si="22"/>
        <v>RA</v>
      </c>
      <c r="Z497" s="3564"/>
      <c r="AA497" s="3565" t="str">
        <f t="shared" si="24"/>
        <v/>
      </c>
      <c r="AB497" s="3565"/>
      <c r="AC497" s="3564" t="str">
        <f t="shared" si="25"/>
        <v/>
      </c>
      <c r="AD497" s="3564"/>
      <c r="AE497" s="3564" t="str">
        <f t="shared" si="26"/>
        <v/>
      </c>
      <c r="AF497" s="3566"/>
      <c r="AG497" s="816"/>
      <c r="AH497" s="816"/>
      <c r="AI497" s="816"/>
      <c r="AJ497" s="816"/>
      <c r="AK497" s="816"/>
      <c r="AL497" s="816"/>
      <c r="AM497" s="816"/>
      <c r="AN497" s="816"/>
      <c r="AO497" s="816"/>
      <c r="AP497" s="816"/>
      <c r="AQ497" s="816"/>
      <c r="AR497" s="816"/>
      <c r="AS497" s="816"/>
      <c r="AT497" s="816"/>
      <c r="AU497" s="816"/>
      <c r="AV497" s="816"/>
      <c r="AW497" s="816"/>
      <c r="AX497" s="564"/>
    </row>
    <row r="498" spans="1:50" ht="9.75" customHeight="1">
      <c r="A498" s="1602">
        <f t="shared" si="27"/>
        <v>26</v>
      </c>
      <c r="B498" s="3570">
        <f>calc!W268</f>
        <v>44748.791666666664</v>
      </c>
      <c r="C498" s="3571"/>
      <c r="D498" s="3572"/>
      <c r="E498" s="3573">
        <f>IF(calc!W268="","",IF(VALUE(MID(calc!A268,35,1))&gt;4,VALUE(MID(calc!A268,35,2))-100,VALUE(MID(calc!A268,35,2)))*(9/5)+32)</f>
        <v>93.2</v>
      </c>
      <c r="F498" s="3574"/>
      <c r="G498" s="3573">
        <f>IF(calc!W268="","",IF(VALUE(MID(calc!A268,37,1))&gt;4,VALUE(MID(calc!A268,37,2))-100,VALUE(MID(calc!A268,37,2)))*(9/5)+32)</f>
        <v>89.6</v>
      </c>
      <c r="H498" s="3574"/>
      <c r="I498" s="3574">
        <f>IF(calc!W268="","",IF(VALUE(MID(calc!A268,39,1))&gt;4,VALUE(MID(calc!A268,39,2))-100,VALUE(MID(calc!A268,39,2)))*(9/5)+32)</f>
        <v>80.599999999999994</v>
      </c>
      <c r="J498" s="3574"/>
      <c r="K498" s="3574">
        <f>IF(calc!W268="","",IF(VALUE(MID(calc!A268,41,1))&gt;4,VALUE(MID(calc!A268,41,2))-100,VALUE(MID(calc!A268,41,2)))*(9/5)+32)</f>
        <v>75.2</v>
      </c>
      <c r="L498" s="3575"/>
      <c r="M498" s="3576">
        <f>IF(calc!W268="","",VALUE(MID(calc!A268,17,3)))</f>
        <v>75</v>
      </c>
      <c r="N498" s="3576"/>
      <c r="O498" s="3577">
        <f>IF(calc!W268="","",IF(VALUE(MID(calc!A268,20,2))&gt;50,VALUE(MID(calc!A268,20,2))-100,VALUE(MID(calc!A268,20,2))))</f>
        <v>-7</v>
      </c>
      <c r="P498" s="3578"/>
      <c r="Q498" s="3579">
        <f>IF(calc!W268="","",VALUE(MID(calc!A268,4,3))/100)</f>
        <v>0.02</v>
      </c>
      <c r="R498" s="3580"/>
      <c r="S498" s="3588">
        <f t="shared" si="28"/>
        <v>0.08</v>
      </c>
      <c r="T498" s="3589"/>
      <c r="U498" s="3582" t="str">
        <f t="shared" si="23"/>
        <v>RA</v>
      </c>
      <c r="V498" s="3583"/>
      <c r="W498" s="3584" t="str">
        <f t="shared" si="21"/>
        <v/>
      </c>
      <c r="X498" s="3585"/>
      <c r="Y498" s="3585" t="str">
        <f t="shared" si="22"/>
        <v>RA</v>
      </c>
      <c r="Z498" s="3585"/>
      <c r="AA498" s="3586" t="str">
        <f t="shared" si="24"/>
        <v/>
      </c>
      <c r="AB498" s="3586"/>
      <c r="AC498" s="3585" t="str">
        <f t="shared" si="25"/>
        <v/>
      </c>
      <c r="AD498" s="3585"/>
      <c r="AE498" s="3585" t="str">
        <f t="shared" si="26"/>
        <v/>
      </c>
      <c r="AF498" s="3587"/>
      <c r="AG498" s="816"/>
      <c r="AH498" s="816"/>
      <c r="AI498" s="816"/>
      <c r="AJ498" s="816"/>
      <c r="AK498" s="816"/>
      <c r="AL498" s="816"/>
      <c r="AM498" s="816"/>
      <c r="AN498" s="816"/>
      <c r="AO498" s="816"/>
      <c r="AP498" s="816"/>
      <c r="AQ498" s="816"/>
      <c r="AR498" s="816"/>
      <c r="AS498" s="816"/>
      <c r="AT498" s="816"/>
      <c r="AU498" s="816"/>
      <c r="AV498" s="816"/>
      <c r="AW498" s="816"/>
      <c r="AX498" s="564"/>
    </row>
    <row r="499" spans="1:50" ht="9.75" customHeight="1">
      <c r="A499" s="1601">
        <f t="shared" si="27"/>
        <v>27</v>
      </c>
      <c r="B499" s="3549">
        <f>calc!W269</f>
        <v>44748.833333333328</v>
      </c>
      <c r="C499" s="3550"/>
      <c r="D499" s="3551"/>
      <c r="E499" s="3552">
        <f>IF(calc!W269="","",IF(VALUE(MID(calc!A269,35,1))&gt;4,VALUE(MID(calc!A269,35,2))-100,VALUE(MID(calc!A269,35,2)))*(9/5)+32)</f>
        <v>91.4</v>
      </c>
      <c r="F499" s="3553"/>
      <c r="G499" s="3552">
        <f>IF(calc!W269="","",IF(VALUE(MID(calc!A269,37,1))&gt;4,VALUE(MID(calc!A269,37,2))-100,VALUE(MID(calc!A269,37,2)))*(9/5)+32)</f>
        <v>87.800000000000011</v>
      </c>
      <c r="H499" s="3553"/>
      <c r="I499" s="3553">
        <f>IF(calc!W269="","",IF(VALUE(MID(calc!A269,39,1))&gt;4,VALUE(MID(calc!A269,39,2))-100,VALUE(MID(calc!A269,39,2)))*(9/5)+32)</f>
        <v>80.599999999999994</v>
      </c>
      <c r="J499" s="3553"/>
      <c r="K499" s="3553">
        <f>IF(calc!W269="","",IF(VALUE(MID(calc!A269,41,1))&gt;4,VALUE(MID(calc!A269,41,2))-100,VALUE(MID(calc!A269,41,2)))*(9/5)+32)</f>
        <v>75.2</v>
      </c>
      <c r="L499" s="3554"/>
      <c r="M499" s="3555">
        <f>IF(calc!W269="","",VALUE(MID(calc!A269,17,3)))</f>
        <v>71</v>
      </c>
      <c r="N499" s="3555"/>
      <c r="O499" s="3556">
        <f>IF(calc!W269="","",IF(VALUE(MID(calc!A269,20,2))&gt;50,VALUE(MID(calc!A269,20,2))-100,VALUE(MID(calc!A269,20,2))))</f>
        <v>-7</v>
      </c>
      <c r="P499" s="3557"/>
      <c r="Q499" s="3558">
        <f>IF(calc!W269="","",VALUE(MID(calc!A269,4,3))/100)</f>
        <v>7.0000000000000007E-2</v>
      </c>
      <c r="R499" s="3559"/>
      <c r="S499" s="3559">
        <f t="shared" si="28"/>
        <v>0.15000000000000002</v>
      </c>
      <c r="T499" s="3560"/>
      <c r="U499" s="3561" t="str">
        <f t="shared" si="23"/>
        <v>RA</v>
      </c>
      <c r="V499" s="3562"/>
      <c r="W499" s="3563" t="str">
        <f t="shared" si="21"/>
        <v/>
      </c>
      <c r="X499" s="3564"/>
      <c r="Y499" s="3564" t="str">
        <f t="shared" si="22"/>
        <v>RA</v>
      </c>
      <c r="Z499" s="3564"/>
      <c r="AA499" s="3565" t="str">
        <f t="shared" si="24"/>
        <v/>
      </c>
      <c r="AB499" s="3565"/>
      <c r="AC499" s="3564" t="str">
        <f t="shared" si="25"/>
        <v/>
      </c>
      <c r="AD499" s="3564"/>
      <c r="AE499" s="3564" t="str">
        <f t="shared" si="26"/>
        <v/>
      </c>
      <c r="AF499" s="3566"/>
      <c r="AG499" s="816"/>
      <c r="AH499" s="816"/>
      <c r="AI499" s="816"/>
      <c r="AJ499" s="816"/>
      <c r="AK499" s="816"/>
      <c r="AL499" s="816"/>
      <c r="AM499" s="816"/>
      <c r="AN499" s="816"/>
      <c r="AO499" s="816"/>
      <c r="AP499" s="816"/>
      <c r="AQ499" s="816"/>
      <c r="AR499" s="816"/>
      <c r="AS499" s="816"/>
      <c r="AT499" s="816"/>
      <c r="AU499" s="816"/>
      <c r="AV499" s="816"/>
      <c r="AW499" s="816"/>
      <c r="AX499" s="564"/>
    </row>
    <row r="500" spans="1:50" ht="9.75" customHeight="1">
      <c r="A500" s="1602">
        <f t="shared" si="27"/>
        <v>28</v>
      </c>
      <c r="B500" s="3570">
        <f>calc!W270</f>
        <v>44748.875</v>
      </c>
      <c r="C500" s="3571"/>
      <c r="D500" s="3572"/>
      <c r="E500" s="3573">
        <f>IF(calc!W270="","",IF(VALUE(MID(calc!A270,35,1))&gt;4,VALUE(MID(calc!A270,35,2))-100,VALUE(MID(calc!A270,35,2)))*(9/5)+32)</f>
        <v>89.6</v>
      </c>
      <c r="F500" s="3574"/>
      <c r="G500" s="3573">
        <f>IF(calc!W270="","",IF(VALUE(MID(calc!A270,37,1))&gt;4,VALUE(MID(calc!A270,37,2))-100,VALUE(MID(calc!A270,37,2)))*(9/5)+32)</f>
        <v>87.800000000000011</v>
      </c>
      <c r="H500" s="3574"/>
      <c r="I500" s="3574">
        <f>IF(calc!W270="","",IF(VALUE(MID(calc!A270,39,1))&gt;4,VALUE(MID(calc!A270,39,2))-100,VALUE(MID(calc!A270,39,2)))*(9/5)+32)</f>
        <v>80.599999999999994</v>
      </c>
      <c r="J500" s="3574"/>
      <c r="K500" s="3574">
        <f>IF(calc!W270="","",IF(VALUE(MID(calc!A270,41,1))&gt;4,VALUE(MID(calc!A270,41,2))-100,VALUE(MID(calc!A270,41,2)))*(9/5)+32)</f>
        <v>75.2</v>
      </c>
      <c r="L500" s="3575"/>
      <c r="M500" s="3576">
        <f>IF(calc!W270="","",VALUE(MID(calc!A270,17,3)))</f>
        <v>9</v>
      </c>
      <c r="N500" s="3576"/>
      <c r="O500" s="3577">
        <f>IF(calc!W270="","",IF(VALUE(MID(calc!A270,20,2))&gt;50,VALUE(MID(calc!A270,20,2))-100,VALUE(MID(calc!A270,20,2))))</f>
        <v>-7</v>
      </c>
      <c r="P500" s="3578"/>
      <c r="Q500" s="3579">
        <f>IF(calc!W270="","",VALUE(MID(calc!A270,4,3))/100)</f>
        <v>0.03</v>
      </c>
      <c r="R500" s="3580"/>
      <c r="S500" s="3588">
        <f t="shared" si="28"/>
        <v>0.18000000000000002</v>
      </c>
      <c r="T500" s="3589"/>
      <c r="U500" s="3582" t="str">
        <f t="shared" si="23"/>
        <v>RA</v>
      </c>
      <c r="V500" s="3583"/>
      <c r="W500" s="3584" t="str">
        <f t="shared" si="21"/>
        <v/>
      </c>
      <c r="X500" s="3585"/>
      <c r="Y500" s="3585" t="str">
        <f t="shared" si="22"/>
        <v>RA</v>
      </c>
      <c r="Z500" s="3585"/>
      <c r="AA500" s="3586" t="str">
        <f t="shared" si="24"/>
        <v/>
      </c>
      <c r="AB500" s="3586"/>
      <c r="AC500" s="3585" t="str">
        <f t="shared" si="25"/>
        <v/>
      </c>
      <c r="AD500" s="3585"/>
      <c r="AE500" s="3585" t="str">
        <f t="shared" si="26"/>
        <v/>
      </c>
      <c r="AF500" s="3587"/>
      <c r="AG500" s="816"/>
      <c r="AH500" s="816"/>
      <c r="AI500" s="816"/>
      <c r="AJ500" s="816"/>
      <c r="AK500" s="816"/>
      <c r="AL500" s="816"/>
      <c r="AM500" s="816"/>
      <c r="AN500" s="816"/>
      <c r="AO500" s="816"/>
      <c r="AP500" s="816"/>
      <c r="AQ500" s="816"/>
      <c r="AR500" s="816"/>
      <c r="AS500" s="816"/>
      <c r="AT500" s="816"/>
      <c r="AU500" s="816"/>
      <c r="AV500" s="816"/>
      <c r="AW500" s="816"/>
      <c r="AX500" s="564"/>
    </row>
    <row r="501" spans="1:50" ht="9.75" customHeight="1">
      <c r="A501" s="1601">
        <f t="shared" si="27"/>
        <v>29</v>
      </c>
      <c r="B501" s="3549">
        <f>calc!W271</f>
        <v>44748.916666666664</v>
      </c>
      <c r="C501" s="3550"/>
      <c r="D501" s="3551"/>
      <c r="E501" s="3552">
        <f>IF(calc!W271="","",IF(VALUE(MID(calc!A271,35,1))&gt;4,VALUE(MID(calc!A271,35,2))-100,VALUE(MID(calc!A271,35,2)))*(9/5)+32)</f>
        <v>91.4</v>
      </c>
      <c r="F501" s="3553"/>
      <c r="G501" s="3552">
        <f>IF(calc!W271="","",IF(VALUE(MID(calc!A271,37,1))&gt;4,VALUE(MID(calc!A271,37,2))-100,VALUE(MID(calc!A271,37,2)))*(9/5)+32)</f>
        <v>87.800000000000011</v>
      </c>
      <c r="H501" s="3553"/>
      <c r="I501" s="3553">
        <f>IF(calc!W271="","",IF(VALUE(MID(calc!A271,39,1))&gt;4,VALUE(MID(calc!A271,39,2))-100,VALUE(MID(calc!A271,39,2)))*(9/5)+32)</f>
        <v>80.599999999999994</v>
      </c>
      <c r="J501" s="3553"/>
      <c r="K501" s="3553">
        <f>IF(calc!W271="","",IF(VALUE(MID(calc!A271,41,1))&gt;4,VALUE(MID(calc!A271,41,2))-100,VALUE(MID(calc!A271,41,2)))*(9/5)+32)</f>
        <v>75.2</v>
      </c>
      <c r="L501" s="3554"/>
      <c r="M501" s="3555">
        <f>IF(calc!W271="","",VALUE(MID(calc!A271,17,3)))</f>
        <v>13</v>
      </c>
      <c r="N501" s="3555"/>
      <c r="O501" s="3556">
        <f>IF(calc!W271="","",IF(VALUE(MID(calc!A271,20,2))&gt;50,VALUE(MID(calc!A271,20,2))-100,VALUE(MID(calc!A271,20,2))))</f>
        <v>-7</v>
      </c>
      <c r="P501" s="3557"/>
      <c r="Q501" s="3558">
        <f>IF(calc!W271="","",VALUE(MID(calc!A271,4,3))/100)</f>
        <v>0.01</v>
      </c>
      <c r="R501" s="3559"/>
      <c r="S501" s="3559">
        <f t="shared" si="28"/>
        <v>0.19000000000000003</v>
      </c>
      <c r="T501" s="3560"/>
      <c r="U501" s="3561" t="str">
        <f t="shared" si="23"/>
        <v>RA</v>
      </c>
      <c r="V501" s="3562"/>
      <c r="W501" s="3563" t="str">
        <f t="shared" si="21"/>
        <v/>
      </c>
      <c r="X501" s="3564"/>
      <c r="Y501" s="3564" t="str">
        <f t="shared" si="22"/>
        <v>RA</v>
      </c>
      <c r="Z501" s="3564"/>
      <c r="AA501" s="3565" t="str">
        <f t="shared" si="24"/>
        <v/>
      </c>
      <c r="AB501" s="3565"/>
      <c r="AC501" s="3564" t="str">
        <f t="shared" si="25"/>
        <v/>
      </c>
      <c r="AD501" s="3564"/>
      <c r="AE501" s="3564" t="str">
        <f t="shared" si="26"/>
        <v/>
      </c>
      <c r="AF501" s="3566"/>
      <c r="AG501" s="816"/>
      <c r="AH501" s="816"/>
      <c r="AI501" s="816"/>
      <c r="AJ501" s="816"/>
      <c r="AK501" s="816"/>
      <c r="AL501" s="816"/>
      <c r="AM501" s="816"/>
      <c r="AN501" s="816"/>
      <c r="AO501" s="816"/>
      <c r="AP501" s="816"/>
      <c r="AQ501" s="816"/>
      <c r="AR501" s="816"/>
      <c r="AS501" s="816"/>
      <c r="AT501" s="816"/>
      <c r="AU501" s="816"/>
      <c r="AV501" s="816"/>
      <c r="AW501" s="816"/>
      <c r="AX501" s="564"/>
    </row>
    <row r="502" spans="1:50" ht="9.75" customHeight="1">
      <c r="A502" s="1602">
        <f t="shared" si="27"/>
        <v>30</v>
      </c>
      <c r="B502" s="3570">
        <f>calc!W272</f>
        <v>44748.958333333328</v>
      </c>
      <c r="C502" s="3571"/>
      <c r="D502" s="3572"/>
      <c r="E502" s="3573">
        <f>IF(calc!W272="","",IF(VALUE(MID(calc!A272,35,1))&gt;4,VALUE(MID(calc!A272,35,2))-100,VALUE(MID(calc!A272,35,2)))*(9/5)+32)</f>
        <v>89.6</v>
      </c>
      <c r="F502" s="3574"/>
      <c r="G502" s="3573">
        <f>IF(calc!W272="","",IF(VALUE(MID(calc!A272,37,1))&gt;4,VALUE(MID(calc!A272,37,2))-100,VALUE(MID(calc!A272,37,2)))*(9/5)+32)</f>
        <v>87.800000000000011</v>
      </c>
      <c r="H502" s="3574"/>
      <c r="I502" s="3574">
        <f>IF(calc!W272="","",IF(VALUE(MID(calc!A272,39,1))&gt;4,VALUE(MID(calc!A272,39,2))-100,VALUE(MID(calc!A272,39,2)))*(9/5)+32)</f>
        <v>80.599999999999994</v>
      </c>
      <c r="J502" s="3574"/>
      <c r="K502" s="3574">
        <f>IF(calc!W272="","",IF(VALUE(MID(calc!A272,41,1))&gt;4,VALUE(MID(calc!A272,41,2))-100,VALUE(MID(calc!A272,41,2)))*(9/5)+32)</f>
        <v>75.2</v>
      </c>
      <c r="L502" s="3575"/>
      <c r="M502" s="3576">
        <f>IF(calc!W272="","",VALUE(MID(calc!A272,17,3)))</f>
        <v>-5</v>
      </c>
      <c r="N502" s="3576"/>
      <c r="O502" s="3577">
        <f>IF(calc!W272="","",IF(VALUE(MID(calc!A272,20,2))&gt;50,VALUE(MID(calc!A272,20,2))-100,VALUE(MID(calc!A272,20,2))))</f>
        <v>-8</v>
      </c>
      <c r="P502" s="3578"/>
      <c r="Q502" s="3579">
        <f>IF(calc!W272="","",VALUE(MID(calc!A272,4,3))/100)</f>
        <v>0.01</v>
      </c>
      <c r="R502" s="3580"/>
      <c r="S502" s="3588">
        <f t="shared" si="28"/>
        <v>0.20000000000000004</v>
      </c>
      <c r="T502" s="3589"/>
      <c r="U502" s="3582" t="str">
        <f t="shared" si="23"/>
        <v>RA</v>
      </c>
      <c r="V502" s="3583"/>
      <c r="W502" s="3584" t="str">
        <f t="shared" si="21"/>
        <v/>
      </c>
      <c r="X502" s="3585"/>
      <c r="Y502" s="3585" t="str">
        <f t="shared" si="22"/>
        <v>RA</v>
      </c>
      <c r="Z502" s="3585"/>
      <c r="AA502" s="3586" t="str">
        <f t="shared" si="24"/>
        <v/>
      </c>
      <c r="AB502" s="3586"/>
      <c r="AC502" s="3585" t="str">
        <f t="shared" si="25"/>
        <v/>
      </c>
      <c r="AD502" s="3585"/>
      <c r="AE502" s="3585" t="str">
        <f t="shared" si="26"/>
        <v/>
      </c>
      <c r="AF502" s="3587"/>
      <c r="AG502" s="816"/>
      <c r="AH502" s="816"/>
      <c r="AI502" s="816"/>
      <c r="AJ502" s="816"/>
      <c r="AK502" s="816"/>
      <c r="AL502" s="816"/>
      <c r="AM502" s="816"/>
      <c r="AN502" s="816"/>
      <c r="AO502" s="816"/>
      <c r="AP502" s="816"/>
      <c r="AQ502" s="816"/>
      <c r="AR502" s="816"/>
      <c r="AS502" s="816"/>
      <c r="AT502" s="816"/>
      <c r="AU502" s="816"/>
      <c r="AV502" s="816"/>
      <c r="AW502" s="816"/>
      <c r="AX502" s="564"/>
    </row>
    <row r="503" spans="1:50" ht="9.75" customHeight="1">
      <c r="A503" s="1601">
        <f t="shared" si="27"/>
        <v>31</v>
      </c>
      <c r="B503" s="3549">
        <f>calc!W273</f>
        <v>44749</v>
      </c>
      <c r="C503" s="3550"/>
      <c r="D503" s="3551"/>
      <c r="E503" s="3552">
        <f>IF(calc!W273="","",IF(VALUE(MID(calc!A273,35,1))&gt;4,VALUE(MID(calc!A273,35,2))-100,VALUE(MID(calc!A273,35,2)))*(9/5)+32)</f>
        <v>87.800000000000011</v>
      </c>
      <c r="F503" s="3553"/>
      <c r="G503" s="3552">
        <f>IF(calc!W273="","",IF(VALUE(MID(calc!A273,37,1))&gt;4,VALUE(MID(calc!A273,37,2))-100,VALUE(MID(calc!A273,37,2)))*(9/5)+32)</f>
        <v>87.800000000000011</v>
      </c>
      <c r="H503" s="3553"/>
      <c r="I503" s="3553">
        <f>IF(calc!W273="","",IF(VALUE(MID(calc!A273,39,1))&gt;4,VALUE(MID(calc!A273,39,2))-100,VALUE(MID(calc!A273,39,2)))*(9/5)+32)</f>
        <v>80.599999999999994</v>
      </c>
      <c r="J503" s="3553"/>
      <c r="K503" s="3553">
        <f>IF(calc!W273="","",IF(VALUE(MID(calc!A273,41,1))&gt;4,VALUE(MID(calc!A273,41,2))-100,VALUE(MID(calc!A273,41,2)))*(9/5)+32)</f>
        <v>75.2</v>
      </c>
      <c r="L503" s="3554"/>
      <c r="M503" s="3555">
        <f>IF(calc!W273="","",VALUE(MID(calc!A273,17,3)))</f>
        <v>7</v>
      </c>
      <c r="N503" s="3555"/>
      <c r="O503" s="3556">
        <f>IF(calc!W273="","",IF(VALUE(MID(calc!A273,20,2))&gt;50,VALUE(MID(calc!A273,20,2))-100,VALUE(MID(calc!A273,20,2))))</f>
        <v>-9</v>
      </c>
      <c r="P503" s="3557"/>
      <c r="Q503" s="3558">
        <f>IF(calc!W273="","",VALUE(MID(calc!A273,4,3))/100)</f>
        <v>0</v>
      </c>
      <c r="R503" s="3559"/>
      <c r="S503" s="3559">
        <f t="shared" si="28"/>
        <v>0.20000000000000004</v>
      </c>
      <c r="T503" s="3560"/>
      <c r="U503" s="3561" t="str">
        <f t="shared" si="23"/>
        <v/>
      </c>
      <c r="V503" s="3562"/>
      <c r="W503" s="3563" t="str">
        <f t="shared" si="21"/>
        <v/>
      </c>
      <c r="X503" s="3564"/>
      <c r="Y503" s="3564" t="str">
        <f t="shared" si="22"/>
        <v>RA</v>
      </c>
      <c r="Z503" s="3564"/>
      <c r="AA503" s="3565" t="str">
        <f t="shared" si="24"/>
        <v/>
      </c>
      <c r="AB503" s="3565"/>
      <c r="AC503" s="3564" t="str">
        <f t="shared" si="25"/>
        <v/>
      </c>
      <c r="AD503" s="3564"/>
      <c r="AE503" s="3564" t="str">
        <f t="shared" si="26"/>
        <v/>
      </c>
      <c r="AF503" s="3566"/>
      <c r="AG503" s="816"/>
      <c r="AH503" s="816"/>
      <c r="AI503" s="816"/>
      <c r="AJ503" s="816"/>
      <c r="AK503" s="816"/>
      <c r="AL503" s="816"/>
      <c r="AM503" s="816"/>
      <c r="AN503" s="816"/>
      <c r="AO503" s="816"/>
      <c r="AP503" s="816"/>
      <c r="AQ503" s="816"/>
      <c r="AR503" s="816"/>
      <c r="AS503" s="816"/>
      <c r="AT503" s="816"/>
      <c r="AU503" s="816"/>
      <c r="AV503" s="816"/>
      <c r="AW503" s="816"/>
      <c r="AX503" s="564"/>
    </row>
    <row r="504" spans="1:50" ht="9.75" customHeight="1">
      <c r="A504" s="1602">
        <f t="shared" si="27"/>
        <v>32</v>
      </c>
      <c r="B504" s="3570">
        <f>calc!W274</f>
        <v>44749.041666666664</v>
      </c>
      <c r="C504" s="3571"/>
      <c r="D504" s="3572"/>
      <c r="E504" s="3573">
        <f>IF(calc!W274="","",IF(VALUE(MID(calc!A274,35,1))&gt;4,VALUE(MID(calc!A274,35,2))-100,VALUE(MID(calc!A274,35,2)))*(9/5)+32)</f>
        <v>86</v>
      </c>
      <c r="F504" s="3574"/>
      <c r="G504" s="3573">
        <f>IF(calc!W274="","",IF(VALUE(MID(calc!A274,37,1))&gt;4,VALUE(MID(calc!A274,37,2))-100,VALUE(MID(calc!A274,37,2)))*(9/5)+32)</f>
        <v>87.800000000000011</v>
      </c>
      <c r="H504" s="3574"/>
      <c r="I504" s="3574">
        <f>IF(calc!W274="","",IF(VALUE(MID(calc!A274,39,1))&gt;4,VALUE(MID(calc!A274,39,2))-100,VALUE(MID(calc!A274,39,2)))*(9/5)+32)</f>
        <v>80.599999999999994</v>
      </c>
      <c r="J504" s="3574"/>
      <c r="K504" s="3574">
        <f>IF(calc!W274="","",IF(VALUE(MID(calc!A274,41,1))&gt;4,VALUE(MID(calc!A274,41,2))-100,VALUE(MID(calc!A274,41,2)))*(9/5)+32)</f>
        <v>77</v>
      </c>
      <c r="L504" s="3575"/>
      <c r="M504" s="3576">
        <f>IF(calc!W274="","",VALUE(MID(calc!A274,17,3)))</f>
        <v>16</v>
      </c>
      <c r="N504" s="3576"/>
      <c r="O504" s="3577">
        <f>IF(calc!W274="","",IF(VALUE(MID(calc!A274,20,2))&gt;50,VALUE(MID(calc!A274,20,2))-100,VALUE(MID(calc!A274,20,2))))</f>
        <v>-8</v>
      </c>
      <c r="P504" s="3578"/>
      <c r="Q504" s="3579">
        <f>IF(calc!W274="","",VALUE(MID(calc!A274,4,3))/100)</f>
        <v>0</v>
      </c>
      <c r="R504" s="3580"/>
      <c r="S504" s="3588">
        <f t="shared" si="28"/>
        <v>0.20000000000000004</v>
      </c>
      <c r="T504" s="3589"/>
      <c r="U504" s="3582" t="str">
        <f t="shared" si="23"/>
        <v/>
      </c>
      <c r="V504" s="3583"/>
      <c r="W504" s="3584" t="str">
        <f t="shared" si="21"/>
        <v/>
      </c>
      <c r="X504" s="3585"/>
      <c r="Y504" s="3585" t="str">
        <f t="shared" si="22"/>
        <v>RA</v>
      </c>
      <c r="Z504" s="3585"/>
      <c r="AA504" s="3586" t="str">
        <f t="shared" si="24"/>
        <v/>
      </c>
      <c r="AB504" s="3586"/>
      <c r="AC504" s="3585" t="str">
        <f t="shared" si="25"/>
        <v/>
      </c>
      <c r="AD504" s="3585"/>
      <c r="AE504" s="3585" t="str">
        <f t="shared" si="26"/>
        <v/>
      </c>
      <c r="AF504" s="3587"/>
      <c r="AG504" s="816"/>
      <c r="AH504" s="816"/>
      <c r="AI504" s="816"/>
      <c r="AJ504" s="816"/>
      <c r="AK504" s="816"/>
      <c r="AL504" s="816"/>
      <c r="AM504" s="816"/>
      <c r="AN504" s="816"/>
      <c r="AO504" s="816"/>
      <c r="AP504" s="816"/>
      <c r="AQ504" s="816"/>
      <c r="AR504" s="816"/>
      <c r="AS504" s="816"/>
      <c r="AT504" s="816"/>
      <c r="AU504" s="816"/>
      <c r="AV504" s="816"/>
      <c r="AW504" s="816"/>
      <c r="AX504" s="564"/>
    </row>
    <row r="505" spans="1:50" ht="9.75" customHeight="1">
      <c r="A505" s="1601">
        <f t="shared" si="27"/>
        <v>33</v>
      </c>
      <c r="B505" s="3549">
        <f>calc!W275</f>
        <v>44749.083333333328</v>
      </c>
      <c r="C505" s="3550"/>
      <c r="D505" s="3551"/>
      <c r="E505" s="3552">
        <f>IF(calc!W275="","",IF(VALUE(MID(calc!A275,35,1))&gt;4,VALUE(MID(calc!A275,35,2))-100,VALUE(MID(calc!A275,35,2)))*(9/5)+32)</f>
        <v>82.4</v>
      </c>
      <c r="F505" s="3553"/>
      <c r="G505" s="3552">
        <f>IF(calc!W275="","",IF(VALUE(MID(calc!A275,37,1))&gt;4,VALUE(MID(calc!A275,37,2))-100,VALUE(MID(calc!A275,37,2)))*(9/5)+32)</f>
        <v>87.800000000000011</v>
      </c>
      <c r="H505" s="3553"/>
      <c r="I505" s="3553">
        <f>IF(calc!W275="","",IF(VALUE(MID(calc!A275,39,1))&gt;4,VALUE(MID(calc!A275,39,2))-100,VALUE(MID(calc!A275,39,2)))*(9/5)+32)</f>
        <v>80.599999999999994</v>
      </c>
      <c r="J505" s="3553"/>
      <c r="K505" s="3553">
        <f>IF(calc!W275="","",IF(VALUE(MID(calc!A275,41,1))&gt;4,VALUE(MID(calc!A275,41,2))-100,VALUE(MID(calc!A275,41,2)))*(9/5)+32)</f>
        <v>77</v>
      </c>
      <c r="L505" s="3554"/>
      <c r="M505" s="3555">
        <f>IF(calc!W275="","",VALUE(MID(calc!A275,17,3)))</f>
        <v>5</v>
      </c>
      <c r="N505" s="3555"/>
      <c r="O505" s="3556">
        <f>IF(calc!W275="","",IF(VALUE(MID(calc!A275,20,2))&gt;50,VALUE(MID(calc!A275,20,2))-100,VALUE(MID(calc!A275,20,2))))</f>
        <v>-8</v>
      </c>
      <c r="P505" s="3557"/>
      <c r="Q505" s="3558">
        <f>IF(calc!W275="","",VALUE(MID(calc!A275,4,3))/100)</f>
        <v>0</v>
      </c>
      <c r="R505" s="3559"/>
      <c r="S505" s="3559">
        <f t="shared" si="28"/>
        <v>0.20000000000000004</v>
      </c>
      <c r="T505" s="3560"/>
      <c r="U505" s="3561" t="str">
        <f t="shared" si="23"/>
        <v/>
      </c>
      <c r="V505" s="3562"/>
      <c r="W505" s="3563" t="str">
        <f t="shared" si="21"/>
        <v/>
      </c>
      <c r="X505" s="3564"/>
      <c r="Y505" s="3564" t="str">
        <f t="shared" si="22"/>
        <v>RA</v>
      </c>
      <c r="Z505" s="3564"/>
      <c r="AA505" s="3565" t="str">
        <f t="shared" si="24"/>
        <v/>
      </c>
      <c r="AB505" s="3565"/>
      <c r="AC505" s="3564" t="str">
        <f t="shared" si="25"/>
        <v/>
      </c>
      <c r="AD505" s="3564"/>
      <c r="AE505" s="3564" t="str">
        <f t="shared" si="26"/>
        <v/>
      </c>
      <c r="AF505" s="3566"/>
      <c r="AG505" s="816"/>
      <c r="AH505" s="816"/>
      <c r="AI505" s="816"/>
      <c r="AJ505" s="816"/>
      <c r="AK505" s="816"/>
      <c r="AL505" s="816"/>
      <c r="AM505" s="816"/>
      <c r="AN505" s="816"/>
      <c r="AO505" s="816"/>
      <c r="AP505" s="816"/>
      <c r="AQ505" s="816"/>
      <c r="AR505" s="816"/>
      <c r="AS505" s="816"/>
      <c r="AT505" s="816"/>
      <c r="AU505" s="816"/>
      <c r="AV505" s="816"/>
      <c r="AW505" s="816"/>
      <c r="AX505" s="564"/>
    </row>
    <row r="506" spans="1:50" ht="9.75" customHeight="1">
      <c r="A506" s="1602">
        <f t="shared" si="27"/>
        <v>34</v>
      </c>
      <c r="B506" s="3570">
        <f>calc!W276</f>
        <v>44749.125</v>
      </c>
      <c r="C506" s="3571"/>
      <c r="D506" s="3572"/>
      <c r="E506" s="3573">
        <f>IF(calc!W276="","",IF(VALUE(MID(calc!A276,35,1))&gt;4,VALUE(MID(calc!A276,35,2))-100,VALUE(MID(calc!A276,35,2)))*(9/5)+32)</f>
        <v>82.4</v>
      </c>
      <c r="F506" s="3574"/>
      <c r="G506" s="3573">
        <f>IF(calc!W276="","",IF(VALUE(MID(calc!A276,37,1))&gt;4,VALUE(MID(calc!A276,37,2))-100,VALUE(MID(calc!A276,37,2)))*(9/5)+32)</f>
        <v>87.800000000000011</v>
      </c>
      <c r="H506" s="3574"/>
      <c r="I506" s="3574">
        <f>IF(calc!W276="","",IF(VALUE(MID(calc!A276,39,1))&gt;4,VALUE(MID(calc!A276,39,2))-100,VALUE(MID(calc!A276,39,2)))*(9/5)+32)</f>
        <v>80.599999999999994</v>
      </c>
      <c r="J506" s="3574"/>
      <c r="K506" s="3574">
        <f>IF(calc!W276="","",IF(VALUE(MID(calc!A276,41,1))&gt;4,VALUE(MID(calc!A276,41,2))-100,VALUE(MID(calc!A276,41,2)))*(9/5)+32)</f>
        <v>77</v>
      </c>
      <c r="L506" s="3575"/>
      <c r="M506" s="3576">
        <f>IF(calc!W276="","",VALUE(MID(calc!A276,17,3)))</f>
        <v>14</v>
      </c>
      <c r="N506" s="3576"/>
      <c r="O506" s="3577">
        <f>IF(calc!W276="","",IF(VALUE(MID(calc!A276,20,2))&gt;50,VALUE(MID(calc!A276,20,2))-100,VALUE(MID(calc!A276,20,2))))</f>
        <v>-8</v>
      </c>
      <c r="P506" s="3578"/>
      <c r="Q506" s="3579">
        <f>IF(calc!W276="","",VALUE(MID(calc!A276,4,3))/100)</f>
        <v>0</v>
      </c>
      <c r="R506" s="3580"/>
      <c r="S506" s="3588">
        <f t="shared" si="28"/>
        <v>0.20000000000000004</v>
      </c>
      <c r="T506" s="3589"/>
      <c r="U506" s="3582" t="str">
        <f t="shared" si="23"/>
        <v/>
      </c>
      <c r="V506" s="3583"/>
      <c r="W506" s="3584" t="str">
        <f t="shared" si="21"/>
        <v/>
      </c>
      <c r="X506" s="3585"/>
      <c r="Y506" s="3585" t="str">
        <f t="shared" si="22"/>
        <v>RA</v>
      </c>
      <c r="Z506" s="3585"/>
      <c r="AA506" s="3586" t="str">
        <f t="shared" si="24"/>
        <v/>
      </c>
      <c r="AB506" s="3586"/>
      <c r="AC506" s="3585" t="str">
        <f t="shared" si="25"/>
        <v/>
      </c>
      <c r="AD506" s="3585"/>
      <c r="AE506" s="3585" t="str">
        <f t="shared" si="26"/>
        <v/>
      </c>
      <c r="AF506" s="3587"/>
      <c r="AG506" s="816"/>
      <c r="AH506" s="816"/>
      <c r="AI506" s="816"/>
      <c r="AJ506" s="816"/>
      <c r="AK506" s="816"/>
      <c r="AL506" s="816"/>
      <c r="AM506" s="816"/>
      <c r="AN506" s="816"/>
      <c r="AO506" s="816"/>
      <c r="AP506" s="816"/>
      <c r="AQ506" s="816"/>
      <c r="AR506" s="816"/>
      <c r="AS506" s="816"/>
      <c r="AT506" s="816"/>
      <c r="AU506" s="816"/>
      <c r="AV506" s="816"/>
      <c r="AW506" s="816"/>
      <c r="AX506" s="564"/>
    </row>
    <row r="507" spans="1:50" ht="9.75" customHeight="1">
      <c r="A507" s="1601">
        <f t="shared" si="27"/>
        <v>35</v>
      </c>
      <c r="B507" s="3549">
        <f>calc!W277</f>
        <v>44749.166666666664</v>
      </c>
      <c r="C507" s="3550"/>
      <c r="D507" s="3551"/>
      <c r="E507" s="3552">
        <f>IF(calc!W277="","",IF(VALUE(MID(calc!A277,35,1))&gt;4,VALUE(MID(calc!A277,35,2))-100,VALUE(MID(calc!A277,35,2)))*(9/5)+32)</f>
        <v>80.599999999999994</v>
      </c>
      <c r="F507" s="3553"/>
      <c r="G507" s="3552">
        <f>IF(calc!W277="","",IF(VALUE(MID(calc!A277,37,1))&gt;4,VALUE(MID(calc!A277,37,2))-100,VALUE(MID(calc!A277,37,2)))*(9/5)+32)</f>
        <v>87.800000000000011</v>
      </c>
      <c r="H507" s="3553"/>
      <c r="I507" s="3553">
        <f>IF(calc!W277="","",IF(VALUE(MID(calc!A277,39,1))&gt;4,VALUE(MID(calc!A277,39,2))-100,VALUE(MID(calc!A277,39,2)))*(9/5)+32)</f>
        <v>80.599999999999994</v>
      </c>
      <c r="J507" s="3553"/>
      <c r="K507" s="3553">
        <f>IF(calc!W277="","",IF(VALUE(MID(calc!A277,41,1))&gt;4,VALUE(MID(calc!A277,41,2))-100,VALUE(MID(calc!A277,41,2)))*(9/5)+32)</f>
        <v>77</v>
      </c>
      <c r="L507" s="3554"/>
      <c r="M507" s="3555">
        <f>IF(calc!W277="","",VALUE(MID(calc!A277,17,3)))</f>
        <v>-6</v>
      </c>
      <c r="N507" s="3555"/>
      <c r="O507" s="3556">
        <f>IF(calc!W277="","",IF(VALUE(MID(calc!A277,20,2))&gt;50,VALUE(MID(calc!A277,20,2))-100,VALUE(MID(calc!A277,20,2))))</f>
        <v>-7</v>
      </c>
      <c r="P507" s="3557"/>
      <c r="Q507" s="3558">
        <f>IF(calc!W277="","",VALUE(MID(calc!A277,4,3))/100)</f>
        <v>0</v>
      </c>
      <c r="R507" s="3559"/>
      <c r="S507" s="3559">
        <f t="shared" si="28"/>
        <v>0.20000000000000004</v>
      </c>
      <c r="T507" s="3560"/>
      <c r="U507" s="3561" t="str">
        <f t="shared" si="23"/>
        <v/>
      </c>
      <c r="V507" s="3562"/>
      <c r="W507" s="3563" t="str">
        <f t="shared" si="21"/>
        <v/>
      </c>
      <c r="X507" s="3564"/>
      <c r="Y507" s="3564" t="str">
        <f t="shared" si="22"/>
        <v>RA</v>
      </c>
      <c r="Z507" s="3564"/>
      <c r="AA507" s="3565" t="str">
        <f t="shared" si="24"/>
        <v/>
      </c>
      <c r="AB507" s="3565"/>
      <c r="AC507" s="3564" t="str">
        <f t="shared" si="25"/>
        <v/>
      </c>
      <c r="AD507" s="3564"/>
      <c r="AE507" s="3564" t="str">
        <f t="shared" si="26"/>
        <v/>
      </c>
      <c r="AF507" s="3566"/>
      <c r="AG507" s="816"/>
      <c r="AH507" s="816"/>
      <c r="AI507" s="816"/>
      <c r="AJ507" s="816"/>
      <c r="AK507" s="816"/>
      <c r="AL507" s="816"/>
      <c r="AM507" s="816"/>
      <c r="AN507" s="816"/>
      <c r="AO507" s="816"/>
      <c r="AP507" s="816"/>
      <c r="AQ507" s="816"/>
      <c r="AR507" s="816"/>
      <c r="AS507" s="816"/>
      <c r="AT507" s="816"/>
      <c r="AU507" s="816"/>
      <c r="AV507" s="816"/>
      <c r="AW507" s="816"/>
      <c r="AX507" s="564"/>
    </row>
    <row r="508" spans="1:50" ht="9.75" customHeight="1">
      <c r="A508" s="1602">
        <f t="shared" si="27"/>
        <v>36</v>
      </c>
      <c r="B508" s="3570">
        <f>calc!W278</f>
        <v>44749.208333333328</v>
      </c>
      <c r="C508" s="3571"/>
      <c r="D508" s="3572"/>
      <c r="E508" s="3573">
        <f>IF(calc!W278="","",IF(VALUE(MID(calc!A278,35,1))&gt;4,VALUE(MID(calc!A278,35,2))-100,VALUE(MID(calc!A278,35,2)))*(9/5)+32)</f>
        <v>80.599999999999994</v>
      </c>
      <c r="F508" s="3574"/>
      <c r="G508" s="3573">
        <f>IF(calc!W278="","",IF(VALUE(MID(calc!A278,37,1))&gt;4,VALUE(MID(calc!A278,37,2))-100,VALUE(MID(calc!A278,37,2)))*(9/5)+32)</f>
        <v>86</v>
      </c>
      <c r="H508" s="3574"/>
      <c r="I508" s="3574">
        <f>IF(calc!W278="","",IF(VALUE(MID(calc!A278,39,1))&gt;4,VALUE(MID(calc!A278,39,2))-100,VALUE(MID(calc!A278,39,2)))*(9/5)+32)</f>
        <v>80.599999999999994</v>
      </c>
      <c r="J508" s="3574"/>
      <c r="K508" s="3574">
        <f>IF(calc!W278="","",IF(VALUE(MID(calc!A278,41,1))&gt;4,VALUE(MID(calc!A278,41,2))-100,VALUE(MID(calc!A278,41,2)))*(9/5)+32)</f>
        <v>77</v>
      </c>
      <c r="L508" s="3575"/>
      <c r="M508" s="3576">
        <f>IF(calc!W278="","",VALUE(MID(calc!A278,17,3)))</f>
        <v>-13</v>
      </c>
      <c r="N508" s="3576"/>
      <c r="O508" s="3577">
        <f>IF(calc!W278="","",IF(VALUE(MID(calc!A278,20,2))&gt;50,VALUE(MID(calc!A278,20,2))-100,VALUE(MID(calc!A278,20,2))))</f>
        <v>-7</v>
      </c>
      <c r="P508" s="3578"/>
      <c r="Q508" s="3579">
        <f>IF(calc!W278="","",VALUE(MID(calc!A278,4,3))/100)</f>
        <v>0</v>
      </c>
      <c r="R508" s="3580"/>
      <c r="S508" s="3588">
        <f t="shared" si="28"/>
        <v>0.16000000000000003</v>
      </c>
      <c r="T508" s="3589"/>
      <c r="U508" s="3582" t="str">
        <f t="shared" si="23"/>
        <v/>
      </c>
      <c r="V508" s="3583"/>
      <c r="W508" s="3584" t="str">
        <f t="shared" si="21"/>
        <v/>
      </c>
      <c r="X508" s="3585"/>
      <c r="Y508" s="3585" t="str">
        <f t="shared" si="22"/>
        <v>RA</v>
      </c>
      <c r="Z508" s="3585"/>
      <c r="AA508" s="3586" t="str">
        <f t="shared" si="24"/>
        <v/>
      </c>
      <c r="AB508" s="3586"/>
      <c r="AC508" s="3585" t="str">
        <f t="shared" si="25"/>
        <v/>
      </c>
      <c r="AD508" s="3585"/>
      <c r="AE508" s="3585" t="str">
        <f t="shared" si="26"/>
        <v/>
      </c>
      <c r="AF508" s="3587"/>
      <c r="AG508" s="817"/>
      <c r="AH508" s="817"/>
      <c r="AI508" s="817"/>
      <c r="AJ508" s="817"/>
      <c r="AK508" s="817"/>
      <c r="AL508" s="817"/>
      <c r="AM508" s="817"/>
      <c r="AN508" s="817"/>
      <c r="AO508" s="817"/>
      <c r="AP508" s="817"/>
      <c r="AQ508" s="817"/>
      <c r="AR508" s="817"/>
      <c r="AS508" s="817"/>
      <c r="AT508" s="817"/>
      <c r="AU508" s="817"/>
      <c r="AV508" s="817"/>
      <c r="AW508" s="817"/>
      <c r="AX508" s="564"/>
    </row>
    <row r="509" spans="1:50" ht="9.75" customHeight="1">
      <c r="A509" s="1601">
        <f t="shared" si="27"/>
        <v>37</v>
      </c>
      <c r="B509" s="3549">
        <f>calc!W279</f>
        <v>44749.25</v>
      </c>
      <c r="C509" s="3550"/>
      <c r="D509" s="3551"/>
      <c r="E509" s="3552">
        <f>IF(calc!W279="","",IF(VALUE(MID(calc!A279,35,1))&gt;4,VALUE(MID(calc!A279,35,2))-100,VALUE(MID(calc!A279,35,2)))*(9/5)+32)</f>
        <v>80.599999999999994</v>
      </c>
      <c r="F509" s="3553"/>
      <c r="G509" s="3552">
        <f>IF(calc!W279="","",IF(VALUE(MID(calc!A279,37,1))&gt;4,VALUE(MID(calc!A279,37,2))-100,VALUE(MID(calc!A279,37,2)))*(9/5)+32)</f>
        <v>86</v>
      </c>
      <c r="H509" s="3553"/>
      <c r="I509" s="3553">
        <f>IF(calc!W279="","",IF(VALUE(MID(calc!A279,39,1))&gt;4,VALUE(MID(calc!A279,39,2))-100,VALUE(MID(calc!A279,39,2)))*(9/5)+32)</f>
        <v>80.599999999999994</v>
      </c>
      <c r="J509" s="3553"/>
      <c r="K509" s="3553">
        <f>IF(calc!W279="","",IF(VALUE(MID(calc!A279,41,1))&gt;4,VALUE(MID(calc!A279,41,2))-100,VALUE(MID(calc!A279,41,2)))*(9/5)+32)</f>
        <v>77</v>
      </c>
      <c r="L509" s="3554"/>
      <c r="M509" s="3555">
        <f>IF(calc!W279="","",VALUE(MID(calc!A279,17,3)))</f>
        <v>-7</v>
      </c>
      <c r="N509" s="3555"/>
      <c r="O509" s="3556">
        <f>IF(calc!W279="","",IF(VALUE(MID(calc!A279,20,2))&gt;50,VALUE(MID(calc!A279,20,2))-100,VALUE(MID(calc!A279,20,2))))</f>
        <v>-7</v>
      </c>
      <c r="P509" s="3557"/>
      <c r="Q509" s="3558">
        <f>IF(calc!W279="","",VALUE(MID(calc!A279,4,3))/100)</f>
        <v>0</v>
      </c>
      <c r="R509" s="3559"/>
      <c r="S509" s="3559">
        <f t="shared" si="28"/>
        <v>0.14000000000000001</v>
      </c>
      <c r="T509" s="3560"/>
      <c r="U509" s="3561" t="str">
        <f t="shared" si="23"/>
        <v/>
      </c>
      <c r="V509" s="3562"/>
      <c r="W509" s="3563" t="str">
        <f t="shared" si="21"/>
        <v/>
      </c>
      <c r="X509" s="3564"/>
      <c r="Y509" s="3564" t="str">
        <f t="shared" si="22"/>
        <v>RA</v>
      </c>
      <c r="Z509" s="3564"/>
      <c r="AA509" s="3565" t="str">
        <f t="shared" si="24"/>
        <v/>
      </c>
      <c r="AB509" s="3565"/>
      <c r="AC509" s="3564" t="str">
        <f t="shared" si="25"/>
        <v/>
      </c>
      <c r="AD509" s="3564"/>
      <c r="AE509" s="3564" t="str">
        <f t="shared" si="26"/>
        <v/>
      </c>
      <c r="AF509" s="3566"/>
      <c r="AG509" s="818"/>
      <c r="AH509" s="818"/>
      <c r="AI509" s="818"/>
      <c r="AJ509" s="818"/>
      <c r="AK509" s="818"/>
      <c r="AL509" s="818"/>
      <c r="AM509" s="818"/>
      <c r="AN509" s="818"/>
      <c r="AO509" s="818"/>
      <c r="AP509" s="818"/>
      <c r="AQ509" s="818"/>
      <c r="AR509" s="818"/>
      <c r="AS509" s="818"/>
      <c r="AT509" s="818"/>
      <c r="AU509" s="818"/>
      <c r="AV509" s="818"/>
      <c r="AW509" s="818"/>
      <c r="AX509" s="564"/>
    </row>
    <row r="510" spans="1:50" ht="9.75" customHeight="1">
      <c r="A510" s="1602">
        <f t="shared" si="27"/>
        <v>38</v>
      </c>
      <c r="B510" s="3570">
        <f>calc!W280</f>
        <v>44749.291666666664</v>
      </c>
      <c r="C510" s="3571"/>
      <c r="D510" s="3572"/>
      <c r="E510" s="3573">
        <f>IF(calc!W280="","",IF(VALUE(MID(calc!A280,35,1))&gt;4,VALUE(MID(calc!A280,35,2))-100,VALUE(MID(calc!A280,35,2)))*(9/5)+32)</f>
        <v>80.599999999999994</v>
      </c>
      <c r="F510" s="3574"/>
      <c r="G510" s="3573">
        <f>IF(calc!W280="","",IF(VALUE(MID(calc!A280,37,1))&gt;4,VALUE(MID(calc!A280,37,2))-100,VALUE(MID(calc!A280,37,2)))*(9/5)+32)</f>
        <v>84.2</v>
      </c>
      <c r="H510" s="3574"/>
      <c r="I510" s="3574">
        <f>IF(calc!W280="","",IF(VALUE(MID(calc!A280,39,1))&gt;4,VALUE(MID(calc!A280,39,2))-100,VALUE(MID(calc!A280,39,2)))*(9/5)+32)</f>
        <v>80.599999999999994</v>
      </c>
      <c r="J510" s="3574"/>
      <c r="K510" s="3574">
        <f>IF(calc!W280="","",IF(VALUE(MID(calc!A280,41,1))&gt;4,VALUE(MID(calc!A280,41,2))-100,VALUE(MID(calc!A280,41,2)))*(9/5)+32)</f>
        <v>75.2</v>
      </c>
      <c r="L510" s="3575"/>
      <c r="M510" s="3576">
        <f>IF(calc!W280="","",VALUE(MID(calc!A280,17,3)))</f>
        <v>2</v>
      </c>
      <c r="N510" s="3576"/>
      <c r="O510" s="3577">
        <f>IF(calc!W280="","",IF(VALUE(MID(calc!A280,20,2))&gt;50,VALUE(MID(calc!A280,20,2))-100,VALUE(MID(calc!A280,20,2))))</f>
        <v>-7</v>
      </c>
      <c r="P510" s="3578"/>
      <c r="Q510" s="3579">
        <f>IF(calc!W280="","",VALUE(MID(calc!A280,4,3))/100)</f>
        <v>0</v>
      </c>
      <c r="R510" s="3580"/>
      <c r="S510" s="3588">
        <f t="shared" si="28"/>
        <v>0.12</v>
      </c>
      <c r="T510" s="3589"/>
      <c r="U510" s="3582" t="str">
        <f t="shared" si="23"/>
        <v/>
      </c>
      <c r="V510" s="3583"/>
      <c r="W510" s="3584" t="str">
        <f t="shared" si="21"/>
        <v/>
      </c>
      <c r="X510" s="3585"/>
      <c r="Y510" s="3585" t="str">
        <f t="shared" si="22"/>
        <v>RA</v>
      </c>
      <c r="Z510" s="3585"/>
      <c r="AA510" s="3586" t="str">
        <f t="shared" si="24"/>
        <v/>
      </c>
      <c r="AB510" s="3586"/>
      <c r="AC510" s="3585" t="str">
        <f t="shared" si="25"/>
        <v/>
      </c>
      <c r="AD510" s="3585"/>
      <c r="AE510" s="3585" t="str">
        <f t="shared" si="26"/>
        <v/>
      </c>
      <c r="AF510" s="3587"/>
      <c r="AG510" s="818"/>
      <c r="AH510" s="818"/>
      <c r="AI510" s="818"/>
      <c r="AJ510" s="818"/>
      <c r="AK510" s="818"/>
      <c r="AL510" s="818"/>
      <c r="AM510" s="818"/>
      <c r="AN510" s="818"/>
      <c r="AO510" s="818"/>
      <c r="AP510" s="818"/>
      <c r="AQ510" s="818"/>
      <c r="AR510" s="818"/>
      <c r="AS510" s="818"/>
      <c r="AT510" s="818"/>
      <c r="AU510" s="818"/>
      <c r="AV510" s="818"/>
      <c r="AW510" s="818"/>
      <c r="AX510" s="564"/>
    </row>
    <row r="511" spans="1:50" ht="9.75" customHeight="1">
      <c r="A511" s="1601">
        <f t="shared" si="27"/>
        <v>39</v>
      </c>
      <c r="B511" s="3549">
        <f>calc!W281</f>
        <v>44749.333333333328</v>
      </c>
      <c r="C511" s="3550"/>
      <c r="D511" s="3551"/>
      <c r="E511" s="3552">
        <f>IF(calc!W281="","",IF(VALUE(MID(calc!A281,35,1))&gt;4,VALUE(MID(calc!A281,35,2))-100,VALUE(MID(calc!A281,35,2)))*(9/5)+32)</f>
        <v>78.800000000000011</v>
      </c>
      <c r="F511" s="3553"/>
      <c r="G511" s="3552">
        <f>IF(calc!W281="","",IF(VALUE(MID(calc!A281,37,1))&gt;4,VALUE(MID(calc!A281,37,2))-100,VALUE(MID(calc!A281,37,2)))*(9/5)+32)</f>
        <v>82.4</v>
      </c>
      <c r="H511" s="3553"/>
      <c r="I511" s="3553">
        <f>IF(calc!W281="","",IF(VALUE(MID(calc!A281,39,1))&gt;4,VALUE(MID(calc!A281,39,2))-100,VALUE(MID(calc!A281,39,2)))*(9/5)+32)</f>
        <v>80.599999999999994</v>
      </c>
      <c r="J511" s="3553"/>
      <c r="K511" s="3553">
        <f>IF(calc!W281="","",IF(VALUE(MID(calc!A281,41,1))&gt;4,VALUE(MID(calc!A281,41,2))-100,VALUE(MID(calc!A281,41,2)))*(9/5)+32)</f>
        <v>75.2</v>
      </c>
      <c r="L511" s="3554"/>
      <c r="M511" s="3555">
        <f>IF(calc!W281="","",VALUE(MID(calc!A281,17,3)))</f>
        <v>6</v>
      </c>
      <c r="N511" s="3555"/>
      <c r="O511" s="3556">
        <f>IF(calc!W281="","",IF(VALUE(MID(calc!A281,20,2))&gt;50,VALUE(MID(calc!A281,20,2))-100,VALUE(MID(calc!A281,20,2))))</f>
        <v>-7</v>
      </c>
      <c r="P511" s="3557"/>
      <c r="Q511" s="3558">
        <f>IF(calc!W281="","",VALUE(MID(calc!A281,4,3))/100)</f>
        <v>0</v>
      </c>
      <c r="R511" s="3559"/>
      <c r="S511" s="3559">
        <f t="shared" si="28"/>
        <v>0.05</v>
      </c>
      <c r="T511" s="3560"/>
      <c r="U511" s="3561" t="str">
        <f t="shared" si="23"/>
        <v/>
      </c>
      <c r="V511" s="3562"/>
      <c r="W511" s="3563" t="str">
        <f t="shared" si="21"/>
        <v/>
      </c>
      <c r="X511" s="3564"/>
      <c r="Y511" s="3564" t="str">
        <f t="shared" si="22"/>
        <v>RA</v>
      </c>
      <c r="Z511" s="3564"/>
      <c r="AA511" s="3565" t="str">
        <f t="shared" si="24"/>
        <v/>
      </c>
      <c r="AB511" s="3565"/>
      <c r="AC511" s="3564" t="str">
        <f t="shared" si="25"/>
        <v/>
      </c>
      <c r="AD511" s="3564"/>
      <c r="AE511" s="3564" t="str">
        <f t="shared" si="26"/>
        <v/>
      </c>
      <c r="AF511" s="3566"/>
      <c r="AG511" s="818"/>
      <c r="AH511" s="818"/>
      <c r="AI511" s="818"/>
      <c r="AJ511" s="818"/>
      <c r="AK511" s="818"/>
      <c r="AL511" s="818"/>
      <c r="AM511" s="818"/>
      <c r="AN511" s="818"/>
      <c r="AO511" s="818"/>
      <c r="AP511" s="818"/>
      <c r="AQ511" s="818"/>
      <c r="AR511" s="818"/>
      <c r="AS511" s="818"/>
      <c r="AT511" s="818"/>
      <c r="AU511" s="818"/>
      <c r="AV511" s="818"/>
      <c r="AW511" s="818"/>
      <c r="AX511" s="564"/>
    </row>
    <row r="512" spans="1:50" ht="9.75" customHeight="1">
      <c r="A512" s="1602">
        <f t="shared" si="27"/>
        <v>40</v>
      </c>
      <c r="B512" s="3570">
        <f>calc!W282</f>
        <v>44749.375</v>
      </c>
      <c r="C512" s="3571"/>
      <c r="D512" s="3572"/>
      <c r="E512" s="3573">
        <f>IF(calc!W282="","",IF(VALUE(MID(calc!A282,35,1))&gt;4,VALUE(MID(calc!A282,35,2))-100,VALUE(MID(calc!A282,35,2)))*(9/5)+32)</f>
        <v>78.800000000000011</v>
      </c>
      <c r="F512" s="3574"/>
      <c r="G512" s="3573">
        <f>IF(calc!W282="","",IF(VALUE(MID(calc!A282,37,1))&gt;4,VALUE(MID(calc!A282,37,2))-100,VALUE(MID(calc!A282,37,2)))*(9/5)+32)</f>
        <v>80.599999999999994</v>
      </c>
      <c r="H512" s="3574"/>
      <c r="I512" s="3574">
        <f>IF(calc!W282="","",IF(VALUE(MID(calc!A282,39,1))&gt;4,VALUE(MID(calc!A282,39,2))-100,VALUE(MID(calc!A282,39,2)))*(9/5)+32)</f>
        <v>78.800000000000011</v>
      </c>
      <c r="J512" s="3574"/>
      <c r="K512" s="3574">
        <f>IF(calc!W282="","",IF(VALUE(MID(calc!A282,41,1))&gt;4,VALUE(MID(calc!A282,41,2))-100,VALUE(MID(calc!A282,41,2)))*(9/5)+32)</f>
        <v>75.2</v>
      </c>
      <c r="L512" s="3575"/>
      <c r="M512" s="3576">
        <f>IF(calc!W282="","",VALUE(MID(calc!A282,17,3)))</f>
        <v>-3</v>
      </c>
      <c r="N512" s="3576"/>
      <c r="O512" s="3577">
        <f>IF(calc!W282="","",IF(VALUE(MID(calc!A282,20,2))&gt;50,VALUE(MID(calc!A282,20,2))-100,VALUE(MID(calc!A282,20,2))))</f>
        <v>-6</v>
      </c>
      <c r="P512" s="3578"/>
      <c r="Q512" s="3579">
        <f>IF(calc!W282="","",VALUE(MID(calc!A282,4,3))/100)</f>
        <v>0</v>
      </c>
      <c r="R512" s="3580"/>
      <c r="S512" s="3588">
        <f t="shared" si="28"/>
        <v>0.02</v>
      </c>
      <c r="T512" s="3589"/>
      <c r="U512" s="3582" t="str">
        <f t="shared" si="23"/>
        <v/>
      </c>
      <c r="V512" s="3583"/>
      <c r="W512" s="3584" t="str">
        <f t="shared" si="21"/>
        <v/>
      </c>
      <c r="X512" s="3585"/>
      <c r="Y512" s="3585" t="str">
        <f t="shared" si="22"/>
        <v>RA</v>
      </c>
      <c r="Z512" s="3585"/>
      <c r="AA512" s="3586" t="str">
        <f t="shared" si="24"/>
        <v/>
      </c>
      <c r="AB512" s="3586"/>
      <c r="AC512" s="3585" t="str">
        <f t="shared" si="25"/>
        <v/>
      </c>
      <c r="AD512" s="3585"/>
      <c r="AE512" s="3585" t="str">
        <f t="shared" si="26"/>
        <v/>
      </c>
      <c r="AF512" s="3587"/>
      <c r="AG512" s="818"/>
      <c r="AH512" s="818"/>
      <c r="AI512" s="818"/>
      <c r="AJ512" s="818"/>
      <c r="AK512" s="818"/>
      <c r="AL512" s="818"/>
      <c r="AM512" s="818"/>
      <c r="AN512" s="818"/>
      <c r="AO512" s="818"/>
      <c r="AP512" s="818"/>
      <c r="AQ512" s="818"/>
      <c r="AR512" s="818"/>
      <c r="AS512" s="818"/>
      <c r="AT512" s="818"/>
      <c r="AU512" s="818"/>
      <c r="AV512" s="818"/>
      <c r="AW512" s="818"/>
      <c r="AX512" s="564"/>
    </row>
    <row r="513" spans="1:163" ht="9.75" customHeight="1">
      <c r="A513" s="1601">
        <f t="shared" si="27"/>
        <v>41</v>
      </c>
      <c r="B513" s="3549">
        <f>calc!W283</f>
        <v>44749.416666666664</v>
      </c>
      <c r="C513" s="3550"/>
      <c r="D513" s="3551"/>
      <c r="E513" s="3552">
        <f>IF(calc!W283="","",IF(VALUE(MID(calc!A283,35,1))&gt;4,VALUE(MID(calc!A283,35,2))-100,VALUE(MID(calc!A283,35,2)))*(9/5)+32)</f>
        <v>78.800000000000011</v>
      </c>
      <c r="F513" s="3553"/>
      <c r="G513" s="3552">
        <f>IF(calc!W283="","",IF(VALUE(MID(calc!A283,37,1))&gt;4,VALUE(MID(calc!A283,37,2))-100,VALUE(MID(calc!A283,37,2)))*(9/5)+32)</f>
        <v>80.599999999999994</v>
      </c>
      <c r="H513" s="3553"/>
      <c r="I513" s="3553">
        <f>IF(calc!W283="","",IF(VALUE(MID(calc!A283,39,1))&gt;4,VALUE(MID(calc!A283,39,2))-100,VALUE(MID(calc!A283,39,2)))*(9/5)+32)</f>
        <v>78.800000000000011</v>
      </c>
      <c r="J513" s="3553"/>
      <c r="K513" s="3553">
        <f>IF(calc!W283="","",IF(VALUE(MID(calc!A283,41,1))&gt;4,VALUE(MID(calc!A283,41,2))-100,VALUE(MID(calc!A283,41,2)))*(9/5)+32)</f>
        <v>75.2</v>
      </c>
      <c r="L513" s="3554"/>
      <c r="M513" s="3555">
        <f>IF(calc!W283="","",VALUE(MID(calc!A283,17,3)))</f>
        <v>-13</v>
      </c>
      <c r="N513" s="3555"/>
      <c r="O513" s="3556">
        <f>IF(calc!W283="","",IF(VALUE(MID(calc!A283,20,2))&gt;50,VALUE(MID(calc!A283,20,2))-100,VALUE(MID(calc!A283,20,2))))</f>
        <v>-6</v>
      </c>
      <c r="P513" s="3557"/>
      <c r="Q513" s="3558">
        <f>IF(calc!W283="","",VALUE(MID(calc!A283,4,3))/100)</f>
        <v>0</v>
      </c>
      <c r="R513" s="3559"/>
      <c r="S513" s="3559">
        <f t="shared" si="28"/>
        <v>0.01</v>
      </c>
      <c r="T513" s="3560"/>
      <c r="U513" s="3561" t="str">
        <f t="shared" si="23"/>
        <v/>
      </c>
      <c r="V513" s="3562"/>
      <c r="W513" s="3563" t="str">
        <f t="shared" si="21"/>
        <v/>
      </c>
      <c r="X513" s="3564"/>
      <c r="Y513" s="3564" t="str">
        <f t="shared" si="22"/>
        <v>RA</v>
      </c>
      <c r="Z513" s="3564"/>
      <c r="AA513" s="3565" t="str">
        <f t="shared" si="24"/>
        <v/>
      </c>
      <c r="AB513" s="3565"/>
      <c r="AC513" s="3564" t="str">
        <f t="shared" si="25"/>
        <v/>
      </c>
      <c r="AD513" s="3564"/>
      <c r="AE513" s="3564" t="str">
        <f t="shared" si="26"/>
        <v/>
      </c>
      <c r="AF513" s="3566"/>
      <c r="AG513" s="818"/>
      <c r="AH513" s="818"/>
      <c r="AI513" s="818"/>
      <c r="AJ513" s="818"/>
      <c r="AK513" s="818"/>
      <c r="AL513" s="818"/>
      <c r="AM513" s="818"/>
      <c r="AN513" s="818"/>
      <c r="AO513" s="818"/>
      <c r="AP513" s="818"/>
      <c r="AQ513" s="818"/>
      <c r="AR513" s="818"/>
      <c r="AS513" s="818"/>
      <c r="AT513" s="818"/>
      <c r="AU513" s="818"/>
      <c r="AV513" s="818"/>
      <c r="AW513" s="818"/>
      <c r="AX513" s="564"/>
    </row>
    <row r="514" spans="1:163" ht="9.75" customHeight="1">
      <c r="A514" s="1602">
        <f t="shared" si="27"/>
        <v>42</v>
      </c>
      <c r="B514" s="3570">
        <f>calc!W284</f>
        <v>44749.458333333328</v>
      </c>
      <c r="C514" s="3571"/>
      <c r="D514" s="3572"/>
      <c r="E514" s="3573">
        <f>IF(calc!W284="","",IF(VALUE(MID(calc!A284,35,1))&gt;4,VALUE(MID(calc!A284,35,2))-100,VALUE(MID(calc!A284,35,2)))*(9/5)+32)</f>
        <v>78.800000000000011</v>
      </c>
      <c r="F514" s="3574"/>
      <c r="G514" s="3573">
        <f>IF(calc!W284="","",IF(VALUE(MID(calc!A284,37,1))&gt;4,VALUE(MID(calc!A284,37,2))-100,VALUE(MID(calc!A284,37,2)))*(9/5)+32)</f>
        <v>78.800000000000011</v>
      </c>
      <c r="H514" s="3574"/>
      <c r="I514" s="3574">
        <f>IF(calc!W284="","",IF(VALUE(MID(calc!A284,39,1))&gt;4,VALUE(MID(calc!A284,39,2))-100,VALUE(MID(calc!A284,39,2)))*(9/5)+32)</f>
        <v>78.800000000000011</v>
      </c>
      <c r="J514" s="3574"/>
      <c r="K514" s="3574">
        <f>IF(calc!W284="","",IF(VALUE(MID(calc!A284,41,1))&gt;4,VALUE(MID(calc!A284,41,2))-100,VALUE(MID(calc!A284,41,2)))*(9/5)+32)</f>
        <v>75.2</v>
      </c>
      <c r="L514" s="3575"/>
      <c r="M514" s="3576">
        <f>IF(calc!W284="","",VALUE(MID(calc!A284,17,3)))</f>
        <v>11</v>
      </c>
      <c r="N514" s="3576"/>
      <c r="O514" s="3577">
        <f>IF(calc!W284="","",IF(VALUE(MID(calc!A284,20,2))&gt;50,VALUE(MID(calc!A284,20,2))-100,VALUE(MID(calc!A284,20,2))))</f>
        <v>-6</v>
      </c>
      <c r="P514" s="3578"/>
      <c r="Q514" s="3579">
        <f>IF(calc!W284="","",VALUE(MID(calc!A284,4,3))/100)</f>
        <v>0</v>
      </c>
      <c r="R514" s="3580"/>
      <c r="S514" s="3588">
        <f t="shared" si="28"/>
        <v>0</v>
      </c>
      <c r="T514" s="3589"/>
      <c r="U514" s="3582" t="str">
        <f t="shared" si="23"/>
        <v/>
      </c>
      <c r="V514" s="3583"/>
      <c r="W514" s="3584" t="str">
        <f t="shared" si="21"/>
        <v/>
      </c>
      <c r="X514" s="3585"/>
      <c r="Y514" s="3585" t="str">
        <f t="shared" si="22"/>
        <v>RA</v>
      </c>
      <c r="Z514" s="3585"/>
      <c r="AA514" s="3586" t="str">
        <f t="shared" si="24"/>
        <v/>
      </c>
      <c r="AB514" s="3586"/>
      <c r="AC514" s="3585" t="str">
        <f t="shared" si="25"/>
        <v/>
      </c>
      <c r="AD514" s="3585"/>
      <c r="AE514" s="3585" t="str">
        <f t="shared" si="26"/>
        <v/>
      </c>
      <c r="AF514" s="3587"/>
      <c r="AG514" s="818"/>
      <c r="AH514" s="818"/>
      <c r="AI514" s="818"/>
      <c r="AJ514" s="818"/>
      <c r="AK514" s="818"/>
      <c r="AL514" s="818"/>
      <c r="AM514" s="818"/>
      <c r="AN514" s="818"/>
      <c r="AO514" s="818"/>
      <c r="AP514" s="818"/>
      <c r="AQ514" s="818"/>
      <c r="AR514" s="818"/>
      <c r="AS514" s="818"/>
      <c r="AT514" s="818"/>
      <c r="AU514" s="818"/>
      <c r="AV514" s="818"/>
      <c r="AW514" s="818"/>
      <c r="AX514" s="564"/>
      <c r="FG514" s="29" t="str">
        <f>IF(COLUMN()&gt;163,"YES","NA")</f>
        <v>NA</v>
      </c>
    </row>
    <row r="515" spans="1:163" ht="9.75" customHeight="1">
      <c r="A515" s="1601">
        <f>A514+3</f>
        <v>45</v>
      </c>
      <c r="B515" s="3549">
        <f>calc!W285</f>
        <v>44749.5</v>
      </c>
      <c r="C515" s="3550"/>
      <c r="D515" s="3551"/>
      <c r="E515" s="3552">
        <f>IF(calc!W285="","",IF(VALUE(MID(calc!A285,35,1))&gt;4,VALUE(MID(calc!A285,35,2))-100,VALUE(MID(calc!A285,35,2)))*(9/5)+32)</f>
        <v>78.800000000000011</v>
      </c>
      <c r="F515" s="3553"/>
      <c r="G515" s="3552">
        <f>IF(calc!W285="","",IF(VALUE(MID(calc!A285,37,1))&gt;4,VALUE(MID(calc!A285,37,2))-100,VALUE(MID(calc!A285,37,2)))*(9/5)+32)</f>
        <v>78.800000000000011</v>
      </c>
      <c r="H515" s="3553"/>
      <c r="I515" s="3553">
        <f>IF(calc!W285="","",IF(VALUE(MID(calc!A285,39,1))&gt;4,VALUE(MID(calc!A285,39,2))-100,VALUE(MID(calc!A285,39,2)))*(9/5)+32)</f>
        <v>78.800000000000011</v>
      </c>
      <c r="J515" s="3553"/>
      <c r="K515" s="3553">
        <f>IF(calc!W285="","",IF(VALUE(MID(calc!A285,41,1))&gt;4,VALUE(MID(calc!A285,41,2))-100,VALUE(MID(calc!A285,41,2)))*(9/5)+32)</f>
        <v>75.2</v>
      </c>
      <c r="L515" s="3554"/>
      <c r="M515" s="3555">
        <f>IF(calc!W285="","",VALUE(MID(calc!A285,17,3)))</f>
        <v>2</v>
      </c>
      <c r="N515" s="3555"/>
      <c r="O515" s="3556">
        <f>IF(calc!W285="","",IF(VALUE(MID(calc!A285,20,2))&gt;50,VALUE(MID(calc!A285,20,2))-100,VALUE(MID(calc!A285,20,2))))</f>
        <v>-6</v>
      </c>
      <c r="P515" s="3557"/>
      <c r="Q515" s="3558">
        <f>IF(calc!W285="","",VALUE(MID(calc!A285,4,3))/100)</f>
        <v>0</v>
      </c>
      <c r="R515" s="3559"/>
      <c r="S515" s="3559">
        <f>SUM(Q506:R515)</f>
        <v>0</v>
      </c>
      <c r="T515" s="3560"/>
      <c r="U515" s="3561" t="str">
        <f t="shared" si="23"/>
        <v/>
      </c>
      <c r="V515" s="3562"/>
      <c r="W515" s="3563" t="str">
        <f t="shared" si="21"/>
        <v/>
      </c>
      <c r="X515" s="3564"/>
      <c r="Y515" s="3564" t="str">
        <f t="shared" si="22"/>
        <v>RA</v>
      </c>
      <c r="Z515" s="3564"/>
      <c r="AA515" s="3565" t="str">
        <f t="shared" si="24"/>
        <v/>
      </c>
      <c r="AB515" s="3565"/>
      <c r="AC515" s="3564" t="str">
        <f t="shared" si="25"/>
        <v/>
      </c>
      <c r="AD515" s="3564"/>
      <c r="AE515" s="3564" t="str">
        <f t="shared" si="26"/>
        <v/>
      </c>
      <c r="AF515" s="3566"/>
      <c r="AG515" s="818"/>
      <c r="AH515" s="818"/>
      <c r="AI515" s="818"/>
      <c r="AJ515" s="818"/>
      <c r="AK515" s="818"/>
      <c r="AL515" s="818"/>
      <c r="AM515" s="818"/>
      <c r="AN515" s="818"/>
      <c r="AO515" s="818"/>
      <c r="AP515" s="818"/>
      <c r="AQ515" s="818"/>
      <c r="AR515" s="818"/>
      <c r="AS515" s="818"/>
      <c r="AT515" s="818"/>
      <c r="AU515" s="818"/>
      <c r="AV515" s="818"/>
      <c r="AW515" s="818"/>
      <c r="AX515" s="564"/>
    </row>
    <row r="516" spans="1:163" ht="9.75" customHeight="1">
      <c r="A516" s="1602">
        <f t="shared" ref="A516:A548" si="29">A515+3</f>
        <v>48</v>
      </c>
      <c r="B516" s="3570">
        <f>calc!W286</f>
        <v>44749.625</v>
      </c>
      <c r="C516" s="3571"/>
      <c r="D516" s="3572"/>
      <c r="E516" s="3573">
        <f>IF(calc!W286="","",IF(VALUE(MID(calc!A286,35,1))&gt;4,VALUE(MID(calc!A286,35,2))-100,VALUE(MID(calc!A286,35,2)))*(9/5)+32)</f>
        <v>86</v>
      </c>
      <c r="F516" s="3574"/>
      <c r="G516" s="3573">
        <f>IF(calc!W286="","",IF(VALUE(MID(calc!A286,37,1))&gt;4,VALUE(MID(calc!A286,37,2))-100,VALUE(MID(calc!A286,37,2)))*(9/5)+32)</f>
        <v>82.4</v>
      </c>
      <c r="H516" s="3574"/>
      <c r="I516" s="3574">
        <f>IF(calc!W286="","",IF(VALUE(MID(calc!A286,39,1))&gt;4,VALUE(MID(calc!A286,39,2))-100,VALUE(MID(calc!A286,39,2)))*(9/5)+32)</f>
        <v>78.800000000000011</v>
      </c>
      <c r="J516" s="3574"/>
      <c r="K516" s="3574">
        <f>IF(calc!W286="","",IF(VALUE(MID(calc!A286,41,1))&gt;4,VALUE(MID(calc!A286,41,2))-100,VALUE(MID(calc!A286,41,2)))*(9/5)+32)</f>
        <v>75.2</v>
      </c>
      <c r="L516" s="3575"/>
      <c r="M516" s="3576">
        <f>IF(calc!W286="","",VALUE(MID(calc!A286,17,3)))</f>
        <v>-3</v>
      </c>
      <c r="N516" s="3576"/>
      <c r="O516" s="3577">
        <f>IF(calc!W286="","",IF(VALUE(MID(calc!A286,20,2))&gt;50,VALUE(MID(calc!A286,20,2))-100,VALUE(MID(calc!A286,20,2))))</f>
        <v>-8</v>
      </c>
      <c r="P516" s="3578"/>
      <c r="Q516" s="3579">
        <f>IF(calc!W286="","",VALUE(MID(calc!A286,4,3))/100)</f>
        <v>0</v>
      </c>
      <c r="R516" s="3580"/>
      <c r="S516" s="3588">
        <f>SUM(Q509:R516)</f>
        <v>0</v>
      </c>
      <c r="T516" s="3589"/>
      <c r="U516" s="3582" t="str">
        <f t="shared" si="23"/>
        <v/>
      </c>
      <c r="V516" s="3583"/>
      <c r="W516" s="3584" t="str">
        <f t="shared" si="21"/>
        <v/>
      </c>
      <c r="X516" s="3585"/>
      <c r="Y516" s="3585" t="str">
        <f t="shared" si="22"/>
        <v>RA</v>
      </c>
      <c r="Z516" s="3585"/>
      <c r="AA516" s="3586" t="str">
        <f t="shared" si="24"/>
        <v/>
      </c>
      <c r="AB516" s="3586"/>
      <c r="AC516" s="3585" t="str">
        <f t="shared" si="25"/>
        <v/>
      </c>
      <c r="AD516" s="3585"/>
      <c r="AE516" s="3585" t="str">
        <f t="shared" si="26"/>
        <v/>
      </c>
      <c r="AF516" s="3587"/>
      <c r="AG516" s="819"/>
      <c r="AH516" s="819"/>
      <c r="AI516" s="819"/>
      <c r="AJ516" s="819"/>
      <c r="AK516" s="819"/>
      <c r="AL516" s="819"/>
      <c r="AM516" s="819"/>
      <c r="AN516" s="819"/>
      <c r="AO516" s="819"/>
      <c r="AP516" s="819"/>
      <c r="AQ516" s="819"/>
      <c r="AR516" s="819"/>
      <c r="AS516" s="819"/>
      <c r="AT516" s="819"/>
      <c r="AU516" s="819"/>
      <c r="AV516" s="819"/>
      <c r="AW516" s="819"/>
      <c r="AX516" s="564"/>
    </row>
    <row r="517" spans="1:163" ht="9.75" customHeight="1">
      <c r="A517" s="1601">
        <f t="shared" si="29"/>
        <v>51</v>
      </c>
      <c r="B517" s="3549">
        <f>calc!W287</f>
        <v>44749.75</v>
      </c>
      <c r="C517" s="3550"/>
      <c r="D517" s="3551"/>
      <c r="E517" s="3552">
        <f>IF(calc!W287="","",IF(VALUE(MID(calc!A287,35,1))&gt;4,VALUE(MID(calc!A287,35,2))-100,VALUE(MID(calc!A287,35,2)))*(9/5)+32)</f>
        <v>93.2</v>
      </c>
      <c r="F517" s="3553"/>
      <c r="G517" s="3552">
        <f>IF(calc!W287="","",IF(VALUE(MID(calc!A287,37,1))&gt;4,VALUE(MID(calc!A287,37,2))-100,VALUE(MID(calc!A287,37,2)))*(9/5)+32)</f>
        <v>87.800000000000011</v>
      </c>
      <c r="H517" s="3553"/>
      <c r="I517" s="3553">
        <f>IF(calc!W287="","",IF(VALUE(MID(calc!A287,39,1))&gt;4,VALUE(MID(calc!A287,39,2))-100,VALUE(MID(calc!A287,39,2)))*(9/5)+32)</f>
        <v>80.599999999999994</v>
      </c>
      <c r="J517" s="3553"/>
      <c r="K517" s="3553">
        <f>IF(calc!W287="","",IF(VALUE(MID(calc!A287,41,1))&gt;4,VALUE(MID(calc!A287,41,2))-100,VALUE(MID(calc!A287,41,2)))*(9/5)+32)</f>
        <v>75.2</v>
      </c>
      <c r="L517" s="3554"/>
      <c r="M517" s="3555">
        <f>IF(calc!W287="","",VALUE(MID(calc!A287,17,3)))</f>
        <v>-4</v>
      </c>
      <c r="N517" s="3555"/>
      <c r="O517" s="3556">
        <f>IF(calc!W287="","",IF(VALUE(MID(calc!A287,20,2))&gt;50,VALUE(MID(calc!A287,20,2))-100,VALUE(MID(calc!A287,20,2))))</f>
        <v>-7</v>
      </c>
      <c r="P517" s="3557"/>
      <c r="Q517" s="3558">
        <f>IF(calc!W287="","",VALUE(MID(calc!A287,4,3))/100)</f>
        <v>0</v>
      </c>
      <c r="R517" s="3559"/>
      <c r="S517" s="3559">
        <f>SUM(Q512:R517)</f>
        <v>0</v>
      </c>
      <c r="T517" s="3560"/>
      <c r="U517" s="3561" t="str">
        <f t="shared" si="23"/>
        <v/>
      </c>
      <c r="V517" s="3562"/>
      <c r="W517" s="3563" t="str">
        <f t="shared" si="21"/>
        <v/>
      </c>
      <c r="X517" s="3564"/>
      <c r="Y517" s="3564" t="str">
        <f t="shared" si="22"/>
        <v>RA</v>
      </c>
      <c r="Z517" s="3564"/>
      <c r="AA517" s="3565" t="str">
        <f t="shared" si="24"/>
        <v/>
      </c>
      <c r="AB517" s="3565"/>
      <c r="AC517" s="3564" t="str">
        <f t="shared" si="25"/>
        <v/>
      </c>
      <c r="AD517" s="3564"/>
      <c r="AE517" s="3564" t="str">
        <f t="shared" si="26"/>
        <v/>
      </c>
      <c r="AF517" s="3566"/>
      <c r="AG517" s="819"/>
      <c r="AH517" s="819"/>
      <c r="AI517" s="819"/>
      <c r="AJ517" s="819"/>
      <c r="AK517" s="819"/>
      <c r="AL517" s="819"/>
      <c r="AM517" s="819"/>
      <c r="AN517" s="819"/>
      <c r="AO517" s="819"/>
      <c r="AP517" s="819"/>
      <c r="AQ517" s="819"/>
      <c r="AR517" s="819"/>
      <c r="AS517" s="819"/>
      <c r="AT517" s="819"/>
      <c r="AU517" s="819"/>
      <c r="AV517" s="819"/>
      <c r="AW517" s="819"/>
      <c r="AX517" s="564"/>
    </row>
    <row r="518" spans="1:163" ht="9.75" customHeight="1">
      <c r="A518" s="1602">
        <f t="shared" si="29"/>
        <v>54</v>
      </c>
      <c r="B518" s="3570">
        <f>calc!W288</f>
        <v>44749.875</v>
      </c>
      <c r="C518" s="3571"/>
      <c r="D518" s="3572"/>
      <c r="E518" s="3573">
        <f>IF(calc!W288="","",IF(VALUE(MID(calc!A288,35,1))&gt;4,VALUE(MID(calc!A288,35,2))-100,VALUE(MID(calc!A288,35,2)))*(9/5)+32)</f>
        <v>93.2</v>
      </c>
      <c r="F518" s="3574"/>
      <c r="G518" s="3573">
        <f>IF(calc!W288="","",IF(VALUE(MID(calc!A288,37,1))&gt;4,VALUE(MID(calc!A288,37,2))-100,VALUE(MID(calc!A288,37,2)))*(9/5)+32)</f>
        <v>91.4</v>
      </c>
      <c r="H518" s="3574"/>
      <c r="I518" s="3574">
        <f>IF(calc!W288="","",IF(VALUE(MID(calc!A288,39,1))&gt;4,VALUE(MID(calc!A288,39,2))-100,VALUE(MID(calc!A288,39,2)))*(9/5)+32)</f>
        <v>82.4</v>
      </c>
      <c r="J518" s="3574"/>
      <c r="K518" s="3574">
        <f>IF(calc!W288="","",IF(VALUE(MID(calc!A288,41,1))&gt;4,VALUE(MID(calc!A288,41,2))-100,VALUE(MID(calc!A288,41,2)))*(9/5)+32)</f>
        <v>77</v>
      </c>
      <c r="L518" s="3575"/>
      <c r="M518" s="3576">
        <f>IF(calc!W288="","",VALUE(MID(calc!A288,17,3)))</f>
        <v>-6</v>
      </c>
      <c r="N518" s="3576"/>
      <c r="O518" s="3577">
        <f>IF(calc!W288="","",IF(VALUE(MID(calc!A288,20,2))&gt;50,VALUE(MID(calc!A288,20,2))-100,VALUE(MID(calc!A288,20,2))))</f>
        <v>-6</v>
      </c>
      <c r="P518" s="3578"/>
      <c r="Q518" s="3579">
        <f>IF(calc!W288="","",VALUE(MID(calc!A288,4,3))/100)</f>
        <v>0.03</v>
      </c>
      <c r="R518" s="3580"/>
      <c r="S518" s="3588">
        <f>SUM(Q515:R518)</f>
        <v>0.03</v>
      </c>
      <c r="T518" s="3589"/>
      <c r="U518" s="3582" t="str">
        <f t="shared" si="23"/>
        <v>RA</v>
      </c>
      <c r="V518" s="3583"/>
      <c r="W518" s="3584" t="str">
        <f t="shared" si="21"/>
        <v/>
      </c>
      <c r="X518" s="3585"/>
      <c r="Y518" s="3585" t="str">
        <f t="shared" si="22"/>
        <v>RA</v>
      </c>
      <c r="Z518" s="3585"/>
      <c r="AA518" s="3586" t="str">
        <f t="shared" si="24"/>
        <v/>
      </c>
      <c r="AB518" s="3586"/>
      <c r="AC518" s="3585" t="str">
        <f t="shared" si="25"/>
        <v/>
      </c>
      <c r="AD518" s="3585"/>
      <c r="AE518" s="3585" t="str">
        <f t="shared" si="26"/>
        <v/>
      </c>
      <c r="AF518" s="3587"/>
      <c r="AG518" s="820"/>
      <c r="AH518" s="820"/>
      <c r="AI518" s="820"/>
      <c r="AJ518" s="820"/>
      <c r="AK518" s="820"/>
      <c r="AL518" s="820"/>
      <c r="AM518" s="820"/>
      <c r="AN518" s="820"/>
      <c r="AO518" s="820"/>
      <c r="AP518" s="820"/>
      <c r="AQ518" s="820"/>
      <c r="AR518" s="820"/>
      <c r="AS518" s="820"/>
      <c r="AT518" s="820"/>
      <c r="AU518" s="820"/>
      <c r="AV518" s="564"/>
      <c r="AW518" s="564"/>
      <c r="AX518" s="564"/>
    </row>
    <row r="519" spans="1:163" ht="9.75" customHeight="1">
      <c r="A519" s="1601">
        <f t="shared" si="29"/>
        <v>57</v>
      </c>
      <c r="B519" s="3549">
        <f>calc!W289</f>
        <v>44750</v>
      </c>
      <c r="C519" s="3550"/>
      <c r="D519" s="3551"/>
      <c r="E519" s="3552">
        <f>IF(calc!W289="","",IF(VALUE(MID(calc!A289,35,1))&gt;4,VALUE(MID(calc!A289,35,2))-100,VALUE(MID(calc!A289,35,2)))*(9/5)+32)</f>
        <v>89.6</v>
      </c>
      <c r="F519" s="3553"/>
      <c r="G519" s="3552">
        <f>IF(calc!W289="","",IF(VALUE(MID(calc!A289,37,1))&gt;4,VALUE(MID(calc!A289,37,2))-100,VALUE(MID(calc!A289,37,2)))*(9/5)+32)</f>
        <v>89.6</v>
      </c>
      <c r="H519" s="3553"/>
      <c r="I519" s="3553">
        <f>IF(calc!W289="","",IF(VALUE(MID(calc!A289,39,1))&gt;4,VALUE(MID(calc!A289,39,2))-100,VALUE(MID(calc!A289,39,2)))*(9/5)+32)</f>
        <v>82.4</v>
      </c>
      <c r="J519" s="3553"/>
      <c r="K519" s="3553">
        <f>IF(calc!W289="","",IF(VALUE(MID(calc!A289,41,1))&gt;4,VALUE(MID(calc!A289,41,2))-100,VALUE(MID(calc!A289,41,2)))*(9/5)+32)</f>
        <v>77</v>
      </c>
      <c r="L519" s="3554"/>
      <c r="M519" s="3555">
        <f>IF(calc!W289="","",VALUE(MID(calc!A289,17,3)))</f>
        <v>-9</v>
      </c>
      <c r="N519" s="3555"/>
      <c r="O519" s="3556">
        <f>IF(calc!W289="","",IF(VALUE(MID(calc!A289,20,2))&gt;50,VALUE(MID(calc!A289,20,2))-100,VALUE(MID(calc!A289,20,2))))</f>
        <v>-9</v>
      </c>
      <c r="P519" s="3557"/>
      <c r="Q519" s="3558">
        <f>IF(calc!W289="","",VALUE(MID(calc!A289,4,3))/100)</f>
        <v>0.01</v>
      </c>
      <c r="R519" s="3559"/>
      <c r="S519" s="3559">
        <f>SUM(Q516:R519)</f>
        <v>0.04</v>
      </c>
      <c r="T519" s="3560"/>
      <c r="U519" s="3561" t="str">
        <f t="shared" si="23"/>
        <v>RA</v>
      </c>
      <c r="V519" s="3562"/>
      <c r="W519" s="3563" t="str">
        <f t="shared" si="21"/>
        <v/>
      </c>
      <c r="X519" s="3564"/>
      <c r="Y519" s="3564" t="str">
        <f t="shared" si="22"/>
        <v>RA</v>
      </c>
      <c r="Z519" s="3564"/>
      <c r="AA519" s="3565" t="str">
        <f t="shared" si="24"/>
        <v/>
      </c>
      <c r="AB519" s="3565"/>
      <c r="AC519" s="3564" t="str">
        <f t="shared" si="25"/>
        <v/>
      </c>
      <c r="AD519" s="3564"/>
      <c r="AE519" s="3564" t="str">
        <f t="shared" si="26"/>
        <v/>
      </c>
      <c r="AF519" s="3566"/>
      <c r="AG519" s="820"/>
      <c r="AH519" s="820"/>
      <c r="AI519" s="820"/>
      <c r="AJ519" s="820"/>
      <c r="AK519" s="820"/>
      <c r="AL519" s="820"/>
      <c r="AM519" s="820"/>
      <c r="AN519" s="820"/>
      <c r="AO519" s="820"/>
      <c r="AP519" s="820"/>
      <c r="AQ519" s="820"/>
      <c r="AR519" s="820"/>
      <c r="AS519" s="820"/>
      <c r="AT519" s="820"/>
      <c r="AU519" s="820"/>
      <c r="AV519" s="820"/>
      <c r="AW519" s="820"/>
      <c r="AX519" s="564"/>
    </row>
    <row r="520" spans="1:163" ht="9.75" customHeight="1">
      <c r="A520" s="1602">
        <f t="shared" si="29"/>
        <v>60</v>
      </c>
      <c r="B520" s="3570">
        <f>calc!W290</f>
        <v>44750.125</v>
      </c>
      <c r="C520" s="3571"/>
      <c r="D520" s="3572"/>
      <c r="E520" s="3573">
        <f>IF(calc!W290="","",IF(VALUE(MID(calc!A290,35,1))&gt;4,VALUE(MID(calc!A290,35,2))-100,VALUE(MID(calc!A290,35,2)))*(9/5)+32)</f>
        <v>82.4</v>
      </c>
      <c r="F520" s="3574"/>
      <c r="G520" s="3573">
        <f>IF(calc!W290="","",IF(VALUE(MID(calc!A290,37,1))&gt;4,VALUE(MID(calc!A290,37,2))-100,VALUE(MID(calc!A290,37,2)))*(9/5)+32)</f>
        <v>86</v>
      </c>
      <c r="H520" s="3574"/>
      <c r="I520" s="3574">
        <f>IF(calc!W290="","",IF(VALUE(MID(calc!A290,39,1))&gt;4,VALUE(MID(calc!A290,39,2))-100,VALUE(MID(calc!A290,39,2)))*(9/5)+32)</f>
        <v>82.4</v>
      </c>
      <c r="J520" s="3574"/>
      <c r="K520" s="3574">
        <f>IF(calc!W290="","",IF(VALUE(MID(calc!A290,41,1))&gt;4,VALUE(MID(calc!A290,41,2))-100,VALUE(MID(calc!A290,41,2)))*(9/5)+32)</f>
        <v>77</v>
      </c>
      <c r="L520" s="3575"/>
      <c r="M520" s="3576">
        <f>IF(calc!W290="","",VALUE(MID(calc!A290,17,3)))</f>
        <v>-32</v>
      </c>
      <c r="N520" s="3576"/>
      <c r="O520" s="3577">
        <f>IF(calc!W290="","",IF(VALUE(MID(calc!A290,20,2))&gt;50,VALUE(MID(calc!A290,20,2))-100,VALUE(MID(calc!A290,20,2))))</f>
        <v>-8</v>
      </c>
      <c r="P520" s="3578"/>
      <c r="Q520" s="3579">
        <f>IF(calc!W290="","",VALUE(MID(calc!A290,4,3))/100)</f>
        <v>0</v>
      </c>
      <c r="R520" s="3580"/>
      <c r="S520" s="3588">
        <f>SUM(Q517:R520)</f>
        <v>0.04</v>
      </c>
      <c r="T520" s="3589"/>
      <c r="U520" s="3582" t="str">
        <f t="shared" si="23"/>
        <v/>
      </c>
      <c r="V520" s="3583"/>
      <c r="W520" s="3584" t="str">
        <f t="shared" si="21"/>
        <v/>
      </c>
      <c r="X520" s="3585"/>
      <c r="Y520" s="3585" t="str">
        <f t="shared" si="22"/>
        <v>RA</v>
      </c>
      <c r="Z520" s="3585"/>
      <c r="AA520" s="3586" t="str">
        <f t="shared" si="24"/>
        <v/>
      </c>
      <c r="AB520" s="3586"/>
      <c r="AC520" s="3585" t="str">
        <f t="shared" si="25"/>
        <v/>
      </c>
      <c r="AD520" s="3585"/>
      <c r="AE520" s="3585" t="str">
        <f t="shared" si="26"/>
        <v/>
      </c>
      <c r="AF520" s="3587"/>
      <c r="AG520" s="821"/>
      <c r="AH520" s="821"/>
      <c r="AI520" s="821"/>
      <c r="AJ520" s="821"/>
      <c r="AK520" s="821"/>
      <c r="AL520" s="821"/>
      <c r="AM520" s="821"/>
      <c r="AN520" s="821"/>
      <c r="AO520" s="821"/>
      <c r="AP520" s="821"/>
      <c r="AQ520" s="821"/>
      <c r="AR520" s="821"/>
      <c r="AS520" s="821"/>
      <c r="AT520" s="821"/>
      <c r="AU520" s="821"/>
      <c r="AV520" s="821"/>
      <c r="AW520" s="821"/>
      <c r="AX520" s="564"/>
    </row>
    <row r="521" spans="1:163" ht="9.75" customHeight="1">
      <c r="A521" s="1601">
        <f t="shared" si="29"/>
        <v>63</v>
      </c>
      <c r="B521" s="3549">
        <f>calc!W291</f>
        <v>44750.25</v>
      </c>
      <c r="C521" s="3550"/>
      <c r="D521" s="3551"/>
      <c r="E521" s="3552">
        <f>IF(calc!W291="","",IF(VALUE(MID(calc!A291,35,1))&gt;4,VALUE(MID(calc!A291,35,2))-100,VALUE(MID(calc!A291,35,2)))*(9/5)+32)</f>
        <v>80.599999999999994</v>
      </c>
      <c r="F521" s="3553"/>
      <c r="G521" s="3552">
        <f>IF(calc!W291="","",IF(VALUE(MID(calc!A291,37,1))&gt;4,VALUE(MID(calc!A291,37,2))-100,VALUE(MID(calc!A291,37,2)))*(9/5)+32)</f>
        <v>82.4</v>
      </c>
      <c r="H521" s="3553"/>
      <c r="I521" s="3553">
        <f>IF(calc!W291="","",IF(VALUE(MID(calc!A291,39,1))&gt;4,VALUE(MID(calc!A291,39,2))-100,VALUE(MID(calc!A291,39,2)))*(9/5)+32)</f>
        <v>78.800000000000011</v>
      </c>
      <c r="J521" s="3553"/>
      <c r="K521" s="3553">
        <f>IF(calc!W291="","",IF(VALUE(MID(calc!A291,41,1))&gt;4,VALUE(MID(calc!A291,41,2))-100,VALUE(MID(calc!A291,41,2)))*(9/5)+32)</f>
        <v>75.2</v>
      </c>
      <c r="L521" s="3554"/>
      <c r="M521" s="3555">
        <f>IF(calc!W291="","",VALUE(MID(calc!A291,17,3)))</f>
        <v>25</v>
      </c>
      <c r="N521" s="3555"/>
      <c r="O521" s="3556">
        <f>IF(calc!W291="","",IF(VALUE(MID(calc!A291,20,2))&gt;50,VALUE(MID(calc!A291,20,2))-100,VALUE(MID(calc!A291,20,2))))</f>
        <v>-6</v>
      </c>
      <c r="P521" s="3557"/>
      <c r="Q521" s="3558">
        <f>IF(calc!W291="","",VALUE(MID(calc!A291,4,3))/100)</f>
        <v>0</v>
      </c>
      <c r="R521" s="3559"/>
      <c r="S521" s="3559">
        <f t="shared" ref="S521:S548" si="30">SUM(Q518:R521)</f>
        <v>0.04</v>
      </c>
      <c r="T521" s="3560"/>
      <c r="U521" s="3561" t="str">
        <f t="shared" ref="U521:U548" si="31">IF(Q521=0,"",IF(W521&lt;&gt;"","RASN",IF(Y521&lt;&gt;"","RA",IF(AA521&lt;&gt;"","SN",IF(AC521&lt;&gt;"","FZ","IP")))))</f>
        <v/>
      </c>
      <c r="V521" s="3562"/>
      <c r="W521" s="3563" t="str">
        <f t="shared" ref="W521:W548" si="32">IF(AND(Y521="",AA521="",AC521="",AE521=""),"RASN","")</f>
        <v/>
      </c>
      <c r="X521" s="3564"/>
      <c r="Y521" s="3564" t="str">
        <f t="shared" ref="Y521:Y548" si="33">IF(AND(E521&gt;32,G521&gt;32,I521&gt;32,K521&gt;32),"RA",IF(AND(E521&gt;41,G521&gt;40),"RA",""))</f>
        <v>RA</v>
      </c>
      <c r="Z521" s="3564"/>
      <c r="AA521" s="3565" t="str">
        <f t="shared" ref="AA521:AA548" si="34">IF(AND(E521&lt;37,G521&lt;35,I521&lt;32.01,K521&lt;32.01),"SN","")</f>
        <v/>
      </c>
      <c r="AB521" s="3565"/>
      <c r="AC521" s="3564" t="str">
        <f t="shared" ref="AC521:AC548" si="35">IF(OR(Y521="RA",AA521="SN"),"",IF(E521&lt;33,"FZ",""))</f>
        <v/>
      </c>
      <c r="AD521" s="3564"/>
      <c r="AE521" s="3564" t="str">
        <f t="shared" ref="AE521:AE548" si="36">IF(OR(Y521="RA",AC521="FZ"),"",IF(OR(AND(OR(K521&gt;32,I521&gt;32),G521&lt;32.01),AND(OR(G521&lt;32,I521&lt;32.01),K521&gt;32)),"IP",""))</f>
        <v/>
      </c>
      <c r="AF521" s="3566"/>
      <c r="AG521" s="821"/>
      <c r="AH521" s="821"/>
      <c r="AI521" s="821"/>
      <c r="AJ521" s="821"/>
      <c r="AK521" s="821"/>
      <c r="AL521" s="821"/>
      <c r="AM521" s="821"/>
      <c r="AN521" s="821"/>
      <c r="AO521" s="821"/>
      <c r="AP521" s="821"/>
      <c r="AQ521" s="821"/>
      <c r="AR521" s="821"/>
      <c r="AS521" s="821"/>
      <c r="AT521" s="821"/>
      <c r="AU521" s="821"/>
      <c r="AV521" s="821"/>
      <c r="AW521" s="821"/>
      <c r="AX521" s="564"/>
    </row>
    <row r="522" spans="1:163" ht="9.75" customHeight="1">
      <c r="A522" s="1602">
        <f t="shared" si="29"/>
        <v>66</v>
      </c>
      <c r="B522" s="3570">
        <f>calc!W292</f>
        <v>44750.375</v>
      </c>
      <c r="C522" s="3571"/>
      <c r="D522" s="3572"/>
      <c r="E522" s="3573">
        <f>IF(calc!W292="","",IF(VALUE(MID(calc!A292,35,1))&gt;4,VALUE(MID(calc!A292,35,2))-100,VALUE(MID(calc!A292,35,2)))*(9/5)+32)</f>
        <v>78.800000000000011</v>
      </c>
      <c r="F522" s="3574"/>
      <c r="G522" s="3573">
        <f>IF(calc!W292="","",IF(VALUE(MID(calc!A292,37,1))&gt;4,VALUE(MID(calc!A292,37,2))-100,VALUE(MID(calc!A292,37,2)))*(9/5)+32)</f>
        <v>80.599999999999994</v>
      </c>
      <c r="H522" s="3574"/>
      <c r="I522" s="3574">
        <f>IF(calc!W292="","",IF(VALUE(MID(calc!A292,39,1))&gt;4,VALUE(MID(calc!A292,39,2))-100,VALUE(MID(calc!A292,39,2)))*(9/5)+32)</f>
        <v>78.800000000000011</v>
      </c>
      <c r="J522" s="3574"/>
      <c r="K522" s="3574">
        <f>IF(calc!W292="","",IF(VALUE(MID(calc!A292,41,1))&gt;4,VALUE(MID(calc!A292,41,2))-100,VALUE(MID(calc!A292,41,2)))*(9/5)+32)</f>
        <v>75.2</v>
      </c>
      <c r="L522" s="3575"/>
      <c r="M522" s="3576">
        <f>IF(calc!W292="","",VALUE(MID(calc!A292,17,3)))</f>
        <v>26</v>
      </c>
      <c r="N522" s="3576"/>
      <c r="O522" s="3577">
        <f>IF(calc!W292="","",IF(VALUE(MID(calc!A292,20,2))&gt;50,VALUE(MID(calc!A292,20,2))-100,VALUE(MID(calc!A292,20,2))))</f>
        <v>-5</v>
      </c>
      <c r="P522" s="3578"/>
      <c r="Q522" s="3579">
        <f>IF(calc!W292="","",VALUE(MID(calc!A292,4,3))/100)</f>
        <v>0</v>
      </c>
      <c r="R522" s="3580"/>
      <c r="S522" s="3588">
        <f t="shared" si="30"/>
        <v>0.01</v>
      </c>
      <c r="T522" s="3589"/>
      <c r="U522" s="3582" t="str">
        <f t="shared" si="31"/>
        <v/>
      </c>
      <c r="V522" s="3583"/>
      <c r="W522" s="3584" t="str">
        <f t="shared" si="32"/>
        <v/>
      </c>
      <c r="X522" s="3585"/>
      <c r="Y522" s="3585" t="str">
        <f t="shared" si="33"/>
        <v>RA</v>
      </c>
      <c r="Z522" s="3585"/>
      <c r="AA522" s="3586" t="str">
        <f t="shared" si="34"/>
        <v/>
      </c>
      <c r="AB522" s="3586"/>
      <c r="AC522" s="3585" t="str">
        <f t="shared" si="35"/>
        <v/>
      </c>
      <c r="AD522" s="3585"/>
      <c r="AE522" s="3585" t="str">
        <f t="shared" si="36"/>
        <v/>
      </c>
      <c r="AF522" s="3587"/>
      <c r="AG522" s="821"/>
      <c r="AH522" s="821"/>
      <c r="AI522" s="821"/>
      <c r="AJ522" s="821"/>
      <c r="AK522" s="821"/>
      <c r="AL522" s="821"/>
      <c r="AM522" s="821"/>
      <c r="AN522" s="821"/>
      <c r="AO522" s="821"/>
      <c r="AP522" s="821"/>
      <c r="AQ522" s="821"/>
      <c r="AR522" s="821"/>
      <c r="AS522" s="821"/>
      <c r="AT522" s="821"/>
      <c r="AU522" s="821"/>
      <c r="AV522" s="821"/>
      <c r="AW522" s="821"/>
      <c r="AX522" s="564"/>
    </row>
    <row r="523" spans="1:163" ht="9.75" customHeight="1">
      <c r="A523" s="1601">
        <f t="shared" si="29"/>
        <v>69</v>
      </c>
      <c r="B523" s="3549">
        <f>calc!W293</f>
        <v>44750.5</v>
      </c>
      <c r="C523" s="3550"/>
      <c r="D523" s="3551"/>
      <c r="E523" s="3552">
        <f>IF(calc!W293="","",IF(VALUE(MID(calc!A293,35,1))&gt;4,VALUE(MID(calc!A293,35,2))-100,VALUE(MID(calc!A293,35,2)))*(9/5)+32)</f>
        <v>80.599999999999994</v>
      </c>
      <c r="F523" s="3553"/>
      <c r="G523" s="3552">
        <f>IF(calc!W293="","",IF(VALUE(MID(calc!A293,37,1))&gt;4,VALUE(MID(calc!A293,37,2))-100,VALUE(MID(calc!A293,37,2)))*(9/5)+32)</f>
        <v>78.800000000000011</v>
      </c>
      <c r="H523" s="3553"/>
      <c r="I523" s="3553">
        <f>IF(calc!W293="","",IF(VALUE(MID(calc!A293,39,1))&gt;4,VALUE(MID(calc!A293,39,2))-100,VALUE(MID(calc!A293,39,2)))*(9/5)+32)</f>
        <v>78.800000000000011</v>
      </c>
      <c r="J523" s="3553"/>
      <c r="K523" s="3553">
        <f>IF(calc!W293="","",IF(VALUE(MID(calc!A293,41,1))&gt;4,VALUE(MID(calc!A293,41,2))-100,VALUE(MID(calc!A293,41,2)))*(9/5)+32)</f>
        <v>75.2</v>
      </c>
      <c r="L523" s="3554"/>
      <c r="M523" s="3555">
        <f>IF(calc!W293="","",VALUE(MID(calc!A293,17,3)))</f>
        <v>5</v>
      </c>
      <c r="N523" s="3555"/>
      <c r="O523" s="3556">
        <f>IF(calc!W293="","",IF(VALUE(MID(calc!A293,20,2))&gt;50,VALUE(MID(calc!A293,20,2))-100,VALUE(MID(calc!A293,20,2))))</f>
        <v>-5</v>
      </c>
      <c r="P523" s="3557"/>
      <c r="Q523" s="3558">
        <f>IF(calc!W293="","",VALUE(MID(calc!A293,4,3))/100)</f>
        <v>0</v>
      </c>
      <c r="R523" s="3559"/>
      <c r="S523" s="3559">
        <f t="shared" si="30"/>
        <v>0</v>
      </c>
      <c r="T523" s="3560"/>
      <c r="U523" s="3561" t="str">
        <f t="shared" si="31"/>
        <v/>
      </c>
      <c r="V523" s="3562"/>
      <c r="W523" s="3563" t="str">
        <f t="shared" si="32"/>
        <v/>
      </c>
      <c r="X523" s="3564"/>
      <c r="Y523" s="3564" t="str">
        <f t="shared" si="33"/>
        <v>RA</v>
      </c>
      <c r="Z523" s="3564"/>
      <c r="AA523" s="3565" t="str">
        <f t="shared" si="34"/>
        <v/>
      </c>
      <c r="AB523" s="3565"/>
      <c r="AC523" s="3564" t="str">
        <f t="shared" si="35"/>
        <v/>
      </c>
      <c r="AD523" s="3564"/>
      <c r="AE523" s="3564" t="str">
        <f t="shared" si="36"/>
        <v/>
      </c>
      <c r="AF523" s="3566"/>
      <c r="AG523" s="821"/>
      <c r="AH523" s="821"/>
      <c r="AI523" s="821"/>
      <c r="AJ523" s="821"/>
      <c r="AK523" s="821"/>
      <c r="AL523" s="821"/>
      <c r="AM523" s="821"/>
      <c r="AN523" s="821"/>
      <c r="AO523" s="821"/>
      <c r="AP523" s="821"/>
      <c r="AQ523" s="821"/>
      <c r="AR523" s="821"/>
      <c r="AS523" s="821"/>
      <c r="AT523" s="821"/>
      <c r="AU523" s="821"/>
      <c r="AV523" s="821"/>
      <c r="AW523" s="821"/>
      <c r="AX523" s="564"/>
    </row>
    <row r="524" spans="1:163" ht="9.75" customHeight="1">
      <c r="A524" s="1602">
        <f t="shared" si="29"/>
        <v>72</v>
      </c>
      <c r="B524" s="3570">
        <f>calc!W294</f>
        <v>44750.625</v>
      </c>
      <c r="C524" s="3571"/>
      <c r="D524" s="3572"/>
      <c r="E524" s="3573">
        <f>IF(calc!W294="","",IF(VALUE(MID(calc!A294,35,1))&gt;4,VALUE(MID(calc!A294,35,2))-100,VALUE(MID(calc!A294,35,2)))*(9/5)+32)</f>
        <v>87.800000000000011</v>
      </c>
      <c r="F524" s="3574"/>
      <c r="G524" s="3573">
        <f>IF(calc!W294="","",IF(VALUE(MID(calc!A294,37,1))&gt;4,VALUE(MID(calc!A294,37,2))-100,VALUE(MID(calc!A294,37,2)))*(9/5)+32)</f>
        <v>82.4</v>
      </c>
      <c r="H524" s="3574"/>
      <c r="I524" s="3574">
        <f>IF(calc!W294="","",IF(VALUE(MID(calc!A294,39,1))&gt;4,VALUE(MID(calc!A294,39,2))-100,VALUE(MID(calc!A294,39,2)))*(9/5)+32)</f>
        <v>77</v>
      </c>
      <c r="J524" s="3574"/>
      <c r="K524" s="3574">
        <f>IF(calc!W294="","",IF(VALUE(MID(calc!A294,41,1))&gt;4,VALUE(MID(calc!A294,41,2))-100,VALUE(MID(calc!A294,41,2)))*(9/5)+32)</f>
        <v>77</v>
      </c>
      <c r="L524" s="3575"/>
      <c r="M524" s="3576">
        <f>IF(calc!W294="","",VALUE(MID(calc!A294,17,3)))</f>
        <v>1</v>
      </c>
      <c r="N524" s="3576"/>
      <c r="O524" s="3577">
        <f>IF(calc!W294="","",IF(VALUE(MID(calc!A294,20,2))&gt;50,VALUE(MID(calc!A294,20,2))-100,VALUE(MID(calc!A294,20,2))))</f>
        <v>-7</v>
      </c>
      <c r="P524" s="3578"/>
      <c r="Q524" s="3579">
        <f>IF(calc!W294="","",VALUE(MID(calc!A294,4,3))/100)</f>
        <v>0</v>
      </c>
      <c r="R524" s="3580"/>
      <c r="S524" s="3588">
        <f t="shared" si="30"/>
        <v>0</v>
      </c>
      <c r="T524" s="3589"/>
      <c r="U524" s="3582" t="str">
        <f t="shared" si="31"/>
        <v/>
      </c>
      <c r="V524" s="3583"/>
      <c r="W524" s="3584" t="str">
        <f t="shared" si="32"/>
        <v/>
      </c>
      <c r="X524" s="3585"/>
      <c r="Y524" s="3585" t="str">
        <f t="shared" si="33"/>
        <v>RA</v>
      </c>
      <c r="Z524" s="3585"/>
      <c r="AA524" s="3586" t="str">
        <f t="shared" si="34"/>
        <v/>
      </c>
      <c r="AB524" s="3586"/>
      <c r="AC524" s="3585" t="str">
        <f t="shared" si="35"/>
        <v/>
      </c>
      <c r="AD524" s="3585"/>
      <c r="AE524" s="3585" t="str">
        <f t="shared" si="36"/>
        <v/>
      </c>
      <c r="AF524" s="3587"/>
      <c r="AG524" s="821"/>
      <c r="AH524" s="821"/>
      <c r="AI524" s="821"/>
      <c r="AJ524" s="821"/>
      <c r="AK524" s="821"/>
      <c r="AL524" s="821"/>
      <c r="AM524" s="821"/>
      <c r="AN524" s="821"/>
      <c r="AO524" s="821"/>
      <c r="AP524" s="821"/>
      <c r="AQ524" s="821"/>
      <c r="AR524" s="821"/>
      <c r="AS524" s="821"/>
      <c r="AT524" s="821"/>
      <c r="AU524" s="821"/>
      <c r="AV524" s="821"/>
      <c r="AW524" s="821"/>
      <c r="AX524" s="564"/>
    </row>
    <row r="525" spans="1:163" ht="9.75" customHeight="1">
      <c r="A525" s="1601">
        <f t="shared" si="29"/>
        <v>75</v>
      </c>
      <c r="B525" s="3549">
        <f>calc!W295</f>
        <v>44750.75</v>
      </c>
      <c r="C525" s="3550"/>
      <c r="D525" s="3551"/>
      <c r="E525" s="3552">
        <f>IF(calc!W295="","",IF(VALUE(MID(calc!A295,35,1))&gt;4,VALUE(MID(calc!A295,35,2))-100,VALUE(MID(calc!A295,35,2)))*(9/5)+32)</f>
        <v>93.2</v>
      </c>
      <c r="F525" s="3553"/>
      <c r="G525" s="3552">
        <f>IF(calc!W295="","",IF(VALUE(MID(calc!A295,37,1))&gt;4,VALUE(MID(calc!A295,37,2))-100,VALUE(MID(calc!A295,37,2)))*(9/5)+32)</f>
        <v>89.6</v>
      </c>
      <c r="H525" s="3553"/>
      <c r="I525" s="3553">
        <f>IF(calc!W295="","",IF(VALUE(MID(calc!A295,39,1))&gt;4,VALUE(MID(calc!A295,39,2))-100,VALUE(MID(calc!A295,39,2)))*(9/5)+32)</f>
        <v>80.599999999999994</v>
      </c>
      <c r="J525" s="3553"/>
      <c r="K525" s="3553">
        <f>IF(calc!W295="","",IF(VALUE(MID(calc!A295,41,1))&gt;4,VALUE(MID(calc!A295,41,2))-100,VALUE(MID(calc!A295,41,2)))*(9/5)+32)</f>
        <v>75.2</v>
      </c>
      <c r="L525" s="3554"/>
      <c r="M525" s="3555">
        <f>IF(calc!W295="","",VALUE(MID(calc!A295,17,3)))</f>
        <v>-6</v>
      </c>
      <c r="N525" s="3555"/>
      <c r="O525" s="3556">
        <f>IF(calc!W295="","",IF(VALUE(MID(calc!A295,20,2))&gt;50,VALUE(MID(calc!A295,20,2))-100,VALUE(MID(calc!A295,20,2))))</f>
        <v>-6</v>
      </c>
      <c r="P525" s="3557"/>
      <c r="Q525" s="3558">
        <f>IF(calc!W295="","",VALUE(MID(calc!A295,4,3))/100)</f>
        <v>0</v>
      </c>
      <c r="R525" s="3559"/>
      <c r="S525" s="3559">
        <f t="shared" si="30"/>
        <v>0</v>
      </c>
      <c r="T525" s="3560"/>
      <c r="U525" s="3561" t="str">
        <f t="shared" si="31"/>
        <v/>
      </c>
      <c r="V525" s="3562"/>
      <c r="W525" s="3563" t="str">
        <f t="shared" si="32"/>
        <v/>
      </c>
      <c r="X525" s="3564"/>
      <c r="Y525" s="3564" t="str">
        <f t="shared" si="33"/>
        <v>RA</v>
      </c>
      <c r="Z525" s="3564"/>
      <c r="AA525" s="3565" t="str">
        <f t="shared" si="34"/>
        <v/>
      </c>
      <c r="AB525" s="3565"/>
      <c r="AC525" s="3564" t="str">
        <f t="shared" si="35"/>
        <v/>
      </c>
      <c r="AD525" s="3564"/>
      <c r="AE525" s="3564" t="str">
        <f t="shared" si="36"/>
        <v/>
      </c>
      <c r="AF525" s="3566"/>
      <c r="AG525" s="821"/>
      <c r="AH525" s="821"/>
      <c r="AI525" s="821"/>
      <c r="AJ525" s="821"/>
      <c r="AK525" s="821"/>
      <c r="AL525" s="821"/>
      <c r="AM525" s="821"/>
      <c r="AN525" s="821"/>
      <c r="AO525" s="821"/>
      <c r="AP525" s="821"/>
      <c r="AQ525" s="821"/>
      <c r="AR525" s="821"/>
      <c r="AS525" s="821"/>
      <c r="AT525" s="821"/>
      <c r="AU525" s="821"/>
      <c r="AV525" s="821"/>
      <c r="AW525" s="821"/>
      <c r="AX525" s="564"/>
    </row>
    <row r="526" spans="1:163" ht="9.75" customHeight="1">
      <c r="A526" s="1602">
        <f t="shared" si="29"/>
        <v>78</v>
      </c>
      <c r="B526" s="3570">
        <f>calc!W296</f>
        <v>44750.875</v>
      </c>
      <c r="C526" s="3571"/>
      <c r="D526" s="3572"/>
      <c r="E526" s="3573">
        <f>IF(calc!W296="","",IF(VALUE(MID(calc!A296,35,1))&gt;4,VALUE(MID(calc!A296,35,2))-100,VALUE(MID(calc!A296,35,2)))*(9/5)+32)</f>
        <v>95</v>
      </c>
      <c r="F526" s="3574"/>
      <c r="G526" s="3573">
        <f>IF(calc!W296="","",IF(VALUE(MID(calc!A296,37,1))&gt;4,VALUE(MID(calc!A296,37,2))-100,VALUE(MID(calc!A296,37,2)))*(9/5)+32)</f>
        <v>91.4</v>
      </c>
      <c r="H526" s="3574"/>
      <c r="I526" s="3574">
        <f>IF(calc!W296="","",IF(VALUE(MID(calc!A296,39,1))&gt;4,VALUE(MID(calc!A296,39,2))-100,VALUE(MID(calc!A296,39,2)))*(9/5)+32)</f>
        <v>84.2</v>
      </c>
      <c r="J526" s="3574"/>
      <c r="K526" s="3574">
        <f>IF(calc!W296="","",IF(VALUE(MID(calc!A296,41,1))&gt;4,VALUE(MID(calc!A296,41,2))-100,VALUE(MID(calc!A296,41,2)))*(9/5)+32)</f>
        <v>78.800000000000011</v>
      </c>
      <c r="L526" s="3575"/>
      <c r="M526" s="3576">
        <f>IF(calc!W296="","",VALUE(MID(calc!A296,17,3)))</f>
        <v>67</v>
      </c>
      <c r="N526" s="3576"/>
      <c r="O526" s="3577">
        <f>IF(calc!W296="","",IF(VALUE(MID(calc!A296,20,2))&gt;50,VALUE(MID(calc!A296,20,2))-100,VALUE(MID(calc!A296,20,2))))</f>
        <v>-5</v>
      </c>
      <c r="P526" s="3578"/>
      <c r="Q526" s="3579">
        <f>IF(calc!W296="","",VALUE(MID(calc!A296,4,3))/100)</f>
        <v>0.04</v>
      </c>
      <c r="R526" s="3580"/>
      <c r="S526" s="3588">
        <f t="shared" si="30"/>
        <v>0.04</v>
      </c>
      <c r="T526" s="3589"/>
      <c r="U526" s="3582" t="str">
        <f t="shared" si="31"/>
        <v>RA</v>
      </c>
      <c r="V526" s="3583"/>
      <c r="W526" s="3584" t="str">
        <f t="shared" si="32"/>
        <v/>
      </c>
      <c r="X526" s="3585"/>
      <c r="Y526" s="3585" t="str">
        <f t="shared" si="33"/>
        <v>RA</v>
      </c>
      <c r="Z526" s="3585"/>
      <c r="AA526" s="3586" t="str">
        <f t="shared" si="34"/>
        <v/>
      </c>
      <c r="AB526" s="3586"/>
      <c r="AC526" s="3585" t="str">
        <f t="shared" si="35"/>
        <v/>
      </c>
      <c r="AD526" s="3585"/>
      <c r="AE526" s="3585" t="str">
        <f t="shared" si="36"/>
        <v/>
      </c>
      <c r="AF526" s="3587"/>
      <c r="AG526" s="821"/>
      <c r="AH526" s="821"/>
      <c r="AI526" s="821"/>
      <c r="AJ526" s="821"/>
      <c r="AK526" s="821"/>
      <c r="AL526" s="821"/>
      <c r="AM526" s="821"/>
      <c r="AN526" s="821"/>
      <c r="AO526" s="821"/>
      <c r="AP526" s="821"/>
      <c r="AQ526" s="821"/>
      <c r="AR526" s="821"/>
      <c r="AS526" s="821"/>
      <c r="AT526" s="821"/>
      <c r="AU526" s="821"/>
      <c r="AV526" s="821"/>
      <c r="AW526" s="821"/>
      <c r="AX526" s="564"/>
    </row>
    <row r="527" spans="1:163" ht="9.75" customHeight="1">
      <c r="A527" s="1601">
        <f t="shared" si="29"/>
        <v>81</v>
      </c>
      <c r="B527" s="3549">
        <f>calc!W297</f>
        <v>44751</v>
      </c>
      <c r="C527" s="3550"/>
      <c r="D527" s="3551"/>
      <c r="E527" s="3552">
        <f>IF(calc!W297="","",IF(VALUE(MID(calc!A297,35,1))&gt;4,VALUE(MID(calc!A297,35,2))-100,VALUE(MID(calc!A297,35,2)))*(9/5)+32)</f>
        <v>89.6</v>
      </c>
      <c r="F527" s="3553"/>
      <c r="G527" s="3552">
        <f>IF(calc!W297="","",IF(VALUE(MID(calc!A297,37,1))&gt;4,VALUE(MID(calc!A297,37,2))-100,VALUE(MID(calc!A297,37,2)))*(9/5)+32)</f>
        <v>91.4</v>
      </c>
      <c r="H527" s="3553"/>
      <c r="I527" s="3553">
        <f>IF(calc!W297="","",IF(VALUE(MID(calc!A297,39,1))&gt;4,VALUE(MID(calc!A297,39,2))-100,VALUE(MID(calc!A297,39,2)))*(9/5)+32)</f>
        <v>84.2</v>
      </c>
      <c r="J527" s="3553"/>
      <c r="K527" s="3553">
        <f>IF(calc!W297="","",IF(VALUE(MID(calc!A297,41,1))&gt;4,VALUE(MID(calc!A297,41,2))-100,VALUE(MID(calc!A297,41,2)))*(9/5)+32)</f>
        <v>78.800000000000011</v>
      </c>
      <c r="L527" s="3554"/>
      <c r="M527" s="3555">
        <f>IF(calc!W297="","",VALUE(MID(calc!A297,17,3)))</f>
        <v>32</v>
      </c>
      <c r="N527" s="3555"/>
      <c r="O527" s="3556">
        <f>IF(calc!W297="","",IF(VALUE(MID(calc!A297,20,2))&gt;50,VALUE(MID(calc!A297,20,2))-100,VALUE(MID(calc!A297,20,2))))</f>
        <v>-9</v>
      </c>
      <c r="P527" s="3557"/>
      <c r="Q527" s="3558">
        <f>IF(calc!W297="","",VALUE(MID(calc!A297,4,3))/100)</f>
        <v>0.02</v>
      </c>
      <c r="R527" s="3559"/>
      <c r="S527" s="3559">
        <f t="shared" si="30"/>
        <v>0.06</v>
      </c>
      <c r="T527" s="3560"/>
      <c r="U527" s="3561" t="str">
        <f t="shared" si="31"/>
        <v>RA</v>
      </c>
      <c r="V527" s="3562"/>
      <c r="W527" s="3563" t="str">
        <f t="shared" si="32"/>
        <v/>
      </c>
      <c r="X527" s="3564"/>
      <c r="Y527" s="3564" t="str">
        <f t="shared" si="33"/>
        <v>RA</v>
      </c>
      <c r="Z527" s="3564"/>
      <c r="AA527" s="3565" t="str">
        <f t="shared" si="34"/>
        <v/>
      </c>
      <c r="AB527" s="3565"/>
      <c r="AC527" s="3564" t="str">
        <f t="shared" si="35"/>
        <v/>
      </c>
      <c r="AD527" s="3564"/>
      <c r="AE527" s="3564" t="str">
        <f t="shared" si="36"/>
        <v/>
      </c>
      <c r="AF527" s="3566"/>
      <c r="AG527" s="821"/>
      <c r="AH527" s="821"/>
      <c r="AI527" s="821"/>
      <c r="AJ527" s="821"/>
      <c r="AK527" s="821"/>
      <c r="AL527" s="821"/>
      <c r="AM527" s="821"/>
      <c r="AN527" s="821"/>
      <c r="AO527" s="821"/>
      <c r="AP527" s="821"/>
      <c r="AQ527" s="821"/>
      <c r="AR527" s="821"/>
      <c r="AS527" s="821"/>
      <c r="AT527" s="821"/>
      <c r="AU527" s="821"/>
      <c r="AV527" s="821"/>
      <c r="AW527" s="821"/>
      <c r="AX527" s="564"/>
    </row>
    <row r="528" spans="1:163" ht="9.75" customHeight="1">
      <c r="A528" s="1602">
        <f t="shared" si="29"/>
        <v>84</v>
      </c>
      <c r="B528" s="3570">
        <f>calc!W298</f>
        <v>44751.125</v>
      </c>
      <c r="C528" s="3571"/>
      <c r="D528" s="3572"/>
      <c r="E528" s="3573">
        <f>IF(calc!W298="","",IF(VALUE(MID(calc!A298,35,1))&gt;4,VALUE(MID(calc!A298,35,2))-100,VALUE(MID(calc!A298,35,2)))*(9/5)+32)</f>
        <v>82.4</v>
      </c>
      <c r="F528" s="3574"/>
      <c r="G528" s="3573">
        <f>IF(calc!W298="","",IF(VALUE(MID(calc!A298,37,1))&gt;4,VALUE(MID(calc!A298,37,2))-100,VALUE(MID(calc!A298,37,2)))*(9/5)+32)</f>
        <v>84.2</v>
      </c>
      <c r="H528" s="3574"/>
      <c r="I528" s="3574">
        <f>IF(calc!W298="","",IF(VALUE(MID(calc!A298,39,1))&gt;4,VALUE(MID(calc!A298,39,2))-100,VALUE(MID(calc!A298,39,2)))*(9/5)+32)</f>
        <v>80.599999999999994</v>
      </c>
      <c r="J528" s="3574"/>
      <c r="K528" s="3574">
        <f>IF(calc!W298="","",IF(VALUE(MID(calc!A298,41,1))&gt;4,VALUE(MID(calc!A298,41,2))-100,VALUE(MID(calc!A298,41,2)))*(9/5)+32)</f>
        <v>77</v>
      </c>
      <c r="L528" s="3575"/>
      <c r="M528" s="3576">
        <f>IF(calc!W298="","",VALUE(MID(calc!A298,17,3)))</f>
        <v>41</v>
      </c>
      <c r="N528" s="3576"/>
      <c r="O528" s="3577">
        <f>IF(calc!W298="","",IF(VALUE(MID(calc!A298,20,2))&gt;50,VALUE(MID(calc!A298,20,2))-100,VALUE(MID(calc!A298,20,2))))</f>
        <v>-8</v>
      </c>
      <c r="P528" s="3578"/>
      <c r="Q528" s="3579">
        <f>IF(calc!W298="","",VALUE(MID(calc!A298,4,3))/100)</f>
        <v>0</v>
      </c>
      <c r="R528" s="3580"/>
      <c r="S528" s="3588">
        <f t="shared" si="30"/>
        <v>0.06</v>
      </c>
      <c r="T528" s="3589"/>
      <c r="U528" s="3582" t="str">
        <f t="shared" si="31"/>
        <v/>
      </c>
      <c r="V528" s="3583"/>
      <c r="W528" s="3584" t="str">
        <f t="shared" si="32"/>
        <v/>
      </c>
      <c r="X528" s="3585"/>
      <c r="Y528" s="3585" t="str">
        <f t="shared" si="33"/>
        <v>RA</v>
      </c>
      <c r="Z528" s="3585"/>
      <c r="AA528" s="3586" t="str">
        <f t="shared" si="34"/>
        <v/>
      </c>
      <c r="AB528" s="3586"/>
      <c r="AC528" s="3585" t="str">
        <f t="shared" si="35"/>
        <v/>
      </c>
      <c r="AD528" s="3585"/>
      <c r="AE528" s="3585" t="str">
        <f t="shared" si="36"/>
        <v/>
      </c>
      <c r="AF528" s="3587"/>
      <c r="AG528" s="821"/>
      <c r="AH528" s="821"/>
      <c r="AI528" s="821"/>
      <c r="AJ528" s="821"/>
      <c r="AK528" s="821"/>
      <c r="AL528" s="821"/>
      <c r="AM528" s="821"/>
      <c r="AN528" s="821"/>
      <c r="AO528" s="821"/>
      <c r="AP528" s="821"/>
      <c r="AQ528" s="821"/>
      <c r="AR528" s="821"/>
      <c r="AS528" s="821"/>
      <c r="AT528" s="821"/>
      <c r="AU528" s="821"/>
      <c r="AV528" s="821"/>
      <c r="AW528" s="821"/>
      <c r="AX528" s="564"/>
    </row>
    <row r="529" spans="1:50" ht="9.75" customHeight="1">
      <c r="A529" s="1601">
        <f t="shared" si="29"/>
        <v>87</v>
      </c>
      <c r="B529" s="3549">
        <f>calc!W299</f>
        <v>44751.25</v>
      </c>
      <c r="C529" s="3550"/>
      <c r="D529" s="3551"/>
      <c r="E529" s="3552">
        <f>IF(calc!W299="","",IF(VALUE(MID(calc!A299,35,1))&gt;4,VALUE(MID(calc!A299,35,2))-100,VALUE(MID(calc!A299,35,2)))*(9/5)+32)</f>
        <v>78.800000000000011</v>
      </c>
      <c r="F529" s="3553"/>
      <c r="G529" s="3552">
        <f>IF(calc!W299="","",IF(VALUE(MID(calc!A299,37,1))&gt;4,VALUE(MID(calc!A299,37,2))-100,VALUE(MID(calc!A299,37,2)))*(9/5)+32)</f>
        <v>77</v>
      </c>
      <c r="H529" s="3553"/>
      <c r="I529" s="3553">
        <f>IF(calc!W299="","",IF(VALUE(MID(calc!A299,39,1))&gt;4,VALUE(MID(calc!A299,39,2))-100,VALUE(MID(calc!A299,39,2)))*(9/5)+32)</f>
        <v>75.2</v>
      </c>
      <c r="J529" s="3553"/>
      <c r="K529" s="3553">
        <f>IF(calc!W299="","",IF(VALUE(MID(calc!A299,41,1))&gt;4,VALUE(MID(calc!A299,41,2))-100,VALUE(MID(calc!A299,41,2)))*(9/5)+32)</f>
        <v>73.400000000000006</v>
      </c>
      <c r="L529" s="3554"/>
      <c r="M529" s="3555">
        <f>IF(calc!W299="","",VALUE(MID(calc!A299,17,3)))</f>
        <v>24</v>
      </c>
      <c r="N529" s="3555"/>
      <c r="O529" s="3556">
        <f>IF(calc!W299="","",IF(VALUE(MID(calc!A299,20,2))&gt;50,VALUE(MID(calc!A299,20,2))-100,VALUE(MID(calc!A299,20,2))))</f>
        <v>-5</v>
      </c>
      <c r="P529" s="3557"/>
      <c r="Q529" s="3558">
        <f>IF(calc!W299="","",VALUE(MID(calc!A299,4,3))/100)</f>
        <v>0</v>
      </c>
      <c r="R529" s="3559"/>
      <c r="S529" s="3559">
        <f t="shared" si="30"/>
        <v>0.06</v>
      </c>
      <c r="T529" s="3560"/>
      <c r="U529" s="3561" t="str">
        <f t="shared" si="31"/>
        <v/>
      </c>
      <c r="V529" s="3562"/>
      <c r="W529" s="3563" t="str">
        <f t="shared" si="32"/>
        <v/>
      </c>
      <c r="X529" s="3564"/>
      <c r="Y529" s="3564" t="str">
        <f t="shared" si="33"/>
        <v>RA</v>
      </c>
      <c r="Z529" s="3564"/>
      <c r="AA529" s="3565" t="str">
        <f t="shared" si="34"/>
        <v/>
      </c>
      <c r="AB529" s="3565"/>
      <c r="AC529" s="3564" t="str">
        <f t="shared" si="35"/>
        <v/>
      </c>
      <c r="AD529" s="3564"/>
      <c r="AE529" s="3564" t="str">
        <f t="shared" si="36"/>
        <v/>
      </c>
      <c r="AF529" s="3566"/>
      <c r="AG529" s="821"/>
      <c r="AH529" s="821"/>
      <c r="AI529" s="821"/>
      <c r="AJ529" s="821"/>
      <c r="AK529" s="821"/>
      <c r="AL529" s="821"/>
      <c r="AM529" s="821"/>
      <c r="AN529" s="821"/>
      <c r="AO529" s="821"/>
      <c r="AP529" s="821"/>
      <c r="AQ529" s="821"/>
      <c r="AR529" s="821"/>
      <c r="AS529" s="821"/>
      <c r="AT529" s="821"/>
      <c r="AU529" s="821"/>
      <c r="AV529" s="821"/>
      <c r="AW529" s="821"/>
      <c r="AX529" s="564"/>
    </row>
    <row r="530" spans="1:50" ht="9.75" customHeight="1">
      <c r="A530" s="1602">
        <f t="shared" si="29"/>
        <v>90</v>
      </c>
      <c r="B530" s="3570">
        <f>calc!W300</f>
        <v>44751.375</v>
      </c>
      <c r="C530" s="3571"/>
      <c r="D530" s="3572"/>
      <c r="E530" s="3573">
        <f>IF(calc!W300="","",IF(VALUE(MID(calc!A300,35,1))&gt;4,VALUE(MID(calc!A300,35,2))-100,VALUE(MID(calc!A300,35,2)))*(9/5)+32)</f>
        <v>77</v>
      </c>
      <c r="F530" s="3574"/>
      <c r="G530" s="3573">
        <f>IF(calc!W300="","",IF(VALUE(MID(calc!A300,37,1))&gt;4,VALUE(MID(calc!A300,37,2))-100,VALUE(MID(calc!A300,37,2)))*(9/5)+32)</f>
        <v>75.2</v>
      </c>
      <c r="H530" s="3574"/>
      <c r="I530" s="3574">
        <f>IF(calc!W300="","",IF(VALUE(MID(calc!A300,39,1))&gt;4,VALUE(MID(calc!A300,39,2))-100,VALUE(MID(calc!A300,39,2)))*(9/5)+32)</f>
        <v>73.400000000000006</v>
      </c>
      <c r="J530" s="3574"/>
      <c r="K530" s="3574">
        <f>IF(calc!W300="","",IF(VALUE(MID(calc!A300,41,1))&gt;4,VALUE(MID(calc!A300,41,2))-100,VALUE(MID(calc!A300,41,2)))*(9/5)+32)</f>
        <v>71.599999999999994</v>
      </c>
      <c r="L530" s="3575"/>
      <c r="M530" s="3576">
        <f>IF(calc!W300="","",VALUE(MID(calc!A300,17,3)))</f>
        <v>49</v>
      </c>
      <c r="N530" s="3576"/>
      <c r="O530" s="3577">
        <f>IF(calc!W300="","",IF(VALUE(MID(calc!A300,20,2))&gt;50,VALUE(MID(calc!A300,20,2))-100,VALUE(MID(calc!A300,20,2))))</f>
        <v>-5</v>
      </c>
      <c r="P530" s="3578"/>
      <c r="Q530" s="3579">
        <f>IF(calc!W300="","",VALUE(MID(calc!A300,4,3))/100)</f>
        <v>7.0000000000000007E-2</v>
      </c>
      <c r="R530" s="3580"/>
      <c r="S530" s="3588">
        <f t="shared" si="30"/>
        <v>9.0000000000000011E-2</v>
      </c>
      <c r="T530" s="3589"/>
      <c r="U530" s="3582" t="str">
        <f t="shared" si="31"/>
        <v>RA</v>
      </c>
      <c r="V530" s="3583"/>
      <c r="W530" s="3584" t="str">
        <f t="shared" si="32"/>
        <v/>
      </c>
      <c r="X530" s="3585"/>
      <c r="Y530" s="3585" t="str">
        <f t="shared" si="33"/>
        <v>RA</v>
      </c>
      <c r="Z530" s="3585"/>
      <c r="AA530" s="3586" t="str">
        <f t="shared" si="34"/>
        <v/>
      </c>
      <c r="AB530" s="3586"/>
      <c r="AC530" s="3585" t="str">
        <f t="shared" si="35"/>
        <v/>
      </c>
      <c r="AD530" s="3585"/>
      <c r="AE530" s="3585" t="str">
        <f t="shared" si="36"/>
        <v/>
      </c>
      <c r="AF530" s="3587"/>
      <c r="AG530" s="821"/>
      <c r="AH530" s="821"/>
      <c r="AI530" s="821"/>
      <c r="AJ530" s="821"/>
      <c r="AK530" s="821"/>
      <c r="AL530" s="821"/>
      <c r="AM530" s="821"/>
      <c r="AN530" s="821"/>
      <c r="AO530" s="821"/>
      <c r="AP530" s="821"/>
      <c r="AQ530" s="821"/>
      <c r="AR530" s="821"/>
      <c r="AS530" s="821"/>
      <c r="AT530" s="821"/>
      <c r="AU530" s="821"/>
      <c r="AV530" s="821"/>
      <c r="AW530" s="821"/>
      <c r="AX530" s="564"/>
    </row>
    <row r="531" spans="1:50" ht="9.75" customHeight="1">
      <c r="A531" s="1601">
        <f t="shared" si="29"/>
        <v>93</v>
      </c>
      <c r="B531" s="3549">
        <f>calc!W301</f>
        <v>44751.5</v>
      </c>
      <c r="C531" s="3550"/>
      <c r="D531" s="3551"/>
      <c r="E531" s="3552">
        <f>IF(calc!W301="","",IF(VALUE(MID(calc!A301,35,1))&gt;4,VALUE(MID(calc!A301,35,2))-100,VALUE(MID(calc!A301,35,2)))*(9/5)+32)</f>
        <v>73.400000000000006</v>
      </c>
      <c r="F531" s="3553"/>
      <c r="G531" s="3552">
        <f>IF(calc!W301="","",IF(VALUE(MID(calc!A301,37,1))&gt;4,VALUE(MID(calc!A301,37,2))-100,VALUE(MID(calc!A301,37,2)))*(9/5)+32)</f>
        <v>71.599999999999994</v>
      </c>
      <c r="H531" s="3553"/>
      <c r="I531" s="3553">
        <f>IF(calc!W301="","",IF(VALUE(MID(calc!A301,39,1))&gt;4,VALUE(MID(calc!A301,39,2))-100,VALUE(MID(calc!A301,39,2)))*(9/5)+32)</f>
        <v>68</v>
      </c>
      <c r="J531" s="3553"/>
      <c r="K531" s="3553">
        <f>IF(calc!W301="","",IF(VALUE(MID(calc!A301,41,1))&gt;4,VALUE(MID(calc!A301,41,2))-100,VALUE(MID(calc!A301,41,2)))*(9/5)+32)</f>
        <v>68</v>
      </c>
      <c r="L531" s="3554"/>
      <c r="M531" s="3555">
        <f>IF(calc!W301="","",VALUE(MID(calc!A301,17,3)))</f>
        <v>78</v>
      </c>
      <c r="N531" s="3555"/>
      <c r="O531" s="3556">
        <f>IF(calc!W301="","",IF(VALUE(MID(calc!A301,20,2))&gt;50,VALUE(MID(calc!A301,20,2))-100,VALUE(MID(calc!A301,20,2))))</f>
        <v>-2</v>
      </c>
      <c r="P531" s="3557"/>
      <c r="Q531" s="3558">
        <f>IF(calc!W301="","",VALUE(MID(calc!A301,4,3))/100)</f>
        <v>0.3</v>
      </c>
      <c r="R531" s="3559"/>
      <c r="S531" s="3559">
        <f t="shared" si="30"/>
        <v>0.37</v>
      </c>
      <c r="T531" s="3560"/>
      <c r="U531" s="3561" t="str">
        <f t="shared" si="31"/>
        <v>RA</v>
      </c>
      <c r="V531" s="3562"/>
      <c r="W531" s="3563" t="str">
        <f t="shared" si="32"/>
        <v/>
      </c>
      <c r="X531" s="3564"/>
      <c r="Y531" s="3564" t="str">
        <f t="shared" si="33"/>
        <v>RA</v>
      </c>
      <c r="Z531" s="3564"/>
      <c r="AA531" s="3565" t="str">
        <f t="shared" si="34"/>
        <v/>
      </c>
      <c r="AB531" s="3565"/>
      <c r="AC531" s="3564" t="str">
        <f t="shared" si="35"/>
        <v/>
      </c>
      <c r="AD531" s="3564"/>
      <c r="AE531" s="3564" t="str">
        <f t="shared" si="36"/>
        <v/>
      </c>
      <c r="AF531" s="3566"/>
      <c r="AG531" s="821"/>
      <c r="AH531" s="821"/>
      <c r="AI531" s="821"/>
      <c r="AJ531" s="821"/>
      <c r="AK531" s="821"/>
      <c r="AL531" s="821"/>
      <c r="AM531" s="821"/>
      <c r="AN531" s="821"/>
      <c r="AO531" s="821"/>
      <c r="AP531" s="821"/>
      <c r="AQ531" s="821"/>
      <c r="AR531" s="821"/>
      <c r="AS531" s="821"/>
      <c r="AT531" s="821"/>
      <c r="AU531" s="821"/>
      <c r="AV531" s="821"/>
      <c r="AW531" s="821"/>
      <c r="AX531" s="564"/>
    </row>
    <row r="532" spans="1:50" ht="9.75" customHeight="1">
      <c r="A532" s="1603">
        <f t="shared" si="29"/>
        <v>96</v>
      </c>
      <c r="B532" s="3570">
        <f>calc!W302</f>
        <v>44751.625</v>
      </c>
      <c r="C532" s="3571"/>
      <c r="D532" s="3572"/>
      <c r="E532" s="3573">
        <f>IF(calc!W302="","",IF(VALUE(MID(calc!A302,35,1))&gt;4,VALUE(MID(calc!A302,35,2))-100,VALUE(MID(calc!A302,35,2)))*(9/5)+32)</f>
        <v>71.599999999999994</v>
      </c>
      <c r="F532" s="3574"/>
      <c r="G532" s="3573">
        <f>IF(calc!W302="","",IF(VALUE(MID(calc!A302,37,1))&gt;4,VALUE(MID(calc!A302,37,2))-100,VALUE(MID(calc!A302,37,2)))*(9/5)+32)</f>
        <v>68</v>
      </c>
      <c r="H532" s="3574"/>
      <c r="I532" s="3574">
        <f>IF(calc!W302="","",IF(VALUE(MID(calc!A302,39,1))&gt;4,VALUE(MID(calc!A302,39,2))-100,VALUE(MID(calc!A302,39,2)))*(9/5)+32)</f>
        <v>68</v>
      </c>
      <c r="J532" s="3574"/>
      <c r="K532" s="3574">
        <f>IF(calc!W302="","",IF(VALUE(MID(calc!A302,41,1))&gt;4,VALUE(MID(calc!A302,41,2))-100,VALUE(MID(calc!A302,41,2)))*(9/5)+32)</f>
        <v>68</v>
      </c>
      <c r="L532" s="3575"/>
      <c r="M532" s="3576">
        <f>IF(calc!W302="","",VALUE(MID(calc!A302,17,3)))</f>
        <v>35</v>
      </c>
      <c r="N532" s="3576"/>
      <c r="O532" s="3577">
        <f>IF(calc!W302="","",IF(VALUE(MID(calc!A302,20,2))&gt;50,VALUE(MID(calc!A302,20,2))-100,VALUE(MID(calc!A302,20,2))))</f>
        <v>-4</v>
      </c>
      <c r="P532" s="3578"/>
      <c r="Q532" s="3579">
        <f>IF(calc!W302="","",VALUE(MID(calc!A302,4,3))/100)</f>
        <v>0.12</v>
      </c>
      <c r="R532" s="3580"/>
      <c r="S532" s="3588">
        <f t="shared" si="30"/>
        <v>0.49</v>
      </c>
      <c r="T532" s="3589"/>
      <c r="U532" s="3582" t="str">
        <f t="shared" si="31"/>
        <v>RA</v>
      </c>
      <c r="V532" s="3583"/>
      <c r="W532" s="3584" t="str">
        <f t="shared" si="32"/>
        <v/>
      </c>
      <c r="X532" s="3585"/>
      <c r="Y532" s="3585" t="str">
        <f t="shared" si="33"/>
        <v>RA</v>
      </c>
      <c r="Z532" s="3585"/>
      <c r="AA532" s="3586" t="str">
        <f t="shared" si="34"/>
        <v/>
      </c>
      <c r="AB532" s="3586"/>
      <c r="AC532" s="3585" t="str">
        <f t="shared" si="35"/>
        <v/>
      </c>
      <c r="AD532" s="3585"/>
      <c r="AE532" s="3585" t="str">
        <f t="shared" si="36"/>
        <v/>
      </c>
      <c r="AF532" s="3587"/>
      <c r="AG532" s="821"/>
      <c r="AH532" s="821"/>
      <c r="AI532" s="821"/>
      <c r="AJ532" s="821"/>
      <c r="AK532" s="821"/>
      <c r="AL532" s="821"/>
      <c r="AM532" s="821"/>
      <c r="AN532" s="821"/>
      <c r="AO532" s="821"/>
      <c r="AP532" s="821"/>
      <c r="AQ532" s="821"/>
      <c r="AR532" s="821"/>
      <c r="AS532" s="821"/>
      <c r="AT532" s="821"/>
      <c r="AU532" s="821"/>
      <c r="AV532" s="821"/>
      <c r="AW532" s="821"/>
      <c r="AX532" s="564"/>
    </row>
    <row r="533" spans="1:50" ht="9.75" customHeight="1">
      <c r="A533" s="1601">
        <f t="shared" si="29"/>
        <v>99</v>
      </c>
      <c r="B533" s="3549">
        <f>calc!W303</f>
        <v>44751.75</v>
      </c>
      <c r="C533" s="3550"/>
      <c r="D533" s="3551"/>
      <c r="E533" s="3552">
        <f>IF(calc!W303="","",IF(VALUE(MID(calc!A303,35,1))&gt;4,VALUE(MID(calc!A303,35,2))-100,VALUE(MID(calc!A303,35,2)))*(9/5)+32)</f>
        <v>71.599999999999994</v>
      </c>
      <c r="F533" s="3553"/>
      <c r="G533" s="3552">
        <f>IF(calc!W303="","",IF(VALUE(MID(calc!A303,37,1))&gt;4,VALUE(MID(calc!A303,37,2))-100,VALUE(MID(calc!A303,37,2)))*(9/5)+32)</f>
        <v>68</v>
      </c>
      <c r="H533" s="3553"/>
      <c r="I533" s="3553">
        <f>IF(calc!W303="","",IF(VALUE(MID(calc!A303,39,1))&gt;4,VALUE(MID(calc!A303,39,2))-100,VALUE(MID(calc!A303,39,2)))*(9/5)+32)</f>
        <v>64.400000000000006</v>
      </c>
      <c r="J533" s="3553"/>
      <c r="K533" s="3553">
        <f>IF(calc!W303="","",IF(VALUE(MID(calc!A303,41,1))&gt;4,VALUE(MID(calc!A303,41,2))-100,VALUE(MID(calc!A303,41,2)))*(9/5)+32)</f>
        <v>66.2</v>
      </c>
      <c r="L533" s="3554"/>
      <c r="M533" s="3555">
        <f>IF(calc!W303="","",VALUE(MID(calc!A303,17,3)))</f>
        <v>126</v>
      </c>
      <c r="N533" s="3555"/>
      <c r="O533" s="3556">
        <f>IF(calc!W303="","",IF(VALUE(MID(calc!A303,20,2))&gt;50,VALUE(MID(calc!A303,20,2))-100,VALUE(MID(calc!A303,20,2))))</f>
        <v>0</v>
      </c>
      <c r="P533" s="3557"/>
      <c r="Q533" s="3558">
        <f>IF(calc!W303="","",VALUE(MID(calc!A303,4,3))/100)</f>
        <v>0.42</v>
      </c>
      <c r="R533" s="3559"/>
      <c r="S533" s="3559">
        <f t="shared" si="30"/>
        <v>0.90999999999999992</v>
      </c>
      <c r="T533" s="3560"/>
      <c r="U533" s="3561" t="str">
        <f t="shared" si="31"/>
        <v>RA</v>
      </c>
      <c r="V533" s="3562"/>
      <c r="W533" s="3563" t="str">
        <f t="shared" si="32"/>
        <v/>
      </c>
      <c r="X533" s="3564"/>
      <c r="Y533" s="3564" t="str">
        <f t="shared" si="33"/>
        <v>RA</v>
      </c>
      <c r="Z533" s="3564"/>
      <c r="AA533" s="3565" t="str">
        <f t="shared" si="34"/>
        <v/>
      </c>
      <c r="AB533" s="3565"/>
      <c r="AC533" s="3564" t="str">
        <f t="shared" si="35"/>
        <v/>
      </c>
      <c r="AD533" s="3564"/>
      <c r="AE533" s="3564" t="str">
        <f t="shared" si="36"/>
        <v/>
      </c>
      <c r="AF533" s="3566"/>
      <c r="AG533" s="821"/>
      <c r="AH533" s="821"/>
      <c r="AI533" s="821"/>
      <c r="AJ533" s="821"/>
      <c r="AK533" s="821"/>
      <c r="AL533" s="821"/>
      <c r="AM533" s="821"/>
      <c r="AN533" s="821"/>
      <c r="AO533" s="821"/>
      <c r="AP533" s="821"/>
      <c r="AQ533" s="821"/>
      <c r="AR533" s="821"/>
      <c r="AS533" s="821"/>
      <c r="AT533" s="821"/>
      <c r="AU533" s="821"/>
      <c r="AV533" s="821"/>
      <c r="AW533" s="821"/>
      <c r="AX533" s="564"/>
    </row>
    <row r="534" spans="1:50" ht="9.75" customHeight="1">
      <c r="A534" s="1603">
        <f t="shared" si="29"/>
        <v>102</v>
      </c>
      <c r="B534" s="3570">
        <f>calc!W304</f>
        <v>44751.875</v>
      </c>
      <c r="C534" s="3571"/>
      <c r="D534" s="3572"/>
      <c r="E534" s="3573">
        <f>IF(calc!W304="","",IF(VALUE(MID(calc!A304,35,1))&gt;4,VALUE(MID(calc!A304,35,2))-100,VALUE(MID(calc!A304,35,2)))*(9/5)+32)</f>
        <v>73.400000000000006</v>
      </c>
      <c r="F534" s="3574"/>
      <c r="G534" s="3573">
        <f>IF(calc!W304="","",IF(VALUE(MID(calc!A304,37,1))&gt;4,VALUE(MID(calc!A304,37,2))-100,VALUE(MID(calc!A304,37,2)))*(9/5)+32)</f>
        <v>71.599999999999994</v>
      </c>
      <c r="H534" s="3574"/>
      <c r="I534" s="3574">
        <f>IF(calc!W304="","",IF(VALUE(MID(calc!A304,39,1))&gt;4,VALUE(MID(calc!A304,39,2))-100,VALUE(MID(calc!A304,39,2)))*(9/5)+32)</f>
        <v>66.2</v>
      </c>
      <c r="J534" s="3574"/>
      <c r="K534" s="3574">
        <f>IF(calc!W304="","",IF(VALUE(MID(calc!A304,41,1))&gt;4,VALUE(MID(calc!A304,41,2))-100,VALUE(MID(calc!A304,41,2)))*(9/5)+32)</f>
        <v>62.6</v>
      </c>
      <c r="L534" s="3575"/>
      <c r="M534" s="3576">
        <f>IF(calc!W304="","",VALUE(MID(calc!A304,17,3)))</f>
        <v>2</v>
      </c>
      <c r="N534" s="3576"/>
      <c r="O534" s="3577">
        <f>IF(calc!W304="","",IF(VALUE(MID(calc!A304,20,2))&gt;50,VALUE(MID(calc!A304,20,2))-100,VALUE(MID(calc!A304,20,2))))</f>
        <v>1</v>
      </c>
      <c r="P534" s="3578"/>
      <c r="Q534" s="3579">
        <f>IF(calc!W304="","",VALUE(MID(calc!A304,4,3))/100)</f>
        <v>7.0000000000000007E-2</v>
      </c>
      <c r="R534" s="3580"/>
      <c r="S534" s="3588">
        <f t="shared" si="30"/>
        <v>0.90999999999999992</v>
      </c>
      <c r="T534" s="3589"/>
      <c r="U534" s="3582" t="str">
        <f t="shared" si="31"/>
        <v>RA</v>
      </c>
      <c r="V534" s="3583"/>
      <c r="W534" s="3584" t="str">
        <f t="shared" si="32"/>
        <v/>
      </c>
      <c r="X534" s="3585"/>
      <c r="Y534" s="3585" t="str">
        <f t="shared" si="33"/>
        <v>RA</v>
      </c>
      <c r="Z534" s="3585"/>
      <c r="AA534" s="3586" t="str">
        <f t="shared" si="34"/>
        <v/>
      </c>
      <c r="AB534" s="3586"/>
      <c r="AC534" s="3585" t="str">
        <f t="shared" si="35"/>
        <v/>
      </c>
      <c r="AD534" s="3585"/>
      <c r="AE534" s="3585" t="str">
        <f t="shared" si="36"/>
        <v/>
      </c>
      <c r="AF534" s="3587"/>
      <c r="AG534" s="821"/>
      <c r="AH534" s="821"/>
      <c r="AI534" s="821"/>
      <c r="AJ534" s="821"/>
      <c r="AK534" s="821"/>
      <c r="AL534" s="821"/>
      <c r="AM534" s="821"/>
      <c r="AN534" s="821"/>
      <c r="AO534" s="821"/>
      <c r="AP534" s="821"/>
      <c r="AQ534" s="821"/>
      <c r="AR534" s="821"/>
      <c r="AS534" s="821"/>
      <c r="AT534" s="821"/>
      <c r="AU534" s="821"/>
      <c r="AV534" s="821"/>
      <c r="AW534" s="821"/>
      <c r="AX534" s="564"/>
    </row>
    <row r="535" spans="1:50" ht="9.75" customHeight="1">
      <c r="A535" s="1601">
        <f t="shared" si="29"/>
        <v>105</v>
      </c>
      <c r="B535" s="3549">
        <f>calc!W305</f>
        <v>44752</v>
      </c>
      <c r="C535" s="3550"/>
      <c r="D535" s="3551"/>
      <c r="E535" s="3552">
        <f>IF(calc!W305="","",IF(VALUE(MID(calc!A305,35,1))&gt;4,VALUE(MID(calc!A305,35,2))-100,VALUE(MID(calc!A305,35,2)))*(9/5)+32)</f>
        <v>73.400000000000006</v>
      </c>
      <c r="F535" s="3553"/>
      <c r="G535" s="3552">
        <f>IF(calc!W305="","",IF(VALUE(MID(calc!A305,37,1))&gt;4,VALUE(MID(calc!A305,37,2))-100,VALUE(MID(calc!A305,37,2)))*(9/5)+32)</f>
        <v>73.400000000000006</v>
      </c>
      <c r="H535" s="3553"/>
      <c r="I535" s="3553">
        <f>IF(calc!W305="","",IF(VALUE(MID(calc!A305,39,1))&gt;4,VALUE(MID(calc!A305,39,2))-100,VALUE(MID(calc!A305,39,2)))*(9/5)+32)</f>
        <v>68</v>
      </c>
      <c r="J535" s="3553"/>
      <c r="K535" s="3553">
        <f>IF(calc!W305="","",IF(VALUE(MID(calc!A305,41,1))&gt;4,VALUE(MID(calc!A305,41,2))-100,VALUE(MID(calc!A305,41,2)))*(9/5)+32)</f>
        <v>62.6</v>
      </c>
      <c r="L535" s="3554"/>
      <c r="M535" s="3555">
        <f>IF(calc!W305="","",VALUE(MID(calc!A305,17,3)))</f>
        <v>-7</v>
      </c>
      <c r="N535" s="3555"/>
      <c r="O535" s="3556">
        <f>IF(calc!W305="","",IF(VALUE(MID(calc!A305,20,2))&gt;50,VALUE(MID(calc!A305,20,2))-100,VALUE(MID(calc!A305,20,2))))</f>
        <v>1</v>
      </c>
      <c r="P535" s="3557"/>
      <c r="Q535" s="3558">
        <f>IF(calc!W305="","",VALUE(MID(calc!A305,4,3))/100)</f>
        <v>0.02</v>
      </c>
      <c r="R535" s="3559"/>
      <c r="S535" s="3559">
        <f t="shared" si="30"/>
        <v>0.63000000000000012</v>
      </c>
      <c r="T535" s="3560"/>
      <c r="U535" s="3561" t="str">
        <f t="shared" si="31"/>
        <v>RA</v>
      </c>
      <c r="V535" s="3562"/>
      <c r="W535" s="3563" t="str">
        <f t="shared" si="32"/>
        <v/>
      </c>
      <c r="X535" s="3564"/>
      <c r="Y535" s="3564" t="str">
        <f t="shared" si="33"/>
        <v>RA</v>
      </c>
      <c r="Z535" s="3564"/>
      <c r="AA535" s="3565" t="str">
        <f t="shared" si="34"/>
        <v/>
      </c>
      <c r="AB535" s="3565"/>
      <c r="AC535" s="3564" t="str">
        <f t="shared" si="35"/>
        <v/>
      </c>
      <c r="AD535" s="3564"/>
      <c r="AE535" s="3564" t="str">
        <f t="shared" si="36"/>
        <v/>
      </c>
      <c r="AF535" s="3566"/>
      <c r="AG535" s="821"/>
      <c r="AH535" s="821"/>
      <c r="AI535" s="821"/>
      <c r="AJ535" s="821"/>
      <c r="AK535" s="821"/>
      <c r="AL535" s="821"/>
      <c r="AM535" s="821"/>
      <c r="AN535" s="821"/>
      <c r="AO535" s="821"/>
      <c r="AP535" s="821"/>
      <c r="AQ535" s="821"/>
      <c r="AR535" s="821"/>
      <c r="AS535" s="821"/>
      <c r="AT535" s="821"/>
      <c r="AU535" s="821"/>
      <c r="AV535" s="821"/>
      <c r="AW535" s="821"/>
      <c r="AX535" s="564"/>
    </row>
    <row r="536" spans="1:50" ht="9.75" customHeight="1">
      <c r="A536" s="1603">
        <f t="shared" si="29"/>
        <v>108</v>
      </c>
      <c r="B536" s="3570">
        <f>calc!W306</f>
        <v>44752.125</v>
      </c>
      <c r="C536" s="3571"/>
      <c r="D536" s="3572"/>
      <c r="E536" s="3573">
        <f>IF(calc!W306="","",IF(VALUE(MID(calc!A306,35,1))&gt;4,VALUE(MID(calc!A306,35,2))-100,VALUE(MID(calc!A306,35,2)))*(9/5)+32)</f>
        <v>71.599999999999994</v>
      </c>
      <c r="F536" s="3574"/>
      <c r="G536" s="3573">
        <f>IF(calc!W306="","",IF(VALUE(MID(calc!A306,37,1))&gt;4,VALUE(MID(calc!A306,37,2))-100,VALUE(MID(calc!A306,37,2)))*(9/5)+32)</f>
        <v>71.599999999999994</v>
      </c>
      <c r="H536" s="3574"/>
      <c r="I536" s="3574">
        <f>IF(calc!W306="","",IF(VALUE(MID(calc!A306,39,1))&gt;4,VALUE(MID(calc!A306,39,2))-100,VALUE(MID(calc!A306,39,2)))*(9/5)+32)</f>
        <v>68</v>
      </c>
      <c r="J536" s="3574"/>
      <c r="K536" s="3574">
        <f>IF(calc!W306="","",IF(VALUE(MID(calc!A306,41,1))&gt;4,VALUE(MID(calc!A306,41,2))-100,VALUE(MID(calc!A306,41,2)))*(9/5)+32)</f>
        <v>62.6</v>
      </c>
      <c r="L536" s="3575"/>
      <c r="M536" s="3576">
        <f>IF(calc!W306="","",VALUE(MID(calc!A306,17,3)))</f>
        <v>-32</v>
      </c>
      <c r="N536" s="3576"/>
      <c r="O536" s="3577">
        <f>IF(calc!W306="","",IF(VALUE(MID(calc!A306,20,2))&gt;50,VALUE(MID(calc!A306,20,2))-100,VALUE(MID(calc!A306,20,2))))</f>
        <v>0</v>
      </c>
      <c r="P536" s="3578"/>
      <c r="Q536" s="3579">
        <f>IF(calc!W306="","",VALUE(MID(calc!A306,4,3))/100)</f>
        <v>0</v>
      </c>
      <c r="R536" s="3580"/>
      <c r="S536" s="3588">
        <f t="shared" si="30"/>
        <v>0.51</v>
      </c>
      <c r="T536" s="3589"/>
      <c r="U536" s="3582" t="str">
        <f>IF(Q536=0,"",IF(W536&lt;&gt;"","RASN",IF(Y536&lt;&gt;"","RA",IF(AA536&lt;&gt;"","SN",IF(AC536&lt;&gt;"","FZ","IP")))))</f>
        <v/>
      </c>
      <c r="V536" s="3583"/>
      <c r="W536" s="3584" t="str">
        <f t="shared" si="32"/>
        <v/>
      </c>
      <c r="X536" s="3585"/>
      <c r="Y536" s="3585" t="str">
        <f t="shared" si="33"/>
        <v>RA</v>
      </c>
      <c r="Z536" s="3585"/>
      <c r="AA536" s="3586" t="str">
        <f t="shared" si="34"/>
        <v/>
      </c>
      <c r="AB536" s="3586"/>
      <c r="AC536" s="3585" t="str">
        <f t="shared" si="35"/>
        <v/>
      </c>
      <c r="AD536" s="3585"/>
      <c r="AE536" s="3585" t="str">
        <f t="shared" si="36"/>
        <v/>
      </c>
      <c r="AF536" s="3587"/>
      <c r="AG536" s="821"/>
      <c r="AH536" s="821"/>
      <c r="AI536" s="821"/>
      <c r="AJ536" s="821"/>
      <c r="AK536" s="821"/>
      <c r="AL536" s="821"/>
      <c r="AM536" s="821"/>
      <c r="AN536" s="821"/>
      <c r="AO536" s="821"/>
      <c r="AP536" s="821"/>
      <c r="AQ536" s="821"/>
      <c r="AR536" s="821"/>
      <c r="AS536" s="821"/>
      <c r="AT536" s="821"/>
      <c r="AU536" s="821"/>
      <c r="AV536" s="821"/>
      <c r="AW536" s="821"/>
      <c r="AX536" s="564"/>
    </row>
    <row r="537" spans="1:50" ht="9.75" customHeight="1">
      <c r="A537" s="1601">
        <f t="shared" si="29"/>
        <v>111</v>
      </c>
      <c r="B537" s="3549">
        <f>calc!W307</f>
        <v>44752.25</v>
      </c>
      <c r="C537" s="3550"/>
      <c r="D537" s="3551"/>
      <c r="E537" s="3552">
        <f>IF(calc!W307="","",IF(VALUE(MID(calc!A307,35,1))&gt;4,VALUE(MID(calc!A307,35,2))-100,VALUE(MID(calc!A307,35,2)))*(9/5)+32)</f>
        <v>68</v>
      </c>
      <c r="F537" s="3553"/>
      <c r="G537" s="3552">
        <f>IF(calc!W307="","",IF(VALUE(MID(calc!A307,37,1))&gt;4,VALUE(MID(calc!A307,37,2))-100,VALUE(MID(calc!A307,37,2)))*(9/5)+32)</f>
        <v>68</v>
      </c>
      <c r="H537" s="3553"/>
      <c r="I537" s="3553">
        <f>IF(calc!W307="","",IF(VALUE(MID(calc!A307,39,1))&gt;4,VALUE(MID(calc!A307,39,2))-100,VALUE(MID(calc!A307,39,2)))*(9/5)+32)</f>
        <v>66.2</v>
      </c>
      <c r="J537" s="3553"/>
      <c r="K537" s="3553">
        <f>IF(calc!W307="","",IF(VALUE(MID(calc!A307,41,1))&gt;4,VALUE(MID(calc!A307,41,2))-100,VALUE(MID(calc!A307,41,2)))*(9/5)+32)</f>
        <v>62.6</v>
      </c>
      <c r="L537" s="3554"/>
      <c r="M537" s="3555">
        <f>IF(calc!W307="","",VALUE(MID(calc!A307,17,3)))</f>
        <v>12</v>
      </c>
      <c r="N537" s="3555"/>
      <c r="O537" s="3556">
        <f>IF(calc!W307="","",IF(VALUE(MID(calc!A307,20,2))&gt;50,VALUE(MID(calc!A307,20,2))-100,VALUE(MID(calc!A307,20,2))))</f>
        <v>2</v>
      </c>
      <c r="P537" s="3557"/>
      <c r="Q537" s="3558">
        <f>IF(calc!W307="","",VALUE(MID(calc!A307,4,3))/100)</f>
        <v>0</v>
      </c>
      <c r="R537" s="3559"/>
      <c r="S537" s="3559">
        <f t="shared" si="30"/>
        <v>9.0000000000000011E-2</v>
      </c>
      <c r="T537" s="3560"/>
      <c r="U537" s="3561" t="str">
        <f t="shared" si="31"/>
        <v/>
      </c>
      <c r="V537" s="3562"/>
      <c r="W537" s="3563" t="str">
        <f t="shared" si="32"/>
        <v/>
      </c>
      <c r="X537" s="3564"/>
      <c r="Y537" s="3564" t="str">
        <f t="shared" si="33"/>
        <v>RA</v>
      </c>
      <c r="Z537" s="3564"/>
      <c r="AA537" s="3565" t="str">
        <f t="shared" si="34"/>
        <v/>
      </c>
      <c r="AB537" s="3565"/>
      <c r="AC537" s="3564" t="str">
        <f t="shared" si="35"/>
        <v/>
      </c>
      <c r="AD537" s="3564"/>
      <c r="AE537" s="3564" t="str">
        <f t="shared" si="36"/>
        <v/>
      </c>
      <c r="AF537" s="3566"/>
      <c r="AG537" s="821"/>
      <c r="AH537" s="821"/>
      <c r="AI537" s="821"/>
      <c r="AJ537" s="821"/>
      <c r="AK537" s="821"/>
      <c r="AL537" s="821"/>
      <c r="AM537" s="821"/>
      <c r="AN537" s="821"/>
      <c r="AO537" s="821"/>
      <c r="AP537" s="821"/>
      <c r="AQ537" s="821"/>
      <c r="AR537" s="821"/>
      <c r="AS537" s="821"/>
      <c r="AT537" s="821"/>
      <c r="AU537" s="821"/>
      <c r="AV537" s="821"/>
      <c r="AW537" s="821"/>
      <c r="AX537" s="564"/>
    </row>
    <row r="538" spans="1:50" ht="9.75" customHeight="1">
      <c r="A538" s="1603">
        <f t="shared" si="29"/>
        <v>114</v>
      </c>
      <c r="B538" s="3570">
        <f>calc!W308</f>
        <v>44752.375</v>
      </c>
      <c r="C538" s="3571"/>
      <c r="D538" s="3572"/>
      <c r="E538" s="3573">
        <f>IF(calc!W308="","",IF(VALUE(MID(calc!A308,35,1))&gt;4,VALUE(MID(calc!A308,35,2))-100,VALUE(MID(calc!A308,35,2)))*(9/5)+32)</f>
        <v>64.400000000000006</v>
      </c>
      <c r="F538" s="3574"/>
      <c r="G538" s="3573">
        <f>IF(calc!W308="","",IF(VALUE(MID(calc!A308,37,1))&gt;4,VALUE(MID(calc!A308,37,2))-100,VALUE(MID(calc!A308,37,2)))*(9/5)+32)</f>
        <v>62.6</v>
      </c>
      <c r="H538" s="3574"/>
      <c r="I538" s="3574">
        <f>IF(calc!W308="","",IF(VALUE(MID(calc!A308,39,1))&gt;4,VALUE(MID(calc!A308,39,2))-100,VALUE(MID(calc!A308,39,2)))*(9/5)+32)</f>
        <v>66.2</v>
      </c>
      <c r="J538" s="3574"/>
      <c r="K538" s="3574">
        <f>IF(calc!W308="","",IF(VALUE(MID(calc!A308,41,1))&gt;4,VALUE(MID(calc!A308,41,2))-100,VALUE(MID(calc!A308,41,2)))*(9/5)+32)</f>
        <v>62.6</v>
      </c>
      <c r="L538" s="3575"/>
      <c r="M538" s="3576">
        <f>IF(calc!W308="","",VALUE(MID(calc!A308,17,3)))</f>
        <v>-13</v>
      </c>
      <c r="N538" s="3576"/>
      <c r="O538" s="3577">
        <f>IF(calc!W308="","",IF(VALUE(MID(calc!A308,20,2))&gt;50,VALUE(MID(calc!A308,20,2))-100,VALUE(MID(calc!A308,20,2))))</f>
        <v>0</v>
      </c>
      <c r="P538" s="3578"/>
      <c r="Q538" s="3579">
        <f>IF(calc!W308="","",VALUE(MID(calc!A308,4,3))/100)</f>
        <v>0</v>
      </c>
      <c r="R538" s="3580"/>
      <c r="S538" s="3588">
        <f t="shared" si="30"/>
        <v>0.02</v>
      </c>
      <c r="T538" s="3589"/>
      <c r="U538" s="3582" t="str">
        <f t="shared" si="31"/>
        <v/>
      </c>
      <c r="V538" s="3583"/>
      <c r="W538" s="3584" t="str">
        <f t="shared" si="32"/>
        <v/>
      </c>
      <c r="X538" s="3585"/>
      <c r="Y538" s="3585" t="str">
        <f t="shared" si="33"/>
        <v>RA</v>
      </c>
      <c r="Z538" s="3585"/>
      <c r="AA538" s="3586" t="str">
        <f t="shared" si="34"/>
        <v/>
      </c>
      <c r="AB538" s="3586"/>
      <c r="AC538" s="3585" t="str">
        <f t="shared" si="35"/>
        <v/>
      </c>
      <c r="AD538" s="3585"/>
      <c r="AE538" s="3585" t="str">
        <f t="shared" si="36"/>
        <v/>
      </c>
      <c r="AF538" s="3587"/>
      <c r="AG538" s="821"/>
      <c r="AH538" s="821"/>
      <c r="AI538" s="821"/>
      <c r="AJ538" s="821"/>
      <c r="AK538" s="821"/>
      <c r="AL538" s="821"/>
      <c r="AM538" s="821"/>
      <c r="AN538" s="821"/>
      <c r="AO538" s="821"/>
      <c r="AP538" s="821"/>
      <c r="AQ538" s="821"/>
      <c r="AR538" s="821"/>
      <c r="AS538" s="821"/>
      <c r="AT538" s="821"/>
      <c r="AU538" s="821"/>
      <c r="AV538" s="821"/>
      <c r="AW538" s="821"/>
      <c r="AX538" s="564"/>
    </row>
    <row r="539" spans="1:50" ht="9.75" customHeight="1">
      <c r="A539" s="1601">
        <f t="shared" si="29"/>
        <v>117</v>
      </c>
      <c r="B539" s="3549">
        <f>calc!W309</f>
        <v>44752.5</v>
      </c>
      <c r="C539" s="3550"/>
      <c r="D539" s="3551"/>
      <c r="E539" s="3552">
        <f>IF(calc!W309="","",IF(VALUE(MID(calc!A309,35,1))&gt;4,VALUE(MID(calc!A309,35,2))-100,VALUE(MID(calc!A309,35,2)))*(9/5)+32)</f>
        <v>62.6</v>
      </c>
      <c r="F539" s="3553"/>
      <c r="G539" s="3552">
        <f>IF(calc!W309="","",IF(VALUE(MID(calc!A309,37,1))&gt;4,VALUE(MID(calc!A309,37,2))-100,VALUE(MID(calc!A309,37,2)))*(9/5)+32)</f>
        <v>60.8</v>
      </c>
      <c r="H539" s="3553"/>
      <c r="I539" s="3553">
        <f>IF(calc!W309="","",IF(VALUE(MID(calc!A309,39,1))&gt;4,VALUE(MID(calc!A309,39,2))-100,VALUE(MID(calc!A309,39,2)))*(9/5)+32)</f>
        <v>66.2</v>
      </c>
      <c r="J539" s="3553"/>
      <c r="K539" s="3553">
        <f>IF(calc!W309="","",IF(VALUE(MID(calc!A309,41,1))&gt;4,VALUE(MID(calc!A309,41,2))-100,VALUE(MID(calc!A309,41,2)))*(9/5)+32)</f>
        <v>62.6</v>
      </c>
      <c r="L539" s="3554"/>
      <c r="M539" s="3555">
        <f>IF(calc!W309="","",VALUE(MID(calc!A309,17,3)))</f>
        <v>4</v>
      </c>
      <c r="N539" s="3555"/>
      <c r="O539" s="3556">
        <f>IF(calc!W309="","",IF(VALUE(MID(calc!A309,20,2))&gt;50,VALUE(MID(calc!A309,20,2))-100,VALUE(MID(calc!A309,20,2))))</f>
        <v>4</v>
      </c>
      <c r="P539" s="3557"/>
      <c r="Q539" s="3558">
        <f>IF(calc!W309="","",VALUE(MID(calc!A309,4,3))/100)</f>
        <v>0</v>
      </c>
      <c r="R539" s="3559"/>
      <c r="S539" s="3559">
        <f t="shared" si="30"/>
        <v>0</v>
      </c>
      <c r="T539" s="3560"/>
      <c r="U539" s="3561" t="str">
        <f t="shared" si="31"/>
        <v/>
      </c>
      <c r="V539" s="3562"/>
      <c r="W539" s="3563" t="str">
        <f t="shared" si="32"/>
        <v/>
      </c>
      <c r="X539" s="3564"/>
      <c r="Y539" s="3564" t="str">
        <f t="shared" si="33"/>
        <v>RA</v>
      </c>
      <c r="Z539" s="3564"/>
      <c r="AA539" s="3565" t="str">
        <f t="shared" si="34"/>
        <v/>
      </c>
      <c r="AB539" s="3565"/>
      <c r="AC539" s="3564" t="str">
        <f t="shared" si="35"/>
        <v/>
      </c>
      <c r="AD539" s="3564"/>
      <c r="AE539" s="3564" t="str">
        <f t="shared" si="36"/>
        <v/>
      </c>
      <c r="AF539" s="3566"/>
      <c r="AG539" s="821"/>
      <c r="AH539" s="821"/>
      <c r="AI539" s="821"/>
      <c r="AJ539" s="821"/>
      <c r="AK539" s="821"/>
      <c r="AL539" s="821"/>
      <c r="AM539" s="821"/>
      <c r="AN539" s="821"/>
      <c r="AO539" s="821"/>
      <c r="AP539" s="821"/>
      <c r="AQ539" s="821"/>
      <c r="AR539" s="821"/>
      <c r="AS539" s="821"/>
      <c r="AT539" s="821"/>
      <c r="AU539" s="821"/>
      <c r="AV539" s="821"/>
      <c r="AW539" s="821"/>
      <c r="AX539" s="564"/>
    </row>
    <row r="540" spans="1:50" ht="9.75" customHeight="1">
      <c r="A540" s="1603">
        <f t="shared" si="29"/>
        <v>120</v>
      </c>
      <c r="B540" s="3570">
        <f>calc!W310</f>
        <v>44752.625</v>
      </c>
      <c r="C540" s="3571"/>
      <c r="D540" s="3572"/>
      <c r="E540" s="3573">
        <f>IF(calc!W310="","",IF(VALUE(MID(calc!A310,35,1))&gt;4,VALUE(MID(calc!A310,35,2))-100,VALUE(MID(calc!A310,35,2)))*(9/5)+32)</f>
        <v>71.599999999999994</v>
      </c>
      <c r="F540" s="3574"/>
      <c r="G540" s="3573">
        <f>IF(calc!W310="","",IF(VALUE(MID(calc!A310,37,1))&gt;4,VALUE(MID(calc!A310,37,2))-100,VALUE(MID(calc!A310,37,2)))*(9/5)+32)</f>
        <v>66.2</v>
      </c>
      <c r="H540" s="3574"/>
      <c r="I540" s="3574">
        <f>IF(calc!W310="","",IF(VALUE(MID(calc!A310,39,1))&gt;4,VALUE(MID(calc!A310,39,2))-100,VALUE(MID(calc!A310,39,2)))*(9/5)+32)</f>
        <v>66.2</v>
      </c>
      <c r="J540" s="3574"/>
      <c r="K540" s="3574">
        <f>IF(calc!W310="","",IF(VALUE(MID(calc!A310,41,1))&gt;4,VALUE(MID(calc!A310,41,2))-100,VALUE(MID(calc!A310,41,2)))*(9/5)+32)</f>
        <v>62.6</v>
      </c>
      <c r="L540" s="3575"/>
      <c r="M540" s="3576">
        <f>IF(calc!W310="","",VALUE(MID(calc!A310,17,3)))</f>
        <v>-6</v>
      </c>
      <c r="N540" s="3576"/>
      <c r="O540" s="3577">
        <f>IF(calc!W310="","",IF(VALUE(MID(calc!A310,20,2))&gt;50,VALUE(MID(calc!A310,20,2))-100,VALUE(MID(calc!A310,20,2))))</f>
        <v>7</v>
      </c>
      <c r="P540" s="3578"/>
      <c r="Q540" s="3579">
        <f>IF(calc!W310="","",VALUE(MID(calc!A310,4,3))/100)</f>
        <v>0</v>
      </c>
      <c r="R540" s="3580"/>
      <c r="S540" s="3588">
        <f t="shared" si="30"/>
        <v>0</v>
      </c>
      <c r="T540" s="3589"/>
      <c r="U540" s="3582" t="str">
        <f t="shared" si="31"/>
        <v/>
      </c>
      <c r="V540" s="3583"/>
      <c r="W540" s="3584" t="str">
        <f t="shared" si="32"/>
        <v/>
      </c>
      <c r="X540" s="3585"/>
      <c r="Y540" s="3585" t="str">
        <f t="shared" si="33"/>
        <v>RA</v>
      </c>
      <c r="Z540" s="3585"/>
      <c r="AA540" s="3586" t="str">
        <f t="shared" si="34"/>
        <v/>
      </c>
      <c r="AB540" s="3586"/>
      <c r="AC540" s="3585" t="str">
        <f t="shared" si="35"/>
        <v/>
      </c>
      <c r="AD540" s="3585"/>
      <c r="AE540" s="3585" t="str">
        <f t="shared" si="36"/>
        <v/>
      </c>
      <c r="AF540" s="3587"/>
      <c r="AG540" s="821"/>
      <c r="AH540" s="821"/>
      <c r="AI540" s="821"/>
      <c r="AJ540" s="821"/>
      <c r="AK540" s="821"/>
      <c r="AL540" s="821"/>
      <c r="AM540" s="821"/>
      <c r="AN540" s="821"/>
      <c r="AO540" s="821"/>
      <c r="AP540" s="821"/>
      <c r="AQ540" s="821"/>
      <c r="AR540" s="821"/>
      <c r="AS540" s="821"/>
      <c r="AT540" s="821"/>
      <c r="AU540" s="821"/>
      <c r="AV540" s="821"/>
      <c r="AW540" s="821"/>
      <c r="AX540" s="564"/>
    </row>
    <row r="541" spans="1:50" ht="9.75" customHeight="1">
      <c r="A541" s="1601">
        <f t="shared" si="29"/>
        <v>123</v>
      </c>
      <c r="B541" s="3549">
        <f>calc!W311</f>
        <v>44752.75</v>
      </c>
      <c r="C541" s="3550"/>
      <c r="D541" s="3551"/>
      <c r="E541" s="3552">
        <f>IF(calc!W311="","",IF(VALUE(MID(calc!A311,35,1))&gt;4,VALUE(MID(calc!A311,35,2))-100,VALUE(MID(calc!A311,35,2)))*(9/5)+32)</f>
        <v>78.800000000000011</v>
      </c>
      <c r="F541" s="3553"/>
      <c r="G541" s="3552">
        <f>IF(calc!W311="","",IF(VALUE(MID(calc!A311,37,1))&gt;4,VALUE(MID(calc!A311,37,2))-100,VALUE(MID(calc!A311,37,2)))*(9/5)+32)</f>
        <v>73.400000000000006</v>
      </c>
      <c r="H541" s="3553"/>
      <c r="I541" s="3553">
        <f>IF(calc!W311="","",IF(VALUE(MID(calc!A311,39,1))&gt;4,VALUE(MID(calc!A311,39,2))-100,VALUE(MID(calc!A311,39,2)))*(9/5)+32)</f>
        <v>66.2</v>
      </c>
      <c r="J541" s="3553"/>
      <c r="K541" s="3553">
        <f>IF(calc!W311="","",IF(VALUE(MID(calc!A311,41,1))&gt;4,VALUE(MID(calc!A311,41,2))-100,VALUE(MID(calc!A311,41,2)))*(9/5)+32)</f>
        <v>60.8</v>
      </c>
      <c r="L541" s="3554"/>
      <c r="M541" s="3555">
        <f>IF(calc!W311="","",VALUE(MID(calc!A311,17,3)))</f>
        <v>-17</v>
      </c>
      <c r="N541" s="3555"/>
      <c r="O541" s="3556">
        <f>IF(calc!W311="","",IF(VALUE(MID(calc!A311,20,2))&gt;50,VALUE(MID(calc!A311,20,2))-100,VALUE(MID(calc!A311,20,2))))</f>
        <v>3</v>
      </c>
      <c r="P541" s="3557"/>
      <c r="Q541" s="3558">
        <f>IF(calc!W311="","",VALUE(MID(calc!A311,4,3))/100)</f>
        <v>0</v>
      </c>
      <c r="R541" s="3559"/>
      <c r="S541" s="3559">
        <f t="shared" si="30"/>
        <v>0</v>
      </c>
      <c r="T541" s="3560"/>
      <c r="U541" s="3561" t="str">
        <f t="shared" si="31"/>
        <v/>
      </c>
      <c r="V541" s="3562"/>
      <c r="W541" s="3563" t="str">
        <f t="shared" si="32"/>
        <v/>
      </c>
      <c r="X541" s="3564"/>
      <c r="Y541" s="3564" t="str">
        <f t="shared" si="33"/>
        <v>RA</v>
      </c>
      <c r="Z541" s="3564"/>
      <c r="AA541" s="3565" t="str">
        <f t="shared" si="34"/>
        <v/>
      </c>
      <c r="AB541" s="3565"/>
      <c r="AC541" s="3564" t="str">
        <f t="shared" si="35"/>
        <v/>
      </c>
      <c r="AD541" s="3564"/>
      <c r="AE541" s="3564" t="str">
        <f t="shared" si="36"/>
        <v/>
      </c>
      <c r="AF541" s="3566"/>
      <c r="AG541" s="821"/>
      <c r="AH541" s="821"/>
      <c r="AI541" s="821"/>
      <c r="AJ541" s="821"/>
      <c r="AK541" s="821"/>
      <c r="AL541" s="821"/>
      <c r="AM541" s="821"/>
      <c r="AN541" s="821"/>
      <c r="AO541" s="821"/>
      <c r="AP541" s="821"/>
      <c r="AQ541" s="821"/>
      <c r="AR541" s="821"/>
      <c r="AS541" s="821"/>
      <c r="AT541" s="821"/>
      <c r="AU541" s="821"/>
      <c r="AV541" s="821"/>
      <c r="AW541" s="821"/>
      <c r="AX541" s="564"/>
    </row>
    <row r="542" spans="1:50" ht="9.75" customHeight="1">
      <c r="A542" s="1603">
        <f t="shared" si="29"/>
        <v>126</v>
      </c>
      <c r="B542" s="3570">
        <f>calc!W312</f>
        <v>44752.875</v>
      </c>
      <c r="C542" s="3571"/>
      <c r="D542" s="3572"/>
      <c r="E542" s="3573">
        <f>IF(calc!W312="","",IF(VALUE(MID(calc!A312,35,1))&gt;4,VALUE(MID(calc!A312,35,2))-100,VALUE(MID(calc!A312,35,2)))*(9/5)+32)</f>
        <v>80.599999999999994</v>
      </c>
      <c r="F542" s="3574"/>
      <c r="G542" s="3573">
        <f>IF(calc!W312="","",IF(VALUE(MID(calc!A312,37,1))&gt;4,VALUE(MID(calc!A312,37,2))-100,VALUE(MID(calc!A312,37,2)))*(9/5)+32)</f>
        <v>77</v>
      </c>
      <c r="H542" s="3574"/>
      <c r="I542" s="3574">
        <f>IF(calc!W312="","",IF(VALUE(MID(calc!A312,39,1))&gt;4,VALUE(MID(calc!A312,39,2))-100,VALUE(MID(calc!A312,39,2)))*(9/5)+32)</f>
        <v>69.800000000000011</v>
      </c>
      <c r="J542" s="3574"/>
      <c r="K542" s="3574">
        <f>IF(calc!W312="","",IF(VALUE(MID(calc!A312,41,1))&gt;4,VALUE(MID(calc!A312,41,2))-100,VALUE(MID(calc!A312,41,2)))*(9/5)+32)</f>
        <v>64.400000000000006</v>
      </c>
      <c r="L542" s="3575"/>
      <c r="M542" s="3576">
        <f>IF(calc!W312="","",VALUE(MID(calc!A312,17,3)))</f>
        <v>-26</v>
      </c>
      <c r="N542" s="3576"/>
      <c r="O542" s="3577">
        <f>IF(calc!W312="","",IF(VALUE(MID(calc!A312,20,2))&gt;50,VALUE(MID(calc!A312,20,2))-100,VALUE(MID(calc!A312,20,2))))</f>
        <v>2</v>
      </c>
      <c r="P542" s="3578"/>
      <c r="Q542" s="3579">
        <f>IF(calc!W312="","",VALUE(MID(calc!A312,4,3))/100)</f>
        <v>0</v>
      </c>
      <c r="R542" s="3580"/>
      <c r="S542" s="3588">
        <f t="shared" si="30"/>
        <v>0</v>
      </c>
      <c r="T542" s="3589"/>
      <c r="U542" s="3582" t="str">
        <f t="shared" si="31"/>
        <v/>
      </c>
      <c r="V542" s="3583"/>
      <c r="W542" s="3584" t="str">
        <f t="shared" si="32"/>
        <v/>
      </c>
      <c r="X542" s="3585"/>
      <c r="Y542" s="3585" t="str">
        <f t="shared" si="33"/>
        <v>RA</v>
      </c>
      <c r="Z542" s="3585"/>
      <c r="AA542" s="3586" t="str">
        <f t="shared" si="34"/>
        <v/>
      </c>
      <c r="AB542" s="3586"/>
      <c r="AC542" s="3585" t="str">
        <f t="shared" si="35"/>
        <v/>
      </c>
      <c r="AD542" s="3585"/>
      <c r="AE542" s="3585" t="str">
        <f t="shared" si="36"/>
        <v/>
      </c>
      <c r="AF542" s="3587"/>
      <c r="AG542" s="821"/>
      <c r="AH542" s="821"/>
      <c r="AI542" s="821"/>
      <c r="AJ542" s="821"/>
      <c r="AK542" s="821"/>
      <c r="AL542" s="821"/>
      <c r="AM542" s="821"/>
      <c r="AN542" s="821"/>
      <c r="AO542" s="821"/>
      <c r="AP542" s="821"/>
      <c r="AQ542" s="821"/>
      <c r="AR542" s="821"/>
      <c r="AS542" s="821"/>
      <c r="AT542" s="821"/>
      <c r="AU542" s="821"/>
      <c r="AV542" s="821"/>
      <c r="AW542" s="821"/>
      <c r="AX542" s="564"/>
    </row>
    <row r="543" spans="1:50" ht="9.75" customHeight="1">
      <c r="A543" s="1601">
        <f t="shared" si="29"/>
        <v>129</v>
      </c>
      <c r="B543" s="3549">
        <f>calc!W313</f>
        <v>44753</v>
      </c>
      <c r="C543" s="3550"/>
      <c r="D543" s="3551"/>
      <c r="E543" s="3552">
        <f>IF(calc!W313="","",IF(VALUE(MID(calc!A313,35,1))&gt;4,VALUE(MID(calc!A313,35,2))-100,VALUE(MID(calc!A313,35,2)))*(9/5)+32)</f>
        <v>78.800000000000011</v>
      </c>
      <c r="F543" s="3553"/>
      <c r="G543" s="3552">
        <f>IF(calc!W313="","",IF(VALUE(MID(calc!A313,37,1))&gt;4,VALUE(MID(calc!A313,37,2))-100,VALUE(MID(calc!A313,37,2)))*(9/5)+32)</f>
        <v>77</v>
      </c>
      <c r="H543" s="3553"/>
      <c r="I543" s="3553">
        <f>IF(calc!W313="","",IF(VALUE(MID(calc!A313,39,1))&gt;4,VALUE(MID(calc!A313,39,2))-100,VALUE(MID(calc!A313,39,2)))*(9/5)+32)</f>
        <v>69.800000000000011</v>
      </c>
      <c r="J543" s="3553"/>
      <c r="K543" s="3553">
        <f>IF(calc!W313="","",IF(VALUE(MID(calc!A313,41,1))&gt;4,VALUE(MID(calc!A313,41,2))-100,VALUE(MID(calc!A313,41,2)))*(9/5)+32)</f>
        <v>64.400000000000006</v>
      </c>
      <c r="L543" s="3554"/>
      <c r="M543" s="3555">
        <f>IF(calc!W313="","",VALUE(MID(calc!A313,17,3)))</f>
        <v>-2</v>
      </c>
      <c r="N543" s="3555"/>
      <c r="O543" s="3556">
        <f>IF(calc!W313="","",IF(VALUE(MID(calc!A313,20,2))&gt;50,VALUE(MID(calc!A313,20,2))-100,VALUE(MID(calc!A313,20,2))))</f>
        <v>1</v>
      </c>
      <c r="P543" s="3557"/>
      <c r="Q543" s="3558">
        <f>IF(calc!W313="","",VALUE(MID(calc!A313,4,3))/100)</f>
        <v>0</v>
      </c>
      <c r="R543" s="3559"/>
      <c r="S543" s="3559">
        <f t="shared" si="30"/>
        <v>0</v>
      </c>
      <c r="T543" s="3560"/>
      <c r="U543" s="3561" t="str">
        <f t="shared" si="31"/>
        <v/>
      </c>
      <c r="V543" s="3562"/>
      <c r="W543" s="3563" t="str">
        <f t="shared" si="32"/>
        <v/>
      </c>
      <c r="X543" s="3564"/>
      <c r="Y543" s="3564" t="str">
        <f t="shared" si="33"/>
        <v>RA</v>
      </c>
      <c r="Z543" s="3564"/>
      <c r="AA543" s="3565" t="str">
        <f t="shared" si="34"/>
        <v/>
      </c>
      <c r="AB543" s="3565"/>
      <c r="AC543" s="3564" t="str">
        <f t="shared" si="35"/>
        <v/>
      </c>
      <c r="AD543" s="3564"/>
      <c r="AE543" s="3564" t="str">
        <f t="shared" si="36"/>
        <v/>
      </c>
      <c r="AF543" s="3566"/>
      <c r="AG543" s="821"/>
      <c r="AH543" s="821"/>
      <c r="AI543" s="821"/>
      <c r="AJ543" s="821"/>
      <c r="AK543" s="821"/>
      <c r="AL543" s="821"/>
      <c r="AM543" s="821"/>
      <c r="AN543" s="821"/>
      <c r="AO543" s="821"/>
      <c r="AP543" s="821"/>
      <c r="AQ543" s="821"/>
      <c r="AR543" s="821"/>
      <c r="AS543" s="821"/>
      <c r="AT543" s="821"/>
      <c r="AU543" s="821"/>
      <c r="AV543" s="821"/>
      <c r="AW543" s="821"/>
      <c r="AX543" s="564"/>
    </row>
    <row r="544" spans="1:50" ht="9.75" customHeight="1">
      <c r="A544" s="1603">
        <f t="shared" si="29"/>
        <v>132</v>
      </c>
      <c r="B544" s="3570">
        <f>calc!W314</f>
        <v>44753.125</v>
      </c>
      <c r="C544" s="3571"/>
      <c r="D544" s="3572"/>
      <c r="E544" s="3573">
        <f>IF(calc!W314="","",IF(VALUE(MID(calc!A314,35,1))&gt;4,VALUE(MID(calc!A314,35,2))-100,VALUE(MID(calc!A314,35,2)))*(9/5)+32)</f>
        <v>71.599999999999994</v>
      </c>
      <c r="F544" s="3574"/>
      <c r="G544" s="3573">
        <f>IF(calc!W314="","",IF(VALUE(MID(calc!A314,37,1))&gt;4,VALUE(MID(calc!A314,37,2))-100,VALUE(MID(calc!A314,37,2)))*(9/5)+32)</f>
        <v>75.2</v>
      </c>
      <c r="H544" s="3574"/>
      <c r="I544" s="3574">
        <f>IF(calc!W314="","",IF(VALUE(MID(calc!A314,39,1))&gt;4,VALUE(MID(calc!A314,39,2))-100,VALUE(MID(calc!A314,39,2)))*(9/5)+32)</f>
        <v>69.800000000000011</v>
      </c>
      <c r="J544" s="3574"/>
      <c r="K544" s="3574">
        <f>IF(calc!W314="","",IF(VALUE(MID(calc!A314,41,1))&gt;4,VALUE(MID(calc!A314,41,2))-100,VALUE(MID(calc!A314,41,2)))*(9/5)+32)</f>
        <v>64.400000000000006</v>
      </c>
      <c r="L544" s="3575"/>
      <c r="M544" s="3576">
        <f>IF(calc!W314="","",VALUE(MID(calc!A314,17,3)))</f>
        <v>-30</v>
      </c>
      <c r="N544" s="3576"/>
      <c r="O544" s="3577">
        <f>IF(calc!W314="","",IF(VALUE(MID(calc!A314,20,2))&gt;50,VALUE(MID(calc!A314,20,2))-100,VALUE(MID(calc!A314,20,2))))</f>
        <v>1</v>
      </c>
      <c r="P544" s="3578"/>
      <c r="Q544" s="3579">
        <f>IF(calc!W314="","",VALUE(MID(calc!A314,4,3))/100)</f>
        <v>0</v>
      </c>
      <c r="R544" s="3580"/>
      <c r="S544" s="3588">
        <f t="shared" si="30"/>
        <v>0</v>
      </c>
      <c r="T544" s="3589"/>
      <c r="U544" s="3582" t="str">
        <f t="shared" si="31"/>
        <v/>
      </c>
      <c r="V544" s="3583"/>
      <c r="W544" s="3584" t="str">
        <f t="shared" si="32"/>
        <v/>
      </c>
      <c r="X544" s="3585"/>
      <c r="Y544" s="3585" t="str">
        <f t="shared" si="33"/>
        <v>RA</v>
      </c>
      <c r="Z544" s="3585"/>
      <c r="AA544" s="3586" t="str">
        <f t="shared" si="34"/>
        <v/>
      </c>
      <c r="AB544" s="3586"/>
      <c r="AC544" s="3585" t="str">
        <f t="shared" si="35"/>
        <v/>
      </c>
      <c r="AD544" s="3585"/>
      <c r="AE544" s="3585" t="str">
        <f t="shared" si="36"/>
        <v/>
      </c>
      <c r="AF544" s="3587"/>
      <c r="AG544" s="564"/>
      <c r="AH544" s="564"/>
      <c r="AI544" s="564"/>
      <c r="AJ544" s="564"/>
      <c r="AK544" s="564"/>
      <c r="AL544" s="564"/>
      <c r="AM544" s="564"/>
      <c r="AN544" s="564"/>
      <c r="AO544" s="564"/>
      <c r="AP544" s="564"/>
      <c r="AQ544" s="564"/>
      <c r="AR544" s="564"/>
      <c r="AS544" s="564"/>
      <c r="AT544" s="564"/>
      <c r="AU544" s="564"/>
      <c r="AV544" s="564"/>
      <c r="AW544" s="564"/>
      <c r="AX544" s="564"/>
    </row>
    <row r="545" spans="1:61" ht="9.75" customHeight="1">
      <c r="A545" s="1601">
        <f t="shared" si="29"/>
        <v>135</v>
      </c>
      <c r="B545" s="3549">
        <f>calc!W315</f>
        <v>44753.25</v>
      </c>
      <c r="C545" s="3550"/>
      <c r="D545" s="3551"/>
      <c r="E545" s="3552">
        <f>IF(calc!W315="","",IF(VALUE(MID(calc!A315,35,1))&gt;4,VALUE(MID(calc!A315,35,2))-100,VALUE(MID(calc!A315,35,2)))*(9/5)+32)</f>
        <v>71.599999999999994</v>
      </c>
      <c r="F545" s="3553"/>
      <c r="G545" s="3552">
        <f>IF(calc!W315="","",IF(VALUE(MID(calc!A315,37,1))&gt;4,VALUE(MID(calc!A315,37,2))-100,VALUE(MID(calc!A315,37,2)))*(9/5)+32)</f>
        <v>73.400000000000006</v>
      </c>
      <c r="H545" s="3553"/>
      <c r="I545" s="3553">
        <f>IF(calc!W315="","",IF(VALUE(MID(calc!A315,39,1))&gt;4,VALUE(MID(calc!A315,39,2))-100,VALUE(MID(calc!A315,39,2)))*(9/5)+32)</f>
        <v>69.800000000000011</v>
      </c>
      <c r="J545" s="3553"/>
      <c r="K545" s="3553">
        <f>IF(calc!W315="","",IF(VALUE(MID(calc!A315,41,1))&gt;4,VALUE(MID(calc!A315,41,2))-100,VALUE(MID(calc!A315,41,2)))*(9/5)+32)</f>
        <v>64.400000000000006</v>
      </c>
      <c r="L545" s="3554"/>
      <c r="M545" s="3555">
        <f>IF(calc!W315="","",VALUE(MID(calc!A315,17,3)))</f>
        <v>-8</v>
      </c>
      <c r="N545" s="3555"/>
      <c r="O545" s="3556">
        <f>IF(calc!W315="","",IF(VALUE(MID(calc!A315,20,2))&gt;50,VALUE(MID(calc!A315,20,2))-100,VALUE(MID(calc!A315,20,2))))</f>
        <v>-1</v>
      </c>
      <c r="P545" s="3557"/>
      <c r="Q545" s="3558">
        <f>IF(calc!W315="","",VALUE(MID(calc!A315,4,3))/100)</f>
        <v>0</v>
      </c>
      <c r="R545" s="3559"/>
      <c r="S545" s="3559">
        <f t="shared" si="30"/>
        <v>0</v>
      </c>
      <c r="T545" s="3560"/>
      <c r="U545" s="3561" t="str">
        <f t="shared" si="31"/>
        <v/>
      </c>
      <c r="V545" s="3562"/>
      <c r="W545" s="3563" t="str">
        <f t="shared" si="32"/>
        <v/>
      </c>
      <c r="X545" s="3564"/>
      <c r="Y545" s="3564" t="str">
        <f t="shared" si="33"/>
        <v>RA</v>
      </c>
      <c r="Z545" s="3564"/>
      <c r="AA545" s="3565" t="str">
        <f t="shared" si="34"/>
        <v/>
      </c>
      <c r="AB545" s="3565"/>
      <c r="AC545" s="3564" t="str">
        <f t="shared" si="35"/>
        <v/>
      </c>
      <c r="AD545" s="3564"/>
      <c r="AE545" s="3564" t="str">
        <f t="shared" si="36"/>
        <v/>
      </c>
      <c r="AF545" s="3566"/>
    </row>
    <row r="546" spans="1:61" ht="9.75" customHeight="1">
      <c r="A546" s="1603">
        <f t="shared" si="29"/>
        <v>138</v>
      </c>
      <c r="B546" s="3570">
        <f>calc!W316</f>
        <v>44753.375</v>
      </c>
      <c r="C546" s="3571"/>
      <c r="D546" s="3572"/>
      <c r="E546" s="3573">
        <f>IF(calc!W316="","",IF(VALUE(MID(calc!A316,35,1))&gt;4,VALUE(MID(calc!A316,35,2))-100,VALUE(MID(calc!A316,35,2)))*(9/5)+32)</f>
        <v>69.800000000000011</v>
      </c>
      <c r="F546" s="3574"/>
      <c r="G546" s="3573">
        <f>IF(calc!W316="","",IF(VALUE(MID(calc!A316,37,1))&gt;4,VALUE(MID(calc!A316,37,2))-100,VALUE(MID(calc!A316,37,2)))*(9/5)+32)</f>
        <v>71.599999999999994</v>
      </c>
      <c r="H546" s="3574"/>
      <c r="I546" s="3574">
        <f>IF(calc!W316="","",IF(VALUE(MID(calc!A316,39,1))&gt;4,VALUE(MID(calc!A316,39,2))-100,VALUE(MID(calc!A316,39,2)))*(9/5)+32)</f>
        <v>68</v>
      </c>
      <c r="J546" s="3574"/>
      <c r="K546" s="3574">
        <f>IF(calc!W316="","",IF(VALUE(MID(calc!A316,41,1))&gt;4,VALUE(MID(calc!A316,41,2))-100,VALUE(MID(calc!A316,41,2)))*(9/5)+32)</f>
        <v>64.400000000000006</v>
      </c>
      <c r="L546" s="3575"/>
      <c r="M546" s="3576">
        <f>IF(calc!W316="","",VALUE(MID(calc!A316,17,3)))</f>
        <v>9</v>
      </c>
      <c r="N546" s="3576"/>
      <c r="O546" s="3577">
        <f>IF(calc!W316="","",IF(VALUE(MID(calc!A316,20,2))&gt;50,VALUE(MID(calc!A316,20,2))-100,VALUE(MID(calc!A316,20,2))))</f>
        <v>-2</v>
      </c>
      <c r="P546" s="3578"/>
      <c r="Q546" s="3579">
        <f>IF(calc!W316="","",VALUE(MID(calc!A316,4,3))/100)</f>
        <v>0</v>
      </c>
      <c r="R546" s="3580"/>
      <c r="S546" s="3588">
        <f t="shared" si="30"/>
        <v>0</v>
      </c>
      <c r="T546" s="3589"/>
      <c r="U546" s="3582" t="str">
        <f t="shared" si="31"/>
        <v/>
      </c>
      <c r="V546" s="3583"/>
      <c r="W546" s="3584" t="str">
        <f t="shared" si="32"/>
        <v/>
      </c>
      <c r="X546" s="3585"/>
      <c r="Y546" s="3585" t="str">
        <f t="shared" si="33"/>
        <v>RA</v>
      </c>
      <c r="Z546" s="3585"/>
      <c r="AA546" s="3586" t="str">
        <f t="shared" si="34"/>
        <v/>
      </c>
      <c r="AB546" s="3586"/>
      <c r="AC546" s="3585" t="str">
        <f t="shared" si="35"/>
        <v/>
      </c>
      <c r="AD546" s="3585"/>
      <c r="AE546" s="3585" t="str">
        <f t="shared" si="36"/>
        <v/>
      </c>
      <c r="AF546" s="3587"/>
    </row>
    <row r="547" spans="1:61" ht="9.75" customHeight="1">
      <c r="A547" s="1601">
        <f t="shared" si="29"/>
        <v>141</v>
      </c>
      <c r="B547" s="3549">
        <f>calc!W317</f>
        <v>44753.5</v>
      </c>
      <c r="C547" s="3550"/>
      <c r="D547" s="3551"/>
      <c r="E547" s="3552">
        <f>IF(calc!W317="","",IF(VALUE(MID(calc!A317,35,1))&gt;4,VALUE(MID(calc!A317,35,2))-100,VALUE(MID(calc!A317,35,2)))*(9/5)+32)</f>
        <v>69.800000000000011</v>
      </c>
      <c r="F547" s="3553"/>
      <c r="G547" s="3552">
        <f>IF(calc!W317="","",IF(VALUE(MID(calc!A317,37,1))&gt;4,VALUE(MID(calc!A317,37,2))-100,VALUE(MID(calc!A317,37,2)))*(9/5)+32)</f>
        <v>69.800000000000011</v>
      </c>
      <c r="H547" s="3553"/>
      <c r="I547" s="3553">
        <f>IF(calc!W317="","",IF(VALUE(MID(calc!A317,39,1))&gt;4,VALUE(MID(calc!A317,39,2))-100,VALUE(MID(calc!A317,39,2)))*(9/5)+32)</f>
        <v>68</v>
      </c>
      <c r="J547" s="3553"/>
      <c r="K547" s="3553">
        <f>IF(calc!W317="","",IF(VALUE(MID(calc!A317,41,1))&gt;4,VALUE(MID(calc!A317,41,2))-100,VALUE(MID(calc!A317,41,2)))*(9/5)+32)</f>
        <v>64.400000000000006</v>
      </c>
      <c r="L547" s="3554"/>
      <c r="M547" s="3555">
        <f>IF(calc!W317="","",VALUE(MID(calc!A317,17,3)))</f>
        <v>-26</v>
      </c>
      <c r="N547" s="3555"/>
      <c r="O547" s="3556">
        <f>IF(calc!W317="","",IF(VALUE(MID(calc!A317,20,2))&gt;50,VALUE(MID(calc!A317,20,2))-100,VALUE(MID(calc!A317,20,2))))</f>
        <v>-1</v>
      </c>
      <c r="P547" s="3557"/>
      <c r="Q547" s="3558">
        <f>IF(calc!W317="","",VALUE(MID(calc!A317,4,3))/100)</f>
        <v>0</v>
      </c>
      <c r="R547" s="3559"/>
      <c r="S547" s="3559">
        <f t="shared" si="30"/>
        <v>0</v>
      </c>
      <c r="T547" s="3560"/>
      <c r="U547" s="3561" t="str">
        <f t="shared" si="31"/>
        <v/>
      </c>
      <c r="V547" s="3562"/>
      <c r="W547" s="3563" t="str">
        <f t="shared" si="32"/>
        <v/>
      </c>
      <c r="X547" s="3564"/>
      <c r="Y547" s="3564" t="str">
        <f t="shared" si="33"/>
        <v>RA</v>
      </c>
      <c r="Z547" s="3564"/>
      <c r="AA547" s="3565" t="str">
        <f t="shared" si="34"/>
        <v/>
      </c>
      <c r="AB547" s="3565"/>
      <c r="AC547" s="3564" t="str">
        <f t="shared" si="35"/>
        <v/>
      </c>
      <c r="AD547" s="3564"/>
      <c r="AE547" s="3564" t="str">
        <f t="shared" si="36"/>
        <v/>
      </c>
      <c r="AF547" s="3566"/>
    </row>
    <row r="548" spans="1:61" ht="9.75" customHeight="1">
      <c r="A548" s="1604">
        <f t="shared" si="29"/>
        <v>144</v>
      </c>
      <c r="B548" s="3594">
        <f>calc!W318</f>
        <v>44753.625</v>
      </c>
      <c r="C548" s="3595"/>
      <c r="D548" s="3596"/>
      <c r="E548" s="3599">
        <f>IF(calc!W318="","",IF(VALUE(MID(calc!A318,35,1))&gt;4,VALUE(MID(calc!A318,35,2))-100,VALUE(MID(calc!A318,35,2)))*(9/5)+32)</f>
        <v>78.800000000000011</v>
      </c>
      <c r="F548" s="3600"/>
      <c r="G548" s="3599">
        <f>IF(calc!W318="","",IF(VALUE(MID(calc!A318,37,1))&gt;4,VALUE(MID(calc!A318,37,2))-100,VALUE(MID(calc!A318,37,2)))*(9/5)+32)</f>
        <v>73.400000000000006</v>
      </c>
      <c r="H548" s="3600"/>
      <c r="I548" s="3600">
        <f>IF(calc!W318="","",IF(VALUE(MID(calc!A318,39,1))&gt;4,VALUE(MID(calc!A318,39,2))-100,VALUE(MID(calc!A318,39,2)))*(9/5)+32)</f>
        <v>68</v>
      </c>
      <c r="J548" s="3600"/>
      <c r="K548" s="3600">
        <f>IF(calc!W318="","",IF(VALUE(MID(calc!A318,41,1))&gt;4,VALUE(MID(calc!A318,41,2))-100,VALUE(MID(calc!A318,41,2)))*(9/5)+32)</f>
        <v>64.400000000000006</v>
      </c>
      <c r="L548" s="3601"/>
      <c r="M548" s="3602">
        <f>IF(calc!W318="","",VALUE(MID(calc!A318,17,3)))</f>
        <v>6</v>
      </c>
      <c r="N548" s="3602"/>
      <c r="O548" s="3603">
        <f>IF(calc!W318="","",IF(VALUE(MID(calc!A318,20,2))&gt;50,VALUE(MID(calc!A318,20,2))-100,VALUE(MID(calc!A318,20,2))))</f>
        <v>-3</v>
      </c>
      <c r="P548" s="3604"/>
      <c r="Q548" s="3605">
        <f>IF(calc!W318="","",VALUE(MID(calc!A318,4,3))/100)</f>
        <v>0</v>
      </c>
      <c r="R548" s="3606"/>
      <c r="S548" s="3607">
        <f t="shared" si="30"/>
        <v>0</v>
      </c>
      <c r="T548" s="3608"/>
      <c r="U548" s="3597" t="str">
        <f t="shared" si="31"/>
        <v/>
      </c>
      <c r="V548" s="3598"/>
      <c r="W548" s="3609" t="str">
        <f t="shared" si="32"/>
        <v/>
      </c>
      <c r="X548" s="3610"/>
      <c r="Y548" s="3610" t="str">
        <f t="shared" si="33"/>
        <v>RA</v>
      </c>
      <c r="Z548" s="3610"/>
      <c r="AA548" s="3611" t="str">
        <f t="shared" si="34"/>
        <v/>
      </c>
      <c r="AB548" s="3611"/>
      <c r="AC548" s="3610" t="str">
        <f t="shared" si="35"/>
        <v/>
      </c>
      <c r="AD548" s="3610"/>
      <c r="AE548" s="3610" t="str">
        <f t="shared" si="36"/>
        <v/>
      </c>
      <c r="AF548" s="3612"/>
    </row>
    <row r="551" spans="1:61">
      <c r="Q551" s="822" t="s">
        <v>216</v>
      </c>
      <c r="X551" s="822" t="s">
        <v>219</v>
      </c>
      <c r="Y551" s="822"/>
      <c r="Z551" s="822"/>
      <c r="AG551" s="822" t="s">
        <v>447</v>
      </c>
      <c r="AK551" s="822" t="s">
        <v>192</v>
      </c>
      <c r="AO551" s="822" t="s">
        <v>448</v>
      </c>
      <c r="AS551" s="822" t="s">
        <v>192</v>
      </c>
      <c r="AW551" s="822" t="s">
        <v>241</v>
      </c>
      <c r="AX551" s="822" t="s">
        <v>395</v>
      </c>
      <c r="AY551" s="822" t="s">
        <v>440</v>
      </c>
      <c r="AZ551" s="822" t="s">
        <v>449</v>
      </c>
      <c r="BA551" s="822" t="s">
        <v>450</v>
      </c>
      <c r="BD551" s="824" t="s">
        <v>242</v>
      </c>
      <c r="BF551" s="822" t="s">
        <v>237</v>
      </c>
      <c r="BI551" s="822">
        <v>1</v>
      </c>
    </row>
    <row r="552" spans="1:61">
      <c r="Q552" s="822" t="s">
        <v>225</v>
      </c>
      <c r="X552" s="822" t="s">
        <v>165</v>
      </c>
      <c r="Y552" s="822"/>
      <c r="Z552" s="822"/>
      <c r="AG552" s="822" t="s">
        <v>169</v>
      </c>
      <c r="AK552" s="822" t="s">
        <v>395</v>
      </c>
      <c r="AO552" s="822" t="s">
        <v>355</v>
      </c>
      <c r="AS552" s="822" t="s">
        <v>343</v>
      </c>
      <c r="AW552" s="822" t="s">
        <v>451</v>
      </c>
      <c r="AX552" s="822" t="s">
        <v>452</v>
      </c>
      <c r="AY552" s="822" t="s">
        <v>441</v>
      </c>
      <c r="AZ552" s="822" t="s">
        <v>453</v>
      </c>
      <c r="BA552" s="822" t="s">
        <v>454</v>
      </c>
      <c r="BD552" s="824" t="s">
        <v>241</v>
      </c>
      <c r="BF552" s="822" t="s">
        <v>236</v>
      </c>
    </row>
    <row r="553" spans="1:61">
      <c r="X553" s="822" t="s">
        <v>455</v>
      </c>
      <c r="Y553" s="822"/>
      <c r="Z553" s="822"/>
      <c r="AK553" s="822" t="s">
        <v>354</v>
      </c>
      <c r="AO553" s="822" t="s">
        <v>456</v>
      </c>
      <c r="AS553" s="822" t="s">
        <v>457</v>
      </c>
      <c r="AW553" s="822" t="s">
        <v>242</v>
      </c>
      <c r="AX553" s="822" t="s">
        <v>393</v>
      </c>
      <c r="AY553" s="822" t="s">
        <v>458</v>
      </c>
      <c r="AZ553" s="822" t="s">
        <v>459</v>
      </c>
      <c r="BA553" s="822" t="s">
        <v>460</v>
      </c>
    </row>
    <row r="554" spans="1:61">
      <c r="Q554" s="822" t="s">
        <v>210</v>
      </c>
      <c r="X554" s="822" t="s">
        <v>461</v>
      </c>
      <c r="Y554" s="822"/>
      <c r="Z554" s="822"/>
      <c r="AK554" s="822" t="s">
        <v>462</v>
      </c>
      <c r="AO554" s="822" t="s">
        <v>463</v>
      </c>
      <c r="AS554" s="822" t="s">
        <v>464</v>
      </c>
      <c r="AW554" s="822" t="s">
        <v>465</v>
      </c>
      <c r="AX554" s="822" t="s">
        <v>466</v>
      </c>
      <c r="AY554" s="822" t="s">
        <v>467</v>
      </c>
      <c r="AZ554" s="822" t="s">
        <v>468</v>
      </c>
      <c r="BA554" s="822" t="s">
        <v>469</v>
      </c>
    </row>
    <row r="555" spans="1:61">
      <c r="Q555" s="822" t="s">
        <v>211</v>
      </c>
      <c r="AK555" s="822" t="s">
        <v>470</v>
      </c>
      <c r="AO555" s="822" t="s">
        <v>471</v>
      </c>
      <c r="AS555" s="822" t="s">
        <v>472</v>
      </c>
      <c r="AX555" s="822" t="s">
        <v>473</v>
      </c>
      <c r="AY555" s="822" t="s">
        <v>110</v>
      </c>
      <c r="AZ555" s="822" t="s">
        <v>474</v>
      </c>
      <c r="BA555" s="822" t="s">
        <v>475</v>
      </c>
    </row>
    <row r="556" spans="1:61">
      <c r="Q556" s="822" t="s">
        <v>215</v>
      </c>
      <c r="AO556" s="822"/>
      <c r="AS556" s="822" t="s">
        <v>342</v>
      </c>
      <c r="AX556" s="822" t="s">
        <v>476</v>
      </c>
      <c r="AY556" s="822" t="s">
        <v>163</v>
      </c>
      <c r="AZ556" s="822" t="s">
        <v>477</v>
      </c>
    </row>
    <row r="557" spans="1:61">
      <c r="AN557" s="378">
        <v>1</v>
      </c>
      <c r="AO557" s="822" t="str">
        <f>IF($AE$311="TS","ISOLD",IF(OR($AE$311="LLWS",$AE$311="NONE"),"","LGT"))</f>
        <v/>
      </c>
      <c r="AS557" s="822" t="s">
        <v>345</v>
      </c>
      <c r="AX557" s="822" t="s">
        <v>478</v>
      </c>
      <c r="AY557" s="822" t="s">
        <v>479</v>
      </c>
      <c r="AZ557" s="822" t="s">
        <v>480</v>
      </c>
    </row>
    <row r="558" spans="1:61">
      <c r="AG558" s="822" t="s">
        <v>481</v>
      </c>
      <c r="AN558" s="378"/>
      <c r="AO558" s="822" t="str">
        <f>IF($AE$311="TS","FEW",IF(OR($AE$311="LLWS",$AE$311="NONE"),"","LGT-MDT"))</f>
        <v/>
      </c>
      <c r="AS558" s="822" t="s">
        <v>482</v>
      </c>
      <c r="AX558" s="822" t="s">
        <v>483</v>
      </c>
      <c r="AY558" s="822" t="s">
        <v>484</v>
      </c>
      <c r="AZ558" s="822" t="s">
        <v>485</v>
      </c>
    </row>
    <row r="559" spans="1:61">
      <c r="AG559" s="822" t="s">
        <v>170</v>
      </c>
      <c r="AN559" s="378"/>
      <c r="AO559" s="822" t="str">
        <f>IF($AE$311="TS","SCT",IF(OR($AE$311="LLWS",$AE$311="NONE"),"","MDT"))</f>
        <v/>
      </c>
    </row>
    <row r="560" spans="1:61">
      <c r="AG560" s="822" t="s">
        <v>486</v>
      </c>
      <c r="AN560" s="378"/>
      <c r="AO560" s="822" t="str">
        <f>IF($AE$311="TS","NUMRS",IF(OR($AE$311="LLWS",$AE$311="NONE"),"","MDT-SVR"))</f>
        <v/>
      </c>
    </row>
    <row r="561" spans="18:41">
      <c r="AN561" s="378"/>
      <c r="AO561" s="822" t="str">
        <f>IF($AE$311="TS","",IF(OR($AE$311="LLWS",$AE$311="NONE"),"","SVR"))</f>
        <v/>
      </c>
    </row>
    <row r="562" spans="18:41">
      <c r="AN562" s="378"/>
      <c r="AO562" s="822"/>
    </row>
    <row r="563" spans="18:41">
      <c r="AN563" s="378" t="s">
        <v>487</v>
      </c>
      <c r="AO563" s="822" t="str">
        <f>IF($AQ$311="TS","ISOLD",IF(OR($AQ$311="LLWS",$AQ$311="NONE"),"","LGT"))</f>
        <v>ISOLD</v>
      </c>
    </row>
    <row r="564" spans="18:41">
      <c r="AN564" s="378"/>
      <c r="AO564" s="822" t="str">
        <f>IF($AQ$311="TS","FEW",IF(OR($AQ$311="LLWS",$AQ$311="NONE"),"","LGT-MDT"))</f>
        <v>FEW</v>
      </c>
    </row>
    <row r="565" spans="18:41">
      <c r="AG565" s="822" t="s">
        <v>189</v>
      </c>
      <c r="AN565" s="378"/>
      <c r="AO565" s="822" t="str">
        <f>IF($AQ$311="TS","SCT",IF(OR($AQ$311="LLWS",$AQ$311="NONE"),"","MDT"))</f>
        <v>SCT</v>
      </c>
    </row>
    <row r="566" spans="18:41">
      <c r="AG566" s="822" t="s">
        <v>2877</v>
      </c>
      <c r="AN566" s="378"/>
      <c r="AO566" s="822" t="str">
        <f>IF($AQ$311="TS","NUMRS",IF(OR($AQ$311="LLWS",$AQ$311="NONE"),"","MDT-SVR"))</f>
        <v>NUMRS</v>
      </c>
    </row>
    <row r="567" spans="18:41">
      <c r="AG567" s="822" t="s">
        <v>2878</v>
      </c>
      <c r="AN567" s="378"/>
      <c r="AO567" s="822" t="str">
        <f>IF($AQ$311="TS","",IF(OR($AQ$311="LLWS",$AQ$311="NONE"),"","SVR"))</f>
        <v/>
      </c>
    </row>
    <row r="568" spans="18:41">
      <c r="AN568" s="378"/>
      <c r="AO568" s="822"/>
    </row>
    <row r="569" spans="18:41">
      <c r="AN569" s="378">
        <v>2</v>
      </c>
      <c r="AO569" s="822" t="str">
        <f>IF($BE$311="TS","ISOLD",IF(OR($BE$311="LLWS",$BE$311="NONE"),"","LGT"))</f>
        <v>LGT</v>
      </c>
    </row>
    <row r="570" spans="18:41">
      <c r="AN570" s="378"/>
      <c r="AO570" s="822" t="str">
        <f>IF($BE$311="TS","FEW",IF(OR($BE$311="LLWS",$BE$311="NONE"),"","LGT-MDT"))</f>
        <v>LGT-MDT</v>
      </c>
    </row>
    <row r="571" spans="18:41">
      <c r="R571" s="822"/>
      <c r="AN571" s="378"/>
      <c r="AO571" s="822" t="str">
        <f>IF($BE$311="TS","SCT",IF(OR($BE$311="LLWS",$BE$311="NONE"),"","MDT"))</f>
        <v>MDT</v>
      </c>
    </row>
    <row r="572" spans="18:41">
      <c r="AN572" s="378"/>
      <c r="AO572" s="822" t="str">
        <f>IF($BE$311="TS","NUMRS",IF(OR($BE$311="LLWS",$BE$311="NONE"),"","MDT-SVR"))</f>
        <v>MDT-SVR</v>
      </c>
    </row>
    <row r="573" spans="18:41">
      <c r="AN573" s="378"/>
      <c r="AO573" s="822" t="str">
        <f>IF($BE$311="TS","",IF(OR($BE$311="LLWS",$BE$311="NONE"),"","SVR"))</f>
        <v>SVR</v>
      </c>
    </row>
    <row r="574" spans="18:41">
      <c r="AN574" s="378"/>
      <c r="AO574" s="822"/>
    </row>
    <row r="575" spans="18:41">
      <c r="AN575" s="1898" t="s">
        <v>488</v>
      </c>
      <c r="AO575" s="822" t="str">
        <f>IF($BQ$311="TS","ISOLD",IF(OR($BQ$311="LLWS",$BQ$311="NONE"),"","LGT"))</f>
        <v>LGT</v>
      </c>
    </row>
    <row r="576" spans="18:41">
      <c r="AN576" s="378"/>
      <c r="AO576" s="822" t="str">
        <f>IF($BQ$311="TS","FEW",IF(OR($BQ$311="LLWS",$BQ$311="NONE"),"","LGT-MDT"))</f>
        <v>LGT-MDT</v>
      </c>
    </row>
    <row r="577" spans="40:41">
      <c r="AN577" s="378"/>
      <c r="AO577" s="822" t="str">
        <f>IF($BQ$311="TS","SCT",IF(OR($BQ$311="LLWS",$BQ$311="NONE"),"","MDT"))</f>
        <v>MDT</v>
      </c>
    </row>
    <row r="578" spans="40:41">
      <c r="AN578" s="378"/>
      <c r="AO578" s="822" t="str">
        <f>IF($BQ$311="TS","NUMRS",IF(OR($BQ$311="LLWS",$BQ$311="NONE"),"","MDT-SVR"))</f>
        <v>MDT-SVR</v>
      </c>
    </row>
    <row r="579" spans="40:41">
      <c r="AN579" s="378"/>
      <c r="AO579" s="822" t="str">
        <f>IF($BQ$311="TS","",IF(OR($BQ$311="LLWS",$BQ$311="NONE"),"","SVR"))</f>
        <v>SVR</v>
      </c>
    </row>
    <row r="580" spans="40:41">
      <c r="AN580" s="378"/>
      <c r="AO580" s="822"/>
    </row>
    <row r="581" spans="40:41">
      <c r="AN581" s="378">
        <v>3</v>
      </c>
      <c r="AO581" s="822" t="str">
        <f>IF($CE$311="TS","ISOLD",IF(OR($CE$311="LLWS",$CE$311="NONE"),"","LGT"))</f>
        <v>LGT</v>
      </c>
    </row>
    <row r="582" spans="40:41">
      <c r="AN582" s="378"/>
      <c r="AO582" s="822" t="str">
        <f>IF($CE$311="TS","FEW",IF(OR($CE$311="LLWS",$CE$311="NONE"),"","LGT-MDT"))</f>
        <v>LGT-MDT</v>
      </c>
    </row>
    <row r="583" spans="40:41">
      <c r="AN583" s="378"/>
      <c r="AO583" s="822" t="str">
        <f>IF($CE$311="TS","SCT",IF(OR($CE$311="LLWS",$CE$311="NONE"),"","MDT"))</f>
        <v>MDT</v>
      </c>
    </row>
    <row r="584" spans="40:41">
      <c r="AN584" s="378"/>
      <c r="AO584" s="822" t="str">
        <f>IF($CE$311="TS","NUMRS",IF(OR($CE$311="LLWS",$CE$311="NONE"),"","MDT-SVR"))</f>
        <v>MDT-SVR</v>
      </c>
    </row>
    <row r="585" spans="40:41">
      <c r="AN585" s="378"/>
      <c r="AO585" s="822" t="str">
        <f>IF($CE$311="TS","",IF(OR($CE$311="LLWS",$CE$311="NONE"),"","SVR"))</f>
        <v>SVR</v>
      </c>
    </row>
    <row r="586" spans="40:41">
      <c r="AN586" s="378"/>
      <c r="AO586" s="822"/>
    </row>
    <row r="587" spans="40:41">
      <c r="AN587" s="1898" t="s">
        <v>489</v>
      </c>
      <c r="AO587" s="822" t="str">
        <f>IF($CQ$311="TS","ISOLD",IF(OR($CQ$311="LLWS",$CQ$311="NONE"),"","LGT"))</f>
        <v>LGT</v>
      </c>
    </row>
    <row r="588" spans="40:41">
      <c r="AN588" s="378"/>
      <c r="AO588" s="822" t="str">
        <f>IF($CQ$311="TS","FEW",IF(OR($CQ$311="LLWS",$CQ$311="NONE"),"","LGT-MDT"))</f>
        <v>LGT-MDT</v>
      </c>
    </row>
    <row r="589" spans="40:41">
      <c r="AN589" s="378"/>
      <c r="AO589" s="822" t="str">
        <f>IF($CQ$311="TS","SCT",IF(OR($CQ$311="LLWS",$CQ$311="NONE"),"","MDT"))</f>
        <v>MDT</v>
      </c>
    </row>
    <row r="590" spans="40:41">
      <c r="AN590" s="378"/>
      <c r="AO590" s="822" t="str">
        <f>IF($CQ$311="TS","NUMRS",IF(OR($CQ$311="LLWS",$CQ$311="NONE"),"","MDT-SVR"))</f>
        <v>MDT-SVR</v>
      </c>
    </row>
    <row r="591" spans="40:41">
      <c r="AN591" s="378"/>
      <c r="AO591" s="822" t="str">
        <f>IF($CQ$311="TS","",IF(OR($CQ$311="LLWS",$CQ$311="NONE"),"","SVR"))</f>
        <v>SVR</v>
      </c>
    </row>
    <row r="592" spans="40:41">
      <c r="AN592" s="378"/>
      <c r="AO592" s="822"/>
    </row>
    <row r="593" spans="40:41">
      <c r="AN593" s="378">
        <v>4</v>
      </c>
      <c r="AO593" s="822" t="str">
        <f>IF($DE$311="TS","ISOLD",IF(OR($DE$311="LLWS",$DE$311="NONE"),"","LGT"))</f>
        <v>LGT</v>
      </c>
    </row>
    <row r="594" spans="40:41">
      <c r="AN594" s="378"/>
      <c r="AO594" s="822" t="str">
        <f>IF($DE$311="TS","FEW",IF(OR($DE$311="LLWS",$DE$311="NONE"),"","LGT-MDT"))</f>
        <v>LGT-MDT</v>
      </c>
    </row>
    <row r="595" spans="40:41">
      <c r="AN595" s="378"/>
      <c r="AO595" s="822" t="str">
        <f>IF($DE$311="TS","SCT",IF(OR($DE$311="LLWS",$DE$311="NONE"),"","MDT"))</f>
        <v>MDT</v>
      </c>
    </row>
    <row r="596" spans="40:41">
      <c r="AN596" s="378"/>
      <c r="AO596" s="822" t="str">
        <f>IF($DE$311="TS","NUMRS",IF(OR($DE$311="LLWS",$DE$311="NONE"),"","MDT-SVR"))</f>
        <v>MDT-SVR</v>
      </c>
    </row>
    <row r="597" spans="40:41">
      <c r="AN597" s="378"/>
      <c r="AO597" s="822" t="str">
        <f>IF($DE$311="TS","",IF(OR($DE$311="LLWS",$DE$311="NONE"),"","SVR"))</f>
        <v>SVR</v>
      </c>
    </row>
    <row r="598" spans="40:41">
      <c r="AN598" s="378"/>
      <c r="AO598" s="822"/>
    </row>
    <row r="599" spans="40:41">
      <c r="AN599" s="1898" t="s">
        <v>490</v>
      </c>
      <c r="AO599" s="822" t="str">
        <f>IF($DQ$311="TS","ISOLD",IF(OR($DQ$311="LLWS",$DQ$311="NONE"),"","LGT"))</f>
        <v>LGT</v>
      </c>
    </row>
    <row r="600" spans="40:41">
      <c r="AN600" s="378"/>
      <c r="AO600" s="822" t="str">
        <f>IF($DQ$311="TS","FEW",IF(OR($DQ$311="LLWS",$DQ$311="NONE"),"","LGT-MDT"))</f>
        <v>LGT-MDT</v>
      </c>
    </row>
    <row r="601" spans="40:41">
      <c r="AN601" s="378"/>
      <c r="AO601" s="822" t="str">
        <f>IF($DQ$311="TS","SCT",IF(OR($DQ$311="LLWS",$DQ$311="NONE"),"","MDT"))</f>
        <v>MDT</v>
      </c>
    </row>
    <row r="602" spans="40:41">
      <c r="AN602" s="378"/>
      <c r="AO602" s="822" t="str">
        <f>IF($DQ$311="TS","NUMRS",IF(OR($DQ$311="LLWS",$DQ$311="NONE"),"","MDT-SVR"))</f>
        <v>MDT-SVR</v>
      </c>
    </row>
    <row r="603" spans="40:41">
      <c r="AN603" s="378"/>
      <c r="AO603" s="822" t="str">
        <f>IF($DQ$311="TS","",IF(OR($DQ$311="LLWS",$DQ$311="NONE"),"","SVR"))</f>
        <v>SVR</v>
      </c>
    </row>
    <row r="604" spans="40:41">
      <c r="AN604" s="378"/>
      <c r="AO604" s="822"/>
    </row>
  </sheetData>
  <sheetProtection algorithmName="SHA-512" hashValue="PAQ4AxILV//7RWZtC0WFajxH9a9XZD4LZIWMEBbT3JtvO5o+7qIxpvL7FoajSbdlIhBTXlwsG7VpBj3xfr3AqQ==" saltValue="R2LW1iScUHGI5v4qWCjnDQ==" spinCount="100000" sheet="1" objects="1" scenarios="1" selectLockedCells="1"/>
  <mergeCells count="3325">
    <mergeCell ref="DM320:DN320"/>
    <mergeCell ref="DW325:DY325"/>
    <mergeCell ref="BR331:BT331"/>
    <mergeCell ref="BX338:BZ338"/>
    <mergeCell ref="CV329:CX329"/>
    <mergeCell ref="BR337:BT337"/>
    <mergeCell ref="DG309:DJ310"/>
    <mergeCell ref="DW311:DY311"/>
    <mergeCell ref="DW309:DZ310"/>
    <mergeCell ref="CP337:CR337"/>
    <mergeCell ref="DU319:DV319"/>
    <mergeCell ref="DG313:DJ313"/>
    <mergeCell ref="DQ313:DR313"/>
    <mergeCell ref="CW313:CY313"/>
    <mergeCell ref="DC313:DD313"/>
    <mergeCell ref="DP314:DZ316"/>
    <mergeCell ref="DK315:DN315"/>
    <mergeCell ref="DW313:DY313"/>
    <mergeCell ref="DW319:DX319"/>
    <mergeCell ref="DY320:DZ320"/>
    <mergeCell ref="CP319:CQ319"/>
    <mergeCell ref="DK322:DM324"/>
    <mergeCell ref="DH325:DJ325"/>
    <mergeCell ref="DC315:DD315"/>
    <mergeCell ref="DK325:DM325"/>
    <mergeCell ref="DN325:DP325"/>
    <mergeCell ref="DN326:DP326"/>
    <mergeCell ref="DH326:DJ326"/>
    <mergeCell ref="DQ320:DR320"/>
    <mergeCell ref="CY331:DA331"/>
    <mergeCell ref="CY332:DA332"/>
    <mergeCell ref="DW320:DX320"/>
    <mergeCell ref="BL335:BN335"/>
    <mergeCell ref="AH335:AJ335"/>
    <mergeCell ref="BF335:BH335"/>
    <mergeCell ref="BF326:BH326"/>
    <mergeCell ref="AZ329:BB329"/>
    <mergeCell ref="BC329:BE329"/>
    <mergeCell ref="CA326:CC326"/>
    <mergeCell ref="AK331:AM331"/>
    <mergeCell ref="BI335:BK335"/>
    <mergeCell ref="BL334:BN334"/>
    <mergeCell ref="AW328:AY328"/>
    <mergeCell ref="AK328:AM328"/>
    <mergeCell ref="AH329:AJ329"/>
    <mergeCell ref="BC328:BE328"/>
    <mergeCell ref="CA329:CC329"/>
    <mergeCell ref="CA328:CC328"/>
    <mergeCell ref="BX332:BZ332"/>
    <mergeCell ref="BO328:BQ328"/>
    <mergeCell ref="BF329:BH329"/>
    <mergeCell ref="BI329:BK329"/>
    <mergeCell ref="AQ331:AS331"/>
    <mergeCell ref="BX335:BZ335"/>
    <mergeCell ref="BX334:BZ334"/>
    <mergeCell ref="AT331:AV331"/>
    <mergeCell ref="BC334:BE334"/>
    <mergeCell ref="BO326:BQ326"/>
    <mergeCell ref="BR335:BT335"/>
    <mergeCell ref="BU328:BW328"/>
    <mergeCell ref="AH334:AJ334"/>
    <mergeCell ref="AZ332:BB332"/>
    <mergeCell ref="Y547:Z547"/>
    <mergeCell ref="AA547:AB547"/>
    <mergeCell ref="AC547:AD547"/>
    <mergeCell ref="AC515:AD515"/>
    <mergeCell ref="AE515:AF515"/>
    <mergeCell ref="BF337:BH337"/>
    <mergeCell ref="BC338:BE338"/>
    <mergeCell ref="BC341:BD341"/>
    <mergeCell ref="AW343:AX343"/>
    <mergeCell ref="AB341:AC341"/>
    <mergeCell ref="AH341:AI341"/>
    <mergeCell ref="AH345:AI345"/>
    <mergeCell ref="AW345:AX345"/>
    <mergeCell ref="AQ345:AR345"/>
    <mergeCell ref="AE338:AG338"/>
    <mergeCell ref="BF338:BH338"/>
    <mergeCell ref="AZ345:BA345"/>
    <mergeCell ref="AZ338:BB338"/>
    <mergeCell ref="AC542:AD542"/>
    <mergeCell ref="AE542:AF542"/>
    <mergeCell ref="W463:AA464"/>
    <mergeCell ref="AH427:AI427"/>
    <mergeCell ref="W544:X544"/>
    <mergeCell ref="Y544:Z544"/>
    <mergeCell ref="AA544:AB544"/>
    <mergeCell ref="AC544:AD544"/>
    <mergeCell ref="AA545:AB545"/>
    <mergeCell ref="AE540:AF540"/>
    <mergeCell ref="AE541:AF541"/>
    <mergeCell ref="AE523:AF523"/>
    <mergeCell ref="AC525:AD525"/>
    <mergeCell ref="AT337:AV337"/>
    <mergeCell ref="W548:X548"/>
    <mergeCell ref="W543:X543"/>
    <mergeCell ref="Y548:Z548"/>
    <mergeCell ref="AA548:AB548"/>
    <mergeCell ref="AC548:AD548"/>
    <mergeCell ref="AE548:AF548"/>
    <mergeCell ref="S545:T545"/>
    <mergeCell ref="U545:V545"/>
    <mergeCell ref="W545:X545"/>
    <mergeCell ref="Y545:Z545"/>
    <mergeCell ref="Y543:Z543"/>
    <mergeCell ref="AA543:AB543"/>
    <mergeCell ref="AC543:AD543"/>
    <mergeCell ref="AE543:AF543"/>
    <mergeCell ref="AC527:AD527"/>
    <mergeCell ref="AE527:AF527"/>
    <mergeCell ref="AE525:AF525"/>
    <mergeCell ref="AE529:AF529"/>
    <mergeCell ref="AC545:AD545"/>
    <mergeCell ref="AE545:AF545"/>
    <mergeCell ref="AE547:AF547"/>
    <mergeCell ref="S546:T546"/>
    <mergeCell ref="U546:V546"/>
    <mergeCell ref="W546:X546"/>
    <mergeCell ref="Y546:Z546"/>
    <mergeCell ref="AA546:AB546"/>
    <mergeCell ref="AC546:AD546"/>
    <mergeCell ref="AE546:AF546"/>
    <mergeCell ref="W547:X547"/>
    <mergeCell ref="W542:X542"/>
    <mergeCell ref="Y542:Z542"/>
    <mergeCell ref="AA542:AB542"/>
    <mergeCell ref="AE514:AF514"/>
    <mergeCell ref="AA515:AB515"/>
    <mergeCell ref="I542:J542"/>
    <mergeCell ref="K542:L542"/>
    <mergeCell ref="M542:N542"/>
    <mergeCell ref="O542:P542"/>
    <mergeCell ref="Q542:R542"/>
    <mergeCell ref="S542:T542"/>
    <mergeCell ref="U542:V542"/>
    <mergeCell ref="U538:V538"/>
    <mergeCell ref="W538:X538"/>
    <mergeCell ref="Y538:Z538"/>
    <mergeCell ref="AA538:AB538"/>
    <mergeCell ref="AC538:AD538"/>
    <mergeCell ref="AE538:AF538"/>
    <mergeCell ref="M537:N537"/>
    <mergeCell ref="O537:P537"/>
    <mergeCell ref="Q537:R537"/>
    <mergeCell ref="S537:T537"/>
    <mergeCell ref="U537:V537"/>
    <mergeCell ref="W537:X537"/>
    <mergeCell ref="AE522:AF522"/>
    <mergeCell ref="AE537:AF537"/>
    <mergeCell ref="Q538:R538"/>
    <mergeCell ref="S538:T538"/>
    <mergeCell ref="O539:P539"/>
    <mergeCell ref="Q539:R539"/>
    <mergeCell ref="S539:T539"/>
    <mergeCell ref="AE526:AF526"/>
    <mergeCell ref="W540:X540"/>
    <mergeCell ref="Y540:Z540"/>
    <mergeCell ref="AA540:AB540"/>
    <mergeCell ref="AC540:AD540"/>
    <mergeCell ref="E541:F541"/>
    <mergeCell ref="G541:H541"/>
    <mergeCell ref="I541:J541"/>
    <mergeCell ref="K541:L541"/>
    <mergeCell ref="U541:V541"/>
    <mergeCell ref="W541:X541"/>
    <mergeCell ref="Y541:Z541"/>
    <mergeCell ref="M541:N541"/>
    <mergeCell ref="AE544:AF544"/>
    <mergeCell ref="U544:V544"/>
    <mergeCell ref="O541:P541"/>
    <mergeCell ref="Q541:R541"/>
    <mergeCell ref="S541:T541"/>
    <mergeCell ref="E538:F538"/>
    <mergeCell ref="G538:H538"/>
    <mergeCell ref="I538:J538"/>
    <mergeCell ref="K538:L538"/>
    <mergeCell ref="M538:N538"/>
    <mergeCell ref="O538:P538"/>
    <mergeCell ref="U540:V540"/>
    <mergeCell ref="U543:V543"/>
    <mergeCell ref="AA541:AB541"/>
    <mergeCell ref="AC541:AD541"/>
    <mergeCell ref="U539:V539"/>
    <mergeCell ref="W539:X539"/>
    <mergeCell ref="Y539:Z539"/>
    <mergeCell ref="AA539:AB539"/>
    <mergeCell ref="AC539:AD539"/>
    <mergeCell ref="AE539:AF539"/>
    <mergeCell ref="E539:F539"/>
    <mergeCell ref="G539:H539"/>
    <mergeCell ref="O548:P548"/>
    <mergeCell ref="Q548:R548"/>
    <mergeCell ref="S548:T548"/>
    <mergeCell ref="E540:F540"/>
    <mergeCell ref="G540:H540"/>
    <mergeCell ref="I540:J540"/>
    <mergeCell ref="K540:L540"/>
    <mergeCell ref="M540:N540"/>
    <mergeCell ref="O540:P540"/>
    <mergeCell ref="Q540:R540"/>
    <mergeCell ref="S540:T540"/>
    <mergeCell ref="E542:F542"/>
    <mergeCell ref="G542:H542"/>
    <mergeCell ref="S543:T543"/>
    <mergeCell ref="K545:L545"/>
    <mergeCell ref="M545:N545"/>
    <mergeCell ref="O545:P545"/>
    <mergeCell ref="Q545:R545"/>
    <mergeCell ref="E544:F544"/>
    <mergeCell ref="G544:H544"/>
    <mergeCell ref="I544:J544"/>
    <mergeCell ref="K544:L544"/>
    <mergeCell ref="M544:N544"/>
    <mergeCell ref="O544:P544"/>
    <mergeCell ref="Q544:R544"/>
    <mergeCell ref="S544:T544"/>
    <mergeCell ref="U548:V548"/>
    <mergeCell ref="E547:F547"/>
    <mergeCell ref="G547:H547"/>
    <mergeCell ref="I547:J547"/>
    <mergeCell ref="K547:L547"/>
    <mergeCell ref="M547:N547"/>
    <mergeCell ref="O547:P547"/>
    <mergeCell ref="Q547:R547"/>
    <mergeCell ref="S547:T547"/>
    <mergeCell ref="U547:V547"/>
    <mergeCell ref="E546:F546"/>
    <mergeCell ref="G546:H546"/>
    <mergeCell ref="I546:J546"/>
    <mergeCell ref="K546:L546"/>
    <mergeCell ref="M546:N546"/>
    <mergeCell ref="E543:F543"/>
    <mergeCell ref="G543:H543"/>
    <mergeCell ref="I543:J543"/>
    <mergeCell ref="K543:L543"/>
    <mergeCell ref="O546:P546"/>
    <mergeCell ref="Q546:R546"/>
    <mergeCell ref="E545:F545"/>
    <mergeCell ref="G545:H545"/>
    <mergeCell ref="I545:J545"/>
    <mergeCell ref="M543:N543"/>
    <mergeCell ref="O543:P543"/>
    <mergeCell ref="Q543:R543"/>
    <mergeCell ref="E548:F548"/>
    <mergeCell ref="G548:H548"/>
    <mergeCell ref="I548:J548"/>
    <mergeCell ref="K548:L548"/>
    <mergeCell ref="M548:N548"/>
    <mergeCell ref="G536:H536"/>
    <mergeCell ref="I536:J536"/>
    <mergeCell ref="K536:L536"/>
    <mergeCell ref="M536:N536"/>
    <mergeCell ref="O536:P536"/>
    <mergeCell ref="Q536:R536"/>
    <mergeCell ref="S536:T536"/>
    <mergeCell ref="U536:V536"/>
    <mergeCell ref="W536:X536"/>
    <mergeCell ref="Y536:Z536"/>
    <mergeCell ref="AA536:AB536"/>
    <mergeCell ref="AC536:AD536"/>
    <mergeCell ref="AE536:AF536"/>
    <mergeCell ref="E537:F537"/>
    <mergeCell ref="G537:H537"/>
    <mergeCell ref="I537:J537"/>
    <mergeCell ref="K537:L537"/>
    <mergeCell ref="Y537:Z537"/>
    <mergeCell ref="AA537:AB537"/>
    <mergeCell ref="AC537:AD537"/>
    <mergeCell ref="I539:J539"/>
    <mergeCell ref="K539:L539"/>
    <mergeCell ref="M539:N539"/>
    <mergeCell ref="E534:F534"/>
    <mergeCell ref="G534:H534"/>
    <mergeCell ref="I534:J534"/>
    <mergeCell ref="K534:L534"/>
    <mergeCell ref="M534:N534"/>
    <mergeCell ref="O534:P534"/>
    <mergeCell ref="Q534:R534"/>
    <mergeCell ref="S534:T534"/>
    <mergeCell ref="U534:V534"/>
    <mergeCell ref="W534:X534"/>
    <mergeCell ref="Y534:Z534"/>
    <mergeCell ref="AA534:AB534"/>
    <mergeCell ref="AC534:AD534"/>
    <mergeCell ref="AE534:AF534"/>
    <mergeCell ref="E535:F535"/>
    <mergeCell ref="G535:H535"/>
    <mergeCell ref="I535:J535"/>
    <mergeCell ref="K535:L535"/>
    <mergeCell ref="M535:N535"/>
    <mergeCell ref="O535:P535"/>
    <mergeCell ref="Q535:R535"/>
    <mergeCell ref="S535:T535"/>
    <mergeCell ref="U535:V535"/>
    <mergeCell ref="W535:X535"/>
    <mergeCell ref="Y535:Z535"/>
    <mergeCell ref="AA535:AB535"/>
    <mergeCell ref="AC535:AD535"/>
    <mergeCell ref="AE535:AF535"/>
    <mergeCell ref="E536:F536"/>
    <mergeCell ref="E532:F532"/>
    <mergeCell ref="G532:H532"/>
    <mergeCell ref="I532:J532"/>
    <mergeCell ref="K532:L532"/>
    <mergeCell ref="M532:N532"/>
    <mergeCell ref="O532:P532"/>
    <mergeCell ref="Q532:R532"/>
    <mergeCell ref="S532:T532"/>
    <mergeCell ref="U532:V532"/>
    <mergeCell ref="W532:X532"/>
    <mergeCell ref="Y532:Z532"/>
    <mergeCell ref="AA532:AB532"/>
    <mergeCell ref="AC532:AD532"/>
    <mergeCell ref="AE532:AF532"/>
    <mergeCell ref="E533:F533"/>
    <mergeCell ref="G533:H533"/>
    <mergeCell ref="I533:J533"/>
    <mergeCell ref="K533:L533"/>
    <mergeCell ref="M533:N533"/>
    <mergeCell ref="O533:P533"/>
    <mergeCell ref="Q533:R533"/>
    <mergeCell ref="S533:T533"/>
    <mergeCell ref="U533:V533"/>
    <mergeCell ref="W533:X533"/>
    <mergeCell ref="Y533:Z533"/>
    <mergeCell ref="AA533:AB533"/>
    <mergeCell ref="AC533:AD533"/>
    <mergeCell ref="AE533:AF533"/>
    <mergeCell ref="E530:F530"/>
    <mergeCell ref="G530:H530"/>
    <mergeCell ref="I530:J530"/>
    <mergeCell ref="K530:L530"/>
    <mergeCell ref="M530:N530"/>
    <mergeCell ref="O530:P530"/>
    <mergeCell ref="Q530:R530"/>
    <mergeCell ref="S530:T530"/>
    <mergeCell ref="U530:V530"/>
    <mergeCell ref="W530:X530"/>
    <mergeCell ref="Y530:Z530"/>
    <mergeCell ref="AA530:AB530"/>
    <mergeCell ref="AC530:AD530"/>
    <mergeCell ref="AE530:AF530"/>
    <mergeCell ref="E531:F531"/>
    <mergeCell ref="G531:H531"/>
    <mergeCell ref="I531:J531"/>
    <mergeCell ref="K531:L531"/>
    <mergeCell ref="M531:N531"/>
    <mergeCell ref="O531:P531"/>
    <mergeCell ref="Q531:R531"/>
    <mergeCell ref="S531:T531"/>
    <mergeCell ref="U531:V531"/>
    <mergeCell ref="W531:X531"/>
    <mergeCell ref="Y531:Z531"/>
    <mergeCell ref="AA531:AB531"/>
    <mergeCell ref="AC531:AD531"/>
    <mergeCell ref="AE531:AF531"/>
    <mergeCell ref="G526:H526"/>
    <mergeCell ref="I526:J526"/>
    <mergeCell ref="K526:L526"/>
    <mergeCell ref="M526:N526"/>
    <mergeCell ref="O526:P526"/>
    <mergeCell ref="Q526:R526"/>
    <mergeCell ref="S526:T526"/>
    <mergeCell ref="U526:V526"/>
    <mergeCell ref="W526:X526"/>
    <mergeCell ref="Y526:Z526"/>
    <mergeCell ref="AA526:AB526"/>
    <mergeCell ref="AC526:AD526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U529:V529"/>
    <mergeCell ref="W529:X529"/>
    <mergeCell ref="Y529:Z529"/>
    <mergeCell ref="AA529:AB529"/>
    <mergeCell ref="AC529:AD529"/>
    <mergeCell ref="Q527:R527"/>
    <mergeCell ref="S527:T527"/>
    <mergeCell ref="U527:V527"/>
    <mergeCell ref="W527:X527"/>
    <mergeCell ref="Y527:Z527"/>
    <mergeCell ref="AA527:AB527"/>
    <mergeCell ref="E524:F524"/>
    <mergeCell ref="G524:H524"/>
    <mergeCell ref="I524:J524"/>
    <mergeCell ref="K524:L524"/>
    <mergeCell ref="M524:N524"/>
    <mergeCell ref="O524:P524"/>
    <mergeCell ref="Q524:R524"/>
    <mergeCell ref="S524:T524"/>
    <mergeCell ref="U524:V524"/>
    <mergeCell ref="W524:X524"/>
    <mergeCell ref="Y524:Z524"/>
    <mergeCell ref="AA524:AB524"/>
    <mergeCell ref="AC524:AD524"/>
    <mergeCell ref="AE524:AF524"/>
    <mergeCell ref="E528:F528"/>
    <mergeCell ref="G528:H528"/>
    <mergeCell ref="I528:J528"/>
    <mergeCell ref="K528:L528"/>
    <mergeCell ref="M528:N528"/>
    <mergeCell ref="O528:P528"/>
    <mergeCell ref="Q528:R528"/>
    <mergeCell ref="S528:T528"/>
    <mergeCell ref="U528:V528"/>
    <mergeCell ref="W528:X528"/>
    <mergeCell ref="Y528:Z528"/>
    <mergeCell ref="AA528:AB528"/>
    <mergeCell ref="AC528:AD528"/>
    <mergeCell ref="AE528:AF528"/>
    <mergeCell ref="W525:X525"/>
    <mergeCell ref="Y525:Z525"/>
    <mergeCell ref="AA525:AB525"/>
    <mergeCell ref="E526:F526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E522:F522"/>
    <mergeCell ref="G522:H522"/>
    <mergeCell ref="I522:J522"/>
    <mergeCell ref="K522:L522"/>
    <mergeCell ref="M522:N522"/>
    <mergeCell ref="O522:P522"/>
    <mergeCell ref="Q522:R522"/>
    <mergeCell ref="S522:T522"/>
    <mergeCell ref="U522:V522"/>
    <mergeCell ref="E525:F525"/>
    <mergeCell ref="G525:H525"/>
    <mergeCell ref="I525:J525"/>
    <mergeCell ref="K525:L525"/>
    <mergeCell ref="M525:N525"/>
    <mergeCell ref="O525:P525"/>
    <mergeCell ref="Q525:R525"/>
    <mergeCell ref="S525:T525"/>
    <mergeCell ref="U525:V525"/>
    <mergeCell ref="E527:F527"/>
    <mergeCell ref="G527:H527"/>
    <mergeCell ref="I527:J527"/>
    <mergeCell ref="K527:L527"/>
    <mergeCell ref="M527:N527"/>
    <mergeCell ref="O527:P527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16:D516"/>
    <mergeCell ref="AC518:AD518"/>
    <mergeCell ref="AE518:AF518"/>
    <mergeCell ref="K517:L517"/>
    <mergeCell ref="M517:N517"/>
    <mergeCell ref="O517:P517"/>
    <mergeCell ref="Q517:R517"/>
    <mergeCell ref="S517:T517"/>
    <mergeCell ref="U517:V517"/>
    <mergeCell ref="W517:X517"/>
    <mergeCell ref="Y517:Z517"/>
    <mergeCell ref="AA517:AB517"/>
    <mergeCell ref="AC517:AD517"/>
    <mergeCell ref="AE517:AF517"/>
    <mergeCell ref="B517:D517"/>
    <mergeCell ref="E517:F517"/>
    <mergeCell ref="E516:F516"/>
    <mergeCell ref="O518:P518"/>
    <mergeCell ref="Q518:R518"/>
    <mergeCell ref="S518:T518"/>
    <mergeCell ref="U518:V518"/>
    <mergeCell ref="W518:X518"/>
    <mergeCell ref="Y518:Z518"/>
    <mergeCell ref="AA518:AB518"/>
    <mergeCell ref="B521:D521"/>
    <mergeCell ref="D1:G1"/>
    <mergeCell ref="G516:H516"/>
    <mergeCell ref="I516:J516"/>
    <mergeCell ref="K516:L516"/>
    <mergeCell ref="M516:N516"/>
    <mergeCell ref="O516:P516"/>
    <mergeCell ref="Q516:R516"/>
    <mergeCell ref="S516:T516"/>
    <mergeCell ref="U516:V516"/>
    <mergeCell ref="W516:X516"/>
    <mergeCell ref="Y516:Z516"/>
    <mergeCell ref="AA516:AB516"/>
    <mergeCell ref="AC516:AD516"/>
    <mergeCell ref="AE516:AF516"/>
    <mergeCell ref="G517:H517"/>
    <mergeCell ref="I517:J517"/>
    <mergeCell ref="B472:D472"/>
    <mergeCell ref="B514:D514"/>
    <mergeCell ref="E514:F514"/>
    <mergeCell ref="G514:H514"/>
    <mergeCell ref="I514:J514"/>
    <mergeCell ref="K514:L514"/>
    <mergeCell ref="M514:N514"/>
    <mergeCell ref="O514:P514"/>
    <mergeCell ref="Q514:R514"/>
    <mergeCell ref="S514:T514"/>
    <mergeCell ref="U514:V514"/>
    <mergeCell ref="W514:X514"/>
    <mergeCell ref="Y514:Z514"/>
    <mergeCell ref="AA514:AB514"/>
    <mergeCell ref="AC514:AD514"/>
    <mergeCell ref="B522:D522"/>
    <mergeCell ref="B523:D523"/>
    <mergeCell ref="W522:X522"/>
    <mergeCell ref="Y522:Z522"/>
    <mergeCell ref="AA522:AB522"/>
    <mergeCell ref="AC522:AD522"/>
    <mergeCell ref="E523:F523"/>
    <mergeCell ref="G523:H523"/>
    <mergeCell ref="I523:J523"/>
    <mergeCell ref="K523:L523"/>
    <mergeCell ref="M523:N523"/>
    <mergeCell ref="O523:P523"/>
    <mergeCell ref="Q523:R523"/>
    <mergeCell ref="S523:T523"/>
    <mergeCell ref="U523:V523"/>
    <mergeCell ref="W523:X523"/>
    <mergeCell ref="Y523:Z523"/>
    <mergeCell ref="AA523:AB523"/>
    <mergeCell ref="AC523:AD523"/>
    <mergeCell ref="E521:F521"/>
    <mergeCell ref="G521:H521"/>
    <mergeCell ref="I521:J521"/>
    <mergeCell ref="K521:L521"/>
    <mergeCell ref="M521:N521"/>
    <mergeCell ref="O521:P521"/>
    <mergeCell ref="Q521:R521"/>
    <mergeCell ref="S521:T521"/>
    <mergeCell ref="U521:V521"/>
    <mergeCell ref="W521:X521"/>
    <mergeCell ref="Y521:Z521"/>
    <mergeCell ref="AA521:AB521"/>
    <mergeCell ref="AC521:AD521"/>
    <mergeCell ref="AE521:AF521"/>
    <mergeCell ref="AA519:AB519"/>
    <mergeCell ref="AC519:AD519"/>
    <mergeCell ref="AE519:AF519"/>
    <mergeCell ref="G520:H520"/>
    <mergeCell ref="I520:J520"/>
    <mergeCell ref="K520:L520"/>
    <mergeCell ref="M520:N520"/>
    <mergeCell ref="O520:P520"/>
    <mergeCell ref="Q520:R520"/>
    <mergeCell ref="S520:T520"/>
    <mergeCell ref="U520:V520"/>
    <mergeCell ref="W520:X520"/>
    <mergeCell ref="Y520:Z520"/>
    <mergeCell ref="AA520:AB520"/>
    <mergeCell ref="AC520:AD520"/>
    <mergeCell ref="AE520:AF520"/>
    <mergeCell ref="B519:D519"/>
    <mergeCell ref="E519:F519"/>
    <mergeCell ref="G519:H519"/>
    <mergeCell ref="I519:J519"/>
    <mergeCell ref="K519:L519"/>
    <mergeCell ref="M519:N519"/>
    <mergeCell ref="O519:P519"/>
    <mergeCell ref="Q519:R519"/>
    <mergeCell ref="S519:T519"/>
    <mergeCell ref="U519:V519"/>
    <mergeCell ref="W519:X519"/>
    <mergeCell ref="Y519:Z519"/>
    <mergeCell ref="B520:D520"/>
    <mergeCell ref="E520:F520"/>
    <mergeCell ref="B515:D515"/>
    <mergeCell ref="E515:F515"/>
    <mergeCell ref="G515:H515"/>
    <mergeCell ref="I515:J515"/>
    <mergeCell ref="K515:L515"/>
    <mergeCell ref="M515:N515"/>
    <mergeCell ref="O515:P515"/>
    <mergeCell ref="Q515:R515"/>
    <mergeCell ref="S515:T515"/>
    <mergeCell ref="U515:V515"/>
    <mergeCell ref="W515:X515"/>
    <mergeCell ref="Y515:Z515"/>
    <mergeCell ref="B518:D518"/>
    <mergeCell ref="E518:F518"/>
    <mergeCell ref="G518:H518"/>
    <mergeCell ref="I518:J518"/>
    <mergeCell ref="K518:L518"/>
    <mergeCell ref="M518:N518"/>
    <mergeCell ref="B512:D512"/>
    <mergeCell ref="E512:F512"/>
    <mergeCell ref="G512:H512"/>
    <mergeCell ref="I512:J512"/>
    <mergeCell ref="K512:L512"/>
    <mergeCell ref="M512:N512"/>
    <mergeCell ref="O512:P512"/>
    <mergeCell ref="Q512:R512"/>
    <mergeCell ref="S512:T512"/>
    <mergeCell ref="U512:V512"/>
    <mergeCell ref="W512:X512"/>
    <mergeCell ref="Y512:Z512"/>
    <mergeCell ref="AA512:AB512"/>
    <mergeCell ref="AC512:AD512"/>
    <mergeCell ref="AE512:AF512"/>
    <mergeCell ref="B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U513:V513"/>
    <mergeCell ref="W513:X513"/>
    <mergeCell ref="Y513:Z513"/>
    <mergeCell ref="AA513:AB513"/>
    <mergeCell ref="AC513:AD513"/>
    <mergeCell ref="AE513:AF513"/>
    <mergeCell ref="B510:D510"/>
    <mergeCell ref="E510:F510"/>
    <mergeCell ref="G510:H510"/>
    <mergeCell ref="I510:J510"/>
    <mergeCell ref="K510:L510"/>
    <mergeCell ref="M510:N510"/>
    <mergeCell ref="O510:P510"/>
    <mergeCell ref="Q510:R510"/>
    <mergeCell ref="S510:T510"/>
    <mergeCell ref="U510:V510"/>
    <mergeCell ref="W510:X510"/>
    <mergeCell ref="Y510:Z510"/>
    <mergeCell ref="AA510:AB510"/>
    <mergeCell ref="AC510:AD510"/>
    <mergeCell ref="AE510:AF510"/>
    <mergeCell ref="B511:D511"/>
    <mergeCell ref="E511:F511"/>
    <mergeCell ref="G511:H511"/>
    <mergeCell ref="I511:J511"/>
    <mergeCell ref="K511:L511"/>
    <mergeCell ref="M511:N511"/>
    <mergeCell ref="O511:P511"/>
    <mergeCell ref="Q511:R511"/>
    <mergeCell ref="S511:T511"/>
    <mergeCell ref="U511:V511"/>
    <mergeCell ref="W511:X511"/>
    <mergeCell ref="Y511:Z511"/>
    <mergeCell ref="AA511:AB511"/>
    <mergeCell ref="AC511:AD511"/>
    <mergeCell ref="AE511:AF511"/>
    <mergeCell ref="B508:D508"/>
    <mergeCell ref="E508:F508"/>
    <mergeCell ref="G508:H508"/>
    <mergeCell ref="I508:J508"/>
    <mergeCell ref="K508:L508"/>
    <mergeCell ref="M508:N508"/>
    <mergeCell ref="O508:P508"/>
    <mergeCell ref="Q508:R508"/>
    <mergeCell ref="S508:T508"/>
    <mergeCell ref="U508:V508"/>
    <mergeCell ref="W508:X508"/>
    <mergeCell ref="Y508:Z508"/>
    <mergeCell ref="AA508:AB508"/>
    <mergeCell ref="AC508:AD508"/>
    <mergeCell ref="AE508:AF508"/>
    <mergeCell ref="B509:D509"/>
    <mergeCell ref="E509:F509"/>
    <mergeCell ref="G509:H509"/>
    <mergeCell ref="I509:J509"/>
    <mergeCell ref="K509:L509"/>
    <mergeCell ref="M509:N509"/>
    <mergeCell ref="O509:P509"/>
    <mergeCell ref="Q509:R509"/>
    <mergeCell ref="S509:T509"/>
    <mergeCell ref="U509:V509"/>
    <mergeCell ref="W509:X509"/>
    <mergeCell ref="Y509:Z509"/>
    <mergeCell ref="AA509:AB509"/>
    <mergeCell ref="AC509:AD509"/>
    <mergeCell ref="AE509:AF509"/>
    <mergeCell ref="B506:D506"/>
    <mergeCell ref="E506:F506"/>
    <mergeCell ref="G506:H506"/>
    <mergeCell ref="I506:J506"/>
    <mergeCell ref="K506:L506"/>
    <mergeCell ref="M506:N506"/>
    <mergeCell ref="O506:P506"/>
    <mergeCell ref="Q506:R506"/>
    <mergeCell ref="S506:T506"/>
    <mergeCell ref="U506:V506"/>
    <mergeCell ref="W506:X506"/>
    <mergeCell ref="Y506:Z506"/>
    <mergeCell ref="AA506:AB506"/>
    <mergeCell ref="AC506:AD506"/>
    <mergeCell ref="AE506:AF506"/>
    <mergeCell ref="B507:D507"/>
    <mergeCell ref="E507:F507"/>
    <mergeCell ref="G507:H507"/>
    <mergeCell ref="I507:J507"/>
    <mergeCell ref="K507:L507"/>
    <mergeCell ref="M507:N507"/>
    <mergeCell ref="O507:P507"/>
    <mergeCell ref="Q507:R507"/>
    <mergeCell ref="W507:X507"/>
    <mergeCell ref="Y507:Z507"/>
    <mergeCell ref="AA507:AB507"/>
    <mergeCell ref="AC507:AD507"/>
    <mergeCell ref="AE507:AF507"/>
    <mergeCell ref="U507:V507"/>
    <mergeCell ref="S507:T507"/>
    <mergeCell ref="B504:D504"/>
    <mergeCell ref="E504:F504"/>
    <mergeCell ref="G504:H504"/>
    <mergeCell ref="I504:J504"/>
    <mergeCell ref="K504:L504"/>
    <mergeCell ref="M504:N504"/>
    <mergeCell ref="O504:P504"/>
    <mergeCell ref="Q504:R504"/>
    <mergeCell ref="S504:T504"/>
    <mergeCell ref="U504:V504"/>
    <mergeCell ref="W504:X504"/>
    <mergeCell ref="Y504:Z504"/>
    <mergeCell ref="AA504:AB504"/>
    <mergeCell ref="AC504:AD504"/>
    <mergeCell ref="AE504:AF504"/>
    <mergeCell ref="B505:D505"/>
    <mergeCell ref="E505:F505"/>
    <mergeCell ref="G505:H505"/>
    <mergeCell ref="I505:J505"/>
    <mergeCell ref="K505:L505"/>
    <mergeCell ref="M505:N505"/>
    <mergeCell ref="O505:P505"/>
    <mergeCell ref="Q505:R505"/>
    <mergeCell ref="S505:T505"/>
    <mergeCell ref="U505:V505"/>
    <mergeCell ref="W505:X505"/>
    <mergeCell ref="Y505:Z505"/>
    <mergeCell ref="AA505:AB505"/>
    <mergeCell ref="AC505:AD505"/>
    <mergeCell ref="AE505:AF505"/>
    <mergeCell ref="B502:D502"/>
    <mergeCell ref="E502:F502"/>
    <mergeCell ref="G502:H502"/>
    <mergeCell ref="I502:J502"/>
    <mergeCell ref="K502:L502"/>
    <mergeCell ref="M502:N502"/>
    <mergeCell ref="O502:P502"/>
    <mergeCell ref="Q502:R502"/>
    <mergeCell ref="S502:T502"/>
    <mergeCell ref="U502:V502"/>
    <mergeCell ref="W502:X502"/>
    <mergeCell ref="Y502:Z502"/>
    <mergeCell ref="AA502:AB502"/>
    <mergeCell ref="AC502:AD502"/>
    <mergeCell ref="AE502:AF502"/>
    <mergeCell ref="B503:D503"/>
    <mergeCell ref="E503:F503"/>
    <mergeCell ref="G503:H503"/>
    <mergeCell ref="I503:J503"/>
    <mergeCell ref="K503:L503"/>
    <mergeCell ref="M503:N503"/>
    <mergeCell ref="O503:P503"/>
    <mergeCell ref="Q503:R503"/>
    <mergeCell ref="S503:T503"/>
    <mergeCell ref="U503:V503"/>
    <mergeCell ref="W503:X503"/>
    <mergeCell ref="Y503:Z503"/>
    <mergeCell ref="AA503:AB503"/>
    <mergeCell ref="AC503:AD503"/>
    <mergeCell ref="AE503:AF503"/>
    <mergeCell ref="B500:D500"/>
    <mergeCell ref="E500:F500"/>
    <mergeCell ref="G500:H500"/>
    <mergeCell ref="I500:J500"/>
    <mergeCell ref="K500:L500"/>
    <mergeCell ref="M500:N500"/>
    <mergeCell ref="O500:P500"/>
    <mergeCell ref="Q500:R500"/>
    <mergeCell ref="S500:T500"/>
    <mergeCell ref="U500:V500"/>
    <mergeCell ref="W500:X500"/>
    <mergeCell ref="Y500:Z500"/>
    <mergeCell ref="AA500:AB500"/>
    <mergeCell ref="AC500:AD500"/>
    <mergeCell ref="AE500:AF500"/>
    <mergeCell ref="B501:D501"/>
    <mergeCell ref="E501:F501"/>
    <mergeCell ref="G501:H501"/>
    <mergeCell ref="I501:J501"/>
    <mergeCell ref="K501:L501"/>
    <mergeCell ref="M501:N501"/>
    <mergeCell ref="O501:P501"/>
    <mergeCell ref="Q501:R501"/>
    <mergeCell ref="S501:T501"/>
    <mergeCell ref="U501:V501"/>
    <mergeCell ref="W501:X501"/>
    <mergeCell ref="Y501:Z501"/>
    <mergeCell ref="AA501:AB501"/>
    <mergeCell ref="AC501:AD501"/>
    <mergeCell ref="AE501:AF501"/>
    <mergeCell ref="B498:D498"/>
    <mergeCell ref="E498:F498"/>
    <mergeCell ref="G498:H498"/>
    <mergeCell ref="I498:J498"/>
    <mergeCell ref="K498:L498"/>
    <mergeCell ref="M498:N498"/>
    <mergeCell ref="O498:P498"/>
    <mergeCell ref="Q498:R498"/>
    <mergeCell ref="S498:T498"/>
    <mergeCell ref="U498:V498"/>
    <mergeCell ref="W498:X498"/>
    <mergeCell ref="Y498:Z498"/>
    <mergeCell ref="AA498:AB498"/>
    <mergeCell ref="AC498:AD498"/>
    <mergeCell ref="AE498:AF498"/>
    <mergeCell ref="B499:D499"/>
    <mergeCell ref="E499:F499"/>
    <mergeCell ref="G499:H499"/>
    <mergeCell ref="I499:J499"/>
    <mergeCell ref="K499:L499"/>
    <mergeCell ref="M499:N499"/>
    <mergeCell ref="O499:P499"/>
    <mergeCell ref="Q499:R499"/>
    <mergeCell ref="S499:T499"/>
    <mergeCell ref="U499:V499"/>
    <mergeCell ref="W499:X499"/>
    <mergeCell ref="Y499:Z499"/>
    <mergeCell ref="AA499:AB499"/>
    <mergeCell ref="AC499:AD499"/>
    <mergeCell ref="AE499:AF499"/>
    <mergeCell ref="B496:D496"/>
    <mergeCell ref="E496:F496"/>
    <mergeCell ref="G496:H496"/>
    <mergeCell ref="I496:J496"/>
    <mergeCell ref="K496:L496"/>
    <mergeCell ref="M496:N496"/>
    <mergeCell ref="O496:P496"/>
    <mergeCell ref="Q496:R496"/>
    <mergeCell ref="S496:T496"/>
    <mergeCell ref="U496:V496"/>
    <mergeCell ref="W496:X496"/>
    <mergeCell ref="Y496:Z496"/>
    <mergeCell ref="AA496:AB496"/>
    <mergeCell ref="AC496:AD496"/>
    <mergeCell ref="AE496:AF496"/>
    <mergeCell ref="B497:D497"/>
    <mergeCell ref="E497:F497"/>
    <mergeCell ref="G497:H497"/>
    <mergeCell ref="I497:J497"/>
    <mergeCell ref="K497:L497"/>
    <mergeCell ref="M497:N497"/>
    <mergeCell ref="O497:P497"/>
    <mergeCell ref="Q497:R497"/>
    <mergeCell ref="S497:T497"/>
    <mergeCell ref="U497:V497"/>
    <mergeCell ref="W497:X497"/>
    <mergeCell ref="Y497:Z497"/>
    <mergeCell ref="AA497:AB497"/>
    <mergeCell ref="AC497:AD497"/>
    <mergeCell ref="AE497:AF497"/>
    <mergeCell ref="B494:D494"/>
    <mergeCell ref="E494:F494"/>
    <mergeCell ref="G494:H494"/>
    <mergeCell ref="I494:J494"/>
    <mergeCell ref="K494:L494"/>
    <mergeCell ref="M494:N494"/>
    <mergeCell ref="O494:P494"/>
    <mergeCell ref="Q494:R494"/>
    <mergeCell ref="S494:T494"/>
    <mergeCell ref="U494:V494"/>
    <mergeCell ref="W494:X494"/>
    <mergeCell ref="Y494:Z494"/>
    <mergeCell ref="AA494:AB494"/>
    <mergeCell ref="AC494:AD494"/>
    <mergeCell ref="AE494:AF494"/>
    <mergeCell ref="B495:D495"/>
    <mergeCell ref="E495:F495"/>
    <mergeCell ref="G495:H495"/>
    <mergeCell ref="I495:J495"/>
    <mergeCell ref="K495:L495"/>
    <mergeCell ref="M495:N495"/>
    <mergeCell ref="O495:P495"/>
    <mergeCell ref="Q495:R495"/>
    <mergeCell ref="S495:T495"/>
    <mergeCell ref="U495:V495"/>
    <mergeCell ref="W495:X495"/>
    <mergeCell ref="Y495:Z495"/>
    <mergeCell ref="AA495:AB495"/>
    <mergeCell ref="AC495:AD495"/>
    <mergeCell ref="AE495:AF495"/>
    <mergeCell ref="B492:D492"/>
    <mergeCell ref="E492:F492"/>
    <mergeCell ref="G492:H492"/>
    <mergeCell ref="I492:J492"/>
    <mergeCell ref="K492:L492"/>
    <mergeCell ref="M492:N492"/>
    <mergeCell ref="O492:P492"/>
    <mergeCell ref="Q492:R492"/>
    <mergeCell ref="S492:T492"/>
    <mergeCell ref="U492:V492"/>
    <mergeCell ref="W492:X492"/>
    <mergeCell ref="Y492:Z492"/>
    <mergeCell ref="AA492:AB492"/>
    <mergeCell ref="AC492:AD492"/>
    <mergeCell ref="AE492:AF492"/>
    <mergeCell ref="B493:D493"/>
    <mergeCell ref="E493:F493"/>
    <mergeCell ref="G493:H493"/>
    <mergeCell ref="I493:J493"/>
    <mergeCell ref="K493:L493"/>
    <mergeCell ref="M493:N493"/>
    <mergeCell ref="O493:P493"/>
    <mergeCell ref="Q493:R493"/>
    <mergeCell ref="S493:T493"/>
    <mergeCell ref="U493:V493"/>
    <mergeCell ref="W493:X493"/>
    <mergeCell ref="Y493:Z493"/>
    <mergeCell ref="AA493:AB493"/>
    <mergeCell ref="AC493:AD493"/>
    <mergeCell ref="AE493:AF493"/>
    <mergeCell ref="B490:D490"/>
    <mergeCell ref="E490:F490"/>
    <mergeCell ref="G490:H490"/>
    <mergeCell ref="I490:J490"/>
    <mergeCell ref="K490:L490"/>
    <mergeCell ref="M490:N490"/>
    <mergeCell ref="O490:P490"/>
    <mergeCell ref="Q490:R490"/>
    <mergeCell ref="S490:T490"/>
    <mergeCell ref="U490:V490"/>
    <mergeCell ref="W490:X490"/>
    <mergeCell ref="Y490:Z490"/>
    <mergeCell ref="AA490:AB490"/>
    <mergeCell ref="AC490:AD490"/>
    <mergeCell ref="AE490:AF490"/>
    <mergeCell ref="B491:D491"/>
    <mergeCell ref="E491:F491"/>
    <mergeCell ref="G491:H491"/>
    <mergeCell ref="I491:J491"/>
    <mergeCell ref="K491:L491"/>
    <mergeCell ref="M491:N491"/>
    <mergeCell ref="O491:P491"/>
    <mergeCell ref="Q491:R491"/>
    <mergeCell ref="S491:T491"/>
    <mergeCell ref="U491:V491"/>
    <mergeCell ref="W491:X491"/>
    <mergeCell ref="Y491:Z491"/>
    <mergeCell ref="AA491:AB491"/>
    <mergeCell ref="AC491:AD491"/>
    <mergeCell ref="AE491:AF491"/>
    <mergeCell ref="B488:D488"/>
    <mergeCell ref="E488:F488"/>
    <mergeCell ref="G488:H488"/>
    <mergeCell ref="I488:J488"/>
    <mergeCell ref="K488:L488"/>
    <mergeCell ref="M488:N488"/>
    <mergeCell ref="O488:P488"/>
    <mergeCell ref="Q488:R488"/>
    <mergeCell ref="S488:T488"/>
    <mergeCell ref="U488:V488"/>
    <mergeCell ref="W488:X488"/>
    <mergeCell ref="Y488:Z488"/>
    <mergeCell ref="AA488:AB488"/>
    <mergeCell ref="AC488:AD488"/>
    <mergeCell ref="AE488:AF488"/>
    <mergeCell ref="B489:D489"/>
    <mergeCell ref="E489:F489"/>
    <mergeCell ref="G489:H489"/>
    <mergeCell ref="I489:J489"/>
    <mergeCell ref="K489:L489"/>
    <mergeCell ref="M489:N489"/>
    <mergeCell ref="O489:P489"/>
    <mergeCell ref="Q489:R489"/>
    <mergeCell ref="S489:T489"/>
    <mergeCell ref="U489:V489"/>
    <mergeCell ref="W489:X489"/>
    <mergeCell ref="Y489:Z489"/>
    <mergeCell ref="AA489:AB489"/>
    <mergeCell ref="AC489:AD489"/>
    <mergeCell ref="AE489:AF489"/>
    <mergeCell ref="B486:D486"/>
    <mergeCell ref="E486:F486"/>
    <mergeCell ref="G486:H486"/>
    <mergeCell ref="I486:J486"/>
    <mergeCell ref="K486:L486"/>
    <mergeCell ref="M486:N486"/>
    <mergeCell ref="O486:P486"/>
    <mergeCell ref="Q486:R486"/>
    <mergeCell ref="S486:T486"/>
    <mergeCell ref="U486:V486"/>
    <mergeCell ref="W486:X486"/>
    <mergeCell ref="Y486:Z486"/>
    <mergeCell ref="AA486:AB486"/>
    <mergeCell ref="AC486:AD486"/>
    <mergeCell ref="AE486:AF486"/>
    <mergeCell ref="B487:D487"/>
    <mergeCell ref="E487:F487"/>
    <mergeCell ref="G487:H487"/>
    <mergeCell ref="I487:J487"/>
    <mergeCell ref="K487:L487"/>
    <mergeCell ref="M487:N487"/>
    <mergeCell ref="O487:P487"/>
    <mergeCell ref="Q487:R487"/>
    <mergeCell ref="S487:T487"/>
    <mergeCell ref="U487:V487"/>
    <mergeCell ref="W487:X487"/>
    <mergeCell ref="Y487:Z487"/>
    <mergeCell ref="AA487:AB487"/>
    <mergeCell ref="AC487:AD487"/>
    <mergeCell ref="AE487:AF487"/>
    <mergeCell ref="B484:D484"/>
    <mergeCell ref="E484:F484"/>
    <mergeCell ref="G484:H484"/>
    <mergeCell ref="I484:J484"/>
    <mergeCell ref="K484:L484"/>
    <mergeCell ref="M484:N484"/>
    <mergeCell ref="O484:P484"/>
    <mergeCell ref="Q484:R484"/>
    <mergeCell ref="S484:T484"/>
    <mergeCell ref="U484:V484"/>
    <mergeCell ref="W484:X484"/>
    <mergeCell ref="Y484:Z484"/>
    <mergeCell ref="AA484:AB484"/>
    <mergeCell ref="AC484:AD484"/>
    <mergeCell ref="AE484:AF484"/>
    <mergeCell ref="B485:D485"/>
    <mergeCell ref="E485:F485"/>
    <mergeCell ref="G485:H485"/>
    <mergeCell ref="I485:J485"/>
    <mergeCell ref="K485:L485"/>
    <mergeCell ref="M485:N485"/>
    <mergeCell ref="O485:P485"/>
    <mergeCell ref="Q485:R485"/>
    <mergeCell ref="S485:T485"/>
    <mergeCell ref="U485:V485"/>
    <mergeCell ref="W485:X485"/>
    <mergeCell ref="Y485:Z485"/>
    <mergeCell ref="AA485:AB485"/>
    <mergeCell ref="AC485:AD485"/>
    <mergeCell ref="AE485:AF485"/>
    <mergeCell ref="B482:D482"/>
    <mergeCell ref="E482:F482"/>
    <mergeCell ref="G482:H482"/>
    <mergeCell ref="I482:J482"/>
    <mergeCell ref="K482:L482"/>
    <mergeCell ref="M482:N482"/>
    <mergeCell ref="O482:P482"/>
    <mergeCell ref="Q482:R482"/>
    <mergeCell ref="S482:T482"/>
    <mergeCell ref="U482:V482"/>
    <mergeCell ref="W482:X482"/>
    <mergeCell ref="Y482:Z482"/>
    <mergeCell ref="AA482:AB482"/>
    <mergeCell ref="AC482:AD482"/>
    <mergeCell ref="AE482:AF482"/>
    <mergeCell ref="B483:D483"/>
    <mergeCell ref="E483:F483"/>
    <mergeCell ref="G483:H483"/>
    <mergeCell ref="I483:J483"/>
    <mergeCell ref="K483:L483"/>
    <mergeCell ref="M483:N483"/>
    <mergeCell ref="O483:P483"/>
    <mergeCell ref="Q483:R483"/>
    <mergeCell ref="S483:T483"/>
    <mergeCell ref="U483:V483"/>
    <mergeCell ref="W483:X483"/>
    <mergeCell ref="Y483:Z483"/>
    <mergeCell ref="AA483:AB483"/>
    <mergeCell ref="AC483:AD483"/>
    <mergeCell ref="AE483:AF483"/>
    <mergeCell ref="B480:D480"/>
    <mergeCell ref="E480:F480"/>
    <mergeCell ref="G480:H480"/>
    <mergeCell ref="I480:J480"/>
    <mergeCell ref="K480:L480"/>
    <mergeCell ref="M480:N480"/>
    <mergeCell ref="O480:P480"/>
    <mergeCell ref="Q480:R480"/>
    <mergeCell ref="S480:T480"/>
    <mergeCell ref="U480:V480"/>
    <mergeCell ref="W480:X480"/>
    <mergeCell ref="Y480:Z480"/>
    <mergeCell ref="AA480:AB480"/>
    <mergeCell ref="AC480:AD480"/>
    <mergeCell ref="AE480:AF480"/>
    <mergeCell ref="B481:D481"/>
    <mergeCell ref="E481:F481"/>
    <mergeCell ref="G481:H481"/>
    <mergeCell ref="I481:J481"/>
    <mergeCell ref="K481:L481"/>
    <mergeCell ref="M481:N481"/>
    <mergeCell ref="O481:P481"/>
    <mergeCell ref="Q481:R481"/>
    <mergeCell ref="S481:T481"/>
    <mergeCell ref="U481:V481"/>
    <mergeCell ref="W481:X481"/>
    <mergeCell ref="Y481:Z481"/>
    <mergeCell ref="AA481:AB481"/>
    <mergeCell ref="AC481:AD481"/>
    <mergeCell ref="AE481:AF481"/>
    <mergeCell ref="B478:D478"/>
    <mergeCell ref="E478:F478"/>
    <mergeCell ref="G478:H478"/>
    <mergeCell ref="I478:J478"/>
    <mergeCell ref="K478:L478"/>
    <mergeCell ref="M478:N478"/>
    <mergeCell ref="O478:P478"/>
    <mergeCell ref="Q478:R478"/>
    <mergeCell ref="S478:T478"/>
    <mergeCell ref="U478:V478"/>
    <mergeCell ref="W478:X478"/>
    <mergeCell ref="Y478:Z478"/>
    <mergeCell ref="AA478:AB478"/>
    <mergeCell ref="AC478:AD478"/>
    <mergeCell ref="AE478:AF478"/>
    <mergeCell ref="B479:D479"/>
    <mergeCell ref="E479:F479"/>
    <mergeCell ref="G479:H479"/>
    <mergeCell ref="I479:J479"/>
    <mergeCell ref="K479:L479"/>
    <mergeCell ref="M479:N479"/>
    <mergeCell ref="O479:P479"/>
    <mergeCell ref="Q479:R479"/>
    <mergeCell ref="S479:T479"/>
    <mergeCell ref="U479:V479"/>
    <mergeCell ref="W479:X479"/>
    <mergeCell ref="Y479:Z479"/>
    <mergeCell ref="AA479:AB479"/>
    <mergeCell ref="AC479:AD479"/>
    <mergeCell ref="AE479:AF479"/>
    <mergeCell ref="B476:D476"/>
    <mergeCell ref="E476:F476"/>
    <mergeCell ref="G476:H476"/>
    <mergeCell ref="I476:J476"/>
    <mergeCell ref="K476:L476"/>
    <mergeCell ref="M476:N476"/>
    <mergeCell ref="O476:P476"/>
    <mergeCell ref="Q476:R476"/>
    <mergeCell ref="S476:T476"/>
    <mergeCell ref="U476:V476"/>
    <mergeCell ref="W476:X476"/>
    <mergeCell ref="Y476:Z476"/>
    <mergeCell ref="AA476:AB476"/>
    <mergeCell ref="AC476:AD476"/>
    <mergeCell ref="AE476:AF476"/>
    <mergeCell ref="B477:D477"/>
    <mergeCell ref="E477:F477"/>
    <mergeCell ref="G477:H477"/>
    <mergeCell ref="I477:J477"/>
    <mergeCell ref="K477:L477"/>
    <mergeCell ref="M477:N477"/>
    <mergeCell ref="O477:P477"/>
    <mergeCell ref="Q477:R477"/>
    <mergeCell ref="S477:T477"/>
    <mergeCell ref="U477:V477"/>
    <mergeCell ref="W477:X477"/>
    <mergeCell ref="Y477:Z477"/>
    <mergeCell ref="AA477:AB477"/>
    <mergeCell ref="AC477:AD477"/>
    <mergeCell ref="AE477:AF477"/>
    <mergeCell ref="B474:D474"/>
    <mergeCell ref="E474:F474"/>
    <mergeCell ref="G474:H474"/>
    <mergeCell ref="I474:J474"/>
    <mergeCell ref="K474:L474"/>
    <mergeCell ref="M474:N474"/>
    <mergeCell ref="O474:P474"/>
    <mergeCell ref="Q474:R474"/>
    <mergeCell ref="S474:T474"/>
    <mergeCell ref="U474:V474"/>
    <mergeCell ref="W474:X474"/>
    <mergeCell ref="Y474:Z474"/>
    <mergeCell ref="AA474:AB474"/>
    <mergeCell ref="AC474:AD474"/>
    <mergeCell ref="AE474:AF474"/>
    <mergeCell ref="B475:D475"/>
    <mergeCell ref="E475:F475"/>
    <mergeCell ref="G475:H475"/>
    <mergeCell ref="I475:J475"/>
    <mergeCell ref="K475:L475"/>
    <mergeCell ref="M475:N475"/>
    <mergeCell ref="O475:P475"/>
    <mergeCell ref="Q475:R475"/>
    <mergeCell ref="S475:T475"/>
    <mergeCell ref="U475:V475"/>
    <mergeCell ref="W475:X475"/>
    <mergeCell ref="Y475:Z475"/>
    <mergeCell ref="AA475:AB475"/>
    <mergeCell ref="AC475:AD475"/>
    <mergeCell ref="AE475:AF475"/>
    <mergeCell ref="GE347:GF347"/>
    <mergeCell ref="FY343:FZ343"/>
    <mergeCell ref="FY345:FZ345"/>
    <mergeCell ref="FY347:FZ347"/>
    <mergeCell ref="FV347:FW347"/>
    <mergeCell ref="FG347:FH347"/>
    <mergeCell ref="FM345:FN345"/>
    <mergeCell ref="B473:D473"/>
    <mergeCell ref="E473:F473"/>
    <mergeCell ref="G473:H473"/>
    <mergeCell ref="I473:J473"/>
    <mergeCell ref="K473:L473"/>
    <mergeCell ref="M473:N473"/>
    <mergeCell ref="O473:P473"/>
    <mergeCell ref="Q473:R473"/>
    <mergeCell ref="S473:T473"/>
    <mergeCell ref="U473:V473"/>
    <mergeCell ref="W473:X473"/>
    <mergeCell ref="Y473:Z473"/>
    <mergeCell ref="AA473:AB473"/>
    <mergeCell ref="AC473:AD473"/>
    <mergeCell ref="AE473:AF473"/>
    <mergeCell ref="E472:F472"/>
    <mergeCell ref="G472:H472"/>
    <mergeCell ref="I472:J472"/>
    <mergeCell ref="K472:L472"/>
    <mergeCell ref="FS347:FT347"/>
    <mergeCell ref="FJ347:FK347"/>
    <mergeCell ref="CS345:CT345"/>
    <mergeCell ref="BC345:BD345"/>
    <mergeCell ref="T345:W345"/>
    <mergeCell ref="T347:W347"/>
    <mergeCell ref="GQ326:GS326"/>
    <mergeCell ref="GQ328:GS328"/>
    <mergeCell ref="GQ329:GS329"/>
    <mergeCell ref="GQ331:GS331"/>
    <mergeCell ref="GQ332:GS332"/>
    <mergeCell ref="GQ334:GS334"/>
    <mergeCell ref="GQ335:GS335"/>
    <mergeCell ref="GQ337:GS337"/>
    <mergeCell ref="GQ338:GS338"/>
    <mergeCell ref="GQ341:GR341"/>
    <mergeCell ref="GN338:GP338"/>
    <mergeCell ref="GN341:GO341"/>
    <mergeCell ref="GH341:GI341"/>
    <mergeCell ref="B471:D471"/>
    <mergeCell ref="M471:N471"/>
    <mergeCell ref="O471:P471"/>
    <mergeCell ref="Q471:R471"/>
    <mergeCell ref="S471:T471"/>
    <mergeCell ref="U471:V471"/>
    <mergeCell ref="W471:X471"/>
    <mergeCell ref="Y471:Z471"/>
    <mergeCell ref="AA471:AB471"/>
    <mergeCell ref="AC471:AD471"/>
    <mergeCell ref="AE471:AF471"/>
    <mergeCell ref="E471:L471"/>
    <mergeCell ref="AE343:AF343"/>
    <mergeCell ref="AK345:AL345"/>
    <mergeCell ref="A469:L469"/>
    <mergeCell ref="DN343:DO343"/>
    <mergeCell ref="BL341:BM341"/>
    <mergeCell ref="BO341:BP341"/>
    <mergeCell ref="T469:U469"/>
    <mergeCell ref="GH345:GI345"/>
    <mergeCell ref="GH347:GI347"/>
    <mergeCell ref="GQ343:GR343"/>
    <mergeCell ref="GQ345:GR345"/>
    <mergeCell ref="GQ347:GR347"/>
    <mergeCell ref="GK322:GM324"/>
    <mergeCell ref="GK325:GM325"/>
    <mergeCell ref="GK326:GM326"/>
    <mergeCell ref="GK328:GM328"/>
    <mergeCell ref="GK329:GM329"/>
    <mergeCell ref="GK331:GM331"/>
    <mergeCell ref="GK332:GM332"/>
    <mergeCell ref="GK334:GM334"/>
    <mergeCell ref="GK335:GM335"/>
    <mergeCell ref="GK337:GM337"/>
    <mergeCell ref="GK338:GM338"/>
    <mergeCell ref="GK341:GL341"/>
    <mergeCell ref="GK343:GL343"/>
    <mergeCell ref="GK345:GL345"/>
    <mergeCell ref="GK347:GL347"/>
    <mergeCell ref="GN322:GP324"/>
    <mergeCell ref="GN325:GP325"/>
    <mergeCell ref="GN326:GP326"/>
    <mergeCell ref="GN328:GP328"/>
    <mergeCell ref="GN329:GP329"/>
    <mergeCell ref="GN331:GP331"/>
    <mergeCell ref="GN332:GP332"/>
    <mergeCell ref="GN334:GP334"/>
    <mergeCell ref="GN335:GP335"/>
    <mergeCell ref="GN337:GP337"/>
    <mergeCell ref="GQ322:GS324"/>
    <mergeCell ref="GQ325:GS325"/>
    <mergeCell ref="GB345:GC345"/>
    <mergeCell ref="GB347:GC347"/>
    <mergeCell ref="GB343:GC343"/>
    <mergeCell ref="GN343:GO343"/>
    <mergeCell ref="GN345:GO345"/>
    <mergeCell ref="GN347:GO347"/>
    <mergeCell ref="GE322:GG324"/>
    <mergeCell ref="GE325:GG325"/>
    <mergeCell ref="GE326:GG326"/>
    <mergeCell ref="GE328:GG328"/>
    <mergeCell ref="GE329:GG329"/>
    <mergeCell ref="GE331:GG331"/>
    <mergeCell ref="GE332:GG332"/>
    <mergeCell ref="GE334:GG334"/>
    <mergeCell ref="GE335:GG335"/>
    <mergeCell ref="GE337:GG337"/>
    <mergeCell ref="GE338:GG338"/>
    <mergeCell ref="GE341:GF341"/>
    <mergeCell ref="GE343:GF343"/>
    <mergeCell ref="GE345:GF345"/>
    <mergeCell ref="GH322:GJ324"/>
    <mergeCell ref="GH325:GJ325"/>
    <mergeCell ref="GH326:GJ326"/>
    <mergeCell ref="GH328:GJ328"/>
    <mergeCell ref="GH329:GJ329"/>
    <mergeCell ref="GH331:GJ331"/>
    <mergeCell ref="GH332:GJ332"/>
    <mergeCell ref="GH334:GJ334"/>
    <mergeCell ref="GH335:GJ335"/>
    <mergeCell ref="GH337:GJ337"/>
    <mergeCell ref="GH338:GJ338"/>
    <mergeCell ref="GH343:GI343"/>
    <mergeCell ref="FV332:FX332"/>
    <mergeCell ref="FV334:FX334"/>
    <mergeCell ref="FV335:FX335"/>
    <mergeCell ref="FV337:FX337"/>
    <mergeCell ref="FV338:FX338"/>
    <mergeCell ref="FV341:FW341"/>
    <mergeCell ref="FV343:FW343"/>
    <mergeCell ref="GB322:GD324"/>
    <mergeCell ref="GB325:GD325"/>
    <mergeCell ref="GB326:GD326"/>
    <mergeCell ref="GB328:GD328"/>
    <mergeCell ref="GB329:GD329"/>
    <mergeCell ref="GB331:GD331"/>
    <mergeCell ref="GB332:GD332"/>
    <mergeCell ref="GB334:GD334"/>
    <mergeCell ref="GB335:GD335"/>
    <mergeCell ref="GB337:GD337"/>
    <mergeCell ref="GB338:GD338"/>
    <mergeCell ref="GB341:GC341"/>
    <mergeCell ref="FM347:FN347"/>
    <mergeCell ref="FM329:FO329"/>
    <mergeCell ref="FP347:FQ347"/>
    <mergeCell ref="FM332:FO332"/>
    <mergeCell ref="FM334:FO334"/>
    <mergeCell ref="FM335:FO335"/>
    <mergeCell ref="FM337:FO337"/>
    <mergeCell ref="FP345:FQ345"/>
    <mergeCell ref="FM338:FO338"/>
    <mergeCell ref="FM341:FN341"/>
    <mergeCell ref="FM343:FN343"/>
    <mergeCell ref="FJ322:FL324"/>
    <mergeCell ref="FP329:FR329"/>
    <mergeCell ref="FY322:GA324"/>
    <mergeCell ref="FY325:GA325"/>
    <mergeCell ref="FY326:GA326"/>
    <mergeCell ref="FY328:GA328"/>
    <mergeCell ref="FY329:GA329"/>
    <mergeCell ref="FY331:GA331"/>
    <mergeCell ref="FY332:GA332"/>
    <mergeCell ref="FY334:GA334"/>
    <mergeCell ref="FY335:GA335"/>
    <mergeCell ref="FY337:GA337"/>
    <mergeCell ref="FY338:GA338"/>
    <mergeCell ref="FY341:FZ341"/>
    <mergeCell ref="FV322:FX324"/>
    <mergeCell ref="FV325:FX325"/>
    <mergeCell ref="FV326:FX326"/>
    <mergeCell ref="FV328:FX328"/>
    <mergeCell ref="FV345:FW345"/>
    <mergeCell ref="FV329:FX329"/>
    <mergeCell ref="FV331:FX331"/>
    <mergeCell ref="FS329:FU329"/>
    <mergeCell ref="EU337:EW337"/>
    <mergeCell ref="ER335:ET335"/>
    <mergeCell ref="DB337:DD337"/>
    <mergeCell ref="FG337:FI337"/>
    <mergeCell ref="FG338:FI338"/>
    <mergeCell ref="DQ338:DS338"/>
    <mergeCell ref="FM322:FO324"/>
    <mergeCell ref="FM325:FO325"/>
    <mergeCell ref="FM326:FO326"/>
    <mergeCell ref="FM328:FO328"/>
    <mergeCell ref="FJ325:FL325"/>
    <mergeCell ref="FJ326:FL326"/>
    <mergeCell ref="FJ328:FL328"/>
    <mergeCell ref="FJ329:FL329"/>
    <mergeCell ref="FJ331:FL331"/>
    <mergeCell ref="FP322:FR324"/>
    <mergeCell ref="FP325:FR325"/>
    <mergeCell ref="FP326:FR326"/>
    <mergeCell ref="FP328:FR328"/>
    <mergeCell ref="FS328:FU328"/>
    <mergeCell ref="FS322:FU324"/>
    <mergeCell ref="FS325:FU325"/>
    <mergeCell ref="FS326:FU326"/>
    <mergeCell ref="FP332:FR332"/>
    <mergeCell ref="FP334:FR334"/>
    <mergeCell ref="FS331:FU331"/>
    <mergeCell ref="FS332:FU332"/>
    <mergeCell ref="FS334:FU334"/>
    <mergeCell ref="FS335:FU335"/>
    <mergeCell ref="FS337:FU337"/>
    <mergeCell ref="FS338:FU338"/>
    <mergeCell ref="FS341:FT341"/>
    <mergeCell ref="FS343:FT343"/>
    <mergeCell ref="FS345:FT345"/>
    <mergeCell ref="FJ335:FL335"/>
    <mergeCell ref="FJ337:FL337"/>
    <mergeCell ref="FJ338:FL338"/>
    <mergeCell ref="FJ345:FK345"/>
    <mergeCell ref="FP335:FR335"/>
    <mergeCell ref="FP337:FR337"/>
    <mergeCell ref="FJ343:FK343"/>
    <mergeCell ref="FP338:FR338"/>
    <mergeCell ref="FP341:FQ341"/>
    <mergeCell ref="FP343:FQ343"/>
    <mergeCell ref="FP331:FR331"/>
    <mergeCell ref="FM331:FO331"/>
    <mergeCell ref="CS334:CU334"/>
    <mergeCell ref="FG341:FH341"/>
    <mergeCell ref="FG343:FH343"/>
    <mergeCell ref="DT337:DV337"/>
    <mergeCell ref="EX334:EZ334"/>
    <mergeCell ref="FA331:FC331"/>
    <mergeCell ref="DE334:DG334"/>
    <mergeCell ref="DE332:DG332"/>
    <mergeCell ref="FJ341:FK341"/>
    <mergeCell ref="DQ334:DS334"/>
    <mergeCell ref="DN337:DP337"/>
    <mergeCell ref="DN331:DP331"/>
    <mergeCell ref="DH331:DJ331"/>
    <mergeCell ref="DN334:DP334"/>
    <mergeCell ref="DK338:DM338"/>
    <mergeCell ref="FA345:FB345"/>
    <mergeCell ref="DW341:DX341"/>
    <mergeCell ref="FG328:FI328"/>
    <mergeCell ref="FG329:FI329"/>
    <mergeCell ref="FG331:FI331"/>
    <mergeCell ref="FG332:FI332"/>
    <mergeCell ref="FG334:FI334"/>
    <mergeCell ref="FG335:FI335"/>
    <mergeCell ref="FG345:FH345"/>
    <mergeCell ref="FJ332:FL332"/>
    <mergeCell ref="FJ334:FL334"/>
    <mergeCell ref="FD331:FF331"/>
    <mergeCell ref="CP332:CR332"/>
    <mergeCell ref="CM331:CO331"/>
    <mergeCell ref="CJ332:CL332"/>
    <mergeCell ref="CS332:CU332"/>
    <mergeCell ref="EO329:EQ329"/>
    <mergeCell ref="CM345:CN345"/>
    <mergeCell ref="CP343:CQ343"/>
    <mergeCell ref="DE337:DG337"/>
    <mergeCell ref="DE331:DG331"/>
    <mergeCell ref="DE329:DG329"/>
    <mergeCell ref="CP331:CR331"/>
    <mergeCell ref="CS338:CU338"/>
    <mergeCell ref="CP338:CR338"/>
    <mergeCell ref="CJ341:CK341"/>
    <mergeCell ref="CS343:CT343"/>
    <mergeCell ref="CP345:CQ345"/>
    <mergeCell ref="DK332:DM332"/>
    <mergeCell ref="CV332:CX332"/>
    <mergeCell ref="CP334:CR334"/>
    <mergeCell ref="CP341:CQ341"/>
    <mergeCell ref="CM341:CN341"/>
    <mergeCell ref="EU332:EW332"/>
    <mergeCell ref="FA329:FC329"/>
    <mergeCell ref="FD329:FF329"/>
    <mergeCell ref="FD326:FF326"/>
    <mergeCell ref="EU326:EW326"/>
    <mergeCell ref="FD322:FF324"/>
    <mergeCell ref="FA325:FC325"/>
    <mergeCell ref="DT328:DV328"/>
    <mergeCell ref="DT329:DV329"/>
    <mergeCell ref="EL332:EN332"/>
    <mergeCell ref="EL335:EN335"/>
    <mergeCell ref="EO326:EQ326"/>
    <mergeCell ref="ER326:ET326"/>
    <mergeCell ref="EX329:EZ329"/>
    <mergeCell ref="EO322:EQ324"/>
    <mergeCell ref="ER322:ET324"/>
    <mergeCell ref="EU322:EW324"/>
    <mergeCell ref="EI322:EK324"/>
    <mergeCell ref="EL322:EN324"/>
    <mergeCell ref="DT335:DV335"/>
    <mergeCell ref="EI332:EK332"/>
    <mergeCell ref="DZ328:EB328"/>
    <mergeCell ref="FA328:FC328"/>
    <mergeCell ref="FD328:FF328"/>
    <mergeCell ref="EL331:EN331"/>
    <mergeCell ref="FG325:FI325"/>
    <mergeCell ref="FG326:FI326"/>
    <mergeCell ref="EC325:EE325"/>
    <mergeCell ref="EF325:EH325"/>
    <mergeCell ref="EF326:EH326"/>
    <mergeCell ref="EC329:EE329"/>
    <mergeCell ref="DZ335:EB335"/>
    <mergeCell ref="DQ326:DS326"/>
    <mergeCell ref="DW331:DY331"/>
    <mergeCell ref="DW326:DY326"/>
    <mergeCell ref="FG322:FI324"/>
    <mergeCell ref="FA326:FC326"/>
    <mergeCell ref="EX326:EZ326"/>
    <mergeCell ref="EF322:EH324"/>
    <mergeCell ref="EF331:EH331"/>
    <mergeCell ref="EU338:EW338"/>
    <mergeCell ref="DT338:DV338"/>
    <mergeCell ref="DZ325:EB325"/>
    <mergeCell ref="DT331:DV331"/>
    <mergeCell ref="DW329:DY329"/>
    <mergeCell ref="DZ322:EB324"/>
    <mergeCell ref="DT325:DV325"/>
    <mergeCell ref="DQ325:DS325"/>
    <mergeCell ref="EF328:EH328"/>
    <mergeCell ref="EI331:EK331"/>
    <mergeCell ref="EI326:EK326"/>
    <mergeCell ref="EL326:EN326"/>
    <mergeCell ref="EI337:EK337"/>
    <mergeCell ref="EO334:EQ334"/>
    <mergeCell ref="EI335:EK335"/>
    <mergeCell ref="FD325:FF325"/>
    <mergeCell ref="FA322:FC324"/>
    <mergeCell ref="EF329:EH329"/>
    <mergeCell ref="EC326:EE326"/>
    <mergeCell ref="DZ331:EB331"/>
    <mergeCell ref="DW332:DY332"/>
    <mergeCell ref="FA332:FC332"/>
    <mergeCell ref="ER337:ET337"/>
    <mergeCell ref="AE325:AG325"/>
    <mergeCell ref="AB337:AD337"/>
    <mergeCell ref="DH322:DJ324"/>
    <mergeCell ref="DZ334:EB334"/>
    <mergeCell ref="DK331:DM331"/>
    <mergeCell ref="BC335:BE335"/>
    <mergeCell ref="AT335:AV335"/>
    <mergeCell ref="AQ337:AS337"/>
    <mergeCell ref="DN332:DP332"/>
    <mergeCell ref="DW334:DY334"/>
    <mergeCell ref="DT334:DV334"/>
    <mergeCell ref="DN322:DP324"/>
    <mergeCell ref="DQ332:DS332"/>
    <mergeCell ref="ER325:ET325"/>
    <mergeCell ref="EX322:EZ324"/>
    <mergeCell ref="AH322:AJ324"/>
    <mergeCell ref="AK322:AM324"/>
    <mergeCell ref="DK337:DM337"/>
    <mergeCell ref="DK329:DM329"/>
    <mergeCell ref="DK326:DM326"/>
    <mergeCell ref="EU325:EW325"/>
    <mergeCell ref="DQ322:DS324"/>
    <mergeCell ref="FA334:FC334"/>
    <mergeCell ref="EX325:EZ325"/>
    <mergeCell ref="EU328:EW328"/>
    <mergeCell ref="EO337:EQ337"/>
    <mergeCell ref="BH457:BI457"/>
    <mergeCell ref="BJ454:BK454"/>
    <mergeCell ref="AG458:AH458"/>
    <mergeCell ref="AI458:AJ458"/>
    <mergeCell ref="BP460:CB461"/>
    <mergeCell ref="BC460:BO461"/>
    <mergeCell ref="BC458:BI458"/>
    <mergeCell ref="BD452:BF452"/>
    <mergeCell ref="BJ458:BL458"/>
    <mergeCell ref="AB351:AD351"/>
    <mergeCell ref="AB348:AD348"/>
    <mergeCell ref="AB325:AD325"/>
    <mergeCell ref="AB329:AD329"/>
    <mergeCell ref="AF426:AI426"/>
    <mergeCell ref="AK329:AM329"/>
    <mergeCell ref="AT427:AU427"/>
    <mergeCell ref="AV427:AW427"/>
    <mergeCell ref="AH347:AI347"/>
    <mergeCell ref="AQ329:AS329"/>
    <mergeCell ref="AW329:AY329"/>
    <mergeCell ref="AB428:AE428"/>
    <mergeCell ref="AH428:AI428"/>
    <mergeCell ref="BU341:BV341"/>
    <mergeCell ref="AZ343:BA343"/>
    <mergeCell ref="AE347:AF347"/>
    <mergeCell ref="AV458:AW458"/>
    <mergeCell ref="AK458:AL458"/>
    <mergeCell ref="AW334:AY334"/>
    <mergeCell ref="AK337:AM337"/>
    <mergeCell ref="AZ337:BB337"/>
    <mergeCell ref="BC337:BE337"/>
    <mergeCell ref="BI334:BK334"/>
    <mergeCell ref="T337:W337"/>
    <mergeCell ref="AH328:AJ328"/>
    <mergeCell ref="AE322:AG324"/>
    <mergeCell ref="T339:W340"/>
    <mergeCell ref="T343:W343"/>
    <mergeCell ref="AQ343:AR343"/>
    <mergeCell ref="AF230:AG230"/>
    <mergeCell ref="AF231:AG231"/>
    <mergeCell ref="AB463:BG464"/>
    <mergeCell ref="BC456:BI456"/>
    <mergeCell ref="AH325:AJ325"/>
    <mergeCell ref="AX429:AY429"/>
    <mergeCell ref="AX430:AY430"/>
    <mergeCell ref="AB460:AN461"/>
    <mergeCell ref="AO460:BA461"/>
    <mergeCell ref="T341:W341"/>
    <mergeCell ref="W460:AA461"/>
    <mergeCell ref="T334:W334"/>
    <mergeCell ref="AT338:AV338"/>
    <mergeCell ref="AT294:AU294"/>
    <mergeCell ref="AE332:AG332"/>
    <mergeCell ref="BC320:BD320"/>
    <mergeCell ref="AW319:AX319"/>
    <mergeCell ref="AS320:AT320"/>
    <mergeCell ref="AW320:AX320"/>
    <mergeCell ref="AK325:AM325"/>
    <mergeCell ref="AW338:AY338"/>
    <mergeCell ref="AW335:AY335"/>
    <mergeCell ref="AQ335:AS335"/>
    <mergeCell ref="AT334:AV334"/>
    <mergeCell ref="AB334:AD334"/>
    <mergeCell ref="AT345:AU345"/>
    <mergeCell ref="AM301:AN301"/>
    <mergeCell ref="AM305:AN305"/>
    <mergeCell ref="AK301:AL301"/>
    <mergeCell ref="AM307:AN307"/>
    <mergeCell ref="AB294:AE296"/>
    <mergeCell ref="AN332:AP332"/>
    <mergeCell ref="AF221:AG221"/>
    <mergeCell ref="AM228:AN228"/>
    <mergeCell ref="AO223:AQ223"/>
    <mergeCell ref="AM229:AN229"/>
    <mergeCell ref="AC216:AE217"/>
    <mergeCell ref="AH229:AI229"/>
    <mergeCell ref="AF220:AG220"/>
    <mergeCell ref="AO220:AQ220"/>
    <mergeCell ref="AO224:AQ224"/>
    <mergeCell ref="AF229:AG229"/>
    <mergeCell ref="AM227:AN227"/>
    <mergeCell ref="AH228:AI228"/>
    <mergeCell ref="AF227:AG227"/>
    <mergeCell ref="AO227:AQ227"/>
    <mergeCell ref="AO228:AQ228"/>
    <mergeCell ref="AB332:AD332"/>
    <mergeCell ref="AC225:AE225"/>
    <mergeCell ref="AC226:AE226"/>
    <mergeCell ref="AH223:AI223"/>
    <mergeCell ref="AH218:AI218"/>
    <mergeCell ref="AG320:AH320"/>
    <mergeCell ref="AB331:AD331"/>
    <mergeCell ref="AM224:AN224"/>
    <mergeCell ref="AE326:AG326"/>
    <mergeCell ref="AC223:AE223"/>
    <mergeCell ref="AJ78:AK78"/>
    <mergeCell ref="AC221:AE221"/>
    <mergeCell ref="AJ226:AL226"/>
    <mergeCell ref="AH71:AI71"/>
    <mergeCell ref="K48:S48"/>
    <mergeCell ref="AH66:AS66"/>
    <mergeCell ref="U79:Z79"/>
    <mergeCell ref="V75:Y75"/>
    <mergeCell ref="AF218:AG218"/>
    <mergeCell ref="AO225:AQ225"/>
    <mergeCell ref="AM226:AN226"/>
    <mergeCell ref="AM225:AN225"/>
    <mergeCell ref="AR219:AS219"/>
    <mergeCell ref="AC31:AD31"/>
    <mergeCell ref="V217:Y217"/>
    <mergeCell ref="AC219:AE219"/>
    <mergeCell ref="AR80:AS80"/>
    <mergeCell ref="AD77:AE77"/>
    <mergeCell ref="AJ77:AK77"/>
    <mergeCell ref="AH74:AI74"/>
    <mergeCell ref="AR73:AS73"/>
    <mergeCell ref="AF79:AG79"/>
    <mergeCell ref="U77:Z77"/>
    <mergeCell ref="T53:AC53"/>
    <mergeCell ref="U1:X1"/>
    <mergeCell ref="Q1:T1"/>
    <mergeCell ref="V78:Y78"/>
    <mergeCell ref="AC220:AE220"/>
    <mergeCell ref="AD80:AE80"/>
    <mergeCell ref="AP77:AQ77"/>
    <mergeCell ref="T47:AC47"/>
    <mergeCell ref="AP72:AQ72"/>
    <mergeCell ref="AI52:BC53"/>
    <mergeCell ref="T45:AC45"/>
    <mergeCell ref="AH75:AI75"/>
    <mergeCell ref="AH77:AI77"/>
    <mergeCell ref="AD78:AE78"/>
    <mergeCell ref="AX71:AY71"/>
    <mergeCell ref="AJ69:AK69"/>
    <mergeCell ref="AP76:AQ76"/>
    <mergeCell ref="AV79:AW79"/>
    <mergeCell ref="AJ72:AK72"/>
    <mergeCell ref="K45:S45"/>
    <mergeCell ref="AC28:AH29"/>
    <mergeCell ref="AC37:AD37"/>
    <mergeCell ref="AM217:AN217"/>
    <mergeCell ref="AI54:AN54"/>
    <mergeCell ref="AH70:AI70"/>
    <mergeCell ref="T60:AC60"/>
    <mergeCell ref="AH67:AI67"/>
    <mergeCell ref="V2:W2"/>
    <mergeCell ref="Z2:AA2"/>
    <mergeCell ref="K59:S59"/>
    <mergeCell ref="K54:S54"/>
    <mergeCell ref="AI4:AJ4"/>
    <mergeCell ref="L2:N2"/>
    <mergeCell ref="AX76:AY76"/>
    <mergeCell ref="AR77:AS77"/>
    <mergeCell ref="AX79:AY79"/>
    <mergeCell ref="AV71:AW71"/>
    <mergeCell ref="AD66:AG67"/>
    <mergeCell ref="AL78:AM78"/>
    <mergeCell ref="AL75:AM75"/>
    <mergeCell ref="AH69:AI69"/>
    <mergeCell ref="AS54:AX54"/>
    <mergeCell ref="AH73:AI73"/>
    <mergeCell ref="AL74:AM74"/>
    <mergeCell ref="AY54:BA54"/>
    <mergeCell ref="AX67:AY67"/>
    <mergeCell ref="AX68:AY68"/>
    <mergeCell ref="AX69:AY69"/>
    <mergeCell ref="AR68:AS68"/>
    <mergeCell ref="AH68:AI68"/>
    <mergeCell ref="AL69:AM69"/>
    <mergeCell ref="AL70:AM70"/>
    <mergeCell ref="AT66:BC66"/>
    <mergeCell ref="AD68:AE68"/>
    <mergeCell ref="BB67:BC67"/>
    <mergeCell ref="AZ73:BA73"/>
    <mergeCell ref="AZ71:BA71"/>
    <mergeCell ref="AJ79:AK79"/>
    <mergeCell ref="AL67:AM67"/>
    <mergeCell ref="AZ74:BA74"/>
    <mergeCell ref="AV75:AW75"/>
    <mergeCell ref="AD76:AE76"/>
    <mergeCell ref="AT69:AU69"/>
    <mergeCell ref="AP78:AQ78"/>
    <mergeCell ref="AR79:AS79"/>
    <mergeCell ref="AV35:AX36"/>
    <mergeCell ref="Q6:T6"/>
    <mergeCell ref="L6:M6"/>
    <mergeCell ref="T50:AC50"/>
    <mergeCell ref="AO2:AP2"/>
    <mergeCell ref="AO4:AP4"/>
    <mergeCell ref="AJ70:AK70"/>
    <mergeCell ref="AX75:AY75"/>
    <mergeCell ref="AQ2:AV2"/>
    <mergeCell ref="AD70:AE70"/>
    <mergeCell ref="AR4:AS4"/>
    <mergeCell ref="AQ6:AT6"/>
    <mergeCell ref="AC34:AD34"/>
    <mergeCell ref="AL34:AP34"/>
    <mergeCell ref="AL31:AP31"/>
    <mergeCell ref="AI31:AK31"/>
    <mergeCell ref="AI34:AK34"/>
    <mergeCell ref="AM9:AN9"/>
    <mergeCell ref="AT70:AU70"/>
    <mergeCell ref="AR71:AS71"/>
    <mergeCell ref="AJ73:AK73"/>
    <mergeCell ref="AL4:AM4"/>
    <mergeCell ref="AJ67:AK67"/>
    <mergeCell ref="T51:AC51"/>
    <mergeCell ref="AN72:AO72"/>
    <mergeCell ref="N8:AL9"/>
    <mergeCell ref="V25:AP26"/>
    <mergeCell ref="T55:AC55"/>
    <mergeCell ref="AS9:AT9"/>
    <mergeCell ref="AD73:AE73"/>
    <mergeCell ref="K52:S52"/>
    <mergeCell ref="AW2:AX2"/>
    <mergeCell ref="C56:J56"/>
    <mergeCell ref="T59:AC59"/>
    <mergeCell ref="AN71:AO71"/>
    <mergeCell ref="AF72:AG72"/>
    <mergeCell ref="BD6:BG6"/>
    <mergeCell ref="AT32:AZ34"/>
    <mergeCell ref="C44:AC44"/>
    <mergeCell ref="T52:AC52"/>
    <mergeCell ref="AU9:AV9"/>
    <mergeCell ref="AW9:AX9"/>
    <mergeCell ref="AT28:AW29"/>
    <mergeCell ref="AO9:AP9"/>
    <mergeCell ref="AQ9:AR9"/>
    <mergeCell ref="AL37:AP37"/>
    <mergeCell ref="AI37:AK37"/>
    <mergeCell ref="X6:Y6"/>
    <mergeCell ref="AM6:AO6"/>
    <mergeCell ref="C47:J47"/>
    <mergeCell ref="C49:J49"/>
    <mergeCell ref="K49:S49"/>
    <mergeCell ref="T49:AC49"/>
    <mergeCell ref="AI46:BC51"/>
    <mergeCell ref="C48:J48"/>
    <mergeCell ref="T48:AC48"/>
    <mergeCell ref="C50:J50"/>
    <mergeCell ref="BB33:BE35"/>
    <mergeCell ref="K46:S46"/>
    <mergeCell ref="K50:S50"/>
    <mergeCell ref="AF6:AG6"/>
    <mergeCell ref="AI44:BC45"/>
    <mergeCell ref="AD6:AE6"/>
    <mergeCell ref="AX70:AY70"/>
    <mergeCell ref="T56:AC56"/>
    <mergeCell ref="AL71:AM71"/>
    <mergeCell ref="BB69:BC69"/>
    <mergeCell ref="BB70:BC70"/>
    <mergeCell ref="AZ69:BA69"/>
    <mergeCell ref="AL68:AM68"/>
    <mergeCell ref="AP74:AQ74"/>
    <mergeCell ref="AN70:AO70"/>
    <mergeCell ref="U66:Z67"/>
    <mergeCell ref="AZ67:BA67"/>
    <mergeCell ref="AF69:AG69"/>
    <mergeCell ref="K58:S58"/>
    <mergeCell ref="AR74:AS74"/>
    <mergeCell ref="K61:S61"/>
    <mergeCell ref="AD71:AE71"/>
    <mergeCell ref="T58:AC58"/>
    <mergeCell ref="AN67:AO67"/>
    <mergeCell ref="AP69:AQ69"/>
    <mergeCell ref="AN69:AO69"/>
    <mergeCell ref="AF71:AG71"/>
    <mergeCell ref="AF73:AG73"/>
    <mergeCell ref="AD74:AE74"/>
    <mergeCell ref="AL73:AM73"/>
    <mergeCell ref="N68:V68"/>
    <mergeCell ref="AR72:AS72"/>
    <mergeCell ref="AJ74:AK74"/>
    <mergeCell ref="AF68:AG68"/>
    <mergeCell ref="AT67:AU67"/>
    <mergeCell ref="AN73:AO73"/>
    <mergeCell ref="AT73:AU73"/>
    <mergeCell ref="R2:S2"/>
    <mergeCell ref="AV73:AW73"/>
    <mergeCell ref="AX74:AY74"/>
    <mergeCell ref="BB71:BC71"/>
    <mergeCell ref="AV72:AW72"/>
    <mergeCell ref="C46:J46"/>
    <mergeCell ref="T46:AC46"/>
    <mergeCell ref="K47:S47"/>
    <mergeCell ref="AO54:AR54"/>
    <mergeCell ref="T57:AC57"/>
    <mergeCell ref="AV67:AW67"/>
    <mergeCell ref="AF74:AG74"/>
    <mergeCell ref="AR69:AS69"/>
    <mergeCell ref="AF70:AG70"/>
    <mergeCell ref="AR70:AS70"/>
    <mergeCell ref="AH72:AI72"/>
    <mergeCell ref="AD72:AE72"/>
    <mergeCell ref="AJ68:AK68"/>
    <mergeCell ref="AI55:BC55"/>
    <mergeCell ref="C57:J57"/>
    <mergeCell ref="C59:J59"/>
    <mergeCell ref="AZ70:BA70"/>
    <mergeCell ref="AV68:AW68"/>
    <mergeCell ref="AV69:AW69"/>
    <mergeCell ref="AV70:AW70"/>
    <mergeCell ref="AV74:AW74"/>
    <mergeCell ref="AT72:AU72"/>
    <mergeCell ref="AT68:AU68"/>
    <mergeCell ref="AL72:AM72"/>
    <mergeCell ref="AT71:AU71"/>
    <mergeCell ref="C45:J45"/>
    <mergeCell ref="C58:J58"/>
    <mergeCell ref="C51:J51"/>
    <mergeCell ref="BB54:BC54"/>
    <mergeCell ref="T54:AC54"/>
    <mergeCell ref="DV290:DW290"/>
    <mergeCell ref="CV290:CW290"/>
    <mergeCell ref="C52:J52"/>
    <mergeCell ref="C54:J54"/>
    <mergeCell ref="C53:J53"/>
    <mergeCell ref="AT77:AU77"/>
    <mergeCell ref="AR78:AS78"/>
    <mergeCell ref="AZ72:BA72"/>
    <mergeCell ref="AX73:AY73"/>
    <mergeCell ref="AF80:AG80"/>
    <mergeCell ref="AF78:AG78"/>
    <mergeCell ref="AF77:AG77"/>
    <mergeCell ref="AF76:AG76"/>
    <mergeCell ref="AT75:AU75"/>
    <mergeCell ref="K53:S53"/>
    <mergeCell ref="K57:S57"/>
    <mergeCell ref="K56:S56"/>
    <mergeCell ref="AZ68:BA68"/>
    <mergeCell ref="AV290:AW290"/>
    <mergeCell ref="AN74:AO74"/>
    <mergeCell ref="AL77:AM77"/>
    <mergeCell ref="AH227:AI227"/>
    <mergeCell ref="AM230:AN230"/>
    <mergeCell ref="AJ230:AL230"/>
    <mergeCell ref="AM231:AN231"/>
    <mergeCell ref="AJ224:AL224"/>
    <mergeCell ref="C60:J60"/>
    <mergeCell ref="C61:J61"/>
    <mergeCell ref="K51:S51"/>
    <mergeCell ref="C55:J55"/>
    <mergeCell ref="AN76:AO76"/>
    <mergeCell ref="AI56:BC61"/>
    <mergeCell ref="AD75:AE75"/>
    <mergeCell ref="AV76:AW76"/>
    <mergeCell ref="AJ76:AK76"/>
    <mergeCell ref="BU298:BX298"/>
    <mergeCell ref="BT300:BU300"/>
    <mergeCell ref="AZ76:BA76"/>
    <mergeCell ref="V80:Y80"/>
    <mergeCell ref="AC218:AE218"/>
    <mergeCell ref="AH219:AI219"/>
    <mergeCell ref="AH220:AI220"/>
    <mergeCell ref="BK299:BN299"/>
    <mergeCell ref="BK300:BL300"/>
    <mergeCell ref="BM300:BN300"/>
    <mergeCell ref="U74:Z74"/>
    <mergeCell ref="T61:AC61"/>
    <mergeCell ref="AP70:AQ70"/>
    <mergeCell ref="AP71:AQ71"/>
    <mergeCell ref="AT74:AU74"/>
    <mergeCell ref="AH76:AI76"/>
    <mergeCell ref="AP68:AQ68"/>
    <mergeCell ref="AL76:AM76"/>
    <mergeCell ref="AM218:AN218"/>
    <mergeCell ref="AQ82:AR82"/>
    <mergeCell ref="AR218:AS218"/>
    <mergeCell ref="AX72:AY72"/>
    <mergeCell ref="AT291:AU291"/>
    <mergeCell ref="AD69:AE69"/>
    <mergeCell ref="K55:S55"/>
    <mergeCell ref="AZ75:BA75"/>
    <mergeCell ref="AH78:AI78"/>
    <mergeCell ref="AJ75:AK75"/>
    <mergeCell ref="AN75:AO75"/>
    <mergeCell ref="AN78:AO78"/>
    <mergeCell ref="AO217:AQ217"/>
    <mergeCell ref="AP79:AQ79"/>
    <mergeCell ref="AS290:AT290"/>
    <mergeCell ref="AH225:AI225"/>
    <mergeCell ref="AR231:AS231"/>
    <mergeCell ref="AR228:AS228"/>
    <mergeCell ref="AO226:AQ226"/>
    <mergeCell ref="AH224:AI224"/>
    <mergeCell ref="AF216:AI216"/>
    <mergeCell ref="AF219:AG219"/>
    <mergeCell ref="AF228:AG228"/>
    <mergeCell ref="AO219:AQ219"/>
    <mergeCell ref="AF75:AG75"/>
    <mergeCell ref="AR75:AS75"/>
    <mergeCell ref="AP75:AQ75"/>
    <mergeCell ref="AH222:AI222"/>
    <mergeCell ref="AP80:AQ80"/>
    <mergeCell ref="AH217:AI217"/>
    <mergeCell ref="AJ219:AL219"/>
    <mergeCell ref="AF224:AG224"/>
    <mergeCell ref="AM223:AN223"/>
    <mergeCell ref="AF223:AG223"/>
    <mergeCell ref="AT76:AU76"/>
    <mergeCell ref="AR229:AS229"/>
    <mergeCell ref="AF225:AG225"/>
    <mergeCell ref="AT78:AU78"/>
    <mergeCell ref="AH226:AI226"/>
    <mergeCell ref="DV295:DW295"/>
    <mergeCell ref="AJ216:AN216"/>
    <mergeCell ref="AJ80:AK80"/>
    <mergeCell ref="AN80:AO80"/>
    <mergeCell ref="AJ227:AL227"/>
    <mergeCell ref="AM221:AN221"/>
    <mergeCell ref="AR222:AS222"/>
    <mergeCell ref="AF289:AG289"/>
    <mergeCell ref="AF226:AG226"/>
    <mergeCell ref="AX294:AY294"/>
    <mergeCell ref="CX294:CY294"/>
    <mergeCell ref="AR220:AS220"/>
    <mergeCell ref="AC224:AE224"/>
    <mergeCell ref="AC222:AE222"/>
    <mergeCell ref="AH231:AI231"/>
    <mergeCell ref="AJ229:AL229"/>
    <mergeCell ref="AJ295:AK295"/>
    <mergeCell ref="AV295:AW295"/>
    <mergeCell ref="AV291:AW291"/>
    <mergeCell ref="AM287:AZ288"/>
    <mergeCell ref="AR223:AS223"/>
    <mergeCell ref="AR221:AS221"/>
    <mergeCell ref="AR230:AS230"/>
    <mergeCell ref="AH295:AI295"/>
    <mergeCell ref="AJ221:AL221"/>
    <mergeCell ref="AQ289:AR289"/>
    <mergeCell ref="AH221:AI221"/>
    <mergeCell ref="AH230:AI230"/>
    <mergeCell ref="AB292:AO292"/>
    <mergeCell ref="AV294:AW294"/>
    <mergeCell ref="AJ222:AL222"/>
    <mergeCell ref="AM222:AN222"/>
    <mergeCell ref="AB347:AC347"/>
    <mergeCell ref="DG298:DI298"/>
    <mergeCell ref="BT299:BV299"/>
    <mergeCell ref="AV289:AX289"/>
    <mergeCell ref="AL79:AM79"/>
    <mergeCell ref="AE290:AM290"/>
    <mergeCell ref="AZ79:BA79"/>
    <mergeCell ref="AO231:AQ231"/>
    <mergeCell ref="DF296:DG296"/>
    <mergeCell ref="DJ294:DK294"/>
    <mergeCell ref="CH294:CI294"/>
    <mergeCell ref="AY291:AZ291"/>
    <mergeCell ref="AH79:AI79"/>
    <mergeCell ref="AJ223:AL223"/>
    <mergeCell ref="CT291:CU291"/>
    <mergeCell ref="CS289:CU289"/>
    <mergeCell ref="AP292:AS292"/>
    <mergeCell ref="AR227:AS227"/>
    <mergeCell ref="AJ228:AL228"/>
    <mergeCell ref="AC229:AE229"/>
    <mergeCell ref="AO229:AQ229"/>
    <mergeCell ref="AO222:AQ222"/>
    <mergeCell ref="AO230:AQ230"/>
    <mergeCell ref="AF222:AG222"/>
    <mergeCell ref="AR226:AS226"/>
    <mergeCell ref="AD79:AE79"/>
    <mergeCell ref="AX80:AY80"/>
    <mergeCell ref="AO221:AQ221"/>
    <mergeCell ref="AH80:AI80"/>
    <mergeCell ref="AJ225:AL225"/>
    <mergeCell ref="AL294:AM294"/>
    <mergeCell ref="AR224:AS224"/>
    <mergeCell ref="AY320:AZ320"/>
    <mergeCell ref="AN325:AP325"/>
    <mergeCell ref="AT325:AV325"/>
    <mergeCell ref="AN343:AO343"/>
    <mergeCell ref="AZ334:BB334"/>
    <mergeCell ref="AI320:AJ320"/>
    <mergeCell ref="BI325:BK325"/>
    <mergeCell ref="AH326:AJ326"/>
    <mergeCell ref="AQ328:AS328"/>
    <mergeCell ref="AQ334:AS334"/>
    <mergeCell ref="AB338:AD338"/>
    <mergeCell ref="AB335:AD335"/>
    <mergeCell ref="AE341:AF341"/>
    <mergeCell ref="AK338:AM338"/>
    <mergeCell ref="AB343:AC343"/>
    <mergeCell ref="AB345:AC345"/>
    <mergeCell ref="AZ335:BB335"/>
    <mergeCell ref="AK341:AL341"/>
    <mergeCell ref="AK335:AM335"/>
    <mergeCell ref="AN341:AO341"/>
    <mergeCell ref="AQ341:AR341"/>
    <mergeCell ref="AT341:AU341"/>
    <mergeCell ref="AH331:AJ331"/>
    <mergeCell ref="AB322:AD324"/>
    <mergeCell ref="AE335:AG335"/>
    <mergeCell ref="AN334:AP334"/>
    <mergeCell ref="BM307:BN307"/>
    <mergeCell ref="AT295:AU295"/>
    <mergeCell ref="BE313:BF313"/>
    <mergeCell ref="BE315:BF315"/>
    <mergeCell ref="AE317:AW317"/>
    <mergeCell ref="AE318:AW318"/>
    <mergeCell ref="AK313:AN313"/>
    <mergeCell ref="AR297:AT297"/>
    <mergeCell ref="AU297:AX297"/>
    <mergeCell ref="AT300:AU300"/>
    <mergeCell ref="AT303:AU303"/>
    <mergeCell ref="BB294:BE296"/>
    <mergeCell ref="BG297:BI297"/>
    <mergeCell ref="BH295:BI295"/>
    <mergeCell ref="BK307:BL307"/>
    <mergeCell ref="AP307:AZ308"/>
    <mergeCell ref="BK303:BL303"/>
    <mergeCell ref="BB303:BE303"/>
    <mergeCell ref="BB305:BE305"/>
    <mergeCell ref="AJ297:AM297"/>
    <mergeCell ref="AS309:AV310"/>
    <mergeCell ref="BF301:BH301"/>
    <mergeCell ref="AK303:AL303"/>
    <mergeCell ref="BI301:BJ301"/>
    <mergeCell ref="BI303:BJ303"/>
    <mergeCell ref="BI300:BJ300"/>
    <mergeCell ref="BF300:BH300"/>
    <mergeCell ref="AG313:AJ313"/>
    <mergeCell ref="AK309:AN310"/>
    <mergeCell ref="AB305:AE305"/>
    <mergeCell ref="AB307:AE307"/>
    <mergeCell ref="AI303:AJ303"/>
    <mergeCell ref="AQ320:AR320"/>
    <mergeCell ref="AV301:AW301"/>
    <mergeCell ref="AN430:AO430"/>
    <mergeCell ref="AE331:AG331"/>
    <mergeCell ref="AQ325:AS325"/>
    <mergeCell ref="AN426:AQ426"/>
    <mergeCell ref="AH338:AJ338"/>
    <mergeCell ref="AH343:AI343"/>
    <mergeCell ref="AN335:AP335"/>
    <mergeCell ref="AV430:AW430"/>
    <mergeCell ref="AN338:AP338"/>
    <mergeCell ref="AH332:AJ332"/>
    <mergeCell ref="AE337:AG337"/>
    <mergeCell ref="AW331:AY331"/>
    <mergeCell ref="AJ428:AK428"/>
    <mergeCell ref="AN345:AO345"/>
    <mergeCell ref="AT329:AV329"/>
    <mergeCell ref="AN328:AP328"/>
    <mergeCell ref="AN331:AP331"/>
    <mergeCell ref="AO320:AP320"/>
    <mergeCell ref="AN329:AP329"/>
    <mergeCell ref="AB303:AE303"/>
    <mergeCell ref="AB310:AD311"/>
    <mergeCell ref="AC320:AD320"/>
    <mergeCell ref="AB426:AE427"/>
    <mergeCell ref="AK347:AL347"/>
    <mergeCell ref="AJ426:AM426"/>
    <mergeCell ref="AF429:AG429"/>
    <mergeCell ref="AR426:AU426"/>
    <mergeCell ref="AF430:AG430"/>
    <mergeCell ref="AT322:AV324"/>
    <mergeCell ref="AB326:AD326"/>
    <mergeCell ref="AH430:AI430"/>
    <mergeCell ref="AH429:AI429"/>
    <mergeCell ref="AL430:AM430"/>
    <mergeCell ref="AV429:AW429"/>
    <mergeCell ref="AP428:AQ428"/>
    <mergeCell ref="AK332:AM332"/>
    <mergeCell ref="AK334:AM334"/>
    <mergeCell ref="BF332:BH332"/>
    <mergeCell ref="BI332:BK332"/>
    <mergeCell ref="AH337:AJ337"/>
    <mergeCell ref="BO338:BQ338"/>
    <mergeCell ref="AW332:AY332"/>
    <mergeCell ref="BL338:BN338"/>
    <mergeCell ref="BL337:BN337"/>
    <mergeCell ref="BO343:BP343"/>
    <mergeCell ref="BL343:BM343"/>
    <mergeCell ref="BC332:BE332"/>
    <mergeCell ref="BO335:BQ335"/>
    <mergeCell ref="BI338:BK338"/>
    <mergeCell ref="AN337:AP337"/>
    <mergeCell ref="AK343:AL343"/>
    <mergeCell ref="BI345:BJ345"/>
    <mergeCell ref="BL345:BM345"/>
    <mergeCell ref="BI341:BJ341"/>
    <mergeCell ref="AQ332:AS332"/>
    <mergeCell ref="BC343:BD343"/>
    <mergeCell ref="AV426:AY426"/>
    <mergeCell ref="AP427:AQ427"/>
    <mergeCell ref="BO337:BQ337"/>
    <mergeCell ref="AW337:AY337"/>
    <mergeCell ref="AZ347:BA347"/>
    <mergeCell ref="BO347:BP347"/>
    <mergeCell ref="CQ460:DC461"/>
    <mergeCell ref="CI454:CJ454"/>
    <mergeCell ref="BQ453:BT454"/>
    <mergeCell ref="BP458:BR458"/>
    <mergeCell ref="AD452:AL452"/>
    <mergeCell ref="CV451:CW451"/>
    <mergeCell ref="CZ454:DA454"/>
    <mergeCell ref="BD451:BF451"/>
    <mergeCell ref="AK457:AL457"/>
    <mergeCell ref="CI457:CJ457"/>
    <mergeCell ref="CK457:CL457"/>
    <mergeCell ref="BW454:BX454"/>
    <mergeCell ref="BH451:BI451"/>
    <mergeCell ref="BG452:BH452"/>
    <mergeCell ref="AM455:AO455"/>
    <mergeCell ref="BY452:BZ453"/>
    <mergeCell ref="BU454:BV454"/>
    <mergeCell ref="BY454:BZ454"/>
    <mergeCell ref="CX457:CY457"/>
    <mergeCell ref="BP457:BQ457"/>
    <mergeCell ref="CE451:CG451"/>
    <mergeCell ref="AC458:AF458"/>
    <mergeCell ref="AT457:AU457"/>
    <mergeCell ref="AV457:AW457"/>
    <mergeCell ref="CR453:CU454"/>
    <mergeCell ref="CD460:CP461"/>
    <mergeCell ref="AX458:AY458"/>
    <mergeCell ref="AG457:AH457"/>
    <mergeCell ref="AI457:AJ457"/>
    <mergeCell ref="AX457:AY457"/>
    <mergeCell ref="BT457:BV457"/>
    <mergeCell ref="AM452:AN452"/>
    <mergeCell ref="AB429:AE429"/>
    <mergeCell ref="BP450:CB450"/>
    <mergeCell ref="AV432:AW432"/>
    <mergeCell ref="AX432:AY432"/>
    <mergeCell ref="AR431:AS431"/>
    <mergeCell ref="AP430:AQ430"/>
    <mergeCell ref="BU453:BV453"/>
    <mergeCell ref="AJ427:AK427"/>
    <mergeCell ref="AB424:AY425"/>
    <mergeCell ref="AT453:AU453"/>
    <mergeCell ref="BD453:BG454"/>
    <mergeCell ref="AX428:AY428"/>
    <mergeCell ref="AF431:AG431"/>
    <mergeCell ref="AF427:AG427"/>
    <mergeCell ref="AF428:AG428"/>
    <mergeCell ref="AR428:AS428"/>
    <mergeCell ref="AJ430:AK430"/>
    <mergeCell ref="BW451:BX451"/>
    <mergeCell ref="AL431:AM431"/>
    <mergeCell ref="AM453:AN453"/>
    <mergeCell ref="BC449:CB449"/>
    <mergeCell ref="AF432:AG432"/>
    <mergeCell ref="AT429:AU429"/>
    <mergeCell ref="AT428:AU428"/>
    <mergeCell ref="AP429:AQ429"/>
    <mergeCell ref="AT432:AU432"/>
    <mergeCell ref="BI425:BK425"/>
    <mergeCell ref="BC423:BN424"/>
    <mergeCell ref="BH453:BI453"/>
    <mergeCell ref="AL427:AM427"/>
    <mergeCell ref="AJ432:AK432"/>
    <mergeCell ref="AV428:AW428"/>
    <mergeCell ref="AE345:AF345"/>
    <mergeCell ref="BL347:BM347"/>
    <mergeCell ref="BC347:BD347"/>
    <mergeCell ref="AB430:AE430"/>
    <mergeCell ref="BU343:BV343"/>
    <mergeCell ref="AP458:AS458"/>
    <mergeCell ref="AT458:AU458"/>
    <mergeCell ref="AT455:AV455"/>
    <mergeCell ref="BJ457:BK457"/>
    <mergeCell ref="BH454:BI454"/>
    <mergeCell ref="AB449:BA449"/>
    <mergeCell ref="AI454:AL455"/>
    <mergeCell ref="AK453:AL453"/>
    <mergeCell ref="BC448:CB448"/>
    <mergeCell ref="AL428:AM428"/>
    <mergeCell ref="AB431:AE431"/>
    <mergeCell ref="AV431:AW431"/>
    <mergeCell ref="AH431:AI431"/>
    <mergeCell ref="AB432:AE432"/>
    <mergeCell ref="AD451:AL451"/>
    <mergeCell ref="AN432:AO432"/>
    <mergeCell ref="AH432:AI432"/>
    <mergeCell ref="AP431:AQ431"/>
    <mergeCell ref="AR432:AS432"/>
    <mergeCell ref="AT431:AU431"/>
    <mergeCell ref="BI432:BK432"/>
    <mergeCell ref="AP432:AQ432"/>
    <mergeCell ref="BR425:BT425"/>
    <mergeCell ref="AB350:AD350"/>
    <mergeCell ref="BW457:BX457"/>
    <mergeCell ref="BN457:BO457"/>
    <mergeCell ref="BL454:BM454"/>
    <mergeCell ref="AN429:AO429"/>
    <mergeCell ref="AQ347:AR347"/>
    <mergeCell ref="AW347:AX347"/>
    <mergeCell ref="AT452:AU452"/>
    <mergeCell ref="AJ429:AK429"/>
    <mergeCell ref="AN428:AO428"/>
    <mergeCell ref="BO432:BQ432"/>
    <mergeCell ref="AT430:AU430"/>
    <mergeCell ref="AR429:AS429"/>
    <mergeCell ref="AR430:AS430"/>
    <mergeCell ref="AR427:AS427"/>
    <mergeCell ref="AX427:AY427"/>
    <mergeCell ref="BL425:BN425"/>
    <mergeCell ref="BW453:BX453"/>
    <mergeCell ref="BL452:BM453"/>
    <mergeCell ref="BQ452:BS452"/>
    <mergeCell ref="BJ453:BK453"/>
    <mergeCell ref="BQ451:BS451"/>
    <mergeCell ref="BU451:BV451"/>
    <mergeCell ref="AT347:AU347"/>
    <mergeCell ref="AN427:AO427"/>
    <mergeCell ref="AN431:AO431"/>
    <mergeCell ref="AJ431:AK431"/>
    <mergeCell ref="AL432:AM432"/>
    <mergeCell ref="BL432:BN432"/>
    <mergeCell ref="AX431:AY431"/>
    <mergeCell ref="BF432:BH432"/>
    <mergeCell ref="AL429:AM429"/>
    <mergeCell ref="BF347:BG347"/>
    <mergeCell ref="AN347:AO347"/>
    <mergeCell ref="AB448:BA448"/>
    <mergeCell ref="CU452:CV452"/>
    <mergeCell ref="CX451:CY451"/>
    <mergeCell ref="BF425:BH425"/>
    <mergeCell ref="CG345:CH345"/>
    <mergeCell ref="CG347:CH347"/>
    <mergeCell ref="BR347:BS347"/>
    <mergeCell ref="BU347:BV347"/>
    <mergeCell ref="BX347:BY347"/>
    <mergeCell ref="CA347:CB347"/>
    <mergeCell ref="BR345:BS345"/>
    <mergeCell ref="CH452:CI452"/>
    <mergeCell ref="BT452:BU452"/>
    <mergeCell ref="BF343:BG343"/>
    <mergeCell ref="CI451:CJ451"/>
    <mergeCell ref="CD343:CE343"/>
    <mergeCell ref="CG343:CH343"/>
    <mergeCell ref="BO425:BQ425"/>
    <mergeCell ref="BU345:BV345"/>
    <mergeCell ref="BX345:BY345"/>
    <mergeCell ref="CJ343:CK343"/>
    <mergeCell ref="CV343:CW343"/>
    <mergeCell ref="CY347:CZ347"/>
    <mergeCell ref="CD449:DC449"/>
    <mergeCell ref="CD347:CE347"/>
    <mergeCell ref="DB347:DC347"/>
    <mergeCell ref="CJ347:CK347"/>
    <mergeCell ref="BJ451:BK451"/>
    <mergeCell ref="BD450:BN450"/>
    <mergeCell ref="CR452:CT452"/>
    <mergeCell ref="BI347:BJ347"/>
    <mergeCell ref="BF345:BG345"/>
    <mergeCell ref="BI343:BJ343"/>
    <mergeCell ref="CO457:CP457"/>
    <mergeCell ref="CV454:CW454"/>
    <mergeCell ref="CM452:CN453"/>
    <mergeCell ref="CU457:CW457"/>
    <mergeCell ref="BR341:BS341"/>
    <mergeCell ref="BR343:BS343"/>
    <mergeCell ref="BO345:BP345"/>
    <mergeCell ref="CA343:CB343"/>
    <mergeCell ref="AE334:AG334"/>
    <mergeCell ref="AW326:AY326"/>
    <mergeCell ref="DS309:DV310"/>
    <mergeCell ref="DJ297:DM297"/>
    <mergeCell ref="CJ296:CK296"/>
    <mergeCell ref="DM307:DN307"/>
    <mergeCell ref="DP307:DZ308"/>
    <mergeCell ref="DX303:DY303"/>
    <mergeCell ref="DP305:DZ306"/>
    <mergeCell ref="DK301:DL301"/>
    <mergeCell ref="DQ303:DS303"/>
    <mergeCell ref="DU298:DX298"/>
    <mergeCell ref="DR298:DT298"/>
    <mergeCell ref="DQ301:DS301"/>
    <mergeCell ref="DH299:DJ299"/>
    <mergeCell ref="DI300:DJ300"/>
    <mergeCell ref="DM300:DN300"/>
    <mergeCell ref="DM305:DN305"/>
    <mergeCell ref="DT303:DU303"/>
    <mergeCell ref="CT303:CU303"/>
    <mergeCell ref="CS328:CU328"/>
    <mergeCell ref="CV328:CX328"/>
    <mergeCell ref="CI307:CJ307"/>
    <mergeCell ref="AT343:AU343"/>
    <mergeCell ref="DJ296:DK296"/>
    <mergeCell ref="CJ297:CM297"/>
    <mergeCell ref="AQ311:AR311"/>
    <mergeCell ref="BQ301:BS301"/>
    <mergeCell ref="CB303:CE303"/>
    <mergeCell ref="CB305:CE305"/>
    <mergeCell ref="CB307:CE307"/>
    <mergeCell ref="AT328:AV328"/>
    <mergeCell ref="AT332:AV332"/>
    <mergeCell ref="BL332:BN332"/>
    <mergeCell ref="DK309:DN310"/>
    <mergeCell ref="CJ298:CM298"/>
    <mergeCell ref="AW341:AX341"/>
    <mergeCell ref="AP319:AQ319"/>
    <mergeCell ref="AQ313:AR313"/>
    <mergeCell ref="AZ325:BB325"/>
    <mergeCell ref="AW322:AY324"/>
    <mergeCell ref="AZ322:BB324"/>
    <mergeCell ref="BC322:BE324"/>
    <mergeCell ref="BF322:BH324"/>
    <mergeCell ref="BF341:BG341"/>
    <mergeCell ref="CK307:CL307"/>
    <mergeCell ref="CK305:CL305"/>
    <mergeCell ref="AN322:AP324"/>
    <mergeCell ref="AM320:AN320"/>
    <mergeCell ref="BO322:BQ324"/>
    <mergeCell ref="BU337:BW337"/>
    <mergeCell ref="AQ338:AS338"/>
    <mergeCell ref="AZ341:BA341"/>
    <mergeCell ref="AW313:AY313"/>
    <mergeCell ref="AP314:AZ316"/>
    <mergeCell ref="BI337:BK337"/>
    <mergeCell ref="AW311:AY311"/>
    <mergeCell ref="AQ310:AR310"/>
    <mergeCell ref="BK301:BL301"/>
    <mergeCell ref="BR326:BT326"/>
    <mergeCell ref="BR298:BT298"/>
    <mergeCell ref="BQ303:BS303"/>
    <mergeCell ref="BS309:BV310"/>
    <mergeCell ref="BS311:BV311"/>
    <mergeCell ref="BO331:BQ331"/>
    <mergeCell ref="BL331:BN331"/>
    <mergeCell ref="AZ331:BB331"/>
    <mergeCell ref="BO329:BQ329"/>
    <mergeCell ref="BI331:BK331"/>
    <mergeCell ref="BL329:BN329"/>
    <mergeCell ref="BF331:BH331"/>
    <mergeCell ref="BC331:BE331"/>
    <mergeCell ref="AZ328:BB328"/>
    <mergeCell ref="BK305:BL305"/>
    <mergeCell ref="AS311:AV311"/>
    <mergeCell ref="BQ313:BR313"/>
    <mergeCell ref="BR322:BT324"/>
    <mergeCell ref="BK315:BN315"/>
    <mergeCell ref="BC326:BE326"/>
    <mergeCell ref="BO325:BQ325"/>
    <mergeCell ref="BV301:BW301"/>
    <mergeCell ref="BP314:BZ316"/>
    <mergeCell ref="BM320:BN320"/>
    <mergeCell ref="BT301:BU301"/>
    <mergeCell ref="BX301:BY301"/>
    <mergeCell ref="BV300:BW300"/>
    <mergeCell ref="BU329:BW329"/>
    <mergeCell ref="AT326:AV326"/>
    <mergeCell ref="BC315:BD315"/>
    <mergeCell ref="BF80:BG80"/>
    <mergeCell ref="CA325:CC325"/>
    <mergeCell ref="CM326:CO326"/>
    <mergeCell ref="DE320:DF320"/>
    <mergeCell ref="CG320:CH320"/>
    <mergeCell ref="CM322:CO324"/>
    <mergeCell ref="CM325:CO325"/>
    <mergeCell ref="DE326:DG326"/>
    <mergeCell ref="CA322:CC324"/>
    <mergeCell ref="BF325:BH325"/>
    <mergeCell ref="CU319:CV319"/>
    <mergeCell ref="BP319:BQ319"/>
    <mergeCell ref="CE315:CF315"/>
    <mergeCell ref="BQ300:BS300"/>
    <mergeCell ref="CP314:CZ316"/>
    <mergeCell ref="CE320:CF320"/>
    <mergeCell ref="DG315:DJ315"/>
    <mergeCell ref="CY320:CZ320"/>
    <mergeCell ref="BB307:BE307"/>
    <mergeCell ref="CW299:CZ299"/>
    <mergeCell ref="CF305:CH305"/>
    <mergeCell ref="CI301:CJ301"/>
    <mergeCell ref="CQ300:CS300"/>
    <mergeCell ref="CK300:CL300"/>
    <mergeCell ref="BW299:BZ299"/>
    <mergeCell ref="BV295:BW295"/>
    <mergeCell ref="BX325:BZ325"/>
    <mergeCell ref="CT294:CU294"/>
    <mergeCell ref="BT80:BU80"/>
    <mergeCell ref="BS290:BT290"/>
    <mergeCell ref="BM305:BN305"/>
    <mergeCell ref="DV289:DX289"/>
    <mergeCell ref="DH295:DI295"/>
    <mergeCell ref="BP82:BQ82"/>
    <mergeCell ref="BN80:BP80"/>
    <mergeCell ref="CB292:CO292"/>
    <mergeCell ref="BT295:BU295"/>
    <mergeCell ref="DS290:DT290"/>
    <mergeCell ref="BY291:BZ291"/>
    <mergeCell ref="BK287:BZ288"/>
    <mergeCell ref="CK287:CZ288"/>
    <mergeCell ref="CY291:CZ291"/>
    <mergeCell ref="DT294:DU294"/>
    <mergeCell ref="CJ295:CK295"/>
    <mergeCell ref="DX295:DY295"/>
    <mergeCell ref="CP293:CZ293"/>
    <mergeCell ref="CP292:CS292"/>
    <mergeCell ref="BV291:BW291"/>
    <mergeCell ref="BL295:BM295"/>
    <mergeCell ref="CV291:CW291"/>
    <mergeCell ref="BE290:BM290"/>
    <mergeCell ref="DE290:DM290"/>
    <mergeCell ref="DF289:DG289"/>
    <mergeCell ref="DK287:DZ288"/>
    <mergeCell ref="BQ84:BR84"/>
    <mergeCell ref="BR85:BS85"/>
    <mergeCell ref="BQ80:BS80"/>
    <mergeCell ref="CB294:CE296"/>
    <mergeCell ref="CS290:CT290"/>
    <mergeCell ref="DV291:DW291"/>
    <mergeCell ref="DY291:DZ291"/>
    <mergeCell ref="BB292:BO292"/>
    <mergeCell ref="BV289:BX289"/>
    <mergeCell ref="BT68:BU68"/>
    <mergeCell ref="BT71:BU71"/>
    <mergeCell ref="BD74:BE74"/>
    <mergeCell ref="BT72:BU72"/>
    <mergeCell ref="BV70:BX70"/>
    <mergeCell ref="BT70:BU70"/>
    <mergeCell ref="BN76:BP76"/>
    <mergeCell ref="BT76:BU76"/>
    <mergeCell ref="BD69:BE69"/>
    <mergeCell ref="BD76:BE76"/>
    <mergeCell ref="BV69:BX69"/>
    <mergeCell ref="BV74:BX74"/>
    <mergeCell ref="BV72:BX72"/>
    <mergeCell ref="BN74:BP74"/>
    <mergeCell ref="BK70:BM70"/>
    <mergeCell ref="BV71:BX71"/>
    <mergeCell ref="BQ71:BS71"/>
    <mergeCell ref="BT74:BU74"/>
    <mergeCell ref="BH70:BJ70"/>
    <mergeCell ref="BK69:BM69"/>
    <mergeCell ref="BD72:BE72"/>
    <mergeCell ref="BF75:BG75"/>
    <mergeCell ref="BN72:BP72"/>
    <mergeCell ref="BK68:BM68"/>
    <mergeCell ref="BQ73:BS73"/>
    <mergeCell ref="BV76:BX76"/>
    <mergeCell ref="BV75:BX75"/>
    <mergeCell ref="BT75:BU75"/>
    <mergeCell ref="BQ76:BS76"/>
    <mergeCell ref="BV73:BX73"/>
    <mergeCell ref="BV68:BX68"/>
    <mergeCell ref="BH66:BS66"/>
    <mergeCell ref="BN75:BP75"/>
    <mergeCell ref="BK67:BM67"/>
    <mergeCell ref="BD66:BE67"/>
    <mergeCell ref="BF66:BG67"/>
    <mergeCell ref="BD73:BE73"/>
    <mergeCell ref="BN69:BP69"/>
    <mergeCell ref="BN70:BP70"/>
    <mergeCell ref="BQ68:BS68"/>
    <mergeCell ref="BH76:BJ76"/>
    <mergeCell ref="BT73:BU73"/>
    <mergeCell ref="BF76:BG76"/>
    <mergeCell ref="BB74:BC74"/>
    <mergeCell ref="BD75:BE75"/>
    <mergeCell ref="BK72:BM72"/>
    <mergeCell ref="BK73:BM73"/>
    <mergeCell ref="BK74:BM74"/>
    <mergeCell ref="BK75:BM75"/>
    <mergeCell ref="BF70:BG70"/>
    <mergeCell ref="BD71:BE71"/>
    <mergeCell ref="BF71:BG71"/>
    <mergeCell ref="BF74:BG74"/>
    <mergeCell ref="BH72:BJ72"/>
    <mergeCell ref="BB68:BC68"/>
    <mergeCell ref="BT69:BU69"/>
    <mergeCell ref="BN71:BP71"/>
    <mergeCell ref="BQ74:BS74"/>
    <mergeCell ref="BF72:BG72"/>
    <mergeCell ref="BF68:BG68"/>
    <mergeCell ref="BD68:BE68"/>
    <mergeCell ref="BF69:BG69"/>
    <mergeCell ref="BN68:BP68"/>
    <mergeCell ref="BK76:BM76"/>
    <mergeCell ref="BH68:BJ68"/>
    <mergeCell ref="BQ69:BS69"/>
    <mergeCell ref="BQ72:BS72"/>
    <mergeCell ref="AX78:AY78"/>
    <mergeCell ref="AN79:AO79"/>
    <mergeCell ref="BQ289:BR289"/>
    <mergeCell ref="BB72:BC72"/>
    <mergeCell ref="BB76:BC76"/>
    <mergeCell ref="BH77:BJ77"/>
    <mergeCell ref="BK77:BM77"/>
    <mergeCell ref="BD78:BE78"/>
    <mergeCell ref="BF79:BG79"/>
    <mergeCell ref="BK78:BM78"/>
    <mergeCell ref="BB77:BC77"/>
    <mergeCell ref="BB78:BC78"/>
    <mergeCell ref="AT79:AU79"/>
    <mergeCell ref="AV77:AW77"/>
    <mergeCell ref="BA82:BB82"/>
    <mergeCell ref="BK79:BM79"/>
    <mergeCell ref="BD79:BE79"/>
    <mergeCell ref="AS289:AU289"/>
    <mergeCell ref="BH75:BJ75"/>
    <mergeCell ref="BD70:BE70"/>
    <mergeCell ref="BQ77:BS77"/>
    <mergeCell ref="AN68:AO68"/>
    <mergeCell ref="AR76:AS76"/>
    <mergeCell ref="AR217:AS217"/>
    <mergeCell ref="AV78:AW78"/>
    <mergeCell ref="AM220:AN220"/>
    <mergeCell ref="AM219:AN219"/>
    <mergeCell ref="AR225:AS225"/>
    <mergeCell ref="AJ218:AL218"/>
    <mergeCell ref="V216:Y216"/>
    <mergeCell ref="AL80:AM80"/>
    <mergeCell ref="AF217:AG217"/>
    <mergeCell ref="AZ78:BA78"/>
    <mergeCell ref="AX77:AY77"/>
    <mergeCell ref="BB80:BC80"/>
    <mergeCell ref="BQ70:BS70"/>
    <mergeCell ref="AV80:AW80"/>
    <mergeCell ref="AZ80:BA80"/>
    <mergeCell ref="BV78:BX78"/>
    <mergeCell ref="BV77:BX77"/>
    <mergeCell ref="AC231:AE231"/>
    <mergeCell ref="AC230:AE230"/>
    <mergeCell ref="AC227:AE227"/>
    <mergeCell ref="AC228:AE228"/>
    <mergeCell ref="BK80:BM80"/>
    <mergeCell ref="BH81:BJ81"/>
    <mergeCell ref="AZ77:BA77"/>
    <mergeCell ref="BB79:BC79"/>
    <mergeCell ref="BF78:BG78"/>
    <mergeCell ref="BQ78:BS78"/>
    <mergeCell ref="BN78:BP78"/>
    <mergeCell ref="BN79:BP79"/>
    <mergeCell ref="AT80:AU80"/>
    <mergeCell ref="AJ217:AL217"/>
    <mergeCell ref="AJ220:AL220"/>
    <mergeCell ref="BV79:BX79"/>
    <mergeCell ref="BT77:BU77"/>
    <mergeCell ref="BQ79:BS79"/>
    <mergeCell ref="BH71:BJ71"/>
    <mergeCell ref="BF73:BG73"/>
    <mergeCell ref="CV289:CX289"/>
    <mergeCell ref="BT78:BU78"/>
    <mergeCell ref="BH78:BJ78"/>
    <mergeCell ref="BD80:BE80"/>
    <mergeCell ref="BK81:BM81"/>
    <mergeCell ref="BH79:BJ79"/>
    <mergeCell ref="DT291:DU291"/>
    <mergeCell ref="CL295:CM295"/>
    <mergeCell ref="DX294:DY294"/>
    <mergeCell ref="CF296:CG296"/>
    <mergeCell ref="BH80:BJ80"/>
    <mergeCell ref="DS289:DU289"/>
    <mergeCell ref="DP292:DS292"/>
    <mergeCell ref="DL294:DM294"/>
    <mergeCell ref="CH295:CI295"/>
    <mergeCell ref="DV294:DW294"/>
    <mergeCell ref="BJ296:BK296"/>
    <mergeCell ref="BT294:BU294"/>
    <mergeCell ref="DP293:DZ293"/>
    <mergeCell ref="DB294:DE296"/>
    <mergeCell ref="CL294:CM294"/>
    <mergeCell ref="DF295:DG295"/>
    <mergeCell ref="DH296:DI296"/>
    <mergeCell ref="DJ295:DK295"/>
    <mergeCell ref="DB292:DO292"/>
    <mergeCell ref="BV80:BX80"/>
    <mergeCell ref="DH294:DI294"/>
    <mergeCell ref="CE290:CM290"/>
    <mergeCell ref="CV294:CW294"/>
    <mergeCell ref="BT79:BU79"/>
    <mergeCell ref="BV290:BW290"/>
    <mergeCell ref="CF289:CG289"/>
    <mergeCell ref="DJ298:DM298"/>
    <mergeCell ref="DF300:DH300"/>
    <mergeCell ref="DI307:DJ307"/>
    <mergeCell ref="DB301:DE302"/>
    <mergeCell ref="DT299:DV299"/>
    <mergeCell ref="DT300:DU300"/>
    <mergeCell ref="CQ301:CS301"/>
    <mergeCell ref="DF305:DH305"/>
    <mergeCell ref="DK299:DN299"/>
    <mergeCell ref="CT299:CV299"/>
    <mergeCell ref="CQ303:CS303"/>
    <mergeCell ref="DM303:DN303"/>
    <mergeCell ref="CT295:CU295"/>
    <mergeCell ref="CM300:CN300"/>
    <mergeCell ref="CR297:CT297"/>
    <mergeCell ref="DK305:DL305"/>
    <mergeCell ref="CG298:CI298"/>
    <mergeCell ref="DR297:DT297"/>
    <mergeCell ref="DU297:DX297"/>
    <mergeCell ref="DL295:DM295"/>
    <mergeCell ref="DV303:DW303"/>
    <mergeCell ref="DT295:DU295"/>
    <mergeCell ref="CU298:CX298"/>
    <mergeCell ref="CR298:CT298"/>
    <mergeCell ref="DM301:DN301"/>
    <mergeCell ref="CU297:CX297"/>
    <mergeCell ref="DG297:DI297"/>
    <mergeCell ref="DW299:DZ299"/>
    <mergeCell ref="CV295:CW295"/>
    <mergeCell ref="DV300:DW300"/>
    <mergeCell ref="CK299:CN299"/>
    <mergeCell ref="DK300:DL300"/>
    <mergeCell ref="CV300:CW300"/>
    <mergeCell ref="DB305:DE305"/>
    <mergeCell ref="DI305:DJ305"/>
    <mergeCell ref="CX303:CY303"/>
    <mergeCell ref="DQ310:DR310"/>
    <mergeCell ref="CQ310:CR310"/>
    <mergeCell ref="CQ311:CR311"/>
    <mergeCell ref="CV301:CW301"/>
    <mergeCell ref="CK309:CN310"/>
    <mergeCell ref="DF303:DH303"/>
    <mergeCell ref="CV303:CW303"/>
    <mergeCell ref="CP307:CZ308"/>
    <mergeCell ref="CS311:CV311"/>
    <mergeCell ref="DE310:DF310"/>
    <mergeCell ref="CM307:CN307"/>
    <mergeCell ref="CM303:CN303"/>
    <mergeCell ref="CK303:CL303"/>
    <mergeCell ref="DB307:DE307"/>
    <mergeCell ref="DI303:DJ303"/>
    <mergeCell ref="DG311:DJ311"/>
    <mergeCell ref="DE311:DF311"/>
    <mergeCell ref="DB303:DE303"/>
    <mergeCell ref="CT301:CU301"/>
    <mergeCell ref="CM305:CN305"/>
    <mergeCell ref="CT300:CU300"/>
    <mergeCell ref="DQ300:DS300"/>
    <mergeCell ref="DK311:DN311"/>
    <mergeCell ref="DQ311:DR311"/>
    <mergeCell ref="DS311:DV311"/>
    <mergeCell ref="DB310:DD311"/>
    <mergeCell ref="CW311:CY311"/>
    <mergeCell ref="DV301:DW301"/>
    <mergeCell ref="DI301:DJ301"/>
    <mergeCell ref="DK303:DL303"/>
    <mergeCell ref="DT301:DU301"/>
    <mergeCell ref="CS309:CV310"/>
    <mergeCell ref="CW309:CZ310"/>
    <mergeCell ref="CK301:CL301"/>
    <mergeCell ref="CI303:CJ303"/>
    <mergeCell ref="DE317:DW317"/>
    <mergeCell ref="CK311:CN311"/>
    <mergeCell ref="DE313:DF313"/>
    <mergeCell ref="DK313:DN313"/>
    <mergeCell ref="DE315:DF315"/>
    <mergeCell ref="CQ313:CR313"/>
    <mergeCell ref="CS313:CV313"/>
    <mergeCell ref="DS313:DV313"/>
    <mergeCell ref="CE317:CW317"/>
    <mergeCell ref="DF301:DH301"/>
    <mergeCell ref="DX301:DY301"/>
    <mergeCell ref="CG315:CJ315"/>
    <mergeCell ref="DE318:DW318"/>
    <mergeCell ref="CR319:CS319"/>
    <mergeCell ref="DR319:DS319"/>
    <mergeCell ref="DO320:DP320"/>
    <mergeCell ref="DP319:DQ319"/>
    <mergeCell ref="DS320:DT320"/>
    <mergeCell ref="CR451:CT451"/>
    <mergeCell ref="CP347:CQ347"/>
    <mergeCell ref="CA338:CC338"/>
    <mergeCell ref="CD338:CF338"/>
    <mergeCell ref="CD337:CF337"/>
    <mergeCell ref="CJ335:CL335"/>
    <mergeCell ref="CS335:CU335"/>
    <mergeCell ref="DB345:DC345"/>
    <mergeCell ref="DK335:DM335"/>
    <mergeCell ref="DB338:DD338"/>
    <mergeCell ref="DB325:DD325"/>
    <mergeCell ref="CK315:CN315"/>
    <mergeCell ref="CW320:CX320"/>
    <mergeCell ref="CG311:CJ311"/>
    <mergeCell ref="CK313:CN313"/>
    <mergeCell ref="CF303:CH303"/>
    <mergeCell ref="CF307:CH307"/>
    <mergeCell ref="CW319:CX319"/>
    <mergeCell ref="DK307:DL307"/>
    <mergeCell ref="CX301:CY301"/>
    <mergeCell ref="CE313:CF313"/>
    <mergeCell ref="CC313:CD313"/>
    <mergeCell ref="DH329:DJ329"/>
    <mergeCell ref="CM301:CN301"/>
    <mergeCell ref="CJ325:CL325"/>
    <mergeCell ref="CD322:CF324"/>
    <mergeCell ref="CA335:CC335"/>
    <mergeCell ref="CJ334:CL334"/>
    <mergeCell ref="CM334:CO334"/>
    <mergeCell ref="CG326:CI326"/>
    <mergeCell ref="BX303:BY303"/>
    <mergeCell ref="CF301:CH301"/>
    <mergeCell ref="CY326:DA326"/>
    <mergeCell ref="CA345:CB345"/>
    <mergeCell ref="CJ337:CL337"/>
    <mergeCell ref="CS337:CU337"/>
    <mergeCell ref="DE338:DG338"/>
    <mergeCell ref="DH341:DI341"/>
    <mergeCell ref="DH337:DJ337"/>
    <mergeCell ref="CD341:CE341"/>
    <mergeCell ref="BX343:BY343"/>
    <mergeCell ref="CG341:CH341"/>
    <mergeCell ref="CG334:CI334"/>
    <mergeCell ref="CV331:CX331"/>
    <mergeCell ref="DH328:DJ328"/>
    <mergeCell ref="CD345:CE345"/>
    <mergeCell ref="BW313:BY313"/>
    <mergeCell ref="BW311:BY311"/>
    <mergeCell ref="BX337:BZ337"/>
    <mergeCell ref="CA341:CB341"/>
    <mergeCell ref="CY325:DA325"/>
    <mergeCell ref="CV322:CX324"/>
    <mergeCell ref="BW320:BX320"/>
    <mergeCell ref="CI320:CJ320"/>
    <mergeCell ref="CP305:CZ306"/>
    <mergeCell ref="DF307:DH307"/>
    <mergeCell ref="BY320:BZ320"/>
    <mergeCell ref="CY329:DA329"/>
    <mergeCell ref="CY343:CZ343"/>
    <mergeCell ref="CY345:CZ345"/>
    <mergeCell ref="DB322:DD324"/>
    <mergeCell ref="CS322:CU324"/>
    <mergeCell ref="CM338:CO338"/>
    <mergeCell ref="DE335:DG335"/>
    <mergeCell ref="DH338:DJ338"/>
    <mergeCell ref="DH335:DJ335"/>
    <mergeCell ref="DH332:DJ332"/>
    <mergeCell ref="CY337:DA337"/>
    <mergeCell ref="CY335:DA335"/>
    <mergeCell ref="CV345:CW345"/>
    <mergeCell ref="CV341:CW341"/>
    <mergeCell ref="CS341:CT341"/>
    <mergeCell ref="CS325:CU325"/>
    <mergeCell ref="CY322:DA324"/>
    <mergeCell ref="DE328:DG328"/>
    <mergeCell ref="DE325:DG325"/>
    <mergeCell ref="DH343:DI343"/>
    <mergeCell ref="DB343:DC343"/>
    <mergeCell ref="DE341:DF341"/>
    <mergeCell ref="DB341:DC341"/>
    <mergeCell ref="DB331:DD331"/>
    <mergeCell ref="DB334:DD334"/>
    <mergeCell ref="DB332:DD332"/>
    <mergeCell ref="CQ320:CR320"/>
    <mergeCell ref="CS320:CT320"/>
    <mergeCell ref="CV325:CX325"/>
    <mergeCell ref="CG325:CI325"/>
    <mergeCell ref="DE322:DG324"/>
    <mergeCell ref="CX295:CY295"/>
    <mergeCell ref="BL294:BM294"/>
    <mergeCell ref="BM301:BN301"/>
    <mergeCell ref="BM303:BN303"/>
    <mergeCell ref="BK311:BN311"/>
    <mergeCell ref="BK309:BN310"/>
    <mergeCell ref="BF296:BG296"/>
    <mergeCell ref="DF453:DI454"/>
    <mergeCell ref="CQ450:DC450"/>
    <mergeCell ref="CY328:DA328"/>
    <mergeCell ref="CM347:CN347"/>
    <mergeCell ref="CG337:CI337"/>
    <mergeCell ref="CM335:CO335"/>
    <mergeCell ref="CE450:CO450"/>
    <mergeCell ref="CA337:CC337"/>
    <mergeCell ref="CD335:CF335"/>
    <mergeCell ref="CV337:CX337"/>
    <mergeCell ref="CS347:CT347"/>
    <mergeCell ref="CM343:CN343"/>
    <mergeCell ref="CG338:CI338"/>
    <mergeCell ref="CM337:CO337"/>
    <mergeCell ref="CP335:CR335"/>
    <mergeCell ref="DB335:DD335"/>
    <mergeCell ref="BU325:BW325"/>
    <mergeCell ref="CP325:CR325"/>
    <mergeCell ref="BF334:BH334"/>
    <mergeCell ref="BF328:BH328"/>
    <mergeCell ref="CD334:CF334"/>
    <mergeCell ref="CG335:CI335"/>
    <mergeCell ref="DG320:DH320"/>
    <mergeCell ref="DI320:DJ320"/>
    <mergeCell ref="CJ338:CL338"/>
    <mergeCell ref="CK458:CM458"/>
    <mergeCell ref="CK454:CL454"/>
    <mergeCell ref="CJ345:CK345"/>
    <mergeCell ref="CQ457:CR457"/>
    <mergeCell ref="CM454:CN454"/>
    <mergeCell ref="DE345:DF345"/>
    <mergeCell ref="CD456:CJ456"/>
    <mergeCell ref="CD458:CJ458"/>
    <mergeCell ref="CQ458:CS458"/>
    <mergeCell ref="CG332:CI332"/>
    <mergeCell ref="DH345:DI345"/>
    <mergeCell ref="DF451:DH451"/>
    <mergeCell ref="CK451:CL451"/>
    <mergeCell ref="DE343:DF343"/>
    <mergeCell ref="CE452:CG452"/>
    <mergeCell ref="DE448:ED448"/>
    <mergeCell ref="DF450:DP450"/>
    <mergeCell ref="DK345:DL345"/>
    <mergeCell ref="DW337:DY337"/>
    <mergeCell ref="DI452:DJ452"/>
    <mergeCell ref="DF452:DH452"/>
    <mergeCell ref="CX453:CY453"/>
    <mergeCell ref="CV453:CW453"/>
    <mergeCell ref="CE453:CH454"/>
    <mergeCell ref="CK453:CL453"/>
    <mergeCell ref="CI453:CJ453"/>
    <mergeCell ref="CZ452:DA453"/>
    <mergeCell ref="DE458:DK458"/>
    <mergeCell ref="DV452:DW452"/>
    <mergeCell ref="CV335:CX335"/>
    <mergeCell ref="DT347:DU347"/>
    <mergeCell ref="CY341:CZ341"/>
    <mergeCell ref="EF456:EL456"/>
    <mergeCell ref="EA454:EB454"/>
    <mergeCell ref="ER341:ES341"/>
    <mergeCell ref="EU343:EV343"/>
    <mergeCell ref="EK453:EL453"/>
    <mergeCell ref="EA452:EB453"/>
    <mergeCell ref="EG452:EI452"/>
    <mergeCell ref="EJ452:EK452"/>
    <mergeCell ref="EO341:EP341"/>
    <mergeCell ref="DE449:ED449"/>
    <mergeCell ref="DW454:DX454"/>
    <mergeCell ref="DY454:DZ454"/>
    <mergeCell ref="EO454:EP454"/>
    <mergeCell ref="DY451:DZ451"/>
    <mergeCell ref="EK451:EL451"/>
    <mergeCell ref="DN452:DO453"/>
    <mergeCell ref="EI345:EJ345"/>
    <mergeCell ref="EC341:ED341"/>
    <mergeCell ref="EF345:EG345"/>
    <mergeCell ref="DJ451:DK451"/>
    <mergeCell ref="DK343:DL343"/>
    <mergeCell ref="DY453:DZ453"/>
    <mergeCell ref="DW451:DX451"/>
    <mergeCell ref="EL343:EM343"/>
    <mergeCell ref="DN347:DO347"/>
    <mergeCell ref="ER343:ES343"/>
    <mergeCell ref="ER345:ES345"/>
    <mergeCell ref="DQ345:DR345"/>
    <mergeCell ref="DL451:DM451"/>
    <mergeCell ref="DK347:DL347"/>
    <mergeCell ref="DZ343:EA343"/>
    <mergeCell ref="DH347:DI347"/>
    <mergeCell ref="DJ457:DK457"/>
    <mergeCell ref="DT345:DU345"/>
    <mergeCell ref="EI347:EJ347"/>
    <mergeCell ref="EL347:EM347"/>
    <mergeCell ref="DZ341:EA341"/>
    <mergeCell ref="DE347:DF347"/>
    <mergeCell ref="EM454:EN454"/>
    <mergeCell ref="DL454:DM454"/>
    <mergeCell ref="EG453:EJ454"/>
    <mergeCell ref="DJ453:DK453"/>
    <mergeCell ref="ES460:FE461"/>
    <mergeCell ref="DR457:DS457"/>
    <mergeCell ref="DE456:DK456"/>
    <mergeCell ref="EK454:EL454"/>
    <mergeCell ref="DL453:DM453"/>
    <mergeCell ref="DS452:DU452"/>
    <mergeCell ref="DS453:DV454"/>
    <mergeCell ref="EK457:EL457"/>
    <mergeCell ref="EM457:EN457"/>
    <mergeCell ref="DL457:DM457"/>
    <mergeCell ref="DP457:DQ457"/>
    <mergeCell ref="DY457:DZ457"/>
    <mergeCell ref="EF460:ER461"/>
    <mergeCell ref="DE460:DQ461"/>
    <mergeCell ref="DR460:ED461"/>
    <mergeCell ref="EW452:EX452"/>
    <mergeCell ref="ES458:EU458"/>
    <mergeCell ref="EX454:EY454"/>
    <mergeCell ref="DN454:DO454"/>
    <mergeCell ref="ET453:EW454"/>
    <mergeCell ref="DV457:DX457"/>
    <mergeCell ref="EX453:EY453"/>
    <mergeCell ref="EF458:EL458"/>
    <mergeCell ref="DR458:DT458"/>
    <mergeCell ref="EM458:EO458"/>
    <mergeCell ref="EW457:EY457"/>
    <mergeCell ref="EQ457:ER457"/>
    <mergeCell ref="ES457:ET457"/>
    <mergeCell ref="FB452:FC453"/>
    <mergeCell ref="DL458:DN458"/>
    <mergeCell ref="EL345:EM345"/>
    <mergeCell ref="EF343:EG343"/>
    <mergeCell ref="EC328:EE328"/>
    <mergeCell ref="DK341:DL341"/>
    <mergeCell ref="DN341:DO341"/>
    <mergeCell ref="EF448:FE448"/>
    <mergeCell ref="FD332:FF332"/>
    <mergeCell ref="EF332:EH332"/>
    <mergeCell ref="EL329:EN329"/>
    <mergeCell ref="EI329:EK329"/>
    <mergeCell ref="EI338:EK338"/>
    <mergeCell ref="EF341:EG341"/>
    <mergeCell ref="EC331:EE331"/>
    <mergeCell ref="EF337:EH337"/>
    <mergeCell ref="ER331:ET331"/>
    <mergeCell ref="ER332:ET332"/>
    <mergeCell ref="EZ451:FA451"/>
    <mergeCell ref="EM453:EN453"/>
    <mergeCell ref="DW345:DX345"/>
    <mergeCell ref="DZ345:EA345"/>
    <mergeCell ref="DK334:DM334"/>
    <mergeCell ref="EX451:EY451"/>
    <mergeCell ref="DW453:DX453"/>
    <mergeCell ref="EO452:EP453"/>
    <mergeCell ref="EZ457:FA457"/>
    <mergeCell ref="FB454:FC454"/>
    <mergeCell ref="EU341:EV341"/>
    <mergeCell ref="FA347:FB347"/>
    <mergeCell ref="EX341:EY341"/>
    <mergeCell ref="EO325:EQ325"/>
    <mergeCell ref="EO335:EQ335"/>
    <mergeCell ref="DW322:DY324"/>
    <mergeCell ref="DW335:DY335"/>
    <mergeCell ref="ET452:EV452"/>
    <mergeCell ref="EI343:EJ343"/>
    <mergeCell ref="EC322:EE324"/>
    <mergeCell ref="DT343:DU343"/>
    <mergeCell ref="DW343:DX343"/>
    <mergeCell ref="EC337:EE337"/>
    <mergeCell ref="EL337:EN337"/>
    <mergeCell ref="EC335:EE335"/>
    <mergeCell ref="EI325:EK325"/>
    <mergeCell ref="EL325:EN325"/>
    <mergeCell ref="EO332:EQ332"/>
    <mergeCell ref="ER328:ET328"/>
    <mergeCell ref="DW328:DY328"/>
    <mergeCell ref="DT326:DV326"/>
    <mergeCell ref="DT322:DV324"/>
    <mergeCell ref="DZ326:EB326"/>
    <mergeCell ref="EC347:ED347"/>
    <mergeCell ref="EC332:EE332"/>
    <mergeCell ref="EC338:EE338"/>
    <mergeCell ref="EU345:EV345"/>
    <mergeCell ref="DS451:DU451"/>
    <mergeCell ref="EC334:EE334"/>
    <mergeCell ref="ET451:EV451"/>
    <mergeCell ref="EZ454:FA454"/>
    <mergeCell ref="FD335:FF335"/>
    <mergeCell ref="FD347:FE347"/>
    <mergeCell ref="DZ337:EB337"/>
    <mergeCell ref="DJ454:DK454"/>
    <mergeCell ref="ES450:FE450"/>
    <mergeCell ref="ER347:ES347"/>
    <mergeCell ref="EU347:EV347"/>
    <mergeCell ref="CV338:CX338"/>
    <mergeCell ref="EF338:EH338"/>
    <mergeCell ref="EC343:ED343"/>
    <mergeCell ref="EC345:ED345"/>
    <mergeCell ref="DZ338:EB338"/>
    <mergeCell ref="CX454:CY454"/>
    <mergeCell ref="CV347:CW347"/>
    <mergeCell ref="EL341:EM341"/>
    <mergeCell ref="CD448:DC448"/>
    <mergeCell ref="FD343:FE343"/>
    <mergeCell ref="FA341:FB341"/>
    <mergeCell ref="EX347:EY347"/>
    <mergeCell ref="EX338:EZ338"/>
    <mergeCell ref="FA338:FC338"/>
    <mergeCell ref="FD345:FE345"/>
    <mergeCell ref="FD338:FF338"/>
    <mergeCell ref="FA337:FC337"/>
    <mergeCell ref="EX345:EY345"/>
    <mergeCell ref="FA343:FB343"/>
    <mergeCell ref="DR450:ED450"/>
    <mergeCell ref="EZ453:FA453"/>
    <mergeCell ref="EM451:EN451"/>
    <mergeCell ref="EG451:EI451"/>
    <mergeCell ref="EG450:EQ450"/>
    <mergeCell ref="EF449:FE449"/>
    <mergeCell ref="DN345:DO345"/>
    <mergeCell ref="DT332:DV332"/>
    <mergeCell ref="DH334:DJ334"/>
    <mergeCell ref="EI341:EJ341"/>
    <mergeCell ref="DQ343:DR343"/>
    <mergeCell ref="EF347:EG347"/>
    <mergeCell ref="DW347:DX347"/>
    <mergeCell ref="DZ347:EA347"/>
    <mergeCell ref="EU334:EW334"/>
    <mergeCell ref="EO338:EQ338"/>
    <mergeCell ref="EL334:EN334"/>
    <mergeCell ref="EL338:EN338"/>
    <mergeCell ref="EU335:EW335"/>
    <mergeCell ref="EX337:EZ337"/>
    <mergeCell ref="EX332:EZ332"/>
    <mergeCell ref="EF335:EH335"/>
    <mergeCell ref="EF334:EH334"/>
    <mergeCell ref="EI334:EK334"/>
    <mergeCell ref="DQ335:DS335"/>
    <mergeCell ref="DZ332:EB332"/>
    <mergeCell ref="DQ341:DR341"/>
    <mergeCell ref="DT341:DU341"/>
    <mergeCell ref="FA335:FC335"/>
    <mergeCell ref="EX343:EY343"/>
    <mergeCell ref="FD337:FF337"/>
    <mergeCell ref="FD341:FE341"/>
    <mergeCell ref="FD334:FF334"/>
    <mergeCell ref="DQ337:DS337"/>
    <mergeCell ref="DQ347:DR347"/>
    <mergeCell ref="DW338:DY338"/>
    <mergeCell ref="EO343:EP343"/>
    <mergeCell ref="DN338:DP338"/>
    <mergeCell ref="EX335:EZ335"/>
    <mergeCell ref="CY334:DA334"/>
    <mergeCell ref="CM328:CO328"/>
    <mergeCell ref="BO334:BQ334"/>
    <mergeCell ref="BR338:BT338"/>
    <mergeCell ref="EO347:EP347"/>
    <mergeCell ref="EO345:EP345"/>
    <mergeCell ref="DB329:DD329"/>
    <mergeCell ref="DN335:DP335"/>
    <mergeCell ref="DN329:DP329"/>
    <mergeCell ref="DQ331:DS331"/>
    <mergeCell ref="DQ328:DS328"/>
    <mergeCell ref="DN328:DP328"/>
    <mergeCell ref="DQ329:DS329"/>
    <mergeCell ref="ER338:ET338"/>
    <mergeCell ref="CY338:DA338"/>
    <mergeCell ref="EX328:EZ328"/>
    <mergeCell ref="EI328:EK328"/>
    <mergeCell ref="EO331:EQ331"/>
    <mergeCell ref="EO328:EQ328"/>
    <mergeCell ref="EL328:EN328"/>
    <mergeCell ref="EU329:EW329"/>
    <mergeCell ref="EU331:EW331"/>
    <mergeCell ref="EX331:EZ331"/>
    <mergeCell ref="DZ329:EB329"/>
    <mergeCell ref="ER329:ET329"/>
    <mergeCell ref="DK328:DM328"/>
    <mergeCell ref="BU338:BW338"/>
    <mergeCell ref="BU335:BW335"/>
    <mergeCell ref="BX341:BY341"/>
    <mergeCell ref="ER334:ET334"/>
    <mergeCell ref="BI320:BJ320"/>
    <mergeCell ref="CE318:CW318"/>
    <mergeCell ref="DB328:DD328"/>
    <mergeCell ref="CV334:CX334"/>
    <mergeCell ref="BO320:BP320"/>
    <mergeCell ref="BL326:BN326"/>
    <mergeCell ref="BX331:BZ331"/>
    <mergeCell ref="BU332:BW332"/>
    <mergeCell ref="BU334:BW334"/>
    <mergeCell ref="BU326:BW326"/>
    <mergeCell ref="BU331:BW331"/>
    <mergeCell ref="BL325:BN325"/>
    <mergeCell ref="CA332:CC332"/>
    <mergeCell ref="CP329:CR329"/>
    <mergeCell ref="CM332:CO332"/>
    <mergeCell ref="BI326:BK326"/>
    <mergeCell ref="CD332:CF332"/>
    <mergeCell ref="DC320:DD320"/>
    <mergeCell ref="DB326:DD326"/>
    <mergeCell ref="CA334:CC334"/>
    <mergeCell ref="CJ329:CL329"/>
    <mergeCell ref="BR334:BT334"/>
    <mergeCell ref="BR332:BT332"/>
    <mergeCell ref="BO332:BQ332"/>
    <mergeCell ref="CD328:CF328"/>
    <mergeCell ref="CG329:CI329"/>
    <mergeCell ref="BR329:BT329"/>
    <mergeCell ref="CG331:CI331"/>
    <mergeCell ref="CJ331:CL331"/>
    <mergeCell ref="BX328:BZ328"/>
    <mergeCell ref="BR328:BT328"/>
    <mergeCell ref="CD331:CF331"/>
    <mergeCell ref="AE320:AF320"/>
    <mergeCell ref="BC313:BD313"/>
    <mergeCell ref="T328:W328"/>
    <mergeCell ref="CS331:CU331"/>
    <mergeCell ref="AB328:AD328"/>
    <mergeCell ref="BI328:BK328"/>
    <mergeCell ref="CD326:CF326"/>
    <mergeCell ref="CD325:CF325"/>
    <mergeCell ref="BU319:BV319"/>
    <mergeCell ref="BW319:BX319"/>
    <mergeCell ref="CJ322:CL324"/>
    <mergeCell ref="CG322:CI324"/>
    <mergeCell ref="CM320:CN320"/>
    <mergeCell ref="CJ326:CL326"/>
    <mergeCell ref="BX326:BZ326"/>
    <mergeCell ref="CS326:CU326"/>
    <mergeCell ref="CJ328:CL328"/>
    <mergeCell ref="CP326:CR326"/>
    <mergeCell ref="AE328:AG328"/>
    <mergeCell ref="BX329:BZ329"/>
    <mergeCell ref="CD329:CF329"/>
    <mergeCell ref="CP328:CR328"/>
    <mergeCell ref="CM329:CO329"/>
    <mergeCell ref="AK326:AM326"/>
    <mergeCell ref="AN326:AP326"/>
    <mergeCell ref="AQ326:AS326"/>
    <mergeCell ref="AZ326:BB326"/>
    <mergeCell ref="BR325:BT325"/>
    <mergeCell ref="AR319:AS319"/>
    <mergeCell ref="AE329:AG329"/>
    <mergeCell ref="CS329:CU329"/>
    <mergeCell ref="BS313:BV313"/>
    <mergeCell ref="BT291:BU291"/>
    <mergeCell ref="BN77:BP77"/>
    <mergeCell ref="BV294:BW294"/>
    <mergeCell ref="AG311:AJ311"/>
    <mergeCell ref="CV326:CX326"/>
    <mergeCell ref="BL328:BN328"/>
    <mergeCell ref="BL322:BN324"/>
    <mergeCell ref="BC325:BE325"/>
    <mergeCell ref="CG313:CJ313"/>
    <mergeCell ref="CP322:CR324"/>
    <mergeCell ref="BR319:BS319"/>
    <mergeCell ref="BQ320:BR320"/>
    <mergeCell ref="BS320:BT320"/>
    <mergeCell ref="T331:W331"/>
    <mergeCell ref="BU322:BW324"/>
    <mergeCell ref="BX322:BZ324"/>
    <mergeCell ref="CO320:CP320"/>
    <mergeCell ref="CC320:CD320"/>
    <mergeCell ref="CA331:CC331"/>
    <mergeCell ref="CG328:CI328"/>
    <mergeCell ref="AW325:AY325"/>
    <mergeCell ref="T326:W327"/>
    <mergeCell ref="BE317:BW317"/>
    <mergeCell ref="BI322:BK324"/>
    <mergeCell ref="BK313:BN313"/>
    <mergeCell ref="AQ322:AS324"/>
    <mergeCell ref="BE320:BF320"/>
    <mergeCell ref="BG313:BJ313"/>
    <mergeCell ref="CC315:CD315"/>
    <mergeCell ref="BE318:BW318"/>
    <mergeCell ref="BR297:BT297"/>
    <mergeCell ref="BU297:BX297"/>
    <mergeCell ref="CB310:CD311"/>
    <mergeCell ref="CE310:CF310"/>
    <mergeCell ref="BQ310:BR310"/>
    <mergeCell ref="BQ311:BR311"/>
    <mergeCell ref="BI307:BJ307"/>
    <mergeCell ref="AH294:AI294"/>
    <mergeCell ref="BP292:BS292"/>
    <mergeCell ref="CH299:CJ299"/>
    <mergeCell ref="BJ295:BK295"/>
    <mergeCell ref="BJ298:BM298"/>
    <mergeCell ref="BF295:BG295"/>
    <mergeCell ref="CG297:CI297"/>
    <mergeCell ref="BX295:BY295"/>
    <mergeCell ref="BE311:BF311"/>
    <mergeCell ref="BG298:BI298"/>
    <mergeCell ref="AK307:AL307"/>
    <mergeCell ref="AK311:AN311"/>
    <mergeCell ref="BB310:BD311"/>
    <mergeCell ref="AI307:AJ307"/>
    <mergeCell ref="AX303:AY303"/>
    <mergeCell ref="CF295:CG295"/>
    <mergeCell ref="CE311:CF311"/>
    <mergeCell ref="CG309:CJ310"/>
    <mergeCell ref="CI300:CJ300"/>
    <mergeCell ref="CH296:CI296"/>
    <mergeCell ref="CJ294:CK294"/>
    <mergeCell ref="CF300:CH300"/>
    <mergeCell ref="CI305:CJ305"/>
    <mergeCell ref="CB301:CE302"/>
    <mergeCell ref="BI305:BJ305"/>
    <mergeCell ref="BP307:BZ308"/>
    <mergeCell ref="BJ294:BK294"/>
    <mergeCell ref="F4:R4"/>
    <mergeCell ref="AT301:AU301"/>
    <mergeCell ref="AQ303:AS303"/>
    <mergeCell ref="AU319:AV319"/>
    <mergeCell ref="BH296:BI296"/>
    <mergeCell ref="BF303:BH303"/>
    <mergeCell ref="AJ231:AL231"/>
    <mergeCell ref="BF289:BG289"/>
    <mergeCell ref="AS313:AV313"/>
    <mergeCell ref="AE311:AF311"/>
    <mergeCell ref="Y291:Z292"/>
    <mergeCell ref="BB75:BC75"/>
    <mergeCell ref="BH69:BJ69"/>
    <mergeCell ref="AC315:AD315"/>
    <mergeCell ref="AI305:AJ305"/>
    <mergeCell ref="BP305:BZ306"/>
    <mergeCell ref="BF307:BH307"/>
    <mergeCell ref="AK305:AL305"/>
    <mergeCell ref="AB301:AE302"/>
    <mergeCell ref="BV303:BW303"/>
    <mergeCell ref="BW309:BZ310"/>
    <mergeCell ref="BT303:BU303"/>
    <mergeCell ref="AC313:AD313"/>
    <mergeCell ref="BX294:BY294"/>
    <mergeCell ref="BP293:BZ293"/>
    <mergeCell ref="BS289:BU289"/>
    <mergeCell ref="BH67:BJ67"/>
    <mergeCell ref="BQ67:BS67"/>
    <mergeCell ref="AJ71:AK71"/>
    <mergeCell ref="BN73:BP73"/>
    <mergeCell ref="BQ75:BS75"/>
    <mergeCell ref="BK71:BM71"/>
    <mergeCell ref="X289:AA290"/>
    <mergeCell ref="AF295:AG295"/>
    <mergeCell ref="AQ300:AS300"/>
    <mergeCell ref="AK299:AN299"/>
    <mergeCell ref="AK300:AL300"/>
    <mergeCell ref="AF301:AH301"/>
    <mergeCell ref="AI300:AJ300"/>
    <mergeCell ref="AG309:AJ310"/>
    <mergeCell ref="AQ301:AS301"/>
    <mergeCell ref="AP305:AZ306"/>
    <mergeCell ref="AF303:AH303"/>
    <mergeCell ref="AX301:AY301"/>
    <mergeCell ref="AE310:AF310"/>
    <mergeCell ref="BB301:BE302"/>
    <mergeCell ref="BH73:BJ73"/>
    <mergeCell ref="AH299:AJ299"/>
    <mergeCell ref="BF77:BG77"/>
    <mergeCell ref="BH294:BI294"/>
    <mergeCell ref="AG298:AI298"/>
    <mergeCell ref="AF300:AH300"/>
    <mergeCell ref="AJ298:AM298"/>
    <mergeCell ref="AP293:AZ293"/>
    <mergeCell ref="BH74:BJ74"/>
    <mergeCell ref="AO216:AS216"/>
    <mergeCell ref="AO218:AQ218"/>
    <mergeCell ref="AP73:AQ73"/>
    <mergeCell ref="BB73:BC73"/>
    <mergeCell ref="BD77:BE77"/>
    <mergeCell ref="AN77:AO77"/>
    <mergeCell ref="AJ294:AK294"/>
    <mergeCell ref="BJ297:BM297"/>
    <mergeCell ref="AT299:AV299"/>
    <mergeCell ref="BV66:BX67"/>
    <mergeCell ref="BN67:BP67"/>
    <mergeCell ref="AP67:AS67"/>
    <mergeCell ref="BT66:BU67"/>
    <mergeCell ref="BE310:BF310"/>
    <mergeCell ref="AG315:AJ315"/>
    <mergeCell ref="AK315:AN315"/>
    <mergeCell ref="AF307:AH307"/>
    <mergeCell ref="AE313:AF313"/>
    <mergeCell ref="AE315:AF315"/>
    <mergeCell ref="AF305:AH305"/>
    <mergeCell ref="AW309:AZ310"/>
    <mergeCell ref="AM303:AN303"/>
    <mergeCell ref="BF305:BH305"/>
    <mergeCell ref="BG315:BJ315"/>
    <mergeCell ref="BH299:BJ299"/>
    <mergeCell ref="BG320:BH320"/>
    <mergeCell ref="BG311:BJ311"/>
    <mergeCell ref="BG309:BJ310"/>
    <mergeCell ref="AI301:AJ301"/>
    <mergeCell ref="AM300:AN300"/>
    <mergeCell ref="AX295:AY295"/>
    <mergeCell ref="AL295:AM295"/>
    <mergeCell ref="AW299:AZ299"/>
    <mergeCell ref="AV300:AW300"/>
    <mergeCell ref="AV303:AW303"/>
    <mergeCell ref="AG297:AI297"/>
    <mergeCell ref="AR298:AT298"/>
    <mergeCell ref="AU298:AX298"/>
    <mergeCell ref="AJ296:AK296"/>
    <mergeCell ref="AH296:AI296"/>
    <mergeCell ref="AF296:AG296"/>
  </mergeCells>
  <conditionalFormatting sqref="AP81:AQ81 AP96:AQ212">
    <cfRule type="expression" dxfId="3093" priority="7461">
      <formula>$BA$3&gt;(INDEX($Q$1:$Q$20,ROW(),1))</formula>
    </cfRule>
  </conditionalFormatting>
  <conditionalFormatting sqref="AV321:AZ321 AV349:AZ421 BV336:CA336 CV336:DA336 DV336:DZ336 DV327:DZ327 CV327:DA327 BV327:CA327 BV340:CA340 CV340:DA340 DV340:DZ340 BV330:CA330 CV330:DA330 DV330:DZ330 BV349:CA421 CV349:DA421 DV349:DZ421 BV342:CA342 CV342:DA342 DV342:DZ342 BV321:CA321 CV321:DA321 DV321:DZ321">
    <cfRule type="cellIs" dxfId="3092" priority="7451" operator="equal">
      <formula>"Y"</formula>
    </cfRule>
    <cfRule type="cellIs" dxfId="3091" priority="7452" operator="equal">
      <formula>"R"</formula>
    </cfRule>
  </conditionalFormatting>
  <conditionalFormatting sqref="AH295:AK295">
    <cfRule type="expression" dxfId="3090" priority="7450">
      <formula>$AF$295=""</formula>
    </cfRule>
  </conditionalFormatting>
  <conditionalFormatting sqref="BK287">
    <cfRule type="cellIs" dxfId="3089" priority="7410" operator="equal">
      <formula>""</formula>
    </cfRule>
  </conditionalFormatting>
  <conditionalFormatting sqref="AV290 AF295:AM295 AG298 AR298 AF301:AL301 AF303 AF305:AL305 AE311 AE313 AE315:AE316 BS290 BV290 CS290 CV290 DS290 DV290 AI303 AK303 AP307 AF307 AI307 AK307 AU298 AJ298 AG311 AK311 AG313 AK313 AG315:AG316 AK315:AK316">
    <cfRule type="cellIs" dxfId="3088" priority="7408" operator="equal">
      <formula>" "</formula>
    </cfRule>
  </conditionalFormatting>
  <conditionalFormatting sqref="N67">
    <cfRule type="cellIs" dxfId="3087" priority="7363" operator="lessThan">
      <formula>$N$6</formula>
    </cfRule>
  </conditionalFormatting>
  <conditionalFormatting sqref="BW457:BX457 CX457:CY457 DY457:DZ457 EZ457:FA457 BP457:BQ457">
    <cfRule type="expression" dxfId="3086" priority="7546" stopIfTrue="1">
      <formula>AND($AQ$6&lt;&gt;"Wind Chill",OR(COLUMN()=75,COLUMN()=76,COLUMN()=102,COLUMN()=103,COLUMN()=129,COLUMN()=130,COLUMN()=156,COLUMN()=157))</formula>
    </cfRule>
  </conditionalFormatting>
  <conditionalFormatting sqref="BD6:BG8">
    <cfRule type="expression" dxfId="3085" priority="7359">
      <formula>$AQ$6&lt;&gt;"WBGT"</formula>
    </cfRule>
  </conditionalFormatting>
  <conditionalFormatting sqref="K65">
    <cfRule type="expression" dxfId="3084" priority="7731">
      <formula>VALUE(MID($K$66,49,11))&lt;$Q$6</formula>
    </cfRule>
  </conditionalFormatting>
  <conditionalFormatting sqref="AF6">
    <cfRule type="expression" dxfId="3083" priority="7358">
      <formula>ISBLANK($AC$6)</formula>
    </cfRule>
  </conditionalFormatting>
  <conditionalFormatting sqref="Q71">
    <cfRule type="expression" dxfId="3082" priority="7357">
      <formula>$W$72&lt;$Q$6-1</formula>
    </cfRule>
  </conditionalFormatting>
  <conditionalFormatting sqref="AT68">
    <cfRule type="expression" dxfId="3081" priority="7355">
      <formula>AND($V$78="LAMP",OR($V$75="MODEL",$AZ$68=""))</formula>
    </cfRule>
  </conditionalFormatting>
  <conditionalFormatting sqref="AH68:AI68">
    <cfRule type="expression" dxfId="3080" priority="7245" stopIfTrue="1">
      <formula>AND($V$78="LAMP",OR($V$75="MODEL",$AN$68=""))</formula>
    </cfRule>
  </conditionalFormatting>
  <conditionalFormatting sqref="AH69:AI69">
    <cfRule type="expression" dxfId="3079" priority="7353">
      <formula>AND($V$78="LAMP",OR($V$75="MODEL",$AN$69=""))</formula>
    </cfRule>
  </conditionalFormatting>
  <conditionalFormatting sqref="AH71:AI71">
    <cfRule type="expression" dxfId="3078" priority="7352">
      <formula>AND($V$78="LAMP",OR($V$75="MODEL",$AN$71=""))</formula>
    </cfRule>
  </conditionalFormatting>
  <conditionalFormatting sqref="AH73:AI73">
    <cfRule type="expression" dxfId="3077" priority="7351">
      <formula>AND($V$78="LAMP",OR($V$75="MODEL",$AN$73=""))</formula>
    </cfRule>
  </conditionalFormatting>
  <conditionalFormatting sqref="AH75:AI75">
    <cfRule type="expression" dxfId="3076" priority="7350">
      <formula>AND($V$78="LAMP",OR($V$75="MODEL",$AN$75=""))</formula>
    </cfRule>
  </conditionalFormatting>
  <conditionalFormatting sqref="AH77:AI77">
    <cfRule type="expression" dxfId="3075" priority="7349">
      <formula>AND($V$78="LAMP",OR($V$75="MODEL",$AN$77=""))</formula>
    </cfRule>
  </conditionalFormatting>
  <conditionalFormatting sqref="AH79:AI79">
    <cfRule type="expression" dxfId="3074" priority="7348">
      <formula>AND($V$78="LAMP",OR($V$75="MODEL",$AN$79=""))</formula>
    </cfRule>
  </conditionalFormatting>
  <conditionalFormatting sqref="AH70:AI70">
    <cfRule type="expression" dxfId="3073" priority="7347">
      <formula>AND($V$78="LAMP",OR($V$75="MODEL",$AN$70=""))</formula>
    </cfRule>
  </conditionalFormatting>
  <conditionalFormatting sqref="AH72:AI72">
    <cfRule type="expression" dxfId="3072" priority="7346">
      <formula>AND($V$78="LAMP",OR($V$75="MODEL",$AN$72=""))</formula>
    </cfRule>
  </conditionalFormatting>
  <conditionalFormatting sqref="AH74:AI74">
    <cfRule type="expression" dxfId="3071" priority="7345">
      <formula>AND($V$78="LAMP",OR($V$75="MODEL",$AN$74=""))</formula>
    </cfRule>
  </conditionalFormatting>
  <conditionalFormatting sqref="AH76:AI76">
    <cfRule type="expression" dxfId="3070" priority="7344">
      <formula>AND($V$78="LAMP",OR($V$75="MODEL",$AN76=""))</formula>
    </cfRule>
  </conditionalFormatting>
  <conditionalFormatting sqref="AH78:AI78">
    <cfRule type="expression" dxfId="3069" priority="7343">
      <formula>AND($V$78="LAMP",OR($V$75="MODEL",$AN$78=""))</formula>
    </cfRule>
  </conditionalFormatting>
  <conditionalFormatting sqref="AH80:AI80">
    <cfRule type="expression" dxfId="3068" priority="7342">
      <formula>AND($V$78="LAMP",OR($V$75="MODEL",$AN$80=""))</formula>
    </cfRule>
  </conditionalFormatting>
  <conditionalFormatting sqref="AJ68:AK68">
    <cfRule type="expression" dxfId="3067" priority="7244">
      <formula>AND($V$78="NAM",OR($V$75="MODEL",$AN$68=""))</formula>
    </cfRule>
  </conditionalFormatting>
  <conditionalFormatting sqref="AJ70:AK70">
    <cfRule type="expression" dxfId="3066" priority="7340">
      <formula>AND($V$78="NAM",OR($V$75="MODEL",$AN$70=""))</formula>
    </cfRule>
  </conditionalFormatting>
  <conditionalFormatting sqref="AJ72:AK72">
    <cfRule type="expression" dxfId="3065" priority="7339">
      <formula>AND($V$78="NAM",OR($V$75="MODEL",$AN$72=""))</formula>
    </cfRule>
  </conditionalFormatting>
  <conditionalFormatting sqref="AJ74:AK74">
    <cfRule type="expression" dxfId="3064" priority="7338">
      <formula>AND($V$78="NAM",OR($V$75="MODEL",$AN$74=""))</formula>
    </cfRule>
  </conditionalFormatting>
  <conditionalFormatting sqref="AJ76:AK76">
    <cfRule type="expression" dxfId="3063" priority="7337">
      <formula>AND($V$78="NAM",OR($V$75="MODEL",$AN$76=""))</formula>
    </cfRule>
  </conditionalFormatting>
  <conditionalFormatting sqref="AJ78:AK78">
    <cfRule type="expression" dxfId="3062" priority="7336">
      <formula>AND($V$78="NAM",OR($V$75="MODEL",$AN$78=""))</formula>
    </cfRule>
  </conditionalFormatting>
  <conditionalFormatting sqref="AJ80:AK80">
    <cfRule type="expression" dxfId="3061" priority="7335">
      <formula>AND($V$78="NAM",OR($V$75="MODEL",$AN$80=""))</formula>
    </cfRule>
  </conditionalFormatting>
  <conditionalFormatting sqref="AJ69:AK69">
    <cfRule type="expression" dxfId="3060" priority="7334">
      <formula>AND($V$78="NAM",OR($V$75="MODEL",$AN$69=""))</formula>
    </cfRule>
  </conditionalFormatting>
  <conditionalFormatting sqref="AJ71:AK71">
    <cfRule type="expression" dxfId="3059" priority="7333">
      <formula>AND($V$78="NAM",OR($V$75="MODEL",$AN$71=""))</formula>
    </cfRule>
  </conditionalFormatting>
  <conditionalFormatting sqref="AJ73:AK73">
    <cfRule type="expression" dxfId="3058" priority="7332">
      <formula>AND($V$78="NAM",OR($V$75="MODEL",$AN$73=""))</formula>
    </cfRule>
  </conditionalFormatting>
  <conditionalFormatting sqref="AJ75:AK75">
    <cfRule type="expression" dxfId="3057" priority="7331">
      <formula>AND($V$78="NAM",OR($V$75="MODEL",$AN$75=""))</formula>
    </cfRule>
  </conditionalFormatting>
  <conditionalFormatting sqref="AJ77:AK77">
    <cfRule type="expression" dxfId="3056" priority="7330">
      <formula>AND($V$78="NAM",OR($V$75="MODEL",$AN$77=""))</formula>
    </cfRule>
  </conditionalFormatting>
  <conditionalFormatting sqref="AJ79:AK79">
    <cfRule type="expression" dxfId="3055" priority="7329">
      <formula>AND($V$78="NAM",OR($V$75="MODEL",$AN$79=""))</formula>
    </cfRule>
  </conditionalFormatting>
  <conditionalFormatting sqref="AH67:AI67 AT67">
    <cfRule type="expression" dxfId="3054" priority="7328">
      <formula>AND($V$75="MODEL",$V$78="LAMP")</formula>
    </cfRule>
  </conditionalFormatting>
  <conditionalFormatting sqref="AJ67:AK67 AV67">
    <cfRule type="expression" dxfId="3053" priority="7327">
      <formula>AND($V$75="MODEL",$V$78="NAM")</formula>
    </cfRule>
  </conditionalFormatting>
  <conditionalFormatting sqref="AL67:AM67 AX67">
    <cfRule type="expression" dxfId="3052" priority="7326">
      <formula>AND($V$75="MODEL",$V$78="GALWEM")</formula>
    </cfRule>
  </conditionalFormatting>
  <conditionalFormatting sqref="AL327:AM327 AX327:AY327 AX330:AY330 AL330:AM330 AX340:AY340 AL336:AM336 AX336:AY336 AN67:AO80 AZ67:BA80 BN67:BP80">
    <cfRule type="expression" dxfId="3051" priority="7325">
      <formula>$V$75="MANUAL"</formula>
    </cfRule>
  </conditionalFormatting>
  <conditionalFormatting sqref="AL68:AM68">
    <cfRule type="expression" dxfId="3050" priority="7243">
      <formula>AND($V$78="GALWEM",OR($V$75="MODEL",$AN$68=""))</formula>
    </cfRule>
  </conditionalFormatting>
  <conditionalFormatting sqref="AL70:AM70">
    <cfRule type="expression" dxfId="3049" priority="7323">
      <formula>AND($V$78="GALWEM",OR($V$75="MODEL",$AN$70=""))</formula>
    </cfRule>
  </conditionalFormatting>
  <conditionalFormatting sqref="AL72:AM72">
    <cfRule type="expression" dxfId="3048" priority="7322">
      <formula>AND($V$78="GALWEM",OR($V$75="MODEL",$AN$72=""))</formula>
    </cfRule>
  </conditionalFormatting>
  <conditionalFormatting sqref="AL74:AM74">
    <cfRule type="expression" dxfId="3047" priority="7321">
      <formula>AND($V$78="GALWEM",OR($V$75="MODEL",$AN$74=""))</formula>
    </cfRule>
  </conditionalFormatting>
  <conditionalFormatting sqref="AL76:AM76">
    <cfRule type="expression" dxfId="3046" priority="7320">
      <formula>AND($V$78="GALWEM",OR($V$75="MODEL",$AN$76=""))</formula>
    </cfRule>
  </conditionalFormatting>
  <conditionalFormatting sqref="AL78:AM78">
    <cfRule type="expression" dxfId="3045" priority="7319">
      <formula>AND($V$78="GALWEM",OR($V$75="MODEL",$AN$78=""))</formula>
    </cfRule>
  </conditionalFormatting>
  <conditionalFormatting sqref="AL80:AM80">
    <cfRule type="expression" dxfId="3044" priority="7318">
      <formula>AND($V$78="GALWEM",OR($V$75="MODEL",$AN$80=""))</formula>
    </cfRule>
  </conditionalFormatting>
  <conditionalFormatting sqref="AL69:AM69">
    <cfRule type="expression" dxfId="3043" priority="7317">
      <formula>AND($V$78="GALWEM",OR($V$75="MODEL",$AN$69=""))</formula>
    </cfRule>
  </conditionalFormatting>
  <conditionalFormatting sqref="AL71:AM71">
    <cfRule type="expression" dxfId="3042" priority="7316">
      <formula>AND($V$78="GALWEM",OR($V$75="MODEL",$AN$71=""))</formula>
    </cfRule>
  </conditionalFormatting>
  <conditionalFormatting sqref="AL73:AM73">
    <cfRule type="expression" dxfId="3041" priority="7315">
      <formula>AND($V$78="GALWEM",OR($V$75="MODEL",$AN$73=""))</formula>
    </cfRule>
  </conditionalFormatting>
  <conditionalFormatting sqref="AL75:AM75">
    <cfRule type="expression" dxfId="3040" priority="7314">
      <formula>AND($V$78="GALWEM",OR($V$75="MODEL",$AN$75=""))</formula>
    </cfRule>
  </conditionalFormatting>
  <conditionalFormatting sqref="AL77:AM77">
    <cfRule type="expression" dxfId="3039" priority="7313">
      <formula>AND($V$78="GALWEM",OR($V$75="MODEL",$AN$77=""))</formula>
    </cfRule>
  </conditionalFormatting>
  <conditionalFormatting sqref="AL79:AM79">
    <cfRule type="expression" dxfId="3038" priority="7312">
      <formula>AND($V$78="GALWEM",OR($V$75="MODEL",$AN$79=""))</formula>
    </cfRule>
  </conditionalFormatting>
  <conditionalFormatting sqref="AT70">
    <cfRule type="expression" dxfId="3037" priority="7310">
      <formula>AND($V$78="LAMP",OR($V$75="MODEL",$AZ$70=""))</formula>
    </cfRule>
  </conditionalFormatting>
  <conditionalFormatting sqref="AT72">
    <cfRule type="expression" dxfId="3036" priority="7309">
      <formula>AND($V$78="LAMP",OR($V$75="MODEL",$AZ$72=""))</formula>
    </cfRule>
  </conditionalFormatting>
  <conditionalFormatting sqref="AT74">
    <cfRule type="expression" dxfId="3035" priority="7308">
      <formula>AND($V$78="LAMP",OR($V$75="MODEL",$AZ$74=""))</formula>
    </cfRule>
  </conditionalFormatting>
  <conditionalFormatting sqref="AT76">
    <cfRule type="expression" dxfId="3034" priority="7307">
      <formula>AND($V$78="LAMP",OR($V$75="MODEL",$AZ$76=""))</formula>
    </cfRule>
  </conditionalFormatting>
  <conditionalFormatting sqref="AT78">
    <cfRule type="expression" dxfId="3033" priority="7306">
      <formula>AND($V$78="LAMP",OR($V$75="MODEL",$AZ$78=""))</formula>
    </cfRule>
  </conditionalFormatting>
  <conditionalFormatting sqref="AT80">
    <cfRule type="expression" dxfId="3032" priority="7305">
      <formula>AND($V$78="LAMP",OR($V$75="MODEL",$AZ$80=""))</formula>
    </cfRule>
  </conditionalFormatting>
  <conditionalFormatting sqref="AT69:AU69">
    <cfRule type="expression" dxfId="3031" priority="7304">
      <formula>AND($V$78="LAMP",OR($V$75="MODEL",$AZ$69=""))</formula>
    </cfRule>
  </conditionalFormatting>
  <conditionalFormatting sqref="AT71:AU71">
    <cfRule type="expression" dxfId="3030" priority="7303">
      <formula>AND($V$78="LAMP",OR($V$75="MODEL",$AZ$71=""))</formula>
    </cfRule>
  </conditionalFormatting>
  <conditionalFormatting sqref="AT73:AU73">
    <cfRule type="expression" dxfId="3029" priority="7302">
      <formula>AND($V$78="LAMP",OR($V$75="MODEL",$AZ$73=""))</formula>
    </cfRule>
  </conditionalFormatting>
  <conditionalFormatting sqref="AT75:AU75">
    <cfRule type="expression" dxfId="3028" priority="7301">
      <formula>AND($V$78="LAMP",OR($V$75="MODEL",$AZ$75=""))</formula>
    </cfRule>
  </conditionalFormatting>
  <conditionalFormatting sqref="AT77:AU77">
    <cfRule type="expression" dxfId="3027" priority="7300">
      <formula>AND($V$78="LAMP",OR($V$75="MODEL",$AZ$77=""))</formula>
    </cfRule>
  </conditionalFormatting>
  <conditionalFormatting sqref="AT79:AU79">
    <cfRule type="expression" dxfId="3026" priority="7299">
      <formula>AND($V$78="LAMP",OR($V$75="MODEL",$AZ$79=""))</formula>
    </cfRule>
  </conditionalFormatting>
  <conditionalFormatting sqref="AV68:AW68">
    <cfRule type="expression" dxfId="3025" priority="7298">
      <formula>AND($V$78="NAM",OR($V$75="MODEL",$AZ$68=""))</formula>
    </cfRule>
  </conditionalFormatting>
  <conditionalFormatting sqref="AV70:AW70">
    <cfRule type="expression" dxfId="3024" priority="7297">
      <formula>AND($V$78="NAM",OR($V$75="MODEL",$AZ$70=""))</formula>
    </cfRule>
  </conditionalFormatting>
  <conditionalFormatting sqref="AV72:AW72">
    <cfRule type="expression" dxfId="3023" priority="7296">
      <formula>AND($V$78="NAM",OR($V$75="MODEL",$AZ$72=""))</formula>
    </cfRule>
  </conditionalFormatting>
  <conditionalFormatting sqref="AV74:AW74">
    <cfRule type="expression" dxfId="3022" priority="7295">
      <formula>AND($V$78="NAM",OR($V$75="MODEL",$AZ$74=""))</formula>
    </cfRule>
  </conditionalFormatting>
  <conditionalFormatting sqref="AV76:AW76">
    <cfRule type="expression" dxfId="3021" priority="7294">
      <formula>AND($V$78="NAM",OR($V$75="MODEL",$AZ$76=""))</formula>
    </cfRule>
  </conditionalFormatting>
  <conditionalFormatting sqref="AV78:AW78">
    <cfRule type="expression" dxfId="3020" priority="7293">
      <formula>AND($V$78="NAM",OR($V$75="MODEL",$AZ$78=""))</formula>
    </cfRule>
  </conditionalFormatting>
  <conditionalFormatting sqref="AV80:AW80">
    <cfRule type="expression" dxfId="3019" priority="7292">
      <formula>AND($V$78="NAM",OR($V$75="MODEL",$AZ$80=""))</formula>
    </cfRule>
  </conditionalFormatting>
  <conditionalFormatting sqref="AV69:AW69">
    <cfRule type="expression" dxfId="3018" priority="7291">
      <formula>AND($V$78="NAM",OR($V$75="MODEL",$AZ$69=""))</formula>
    </cfRule>
  </conditionalFormatting>
  <conditionalFormatting sqref="AV71:AW71">
    <cfRule type="expression" dxfId="3017" priority="7290">
      <formula>AND($V$78="NAM",OR($V$75="MODEL",$AZ$71=""))</formula>
    </cfRule>
  </conditionalFormatting>
  <conditionalFormatting sqref="AV73:AW73">
    <cfRule type="expression" dxfId="3016" priority="7289">
      <formula>AND($V$78="NAM",OR($V$75="MODEL",$AZ$73=""))</formula>
    </cfRule>
  </conditionalFormatting>
  <conditionalFormatting sqref="AV75:AW75">
    <cfRule type="expression" dxfId="3015" priority="7288">
      <formula>AND($V$78="NAM",OR($V$75="MODEL",$AZ$75=""))</formula>
    </cfRule>
  </conditionalFormatting>
  <conditionalFormatting sqref="AV77:AW77">
    <cfRule type="expression" dxfId="3014" priority="7287">
      <formula>AND($V$78="NAM",OR($V$75="MODEL",$AZ$77=""))</formula>
    </cfRule>
  </conditionalFormatting>
  <conditionalFormatting sqref="AV79:AW79">
    <cfRule type="expression" dxfId="3013" priority="7286">
      <formula>AND($V$78="NAM",OR($V$75="MODEL",$AZ$79=""))</formula>
    </cfRule>
  </conditionalFormatting>
  <conditionalFormatting sqref="AX68:AY68">
    <cfRule type="expression" dxfId="3012" priority="7285">
      <formula>AND($V$78="GALWEM",OR($V$75="MODEL",$AZ$68=""))</formula>
    </cfRule>
  </conditionalFormatting>
  <conditionalFormatting sqref="AX69:AY69">
    <cfRule type="expression" dxfId="3011" priority="7284">
      <formula>AND($V$78="GALWEM",OR($V$75="MODEL",$AZ$69=""))</formula>
    </cfRule>
  </conditionalFormatting>
  <conditionalFormatting sqref="AX70:AY70">
    <cfRule type="expression" dxfId="3010" priority="7283">
      <formula>AND($V$78="GALWEM",OR($V$75="MODEL",$AZ$70=""))</formula>
    </cfRule>
  </conditionalFormatting>
  <conditionalFormatting sqref="AX72:AY72">
    <cfRule type="expression" dxfId="3009" priority="7282">
      <formula>AND($V$78="GALWEM",OR($V$75="MODEL",$AZ$72=""))</formula>
    </cfRule>
  </conditionalFormatting>
  <conditionalFormatting sqref="AX74:AY74">
    <cfRule type="expression" dxfId="3008" priority="7281">
      <formula>AND($V$78="GALWEM",OR($V$75="MODEL",$AZ$74=""))</formula>
    </cfRule>
  </conditionalFormatting>
  <conditionalFormatting sqref="AX76:AY76">
    <cfRule type="expression" dxfId="3007" priority="7280">
      <formula>AND($V$78="GALWEM",OR($V$75="MODEL",$AZ$76=""))</formula>
    </cfRule>
  </conditionalFormatting>
  <conditionalFormatting sqref="AX78:AY78">
    <cfRule type="expression" dxfId="3006" priority="7279">
      <formula>AND($V$78="GALWEM",OR($V$75="MODEL",$AZ$78=""))</formula>
    </cfRule>
  </conditionalFormatting>
  <conditionalFormatting sqref="AX80:AY80">
    <cfRule type="expression" dxfId="3005" priority="7278">
      <formula>AND($V$78="GALWEM",OR($V$75="MODEL",$AZ$80=""))</formula>
    </cfRule>
  </conditionalFormatting>
  <conditionalFormatting sqref="AX71:AY71">
    <cfRule type="expression" dxfId="3004" priority="7277">
      <formula>AND($V$78="GALWEM",OR($V$75="MODEL",$AZ$71=""))</formula>
    </cfRule>
  </conditionalFormatting>
  <conditionalFormatting sqref="AX73:AY73">
    <cfRule type="expression" dxfId="3003" priority="7276">
      <formula>AND($V$78="GALWEM",OR($V$75="MODEL",$AZ$73=""))</formula>
    </cfRule>
  </conditionalFormatting>
  <conditionalFormatting sqref="AX75:AY75">
    <cfRule type="expression" dxfId="3002" priority="7275">
      <formula>AND($V$78="GALWEM",OR($V$75="MODEL",$AZ$75=""))</formula>
    </cfRule>
  </conditionalFormatting>
  <conditionalFormatting sqref="AX77:AY77">
    <cfRule type="expression" dxfId="3001" priority="7274">
      <formula>AND($V$78="GALWEM",OR($V$75="MODEL",$AZ$77=""))</formula>
    </cfRule>
  </conditionalFormatting>
  <conditionalFormatting sqref="AX79:AY79">
    <cfRule type="expression" dxfId="3000" priority="7273">
      <formula>AND($V$78="GALWEM",OR($V$75="MODEL",$AZ$79=""))</formula>
    </cfRule>
  </conditionalFormatting>
  <conditionalFormatting sqref="BD68:BE80">
    <cfRule type="cellIs" dxfId="2999" priority="7272" operator="greaterThan">
      <formula>1</formula>
    </cfRule>
  </conditionalFormatting>
  <conditionalFormatting sqref="BH68:BJ68">
    <cfRule type="expression" dxfId="2998" priority="7240">
      <formula>AND($V$80="NAM",OR($V$75="MODEL",$BN$68=""))</formula>
    </cfRule>
  </conditionalFormatting>
  <conditionalFormatting sqref="BH69:BJ69">
    <cfRule type="expression" dxfId="2997" priority="7270">
      <formula>AND($V$80="NAM",OR($V$75="MODEL",$BN$69=""))</formula>
    </cfRule>
  </conditionalFormatting>
  <conditionalFormatting sqref="BH70:BJ70">
    <cfRule type="expression" dxfId="2996" priority="7269">
      <formula>AND($V$80="NAM",OR($V$75="MODEL",$BN$70=""))</formula>
    </cfRule>
  </conditionalFormatting>
  <conditionalFormatting sqref="BH72:BJ72">
    <cfRule type="expression" dxfId="2995" priority="7268">
      <formula>AND($V$80="NAM",OR($V$75="MODEL",$BN$72=""))</formula>
    </cfRule>
  </conditionalFormatting>
  <conditionalFormatting sqref="BH74:BJ74">
    <cfRule type="expression" dxfId="2994" priority="7267">
      <formula>AND($V$80="NAM",OR($V$75="MODEL",$BN$74=""))</formula>
    </cfRule>
  </conditionalFormatting>
  <conditionalFormatting sqref="BH76:BJ76">
    <cfRule type="expression" dxfId="2993" priority="7266">
      <formula>AND($V$80="NAM",OR($V$75="MODEL",$BN$76=""))</formula>
    </cfRule>
  </conditionalFormatting>
  <conditionalFormatting sqref="BH78:BJ78">
    <cfRule type="expression" dxfId="2992" priority="7265">
      <formula>AND($V$80="NAM",OR($V$75="MODEL",$BN$78=""))</formula>
    </cfRule>
  </conditionalFormatting>
  <conditionalFormatting sqref="BH80:BJ80">
    <cfRule type="expression" dxfId="2991" priority="7264">
      <formula>AND($V$80="NAM",OR($V$75="MODEL",$BN$80=""))</formula>
    </cfRule>
  </conditionalFormatting>
  <conditionalFormatting sqref="BH71:BJ71">
    <cfRule type="expression" dxfId="2990" priority="7263">
      <formula>AND($V$80="NAM",OR($V$75="MODEL",$BN$71=""))</formula>
    </cfRule>
  </conditionalFormatting>
  <conditionalFormatting sqref="BH73:BJ73">
    <cfRule type="expression" dxfId="2989" priority="7262">
      <formula>AND($V$80="NAM",OR($V$75="MODEL",$BN$73=""))</formula>
    </cfRule>
  </conditionalFormatting>
  <conditionalFormatting sqref="BH75:BJ75">
    <cfRule type="expression" dxfId="2988" priority="7261">
      <formula>AND($V$80="NAM",OR($V$75="MODEL",$BN$75=""))</formula>
    </cfRule>
  </conditionalFormatting>
  <conditionalFormatting sqref="BH77:BJ77">
    <cfRule type="expression" dxfId="2987" priority="7260">
      <formula>AND($V$80="NAM",OR($V$75="MODEL",$BN$77=""))</formula>
    </cfRule>
  </conditionalFormatting>
  <conditionalFormatting sqref="BH79:BJ79">
    <cfRule type="expression" dxfId="2986" priority="7259">
      <formula>AND($V$80="NAM",OR($V$75="MODEL",$BN$79=""))</formula>
    </cfRule>
  </conditionalFormatting>
  <conditionalFormatting sqref="BK68:BM68">
    <cfRule type="expression" dxfId="2985" priority="7239">
      <formula>AND($V$80="GALWEM",OR($V$75="MODEL",$BN$68=""))</formula>
    </cfRule>
  </conditionalFormatting>
  <conditionalFormatting sqref="BK69:BM69">
    <cfRule type="expression" dxfId="2984" priority="7257">
      <formula>AND($V$80="GALWEM",OR($V$75="MODEL",$BN$69=""))</formula>
    </cfRule>
  </conditionalFormatting>
  <conditionalFormatting sqref="BK70:BM70">
    <cfRule type="expression" dxfId="2983" priority="7256">
      <formula>AND($V$80="GALWEM",OR($V$75="MODEL",$BN$70=""))</formula>
    </cfRule>
  </conditionalFormatting>
  <conditionalFormatting sqref="BK72:BM72">
    <cfRule type="expression" dxfId="2982" priority="7255">
      <formula>AND($V$80="GALWEM",OR($V$75="MODEL",$BN$72=""))</formula>
    </cfRule>
  </conditionalFormatting>
  <conditionalFormatting sqref="BK74:BM74">
    <cfRule type="expression" dxfId="2981" priority="7254">
      <formula>AND($V$80="GALWEM",OR($V$75="MODEL",$BN$74=""))</formula>
    </cfRule>
  </conditionalFormatting>
  <conditionalFormatting sqref="BK76:BM76">
    <cfRule type="expression" dxfId="2980" priority="7253">
      <formula>AND($V$80="GALWEM",OR($V$75="MODEL",$BN$76=""))</formula>
    </cfRule>
  </conditionalFormatting>
  <conditionalFormatting sqref="BK78:BM78">
    <cfRule type="expression" dxfId="2979" priority="7252">
      <formula>AND($V$80="GALWEM",OR($V$75="MODEL",$BN$78=""))</formula>
    </cfRule>
  </conditionalFormatting>
  <conditionalFormatting sqref="BK80:BM80">
    <cfRule type="expression" dxfId="2978" priority="7251">
      <formula>AND($V$80="GALWEM",OR($V$75="MODEL",$BN$80=""))</formula>
    </cfRule>
  </conditionalFormatting>
  <conditionalFormatting sqref="BK71:BM71">
    <cfRule type="expression" dxfId="2977" priority="7250">
      <formula>AND($V$80="GALWEM",OR($V$75="MODEL",$BN$71=""))</formula>
    </cfRule>
  </conditionalFormatting>
  <conditionalFormatting sqref="BK73:BM73">
    <cfRule type="expression" dxfId="2976" priority="7249">
      <formula>AND($V$80="GALWEM",OR($V$75="MODEL",$BN$73=""))</formula>
    </cfRule>
  </conditionalFormatting>
  <conditionalFormatting sqref="BK75:BM75">
    <cfRule type="expression" dxfId="2975" priority="7248">
      <formula>AND($V$80="GALWEM",OR($V$75="MODEL",$BN$75=""))</formula>
    </cfRule>
  </conditionalFormatting>
  <conditionalFormatting sqref="BK77:BM77">
    <cfRule type="expression" dxfId="2974" priority="7247">
      <formula>AND($V$80="GALWEM",OR($V$75="MODEL",$BN$77=""))</formula>
    </cfRule>
  </conditionalFormatting>
  <conditionalFormatting sqref="BK79:BM79">
    <cfRule type="expression" dxfId="2973" priority="7246">
      <formula>AND($V$80="GALWEM",OR($V$75="MODEL",$BN$79=""))</formula>
    </cfRule>
  </conditionalFormatting>
  <conditionalFormatting sqref="AH68:AI80 AT68:AU80 AF327:AG327 AR327:AS327 AR330:AS330 AF330:AG330 AR340:AS340 AF336:AG336 AR336:AS336">
    <cfRule type="expression" dxfId="2972" priority="7356">
      <formula>$V$78="LAMP"</formula>
    </cfRule>
  </conditionalFormatting>
  <conditionalFormatting sqref="AL68:AM80 AX68:AY80 AJ327:AK327 AV327:AW327 AV330:AW330 AJ330:AK330 AV340:AW340 AJ336:AK336 AV336:AW336">
    <cfRule type="expression" dxfId="2971" priority="7324">
      <formula>$V$78="GALWEM"</formula>
    </cfRule>
  </conditionalFormatting>
  <conditionalFormatting sqref="BH67:BJ67">
    <cfRule type="expression" dxfId="2970" priority="7242">
      <formula>AND($V$75="MODEL",$V$80="NAM")</formula>
    </cfRule>
  </conditionalFormatting>
  <conditionalFormatting sqref="BK67:BM67">
    <cfRule type="expression" dxfId="2969" priority="7241">
      <formula>AND($V$75="MODEL",$V$80="GALWEM")</formula>
    </cfRule>
  </conditionalFormatting>
  <conditionalFormatting sqref="BK68:BM80">
    <cfRule type="expression" dxfId="2968" priority="7258">
      <formula>$V$80="GFS"</formula>
    </cfRule>
  </conditionalFormatting>
  <conditionalFormatting sqref="AF216:AI216 AF218:AI231">
    <cfRule type="expression" dxfId="2967" priority="7238">
      <formula>$V$217="MANUAL"</formula>
    </cfRule>
  </conditionalFormatting>
  <conditionalFormatting sqref="AJ216:AN216 AJ218:AN231">
    <cfRule type="expression" dxfId="2966" priority="7237">
      <formula>$V$217="MODEL"</formula>
    </cfRule>
  </conditionalFormatting>
  <conditionalFormatting sqref="Q215">
    <cfRule type="expression" dxfId="2965" priority="7236">
      <formula>$Q$214&lt;$AF$68</formula>
    </cfRule>
  </conditionalFormatting>
  <conditionalFormatting sqref="AN4">
    <cfRule type="expression" dxfId="2964" priority="7235">
      <formula>$AO$4=""</formula>
    </cfRule>
  </conditionalFormatting>
  <conditionalFormatting sqref="AQ4">
    <cfRule type="expression" dxfId="2963" priority="7234">
      <formula>$AR$4=""</formula>
    </cfRule>
  </conditionalFormatting>
  <conditionalFormatting sqref="BA84:BB84">
    <cfRule type="expression" dxfId="2962" priority="7233">
      <formula>$BA$82="No"</formula>
    </cfRule>
  </conditionalFormatting>
  <conditionalFormatting sqref="AQ84:AR84">
    <cfRule type="expression" dxfId="2961" priority="7230">
      <formula>$AQ$82="No"</formula>
    </cfRule>
  </conditionalFormatting>
  <conditionalFormatting sqref="BP84:BR84">
    <cfRule type="expression" dxfId="2960" priority="8186">
      <formula>$BP$82="No"</formula>
    </cfRule>
  </conditionalFormatting>
  <conditionalFormatting sqref="AP84">
    <cfRule type="expression" dxfId="2959" priority="7229">
      <formula>$AQ$82="No"</formula>
    </cfRule>
  </conditionalFormatting>
  <conditionalFormatting sqref="AZ84">
    <cfRule type="expression" dxfId="2958" priority="7228">
      <formula>$BA$82="No"</formula>
    </cfRule>
  </conditionalFormatting>
  <conditionalFormatting sqref="BO84">
    <cfRule type="expression" dxfId="2957" priority="7227">
      <formula>$BP$82="No"</formula>
    </cfRule>
  </conditionalFormatting>
  <conditionalFormatting sqref="AD6:AE7">
    <cfRule type="expression" dxfId="2956" priority="7226">
      <formula>$AC$6=""</formula>
    </cfRule>
  </conditionalFormatting>
  <conditionalFormatting sqref="EM446:EN450 DL446:DM450 EE446:EL459 DN446:DR459 DS446:ED450 EO448:FF450 DS451:DX451 EA451:ED451 EO446:FG447 AB448:DD450 CM451:CW451 AB451:BI451 BL451:BV451 BY451:CJ451 DE446:DK459 DS452:ED459 CZ451:DD451 AB452:BF452 CW452:DD452 CJ452:CT452 BV452:CG452 BI452:BS452 EM452:FF459 EO451:EY451 FB451:FF451 AB446:BD447 BR446:DD447 DL452:DM459 AB453:DD459 CC460:CC461 DD460:DD461 EE460:EE461 FF460:FF461 BB460:BB461">
    <cfRule type="expression" dxfId="2955" priority="7225">
      <formula>AND(COLUMN()&gt;162,OR(WEEKDAY($Q$6)&lt;&gt;4,$X$6&lt;&gt;"A"))</formula>
    </cfRule>
  </conditionalFormatting>
  <conditionalFormatting sqref="DI452:DJ452">
    <cfRule type="expression" dxfId="2954" priority="7087">
      <formula>AND(COLUMN()&gt;162,OR(WEEKDAY($Q$6)&lt;&gt;4,$X$6&lt;&gt;"A"))</formula>
    </cfRule>
  </conditionalFormatting>
  <conditionalFormatting sqref="DI452:DJ452">
    <cfRule type="expression" dxfId="2953" priority="7086">
      <formula>AND(COLUMN()&gt;162,OR(WEEKDAY($Q$6)&lt;&gt;4,$X$6&lt;&gt;"A"))</formula>
    </cfRule>
  </conditionalFormatting>
  <conditionalFormatting sqref="DI452:DJ452">
    <cfRule type="expression" dxfId="2952" priority="7085">
      <formula>AND(COLUMN()&gt;162,OR(WEEKDAY($Q$6)&lt;&gt;4,$X$6&lt;&gt;"A"))</formula>
    </cfRule>
  </conditionalFormatting>
  <conditionalFormatting sqref="DI452:DJ452">
    <cfRule type="expression" dxfId="2951" priority="7084">
      <formula>AND(COLUMN()&gt;162,OR(WEEKDAY($Q$6)&lt;&gt;4,$X$6&lt;&gt;"A"))</formula>
    </cfRule>
  </conditionalFormatting>
  <conditionalFormatting sqref="DI452:DJ452">
    <cfRule type="expression" dxfId="2950" priority="7083">
      <formula>AND(COLUMN()&gt;162,OR(WEEKDAY($Q$6)&lt;&gt;4,$X$6&lt;&gt;"A"))</formula>
    </cfRule>
  </conditionalFormatting>
  <conditionalFormatting sqref="DI452:DJ452">
    <cfRule type="expression" dxfId="2949" priority="7082">
      <formula>AND(COLUMN()&gt;162,OR(WEEKDAY($Q$6)&lt;&gt;4,$X$6&lt;&gt;"A"))</formula>
    </cfRule>
  </conditionalFormatting>
  <conditionalFormatting sqref="DI452:DJ452">
    <cfRule type="expression" dxfId="2948" priority="7081">
      <formula>AND(COLUMN()&gt;162,OR(WEEKDAY($Q$6)&lt;&gt;4,$X$6&lt;&gt;"A"))</formula>
    </cfRule>
  </conditionalFormatting>
  <conditionalFormatting sqref="DI452:DJ452">
    <cfRule type="expression" dxfId="2947" priority="7080">
      <formula>AND(COLUMN()&gt;162,OR(WEEKDAY($Q$6)&lt;&gt;4,$X$6&lt;&gt;"A"))</formula>
    </cfRule>
  </conditionalFormatting>
  <conditionalFormatting sqref="DI452:DJ452">
    <cfRule type="expression" dxfId="2946" priority="7079">
      <formula>AND(COLUMN()&gt;162,OR(WEEKDAY($Q$6)&lt;&gt;4,$X$6&lt;&gt;"A"))</formula>
    </cfRule>
  </conditionalFormatting>
  <conditionalFormatting sqref="DI452:DJ452">
    <cfRule type="expression" dxfId="2945" priority="7078">
      <formula>AND(COLUMN()&gt;162,OR(WEEKDAY($Q$6)&lt;&gt;4,$X$6&lt;&gt;"A"))</formula>
    </cfRule>
  </conditionalFormatting>
  <conditionalFormatting sqref="DV452:DW452">
    <cfRule type="expression" dxfId="2944" priority="7077">
      <formula>AND(COLUMN()&gt;162,OR(WEEKDAY($Q$6)&lt;&gt;4,$X$6&lt;&gt;"A"))</formula>
    </cfRule>
  </conditionalFormatting>
  <conditionalFormatting sqref="DV452:DW452">
    <cfRule type="expression" dxfId="2943" priority="7076">
      <formula>AND(COLUMN()&gt;162,OR(WEEKDAY($Q$6)&lt;&gt;4,$X$6&lt;&gt;"A"))</formula>
    </cfRule>
  </conditionalFormatting>
  <conditionalFormatting sqref="DV452:DW452">
    <cfRule type="expression" dxfId="2942" priority="7075">
      <formula>AND(COLUMN()&gt;162,OR(WEEKDAY($Q$6)&lt;&gt;4,$X$6&lt;&gt;"A"))</formula>
    </cfRule>
  </conditionalFormatting>
  <conditionalFormatting sqref="DV452:DW452">
    <cfRule type="expression" dxfId="2941" priority="7074">
      <formula>AND(COLUMN()&gt;162,OR(WEEKDAY($Q$6)&lt;&gt;4,$X$6&lt;&gt;"A"))</formula>
    </cfRule>
  </conditionalFormatting>
  <conditionalFormatting sqref="DV452:DW452">
    <cfRule type="expression" dxfId="2940" priority="7073">
      <formula>AND(COLUMN()&gt;162,OR(WEEKDAY($Q$6)&lt;&gt;4,$X$6&lt;&gt;"A"))</formula>
    </cfRule>
  </conditionalFormatting>
  <conditionalFormatting sqref="DV452:DW452">
    <cfRule type="expression" dxfId="2939" priority="7072">
      <formula>AND(COLUMN()&gt;162,OR(WEEKDAY($Q$6)&lt;&gt;4,$X$6&lt;&gt;"A"))</formula>
    </cfRule>
  </conditionalFormatting>
  <conditionalFormatting sqref="DV452:DW452">
    <cfRule type="expression" dxfId="2938" priority="7071">
      <formula>AND(COLUMN()&gt;162,OR(WEEKDAY($Q$6)&lt;&gt;4,$X$6&lt;&gt;"A"))</formula>
    </cfRule>
  </conditionalFormatting>
  <conditionalFormatting sqref="DV452:DW452">
    <cfRule type="expression" dxfId="2937" priority="7070">
      <formula>AND(COLUMN()&gt;162,OR(WEEKDAY($Q$6)&lt;&gt;4,$X$6&lt;&gt;"A"))</formula>
    </cfRule>
  </conditionalFormatting>
  <conditionalFormatting sqref="DV452:DW452">
    <cfRule type="expression" dxfId="2936" priority="7069">
      <formula>AND(COLUMN()&gt;162,OR(WEEKDAY($Q$6)&lt;&gt;4,$X$6&lt;&gt;"A"))</formula>
    </cfRule>
  </conditionalFormatting>
  <conditionalFormatting sqref="DV452:DW452">
    <cfRule type="expression" dxfId="2935" priority="7068">
      <formula>AND(COLUMN()&gt;162,OR(WEEKDAY($Q$6)&lt;&gt;4,$X$6&lt;&gt;"A"))</formula>
    </cfRule>
  </conditionalFormatting>
  <conditionalFormatting sqref="DI452:DJ452">
    <cfRule type="expression" dxfId="2934" priority="7036">
      <formula>AND(COLUMN()&gt;162,OR(WEEKDAY($Q$6)&lt;&gt;4,$X$6&lt;&gt;"A"))</formula>
    </cfRule>
  </conditionalFormatting>
  <conditionalFormatting sqref="DI452:DJ452">
    <cfRule type="expression" dxfId="2933" priority="7035">
      <formula>AND(COLUMN()&gt;162,OR(WEEKDAY($Q$6)&lt;&gt;4,$X$6&lt;&gt;"A"))</formula>
    </cfRule>
  </conditionalFormatting>
  <conditionalFormatting sqref="DI452:DJ452">
    <cfRule type="expression" dxfId="2932" priority="7034">
      <formula>AND(COLUMN()&gt;162,OR(WEEKDAY($Q$6)&lt;&gt;4,$X$6&lt;&gt;"A"))</formula>
    </cfRule>
  </conditionalFormatting>
  <conditionalFormatting sqref="DI452:DJ452">
    <cfRule type="expression" dxfId="2931" priority="7033">
      <formula>AND(COLUMN()&gt;162,OR(WEEKDAY($Q$6)&lt;&gt;4,$X$6&lt;&gt;"A"))</formula>
    </cfRule>
  </conditionalFormatting>
  <conditionalFormatting sqref="DI452:DJ452">
    <cfRule type="expression" dxfId="2930" priority="7032">
      <formula>AND(COLUMN()&gt;162,OR(WEEKDAY($Q$6)&lt;&gt;4,$X$6&lt;&gt;"A"))</formula>
    </cfRule>
  </conditionalFormatting>
  <conditionalFormatting sqref="DI452:DJ452">
    <cfRule type="expression" dxfId="2929" priority="7031">
      <formula>AND(COLUMN()&gt;162,OR(WEEKDAY($Q$6)&lt;&gt;4,$X$6&lt;&gt;"A"))</formula>
    </cfRule>
  </conditionalFormatting>
  <conditionalFormatting sqref="DI452:DJ452">
    <cfRule type="expression" dxfId="2928" priority="7030">
      <formula>AND(COLUMN()&gt;162,OR(WEEKDAY($Q$6)&lt;&gt;4,$X$6&lt;&gt;"A"))</formula>
    </cfRule>
  </conditionalFormatting>
  <conditionalFormatting sqref="DI452:DJ452">
    <cfRule type="expression" dxfId="2927" priority="7029">
      <formula>AND(COLUMN()&gt;162,OR(WEEKDAY($Q$6)&lt;&gt;4,$X$6&lt;&gt;"A"))</formula>
    </cfRule>
  </conditionalFormatting>
  <conditionalFormatting sqref="DI452:DJ452">
    <cfRule type="expression" dxfId="2926" priority="7028">
      <formula>AND(COLUMN()&gt;162,OR(WEEKDAY($Q$6)&lt;&gt;4,$X$6&lt;&gt;"A"))</formula>
    </cfRule>
  </conditionalFormatting>
  <conditionalFormatting sqref="DI452:DJ452">
    <cfRule type="expression" dxfId="2925" priority="7027">
      <formula>AND(COLUMN()&gt;162,OR(WEEKDAY($Q$6)&lt;&gt;4,$X$6&lt;&gt;"A"))</formula>
    </cfRule>
  </conditionalFormatting>
  <conditionalFormatting sqref="DI452:DJ452">
    <cfRule type="expression" dxfId="2924" priority="6738">
      <formula>AND(COLUMN()&gt;162,OR(WEEKDAY($Q$6)&lt;&gt;4,$X$6&lt;&gt;"A"))</formula>
    </cfRule>
  </conditionalFormatting>
  <conditionalFormatting sqref="DI452:DJ452">
    <cfRule type="expression" dxfId="2923" priority="6737">
      <formula>AND(COLUMN()&gt;162,OR(WEEKDAY($Q$6)&lt;&gt;4,$X$6&lt;&gt;"A"))</formula>
    </cfRule>
  </conditionalFormatting>
  <conditionalFormatting sqref="DI452:DJ452">
    <cfRule type="expression" dxfId="2922" priority="6736">
      <formula>AND(COLUMN()&gt;162,OR(WEEKDAY($Q$6)&lt;&gt;4,$X$6&lt;&gt;"A"))</formula>
    </cfRule>
  </conditionalFormatting>
  <conditionalFormatting sqref="DI452:DJ452">
    <cfRule type="expression" dxfId="2921" priority="6735">
      <formula>AND(COLUMN()&gt;162,OR(WEEKDAY($Q$6)&lt;&gt;4,$X$6&lt;&gt;"A"))</formula>
    </cfRule>
  </conditionalFormatting>
  <conditionalFormatting sqref="DI452:DJ452">
    <cfRule type="expression" dxfId="2920" priority="6734">
      <formula>AND(COLUMN()&gt;162,OR(WEEKDAY($Q$6)&lt;&gt;4,$X$6&lt;&gt;"A"))</formula>
    </cfRule>
  </conditionalFormatting>
  <conditionalFormatting sqref="DI452:DJ452">
    <cfRule type="expression" dxfId="2919" priority="6733">
      <formula>AND(COLUMN()&gt;162,OR(WEEKDAY($Q$6)&lt;&gt;4,$X$6&lt;&gt;"A"))</formula>
    </cfRule>
  </conditionalFormatting>
  <conditionalFormatting sqref="DI452:DJ452">
    <cfRule type="expression" dxfId="2918" priority="6732">
      <formula>AND(COLUMN()&gt;162,OR(WEEKDAY($Q$6)&lt;&gt;4,$X$6&lt;&gt;"A"))</formula>
    </cfRule>
  </conditionalFormatting>
  <conditionalFormatting sqref="DI452:DJ452">
    <cfRule type="expression" dxfId="2917" priority="6731">
      <formula>AND(COLUMN()&gt;162,OR(WEEKDAY($Q$6)&lt;&gt;4,$X$6&lt;&gt;"A"))</formula>
    </cfRule>
  </conditionalFormatting>
  <conditionalFormatting sqref="DI452:DJ452">
    <cfRule type="expression" dxfId="2916" priority="6730">
      <formula>AND(COLUMN()&gt;162,OR(WEEKDAY($Q$6)&lt;&gt;4,$X$6&lt;&gt;"A"))</formula>
    </cfRule>
  </conditionalFormatting>
  <conditionalFormatting sqref="DI452:DJ452">
    <cfRule type="expression" dxfId="2915" priority="6729">
      <formula>AND(COLUMN()&gt;162,OR(WEEKDAY($Q$6)&lt;&gt;4,$X$6&lt;&gt;"A"))</formula>
    </cfRule>
  </conditionalFormatting>
  <conditionalFormatting sqref="AF330:AG330">
    <cfRule type="expression" dxfId="2914" priority="6720">
      <formula>AND($V$78="LAMP",OR($V$75="MODEL",$AN$73=""))</formula>
    </cfRule>
  </conditionalFormatting>
  <conditionalFormatting sqref="AF336:AG336">
    <cfRule type="expression" dxfId="2913" priority="6718">
      <formula>AND($V$78="LAMP",OR($V$75="MODEL",$AN$77=""))</formula>
    </cfRule>
  </conditionalFormatting>
  <conditionalFormatting sqref="AF327:AG327">
    <cfRule type="expression" dxfId="2912" priority="6716">
      <formula>AND($V$78="LAMP",OR($V$75="MODEL",$AN$70=""))</formula>
    </cfRule>
  </conditionalFormatting>
  <conditionalFormatting sqref="AF340:AG340">
    <cfRule type="expression" dxfId="2911" priority="6711">
      <formula>AND($V$78="LAMP",OR($V$75="MODEL",$AN$80=""))</formula>
    </cfRule>
  </conditionalFormatting>
  <conditionalFormatting sqref="AH327:AI327">
    <cfRule type="expression" dxfId="2910" priority="6709">
      <formula>AND($V$78="NAM",OR($V$75="MODEL",$AN$70=""))</formula>
    </cfRule>
  </conditionalFormatting>
  <conditionalFormatting sqref="AH340:AI340">
    <cfRule type="expression" dxfId="2909" priority="6704">
      <formula>AND($V$78="NAM",OR($V$75="MODEL",$AN$80=""))</formula>
    </cfRule>
  </conditionalFormatting>
  <conditionalFormatting sqref="AH330:AI330">
    <cfRule type="expression" dxfId="2908" priority="6701">
      <formula>AND($V$78="NAM",OR($V$75="MODEL",$AN$73=""))</formula>
    </cfRule>
  </conditionalFormatting>
  <conditionalFormatting sqref="AH336:AI336">
    <cfRule type="expression" dxfId="2907" priority="6699">
      <formula>AND($V$78="NAM",OR($V$75="MODEL",$AN$77=""))</formula>
    </cfRule>
  </conditionalFormatting>
  <conditionalFormatting sqref="AL340:AM340">
    <cfRule type="expression" dxfId="2906" priority="6694">
      <formula>$V$75="MANUAL"</formula>
    </cfRule>
  </conditionalFormatting>
  <conditionalFormatting sqref="AJ327:AK327">
    <cfRule type="expression" dxfId="2905" priority="6692">
      <formula>AND($V$78="GFS",OR($V$75="MODEL",$AN$70=""))</formula>
    </cfRule>
  </conditionalFormatting>
  <conditionalFormatting sqref="AJ340:AK340">
    <cfRule type="expression" dxfId="2904" priority="6687">
      <formula>AND($V$78="GFS",OR($V$75="MODEL",$AN$80=""))</formula>
    </cfRule>
  </conditionalFormatting>
  <conditionalFormatting sqref="AJ330:AK330">
    <cfRule type="expression" dxfId="2903" priority="6684">
      <formula>AND($V$78="GFS",OR($V$75="MODEL",$AN$73=""))</formula>
    </cfRule>
  </conditionalFormatting>
  <conditionalFormatting sqref="AJ336:AK336">
    <cfRule type="expression" dxfId="2902" priority="6682">
      <formula>AND($V$78="GFS",OR($V$75="MODEL",$AN$77=""))</formula>
    </cfRule>
  </conditionalFormatting>
  <conditionalFormatting sqref="AR327">
    <cfRule type="expression" dxfId="2901" priority="6680">
      <formula>AND($V$78="LAMP",OR($V$75="MODEL",$AZ$70=""))</formula>
    </cfRule>
  </conditionalFormatting>
  <conditionalFormatting sqref="AR340">
    <cfRule type="expression" dxfId="2900" priority="6675">
      <formula>AND($V$78="LAMP",OR($V$75="MODEL",$AZ$80=""))</formula>
    </cfRule>
  </conditionalFormatting>
  <conditionalFormatting sqref="AR330:AS330">
    <cfRule type="expression" dxfId="2899" priority="6672">
      <formula>AND($V$78="LAMP",OR($V$75="MODEL",$AZ$73=""))</formula>
    </cfRule>
  </conditionalFormatting>
  <conditionalFormatting sqref="AR336:AS336">
    <cfRule type="expression" dxfId="2898" priority="6670">
      <formula>AND($V$78="LAMP",OR($V$75="MODEL",$AZ$77=""))</formula>
    </cfRule>
  </conditionalFormatting>
  <conditionalFormatting sqref="AT327:AU327">
    <cfRule type="expression" dxfId="2897" priority="6667">
      <formula>AND($V$78="NAM",OR($V$75="MODEL",$AZ$70=""))</formula>
    </cfRule>
  </conditionalFormatting>
  <conditionalFormatting sqref="AT340:AU340">
    <cfRule type="expression" dxfId="2896" priority="6662">
      <formula>AND($V$78="NAM",OR($V$75="MODEL",$AZ$80=""))</formula>
    </cfRule>
  </conditionalFormatting>
  <conditionalFormatting sqref="AT330:AU330">
    <cfRule type="expression" dxfId="2895" priority="6659">
      <formula>AND($V$78="NAM",OR($V$75="MODEL",$AZ$73=""))</formula>
    </cfRule>
  </conditionalFormatting>
  <conditionalFormatting sqref="AT336:AU336">
    <cfRule type="expression" dxfId="2894" priority="6657">
      <formula>AND($V$78="NAM",OR($V$75="MODEL",$AZ$77=""))</formula>
    </cfRule>
  </conditionalFormatting>
  <conditionalFormatting sqref="AV327:AW327">
    <cfRule type="expression" dxfId="2893" priority="6653">
      <formula>AND($V$78="GFS",OR($V$75="MODEL",$AZ$70=""))</formula>
    </cfRule>
  </conditionalFormatting>
  <conditionalFormatting sqref="AV340:AW340">
    <cfRule type="expression" dxfId="2892" priority="6648">
      <formula>AND($V$78="GFS",OR($V$75="MODEL",$AZ$80=""))</formula>
    </cfRule>
  </conditionalFormatting>
  <conditionalFormatting sqref="AV330:AW330">
    <cfRule type="expression" dxfId="2891" priority="6646">
      <formula>AND($V$78="GFS",OR($V$75="MODEL",$AZ$73=""))</formula>
    </cfRule>
  </conditionalFormatting>
  <conditionalFormatting sqref="AV336:AW336">
    <cfRule type="expression" dxfId="2890" priority="6644">
      <formula>AND($V$78="GFS",OR($V$75="MODEL",$AZ$77=""))</formula>
    </cfRule>
  </conditionalFormatting>
  <conditionalFormatting sqref="AF340:AG340">
    <cfRule type="expression" dxfId="2889" priority="6724">
      <formula>$V$78="LAMP"</formula>
    </cfRule>
  </conditionalFormatting>
  <conditionalFormatting sqref="AH340:AI340">
    <cfRule type="expression" dxfId="2888" priority="6710">
      <formula>$V$78="NAM"</formula>
    </cfRule>
  </conditionalFormatting>
  <conditionalFormatting sqref="AJ340:AK340">
    <cfRule type="expression" dxfId="2887" priority="6693">
      <formula>$V$78="GFS"</formula>
    </cfRule>
  </conditionalFormatting>
  <conditionalFormatting sqref="BO322">
    <cfRule type="expression" dxfId="2886" priority="6631">
      <formula>HOUR(BO326)&gt;11</formula>
    </cfRule>
    <cfRule type="expression" dxfId="2885" priority="6633">
      <formula>HOUR(BO326)&lt;12</formula>
    </cfRule>
  </conditionalFormatting>
  <conditionalFormatting sqref="BR322">
    <cfRule type="expression" dxfId="2884" priority="6567">
      <formula>HOUR(BR326)&gt;11</formula>
    </cfRule>
    <cfRule type="expression" dxfId="2883" priority="6568">
      <formula>HOUR(BR326)&lt;12</formula>
    </cfRule>
  </conditionalFormatting>
  <conditionalFormatting sqref="BU322">
    <cfRule type="expression" dxfId="2882" priority="6565">
      <formula>HOUR(BU326)&gt;11</formula>
    </cfRule>
    <cfRule type="expression" dxfId="2881" priority="6566">
      <formula>HOUR(BU326)&lt;12</formula>
    </cfRule>
  </conditionalFormatting>
  <conditionalFormatting sqref="BX322">
    <cfRule type="expression" dxfId="2880" priority="6563">
      <formula>HOUR(BX326)&gt;11</formula>
    </cfRule>
    <cfRule type="expression" dxfId="2879" priority="6564">
      <formula>HOUR(BX326)&lt;12</formula>
    </cfRule>
  </conditionalFormatting>
  <conditionalFormatting sqref="CA322">
    <cfRule type="expression" dxfId="2878" priority="6561">
      <formula>HOUR(CA326)&gt;11</formula>
    </cfRule>
    <cfRule type="expression" dxfId="2877" priority="6562">
      <formula>HOUR(CA326)&lt;12</formula>
    </cfRule>
  </conditionalFormatting>
  <conditionalFormatting sqref="CD322">
    <cfRule type="expression" dxfId="2876" priority="6559">
      <formula>HOUR(CD326)&gt;11</formula>
    </cfRule>
    <cfRule type="expression" dxfId="2875" priority="6560">
      <formula>HOUR(CD326)&lt;12</formula>
    </cfRule>
  </conditionalFormatting>
  <conditionalFormatting sqref="CG322">
    <cfRule type="expression" dxfId="2874" priority="6557">
      <formula>HOUR(CG326)&gt;11</formula>
    </cfRule>
    <cfRule type="expression" dxfId="2873" priority="6558">
      <formula>HOUR(CG326)&lt;12</formula>
    </cfRule>
  </conditionalFormatting>
  <conditionalFormatting sqref="CJ322">
    <cfRule type="expression" dxfId="2872" priority="6555">
      <formula>HOUR(CJ326)&gt;11</formula>
    </cfRule>
    <cfRule type="expression" dxfId="2871" priority="6556">
      <formula>HOUR(CJ326)&lt;12</formula>
    </cfRule>
  </conditionalFormatting>
  <conditionalFormatting sqref="CM322">
    <cfRule type="expression" dxfId="2870" priority="6553">
      <formula>HOUR(CM326)&gt;11</formula>
    </cfRule>
    <cfRule type="expression" dxfId="2869" priority="6554">
      <formula>HOUR(CM326)&lt;12</formula>
    </cfRule>
  </conditionalFormatting>
  <conditionalFormatting sqref="CP322">
    <cfRule type="expression" dxfId="2868" priority="6551">
      <formula>HOUR(CP326)&gt;11</formula>
    </cfRule>
    <cfRule type="expression" dxfId="2867" priority="6552">
      <formula>HOUR(CP326)&lt;12</formula>
    </cfRule>
  </conditionalFormatting>
  <conditionalFormatting sqref="CS322">
    <cfRule type="expression" dxfId="2866" priority="6549">
      <formula>HOUR(CS326)&gt;11</formula>
    </cfRule>
    <cfRule type="expression" dxfId="2865" priority="6550">
      <formula>HOUR(CS326)&lt;12</formula>
    </cfRule>
  </conditionalFormatting>
  <conditionalFormatting sqref="CV322">
    <cfRule type="expression" dxfId="2864" priority="6547">
      <formula>HOUR(CV326)&gt;11</formula>
    </cfRule>
    <cfRule type="expression" dxfId="2863" priority="6548">
      <formula>HOUR(CV326)&lt;12</formula>
    </cfRule>
  </conditionalFormatting>
  <conditionalFormatting sqref="CY322">
    <cfRule type="expression" dxfId="2862" priority="6545">
      <formula>HOUR(CY326)&gt;11</formula>
    </cfRule>
    <cfRule type="expression" dxfId="2861" priority="6546">
      <formula>HOUR(CY326)&lt;12</formula>
    </cfRule>
  </conditionalFormatting>
  <conditionalFormatting sqref="DB322">
    <cfRule type="expression" dxfId="2860" priority="6543">
      <formula>HOUR(DB326)&gt;11</formula>
    </cfRule>
    <cfRule type="expression" dxfId="2859" priority="6544">
      <formula>HOUR(DB326)&lt;12</formula>
    </cfRule>
  </conditionalFormatting>
  <conditionalFormatting sqref="DE322">
    <cfRule type="expression" dxfId="2858" priority="6541">
      <formula>HOUR(DE326)&gt;11</formula>
    </cfRule>
    <cfRule type="expression" dxfId="2857" priority="6542">
      <formula>HOUR(DE326)&lt;12</formula>
    </cfRule>
  </conditionalFormatting>
  <conditionalFormatting sqref="DH322">
    <cfRule type="expression" dxfId="2856" priority="6539">
      <formula>HOUR(DH326)&gt;11</formula>
    </cfRule>
    <cfRule type="expression" dxfId="2855" priority="6540">
      <formula>HOUR(DH326)&lt;12</formula>
    </cfRule>
  </conditionalFormatting>
  <conditionalFormatting sqref="DK322">
    <cfRule type="expression" dxfId="2854" priority="6537">
      <formula>HOUR(DK326)&gt;11</formula>
    </cfRule>
    <cfRule type="expression" dxfId="2853" priority="6538">
      <formula>HOUR(DK326)&lt;12</formula>
    </cfRule>
  </conditionalFormatting>
  <conditionalFormatting sqref="DN322">
    <cfRule type="expression" dxfId="2852" priority="6535">
      <formula>HOUR(DN326)&gt;11</formula>
    </cfRule>
    <cfRule type="expression" dxfId="2851" priority="6536">
      <formula>HOUR(DN326)&lt;12</formula>
    </cfRule>
  </conditionalFormatting>
  <conditionalFormatting sqref="DQ322">
    <cfRule type="expression" dxfId="2850" priority="6533">
      <formula>HOUR(DQ326)&gt;11</formula>
    </cfRule>
    <cfRule type="expression" dxfId="2849" priority="6534">
      <formula>HOUR(DQ326)&lt;12</formula>
    </cfRule>
  </conditionalFormatting>
  <conditionalFormatting sqref="DT322">
    <cfRule type="expression" dxfId="2848" priority="6531">
      <formula>HOUR(DT326)&gt;11</formula>
    </cfRule>
    <cfRule type="expression" dxfId="2847" priority="6532">
      <formula>HOUR(DT326)&lt;12</formula>
    </cfRule>
  </conditionalFormatting>
  <conditionalFormatting sqref="DW322">
    <cfRule type="expression" dxfId="2846" priority="6529">
      <formula>HOUR(DW326)&gt;11</formula>
    </cfRule>
    <cfRule type="expression" dxfId="2845" priority="6530">
      <formula>HOUR(DW326)&lt;12</formula>
    </cfRule>
  </conditionalFormatting>
  <conditionalFormatting sqref="DZ322">
    <cfRule type="expression" dxfId="2844" priority="6527">
      <formula>HOUR(DZ326)&gt;11</formula>
    </cfRule>
    <cfRule type="expression" dxfId="2843" priority="6528">
      <formula>HOUR(DZ326)&lt;12</formula>
    </cfRule>
  </conditionalFormatting>
  <conditionalFormatting sqref="EC322">
    <cfRule type="expression" dxfId="2842" priority="6525">
      <formula>HOUR(EC326)&gt;11</formula>
    </cfRule>
    <cfRule type="expression" dxfId="2841" priority="6526">
      <formula>HOUR(EC326)&lt;12</formula>
    </cfRule>
  </conditionalFormatting>
  <conditionalFormatting sqref="EF322">
    <cfRule type="expression" dxfId="2840" priority="6523">
      <formula>HOUR(EF326)&gt;11</formula>
    </cfRule>
    <cfRule type="expression" dxfId="2839" priority="6524">
      <formula>HOUR(EF326)&lt;12</formula>
    </cfRule>
  </conditionalFormatting>
  <conditionalFormatting sqref="EI322">
    <cfRule type="expression" dxfId="2838" priority="6521">
      <formula>HOUR(EI326)&gt;11</formula>
    </cfRule>
    <cfRule type="expression" dxfId="2837" priority="6522">
      <formula>HOUR(EI326)&lt;12</formula>
    </cfRule>
  </conditionalFormatting>
  <conditionalFormatting sqref="EL322">
    <cfRule type="expression" dxfId="2836" priority="6519">
      <formula>HOUR(EL326)&gt;11</formula>
    </cfRule>
    <cfRule type="expression" dxfId="2835" priority="6520">
      <formula>HOUR(EL326)&lt;12</formula>
    </cfRule>
  </conditionalFormatting>
  <conditionalFormatting sqref="EO322">
    <cfRule type="expression" dxfId="2834" priority="6517">
      <formula>HOUR(EO326)&gt;11</formula>
    </cfRule>
    <cfRule type="expression" dxfId="2833" priority="6518">
      <formula>HOUR(EO326)&lt;12</formula>
    </cfRule>
  </conditionalFormatting>
  <conditionalFormatting sqref="ER322">
    <cfRule type="expression" dxfId="2832" priority="6515">
      <formula>HOUR(ER326)&gt;11</formula>
    </cfRule>
    <cfRule type="expression" dxfId="2831" priority="6516">
      <formula>HOUR(ER326)&lt;12</formula>
    </cfRule>
  </conditionalFormatting>
  <conditionalFormatting sqref="EU322">
    <cfRule type="expression" dxfId="2830" priority="6513">
      <formula>HOUR(EU326)&gt;11</formula>
    </cfRule>
    <cfRule type="expression" dxfId="2829" priority="6514">
      <formula>HOUR(EU326)&lt;12</formula>
    </cfRule>
  </conditionalFormatting>
  <conditionalFormatting sqref="EX322">
    <cfRule type="expression" dxfId="2828" priority="6511">
      <formula>HOUR(EX326)&gt;11</formula>
    </cfRule>
    <cfRule type="expression" dxfId="2827" priority="6512">
      <formula>HOUR(EX326)&lt;12</formula>
    </cfRule>
  </conditionalFormatting>
  <conditionalFormatting sqref="FA322">
    <cfRule type="expression" dxfId="2826" priority="6509">
      <formula>HOUR(FA326)&gt;11</formula>
    </cfRule>
    <cfRule type="expression" dxfId="2825" priority="6510">
      <formula>HOUR(FA326)&lt;12</formula>
    </cfRule>
  </conditionalFormatting>
  <conditionalFormatting sqref="FD322">
    <cfRule type="expression" dxfId="2824" priority="6507">
      <formula>HOUR(FD326)&gt;11</formula>
    </cfRule>
    <cfRule type="expression" dxfId="2823" priority="6508">
      <formula>HOUR(FD326)&lt;12</formula>
    </cfRule>
  </conditionalFormatting>
  <conditionalFormatting sqref="AB329:AD329">
    <cfRule type="cellIs" dxfId="2822" priority="6465" operator="equal">
      <formula>"NA"</formula>
    </cfRule>
    <cfRule type="cellIs" dxfId="2821" priority="6466" operator="equal">
      <formula>"SKC"</formula>
    </cfRule>
    <cfRule type="cellIs" dxfId="2820" priority="6467" operator="equal">
      <formula>"FEW"</formula>
    </cfRule>
    <cfRule type="cellIs" dxfId="2819" priority="6468" operator="equal">
      <formula>"SCT"</formula>
    </cfRule>
    <cfRule type="cellIs" dxfId="2818" priority="6469" operator="equal">
      <formula>"BKN"</formula>
    </cfRule>
    <cfRule type="cellIs" dxfId="2817" priority="6470" operator="equal">
      <formula>"OVC"</formula>
    </cfRule>
  </conditionalFormatting>
  <conditionalFormatting sqref="AB328:AD328">
    <cfRule type="cellIs" dxfId="2816" priority="6416" operator="equal">
      <formula>"NA"</formula>
    </cfRule>
    <cfRule type="expression" dxfId="2815" priority="6417">
      <formula>VALUE(LEFT(AB328,3))&lt;5</formula>
    </cfRule>
    <cfRule type="expression" dxfId="2814" priority="6455">
      <formula>VALUE(LEFT(AB328,3))&lt;10</formula>
    </cfRule>
    <cfRule type="expression" dxfId="2813" priority="6456">
      <formula>VALUE(LEFT(AB328,3))&lt;30</formula>
    </cfRule>
    <cfRule type="expression" dxfId="2812" priority="6457">
      <formula>VALUE(LEFT(AB328,3))&gt;29</formula>
    </cfRule>
    <cfRule type="cellIs" dxfId="2811" priority="6458" operator="equal">
      <formula>"NO CIG"</formula>
    </cfRule>
  </conditionalFormatting>
  <conditionalFormatting sqref="BV344:CA344 CV344:DA344 DV344:DZ344">
    <cfRule type="cellIs" dxfId="2810" priority="6425" operator="equal">
      <formula>"Y"</formula>
    </cfRule>
    <cfRule type="cellIs" dxfId="2809" priority="6426" operator="equal">
      <formula>"R"</formula>
    </cfRule>
  </conditionalFormatting>
  <conditionalFormatting sqref="BV346:CA346 CV346:DA346 DV346:DZ346">
    <cfRule type="cellIs" dxfId="2808" priority="6422" operator="equal">
      <formula>"Y"</formula>
    </cfRule>
    <cfRule type="cellIs" dxfId="2807" priority="6423" operator="equal">
      <formula>"R"</formula>
    </cfRule>
  </conditionalFormatting>
  <conditionalFormatting sqref="BV348:CA348 CV348:DA348 DV348:DZ348">
    <cfRule type="cellIs" dxfId="2806" priority="6419" operator="equal">
      <formula>"Y"</formula>
    </cfRule>
    <cfRule type="cellIs" dxfId="2805" priority="6420" operator="equal">
      <formula>"R"</formula>
    </cfRule>
  </conditionalFormatting>
  <conditionalFormatting sqref="AE328:AJ328">
    <cfRule type="cellIs" dxfId="2804" priority="6410" operator="equal">
      <formula>"NA"</formula>
    </cfRule>
    <cfRule type="expression" dxfId="2803" priority="6411">
      <formula>VALUE(LEFT(AE328,3))&lt;5</formula>
    </cfRule>
    <cfRule type="expression" dxfId="2802" priority="6412">
      <formula>VALUE(LEFT(AE328,3))&lt;10</formula>
    </cfRule>
    <cfRule type="expression" dxfId="2801" priority="6413">
      <formula>VALUE(LEFT(AE328,3))&lt;30</formula>
    </cfRule>
    <cfRule type="expression" dxfId="2800" priority="6414">
      <formula>VALUE(LEFT(AE328,3))&gt;29</formula>
    </cfRule>
    <cfRule type="cellIs" dxfId="2799" priority="6415" operator="equal">
      <formula>"NO CIG"</formula>
    </cfRule>
  </conditionalFormatting>
  <conditionalFormatting sqref="AK328:FF328">
    <cfRule type="cellIs" dxfId="2798" priority="6404" operator="equal">
      <formula>"NA"</formula>
    </cfRule>
    <cfRule type="expression" dxfId="2797" priority="6405">
      <formula>VALUE(LEFT(AK328,3))&lt;5</formula>
    </cfRule>
    <cfRule type="expression" dxfId="2796" priority="6406">
      <formula>VALUE(LEFT(AK328,3))&lt;10</formula>
    </cfRule>
    <cfRule type="expression" dxfId="2795" priority="6407">
      <formula>VALUE(LEFT(AK328,3))&lt;30</formula>
    </cfRule>
    <cfRule type="expression" dxfId="2794" priority="6408">
      <formula>VALUE(LEFT(AK328,3))&gt;29</formula>
    </cfRule>
    <cfRule type="cellIs" dxfId="2793" priority="6409" operator="equal">
      <formula>"NO CIG"</formula>
    </cfRule>
  </conditionalFormatting>
  <conditionalFormatting sqref="AB334:FF334">
    <cfRule type="cellIs" dxfId="2792" priority="6398" operator="equal">
      <formula>"NA"</formula>
    </cfRule>
    <cfRule type="expression" dxfId="2791" priority="6399">
      <formula>VALUE(LEFT(AB334,3))&lt;5</formula>
    </cfRule>
    <cfRule type="expression" dxfId="2790" priority="6400">
      <formula>VALUE(LEFT(AB334,3))&lt;10</formula>
    </cfRule>
    <cfRule type="expression" dxfId="2789" priority="6401">
      <formula>VALUE(LEFT(AB334,3))&lt;30</formula>
    </cfRule>
    <cfRule type="expression" dxfId="2788" priority="6402">
      <formula>VALUE(LEFT(AB334,3))&gt;29</formula>
    </cfRule>
    <cfRule type="cellIs" dxfId="2787" priority="6403" operator="equal">
      <formula>"NO CIG"</formula>
    </cfRule>
  </conditionalFormatting>
  <conditionalFormatting sqref="AB337:FF337">
    <cfRule type="cellIs" dxfId="2786" priority="6392" operator="equal">
      <formula>"NA"</formula>
    </cfRule>
    <cfRule type="expression" dxfId="2785" priority="6393">
      <formula>VALUE(LEFT(AB337,3))&lt;5</formula>
    </cfRule>
    <cfRule type="expression" dxfId="2784" priority="6394">
      <formula>VALUE(LEFT(AB337,3))&lt;10</formula>
    </cfRule>
    <cfRule type="expression" dxfId="2783" priority="6395">
      <formula>VALUE(LEFT(AB337,3))&lt;30</formula>
    </cfRule>
    <cfRule type="expression" dxfId="2782" priority="6396">
      <formula>VALUE(LEFT(AB337,3))&gt;29</formula>
    </cfRule>
    <cfRule type="cellIs" dxfId="2781" priority="6397" operator="equal">
      <formula>"NO CIG"</formula>
    </cfRule>
  </conditionalFormatting>
  <conditionalFormatting sqref="AB331:AD331">
    <cfRule type="cellIs" dxfId="2780" priority="6386" operator="equal">
      <formula>"NA"</formula>
    </cfRule>
    <cfRule type="cellIs" dxfId="2779" priority="6387" operator="equal">
      <formula>"NONE"</formula>
    </cfRule>
    <cfRule type="cellIs" dxfId="2778" priority="6388" operator="between">
      <formula>30</formula>
      <formula>999</formula>
    </cfRule>
    <cfRule type="cellIs" dxfId="2777" priority="6389" operator="between">
      <formula>10</formula>
      <formula>29</formula>
    </cfRule>
    <cfRule type="cellIs" dxfId="2776" priority="6390" operator="between">
      <formula>5</formula>
      <formula>9</formula>
    </cfRule>
    <cfRule type="cellIs" dxfId="2775" priority="6391" operator="between">
      <formula>0</formula>
      <formula>4</formula>
    </cfRule>
  </conditionalFormatting>
  <conditionalFormatting sqref="AE331:FF331">
    <cfRule type="cellIs" dxfId="2774" priority="6380" operator="equal">
      <formula>"NA"</formula>
    </cfRule>
    <cfRule type="cellIs" dxfId="2773" priority="6381" operator="equal">
      <formula>"NONE"</formula>
    </cfRule>
    <cfRule type="cellIs" dxfId="2772" priority="6382" operator="between">
      <formula>29.5</formula>
      <formula>999</formula>
    </cfRule>
    <cfRule type="cellIs" dxfId="2771" priority="6383" operator="between">
      <formula>9.5</formula>
      <formula>29.49</formula>
    </cfRule>
    <cfRule type="cellIs" dxfId="2770" priority="6384" operator="between">
      <formula>4.5</formula>
      <formula>9.49</formula>
    </cfRule>
    <cfRule type="cellIs" dxfId="2769" priority="6385" operator="between">
      <formula>0</formula>
      <formula>4.49</formula>
    </cfRule>
  </conditionalFormatting>
  <conditionalFormatting sqref="AE329:FF329">
    <cfRule type="cellIs" dxfId="2768" priority="6374" operator="equal">
      <formula>"NA"</formula>
    </cfRule>
    <cfRule type="cellIs" dxfId="2767" priority="6375" operator="equal">
      <formula>"SKC"</formula>
    </cfRule>
    <cfRule type="cellIs" dxfId="2766" priority="6376" operator="equal">
      <formula>"FEW"</formula>
    </cfRule>
    <cfRule type="cellIs" dxfId="2765" priority="6377" operator="equal">
      <formula>"SCT"</formula>
    </cfRule>
    <cfRule type="cellIs" dxfId="2764" priority="6378" operator="equal">
      <formula>"BKN"</formula>
    </cfRule>
    <cfRule type="cellIs" dxfId="2763" priority="6379" operator="equal">
      <formula>"OVC"</formula>
    </cfRule>
  </conditionalFormatting>
  <conditionalFormatting sqref="AB332:FF332">
    <cfRule type="cellIs" dxfId="2762" priority="6368" operator="equal">
      <formula>"NA"</formula>
    </cfRule>
    <cfRule type="cellIs" dxfId="2761" priority="6369" operator="equal">
      <formula>"SKC"</formula>
    </cfRule>
    <cfRule type="cellIs" dxfId="2760" priority="6370" operator="equal">
      <formula>"FEW"</formula>
    </cfRule>
    <cfRule type="cellIs" dxfId="2759" priority="6371" operator="equal">
      <formula>"SCT"</formula>
    </cfRule>
    <cfRule type="cellIs" dxfId="2758" priority="6372" operator="equal">
      <formula>"BKN"</formula>
    </cfRule>
    <cfRule type="cellIs" dxfId="2757" priority="6373" operator="equal">
      <formula>"OVC"</formula>
    </cfRule>
  </conditionalFormatting>
  <conditionalFormatting sqref="AB335:FF335">
    <cfRule type="cellIs" dxfId="2756" priority="6362" operator="equal">
      <formula>"NA"</formula>
    </cfRule>
    <cfRule type="cellIs" dxfId="2755" priority="6363" operator="equal">
      <formula>"SKC"</formula>
    </cfRule>
    <cfRule type="cellIs" dxfId="2754" priority="6364" operator="equal">
      <formula>"FEW"</formula>
    </cfRule>
    <cfRule type="cellIs" dxfId="2753" priority="6365" operator="equal">
      <formula>"SCT"</formula>
    </cfRule>
    <cfRule type="cellIs" dxfId="2752" priority="6366" operator="equal">
      <formula>"BKN"</formula>
    </cfRule>
    <cfRule type="cellIs" dxfId="2751" priority="6367" operator="equal">
      <formula>"OVC"</formula>
    </cfRule>
  </conditionalFormatting>
  <conditionalFormatting sqref="AB338:FF338">
    <cfRule type="cellIs" dxfId="2750" priority="6356" operator="equal">
      <formula>"NA"</formula>
    </cfRule>
    <cfRule type="cellIs" dxfId="2749" priority="6357" operator="equal">
      <formula>"SKC"</formula>
    </cfRule>
    <cfRule type="cellIs" dxfId="2748" priority="6358" operator="equal">
      <formula>"FEW"</formula>
    </cfRule>
    <cfRule type="cellIs" dxfId="2747" priority="6359" operator="equal">
      <formula>"SCT"</formula>
    </cfRule>
    <cfRule type="cellIs" dxfId="2746" priority="6360" operator="equal">
      <formula>"BKN"</formula>
    </cfRule>
    <cfRule type="cellIs" dxfId="2745" priority="6361" operator="equal">
      <formula>"OVC"</formula>
    </cfRule>
  </conditionalFormatting>
  <conditionalFormatting sqref="AB341:AC341">
    <cfRule type="cellIs" dxfId="2744" priority="6350" operator="equal">
      <formula>"3~5"</formula>
    </cfRule>
    <cfRule type="cellIs" dxfId="2743" priority="6351" operator="equal">
      <formula>"2~2 3/4"</formula>
    </cfRule>
    <cfRule type="cellIs" dxfId="2742" priority="6352" operator="equal">
      <formula>"1~1 7/8"</formula>
    </cfRule>
    <cfRule type="cellIs" dxfId="2741" priority="6353" operator="equal">
      <formula>"0~3/8"</formula>
    </cfRule>
    <cfRule type="cellIs" dxfId="2740" priority="6354" operator="equal">
      <formula>"1/2~7/8"</formula>
    </cfRule>
    <cfRule type="cellIs" dxfId="2739" priority="6355" operator="equal">
      <formula>"       NA"</formula>
    </cfRule>
  </conditionalFormatting>
  <conditionalFormatting sqref="AE341:AF341 AH341:AI341 AK341:AL341 AN341:AO341 AQ341:AR341 AT341:AU341 AW341:AX341 AZ341:BA341 BC341:BD341 BF341:BG341 BI341:BJ341 BL341:BM341 BO341:BP341 BR341:BS341 BU341:BV341 BX341:BY341 CA341:CB341 CD341:CE341 CG341:CH341 CJ341:CK341 CM341:CN341 CP341:CQ341 CS341:CT341 CV341:CW341 CY341:CZ341 DB341:DC341 DE341:DF341 DH341:DI341 DK341:DL341 DN341:DO341 DQ341:DR341 DT341:DU341 DW341:DX341 DZ341:EA341 EC341:ED341 EF341:EG341 EI341:EJ341 EL341:EM341 EO341:EP341 ER341:ES341 EU341:EV341 EX341:EY341 FA341:FB341 FD341:FE341">
    <cfRule type="cellIs" dxfId="2738" priority="6344" operator="equal">
      <formula>"3~5"</formula>
    </cfRule>
    <cfRule type="cellIs" dxfId="2737" priority="6345" operator="equal">
      <formula>"2~2 3/4"</formula>
    </cfRule>
    <cfRule type="cellIs" dxfId="2736" priority="6346" operator="equal">
      <formula>"1~1 7/8"</formula>
    </cfRule>
    <cfRule type="cellIs" dxfId="2735" priority="6347" operator="equal">
      <formula>"0~3/8"</formula>
    </cfRule>
    <cfRule type="cellIs" dxfId="2734" priority="6348" operator="equal">
      <formula>"1/2~7/8"</formula>
    </cfRule>
    <cfRule type="cellIs" dxfId="2733" priority="6349" operator="equal">
      <formula>"       NA"</formula>
    </cfRule>
  </conditionalFormatting>
  <conditionalFormatting sqref="AB345:AC345 AE345:AF345 AH345:AI345 AK345:AL345 AN345:AO345 AQ345:AR345 AT345:AU345 AW345:AX345 AZ345:BA345 BC345:BD345 BF345:BG345 BI345:BJ345 BL345:BM345 BO345:BP345 BR345:BS345 BU345:BV345 BX345:BY345 CA345:CB345 CD345:CE345 CG345:CH345 CJ345:CK345 CM345:CN345 CP345:CQ345 CS345:CT345 CV345:CW345 CY345:CZ345 DB345:DC345 DE345:DF345 DH345:DI345 DK345:DL345 DN345:DO345 DQ345:DR345 DT345:DU345 DW345:DX345 DZ345:EA345 EC345:ED345 EF345:EG345 EI345:EJ345 EL345:EM345 EO345:EP345 ER345:ES345 EU345:EV345 EX345:EY345 FA345:FB345 FD345:FE345">
    <cfRule type="cellIs" dxfId="2732" priority="6338" operator="equal">
      <formula>"3~5"</formula>
    </cfRule>
    <cfRule type="cellIs" dxfId="2731" priority="6339" operator="equal">
      <formula>"2~2 3/4"</formula>
    </cfRule>
    <cfRule type="cellIs" dxfId="2730" priority="6340" operator="equal">
      <formula>"1~1 7/8"</formula>
    </cfRule>
    <cfRule type="cellIs" dxfId="2729" priority="6341" operator="equal">
      <formula>"0~3/8"</formula>
    </cfRule>
    <cfRule type="cellIs" dxfId="2728" priority="6342" operator="equal">
      <formula>"1/2~7/8"</formula>
    </cfRule>
    <cfRule type="cellIs" dxfId="2727" priority="6343" operator="equal">
      <formula>"       NA"</formula>
    </cfRule>
  </conditionalFormatting>
  <conditionalFormatting sqref="AB347:AC347 AE347:AF347 AH347:AI347 AK347:AL347 AN347:AO347 AQ347:AR347 AT347:AU347 AW347:AX347 AZ347:BA347 BC347:BD347 BF347:BG347 BI347:BJ347 BL347:BM347 BO347:BP347 BR347:BS347 BU347:BV347 BX347:BY347 CA347:CB347 CD347:CE347 CG347:CH347 CJ347:CK347 CM347:CN347 CP347:CQ347 CS347:CT347 CV347:CW347 CY347:CZ347 DB347:DC347 DE347:DF347 DH347:DI347 DK347:DL347 DN347:DO347 DQ347:DR347 DT347:DU347 DW347:DX347 DZ347:EA347 EC347:ED347 EF347:EG347 EI347:EJ347 EL347:EM347 EO347:EP347 ER347:ES347 EU347:EV347 EX347:EY347 FA347:FB347 FD347:FE347">
    <cfRule type="cellIs" dxfId="2726" priority="6332" operator="equal">
      <formula>"3~5"</formula>
    </cfRule>
    <cfRule type="cellIs" dxfId="2725" priority="6333" operator="equal">
      <formula>"2~2 3/4"</formula>
    </cfRule>
    <cfRule type="cellIs" dxfId="2724" priority="6334" operator="equal">
      <formula>"1~1 7/8"</formula>
    </cfRule>
    <cfRule type="cellIs" dxfId="2723" priority="6335" operator="equal">
      <formula>"0~3/8"</formula>
    </cfRule>
    <cfRule type="cellIs" dxfId="2722" priority="6336" operator="equal">
      <formula>"1/2~7/8"</formula>
    </cfRule>
    <cfRule type="cellIs" dxfId="2721" priority="6337" operator="equal">
      <formula>"       NA"</formula>
    </cfRule>
  </conditionalFormatting>
  <conditionalFormatting sqref="AB343:AC343">
    <cfRule type="cellIs" dxfId="2720" priority="6328" operator="lessThan">
      <formula>6</formula>
    </cfRule>
    <cfRule type="cellIs" dxfId="2719" priority="6329" stopIfTrue="1" operator="equal">
      <formula>"NA"</formula>
    </cfRule>
    <cfRule type="cellIs" dxfId="2718" priority="6330" operator="lessThan">
      <formula>1</formula>
    </cfRule>
    <cfRule type="cellIs" dxfId="2717" priority="6331" operator="lessThan">
      <formula>3</formula>
    </cfRule>
  </conditionalFormatting>
  <conditionalFormatting sqref="AE343:AF343 AH343:AI343 AK343:AL343 AN343:AO343 AQ343:AR343 AT343:AU343 AW343:AX343 AZ343:BA343 BC343:BD343 BF343:BG343 BI343:BJ343 BL343:BM343 BO343:BP343 BR343:BS343 BU343:BV343 BX343:BY343 CA343:CB343 CD343:CE343 CG343:CH343 CJ343:CK343 CM343:CN343 CP343:CQ343 CS343:CT343 CV343:CW343 CY343:CZ343 DB343:DC343 DE343:DF343 DH343:DI343 DK343:DL343 DN343:DO343 DQ343:DR343 DT343:DU343 DW343:DX343 DZ343:EA343 EC343:ED343 EF343:EG343 EI343:EJ343 EL343:EM343 EO343:EP343 ER343:ES343 EU343:EV343 EX343:EY343 FA343:FB343 FD343:FE343">
    <cfRule type="cellIs" dxfId="2716" priority="6324" operator="lessThan">
      <formula>6</formula>
    </cfRule>
    <cfRule type="cellIs" dxfId="2715" priority="6325" stopIfTrue="1" operator="equal">
      <formula>"NA"</formula>
    </cfRule>
    <cfRule type="cellIs" dxfId="2714" priority="6326" operator="lessThan">
      <formula>1</formula>
    </cfRule>
    <cfRule type="cellIs" dxfId="2713" priority="6327" operator="lessThan">
      <formula>3</formula>
    </cfRule>
  </conditionalFormatting>
  <conditionalFormatting sqref="FG322">
    <cfRule type="expression" dxfId="2712" priority="6315">
      <formula>HOUR(FG326)&gt;11</formula>
    </cfRule>
    <cfRule type="expression" dxfId="2711" priority="6316">
      <formula>HOUR(FG326)&lt;12</formula>
    </cfRule>
  </conditionalFormatting>
  <conditionalFormatting sqref="FG328:FI328">
    <cfRule type="cellIs" dxfId="2710" priority="6309" operator="equal">
      <formula>"NA"</formula>
    </cfRule>
    <cfRule type="expression" dxfId="2709" priority="6310">
      <formula>VALUE(LEFT(FG328,3))&lt;5</formula>
    </cfRule>
    <cfRule type="expression" dxfId="2708" priority="6311">
      <formula>VALUE(LEFT(FG328,3))&lt;10</formula>
    </cfRule>
    <cfRule type="expression" dxfId="2707" priority="6312">
      <formula>VALUE(LEFT(FG328,3))&lt;30</formula>
    </cfRule>
    <cfRule type="expression" dxfId="2706" priority="6313">
      <formula>VALUE(LEFT(FG328,3))&gt;29</formula>
    </cfRule>
    <cfRule type="cellIs" dxfId="2705" priority="6314" operator="equal">
      <formula>"NO CIG"</formula>
    </cfRule>
  </conditionalFormatting>
  <conditionalFormatting sqref="FG334:FI334">
    <cfRule type="cellIs" dxfId="2704" priority="6303" operator="equal">
      <formula>"NA"</formula>
    </cfRule>
    <cfRule type="expression" dxfId="2703" priority="6304">
      <formula>VALUE(LEFT(FG334,3))&lt;5</formula>
    </cfRule>
    <cfRule type="expression" dxfId="2702" priority="6305">
      <formula>VALUE(LEFT(FG334,3))&lt;10</formula>
    </cfRule>
    <cfRule type="expression" dxfId="2701" priority="6306">
      <formula>VALUE(LEFT(FG334,3))&lt;30</formula>
    </cfRule>
    <cfRule type="expression" dxfId="2700" priority="6307">
      <formula>VALUE(LEFT(FG334,3))&gt;29</formula>
    </cfRule>
    <cfRule type="cellIs" dxfId="2699" priority="6308" operator="equal">
      <formula>"NO CIG"</formula>
    </cfRule>
  </conditionalFormatting>
  <conditionalFormatting sqref="FG337:FI337">
    <cfRule type="cellIs" dxfId="2698" priority="6297" operator="equal">
      <formula>"NA"</formula>
    </cfRule>
    <cfRule type="expression" dxfId="2697" priority="6298">
      <formula>VALUE(LEFT(FG337,3))&lt;5</formula>
    </cfRule>
    <cfRule type="expression" dxfId="2696" priority="6299">
      <formula>VALUE(LEFT(FG337,3))&lt;10</formula>
    </cfRule>
    <cfRule type="expression" dxfId="2695" priority="6300">
      <formula>VALUE(LEFT(FG337,3))&lt;30</formula>
    </cfRule>
    <cfRule type="expression" dxfId="2694" priority="6301">
      <formula>VALUE(LEFT(FG337,3))&gt;29</formula>
    </cfRule>
    <cfRule type="cellIs" dxfId="2693" priority="6302" operator="equal">
      <formula>"NO CIG"</formula>
    </cfRule>
  </conditionalFormatting>
  <conditionalFormatting sqref="FG331:FI331">
    <cfRule type="cellIs" dxfId="2692" priority="6291" operator="equal">
      <formula>"NA"</formula>
    </cfRule>
    <cfRule type="cellIs" dxfId="2691" priority="6292" operator="equal">
      <formula>"NONE"</formula>
    </cfRule>
    <cfRule type="cellIs" dxfId="2690" priority="6293" operator="between">
      <formula>30</formula>
      <formula>999</formula>
    </cfRule>
    <cfRule type="cellIs" dxfId="2689" priority="6294" operator="between">
      <formula>10</formula>
      <formula>29</formula>
    </cfRule>
    <cfRule type="cellIs" dxfId="2688" priority="6295" operator="between">
      <formula>5</formula>
      <formula>9</formula>
    </cfRule>
    <cfRule type="cellIs" dxfId="2687" priority="6296" operator="between">
      <formula>0</formula>
      <formula>4</formula>
    </cfRule>
  </conditionalFormatting>
  <conditionalFormatting sqref="FG329:FI329">
    <cfRule type="cellIs" dxfId="2686" priority="6285" operator="equal">
      <formula>"NA"</formula>
    </cfRule>
    <cfRule type="cellIs" dxfId="2685" priority="6286" operator="equal">
      <formula>"SKC"</formula>
    </cfRule>
    <cfRule type="cellIs" dxfId="2684" priority="6287" operator="equal">
      <formula>"FEW"</formula>
    </cfRule>
    <cfRule type="cellIs" dxfId="2683" priority="6288" operator="equal">
      <formula>"SCT"</formula>
    </cfRule>
    <cfRule type="cellIs" dxfId="2682" priority="6289" operator="equal">
      <formula>"BKN"</formula>
    </cfRule>
    <cfRule type="cellIs" dxfId="2681" priority="6290" operator="equal">
      <formula>"OVC"</formula>
    </cfRule>
  </conditionalFormatting>
  <conditionalFormatting sqref="FG332:FI332">
    <cfRule type="cellIs" dxfId="2680" priority="6279" operator="equal">
      <formula>"NA"</formula>
    </cfRule>
    <cfRule type="cellIs" dxfId="2679" priority="6280" operator="equal">
      <formula>"SKC"</formula>
    </cfRule>
    <cfRule type="cellIs" dxfId="2678" priority="6281" operator="equal">
      <formula>"FEW"</formula>
    </cfRule>
    <cfRule type="cellIs" dxfId="2677" priority="6282" operator="equal">
      <formula>"SCT"</formula>
    </cfRule>
    <cfRule type="cellIs" dxfId="2676" priority="6283" operator="equal">
      <formula>"BKN"</formula>
    </cfRule>
    <cfRule type="cellIs" dxfId="2675" priority="6284" operator="equal">
      <formula>"OVC"</formula>
    </cfRule>
  </conditionalFormatting>
  <conditionalFormatting sqref="FG335:FI335">
    <cfRule type="cellIs" dxfId="2674" priority="6273" operator="equal">
      <formula>"NA"</formula>
    </cfRule>
    <cfRule type="cellIs" dxfId="2673" priority="6274" operator="equal">
      <formula>"SKC"</formula>
    </cfRule>
    <cfRule type="cellIs" dxfId="2672" priority="6275" operator="equal">
      <formula>"FEW"</formula>
    </cfRule>
    <cfRule type="cellIs" dxfId="2671" priority="6276" operator="equal">
      <formula>"SCT"</formula>
    </cfRule>
    <cfRule type="cellIs" dxfId="2670" priority="6277" operator="equal">
      <formula>"BKN"</formula>
    </cfRule>
    <cfRule type="cellIs" dxfId="2669" priority="6278" operator="equal">
      <formula>"OVC"</formula>
    </cfRule>
  </conditionalFormatting>
  <conditionalFormatting sqref="FG338:FI338">
    <cfRule type="cellIs" dxfId="2668" priority="6267" operator="equal">
      <formula>"NA"</formula>
    </cfRule>
    <cfRule type="cellIs" dxfId="2667" priority="6268" operator="equal">
      <formula>"SKC"</formula>
    </cfRule>
    <cfRule type="cellIs" dxfId="2666" priority="6269" operator="equal">
      <formula>"FEW"</formula>
    </cfRule>
    <cfRule type="cellIs" dxfId="2665" priority="6270" operator="equal">
      <formula>"SCT"</formula>
    </cfRule>
    <cfRule type="cellIs" dxfId="2664" priority="6271" operator="equal">
      <formula>"BKN"</formula>
    </cfRule>
    <cfRule type="cellIs" dxfId="2663" priority="6272" operator="equal">
      <formula>"OVC"</formula>
    </cfRule>
  </conditionalFormatting>
  <conditionalFormatting sqref="FG341:FH341">
    <cfRule type="cellIs" dxfId="2662" priority="6261" operator="equal">
      <formula>"3~5"</formula>
    </cfRule>
    <cfRule type="cellIs" dxfId="2661" priority="6262" operator="equal">
      <formula>"2~2 3/4"</formula>
    </cfRule>
    <cfRule type="cellIs" dxfId="2660" priority="6263" operator="equal">
      <formula>"1~1 7/8"</formula>
    </cfRule>
    <cfRule type="cellIs" dxfId="2659" priority="6264" operator="equal">
      <formula>"0~3/8"</formula>
    </cfRule>
    <cfRule type="cellIs" dxfId="2658" priority="6265" operator="equal">
      <formula>"1/2~7/8"</formula>
    </cfRule>
    <cfRule type="cellIs" dxfId="2657" priority="6266" operator="equal">
      <formula>"       NA"</formula>
    </cfRule>
  </conditionalFormatting>
  <conditionalFormatting sqref="FG345:FH345">
    <cfRule type="cellIs" dxfId="2656" priority="6255" operator="equal">
      <formula>"3~5"</formula>
    </cfRule>
    <cfRule type="cellIs" dxfId="2655" priority="6256" operator="equal">
      <formula>"2~2 3/4"</formula>
    </cfRule>
    <cfRule type="cellIs" dxfId="2654" priority="6257" operator="equal">
      <formula>"1~1 7/8"</formula>
    </cfRule>
    <cfRule type="cellIs" dxfId="2653" priority="6258" operator="equal">
      <formula>"0~3/8"</formula>
    </cfRule>
    <cfRule type="cellIs" dxfId="2652" priority="6259" operator="equal">
      <formula>"1/2~7/8"</formula>
    </cfRule>
    <cfRule type="cellIs" dxfId="2651" priority="6260" operator="equal">
      <formula>"       NA"</formula>
    </cfRule>
  </conditionalFormatting>
  <conditionalFormatting sqref="FG347:FH347">
    <cfRule type="cellIs" dxfId="2650" priority="6249" operator="equal">
      <formula>"3~5"</formula>
    </cfRule>
    <cfRule type="cellIs" dxfId="2649" priority="6250" operator="equal">
      <formula>"2~2 3/4"</formula>
    </cfRule>
    <cfRule type="cellIs" dxfId="2648" priority="6251" operator="equal">
      <formula>"1~1 7/8"</formula>
    </cfRule>
    <cfRule type="cellIs" dxfId="2647" priority="6252" operator="equal">
      <formula>"0~3/8"</formula>
    </cfRule>
    <cfRule type="cellIs" dxfId="2646" priority="6253" operator="equal">
      <formula>"1/2~7/8"</formula>
    </cfRule>
    <cfRule type="cellIs" dxfId="2645" priority="6254" operator="equal">
      <formula>"       NA"</formula>
    </cfRule>
  </conditionalFormatting>
  <conditionalFormatting sqref="FG343:FH343">
    <cfRule type="cellIs" dxfId="2644" priority="6245" operator="lessThan">
      <formula>6</formula>
    </cfRule>
    <cfRule type="cellIs" dxfId="2643" priority="6246" stopIfTrue="1" operator="equal">
      <formula>"NA"</formula>
    </cfRule>
    <cfRule type="cellIs" dxfId="2642" priority="6247" operator="lessThan">
      <formula>1</formula>
    </cfRule>
    <cfRule type="cellIs" dxfId="2641" priority="6248" operator="lessThan">
      <formula>3</formula>
    </cfRule>
  </conditionalFormatting>
  <conditionalFormatting sqref="FJ322">
    <cfRule type="expression" dxfId="2640" priority="6243">
      <formula>HOUR(FJ326)&gt;11</formula>
    </cfRule>
    <cfRule type="expression" dxfId="2639" priority="6244">
      <formula>HOUR(FJ326)&lt;12</formula>
    </cfRule>
  </conditionalFormatting>
  <conditionalFormatting sqref="FJ328:FL328">
    <cfRule type="cellIs" dxfId="2638" priority="6237" operator="equal">
      <formula>"NA"</formula>
    </cfRule>
    <cfRule type="expression" dxfId="2637" priority="6238">
      <formula>VALUE(LEFT(FJ328,3))&lt;5</formula>
    </cfRule>
    <cfRule type="expression" dxfId="2636" priority="6239">
      <formula>VALUE(LEFT(FJ328,3))&lt;10</formula>
    </cfRule>
    <cfRule type="expression" dxfId="2635" priority="6240">
      <formula>VALUE(LEFT(FJ328,3))&lt;30</formula>
    </cfRule>
    <cfRule type="expression" dxfId="2634" priority="6241">
      <formula>VALUE(LEFT(FJ328,3))&gt;29</formula>
    </cfRule>
    <cfRule type="cellIs" dxfId="2633" priority="6242" operator="equal">
      <formula>"NO CIG"</formula>
    </cfRule>
  </conditionalFormatting>
  <conditionalFormatting sqref="FJ334:FL334">
    <cfRule type="cellIs" dxfId="2632" priority="6231" operator="equal">
      <formula>"NA"</formula>
    </cfRule>
    <cfRule type="expression" dxfId="2631" priority="6232">
      <formula>VALUE(LEFT(FJ334,3))&lt;5</formula>
    </cfRule>
    <cfRule type="expression" dxfId="2630" priority="6233">
      <formula>VALUE(LEFT(FJ334,3))&lt;10</formula>
    </cfRule>
    <cfRule type="expression" dxfId="2629" priority="6234">
      <formula>VALUE(LEFT(FJ334,3))&lt;30</formula>
    </cfRule>
    <cfRule type="expression" dxfId="2628" priority="6235">
      <formula>VALUE(LEFT(FJ334,3))&gt;29</formula>
    </cfRule>
    <cfRule type="cellIs" dxfId="2627" priority="6236" operator="equal">
      <formula>"NO CIG"</formula>
    </cfRule>
  </conditionalFormatting>
  <conditionalFormatting sqref="FJ337:FL337">
    <cfRule type="cellIs" dxfId="2626" priority="6225" operator="equal">
      <formula>"NA"</formula>
    </cfRule>
    <cfRule type="expression" dxfId="2625" priority="6226">
      <formula>VALUE(LEFT(FJ337,3))&lt;5</formula>
    </cfRule>
    <cfRule type="expression" dxfId="2624" priority="6227">
      <formula>VALUE(LEFT(FJ337,3))&lt;10</formula>
    </cfRule>
    <cfRule type="expression" dxfId="2623" priority="6228">
      <formula>VALUE(LEFT(FJ337,3))&lt;30</formula>
    </cfRule>
    <cfRule type="expression" dxfId="2622" priority="6229">
      <formula>VALUE(LEFT(FJ337,3))&gt;29</formula>
    </cfRule>
    <cfRule type="cellIs" dxfId="2621" priority="6230" operator="equal">
      <formula>"NO CIG"</formula>
    </cfRule>
  </conditionalFormatting>
  <conditionalFormatting sqref="FJ331:FL331">
    <cfRule type="cellIs" dxfId="2620" priority="6219" operator="equal">
      <formula>"NA"</formula>
    </cfRule>
    <cfRule type="cellIs" dxfId="2619" priority="6220" operator="equal">
      <formula>"NONE"</formula>
    </cfRule>
    <cfRule type="cellIs" dxfId="2618" priority="6221" operator="between">
      <formula>30</formula>
      <formula>999</formula>
    </cfRule>
    <cfRule type="cellIs" dxfId="2617" priority="6222" operator="between">
      <formula>10</formula>
      <formula>29</formula>
    </cfRule>
    <cfRule type="cellIs" dxfId="2616" priority="6223" operator="between">
      <formula>5</formula>
      <formula>9</formula>
    </cfRule>
    <cfRule type="cellIs" dxfId="2615" priority="6224" operator="between">
      <formula>0</formula>
      <formula>4</formula>
    </cfRule>
  </conditionalFormatting>
  <conditionalFormatting sqref="FJ329:FL329">
    <cfRule type="cellIs" dxfId="2614" priority="6213" operator="equal">
      <formula>"NA"</formula>
    </cfRule>
    <cfRule type="cellIs" dxfId="2613" priority="6214" operator="equal">
      <formula>"SKC"</formula>
    </cfRule>
    <cfRule type="cellIs" dxfId="2612" priority="6215" operator="equal">
      <formula>"FEW"</formula>
    </cfRule>
    <cfRule type="cellIs" dxfId="2611" priority="6216" operator="equal">
      <formula>"SCT"</formula>
    </cfRule>
    <cfRule type="cellIs" dxfId="2610" priority="6217" operator="equal">
      <formula>"BKN"</formula>
    </cfRule>
    <cfRule type="cellIs" dxfId="2609" priority="6218" operator="equal">
      <formula>"OVC"</formula>
    </cfRule>
  </conditionalFormatting>
  <conditionalFormatting sqref="FJ332:FL332">
    <cfRule type="cellIs" dxfId="2608" priority="6207" operator="equal">
      <formula>"NA"</formula>
    </cfRule>
    <cfRule type="cellIs" dxfId="2607" priority="6208" operator="equal">
      <formula>"SKC"</formula>
    </cfRule>
    <cfRule type="cellIs" dxfId="2606" priority="6209" operator="equal">
      <formula>"FEW"</formula>
    </cfRule>
    <cfRule type="cellIs" dxfId="2605" priority="6210" operator="equal">
      <formula>"SCT"</formula>
    </cfRule>
    <cfRule type="cellIs" dxfId="2604" priority="6211" operator="equal">
      <formula>"BKN"</formula>
    </cfRule>
    <cfRule type="cellIs" dxfId="2603" priority="6212" operator="equal">
      <formula>"OVC"</formula>
    </cfRule>
  </conditionalFormatting>
  <conditionalFormatting sqref="FJ335:FL335">
    <cfRule type="cellIs" dxfId="2602" priority="6201" operator="equal">
      <formula>"NA"</formula>
    </cfRule>
    <cfRule type="cellIs" dxfId="2601" priority="6202" operator="equal">
      <formula>"SKC"</formula>
    </cfRule>
    <cfRule type="cellIs" dxfId="2600" priority="6203" operator="equal">
      <formula>"FEW"</formula>
    </cfRule>
    <cfRule type="cellIs" dxfId="2599" priority="6204" operator="equal">
      <formula>"SCT"</formula>
    </cfRule>
    <cfRule type="cellIs" dxfId="2598" priority="6205" operator="equal">
      <formula>"BKN"</formula>
    </cfRule>
    <cfRule type="cellIs" dxfId="2597" priority="6206" operator="equal">
      <formula>"OVC"</formula>
    </cfRule>
  </conditionalFormatting>
  <conditionalFormatting sqref="FJ338:FL338">
    <cfRule type="cellIs" dxfId="2596" priority="6195" operator="equal">
      <formula>"NA"</formula>
    </cfRule>
    <cfRule type="cellIs" dxfId="2595" priority="6196" operator="equal">
      <formula>"SKC"</formula>
    </cfRule>
    <cfRule type="cellIs" dxfId="2594" priority="6197" operator="equal">
      <formula>"FEW"</formula>
    </cfRule>
    <cfRule type="cellIs" dxfId="2593" priority="6198" operator="equal">
      <formula>"SCT"</formula>
    </cfRule>
    <cfRule type="cellIs" dxfId="2592" priority="6199" operator="equal">
      <formula>"BKN"</formula>
    </cfRule>
    <cfRule type="cellIs" dxfId="2591" priority="6200" operator="equal">
      <formula>"OVC"</formula>
    </cfRule>
  </conditionalFormatting>
  <conditionalFormatting sqref="FJ341:FK341">
    <cfRule type="cellIs" dxfId="2590" priority="6189" operator="equal">
      <formula>"3~5"</formula>
    </cfRule>
    <cfRule type="cellIs" dxfId="2589" priority="6190" operator="equal">
      <formula>"2~2 3/4"</formula>
    </cfRule>
    <cfRule type="cellIs" dxfId="2588" priority="6191" operator="equal">
      <formula>"1~1 7/8"</formula>
    </cfRule>
    <cfRule type="cellIs" dxfId="2587" priority="6192" operator="equal">
      <formula>"0~3/8"</formula>
    </cfRule>
    <cfRule type="cellIs" dxfId="2586" priority="6193" operator="equal">
      <formula>"1/2~7/8"</formula>
    </cfRule>
    <cfRule type="cellIs" dxfId="2585" priority="6194" operator="equal">
      <formula>"       NA"</formula>
    </cfRule>
  </conditionalFormatting>
  <conditionalFormatting sqref="FJ345:FK345">
    <cfRule type="cellIs" dxfId="2584" priority="6183" operator="equal">
      <formula>"3~5"</formula>
    </cfRule>
    <cfRule type="cellIs" dxfId="2583" priority="6184" operator="equal">
      <formula>"2~2 3/4"</formula>
    </cfRule>
    <cfRule type="cellIs" dxfId="2582" priority="6185" operator="equal">
      <formula>"1~1 7/8"</formula>
    </cfRule>
    <cfRule type="cellIs" dxfId="2581" priority="6186" operator="equal">
      <formula>"0~3/8"</formula>
    </cfRule>
    <cfRule type="cellIs" dxfId="2580" priority="6187" operator="equal">
      <formula>"1/2~7/8"</formula>
    </cfRule>
    <cfRule type="cellIs" dxfId="2579" priority="6188" operator="equal">
      <formula>"       NA"</formula>
    </cfRule>
  </conditionalFormatting>
  <conditionalFormatting sqref="FJ347:FK347">
    <cfRule type="cellIs" dxfId="2578" priority="6177" operator="equal">
      <formula>"3~5"</formula>
    </cfRule>
    <cfRule type="cellIs" dxfId="2577" priority="6178" operator="equal">
      <formula>"2~2 3/4"</formula>
    </cfRule>
    <cfRule type="cellIs" dxfId="2576" priority="6179" operator="equal">
      <formula>"1~1 7/8"</formula>
    </cfRule>
    <cfRule type="cellIs" dxfId="2575" priority="6180" operator="equal">
      <formula>"0~3/8"</formula>
    </cfRule>
    <cfRule type="cellIs" dxfId="2574" priority="6181" operator="equal">
      <formula>"1/2~7/8"</formula>
    </cfRule>
    <cfRule type="cellIs" dxfId="2573" priority="6182" operator="equal">
      <formula>"       NA"</formula>
    </cfRule>
  </conditionalFormatting>
  <conditionalFormatting sqref="FJ343:FK343">
    <cfRule type="cellIs" dxfId="2572" priority="6173" operator="lessThan">
      <formula>6</formula>
    </cfRule>
    <cfRule type="cellIs" dxfId="2571" priority="6174" stopIfTrue="1" operator="equal">
      <formula>"NA"</formula>
    </cfRule>
    <cfRule type="cellIs" dxfId="2570" priority="6175" operator="lessThan">
      <formula>1</formula>
    </cfRule>
    <cfRule type="cellIs" dxfId="2569" priority="6176" operator="lessThan">
      <formula>3</formula>
    </cfRule>
  </conditionalFormatting>
  <conditionalFormatting sqref="FM322">
    <cfRule type="expression" dxfId="2568" priority="6171">
      <formula>HOUR(FM326)&gt;11</formula>
    </cfRule>
    <cfRule type="expression" dxfId="2567" priority="6172">
      <formula>HOUR(FM326)&lt;12</formula>
    </cfRule>
  </conditionalFormatting>
  <conditionalFormatting sqref="FM328:FO328">
    <cfRule type="cellIs" dxfId="2566" priority="6165" operator="equal">
      <formula>"NA"</formula>
    </cfRule>
    <cfRule type="expression" dxfId="2565" priority="6166">
      <formula>VALUE(LEFT(FM328,3))&lt;5</formula>
    </cfRule>
    <cfRule type="expression" dxfId="2564" priority="6167">
      <formula>VALUE(LEFT(FM328,3))&lt;10</formula>
    </cfRule>
    <cfRule type="expression" dxfId="2563" priority="6168">
      <formula>VALUE(LEFT(FM328,3))&lt;30</formula>
    </cfRule>
    <cfRule type="expression" dxfId="2562" priority="6169">
      <formula>VALUE(LEFT(FM328,3))&gt;29</formula>
    </cfRule>
    <cfRule type="cellIs" dxfId="2561" priority="6170" operator="equal">
      <formula>"NO CIG"</formula>
    </cfRule>
  </conditionalFormatting>
  <conditionalFormatting sqref="FM334:FO334">
    <cfRule type="cellIs" dxfId="2560" priority="6159" operator="equal">
      <formula>"NA"</formula>
    </cfRule>
    <cfRule type="expression" dxfId="2559" priority="6160">
      <formula>VALUE(LEFT(FM334,3))&lt;5</formula>
    </cfRule>
    <cfRule type="expression" dxfId="2558" priority="6161">
      <formula>VALUE(LEFT(FM334,3))&lt;10</formula>
    </cfRule>
    <cfRule type="expression" dxfId="2557" priority="6162">
      <formula>VALUE(LEFT(FM334,3))&lt;30</formula>
    </cfRule>
    <cfRule type="expression" dxfId="2556" priority="6163">
      <formula>VALUE(LEFT(FM334,3))&gt;29</formula>
    </cfRule>
    <cfRule type="cellIs" dxfId="2555" priority="6164" operator="equal">
      <formula>"NO CIG"</formula>
    </cfRule>
  </conditionalFormatting>
  <conditionalFormatting sqref="FM337:FO337">
    <cfRule type="cellIs" dxfId="2554" priority="6153" operator="equal">
      <formula>"NA"</formula>
    </cfRule>
    <cfRule type="expression" dxfId="2553" priority="6154">
      <formula>VALUE(LEFT(FM337,3))&lt;5</formula>
    </cfRule>
    <cfRule type="expression" dxfId="2552" priority="6155">
      <formula>VALUE(LEFT(FM337,3))&lt;10</formula>
    </cfRule>
    <cfRule type="expression" dxfId="2551" priority="6156">
      <formula>VALUE(LEFT(FM337,3))&lt;30</formula>
    </cfRule>
    <cfRule type="expression" dxfId="2550" priority="6157">
      <formula>VALUE(LEFT(FM337,3))&gt;29</formula>
    </cfRule>
    <cfRule type="cellIs" dxfId="2549" priority="6158" operator="equal">
      <formula>"NO CIG"</formula>
    </cfRule>
  </conditionalFormatting>
  <conditionalFormatting sqref="FM331:FO331">
    <cfRule type="cellIs" dxfId="2548" priority="6147" operator="equal">
      <formula>"NA"</formula>
    </cfRule>
    <cfRule type="cellIs" dxfId="2547" priority="6148" operator="equal">
      <formula>"NONE"</formula>
    </cfRule>
    <cfRule type="cellIs" dxfId="2546" priority="6149" operator="between">
      <formula>30</formula>
      <formula>999</formula>
    </cfRule>
    <cfRule type="cellIs" dxfId="2545" priority="6150" operator="between">
      <formula>10</formula>
      <formula>29</formula>
    </cfRule>
    <cfRule type="cellIs" dxfId="2544" priority="6151" operator="between">
      <formula>5</formula>
      <formula>9</formula>
    </cfRule>
    <cfRule type="cellIs" dxfId="2543" priority="6152" operator="between">
      <formula>0</formula>
      <formula>4</formula>
    </cfRule>
  </conditionalFormatting>
  <conditionalFormatting sqref="FM329:FO329">
    <cfRule type="cellIs" dxfId="2542" priority="6141" operator="equal">
      <formula>"NA"</formula>
    </cfRule>
    <cfRule type="cellIs" dxfId="2541" priority="6142" operator="equal">
      <formula>"SKC"</formula>
    </cfRule>
    <cfRule type="cellIs" dxfId="2540" priority="6143" operator="equal">
      <formula>"FEW"</formula>
    </cfRule>
    <cfRule type="cellIs" dxfId="2539" priority="6144" operator="equal">
      <formula>"SCT"</formula>
    </cfRule>
    <cfRule type="cellIs" dxfId="2538" priority="6145" operator="equal">
      <formula>"BKN"</formula>
    </cfRule>
    <cfRule type="cellIs" dxfId="2537" priority="6146" operator="equal">
      <formula>"OVC"</formula>
    </cfRule>
  </conditionalFormatting>
  <conditionalFormatting sqref="FM332:FO332">
    <cfRule type="cellIs" dxfId="2536" priority="6135" operator="equal">
      <formula>"NA"</formula>
    </cfRule>
    <cfRule type="cellIs" dxfId="2535" priority="6136" operator="equal">
      <formula>"SKC"</formula>
    </cfRule>
    <cfRule type="cellIs" dxfId="2534" priority="6137" operator="equal">
      <formula>"FEW"</formula>
    </cfRule>
    <cfRule type="cellIs" dxfId="2533" priority="6138" operator="equal">
      <formula>"SCT"</formula>
    </cfRule>
    <cfRule type="cellIs" dxfId="2532" priority="6139" operator="equal">
      <formula>"BKN"</formula>
    </cfRule>
    <cfRule type="cellIs" dxfId="2531" priority="6140" operator="equal">
      <formula>"OVC"</formula>
    </cfRule>
  </conditionalFormatting>
  <conditionalFormatting sqref="FM335:FO335">
    <cfRule type="cellIs" dxfId="2530" priority="6129" operator="equal">
      <formula>"NA"</formula>
    </cfRule>
    <cfRule type="cellIs" dxfId="2529" priority="6130" operator="equal">
      <formula>"SKC"</formula>
    </cfRule>
    <cfRule type="cellIs" dxfId="2528" priority="6131" operator="equal">
      <formula>"FEW"</formula>
    </cfRule>
    <cfRule type="cellIs" dxfId="2527" priority="6132" operator="equal">
      <formula>"SCT"</formula>
    </cfRule>
    <cfRule type="cellIs" dxfId="2526" priority="6133" operator="equal">
      <formula>"BKN"</formula>
    </cfRule>
    <cfRule type="cellIs" dxfId="2525" priority="6134" operator="equal">
      <formula>"OVC"</formula>
    </cfRule>
  </conditionalFormatting>
  <conditionalFormatting sqref="FM338:FO338">
    <cfRule type="cellIs" dxfId="2524" priority="6123" operator="equal">
      <formula>"NA"</formula>
    </cfRule>
    <cfRule type="cellIs" dxfId="2523" priority="6124" operator="equal">
      <formula>"SKC"</formula>
    </cfRule>
    <cfRule type="cellIs" dxfId="2522" priority="6125" operator="equal">
      <formula>"FEW"</formula>
    </cfRule>
    <cfRule type="cellIs" dxfId="2521" priority="6126" operator="equal">
      <formula>"SCT"</formula>
    </cfRule>
    <cfRule type="cellIs" dxfId="2520" priority="6127" operator="equal">
      <formula>"BKN"</formula>
    </cfRule>
    <cfRule type="cellIs" dxfId="2519" priority="6128" operator="equal">
      <formula>"OVC"</formula>
    </cfRule>
  </conditionalFormatting>
  <conditionalFormatting sqref="FM341:FN341">
    <cfRule type="cellIs" dxfId="2518" priority="6117" operator="equal">
      <formula>"3~5"</formula>
    </cfRule>
    <cfRule type="cellIs" dxfId="2517" priority="6118" operator="equal">
      <formula>"2~2 3/4"</formula>
    </cfRule>
    <cfRule type="cellIs" dxfId="2516" priority="6119" operator="equal">
      <formula>"1~1 7/8"</formula>
    </cfRule>
    <cfRule type="cellIs" dxfId="2515" priority="6120" operator="equal">
      <formula>"0~3/8"</formula>
    </cfRule>
    <cfRule type="cellIs" dxfId="2514" priority="6121" operator="equal">
      <formula>"1/2~7/8"</formula>
    </cfRule>
    <cfRule type="cellIs" dxfId="2513" priority="6122" operator="equal">
      <formula>"       NA"</formula>
    </cfRule>
  </conditionalFormatting>
  <conditionalFormatting sqref="FM345:FN345">
    <cfRule type="cellIs" dxfId="2512" priority="6111" operator="equal">
      <formula>"3~5"</formula>
    </cfRule>
    <cfRule type="cellIs" dxfId="2511" priority="6112" operator="equal">
      <formula>"2~2 3/4"</formula>
    </cfRule>
    <cfRule type="cellIs" dxfId="2510" priority="6113" operator="equal">
      <formula>"1~1 7/8"</formula>
    </cfRule>
    <cfRule type="cellIs" dxfId="2509" priority="6114" operator="equal">
      <formula>"0~3/8"</formula>
    </cfRule>
    <cfRule type="cellIs" dxfId="2508" priority="6115" operator="equal">
      <formula>"1/2~7/8"</formula>
    </cfRule>
    <cfRule type="cellIs" dxfId="2507" priority="6116" operator="equal">
      <formula>"       NA"</formula>
    </cfRule>
  </conditionalFormatting>
  <conditionalFormatting sqref="FM347:FN347">
    <cfRule type="cellIs" dxfId="2506" priority="6105" operator="equal">
      <formula>"3~5"</formula>
    </cfRule>
    <cfRule type="cellIs" dxfId="2505" priority="6106" operator="equal">
      <formula>"2~2 3/4"</formula>
    </cfRule>
    <cfRule type="cellIs" dxfId="2504" priority="6107" operator="equal">
      <formula>"1~1 7/8"</formula>
    </cfRule>
    <cfRule type="cellIs" dxfId="2503" priority="6108" operator="equal">
      <formula>"0~3/8"</formula>
    </cfRule>
    <cfRule type="cellIs" dxfId="2502" priority="6109" operator="equal">
      <formula>"1/2~7/8"</formula>
    </cfRule>
    <cfRule type="cellIs" dxfId="2501" priority="6110" operator="equal">
      <formula>"       NA"</formula>
    </cfRule>
  </conditionalFormatting>
  <conditionalFormatting sqref="FM343:FN343">
    <cfRule type="cellIs" dxfId="2500" priority="6101" operator="lessThan">
      <formula>6</formula>
    </cfRule>
    <cfRule type="cellIs" dxfId="2499" priority="6102" stopIfTrue="1" operator="equal">
      <formula>"NA"</formula>
    </cfRule>
    <cfRule type="cellIs" dxfId="2498" priority="6103" operator="lessThan">
      <formula>1</formula>
    </cfRule>
    <cfRule type="cellIs" dxfId="2497" priority="6104" operator="lessThan">
      <formula>3</formula>
    </cfRule>
  </conditionalFormatting>
  <conditionalFormatting sqref="FP322">
    <cfRule type="expression" dxfId="2496" priority="6099">
      <formula>HOUR(FP326)&gt;11</formula>
    </cfRule>
    <cfRule type="expression" dxfId="2495" priority="6100">
      <formula>HOUR(FP326)&lt;12</formula>
    </cfRule>
  </conditionalFormatting>
  <conditionalFormatting sqref="FP328:FR328">
    <cfRule type="cellIs" dxfId="2494" priority="6093" operator="equal">
      <formula>"NA"</formula>
    </cfRule>
    <cfRule type="expression" dxfId="2493" priority="6094">
      <formula>VALUE(LEFT(FP328,3))&lt;5</formula>
    </cfRule>
    <cfRule type="expression" dxfId="2492" priority="6095">
      <formula>VALUE(LEFT(FP328,3))&lt;10</formula>
    </cfRule>
    <cfRule type="expression" dxfId="2491" priority="6096">
      <formula>VALUE(LEFT(FP328,3))&lt;30</formula>
    </cfRule>
    <cfRule type="expression" dxfId="2490" priority="6097">
      <formula>VALUE(LEFT(FP328,3))&gt;29</formula>
    </cfRule>
    <cfRule type="cellIs" dxfId="2489" priority="6098" operator="equal">
      <formula>"NO CIG"</formula>
    </cfRule>
  </conditionalFormatting>
  <conditionalFormatting sqref="FP334:FR334">
    <cfRule type="cellIs" dxfId="2488" priority="6087" operator="equal">
      <formula>"NA"</formula>
    </cfRule>
    <cfRule type="expression" dxfId="2487" priority="6088">
      <formula>VALUE(LEFT(FP334,3))&lt;5</formula>
    </cfRule>
    <cfRule type="expression" dxfId="2486" priority="6089">
      <formula>VALUE(LEFT(FP334,3))&lt;10</formula>
    </cfRule>
    <cfRule type="expression" dxfId="2485" priority="6090">
      <formula>VALUE(LEFT(FP334,3))&lt;30</formula>
    </cfRule>
    <cfRule type="expression" dxfId="2484" priority="6091">
      <formula>VALUE(LEFT(FP334,3))&gt;29</formula>
    </cfRule>
    <cfRule type="cellIs" dxfId="2483" priority="6092" operator="equal">
      <formula>"NO CIG"</formula>
    </cfRule>
  </conditionalFormatting>
  <conditionalFormatting sqref="FP337:FR337">
    <cfRule type="cellIs" dxfId="2482" priority="6081" operator="equal">
      <formula>"NA"</formula>
    </cfRule>
    <cfRule type="expression" dxfId="2481" priority="6082">
      <formula>VALUE(LEFT(FP337,3))&lt;5</formula>
    </cfRule>
    <cfRule type="expression" dxfId="2480" priority="6083">
      <formula>VALUE(LEFT(FP337,3))&lt;10</formula>
    </cfRule>
    <cfRule type="expression" dxfId="2479" priority="6084">
      <formula>VALUE(LEFT(FP337,3))&lt;30</formula>
    </cfRule>
    <cfRule type="expression" dxfId="2478" priority="6085">
      <formula>VALUE(LEFT(FP337,3))&gt;29</formula>
    </cfRule>
    <cfRule type="cellIs" dxfId="2477" priority="6086" operator="equal">
      <formula>"NO CIG"</formula>
    </cfRule>
  </conditionalFormatting>
  <conditionalFormatting sqref="FP331:FR331">
    <cfRule type="cellIs" dxfId="2476" priority="6075" operator="equal">
      <formula>"NA"</formula>
    </cfRule>
    <cfRule type="cellIs" dxfId="2475" priority="6076" operator="equal">
      <formula>"NONE"</formula>
    </cfRule>
    <cfRule type="cellIs" dxfId="2474" priority="6077" operator="between">
      <formula>30</formula>
      <formula>999</formula>
    </cfRule>
    <cfRule type="cellIs" dxfId="2473" priority="6078" operator="between">
      <formula>10</formula>
      <formula>29</formula>
    </cfRule>
    <cfRule type="cellIs" dxfId="2472" priority="6079" operator="between">
      <formula>5</formula>
      <formula>9</formula>
    </cfRule>
    <cfRule type="cellIs" dxfId="2471" priority="6080" operator="between">
      <formula>0</formula>
      <formula>4</formula>
    </cfRule>
  </conditionalFormatting>
  <conditionalFormatting sqref="FP329:FR329">
    <cfRule type="cellIs" dxfId="2470" priority="6069" operator="equal">
      <formula>"NA"</formula>
    </cfRule>
    <cfRule type="cellIs" dxfId="2469" priority="6070" operator="equal">
      <formula>"SKC"</formula>
    </cfRule>
    <cfRule type="cellIs" dxfId="2468" priority="6071" operator="equal">
      <formula>"FEW"</formula>
    </cfRule>
    <cfRule type="cellIs" dxfId="2467" priority="6072" operator="equal">
      <formula>"SCT"</formula>
    </cfRule>
    <cfRule type="cellIs" dxfId="2466" priority="6073" operator="equal">
      <formula>"BKN"</formula>
    </cfRule>
    <cfRule type="cellIs" dxfId="2465" priority="6074" operator="equal">
      <formula>"OVC"</formula>
    </cfRule>
  </conditionalFormatting>
  <conditionalFormatting sqref="FP332:FR332">
    <cfRule type="cellIs" dxfId="2464" priority="6063" operator="equal">
      <formula>"NA"</formula>
    </cfRule>
    <cfRule type="cellIs" dxfId="2463" priority="6064" operator="equal">
      <formula>"SKC"</formula>
    </cfRule>
    <cfRule type="cellIs" dxfId="2462" priority="6065" operator="equal">
      <formula>"FEW"</formula>
    </cfRule>
    <cfRule type="cellIs" dxfId="2461" priority="6066" operator="equal">
      <formula>"SCT"</formula>
    </cfRule>
    <cfRule type="cellIs" dxfId="2460" priority="6067" operator="equal">
      <formula>"BKN"</formula>
    </cfRule>
    <cfRule type="cellIs" dxfId="2459" priority="6068" operator="equal">
      <formula>"OVC"</formula>
    </cfRule>
  </conditionalFormatting>
  <conditionalFormatting sqref="FP335:FR335">
    <cfRule type="cellIs" dxfId="2458" priority="6057" operator="equal">
      <formula>"NA"</formula>
    </cfRule>
    <cfRule type="cellIs" dxfId="2457" priority="6058" operator="equal">
      <formula>"SKC"</formula>
    </cfRule>
    <cfRule type="cellIs" dxfId="2456" priority="6059" operator="equal">
      <formula>"FEW"</formula>
    </cfRule>
    <cfRule type="cellIs" dxfId="2455" priority="6060" operator="equal">
      <formula>"SCT"</formula>
    </cfRule>
    <cfRule type="cellIs" dxfId="2454" priority="6061" operator="equal">
      <formula>"BKN"</formula>
    </cfRule>
    <cfRule type="cellIs" dxfId="2453" priority="6062" operator="equal">
      <formula>"OVC"</formula>
    </cfRule>
  </conditionalFormatting>
  <conditionalFormatting sqref="FP338:FR338">
    <cfRule type="cellIs" dxfId="2452" priority="6051" operator="equal">
      <formula>"NA"</formula>
    </cfRule>
    <cfRule type="cellIs" dxfId="2451" priority="6052" operator="equal">
      <formula>"SKC"</formula>
    </cfRule>
    <cfRule type="cellIs" dxfId="2450" priority="6053" operator="equal">
      <formula>"FEW"</formula>
    </cfRule>
    <cfRule type="cellIs" dxfId="2449" priority="6054" operator="equal">
      <formula>"SCT"</formula>
    </cfRule>
    <cfRule type="cellIs" dxfId="2448" priority="6055" operator="equal">
      <formula>"BKN"</formula>
    </cfRule>
    <cfRule type="cellIs" dxfId="2447" priority="6056" operator="equal">
      <formula>"OVC"</formula>
    </cfRule>
  </conditionalFormatting>
  <conditionalFormatting sqref="FP341:FQ341">
    <cfRule type="cellIs" dxfId="2446" priority="6045" operator="equal">
      <formula>"3~5"</formula>
    </cfRule>
    <cfRule type="cellIs" dxfId="2445" priority="6046" operator="equal">
      <formula>"2~2 3/4"</formula>
    </cfRule>
    <cfRule type="cellIs" dxfId="2444" priority="6047" operator="equal">
      <formula>"1~1 7/8"</formula>
    </cfRule>
    <cfRule type="cellIs" dxfId="2443" priority="6048" operator="equal">
      <formula>"0~3/8"</formula>
    </cfRule>
    <cfRule type="cellIs" dxfId="2442" priority="6049" operator="equal">
      <formula>"1/2~7/8"</formula>
    </cfRule>
    <cfRule type="cellIs" dxfId="2441" priority="6050" operator="equal">
      <formula>"       NA"</formula>
    </cfRule>
  </conditionalFormatting>
  <conditionalFormatting sqref="FP345:FQ345">
    <cfRule type="cellIs" dxfId="2440" priority="6039" operator="equal">
      <formula>"3~5"</formula>
    </cfRule>
    <cfRule type="cellIs" dxfId="2439" priority="6040" operator="equal">
      <formula>"2~2 3/4"</formula>
    </cfRule>
    <cfRule type="cellIs" dxfId="2438" priority="6041" operator="equal">
      <formula>"1~1 7/8"</formula>
    </cfRule>
    <cfRule type="cellIs" dxfId="2437" priority="6042" operator="equal">
      <formula>"0~3/8"</formula>
    </cfRule>
    <cfRule type="cellIs" dxfId="2436" priority="6043" operator="equal">
      <formula>"1/2~7/8"</formula>
    </cfRule>
    <cfRule type="cellIs" dxfId="2435" priority="6044" operator="equal">
      <formula>"       NA"</formula>
    </cfRule>
  </conditionalFormatting>
  <conditionalFormatting sqref="FP347:FQ347">
    <cfRule type="cellIs" dxfId="2434" priority="6033" operator="equal">
      <formula>"3~5"</formula>
    </cfRule>
    <cfRule type="cellIs" dxfId="2433" priority="6034" operator="equal">
      <formula>"2~2 3/4"</formula>
    </cfRule>
    <cfRule type="cellIs" dxfId="2432" priority="6035" operator="equal">
      <formula>"1~1 7/8"</formula>
    </cfRule>
    <cfRule type="cellIs" dxfId="2431" priority="6036" operator="equal">
      <formula>"0~3/8"</formula>
    </cfRule>
    <cfRule type="cellIs" dxfId="2430" priority="6037" operator="equal">
      <formula>"1/2~7/8"</formula>
    </cfRule>
    <cfRule type="cellIs" dxfId="2429" priority="6038" operator="equal">
      <formula>"       NA"</formula>
    </cfRule>
  </conditionalFormatting>
  <conditionalFormatting sqref="FP343:FQ343">
    <cfRule type="cellIs" dxfId="2428" priority="6029" operator="lessThan">
      <formula>6</formula>
    </cfRule>
    <cfRule type="cellIs" dxfId="2427" priority="6030" stopIfTrue="1" operator="equal">
      <formula>"NA"</formula>
    </cfRule>
    <cfRule type="cellIs" dxfId="2426" priority="6031" operator="lessThan">
      <formula>1</formula>
    </cfRule>
    <cfRule type="cellIs" dxfId="2425" priority="6032" operator="lessThan">
      <formula>3</formula>
    </cfRule>
  </conditionalFormatting>
  <conditionalFormatting sqref="FS322">
    <cfRule type="expression" dxfId="2424" priority="6027">
      <formula>HOUR(FS326)&gt;11</formula>
    </cfRule>
    <cfRule type="expression" dxfId="2423" priority="6028">
      <formula>HOUR(FS326)&lt;12</formula>
    </cfRule>
  </conditionalFormatting>
  <conditionalFormatting sqref="FS328:FU328">
    <cfRule type="cellIs" dxfId="2422" priority="6021" operator="equal">
      <formula>"NA"</formula>
    </cfRule>
    <cfRule type="expression" dxfId="2421" priority="6022">
      <formula>VALUE(LEFT(FS328,3))&lt;5</formula>
    </cfRule>
    <cfRule type="expression" dxfId="2420" priority="6023">
      <formula>VALUE(LEFT(FS328,3))&lt;10</formula>
    </cfRule>
    <cfRule type="expression" dxfId="2419" priority="6024">
      <formula>VALUE(LEFT(FS328,3))&lt;30</formula>
    </cfRule>
    <cfRule type="expression" dxfId="2418" priority="6025">
      <formula>VALUE(LEFT(FS328,3))&gt;29</formula>
    </cfRule>
    <cfRule type="cellIs" dxfId="2417" priority="6026" operator="equal">
      <formula>"NO CIG"</formula>
    </cfRule>
  </conditionalFormatting>
  <conditionalFormatting sqref="FS334:FU334">
    <cfRule type="cellIs" dxfId="2416" priority="6015" operator="equal">
      <formula>"NA"</formula>
    </cfRule>
    <cfRule type="expression" dxfId="2415" priority="6016">
      <formula>VALUE(LEFT(FS334,3))&lt;5</formula>
    </cfRule>
    <cfRule type="expression" dxfId="2414" priority="6017">
      <formula>VALUE(LEFT(FS334,3))&lt;10</formula>
    </cfRule>
    <cfRule type="expression" dxfId="2413" priority="6018">
      <formula>VALUE(LEFT(FS334,3))&lt;30</formula>
    </cfRule>
    <cfRule type="expression" dxfId="2412" priority="6019">
      <formula>VALUE(LEFT(FS334,3))&gt;29</formula>
    </cfRule>
    <cfRule type="cellIs" dxfId="2411" priority="6020" operator="equal">
      <formula>"NO CIG"</formula>
    </cfRule>
  </conditionalFormatting>
  <conditionalFormatting sqref="FS337:FU337">
    <cfRule type="cellIs" dxfId="2410" priority="6009" operator="equal">
      <formula>"NA"</formula>
    </cfRule>
    <cfRule type="expression" dxfId="2409" priority="6010">
      <formula>VALUE(LEFT(FS337,3))&lt;5</formula>
    </cfRule>
    <cfRule type="expression" dxfId="2408" priority="6011">
      <formula>VALUE(LEFT(FS337,3))&lt;10</formula>
    </cfRule>
    <cfRule type="expression" dxfId="2407" priority="6012">
      <formula>VALUE(LEFT(FS337,3))&lt;30</formula>
    </cfRule>
    <cfRule type="expression" dxfId="2406" priority="6013">
      <formula>VALUE(LEFT(FS337,3))&gt;29</formula>
    </cfRule>
    <cfRule type="cellIs" dxfId="2405" priority="6014" operator="equal">
      <formula>"NO CIG"</formula>
    </cfRule>
  </conditionalFormatting>
  <conditionalFormatting sqref="FS331:FU331">
    <cfRule type="cellIs" dxfId="2404" priority="6003" operator="equal">
      <formula>"NA"</formula>
    </cfRule>
    <cfRule type="cellIs" dxfId="2403" priority="6004" operator="equal">
      <formula>"NONE"</formula>
    </cfRule>
    <cfRule type="cellIs" dxfId="2402" priority="6005" operator="between">
      <formula>30</formula>
      <formula>999</formula>
    </cfRule>
    <cfRule type="cellIs" dxfId="2401" priority="6006" operator="between">
      <formula>10</formula>
      <formula>29</formula>
    </cfRule>
    <cfRule type="cellIs" dxfId="2400" priority="6007" operator="between">
      <formula>5</formula>
      <formula>9</formula>
    </cfRule>
    <cfRule type="cellIs" dxfId="2399" priority="6008" operator="between">
      <formula>0</formula>
      <formula>4</formula>
    </cfRule>
  </conditionalFormatting>
  <conditionalFormatting sqref="FS329:FU329">
    <cfRule type="cellIs" dxfId="2398" priority="5997" operator="equal">
      <formula>"NA"</formula>
    </cfRule>
    <cfRule type="cellIs" dxfId="2397" priority="5998" operator="equal">
      <formula>"SKC"</formula>
    </cfRule>
    <cfRule type="cellIs" dxfId="2396" priority="5999" operator="equal">
      <formula>"FEW"</formula>
    </cfRule>
    <cfRule type="cellIs" dxfId="2395" priority="6000" operator="equal">
      <formula>"SCT"</formula>
    </cfRule>
    <cfRule type="cellIs" dxfId="2394" priority="6001" operator="equal">
      <formula>"BKN"</formula>
    </cfRule>
    <cfRule type="cellIs" dxfId="2393" priority="6002" operator="equal">
      <formula>"OVC"</formula>
    </cfRule>
  </conditionalFormatting>
  <conditionalFormatting sqref="FS332:FU332">
    <cfRule type="cellIs" dxfId="2392" priority="5991" operator="equal">
      <formula>"NA"</formula>
    </cfRule>
    <cfRule type="cellIs" dxfId="2391" priority="5992" operator="equal">
      <formula>"SKC"</formula>
    </cfRule>
    <cfRule type="cellIs" dxfId="2390" priority="5993" operator="equal">
      <formula>"FEW"</formula>
    </cfRule>
    <cfRule type="cellIs" dxfId="2389" priority="5994" operator="equal">
      <formula>"SCT"</formula>
    </cfRule>
    <cfRule type="cellIs" dxfId="2388" priority="5995" operator="equal">
      <formula>"BKN"</formula>
    </cfRule>
    <cfRule type="cellIs" dxfId="2387" priority="5996" operator="equal">
      <formula>"OVC"</formula>
    </cfRule>
  </conditionalFormatting>
  <conditionalFormatting sqref="FS335:FU335">
    <cfRule type="cellIs" dxfId="2386" priority="5985" operator="equal">
      <formula>"NA"</formula>
    </cfRule>
    <cfRule type="cellIs" dxfId="2385" priority="5986" operator="equal">
      <formula>"SKC"</formula>
    </cfRule>
    <cfRule type="cellIs" dxfId="2384" priority="5987" operator="equal">
      <formula>"FEW"</formula>
    </cfRule>
    <cfRule type="cellIs" dxfId="2383" priority="5988" operator="equal">
      <formula>"SCT"</formula>
    </cfRule>
    <cfRule type="cellIs" dxfId="2382" priority="5989" operator="equal">
      <formula>"BKN"</formula>
    </cfRule>
    <cfRule type="cellIs" dxfId="2381" priority="5990" operator="equal">
      <formula>"OVC"</formula>
    </cfRule>
  </conditionalFormatting>
  <conditionalFormatting sqref="FS338:FU338">
    <cfRule type="cellIs" dxfId="2380" priority="5979" operator="equal">
      <formula>"NA"</formula>
    </cfRule>
    <cfRule type="cellIs" dxfId="2379" priority="5980" operator="equal">
      <formula>"SKC"</formula>
    </cfRule>
    <cfRule type="cellIs" dxfId="2378" priority="5981" operator="equal">
      <formula>"FEW"</formula>
    </cfRule>
    <cfRule type="cellIs" dxfId="2377" priority="5982" operator="equal">
      <formula>"SCT"</formula>
    </cfRule>
    <cfRule type="cellIs" dxfId="2376" priority="5983" operator="equal">
      <formula>"BKN"</formula>
    </cfRule>
    <cfRule type="cellIs" dxfId="2375" priority="5984" operator="equal">
      <formula>"OVC"</formula>
    </cfRule>
  </conditionalFormatting>
  <conditionalFormatting sqref="FS341:FT341">
    <cfRule type="cellIs" dxfId="2374" priority="5973" operator="equal">
      <formula>"3~5"</formula>
    </cfRule>
    <cfRule type="cellIs" dxfId="2373" priority="5974" operator="equal">
      <formula>"2~2 3/4"</formula>
    </cfRule>
    <cfRule type="cellIs" dxfId="2372" priority="5975" operator="equal">
      <formula>"1~1 7/8"</formula>
    </cfRule>
    <cfRule type="cellIs" dxfId="2371" priority="5976" operator="equal">
      <formula>"0~3/8"</formula>
    </cfRule>
    <cfRule type="cellIs" dxfId="2370" priority="5977" operator="equal">
      <formula>"1/2~7/8"</formula>
    </cfRule>
    <cfRule type="cellIs" dxfId="2369" priority="5978" operator="equal">
      <formula>"       NA"</formula>
    </cfRule>
  </conditionalFormatting>
  <conditionalFormatting sqref="FS345:FT345">
    <cfRule type="cellIs" dxfId="2368" priority="5967" operator="equal">
      <formula>"3~5"</formula>
    </cfRule>
    <cfRule type="cellIs" dxfId="2367" priority="5968" operator="equal">
      <formula>"2~2 3/4"</formula>
    </cfRule>
    <cfRule type="cellIs" dxfId="2366" priority="5969" operator="equal">
      <formula>"1~1 7/8"</formula>
    </cfRule>
    <cfRule type="cellIs" dxfId="2365" priority="5970" operator="equal">
      <formula>"0~3/8"</formula>
    </cfRule>
    <cfRule type="cellIs" dxfId="2364" priority="5971" operator="equal">
      <formula>"1/2~7/8"</formula>
    </cfRule>
    <cfRule type="cellIs" dxfId="2363" priority="5972" operator="equal">
      <formula>"       NA"</formula>
    </cfRule>
  </conditionalFormatting>
  <conditionalFormatting sqref="FS347:FT347">
    <cfRule type="cellIs" dxfId="2362" priority="5961" operator="equal">
      <formula>"3~5"</formula>
    </cfRule>
    <cfRule type="cellIs" dxfId="2361" priority="5962" operator="equal">
      <formula>"2~2 3/4"</formula>
    </cfRule>
    <cfRule type="cellIs" dxfId="2360" priority="5963" operator="equal">
      <formula>"1~1 7/8"</formula>
    </cfRule>
    <cfRule type="cellIs" dxfId="2359" priority="5964" operator="equal">
      <formula>"0~3/8"</formula>
    </cfRule>
    <cfRule type="cellIs" dxfId="2358" priority="5965" operator="equal">
      <formula>"1/2~7/8"</formula>
    </cfRule>
    <cfRule type="cellIs" dxfId="2357" priority="5966" operator="equal">
      <formula>"       NA"</formula>
    </cfRule>
  </conditionalFormatting>
  <conditionalFormatting sqref="FS343:FT343">
    <cfRule type="cellIs" dxfId="2356" priority="5957" operator="lessThan">
      <formula>6</formula>
    </cfRule>
    <cfRule type="cellIs" dxfId="2355" priority="5958" stopIfTrue="1" operator="equal">
      <formula>"NA"</formula>
    </cfRule>
    <cfRule type="cellIs" dxfId="2354" priority="5959" operator="lessThan">
      <formula>1</formula>
    </cfRule>
    <cfRule type="cellIs" dxfId="2353" priority="5960" operator="lessThan">
      <formula>3</formula>
    </cfRule>
  </conditionalFormatting>
  <conditionalFormatting sqref="FV322">
    <cfRule type="expression" dxfId="2352" priority="5955">
      <formula>HOUR(FV326)&gt;11</formula>
    </cfRule>
    <cfRule type="expression" dxfId="2351" priority="5956">
      <formula>HOUR(FV326)&lt;12</formula>
    </cfRule>
  </conditionalFormatting>
  <conditionalFormatting sqref="FV328:FX328">
    <cfRule type="cellIs" dxfId="2350" priority="5949" operator="equal">
      <formula>"NA"</formula>
    </cfRule>
    <cfRule type="expression" dxfId="2349" priority="5950">
      <formula>VALUE(LEFT(FV328,3))&lt;5</formula>
    </cfRule>
    <cfRule type="expression" dxfId="2348" priority="5951">
      <formula>VALUE(LEFT(FV328,3))&lt;10</formula>
    </cfRule>
    <cfRule type="expression" dxfId="2347" priority="5952">
      <formula>VALUE(LEFT(FV328,3))&lt;30</formula>
    </cfRule>
    <cfRule type="expression" dxfId="2346" priority="5953">
      <formula>VALUE(LEFT(FV328,3))&gt;29</formula>
    </cfRule>
    <cfRule type="cellIs" dxfId="2345" priority="5954" operator="equal">
      <formula>"NO CIG"</formula>
    </cfRule>
  </conditionalFormatting>
  <conditionalFormatting sqref="FV334:FX334">
    <cfRule type="cellIs" dxfId="2344" priority="5943" operator="equal">
      <formula>"NA"</formula>
    </cfRule>
    <cfRule type="expression" dxfId="2343" priority="5944">
      <formula>VALUE(LEFT(FV334,3))&lt;5</formula>
    </cfRule>
    <cfRule type="expression" dxfId="2342" priority="5945">
      <formula>VALUE(LEFT(FV334,3))&lt;10</formula>
    </cfRule>
    <cfRule type="expression" dxfId="2341" priority="5946">
      <formula>VALUE(LEFT(FV334,3))&lt;30</formula>
    </cfRule>
    <cfRule type="expression" dxfId="2340" priority="5947">
      <formula>VALUE(LEFT(FV334,3))&gt;29</formula>
    </cfRule>
    <cfRule type="cellIs" dxfId="2339" priority="5948" operator="equal">
      <formula>"NO CIG"</formula>
    </cfRule>
  </conditionalFormatting>
  <conditionalFormatting sqref="FV337:FX337">
    <cfRule type="cellIs" dxfId="2338" priority="5937" operator="equal">
      <formula>"NA"</formula>
    </cfRule>
    <cfRule type="expression" dxfId="2337" priority="5938">
      <formula>VALUE(LEFT(FV337,3))&lt;5</formula>
    </cfRule>
    <cfRule type="expression" dxfId="2336" priority="5939">
      <formula>VALUE(LEFT(FV337,3))&lt;10</formula>
    </cfRule>
    <cfRule type="expression" dxfId="2335" priority="5940">
      <formula>VALUE(LEFT(FV337,3))&lt;30</formula>
    </cfRule>
    <cfRule type="expression" dxfId="2334" priority="5941">
      <formula>VALUE(LEFT(FV337,3))&gt;29</formula>
    </cfRule>
    <cfRule type="cellIs" dxfId="2333" priority="5942" operator="equal">
      <formula>"NO CIG"</formula>
    </cfRule>
  </conditionalFormatting>
  <conditionalFormatting sqref="FV331:FX331">
    <cfRule type="cellIs" dxfId="2332" priority="5931" operator="equal">
      <formula>"NA"</formula>
    </cfRule>
    <cfRule type="cellIs" dxfId="2331" priority="5932" operator="equal">
      <formula>"NONE"</formula>
    </cfRule>
    <cfRule type="cellIs" dxfId="2330" priority="5933" operator="between">
      <formula>30</formula>
      <formula>999</formula>
    </cfRule>
    <cfRule type="cellIs" dxfId="2329" priority="5934" operator="between">
      <formula>10</formula>
      <formula>29</formula>
    </cfRule>
    <cfRule type="cellIs" dxfId="2328" priority="5935" operator="between">
      <formula>5</formula>
      <formula>9</formula>
    </cfRule>
    <cfRule type="cellIs" dxfId="2327" priority="5936" operator="between">
      <formula>0</formula>
      <formula>4</formula>
    </cfRule>
  </conditionalFormatting>
  <conditionalFormatting sqref="FV329:FX329">
    <cfRule type="cellIs" dxfId="2326" priority="5925" operator="equal">
      <formula>"NA"</formula>
    </cfRule>
    <cfRule type="cellIs" dxfId="2325" priority="5926" operator="equal">
      <formula>"SKC"</formula>
    </cfRule>
    <cfRule type="cellIs" dxfId="2324" priority="5927" operator="equal">
      <formula>"FEW"</formula>
    </cfRule>
    <cfRule type="cellIs" dxfId="2323" priority="5928" operator="equal">
      <formula>"SCT"</formula>
    </cfRule>
    <cfRule type="cellIs" dxfId="2322" priority="5929" operator="equal">
      <formula>"BKN"</formula>
    </cfRule>
    <cfRule type="cellIs" dxfId="2321" priority="5930" operator="equal">
      <formula>"OVC"</formula>
    </cfRule>
  </conditionalFormatting>
  <conditionalFormatting sqref="FV332:FX332">
    <cfRule type="cellIs" dxfId="2320" priority="5919" operator="equal">
      <formula>"NA"</formula>
    </cfRule>
    <cfRule type="cellIs" dxfId="2319" priority="5920" operator="equal">
      <formula>"SKC"</formula>
    </cfRule>
    <cfRule type="cellIs" dxfId="2318" priority="5921" operator="equal">
      <formula>"FEW"</formula>
    </cfRule>
    <cfRule type="cellIs" dxfId="2317" priority="5922" operator="equal">
      <formula>"SCT"</formula>
    </cfRule>
    <cfRule type="cellIs" dxfId="2316" priority="5923" operator="equal">
      <formula>"BKN"</formula>
    </cfRule>
    <cfRule type="cellIs" dxfId="2315" priority="5924" operator="equal">
      <formula>"OVC"</formula>
    </cfRule>
  </conditionalFormatting>
  <conditionalFormatting sqref="FV335:FX335">
    <cfRule type="cellIs" dxfId="2314" priority="5913" operator="equal">
      <formula>"NA"</formula>
    </cfRule>
    <cfRule type="cellIs" dxfId="2313" priority="5914" operator="equal">
      <formula>"SKC"</formula>
    </cfRule>
    <cfRule type="cellIs" dxfId="2312" priority="5915" operator="equal">
      <formula>"FEW"</formula>
    </cfRule>
    <cfRule type="cellIs" dxfId="2311" priority="5916" operator="equal">
      <formula>"SCT"</formula>
    </cfRule>
    <cfRule type="cellIs" dxfId="2310" priority="5917" operator="equal">
      <formula>"BKN"</formula>
    </cfRule>
    <cfRule type="cellIs" dxfId="2309" priority="5918" operator="equal">
      <formula>"OVC"</formula>
    </cfRule>
  </conditionalFormatting>
  <conditionalFormatting sqref="FV338:FX338">
    <cfRule type="cellIs" dxfId="2308" priority="5907" operator="equal">
      <formula>"NA"</formula>
    </cfRule>
    <cfRule type="cellIs" dxfId="2307" priority="5908" operator="equal">
      <formula>"SKC"</formula>
    </cfRule>
    <cfRule type="cellIs" dxfId="2306" priority="5909" operator="equal">
      <formula>"FEW"</formula>
    </cfRule>
    <cfRule type="cellIs" dxfId="2305" priority="5910" operator="equal">
      <formula>"SCT"</formula>
    </cfRule>
    <cfRule type="cellIs" dxfId="2304" priority="5911" operator="equal">
      <formula>"BKN"</formula>
    </cfRule>
    <cfRule type="cellIs" dxfId="2303" priority="5912" operator="equal">
      <formula>"OVC"</formula>
    </cfRule>
  </conditionalFormatting>
  <conditionalFormatting sqref="FV341:FW341">
    <cfRule type="cellIs" dxfId="2302" priority="5901" operator="equal">
      <formula>"3~5"</formula>
    </cfRule>
    <cfRule type="cellIs" dxfId="2301" priority="5902" operator="equal">
      <formula>"2~2 3/4"</formula>
    </cfRule>
    <cfRule type="cellIs" dxfId="2300" priority="5903" operator="equal">
      <formula>"1~1 7/8"</formula>
    </cfRule>
    <cfRule type="cellIs" dxfId="2299" priority="5904" operator="equal">
      <formula>"0~3/8"</formula>
    </cfRule>
    <cfRule type="cellIs" dxfId="2298" priority="5905" operator="equal">
      <formula>"1/2~7/8"</formula>
    </cfRule>
    <cfRule type="cellIs" dxfId="2297" priority="5906" operator="equal">
      <formula>"       NA"</formula>
    </cfRule>
  </conditionalFormatting>
  <conditionalFormatting sqref="FV345:FW345">
    <cfRule type="cellIs" dxfId="2296" priority="5895" operator="equal">
      <formula>"3~5"</formula>
    </cfRule>
    <cfRule type="cellIs" dxfId="2295" priority="5896" operator="equal">
      <formula>"2~2 3/4"</formula>
    </cfRule>
    <cfRule type="cellIs" dxfId="2294" priority="5897" operator="equal">
      <formula>"1~1 7/8"</formula>
    </cfRule>
    <cfRule type="cellIs" dxfId="2293" priority="5898" operator="equal">
      <formula>"0~3/8"</formula>
    </cfRule>
    <cfRule type="cellIs" dxfId="2292" priority="5899" operator="equal">
      <formula>"1/2~7/8"</formula>
    </cfRule>
    <cfRule type="cellIs" dxfId="2291" priority="5900" operator="equal">
      <formula>"       NA"</formula>
    </cfRule>
  </conditionalFormatting>
  <conditionalFormatting sqref="FV347:FW347">
    <cfRule type="cellIs" dxfId="2290" priority="5889" operator="equal">
      <formula>"3~5"</formula>
    </cfRule>
    <cfRule type="cellIs" dxfId="2289" priority="5890" operator="equal">
      <formula>"2~2 3/4"</formula>
    </cfRule>
    <cfRule type="cellIs" dxfId="2288" priority="5891" operator="equal">
      <formula>"1~1 7/8"</formula>
    </cfRule>
    <cfRule type="cellIs" dxfId="2287" priority="5892" operator="equal">
      <formula>"0~3/8"</formula>
    </cfRule>
    <cfRule type="cellIs" dxfId="2286" priority="5893" operator="equal">
      <formula>"1/2~7/8"</formula>
    </cfRule>
    <cfRule type="cellIs" dxfId="2285" priority="5894" operator="equal">
      <formula>"       NA"</formula>
    </cfRule>
  </conditionalFormatting>
  <conditionalFormatting sqref="FV343:FW343">
    <cfRule type="cellIs" dxfId="2284" priority="5885" operator="lessThan">
      <formula>6</formula>
    </cfRule>
    <cfRule type="cellIs" dxfId="2283" priority="5886" stopIfTrue="1" operator="equal">
      <formula>"NA"</formula>
    </cfRule>
    <cfRule type="cellIs" dxfId="2282" priority="5887" operator="lessThan">
      <formula>1</formula>
    </cfRule>
    <cfRule type="cellIs" dxfId="2281" priority="5888" operator="lessThan">
      <formula>3</formula>
    </cfRule>
  </conditionalFormatting>
  <conditionalFormatting sqref="FY322">
    <cfRule type="expression" dxfId="2280" priority="5883">
      <formula>HOUR(FY326)&gt;11</formula>
    </cfRule>
    <cfRule type="expression" dxfId="2279" priority="5884">
      <formula>HOUR(FY326)&lt;12</formula>
    </cfRule>
  </conditionalFormatting>
  <conditionalFormatting sqref="FY328:GA328">
    <cfRule type="cellIs" dxfId="2278" priority="5877" operator="equal">
      <formula>"NA"</formula>
    </cfRule>
    <cfRule type="expression" dxfId="2277" priority="5878">
      <formula>VALUE(LEFT(FY328,3))&lt;5</formula>
    </cfRule>
    <cfRule type="expression" dxfId="2276" priority="5879">
      <formula>VALUE(LEFT(FY328,3))&lt;10</formula>
    </cfRule>
    <cfRule type="expression" dxfId="2275" priority="5880">
      <formula>VALUE(LEFT(FY328,3))&lt;30</formula>
    </cfRule>
    <cfRule type="expression" dxfId="2274" priority="5881">
      <formula>VALUE(LEFT(FY328,3))&gt;29</formula>
    </cfRule>
    <cfRule type="cellIs" dxfId="2273" priority="5882" operator="equal">
      <formula>"NO CIG"</formula>
    </cfRule>
  </conditionalFormatting>
  <conditionalFormatting sqref="FY334:GA334">
    <cfRule type="cellIs" dxfId="2272" priority="5871" operator="equal">
      <formula>"NA"</formula>
    </cfRule>
    <cfRule type="expression" dxfId="2271" priority="5872">
      <formula>VALUE(LEFT(FY334,3))&lt;5</formula>
    </cfRule>
    <cfRule type="expression" dxfId="2270" priority="5873">
      <formula>VALUE(LEFT(FY334,3))&lt;10</formula>
    </cfRule>
    <cfRule type="expression" dxfId="2269" priority="5874">
      <formula>VALUE(LEFT(FY334,3))&lt;30</formula>
    </cfRule>
    <cfRule type="expression" dxfId="2268" priority="5875">
      <formula>VALUE(LEFT(FY334,3))&gt;29</formula>
    </cfRule>
    <cfRule type="cellIs" dxfId="2267" priority="5876" operator="equal">
      <formula>"NO CIG"</formula>
    </cfRule>
  </conditionalFormatting>
  <conditionalFormatting sqref="FY337:GA337">
    <cfRule type="cellIs" dxfId="2266" priority="5865" operator="equal">
      <formula>"NA"</formula>
    </cfRule>
    <cfRule type="expression" dxfId="2265" priority="5866">
      <formula>VALUE(LEFT(FY337,3))&lt;5</formula>
    </cfRule>
    <cfRule type="expression" dxfId="2264" priority="5867">
      <formula>VALUE(LEFT(FY337,3))&lt;10</formula>
    </cfRule>
    <cfRule type="expression" dxfId="2263" priority="5868">
      <formula>VALUE(LEFT(FY337,3))&lt;30</formula>
    </cfRule>
    <cfRule type="expression" dxfId="2262" priority="5869">
      <formula>VALUE(LEFT(FY337,3))&gt;29</formula>
    </cfRule>
    <cfRule type="cellIs" dxfId="2261" priority="5870" operator="equal">
      <formula>"NO CIG"</formula>
    </cfRule>
  </conditionalFormatting>
  <conditionalFormatting sqref="FY331:GA331">
    <cfRule type="cellIs" dxfId="2260" priority="5859" operator="equal">
      <formula>"NA"</formula>
    </cfRule>
    <cfRule type="cellIs" dxfId="2259" priority="5860" operator="equal">
      <formula>"NONE"</formula>
    </cfRule>
    <cfRule type="cellIs" dxfId="2258" priority="5861" operator="between">
      <formula>30</formula>
      <formula>999</formula>
    </cfRule>
    <cfRule type="cellIs" dxfId="2257" priority="5862" operator="between">
      <formula>10</formula>
      <formula>29</formula>
    </cfRule>
    <cfRule type="cellIs" dxfId="2256" priority="5863" operator="between">
      <formula>5</formula>
      <formula>9</formula>
    </cfRule>
    <cfRule type="cellIs" dxfId="2255" priority="5864" operator="between">
      <formula>0</formula>
      <formula>4</formula>
    </cfRule>
  </conditionalFormatting>
  <conditionalFormatting sqref="FY329:GA329">
    <cfRule type="cellIs" dxfId="2254" priority="5853" operator="equal">
      <formula>"NA"</formula>
    </cfRule>
    <cfRule type="cellIs" dxfId="2253" priority="5854" operator="equal">
      <formula>"SKC"</formula>
    </cfRule>
    <cfRule type="cellIs" dxfId="2252" priority="5855" operator="equal">
      <formula>"FEW"</formula>
    </cfRule>
    <cfRule type="cellIs" dxfId="2251" priority="5856" operator="equal">
      <formula>"SCT"</formula>
    </cfRule>
    <cfRule type="cellIs" dxfId="2250" priority="5857" operator="equal">
      <formula>"BKN"</formula>
    </cfRule>
    <cfRule type="cellIs" dxfId="2249" priority="5858" operator="equal">
      <formula>"OVC"</formula>
    </cfRule>
  </conditionalFormatting>
  <conditionalFormatting sqref="FY332:GA332">
    <cfRule type="cellIs" dxfId="2248" priority="5847" operator="equal">
      <formula>"NA"</formula>
    </cfRule>
    <cfRule type="cellIs" dxfId="2247" priority="5848" operator="equal">
      <formula>"SKC"</formula>
    </cfRule>
    <cfRule type="cellIs" dxfId="2246" priority="5849" operator="equal">
      <formula>"FEW"</formula>
    </cfRule>
    <cfRule type="cellIs" dxfId="2245" priority="5850" operator="equal">
      <formula>"SCT"</formula>
    </cfRule>
    <cfRule type="cellIs" dxfId="2244" priority="5851" operator="equal">
      <formula>"BKN"</formula>
    </cfRule>
    <cfRule type="cellIs" dxfId="2243" priority="5852" operator="equal">
      <formula>"OVC"</formula>
    </cfRule>
  </conditionalFormatting>
  <conditionalFormatting sqref="FY335:GA335">
    <cfRule type="cellIs" dxfId="2242" priority="5841" operator="equal">
      <formula>"NA"</formula>
    </cfRule>
    <cfRule type="cellIs" dxfId="2241" priority="5842" operator="equal">
      <formula>"SKC"</formula>
    </cfRule>
    <cfRule type="cellIs" dxfId="2240" priority="5843" operator="equal">
      <formula>"FEW"</formula>
    </cfRule>
    <cfRule type="cellIs" dxfId="2239" priority="5844" operator="equal">
      <formula>"SCT"</formula>
    </cfRule>
    <cfRule type="cellIs" dxfId="2238" priority="5845" operator="equal">
      <formula>"BKN"</formula>
    </cfRule>
    <cfRule type="cellIs" dxfId="2237" priority="5846" operator="equal">
      <formula>"OVC"</formula>
    </cfRule>
  </conditionalFormatting>
  <conditionalFormatting sqref="FY338:GA338">
    <cfRule type="cellIs" dxfId="2236" priority="5835" operator="equal">
      <formula>"NA"</formula>
    </cfRule>
    <cfRule type="cellIs" dxfId="2235" priority="5836" operator="equal">
      <formula>"SKC"</formula>
    </cfRule>
    <cfRule type="cellIs" dxfId="2234" priority="5837" operator="equal">
      <formula>"FEW"</formula>
    </cfRule>
    <cfRule type="cellIs" dxfId="2233" priority="5838" operator="equal">
      <formula>"SCT"</formula>
    </cfRule>
    <cfRule type="cellIs" dxfId="2232" priority="5839" operator="equal">
      <formula>"BKN"</formula>
    </cfRule>
    <cfRule type="cellIs" dxfId="2231" priority="5840" operator="equal">
      <formula>"OVC"</formula>
    </cfRule>
  </conditionalFormatting>
  <conditionalFormatting sqref="FY341:FZ341">
    <cfRule type="cellIs" dxfId="2230" priority="5829" operator="equal">
      <formula>"3~5"</formula>
    </cfRule>
    <cfRule type="cellIs" dxfId="2229" priority="5830" operator="equal">
      <formula>"2~2 3/4"</formula>
    </cfRule>
    <cfRule type="cellIs" dxfId="2228" priority="5831" operator="equal">
      <formula>"1~1 7/8"</formula>
    </cfRule>
    <cfRule type="cellIs" dxfId="2227" priority="5832" operator="equal">
      <formula>"0~3/8"</formula>
    </cfRule>
    <cfRule type="cellIs" dxfId="2226" priority="5833" operator="equal">
      <formula>"1/2~7/8"</formula>
    </cfRule>
    <cfRule type="cellIs" dxfId="2225" priority="5834" operator="equal">
      <formula>"       NA"</formula>
    </cfRule>
  </conditionalFormatting>
  <conditionalFormatting sqref="FY345:FZ345">
    <cfRule type="cellIs" dxfId="2224" priority="5823" operator="equal">
      <formula>"3~5"</formula>
    </cfRule>
    <cfRule type="cellIs" dxfId="2223" priority="5824" operator="equal">
      <formula>"2~2 3/4"</formula>
    </cfRule>
    <cfRule type="cellIs" dxfId="2222" priority="5825" operator="equal">
      <formula>"1~1 7/8"</formula>
    </cfRule>
    <cfRule type="cellIs" dxfId="2221" priority="5826" operator="equal">
      <formula>"0~3/8"</formula>
    </cfRule>
    <cfRule type="cellIs" dxfId="2220" priority="5827" operator="equal">
      <formula>"1/2~7/8"</formula>
    </cfRule>
    <cfRule type="cellIs" dxfId="2219" priority="5828" operator="equal">
      <formula>"       NA"</formula>
    </cfRule>
  </conditionalFormatting>
  <conditionalFormatting sqref="FY347:FZ347">
    <cfRule type="cellIs" dxfId="2218" priority="5817" operator="equal">
      <formula>"3~5"</formula>
    </cfRule>
    <cfRule type="cellIs" dxfId="2217" priority="5818" operator="equal">
      <formula>"2~2 3/4"</formula>
    </cfRule>
    <cfRule type="cellIs" dxfId="2216" priority="5819" operator="equal">
      <formula>"1~1 7/8"</formula>
    </cfRule>
    <cfRule type="cellIs" dxfId="2215" priority="5820" operator="equal">
      <formula>"0~3/8"</formula>
    </cfRule>
    <cfRule type="cellIs" dxfId="2214" priority="5821" operator="equal">
      <formula>"1/2~7/8"</formula>
    </cfRule>
    <cfRule type="cellIs" dxfId="2213" priority="5822" operator="equal">
      <formula>"       NA"</formula>
    </cfRule>
  </conditionalFormatting>
  <conditionalFormatting sqref="FY343:FZ343">
    <cfRule type="cellIs" dxfId="2212" priority="5813" operator="lessThan">
      <formula>6</formula>
    </cfRule>
    <cfRule type="cellIs" dxfId="2211" priority="5814" stopIfTrue="1" operator="equal">
      <formula>"NA"</formula>
    </cfRule>
    <cfRule type="cellIs" dxfId="2210" priority="5815" operator="lessThan">
      <formula>1</formula>
    </cfRule>
    <cfRule type="cellIs" dxfId="2209" priority="5816" operator="lessThan">
      <formula>3</formula>
    </cfRule>
  </conditionalFormatting>
  <conditionalFormatting sqref="GB322">
    <cfRule type="expression" dxfId="2208" priority="5811">
      <formula>HOUR(GB326)&gt;11</formula>
    </cfRule>
    <cfRule type="expression" dxfId="2207" priority="5812">
      <formula>HOUR(GB326)&lt;12</formula>
    </cfRule>
  </conditionalFormatting>
  <conditionalFormatting sqref="GB328:GD328">
    <cfRule type="cellIs" dxfId="2206" priority="5805" operator="equal">
      <formula>"NA"</formula>
    </cfRule>
    <cfRule type="expression" dxfId="2205" priority="5806">
      <formula>VALUE(LEFT(GB328,3))&lt;5</formula>
    </cfRule>
    <cfRule type="expression" dxfId="2204" priority="5807">
      <formula>VALUE(LEFT(GB328,3))&lt;10</formula>
    </cfRule>
    <cfRule type="expression" dxfId="2203" priority="5808">
      <formula>VALUE(LEFT(GB328,3))&lt;30</formula>
    </cfRule>
    <cfRule type="expression" dxfId="2202" priority="5809">
      <formula>VALUE(LEFT(GB328,3))&gt;29</formula>
    </cfRule>
    <cfRule type="cellIs" dxfId="2201" priority="5810" operator="equal">
      <formula>"NO CIG"</formula>
    </cfRule>
  </conditionalFormatting>
  <conditionalFormatting sqref="GB334:GD334">
    <cfRule type="cellIs" dxfId="2200" priority="5799" operator="equal">
      <formula>"NA"</formula>
    </cfRule>
    <cfRule type="expression" dxfId="2199" priority="5800">
      <formula>VALUE(LEFT(GB334,3))&lt;5</formula>
    </cfRule>
    <cfRule type="expression" dxfId="2198" priority="5801">
      <formula>VALUE(LEFT(GB334,3))&lt;10</formula>
    </cfRule>
    <cfRule type="expression" dxfId="2197" priority="5802">
      <formula>VALUE(LEFT(GB334,3))&lt;30</formula>
    </cfRule>
    <cfRule type="expression" dxfId="2196" priority="5803">
      <formula>VALUE(LEFT(GB334,3))&gt;29</formula>
    </cfRule>
    <cfRule type="cellIs" dxfId="2195" priority="5804" operator="equal">
      <formula>"NO CIG"</formula>
    </cfRule>
  </conditionalFormatting>
  <conditionalFormatting sqref="GB337:GD337">
    <cfRule type="cellIs" dxfId="2194" priority="5793" operator="equal">
      <formula>"NA"</formula>
    </cfRule>
    <cfRule type="expression" dxfId="2193" priority="5794">
      <formula>VALUE(LEFT(GB337,3))&lt;5</formula>
    </cfRule>
    <cfRule type="expression" dxfId="2192" priority="5795">
      <formula>VALUE(LEFT(GB337,3))&lt;10</formula>
    </cfRule>
    <cfRule type="expression" dxfId="2191" priority="5796">
      <formula>VALUE(LEFT(GB337,3))&lt;30</formula>
    </cfRule>
    <cfRule type="expression" dxfId="2190" priority="5797">
      <formula>VALUE(LEFT(GB337,3))&gt;29</formula>
    </cfRule>
    <cfRule type="cellIs" dxfId="2189" priority="5798" operator="equal">
      <formula>"NO CIG"</formula>
    </cfRule>
  </conditionalFormatting>
  <conditionalFormatting sqref="GB331:GD331">
    <cfRule type="cellIs" dxfId="2188" priority="5787" operator="equal">
      <formula>"NA"</formula>
    </cfRule>
    <cfRule type="cellIs" dxfId="2187" priority="5788" operator="equal">
      <formula>"NONE"</formula>
    </cfRule>
    <cfRule type="cellIs" dxfId="2186" priority="5789" operator="between">
      <formula>30</formula>
      <formula>999</formula>
    </cfRule>
    <cfRule type="cellIs" dxfId="2185" priority="5790" operator="between">
      <formula>10</formula>
      <formula>29</formula>
    </cfRule>
    <cfRule type="cellIs" dxfId="2184" priority="5791" operator="between">
      <formula>5</formula>
      <formula>9</formula>
    </cfRule>
    <cfRule type="cellIs" dxfId="2183" priority="5792" operator="between">
      <formula>0</formula>
      <formula>4</formula>
    </cfRule>
  </conditionalFormatting>
  <conditionalFormatting sqref="GB329:GD329">
    <cfRule type="cellIs" dxfId="2182" priority="5781" operator="equal">
      <formula>"NA"</formula>
    </cfRule>
    <cfRule type="cellIs" dxfId="2181" priority="5782" operator="equal">
      <formula>"SKC"</formula>
    </cfRule>
    <cfRule type="cellIs" dxfId="2180" priority="5783" operator="equal">
      <formula>"FEW"</formula>
    </cfRule>
    <cfRule type="cellIs" dxfId="2179" priority="5784" operator="equal">
      <formula>"SCT"</formula>
    </cfRule>
    <cfRule type="cellIs" dxfId="2178" priority="5785" operator="equal">
      <formula>"BKN"</formula>
    </cfRule>
    <cfRule type="cellIs" dxfId="2177" priority="5786" operator="equal">
      <formula>"OVC"</formula>
    </cfRule>
  </conditionalFormatting>
  <conditionalFormatting sqref="GB332:GD332">
    <cfRule type="cellIs" dxfId="2176" priority="5775" operator="equal">
      <formula>"NA"</formula>
    </cfRule>
    <cfRule type="cellIs" dxfId="2175" priority="5776" operator="equal">
      <formula>"SKC"</formula>
    </cfRule>
    <cfRule type="cellIs" dxfId="2174" priority="5777" operator="equal">
      <formula>"FEW"</formula>
    </cfRule>
    <cfRule type="cellIs" dxfId="2173" priority="5778" operator="equal">
      <formula>"SCT"</formula>
    </cfRule>
    <cfRule type="cellIs" dxfId="2172" priority="5779" operator="equal">
      <formula>"BKN"</formula>
    </cfRule>
    <cfRule type="cellIs" dxfId="2171" priority="5780" operator="equal">
      <formula>"OVC"</formula>
    </cfRule>
  </conditionalFormatting>
  <conditionalFormatting sqref="GB335:GD335">
    <cfRule type="cellIs" dxfId="2170" priority="5769" operator="equal">
      <formula>"NA"</formula>
    </cfRule>
    <cfRule type="cellIs" dxfId="2169" priority="5770" operator="equal">
      <formula>"SKC"</formula>
    </cfRule>
    <cfRule type="cellIs" dxfId="2168" priority="5771" operator="equal">
      <formula>"FEW"</formula>
    </cfRule>
    <cfRule type="cellIs" dxfId="2167" priority="5772" operator="equal">
      <formula>"SCT"</formula>
    </cfRule>
    <cfRule type="cellIs" dxfId="2166" priority="5773" operator="equal">
      <formula>"BKN"</formula>
    </cfRule>
    <cfRule type="cellIs" dxfId="2165" priority="5774" operator="equal">
      <formula>"OVC"</formula>
    </cfRule>
  </conditionalFormatting>
  <conditionalFormatting sqref="GB338:GD338">
    <cfRule type="cellIs" dxfId="2164" priority="5763" operator="equal">
      <formula>"NA"</formula>
    </cfRule>
    <cfRule type="cellIs" dxfId="2163" priority="5764" operator="equal">
      <formula>"SKC"</formula>
    </cfRule>
    <cfRule type="cellIs" dxfId="2162" priority="5765" operator="equal">
      <formula>"FEW"</formula>
    </cfRule>
    <cfRule type="cellIs" dxfId="2161" priority="5766" operator="equal">
      <formula>"SCT"</formula>
    </cfRule>
    <cfRule type="cellIs" dxfId="2160" priority="5767" operator="equal">
      <formula>"BKN"</formula>
    </cfRule>
    <cfRule type="cellIs" dxfId="2159" priority="5768" operator="equal">
      <formula>"OVC"</formula>
    </cfRule>
  </conditionalFormatting>
  <conditionalFormatting sqref="GB341:GC341">
    <cfRule type="cellIs" dxfId="2158" priority="5757" operator="equal">
      <formula>"3~5"</formula>
    </cfRule>
    <cfRule type="cellIs" dxfId="2157" priority="5758" operator="equal">
      <formula>"2~2 3/4"</formula>
    </cfRule>
    <cfRule type="cellIs" dxfId="2156" priority="5759" operator="equal">
      <formula>"1~1 7/8"</formula>
    </cfRule>
    <cfRule type="cellIs" dxfId="2155" priority="5760" operator="equal">
      <formula>"0~3/8"</formula>
    </cfRule>
    <cfRule type="cellIs" dxfId="2154" priority="5761" operator="equal">
      <formula>"1/2~7/8"</formula>
    </cfRule>
    <cfRule type="cellIs" dxfId="2153" priority="5762" operator="equal">
      <formula>"       NA"</formula>
    </cfRule>
  </conditionalFormatting>
  <conditionalFormatting sqref="GB345:GC345">
    <cfRule type="cellIs" dxfId="2152" priority="5751" operator="equal">
      <formula>"3~5"</formula>
    </cfRule>
    <cfRule type="cellIs" dxfId="2151" priority="5752" operator="equal">
      <formula>"2~2 3/4"</formula>
    </cfRule>
    <cfRule type="cellIs" dxfId="2150" priority="5753" operator="equal">
      <formula>"1~1 7/8"</formula>
    </cfRule>
    <cfRule type="cellIs" dxfId="2149" priority="5754" operator="equal">
      <formula>"0~3/8"</formula>
    </cfRule>
    <cfRule type="cellIs" dxfId="2148" priority="5755" operator="equal">
      <formula>"1/2~7/8"</formula>
    </cfRule>
    <cfRule type="cellIs" dxfId="2147" priority="5756" operator="equal">
      <formula>"       NA"</formula>
    </cfRule>
  </conditionalFormatting>
  <conditionalFormatting sqref="GB347:GC347">
    <cfRule type="cellIs" dxfId="2146" priority="5745" operator="equal">
      <formula>"3~5"</formula>
    </cfRule>
    <cfRule type="cellIs" dxfId="2145" priority="5746" operator="equal">
      <formula>"2~2 3/4"</formula>
    </cfRule>
    <cfRule type="cellIs" dxfId="2144" priority="5747" operator="equal">
      <formula>"1~1 7/8"</formula>
    </cfRule>
    <cfRule type="cellIs" dxfId="2143" priority="5748" operator="equal">
      <formula>"0~3/8"</formula>
    </cfRule>
    <cfRule type="cellIs" dxfId="2142" priority="5749" operator="equal">
      <formula>"1/2~7/8"</formula>
    </cfRule>
    <cfRule type="cellIs" dxfId="2141" priority="5750" operator="equal">
      <formula>"       NA"</formula>
    </cfRule>
  </conditionalFormatting>
  <conditionalFormatting sqref="GB343:GC343">
    <cfRule type="cellIs" dxfId="2140" priority="5741" operator="lessThan">
      <formula>6</formula>
    </cfRule>
    <cfRule type="cellIs" dxfId="2139" priority="5742" stopIfTrue="1" operator="equal">
      <formula>"NA"</formula>
    </cfRule>
    <cfRule type="cellIs" dxfId="2138" priority="5743" operator="lessThan">
      <formula>1</formula>
    </cfRule>
    <cfRule type="cellIs" dxfId="2137" priority="5744" operator="lessThan">
      <formula>3</formula>
    </cfRule>
  </conditionalFormatting>
  <conditionalFormatting sqref="GE322">
    <cfRule type="expression" dxfId="2136" priority="5739">
      <formula>HOUR(GE326)&gt;11</formula>
    </cfRule>
    <cfRule type="expression" dxfId="2135" priority="5740">
      <formula>HOUR(GE326)&lt;12</formula>
    </cfRule>
  </conditionalFormatting>
  <conditionalFormatting sqref="GE328:GG328">
    <cfRule type="cellIs" dxfId="2134" priority="5733" operator="equal">
      <formula>"NA"</formula>
    </cfRule>
    <cfRule type="expression" dxfId="2133" priority="5734">
      <formula>VALUE(LEFT(GE328,3))&lt;5</formula>
    </cfRule>
    <cfRule type="expression" dxfId="2132" priority="5735">
      <formula>VALUE(LEFT(GE328,3))&lt;10</formula>
    </cfRule>
    <cfRule type="expression" dxfId="2131" priority="5736">
      <formula>VALUE(LEFT(GE328,3))&lt;30</formula>
    </cfRule>
    <cfRule type="expression" dxfId="2130" priority="5737">
      <formula>VALUE(LEFT(GE328,3))&gt;29</formula>
    </cfRule>
    <cfRule type="cellIs" dxfId="2129" priority="5738" operator="equal">
      <formula>"NO CIG"</formula>
    </cfRule>
  </conditionalFormatting>
  <conditionalFormatting sqref="GE334:GG334">
    <cfRule type="cellIs" dxfId="2128" priority="5727" operator="equal">
      <formula>"NA"</formula>
    </cfRule>
    <cfRule type="expression" dxfId="2127" priority="5728">
      <formula>VALUE(LEFT(GE334,3))&lt;5</formula>
    </cfRule>
    <cfRule type="expression" dxfId="2126" priority="5729">
      <formula>VALUE(LEFT(GE334,3))&lt;10</formula>
    </cfRule>
    <cfRule type="expression" dxfId="2125" priority="5730">
      <formula>VALUE(LEFT(GE334,3))&lt;30</formula>
    </cfRule>
    <cfRule type="expression" dxfId="2124" priority="5731">
      <formula>VALUE(LEFT(GE334,3))&gt;29</formula>
    </cfRule>
    <cfRule type="cellIs" dxfId="2123" priority="5732" operator="equal">
      <formula>"NO CIG"</formula>
    </cfRule>
  </conditionalFormatting>
  <conditionalFormatting sqref="GE337:GG337">
    <cfRule type="cellIs" dxfId="2122" priority="5721" operator="equal">
      <formula>"NA"</formula>
    </cfRule>
    <cfRule type="expression" dxfId="2121" priority="5722">
      <formula>VALUE(LEFT(GE337,3))&lt;5</formula>
    </cfRule>
    <cfRule type="expression" dxfId="2120" priority="5723">
      <formula>VALUE(LEFT(GE337,3))&lt;10</formula>
    </cfRule>
    <cfRule type="expression" dxfId="2119" priority="5724">
      <formula>VALUE(LEFT(GE337,3))&lt;30</formula>
    </cfRule>
    <cfRule type="expression" dxfId="2118" priority="5725">
      <formula>VALUE(LEFT(GE337,3))&gt;29</formula>
    </cfRule>
    <cfRule type="cellIs" dxfId="2117" priority="5726" operator="equal">
      <formula>"NO CIG"</formula>
    </cfRule>
  </conditionalFormatting>
  <conditionalFormatting sqref="GE331:GG331">
    <cfRule type="cellIs" dxfId="2116" priority="5715" operator="equal">
      <formula>"NA"</formula>
    </cfRule>
    <cfRule type="cellIs" dxfId="2115" priority="5716" operator="equal">
      <formula>"NONE"</formula>
    </cfRule>
    <cfRule type="cellIs" dxfId="2114" priority="5717" operator="between">
      <formula>30</formula>
      <formula>999</formula>
    </cfRule>
    <cfRule type="cellIs" dxfId="2113" priority="5718" operator="between">
      <formula>10</formula>
      <formula>29</formula>
    </cfRule>
    <cfRule type="cellIs" dxfId="2112" priority="5719" operator="between">
      <formula>5</formula>
      <formula>9</formula>
    </cfRule>
    <cfRule type="cellIs" dxfId="2111" priority="5720" operator="between">
      <formula>0</formula>
      <formula>4</formula>
    </cfRule>
  </conditionalFormatting>
  <conditionalFormatting sqref="GE329:GG329">
    <cfRule type="cellIs" dxfId="2110" priority="5709" operator="equal">
      <formula>"NA"</formula>
    </cfRule>
    <cfRule type="cellIs" dxfId="2109" priority="5710" operator="equal">
      <formula>"SKC"</formula>
    </cfRule>
    <cfRule type="cellIs" dxfId="2108" priority="5711" operator="equal">
      <formula>"FEW"</formula>
    </cfRule>
    <cfRule type="cellIs" dxfId="2107" priority="5712" operator="equal">
      <formula>"SCT"</formula>
    </cfRule>
    <cfRule type="cellIs" dxfId="2106" priority="5713" operator="equal">
      <formula>"BKN"</formula>
    </cfRule>
    <cfRule type="cellIs" dxfId="2105" priority="5714" operator="equal">
      <formula>"OVC"</formula>
    </cfRule>
  </conditionalFormatting>
  <conditionalFormatting sqref="GE332:GG332">
    <cfRule type="cellIs" dxfId="2104" priority="5703" operator="equal">
      <formula>"NA"</formula>
    </cfRule>
    <cfRule type="cellIs" dxfId="2103" priority="5704" operator="equal">
      <formula>"SKC"</formula>
    </cfRule>
    <cfRule type="cellIs" dxfId="2102" priority="5705" operator="equal">
      <formula>"FEW"</formula>
    </cfRule>
    <cfRule type="cellIs" dxfId="2101" priority="5706" operator="equal">
      <formula>"SCT"</formula>
    </cfRule>
    <cfRule type="cellIs" dxfId="2100" priority="5707" operator="equal">
      <formula>"BKN"</formula>
    </cfRule>
    <cfRule type="cellIs" dxfId="2099" priority="5708" operator="equal">
      <formula>"OVC"</formula>
    </cfRule>
  </conditionalFormatting>
  <conditionalFormatting sqref="GE335:GG335">
    <cfRule type="cellIs" dxfId="2098" priority="5697" operator="equal">
      <formula>"NA"</formula>
    </cfRule>
    <cfRule type="cellIs" dxfId="2097" priority="5698" operator="equal">
      <formula>"SKC"</formula>
    </cfRule>
    <cfRule type="cellIs" dxfId="2096" priority="5699" operator="equal">
      <formula>"FEW"</formula>
    </cfRule>
    <cfRule type="cellIs" dxfId="2095" priority="5700" operator="equal">
      <formula>"SCT"</formula>
    </cfRule>
    <cfRule type="cellIs" dxfId="2094" priority="5701" operator="equal">
      <formula>"BKN"</formula>
    </cfRule>
    <cfRule type="cellIs" dxfId="2093" priority="5702" operator="equal">
      <formula>"OVC"</formula>
    </cfRule>
  </conditionalFormatting>
  <conditionalFormatting sqref="GE338:GG338">
    <cfRule type="cellIs" dxfId="2092" priority="5691" operator="equal">
      <formula>"NA"</formula>
    </cfRule>
    <cfRule type="cellIs" dxfId="2091" priority="5692" operator="equal">
      <formula>"SKC"</formula>
    </cfRule>
    <cfRule type="cellIs" dxfId="2090" priority="5693" operator="equal">
      <formula>"FEW"</formula>
    </cfRule>
    <cfRule type="cellIs" dxfId="2089" priority="5694" operator="equal">
      <formula>"SCT"</formula>
    </cfRule>
    <cfRule type="cellIs" dxfId="2088" priority="5695" operator="equal">
      <formula>"BKN"</formula>
    </cfRule>
    <cfRule type="cellIs" dxfId="2087" priority="5696" operator="equal">
      <formula>"OVC"</formula>
    </cfRule>
  </conditionalFormatting>
  <conditionalFormatting sqref="GE341:GF341">
    <cfRule type="cellIs" dxfId="2086" priority="5685" operator="equal">
      <formula>"3~5"</formula>
    </cfRule>
    <cfRule type="cellIs" dxfId="2085" priority="5686" operator="equal">
      <formula>"2~2 3/4"</formula>
    </cfRule>
    <cfRule type="cellIs" dxfId="2084" priority="5687" operator="equal">
      <formula>"1~1 7/8"</formula>
    </cfRule>
    <cfRule type="cellIs" dxfId="2083" priority="5688" operator="equal">
      <formula>"0~3/8"</formula>
    </cfRule>
    <cfRule type="cellIs" dxfId="2082" priority="5689" operator="equal">
      <formula>"1/2~7/8"</formula>
    </cfRule>
    <cfRule type="cellIs" dxfId="2081" priority="5690" operator="equal">
      <formula>"       NA"</formula>
    </cfRule>
  </conditionalFormatting>
  <conditionalFormatting sqref="GE345:GF345">
    <cfRule type="cellIs" dxfId="2080" priority="5679" operator="equal">
      <formula>"3~5"</formula>
    </cfRule>
    <cfRule type="cellIs" dxfId="2079" priority="5680" operator="equal">
      <formula>"2~2 3/4"</formula>
    </cfRule>
    <cfRule type="cellIs" dxfId="2078" priority="5681" operator="equal">
      <formula>"1~1 7/8"</formula>
    </cfRule>
    <cfRule type="cellIs" dxfId="2077" priority="5682" operator="equal">
      <formula>"0~3/8"</formula>
    </cfRule>
    <cfRule type="cellIs" dxfId="2076" priority="5683" operator="equal">
      <formula>"1/2~7/8"</formula>
    </cfRule>
    <cfRule type="cellIs" dxfId="2075" priority="5684" operator="equal">
      <formula>"       NA"</formula>
    </cfRule>
  </conditionalFormatting>
  <conditionalFormatting sqref="GE347:GF347">
    <cfRule type="cellIs" dxfId="2074" priority="5673" operator="equal">
      <formula>"3~5"</formula>
    </cfRule>
    <cfRule type="cellIs" dxfId="2073" priority="5674" operator="equal">
      <formula>"2~2 3/4"</formula>
    </cfRule>
    <cfRule type="cellIs" dxfId="2072" priority="5675" operator="equal">
      <formula>"1~1 7/8"</formula>
    </cfRule>
    <cfRule type="cellIs" dxfId="2071" priority="5676" operator="equal">
      <formula>"0~3/8"</formula>
    </cfRule>
    <cfRule type="cellIs" dxfId="2070" priority="5677" operator="equal">
      <formula>"1/2~7/8"</formula>
    </cfRule>
    <cfRule type="cellIs" dxfId="2069" priority="5678" operator="equal">
      <formula>"       NA"</formula>
    </cfRule>
  </conditionalFormatting>
  <conditionalFormatting sqref="GE343:GF343">
    <cfRule type="cellIs" dxfId="2068" priority="5669" operator="lessThan">
      <formula>6</formula>
    </cfRule>
    <cfRule type="cellIs" dxfId="2067" priority="5670" stopIfTrue="1" operator="equal">
      <formula>"NA"</formula>
    </cfRule>
    <cfRule type="cellIs" dxfId="2066" priority="5671" operator="lessThan">
      <formula>1</formula>
    </cfRule>
    <cfRule type="cellIs" dxfId="2065" priority="5672" operator="lessThan">
      <formula>3</formula>
    </cfRule>
  </conditionalFormatting>
  <conditionalFormatting sqref="GH322">
    <cfRule type="expression" dxfId="2064" priority="5667">
      <formula>HOUR(GH326)&gt;11</formula>
    </cfRule>
    <cfRule type="expression" dxfId="2063" priority="5668">
      <formula>HOUR(GH326)&lt;12</formula>
    </cfRule>
  </conditionalFormatting>
  <conditionalFormatting sqref="GH328:GJ328">
    <cfRule type="cellIs" dxfId="2062" priority="5661" operator="equal">
      <formula>"NA"</formula>
    </cfRule>
    <cfRule type="expression" dxfId="2061" priority="5662">
      <formula>VALUE(LEFT(GH328,3))&lt;5</formula>
    </cfRule>
    <cfRule type="expression" dxfId="2060" priority="5663">
      <formula>VALUE(LEFT(GH328,3))&lt;10</formula>
    </cfRule>
    <cfRule type="expression" dxfId="2059" priority="5664">
      <formula>VALUE(LEFT(GH328,3))&lt;30</formula>
    </cfRule>
    <cfRule type="expression" dxfId="2058" priority="5665">
      <formula>VALUE(LEFT(GH328,3))&gt;29</formula>
    </cfRule>
    <cfRule type="cellIs" dxfId="2057" priority="5666" operator="equal">
      <formula>"NO CIG"</formula>
    </cfRule>
  </conditionalFormatting>
  <conditionalFormatting sqref="GH334:GJ334">
    <cfRule type="cellIs" dxfId="2056" priority="5655" operator="equal">
      <formula>"NA"</formula>
    </cfRule>
    <cfRule type="expression" dxfId="2055" priority="5656">
      <formula>VALUE(LEFT(GH334,3))&lt;5</formula>
    </cfRule>
    <cfRule type="expression" dxfId="2054" priority="5657">
      <formula>VALUE(LEFT(GH334,3))&lt;10</formula>
    </cfRule>
    <cfRule type="expression" dxfId="2053" priority="5658">
      <formula>VALUE(LEFT(GH334,3))&lt;30</formula>
    </cfRule>
    <cfRule type="expression" dxfId="2052" priority="5659">
      <formula>VALUE(LEFT(GH334,3))&gt;29</formula>
    </cfRule>
    <cfRule type="cellIs" dxfId="2051" priority="5660" operator="equal">
      <formula>"NO CIG"</formula>
    </cfRule>
  </conditionalFormatting>
  <conditionalFormatting sqref="GH337:GJ337">
    <cfRule type="cellIs" dxfId="2050" priority="5649" operator="equal">
      <formula>"NA"</formula>
    </cfRule>
    <cfRule type="expression" dxfId="2049" priority="5650">
      <formula>VALUE(LEFT(GH337,3))&lt;5</formula>
    </cfRule>
    <cfRule type="expression" dxfId="2048" priority="5651">
      <formula>VALUE(LEFT(GH337,3))&lt;10</formula>
    </cfRule>
    <cfRule type="expression" dxfId="2047" priority="5652">
      <formula>VALUE(LEFT(GH337,3))&lt;30</formula>
    </cfRule>
    <cfRule type="expression" dxfId="2046" priority="5653">
      <formula>VALUE(LEFT(GH337,3))&gt;29</formula>
    </cfRule>
    <cfRule type="cellIs" dxfId="2045" priority="5654" operator="equal">
      <formula>"NO CIG"</formula>
    </cfRule>
  </conditionalFormatting>
  <conditionalFormatting sqref="GH331:GJ331">
    <cfRule type="cellIs" dxfId="2044" priority="5643" operator="equal">
      <formula>"NA"</formula>
    </cfRule>
    <cfRule type="cellIs" dxfId="2043" priority="5644" operator="equal">
      <formula>"NONE"</formula>
    </cfRule>
    <cfRule type="cellIs" dxfId="2042" priority="5645" operator="between">
      <formula>30</formula>
      <formula>999</formula>
    </cfRule>
    <cfRule type="cellIs" dxfId="2041" priority="5646" operator="between">
      <formula>10</formula>
      <formula>29</formula>
    </cfRule>
    <cfRule type="cellIs" dxfId="2040" priority="5647" operator="between">
      <formula>5</formula>
      <formula>9</formula>
    </cfRule>
    <cfRule type="cellIs" dxfId="2039" priority="5648" operator="between">
      <formula>0</formula>
      <formula>4</formula>
    </cfRule>
  </conditionalFormatting>
  <conditionalFormatting sqref="GH329:GJ329">
    <cfRule type="cellIs" dxfId="2038" priority="5637" operator="equal">
      <formula>"NA"</formula>
    </cfRule>
    <cfRule type="cellIs" dxfId="2037" priority="5638" operator="equal">
      <formula>"SKC"</formula>
    </cfRule>
    <cfRule type="cellIs" dxfId="2036" priority="5639" operator="equal">
      <formula>"FEW"</formula>
    </cfRule>
    <cfRule type="cellIs" dxfId="2035" priority="5640" operator="equal">
      <formula>"SCT"</formula>
    </cfRule>
    <cfRule type="cellIs" dxfId="2034" priority="5641" operator="equal">
      <formula>"BKN"</formula>
    </cfRule>
    <cfRule type="cellIs" dxfId="2033" priority="5642" operator="equal">
      <formula>"OVC"</formula>
    </cfRule>
  </conditionalFormatting>
  <conditionalFormatting sqref="GH332:GJ332">
    <cfRule type="cellIs" dxfId="2032" priority="5631" operator="equal">
      <formula>"NA"</formula>
    </cfRule>
    <cfRule type="cellIs" dxfId="2031" priority="5632" operator="equal">
      <formula>"SKC"</formula>
    </cfRule>
    <cfRule type="cellIs" dxfId="2030" priority="5633" operator="equal">
      <formula>"FEW"</formula>
    </cfRule>
    <cfRule type="cellIs" dxfId="2029" priority="5634" operator="equal">
      <formula>"SCT"</formula>
    </cfRule>
    <cfRule type="cellIs" dxfId="2028" priority="5635" operator="equal">
      <formula>"BKN"</formula>
    </cfRule>
    <cfRule type="cellIs" dxfId="2027" priority="5636" operator="equal">
      <formula>"OVC"</formula>
    </cfRule>
  </conditionalFormatting>
  <conditionalFormatting sqref="GH335:GJ335">
    <cfRule type="cellIs" dxfId="2026" priority="5625" operator="equal">
      <formula>"NA"</formula>
    </cfRule>
    <cfRule type="cellIs" dxfId="2025" priority="5626" operator="equal">
      <formula>"SKC"</formula>
    </cfRule>
    <cfRule type="cellIs" dxfId="2024" priority="5627" operator="equal">
      <formula>"FEW"</formula>
    </cfRule>
    <cfRule type="cellIs" dxfId="2023" priority="5628" operator="equal">
      <formula>"SCT"</formula>
    </cfRule>
    <cfRule type="cellIs" dxfId="2022" priority="5629" operator="equal">
      <formula>"BKN"</formula>
    </cfRule>
    <cfRule type="cellIs" dxfId="2021" priority="5630" operator="equal">
      <formula>"OVC"</formula>
    </cfRule>
  </conditionalFormatting>
  <conditionalFormatting sqref="GH338:GJ338">
    <cfRule type="cellIs" dxfId="2020" priority="5619" operator="equal">
      <formula>"NA"</formula>
    </cfRule>
    <cfRule type="cellIs" dxfId="2019" priority="5620" operator="equal">
      <formula>"SKC"</formula>
    </cfRule>
    <cfRule type="cellIs" dxfId="2018" priority="5621" operator="equal">
      <formula>"FEW"</formula>
    </cfRule>
    <cfRule type="cellIs" dxfId="2017" priority="5622" operator="equal">
      <formula>"SCT"</formula>
    </cfRule>
    <cfRule type="cellIs" dxfId="2016" priority="5623" operator="equal">
      <formula>"BKN"</formula>
    </cfRule>
    <cfRule type="cellIs" dxfId="2015" priority="5624" operator="equal">
      <formula>"OVC"</formula>
    </cfRule>
  </conditionalFormatting>
  <conditionalFormatting sqref="GH341:GI341">
    <cfRule type="cellIs" dxfId="2014" priority="5613" operator="equal">
      <formula>"3~5"</formula>
    </cfRule>
    <cfRule type="cellIs" dxfId="2013" priority="5614" operator="equal">
      <formula>"2~2 3/4"</formula>
    </cfRule>
    <cfRule type="cellIs" dxfId="2012" priority="5615" operator="equal">
      <formula>"1~1 7/8"</formula>
    </cfRule>
    <cfRule type="cellIs" dxfId="2011" priority="5616" operator="equal">
      <formula>"0~3/8"</formula>
    </cfRule>
    <cfRule type="cellIs" dxfId="2010" priority="5617" operator="equal">
      <formula>"1/2~7/8"</formula>
    </cfRule>
    <cfRule type="cellIs" dxfId="2009" priority="5618" operator="equal">
      <formula>"       NA"</formula>
    </cfRule>
  </conditionalFormatting>
  <conditionalFormatting sqref="GH345:GI345">
    <cfRule type="cellIs" dxfId="2008" priority="5607" operator="equal">
      <formula>"3~5"</formula>
    </cfRule>
    <cfRule type="cellIs" dxfId="2007" priority="5608" operator="equal">
      <formula>"2~2 3/4"</formula>
    </cfRule>
    <cfRule type="cellIs" dxfId="2006" priority="5609" operator="equal">
      <formula>"1~1 7/8"</formula>
    </cfRule>
    <cfRule type="cellIs" dxfId="2005" priority="5610" operator="equal">
      <formula>"0~3/8"</formula>
    </cfRule>
    <cfRule type="cellIs" dxfId="2004" priority="5611" operator="equal">
      <formula>"1/2~7/8"</formula>
    </cfRule>
    <cfRule type="cellIs" dxfId="2003" priority="5612" operator="equal">
      <formula>"       NA"</formula>
    </cfRule>
  </conditionalFormatting>
  <conditionalFormatting sqref="GH347:GI347">
    <cfRule type="cellIs" dxfId="2002" priority="5601" operator="equal">
      <formula>"3~5"</formula>
    </cfRule>
    <cfRule type="cellIs" dxfId="2001" priority="5602" operator="equal">
      <formula>"2~2 3/4"</formula>
    </cfRule>
    <cfRule type="cellIs" dxfId="2000" priority="5603" operator="equal">
      <formula>"1~1 7/8"</formula>
    </cfRule>
    <cfRule type="cellIs" dxfId="1999" priority="5604" operator="equal">
      <formula>"0~3/8"</formula>
    </cfRule>
    <cfRule type="cellIs" dxfId="1998" priority="5605" operator="equal">
      <formula>"1/2~7/8"</formula>
    </cfRule>
    <cfRule type="cellIs" dxfId="1997" priority="5606" operator="equal">
      <formula>"       NA"</formula>
    </cfRule>
  </conditionalFormatting>
  <conditionalFormatting sqref="GH343:GI343">
    <cfRule type="cellIs" dxfId="1996" priority="5597" operator="lessThan">
      <formula>6</formula>
    </cfRule>
    <cfRule type="cellIs" dxfId="1995" priority="5598" stopIfTrue="1" operator="equal">
      <formula>"NA"</formula>
    </cfRule>
    <cfRule type="cellIs" dxfId="1994" priority="5599" operator="lessThan">
      <formula>1</formula>
    </cfRule>
    <cfRule type="cellIs" dxfId="1993" priority="5600" operator="lessThan">
      <formula>3</formula>
    </cfRule>
  </conditionalFormatting>
  <conditionalFormatting sqref="GK322">
    <cfRule type="expression" dxfId="1992" priority="5595">
      <formula>HOUR(GK326)&gt;11</formula>
    </cfRule>
    <cfRule type="expression" dxfId="1991" priority="5596">
      <formula>HOUR(GK326)&lt;12</formula>
    </cfRule>
  </conditionalFormatting>
  <conditionalFormatting sqref="GK328:GM328">
    <cfRule type="cellIs" dxfId="1990" priority="5589" operator="equal">
      <formula>"NA"</formula>
    </cfRule>
    <cfRule type="expression" dxfId="1989" priority="5590">
      <formula>VALUE(LEFT(GK328,3))&lt;5</formula>
    </cfRule>
    <cfRule type="expression" dxfId="1988" priority="5591">
      <formula>VALUE(LEFT(GK328,3))&lt;10</formula>
    </cfRule>
    <cfRule type="expression" dxfId="1987" priority="5592">
      <formula>VALUE(LEFT(GK328,3))&lt;30</formula>
    </cfRule>
    <cfRule type="expression" dxfId="1986" priority="5593">
      <formula>VALUE(LEFT(GK328,3))&gt;29</formula>
    </cfRule>
    <cfRule type="cellIs" dxfId="1985" priority="5594" operator="equal">
      <formula>"NO CIG"</formula>
    </cfRule>
  </conditionalFormatting>
  <conditionalFormatting sqref="GK334:GM334">
    <cfRule type="cellIs" dxfId="1984" priority="5583" operator="equal">
      <formula>"NA"</formula>
    </cfRule>
    <cfRule type="expression" dxfId="1983" priority="5584">
      <formula>VALUE(LEFT(GK334,3))&lt;5</formula>
    </cfRule>
    <cfRule type="expression" dxfId="1982" priority="5585">
      <formula>VALUE(LEFT(GK334,3))&lt;10</formula>
    </cfRule>
    <cfRule type="expression" dxfId="1981" priority="5586">
      <formula>VALUE(LEFT(GK334,3))&lt;30</formula>
    </cfRule>
    <cfRule type="expression" dxfId="1980" priority="5587">
      <formula>VALUE(LEFT(GK334,3))&gt;29</formula>
    </cfRule>
    <cfRule type="cellIs" dxfId="1979" priority="5588" operator="equal">
      <formula>"NO CIG"</formula>
    </cfRule>
  </conditionalFormatting>
  <conditionalFormatting sqref="GK337:GM337">
    <cfRule type="cellIs" dxfId="1978" priority="5577" operator="equal">
      <formula>"NA"</formula>
    </cfRule>
    <cfRule type="expression" dxfId="1977" priority="5578">
      <formula>VALUE(LEFT(GK337,3))&lt;5</formula>
    </cfRule>
    <cfRule type="expression" dxfId="1976" priority="5579">
      <formula>VALUE(LEFT(GK337,3))&lt;10</formula>
    </cfRule>
    <cfRule type="expression" dxfId="1975" priority="5580">
      <formula>VALUE(LEFT(GK337,3))&lt;30</formula>
    </cfRule>
    <cfRule type="expression" dxfId="1974" priority="5581">
      <formula>VALUE(LEFT(GK337,3))&gt;29</formula>
    </cfRule>
    <cfRule type="cellIs" dxfId="1973" priority="5582" operator="equal">
      <formula>"NO CIG"</formula>
    </cfRule>
  </conditionalFormatting>
  <conditionalFormatting sqref="GK331:GM331">
    <cfRule type="cellIs" dxfId="1972" priority="5571" operator="equal">
      <formula>"NA"</formula>
    </cfRule>
    <cfRule type="cellIs" dxfId="1971" priority="5572" operator="equal">
      <formula>"NONE"</formula>
    </cfRule>
    <cfRule type="cellIs" dxfId="1970" priority="5573" operator="between">
      <formula>30</formula>
      <formula>999</formula>
    </cfRule>
    <cfRule type="cellIs" dxfId="1969" priority="5574" operator="between">
      <formula>10</formula>
      <formula>29</formula>
    </cfRule>
    <cfRule type="cellIs" dxfId="1968" priority="5575" operator="between">
      <formula>5</formula>
      <formula>9</formula>
    </cfRule>
    <cfRule type="cellIs" dxfId="1967" priority="5576" operator="between">
      <formula>0</formula>
      <formula>4</formula>
    </cfRule>
  </conditionalFormatting>
  <conditionalFormatting sqref="GK329:GM329">
    <cfRule type="cellIs" dxfId="1966" priority="5565" operator="equal">
      <formula>"NA"</formula>
    </cfRule>
    <cfRule type="cellIs" dxfId="1965" priority="5566" operator="equal">
      <formula>"SKC"</formula>
    </cfRule>
    <cfRule type="cellIs" dxfId="1964" priority="5567" operator="equal">
      <formula>"FEW"</formula>
    </cfRule>
    <cfRule type="cellIs" dxfId="1963" priority="5568" operator="equal">
      <formula>"SCT"</formula>
    </cfRule>
    <cfRule type="cellIs" dxfId="1962" priority="5569" operator="equal">
      <formula>"BKN"</formula>
    </cfRule>
    <cfRule type="cellIs" dxfId="1961" priority="5570" operator="equal">
      <formula>"OVC"</formula>
    </cfRule>
  </conditionalFormatting>
  <conditionalFormatting sqref="GK332:GM332">
    <cfRule type="cellIs" dxfId="1960" priority="5559" operator="equal">
      <formula>"NA"</formula>
    </cfRule>
    <cfRule type="cellIs" dxfId="1959" priority="5560" operator="equal">
      <formula>"SKC"</formula>
    </cfRule>
    <cfRule type="cellIs" dxfId="1958" priority="5561" operator="equal">
      <formula>"FEW"</formula>
    </cfRule>
    <cfRule type="cellIs" dxfId="1957" priority="5562" operator="equal">
      <formula>"SCT"</formula>
    </cfRule>
    <cfRule type="cellIs" dxfId="1956" priority="5563" operator="equal">
      <formula>"BKN"</formula>
    </cfRule>
    <cfRule type="cellIs" dxfId="1955" priority="5564" operator="equal">
      <formula>"OVC"</formula>
    </cfRule>
  </conditionalFormatting>
  <conditionalFormatting sqref="GK335:GM335">
    <cfRule type="cellIs" dxfId="1954" priority="5553" operator="equal">
      <formula>"NA"</formula>
    </cfRule>
    <cfRule type="cellIs" dxfId="1953" priority="5554" operator="equal">
      <formula>"SKC"</formula>
    </cfRule>
    <cfRule type="cellIs" dxfId="1952" priority="5555" operator="equal">
      <formula>"FEW"</formula>
    </cfRule>
    <cfRule type="cellIs" dxfId="1951" priority="5556" operator="equal">
      <formula>"SCT"</formula>
    </cfRule>
    <cfRule type="cellIs" dxfId="1950" priority="5557" operator="equal">
      <formula>"BKN"</formula>
    </cfRule>
    <cfRule type="cellIs" dxfId="1949" priority="5558" operator="equal">
      <formula>"OVC"</formula>
    </cfRule>
  </conditionalFormatting>
  <conditionalFormatting sqref="GK338:GM338">
    <cfRule type="cellIs" dxfId="1948" priority="5547" operator="equal">
      <formula>"NA"</formula>
    </cfRule>
    <cfRule type="cellIs" dxfId="1947" priority="5548" operator="equal">
      <formula>"SKC"</formula>
    </cfRule>
    <cfRule type="cellIs" dxfId="1946" priority="5549" operator="equal">
      <formula>"FEW"</formula>
    </cfRule>
    <cfRule type="cellIs" dxfId="1945" priority="5550" operator="equal">
      <formula>"SCT"</formula>
    </cfRule>
    <cfRule type="cellIs" dxfId="1944" priority="5551" operator="equal">
      <formula>"BKN"</formula>
    </cfRule>
    <cfRule type="cellIs" dxfId="1943" priority="5552" operator="equal">
      <formula>"OVC"</formula>
    </cfRule>
  </conditionalFormatting>
  <conditionalFormatting sqref="GK341:GL341">
    <cfRule type="cellIs" dxfId="1942" priority="5541" operator="equal">
      <formula>"3~5"</formula>
    </cfRule>
    <cfRule type="cellIs" dxfId="1941" priority="5542" operator="equal">
      <formula>"2~2 3/4"</formula>
    </cfRule>
    <cfRule type="cellIs" dxfId="1940" priority="5543" operator="equal">
      <formula>"1~1 7/8"</formula>
    </cfRule>
    <cfRule type="cellIs" dxfId="1939" priority="5544" operator="equal">
      <formula>"0~3/8"</formula>
    </cfRule>
    <cfRule type="cellIs" dxfId="1938" priority="5545" operator="equal">
      <formula>"1/2~7/8"</formula>
    </cfRule>
    <cfRule type="cellIs" dxfId="1937" priority="5546" operator="equal">
      <formula>"       NA"</formula>
    </cfRule>
  </conditionalFormatting>
  <conditionalFormatting sqref="GK345:GL345">
    <cfRule type="cellIs" dxfId="1936" priority="5535" operator="equal">
      <formula>"3~5"</formula>
    </cfRule>
    <cfRule type="cellIs" dxfId="1935" priority="5536" operator="equal">
      <formula>"2~2 3/4"</formula>
    </cfRule>
    <cfRule type="cellIs" dxfId="1934" priority="5537" operator="equal">
      <formula>"1~1 7/8"</formula>
    </cfRule>
    <cfRule type="cellIs" dxfId="1933" priority="5538" operator="equal">
      <formula>"0~3/8"</formula>
    </cfRule>
    <cfRule type="cellIs" dxfId="1932" priority="5539" operator="equal">
      <formula>"1/2~7/8"</formula>
    </cfRule>
    <cfRule type="cellIs" dxfId="1931" priority="5540" operator="equal">
      <formula>"       NA"</formula>
    </cfRule>
  </conditionalFormatting>
  <conditionalFormatting sqref="GK347:GL347">
    <cfRule type="cellIs" dxfId="1930" priority="5529" operator="equal">
      <formula>"3~5"</formula>
    </cfRule>
    <cfRule type="cellIs" dxfId="1929" priority="5530" operator="equal">
      <formula>"2~2 3/4"</formula>
    </cfRule>
    <cfRule type="cellIs" dxfId="1928" priority="5531" operator="equal">
      <formula>"1~1 7/8"</formula>
    </cfRule>
    <cfRule type="cellIs" dxfId="1927" priority="5532" operator="equal">
      <formula>"0~3/8"</formula>
    </cfRule>
    <cfRule type="cellIs" dxfId="1926" priority="5533" operator="equal">
      <formula>"1/2~7/8"</formula>
    </cfRule>
    <cfRule type="cellIs" dxfId="1925" priority="5534" operator="equal">
      <formula>"       NA"</formula>
    </cfRule>
  </conditionalFormatting>
  <conditionalFormatting sqref="GK343:GL343">
    <cfRule type="cellIs" dxfId="1924" priority="5525" operator="lessThan">
      <formula>6</formula>
    </cfRule>
    <cfRule type="cellIs" dxfId="1923" priority="5526" stopIfTrue="1" operator="equal">
      <formula>"NA"</formula>
    </cfRule>
    <cfRule type="cellIs" dxfId="1922" priority="5527" operator="lessThan">
      <formula>1</formula>
    </cfRule>
    <cfRule type="cellIs" dxfId="1921" priority="5528" operator="lessThan">
      <formula>3</formula>
    </cfRule>
  </conditionalFormatting>
  <conditionalFormatting sqref="GN322">
    <cfRule type="expression" dxfId="1920" priority="5523">
      <formula>HOUR(GN326)&gt;11</formula>
    </cfRule>
    <cfRule type="expression" dxfId="1919" priority="5524">
      <formula>HOUR(GN326)&lt;12</formula>
    </cfRule>
  </conditionalFormatting>
  <conditionalFormatting sqref="GN328:GP328">
    <cfRule type="cellIs" dxfId="1918" priority="5517" operator="equal">
      <formula>"NA"</formula>
    </cfRule>
    <cfRule type="expression" dxfId="1917" priority="5518">
      <formula>VALUE(LEFT(GN328,3))&lt;5</formula>
    </cfRule>
    <cfRule type="expression" dxfId="1916" priority="5519">
      <formula>VALUE(LEFT(GN328,3))&lt;10</formula>
    </cfRule>
    <cfRule type="expression" dxfId="1915" priority="5520">
      <formula>VALUE(LEFT(GN328,3))&lt;30</formula>
    </cfRule>
    <cfRule type="expression" dxfId="1914" priority="5521">
      <formula>VALUE(LEFT(GN328,3))&gt;29</formula>
    </cfRule>
    <cfRule type="cellIs" dxfId="1913" priority="5522" operator="equal">
      <formula>"NO CIG"</formula>
    </cfRule>
  </conditionalFormatting>
  <conditionalFormatting sqref="GN334:GP334">
    <cfRule type="cellIs" dxfId="1912" priority="5511" operator="equal">
      <formula>"NA"</formula>
    </cfRule>
    <cfRule type="expression" dxfId="1911" priority="5512">
      <formula>VALUE(LEFT(GN334,3))&lt;5</formula>
    </cfRule>
    <cfRule type="expression" dxfId="1910" priority="5513">
      <formula>VALUE(LEFT(GN334,3))&lt;10</formula>
    </cfRule>
    <cfRule type="expression" dxfId="1909" priority="5514">
      <formula>VALUE(LEFT(GN334,3))&lt;30</formula>
    </cfRule>
    <cfRule type="expression" dxfId="1908" priority="5515">
      <formula>VALUE(LEFT(GN334,3))&gt;29</formula>
    </cfRule>
    <cfRule type="cellIs" dxfId="1907" priority="5516" operator="equal">
      <formula>"NO CIG"</formula>
    </cfRule>
  </conditionalFormatting>
  <conditionalFormatting sqref="GN337:GP337">
    <cfRule type="cellIs" dxfId="1906" priority="5505" operator="equal">
      <formula>"NA"</formula>
    </cfRule>
    <cfRule type="expression" dxfId="1905" priority="5506">
      <formula>VALUE(LEFT(GN337,3))&lt;5</formula>
    </cfRule>
    <cfRule type="expression" dxfId="1904" priority="5507">
      <formula>VALUE(LEFT(GN337,3))&lt;10</formula>
    </cfRule>
    <cfRule type="expression" dxfId="1903" priority="5508">
      <formula>VALUE(LEFT(GN337,3))&lt;30</formula>
    </cfRule>
    <cfRule type="expression" dxfId="1902" priority="5509">
      <formula>VALUE(LEFT(GN337,3))&gt;29</formula>
    </cfRule>
    <cfRule type="cellIs" dxfId="1901" priority="5510" operator="equal">
      <formula>"NO CIG"</formula>
    </cfRule>
  </conditionalFormatting>
  <conditionalFormatting sqref="GN331:GP331">
    <cfRule type="cellIs" dxfId="1900" priority="5499" operator="equal">
      <formula>"NA"</formula>
    </cfRule>
    <cfRule type="cellIs" dxfId="1899" priority="5500" operator="equal">
      <formula>"NONE"</formula>
    </cfRule>
    <cfRule type="cellIs" dxfId="1898" priority="5501" operator="between">
      <formula>30</formula>
      <formula>999</formula>
    </cfRule>
    <cfRule type="cellIs" dxfId="1897" priority="5502" operator="between">
      <formula>10</formula>
      <formula>29</formula>
    </cfRule>
    <cfRule type="cellIs" dxfId="1896" priority="5503" operator="between">
      <formula>5</formula>
      <formula>9</formula>
    </cfRule>
    <cfRule type="cellIs" dxfId="1895" priority="5504" operator="between">
      <formula>0</formula>
      <formula>4</formula>
    </cfRule>
  </conditionalFormatting>
  <conditionalFormatting sqref="GN329:GP329">
    <cfRule type="cellIs" dxfId="1894" priority="5493" operator="equal">
      <formula>"NA"</formula>
    </cfRule>
    <cfRule type="cellIs" dxfId="1893" priority="5494" operator="equal">
      <formula>"SKC"</formula>
    </cfRule>
    <cfRule type="cellIs" dxfId="1892" priority="5495" operator="equal">
      <formula>"FEW"</formula>
    </cfRule>
    <cfRule type="cellIs" dxfId="1891" priority="5496" operator="equal">
      <formula>"SCT"</formula>
    </cfRule>
    <cfRule type="cellIs" dxfId="1890" priority="5497" operator="equal">
      <formula>"BKN"</formula>
    </cfRule>
    <cfRule type="cellIs" dxfId="1889" priority="5498" operator="equal">
      <formula>"OVC"</formula>
    </cfRule>
  </conditionalFormatting>
  <conditionalFormatting sqref="GN332:GP332">
    <cfRule type="cellIs" dxfId="1888" priority="5487" operator="equal">
      <formula>"NA"</formula>
    </cfRule>
    <cfRule type="cellIs" dxfId="1887" priority="5488" operator="equal">
      <formula>"SKC"</formula>
    </cfRule>
    <cfRule type="cellIs" dxfId="1886" priority="5489" operator="equal">
      <formula>"FEW"</formula>
    </cfRule>
    <cfRule type="cellIs" dxfId="1885" priority="5490" operator="equal">
      <formula>"SCT"</formula>
    </cfRule>
    <cfRule type="cellIs" dxfId="1884" priority="5491" operator="equal">
      <formula>"BKN"</formula>
    </cfRule>
    <cfRule type="cellIs" dxfId="1883" priority="5492" operator="equal">
      <formula>"OVC"</formula>
    </cfRule>
  </conditionalFormatting>
  <conditionalFormatting sqref="GN335:GP335">
    <cfRule type="cellIs" dxfId="1882" priority="5481" operator="equal">
      <formula>"NA"</formula>
    </cfRule>
    <cfRule type="cellIs" dxfId="1881" priority="5482" operator="equal">
      <formula>"SKC"</formula>
    </cfRule>
    <cfRule type="cellIs" dxfId="1880" priority="5483" operator="equal">
      <formula>"FEW"</formula>
    </cfRule>
    <cfRule type="cellIs" dxfId="1879" priority="5484" operator="equal">
      <formula>"SCT"</formula>
    </cfRule>
    <cfRule type="cellIs" dxfId="1878" priority="5485" operator="equal">
      <formula>"BKN"</formula>
    </cfRule>
    <cfRule type="cellIs" dxfId="1877" priority="5486" operator="equal">
      <formula>"OVC"</formula>
    </cfRule>
  </conditionalFormatting>
  <conditionalFormatting sqref="GN338:GP338">
    <cfRule type="cellIs" dxfId="1876" priority="5475" operator="equal">
      <formula>"NA"</formula>
    </cfRule>
    <cfRule type="cellIs" dxfId="1875" priority="5476" operator="equal">
      <formula>"SKC"</formula>
    </cfRule>
    <cfRule type="cellIs" dxfId="1874" priority="5477" operator="equal">
      <formula>"FEW"</formula>
    </cfRule>
    <cfRule type="cellIs" dxfId="1873" priority="5478" operator="equal">
      <formula>"SCT"</formula>
    </cfRule>
    <cfRule type="cellIs" dxfId="1872" priority="5479" operator="equal">
      <formula>"BKN"</formula>
    </cfRule>
    <cfRule type="cellIs" dxfId="1871" priority="5480" operator="equal">
      <formula>"OVC"</formula>
    </cfRule>
  </conditionalFormatting>
  <conditionalFormatting sqref="GN341:GO341">
    <cfRule type="cellIs" dxfId="1870" priority="5469" operator="equal">
      <formula>"3~5"</formula>
    </cfRule>
    <cfRule type="cellIs" dxfId="1869" priority="5470" operator="equal">
      <formula>"2~2 3/4"</formula>
    </cfRule>
    <cfRule type="cellIs" dxfId="1868" priority="5471" operator="equal">
      <formula>"1~1 7/8"</formula>
    </cfRule>
    <cfRule type="cellIs" dxfId="1867" priority="5472" operator="equal">
      <formula>"0~3/8"</formula>
    </cfRule>
    <cfRule type="cellIs" dxfId="1866" priority="5473" operator="equal">
      <formula>"1/2~7/8"</formula>
    </cfRule>
    <cfRule type="cellIs" dxfId="1865" priority="5474" operator="equal">
      <formula>"       NA"</formula>
    </cfRule>
  </conditionalFormatting>
  <conditionalFormatting sqref="GN345:GO345">
    <cfRule type="cellIs" dxfId="1864" priority="5463" operator="equal">
      <formula>"3~5"</formula>
    </cfRule>
    <cfRule type="cellIs" dxfId="1863" priority="5464" operator="equal">
      <formula>"2~2 3/4"</formula>
    </cfRule>
    <cfRule type="cellIs" dxfId="1862" priority="5465" operator="equal">
      <formula>"1~1 7/8"</formula>
    </cfRule>
    <cfRule type="cellIs" dxfId="1861" priority="5466" operator="equal">
      <formula>"0~3/8"</formula>
    </cfRule>
    <cfRule type="cellIs" dxfId="1860" priority="5467" operator="equal">
      <formula>"1/2~7/8"</formula>
    </cfRule>
    <cfRule type="cellIs" dxfId="1859" priority="5468" operator="equal">
      <formula>"       NA"</formula>
    </cfRule>
  </conditionalFormatting>
  <conditionalFormatting sqref="GN347:GO347">
    <cfRule type="cellIs" dxfId="1858" priority="5457" operator="equal">
      <formula>"3~5"</formula>
    </cfRule>
    <cfRule type="cellIs" dxfId="1857" priority="5458" operator="equal">
      <formula>"2~2 3/4"</formula>
    </cfRule>
    <cfRule type="cellIs" dxfId="1856" priority="5459" operator="equal">
      <formula>"1~1 7/8"</formula>
    </cfRule>
    <cfRule type="cellIs" dxfId="1855" priority="5460" operator="equal">
      <formula>"0~3/8"</formula>
    </cfRule>
    <cfRule type="cellIs" dxfId="1854" priority="5461" operator="equal">
      <formula>"1/2~7/8"</formula>
    </cfRule>
    <cfRule type="cellIs" dxfId="1853" priority="5462" operator="equal">
      <formula>"       NA"</formula>
    </cfRule>
  </conditionalFormatting>
  <conditionalFormatting sqref="GN343:GO343">
    <cfRule type="cellIs" dxfId="1852" priority="5453" operator="lessThan">
      <formula>6</formula>
    </cfRule>
    <cfRule type="cellIs" dxfId="1851" priority="5454" stopIfTrue="1" operator="equal">
      <formula>"NA"</formula>
    </cfRule>
    <cfRule type="cellIs" dxfId="1850" priority="5455" operator="lessThan">
      <formula>1</formula>
    </cfRule>
    <cfRule type="cellIs" dxfId="1849" priority="5456" operator="lessThan">
      <formula>3</formula>
    </cfRule>
  </conditionalFormatting>
  <conditionalFormatting sqref="GQ322">
    <cfRule type="expression" dxfId="1848" priority="5451">
      <formula>HOUR(GQ326)&gt;11</formula>
    </cfRule>
    <cfRule type="expression" dxfId="1847" priority="5452">
      <formula>HOUR(GQ326)&lt;12</formula>
    </cfRule>
  </conditionalFormatting>
  <conditionalFormatting sqref="GQ328:GS328">
    <cfRule type="cellIs" dxfId="1846" priority="5445" operator="equal">
      <formula>"NA"</formula>
    </cfRule>
    <cfRule type="expression" dxfId="1845" priority="5446">
      <formula>VALUE(LEFT(GQ328,3))&lt;5</formula>
    </cfRule>
    <cfRule type="expression" dxfId="1844" priority="5447">
      <formula>VALUE(LEFT(GQ328,3))&lt;10</formula>
    </cfRule>
    <cfRule type="expression" dxfId="1843" priority="5448">
      <formula>VALUE(LEFT(GQ328,3))&lt;30</formula>
    </cfRule>
    <cfRule type="expression" dxfId="1842" priority="5449">
      <formula>VALUE(LEFT(GQ328,3))&gt;29</formula>
    </cfRule>
    <cfRule type="cellIs" dxfId="1841" priority="5450" operator="equal">
      <formula>"NO CIG"</formula>
    </cfRule>
  </conditionalFormatting>
  <conditionalFormatting sqref="GQ334:GS334">
    <cfRule type="cellIs" dxfId="1840" priority="5439" operator="equal">
      <formula>"NA"</formula>
    </cfRule>
    <cfRule type="expression" dxfId="1839" priority="5440">
      <formula>VALUE(LEFT(GQ334,3))&lt;5</formula>
    </cfRule>
    <cfRule type="expression" dxfId="1838" priority="5441">
      <formula>VALUE(LEFT(GQ334,3))&lt;10</formula>
    </cfRule>
    <cfRule type="expression" dxfId="1837" priority="5442">
      <formula>VALUE(LEFT(GQ334,3))&lt;30</formula>
    </cfRule>
    <cfRule type="expression" dxfId="1836" priority="5443">
      <formula>VALUE(LEFT(GQ334,3))&gt;29</formula>
    </cfRule>
    <cfRule type="cellIs" dxfId="1835" priority="5444" operator="equal">
      <formula>"NO CIG"</formula>
    </cfRule>
  </conditionalFormatting>
  <conditionalFormatting sqref="GQ337:GS337">
    <cfRule type="cellIs" dxfId="1834" priority="5433" operator="equal">
      <formula>"NA"</formula>
    </cfRule>
    <cfRule type="expression" dxfId="1833" priority="5434">
      <formula>VALUE(LEFT(GQ337,3))&lt;5</formula>
    </cfRule>
    <cfRule type="expression" dxfId="1832" priority="5435">
      <formula>VALUE(LEFT(GQ337,3))&lt;10</formula>
    </cfRule>
    <cfRule type="expression" dxfId="1831" priority="5436">
      <formula>VALUE(LEFT(GQ337,3))&lt;30</formula>
    </cfRule>
    <cfRule type="expression" dxfId="1830" priority="5437">
      <formula>VALUE(LEFT(GQ337,3))&gt;29</formula>
    </cfRule>
    <cfRule type="cellIs" dxfId="1829" priority="5438" operator="equal">
      <formula>"NO CIG"</formula>
    </cfRule>
  </conditionalFormatting>
  <conditionalFormatting sqref="GQ331:GS331">
    <cfRule type="cellIs" dxfId="1828" priority="5427" operator="equal">
      <formula>"NA"</formula>
    </cfRule>
    <cfRule type="cellIs" dxfId="1827" priority="5428" operator="equal">
      <formula>"NONE"</formula>
    </cfRule>
    <cfRule type="cellIs" dxfId="1826" priority="5429" operator="between">
      <formula>30</formula>
      <formula>999</formula>
    </cfRule>
    <cfRule type="cellIs" dxfId="1825" priority="5430" operator="between">
      <formula>10</formula>
      <formula>29</formula>
    </cfRule>
    <cfRule type="cellIs" dxfId="1824" priority="5431" operator="between">
      <formula>5</formula>
      <formula>9</formula>
    </cfRule>
    <cfRule type="cellIs" dxfId="1823" priority="5432" operator="between">
      <formula>0</formula>
      <formula>4</formula>
    </cfRule>
  </conditionalFormatting>
  <conditionalFormatting sqref="GQ329:GS329">
    <cfRule type="cellIs" dxfId="1822" priority="5421" operator="equal">
      <formula>"NA"</formula>
    </cfRule>
    <cfRule type="cellIs" dxfId="1821" priority="5422" operator="equal">
      <formula>"SKC"</formula>
    </cfRule>
    <cfRule type="cellIs" dxfId="1820" priority="5423" operator="equal">
      <formula>"FEW"</formula>
    </cfRule>
    <cfRule type="cellIs" dxfId="1819" priority="5424" operator="equal">
      <formula>"SCT"</formula>
    </cfRule>
    <cfRule type="cellIs" dxfId="1818" priority="5425" operator="equal">
      <formula>"BKN"</formula>
    </cfRule>
    <cfRule type="cellIs" dxfId="1817" priority="5426" operator="equal">
      <formula>"OVC"</formula>
    </cfRule>
  </conditionalFormatting>
  <conditionalFormatting sqref="GQ332:GS332">
    <cfRule type="cellIs" dxfId="1816" priority="5415" operator="equal">
      <formula>"NA"</formula>
    </cfRule>
    <cfRule type="cellIs" dxfId="1815" priority="5416" operator="equal">
      <formula>"SKC"</formula>
    </cfRule>
    <cfRule type="cellIs" dxfId="1814" priority="5417" operator="equal">
      <formula>"FEW"</formula>
    </cfRule>
    <cfRule type="cellIs" dxfId="1813" priority="5418" operator="equal">
      <formula>"SCT"</formula>
    </cfRule>
    <cfRule type="cellIs" dxfId="1812" priority="5419" operator="equal">
      <formula>"BKN"</formula>
    </cfRule>
    <cfRule type="cellIs" dxfId="1811" priority="5420" operator="equal">
      <formula>"OVC"</formula>
    </cfRule>
  </conditionalFormatting>
  <conditionalFormatting sqref="GQ335:GS335">
    <cfRule type="cellIs" dxfId="1810" priority="5409" operator="equal">
      <formula>"NA"</formula>
    </cfRule>
    <cfRule type="cellIs" dxfId="1809" priority="5410" operator="equal">
      <formula>"SKC"</formula>
    </cfRule>
    <cfRule type="cellIs" dxfId="1808" priority="5411" operator="equal">
      <formula>"FEW"</formula>
    </cfRule>
    <cfRule type="cellIs" dxfId="1807" priority="5412" operator="equal">
      <formula>"SCT"</formula>
    </cfRule>
    <cfRule type="cellIs" dxfId="1806" priority="5413" operator="equal">
      <formula>"BKN"</formula>
    </cfRule>
    <cfRule type="cellIs" dxfId="1805" priority="5414" operator="equal">
      <formula>"OVC"</formula>
    </cfRule>
  </conditionalFormatting>
  <conditionalFormatting sqref="GQ338:GS338">
    <cfRule type="cellIs" dxfId="1804" priority="5403" operator="equal">
      <formula>"NA"</formula>
    </cfRule>
    <cfRule type="cellIs" dxfId="1803" priority="5404" operator="equal">
      <formula>"SKC"</formula>
    </cfRule>
    <cfRule type="cellIs" dxfId="1802" priority="5405" operator="equal">
      <formula>"FEW"</formula>
    </cfRule>
    <cfRule type="cellIs" dxfId="1801" priority="5406" operator="equal">
      <formula>"SCT"</formula>
    </cfRule>
    <cfRule type="cellIs" dxfId="1800" priority="5407" operator="equal">
      <formula>"BKN"</formula>
    </cfRule>
    <cfRule type="cellIs" dxfId="1799" priority="5408" operator="equal">
      <formula>"OVC"</formula>
    </cfRule>
  </conditionalFormatting>
  <conditionalFormatting sqref="GQ341:GR341">
    <cfRule type="cellIs" dxfId="1798" priority="5397" operator="equal">
      <formula>"3~5"</formula>
    </cfRule>
    <cfRule type="cellIs" dxfId="1797" priority="5398" operator="equal">
      <formula>"2~2 3/4"</formula>
    </cfRule>
    <cfRule type="cellIs" dxfId="1796" priority="5399" operator="equal">
      <formula>"1~1 7/8"</formula>
    </cfRule>
    <cfRule type="cellIs" dxfId="1795" priority="5400" operator="equal">
      <formula>"0~3/8"</formula>
    </cfRule>
    <cfRule type="cellIs" dxfId="1794" priority="5401" operator="equal">
      <formula>"1/2~7/8"</formula>
    </cfRule>
    <cfRule type="cellIs" dxfId="1793" priority="5402" operator="equal">
      <formula>"       NA"</formula>
    </cfRule>
  </conditionalFormatting>
  <conditionalFormatting sqref="GQ345:GR345">
    <cfRule type="cellIs" dxfId="1792" priority="5391" operator="equal">
      <formula>"3~5"</formula>
    </cfRule>
    <cfRule type="cellIs" dxfId="1791" priority="5392" operator="equal">
      <formula>"2~2 3/4"</formula>
    </cfRule>
    <cfRule type="cellIs" dxfId="1790" priority="5393" operator="equal">
      <formula>"1~1 7/8"</formula>
    </cfRule>
    <cfRule type="cellIs" dxfId="1789" priority="5394" operator="equal">
      <formula>"0~3/8"</formula>
    </cfRule>
    <cfRule type="cellIs" dxfId="1788" priority="5395" operator="equal">
      <formula>"1/2~7/8"</formula>
    </cfRule>
    <cfRule type="cellIs" dxfId="1787" priority="5396" operator="equal">
      <formula>"       NA"</formula>
    </cfRule>
  </conditionalFormatting>
  <conditionalFormatting sqref="GQ347:GR347">
    <cfRule type="cellIs" dxfId="1786" priority="5385" operator="equal">
      <formula>"3~5"</formula>
    </cfRule>
    <cfRule type="cellIs" dxfId="1785" priority="5386" operator="equal">
      <formula>"2~2 3/4"</formula>
    </cfRule>
    <cfRule type="cellIs" dxfId="1784" priority="5387" operator="equal">
      <formula>"1~1 7/8"</formula>
    </cfRule>
    <cfRule type="cellIs" dxfId="1783" priority="5388" operator="equal">
      <formula>"0~3/8"</formula>
    </cfRule>
    <cfRule type="cellIs" dxfId="1782" priority="5389" operator="equal">
      <formula>"1/2~7/8"</formula>
    </cfRule>
    <cfRule type="cellIs" dxfId="1781" priority="5390" operator="equal">
      <formula>"       NA"</formula>
    </cfRule>
  </conditionalFormatting>
  <conditionalFormatting sqref="GQ343:GR343">
    <cfRule type="cellIs" dxfId="1780" priority="5381" operator="lessThan">
      <formula>6</formula>
    </cfRule>
    <cfRule type="cellIs" dxfId="1779" priority="5382" stopIfTrue="1" operator="equal">
      <formula>"NA"</formula>
    </cfRule>
    <cfRule type="cellIs" dxfId="1778" priority="5383" operator="lessThan">
      <formula>1</formula>
    </cfRule>
    <cfRule type="cellIs" dxfId="1777" priority="5384" operator="lessThan">
      <formula>3</formula>
    </cfRule>
  </conditionalFormatting>
  <conditionalFormatting sqref="DV452:DW452">
    <cfRule type="expression" dxfId="1776" priority="5110">
      <formula>AND(COLUMN()&gt;162,OR(WEEKDAY($Q$6)&lt;&gt;4,$X$6&lt;&gt;"A"))</formula>
    </cfRule>
  </conditionalFormatting>
  <conditionalFormatting sqref="DV452:DW452">
    <cfRule type="expression" dxfId="1775" priority="5109">
      <formula>AND(COLUMN()&gt;162,OR(WEEKDAY($Q$6)&lt;&gt;4,$X$6&lt;&gt;"A"))</formula>
    </cfRule>
  </conditionalFormatting>
  <conditionalFormatting sqref="DV452:DW452">
    <cfRule type="expression" dxfId="1774" priority="5108">
      <formula>AND(COLUMN()&gt;162,OR(WEEKDAY($Q$6)&lt;&gt;4,$X$6&lt;&gt;"A"))</formula>
    </cfRule>
  </conditionalFormatting>
  <conditionalFormatting sqref="DV452:DW452">
    <cfRule type="expression" dxfId="1773" priority="5107">
      <formula>AND(COLUMN()&gt;162,OR(WEEKDAY($Q$6)&lt;&gt;4,$X$6&lt;&gt;"A"))</formula>
    </cfRule>
  </conditionalFormatting>
  <conditionalFormatting sqref="DV452:DW452">
    <cfRule type="expression" dxfId="1772" priority="5106">
      <formula>AND(COLUMN()&gt;162,OR(WEEKDAY($Q$6)&lt;&gt;4,$X$6&lt;&gt;"A"))</formula>
    </cfRule>
  </conditionalFormatting>
  <conditionalFormatting sqref="DV452:DW452">
    <cfRule type="expression" dxfId="1771" priority="5105">
      <formula>AND(COLUMN()&gt;162,OR(WEEKDAY($Q$6)&lt;&gt;4,$X$6&lt;&gt;"A"))</formula>
    </cfRule>
  </conditionalFormatting>
  <conditionalFormatting sqref="DV452:DW452">
    <cfRule type="expression" dxfId="1770" priority="5104">
      <formula>AND(COLUMN()&gt;162,OR(WEEKDAY($Q$6)&lt;&gt;4,$X$6&lt;&gt;"A"))</formula>
    </cfRule>
  </conditionalFormatting>
  <conditionalFormatting sqref="DV452:DW452">
    <cfRule type="expression" dxfId="1769" priority="5103">
      <formula>AND(COLUMN()&gt;162,OR(WEEKDAY($Q$6)&lt;&gt;4,$X$6&lt;&gt;"A"))</formula>
    </cfRule>
  </conditionalFormatting>
  <conditionalFormatting sqref="DV452:DW452">
    <cfRule type="expression" dxfId="1768" priority="5102">
      <formula>AND(COLUMN()&gt;162,OR(WEEKDAY($Q$6)&lt;&gt;4,$X$6&lt;&gt;"A"))</formula>
    </cfRule>
  </conditionalFormatting>
  <conditionalFormatting sqref="DV452:DW452">
    <cfRule type="expression" dxfId="1767" priority="5101">
      <formula>AND(COLUMN()&gt;162,OR(WEEKDAY($Q$6)&lt;&gt;4,$X$6&lt;&gt;"A"))</formula>
    </cfRule>
  </conditionalFormatting>
  <conditionalFormatting sqref="DV452:DW452">
    <cfRule type="expression" dxfId="1766" priority="5100">
      <formula>AND(COLUMN()&gt;162,OR(WEEKDAY($Q$6)&lt;&gt;4,$X$6&lt;&gt;"A"))</formula>
    </cfRule>
  </conditionalFormatting>
  <conditionalFormatting sqref="DV452:DW452">
    <cfRule type="expression" dxfId="1765" priority="5099">
      <formula>AND(COLUMN()&gt;162,OR(WEEKDAY($Q$6)&lt;&gt;4,$X$6&lt;&gt;"A"))</formula>
    </cfRule>
  </conditionalFormatting>
  <conditionalFormatting sqref="DV452:DW452">
    <cfRule type="expression" dxfId="1764" priority="5098">
      <formula>AND(COLUMN()&gt;162,OR(WEEKDAY($Q$6)&lt;&gt;4,$X$6&lt;&gt;"A"))</formula>
    </cfRule>
  </conditionalFormatting>
  <conditionalFormatting sqref="DV452:DW452">
    <cfRule type="expression" dxfId="1763" priority="5097">
      <formula>AND(COLUMN()&gt;162,OR(WEEKDAY($Q$6)&lt;&gt;4,$X$6&lt;&gt;"A"))</formula>
    </cfRule>
  </conditionalFormatting>
  <conditionalFormatting sqref="DV452:DW452">
    <cfRule type="expression" dxfId="1762" priority="5096">
      <formula>AND(COLUMN()&gt;162,OR(WEEKDAY($Q$6)&lt;&gt;4,$X$6&lt;&gt;"A"))</formula>
    </cfRule>
  </conditionalFormatting>
  <conditionalFormatting sqref="DV452:DW452">
    <cfRule type="expression" dxfId="1761" priority="5095">
      <formula>AND(COLUMN()&gt;162,OR(WEEKDAY($Q$6)&lt;&gt;4,$X$6&lt;&gt;"A"))</formula>
    </cfRule>
  </conditionalFormatting>
  <conditionalFormatting sqref="DV452:DW452">
    <cfRule type="expression" dxfId="1760" priority="5094">
      <formula>AND(COLUMN()&gt;162,OR(WEEKDAY($Q$6)&lt;&gt;4,$X$6&lt;&gt;"A"))</formula>
    </cfRule>
  </conditionalFormatting>
  <conditionalFormatting sqref="DV452:DW452">
    <cfRule type="expression" dxfId="1759" priority="5093">
      <formula>AND(COLUMN()&gt;162,OR(WEEKDAY($Q$6)&lt;&gt;4,$X$6&lt;&gt;"A"))</formula>
    </cfRule>
  </conditionalFormatting>
  <conditionalFormatting sqref="DV452:DW452">
    <cfRule type="expression" dxfId="1758" priority="5092">
      <formula>AND(COLUMN()&gt;162,OR(WEEKDAY($Q$6)&lt;&gt;4,$X$6&lt;&gt;"A"))</formula>
    </cfRule>
  </conditionalFormatting>
  <conditionalFormatting sqref="DV452:DW452">
    <cfRule type="expression" dxfId="1757" priority="5091">
      <formula>AND(COLUMN()&gt;162,OR(WEEKDAY($Q$6)&lt;&gt;4,$X$6&lt;&gt;"A"))</formula>
    </cfRule>
  </conditionalFormatting>
  <conditionalFormatting sqref="DV452:DW452">
    <cfRule type="expression" dxfId="1756" priority="5090">
      <formula>AND(COLUMN()&gt;162,OR(WEEKDAY($Q$6)&lt;&gt;4,$X$6&lt;&gt;"A"))</formula>
    </cfRule>
  </conditionalFormatting>
  <conditionalFormatting sqref="DV452:DW452">
    <cfRule type="expression" dxfId="1755" priority="5089">
      <formula>AND(COLUMN()&gt;162,OR(WEEKDAY($Q$6)&lt;&gt;4,$X$6&lt;&gt;"A"))</formula>
    </cfRule>
  </conditionalFormatting>
  <conditionalFormatting sqref="DV452:DW452">
    <cfRule type="expression" dxfId="1754" priority="5088">
      <formula>AND(COLUMN()&gt;162,OR(WEEKDAY($Q$6)&lt;&gt;4,$X$6&lt;&gt;"A"))</formula>
    </cfRule>
  </conditionalFormatting>
  <conditionalFormatting sqref="DV452:DW452">
    <cfRule type="expression" dxfId="1753" priority="5087">
      <formula>AND(COLUMN()&gt;162,OR(WEEKDAY($Q$6)&lt;&gt;4,$X$6&lt;&gt;"A"))</formula>
    </cfRule>
  </conditionalFormatting>
  <conditionalFormatting sqref="DV452:DW452">
    <cfRule type="expression" dxfId="1752" priority="5086">
      <formula>AND(COLUMN()&gt;162,OR(WEEKDAY($Q$6)&lt;&gt;4,$X$6&lt;&gt;"A"))</formula>
    </cfRule>
  </conditionalFormatting>
  <conditionalFormatting sqref="DV452:DW452">
    <cfRule type="expression" dxfId="1751" priority="5085">
      <formula>AND(COLUMN()&gt;162,OR(WEEKDAY($Q$6)&lt;&gt;4,$X$6&lt;&gt;"A"))</formula>
    </cfRule>
  </conditionalFormatting>
  <conditionalFormatting sqref="DV452:DW452">
    <cfRule type="expression" dxfId="1750" priority="5084">
      <formula>AND(COLUMN()&gt;162,OR(WEEKDAY($Q$6)&lt;&gt;4,$X$6&lt;&gt;"A"))</formula>
    </cfRule>
  </conditionalFormatting>
  <conditionalFormatting sqref="DV452:DW452">
    <cfRule type="expression" dxfId="1749" priority="5083">
      <formula>AND(COLUMN()&gt;162,OR(WEEKDAY($Q$6)&lt;&gt;4,$X$6&lt;&gt;"A"))</formula>
    </cfRule>
  </conditionalFormatting>
  <conditionalFormatting sqref="DV452:DW452">
    <cfRule type="expression" dxfId="1748" priority="5082">
      <formula>AND(COLUMN()&gt;162,OR(WEEKDAY($Q$6)&lt;&gt;4,$X$6&lt;&gt;"A"))</formula>
    </cfRule>
  </conditionalFormatting>
  <conditionalFormatting sqref="DV452:DW452">
    <cfRule type="expression" dxfId="1747" priority="5081">
      <formula>AND(COLUMN()&gt;162,OR(WEEKDAY($Q$6)&lt;&gt;4,$X$6&lt;&gt;"A"))</formula>
    </cfRule>
  </conditionalFormatting>
  <conditionalFormatting sqref="EM451:EN451">
    <cfRule type="expression" dxfId="1746" priority="4746">
      <formula>AND(COLUMN()&gt;162,OR(WEEKDAY($Q$6)&lt;&gt;4,$X$6&lt;&gt;"A"))</formula>
    </cfRule>
  </conditionalFormatting>
  <conditionalFormatting sqref="EM451:EN451">
    <cfRule type="expression" dxfId="1745" priority="4745">
      <formula>AND(COLUMN()&gt;162,OR(WEEKDAY($Q$6)&lt;&gt;4,$X$6&lt;&gt;"A"))</formula>
    </cfRule>
  </conditionalFormatting>
  <conditionalFormatting sqref="EM451:EN451">
    <cfRule type="expression" dxfId="1744" priority="4744">
      <formula>AND(COLUMN()&gt;162,OR(WEEKDAY($Q$6)&lt;&gt;4,$X$6&lt;&gt;"A"))</formula>
    </cfRule>
  </conditionalFormatting>
  <conditionalFormatting sqref="EM451:EN451">
    <cfRule type="expression" dxfId="1743" priority="4743">
      <formula>AND(COLUMN()&gt;162,OR(WEEKDAY($Q$6)&lt;&gt;4,$X$6&lt;&gt;"A"))</formula>
    </cfRule>
  </conditionalFormatting>
  <conditionalFormatting sqref="EM451:EN451">
    <cfRule type="expression" dxfId="1742" priority="4742">
      <formula>AND(COLUMN()&gt;162,OR(WEEKDAY($Q$6)&lt;&gt;4,$X$6&lt;&gt;"A"))</formula>
    </cfRule>
  </conditionalFormatting>
  <conditionalFormatting sqref="EM451:EN451">
    <cfRule type="expression" dxfId="1741" priority="4741">
      <formula>AND(COLUMN()&gt;162,OR(WEEKDAY($Q$6)&lt;&gt;4,$X$6&lt;&gt;"A"))</formula>
    </cfRule>
  </conditionalFormatting>
  <conditionalFormatting sqref="EM451:EN451">
    <cfRule type="expression" dxfId="1740" priority="4740">
      <formula>AND(COLUMN()&gt;162,OR(WEEKDAY($Q$6)&lt;&gt;4,$X$6&lt;&gt;"A"))</formula>
    </cfRule>
  </conditionalFormatting>
  <conditionalFormatting sqref="EM451:EN451">
    <cfRule type="expression" dxfId="1739" priority="4739">
      <formula>AND(COLUMN()&gt;162,OR(WEEKDAY($Q$6)&lt;&gt;4,$X$6&lt;&gt;"A"))</formula>
    </cfRule>
  </conditionalFormatting>
  <conditionalFormatting sqref="EM451:EN451">
    <cfRule type="expression" dxfId="1738" priority="4738">
      <formula>AND(COLUMN()&gt;162,OR(WEEKDAY($Q$6)&lt;&gt;4,$X$6&lt;&gt;"A"))</formula>
    </cfRule>
  </conditionalFormatting>
  <conditionalFormatting sqref="EM451:EN451">
    <cfRule type="expression" dxfId="1737" priority="4737">
      <formula>AND(COLUMN()&gt;162,OR(WEEKDAY($Q$6)&lt;&gt;4,$X$6&lt;&gt;"A"))</formula>
    </cfRule>
  </conditionalFormatting>
  <conditionalFormatting sqref="EM451:EN451">
    <cfRule type="expression" dxfId="1736" priority="4736">
      <formula>AND(COLUMN()&gt;162,OR(WEEKDAY($Q$6)&lt;&gt;4,$X$6&lt;&gt;"A"))</formula>
    </cfRule>
  </conditionalFormatting>
  <conditionalFormatting sqref="EM451:EN451">
    <cfRule type="expression" dxfId="1735" priority="4735">
      <formula>AND(COLUMN()&gt;162,OR(WEEKDAY($Q$6)&lt;&gt;4,$X$6&lt;&gt;"A"))</formula>
    </cfRule>
  </conditionalFormatting>
  <conditionalFormatting sqref="EM451:EN451">
    <cfRule type="expression" dxfId="1734" priority="4734">
      <formula>AND(COLUMN()&gt;162,OR(WEEKDAY($Q$6)&lt;&gt;4,$X$6&lt;&gt;"A"))</formula>
    </cfRule>
  </conditionalFormatting>
  <conditionalFormatting sqref="EM451:EN451">
    <cfRule type="expression" dxfId="1733" priority="4733">
      <formula>AND(COLUMN()&gt;162,OR(WEEKDAY($Q$6)&lt;&gt;4,$X$6&lt;&gt;"A"))</formula>
    </cfRule>
  </conditionalFormatting>
  <conditionalFormatting sqref="EM451:EN451">
    <cfRule type="expression" dxfId="1732" priority="4732">
      <formula>AND(COLUMN()&gt;162,OR(WEEKDAY($Q$6)&lt;&gt;4,$X$6&lt;&gt;"A"))</formula>
    </cfRule>
  </conditionalFormatting>
  <conditionalFormatting sqref="EM451:EN451">
    <cfRule type="expression" dxfId="1731" priority="4731">
      <formula>AND(COLUMN()&gt;162,OR(WEEKDAY($Q$6)&lt;&gt;4,$X$6&lt;&gt;"A"))</formula>
    </cfRule>
  </conditionalFormatting>
  <conditionalFormatting sqref="EM451:EN451">
    <cfRule type="expression" dxfId="1730" priority="4730">
      <formula>AND(COLUMN()&gt;162,OR(WEEKDAY($Q$6)&lt;&gt;4,$X$6&lt;&gt;"A"))</formula>
    </cfRule>
  </conditionalFormatting>
  <conditionalFormatting sqref="EM451:EN451">
    <cfRule type="expression" dxfId="1729" priority="4729">
      <formula>AND(COLUMN()&gt;162,OR(WEEKDAY($Q$6)&lt;&gt;4,$X$6&lt;&gt;"A"))</formula>
    </cfRule>
  </conditionalFormatting>
  <conditionalFormatting sqref="EM451:EN451">
    <cfRule type="expression" dxfId="1728" priority="4728">
      <formula>AND(COLUMN()&gt;162,OR(WEEKDAY($Q$6)&lt;&gt;4,$X$6&lt;&gt;"A"))</formula>
    </cfRule>
  </conditionalFormatting>
  <conditionalFormatting sqref="EM451:EN451">
    <cfRule type="expression" dxfId="1727" priority="4727">
      <formula>AND(COLUMN()&gt;162,OR(WEEKDAY($Q$6)&lt;&gt;4,$X$6&lt;&gt;"A"))</formula>
    </cfRule>
  </conditionalFormatting>
  <conditionalFormatting sqref="EM451:EN451">
    <cfRule type="expression" dxfId="1726" priority="4726">
      <formula>AND(COLUMN()&gt;162,OR(WEEKDAY($Q$6)&lt;&gt;4,$X$6&lt;&gt;"A"))</formula>
    </cfRule>
  </conditionalFormatting>
  <conditionalFormatting sqref="EM451:EN451">
    <cfRule type="expression" dxfId="1725" priority="4725">
      <formula>AND(COLUMN()&gt;162,OR(WEEKDAY($Q$6)&lt;&gt;4,$X$6&lt;&gt;"A"))</formula>
    </cfRule>
  </conditionalFormatting>
  <conditionalFormatting sqref="EM451:EN451">
    <cfRule type="expression" dxfId="1724" priority="4724">
      <formula>AND(COLUMN()&gt;162,OR(WEEKDAY($Q$6)&lt;&gt;4,$X$6&lt;&gt;"A"))</formula>
    </cfRule>
  </conditionalFormatting>
  <conditionalFormatting sqref="EM451:EN451">
    <cfRule type="expression" dxfId="1723" priority="4723">
      <formula>AND(COLUMN()&gt;162,OR(WEEKDAY($Q$6)&lt;&gt;4,$X$6&lt;&gt;"A"))</formula>
    </cfRule>
  </conditionalFormatting>
  <conditionalFormatting sqref="EM451:EN451">
    <cfRule type="expression" dxfId="1722" priority="4722">
      <formula>AND(COLUMN()&gt;162,OR(WEEKDAY($Q$6)&lt;&gt;4,$X$6&lt;&gt;"A"))</formula>
    </cfRule>
  </conditionalFormatting>
  <conditionalFormatting sqref="EM451:EN451">
    <cfRule type="expression" dxfId="1721" priority="4721">
      <formula>AND(COLUMN()&gt;162,OR(WEEKDAY($Q$6)&lt;&gt;4,$X$6&lt;&gt;"A"))</formula>
    </cfRule>
  </conditionalFormatting>
  <conditionalFormatting sqref="EM451:EN451">
    <cfRule type="expression" dxfId="1720" priority="4720">
      <formula>AND(COLUMN()&gt;162,OR(WEEKDAY($Q$6)&lt;&gt;4,$X$6&lt;&gt;"A"))</formula>
    </cfRule>
  </conditionalFormatting>
  <conditionalFormatting sqref="EM451:EN451">
    <cfRule type="expression" dxfId="1719" priority="4719">
      <formula>AND(COLUMN()&gt;162,OR(WEEKDAY($Q$6)&lt;&gt;4,$X$6&lt;&gt;"A"))</formula>
    </cfRule>
  </conditionalFormatting>
  <conditionalFormatting sqref="EM451:EN451">
    <cfRule type="expression" dxfId="1718" priority="4718">
      <formula>AND(COLUMN()&gt;162,OR(WEEKDAY($Q$6)&lt;&gt;4,$X$6&lt;&gt;"A"))</formula>
    </cfRule>
  </conditionalFormatting>
  <conditionalFormatting sqref="EM451:EN451">
    <cfRule type="expression" dxfId="1717" priority="4717">
      <formula>AND(COLUMN()&gt;162,OR(WEEKDAY($Q$6)&lt;&gt;4,$X$6&lt;&gt;"A"))</formula>
    </cfRule>
  </conditionalFormatting>
  <conditionalFormatting sqref="EM451:EN451">
    <cfRule type="expression" dxfId="1716" priority="4716">
      <formula>AND(COLUMN()&gt;162,OR(WEEKDAY($Q$6)&lt;&gt;4,$X$6&lt;&gt;"A"))</formula>
    </cfRule>
  </conditionalFormatting>
  <conditionalFormatting sqref="EM451:EN451">
    <cfRule type="expression" dxfId="1715" priority="4715">
      <formula>AND(COLUMN()&gt;162,OR(WEEKDAY($Q$6)&lt;&gt;4,$X$6&lt;&gt;"A"))</formula>
    </cfRule>
  </conditionalFormatting>
  <conditionalFormatting sqref="EM451:EN451">
    <cfRule type="expression" dxfId="1714" priority="4714">
      <formula>AND(COLUMN()&gt;162,OR(WEEKDAY($Q$6)&lt;&gt;4,$X$6&lt;&gt;"A"))</formula>
    </cfRule>
  </conditionalFormatting>
  <conditionalFormatting sqref="EM451:EN451">
    <cfRule type="expression" dxfId="1713" priority="4713">
      <formula>AND(COLUMN()&gt;162,OR(WEEKDAY($Q$6)&lt;&gt;4,$X$6&lt;&gt;"A"))</formula>
    </cfRule>
  </conditionalFormatting>
  <conditionalFormatting sqref="EM451:EN451">
    <cfRule type="expression" dxfId="1712" priority="4712">
      <formula>AND(COLUMN()&gt;162,OR(WEEKDAY($Q$6)&lt;&gt;4,$X$6&lt;&gt;"A"))</formula>
    </cfRule>
  </conditionalFormatting>
  <conditionalFormatting sqref="EM451:EN451">
    <cfRule type="expression" dxfId="1711" priority="4711">
      <formula>AND(COLUMN()&gt;162,OR(WEEKDAY($Q$6)&lt;&gt;4,$X$6&lt;&gt;"A"))</formula>
    </cfRule>
  </conditionalFormatting>
  <conditionalFormatting sqref="EM451:EN451">
    <cfRule type="expression" dxfId="1710" priority="4710">
      <formula>AND(COLUMN()&gt;162,OR(WEEKDAY($Q$6)&lt;&gt;4,$X$6&lt;&gt;"A"))</formula>
    </cfRule>
  </conditionalFormatting>
  <conditionalFormatting sqref="EM451:EN451">
    <cfRule type="expression" dxfId="1709" priority="4709">
      <formula>AND(COLUMN()&gt;162,OR(WEEKDAY($Q$6)&lt;&gt;4,$X$6&lt;&gt;"A"))</formula>
    </cfRule>
  </conditionalFormatting>
  <conditionalFormatting sqref="EM451:EN451">
    <cfRule type="expression" dxfId="1708" priority="4708">
      <formula>AND(COLUMN()&gt;162,OR(WEEKDAY($Q$6)&lt;&gt;4,$X$6&lt;&gt;"A"))</formula>
    </cfRule>
  </conditionalFormatting>
  <conditionalFormatting sqref="EM451:EN451">
    <cfRule type="expression" dxfId="1707" priority="4707">
      <formula>AND(COLUMN()&gt;162,OR(WEEKDAY($Q$6)&lt;&gt;4,$X$6&lt;&gt;"A"))</formula>
    </cfRule>
  </conditionalFormatting>
  <conditionalFormatting sqref="EM451:EN451">
    <cfRule type="expression" dxfId="1706" priority="4706">
      <formula>AND(COLUMN()&gt;162,OR(WEEKDAY($Q$6)&lt;&gt;4,$X$6&lt;&gt;"A"))</formula>
    </cfRule>
  </conditionalFormatting>
  <conditionalFormatting sqref="EM451:EN451">
    <cfRule type="expression" dxfId="1705" priority="4705">
      <formula>AND(COLUMN()&gt;162,OR(WEEKDAY($Q$6)&lt;&gt;4,$X$6&lt;&gt;"A"))</formula>
    </cfRule>
  </conditionalFormatting>
  <conditionalFormatting sqref="EM451:EN451">
    <cfRule type="expression" dxfId="1704" priority="4704">
      <formula>AND(COLUMN()&gt;162,OR(WEEKDAY($Q$6)&lt;&gt;4,$X$6&lt;&gt;"A"))</formula>
    </cfRule>
  </conditionalFormatting>
  <conditionalFormatting sqref="EM451:EN451">
    <cfRule type="expression" dxfId="1703" priority="4703">
      <formula>AND(COLUMN()&gt;162,OR(WEEKDAY($Q$6)&lt;&gt;4,$X$6&lt;&gt;"A"))</formula>
    </cfRule>
  </conditionalFormatting>
  <conditionalFormatting sqref="EM451:EN451">
    <cfRule type="expression" dxfId="1702" priority="4702">
      <formula>AND(COLUMN()&gt;162,OR(WEEKDAY($Q$6)&lt;&gt;4,$X$6&lt;&gt;"A"))</formula>
    </cfRule>
  </conditionalFormatting>
  <conditionalFormatting sqref="EM451:EN451">
    <cfRule type="expression" dxfId="1701" priority="4701">
      <formula>AND(COLUMN()&gt;162,OR(WEEKDAY($Q$6)&lt;&gt;4,$X$6&lt;&gt;"A"))</formula>
    </cfRule>
  </conditionalFormatting>
  <conditionalFormatting sqref="EM451:EN451">
    <cfRule type="expression" dxfId="1700" priority="4700">
      <formula>AND(COLUMN()&gt;162,OR(WEEKDAY($Q$6)&lt;&gt;4,$X$6&lt;&gt;"A"))</formula>
    </cfRule>
  </conditionalFormatting>
  <conditionalFormatting sqref="EM451:EN451">
    <cfRule type="expression" dxfId="1699" priority="4699">
      <formula>AND(COLUMN()&gt;162,OR(WEEKDAY($Q$6)&lt;&gt;4,$X$6&lt;&gt;"A"))</formula>
    </cfRule>
  </conditionalFormatting>
  <conditionalFormatting sqref="EM451:EN451">
    <cfRule type="expression" dxfId="1698" priority="4698">
      <formula>AND(COLUMN()&gt;162,OR(WEEKDAY($Q$6)&lt;&gt;4,$X$6&lt;&gt;"A"))</formula>
    </cfRule>
  </conditionalFormatting>
  <conditionalFormatting sqref="EM451:EN451">
    <cfRule type="expression" dxfId="1697" priority="4697">
      <formula>AND(COLUMN()&gt;162,OR(WEEKDAY($Q$6)&lt;&gt;4,$X$6&lt;&gt;"A"))</formula>
    </cfRule>
  </conditionalFormatting>
  <conditionalFormatting sqref="EM451:EN451">
    <cfRule type="expression" dxfId="1696" priority="4696">
      <formula>AND(COLUMN()&gt;162,OR(WEEKDAY($Q$6)&lt;&gt;4,$X$6&lt;&gt;"A"))</formula>
    </cfRule>
  </conditionalFormatting>
  <conditionalFormatting sqref="EM451:EN451">
    <cfRule type="expression" dxfId="1695" priority="4695">
      <formula>AND(COLUMN()&gt;162,OR(WEEKDAY($Q$6)&lt;&gt;4,$X$6&lt;&gt;"A"))</formula>
    </cfRule>
  </conditionalFormatting>
  <conditionalFormatting sqref="EM451:EN451">
    <cfRule type="expression" dxfId="1694" priority="4694">
      <formula>AND(COLUMN()&gt;162,OR(WEEKDAY($Q$6)&lt;&gt;4,$X$6&lt;&gt;"A"))</formula>
    </cfRule>
  </conditionalFormatting>
  <conditionalFormatting sqref="EM451:EN451">
    <cfRule type="expression" dxfId="1693" priority="4693">
      <formula>AND(COLUMN()&gt;162,OR(WEEKDAY($Q$6)&lt;&gt;4,$X$6&lt;&gt;"A"))</formula>
    </cfRule>
  </conditionalFormatting>
  <conditionalFormatting sqref="EM451:EN451">
    <cfRule type="expression" dxfId="1692" priority="4692">
      <formula>AND(COLUMN()&gt;162,OR(WEEKDAY($Q$6)&lt;&gt;4,$X$6&lt;&gt;"A"))</formula>
    </cfRule>
  </conditionalFormatting>
  <conditionalFormatting sqref="EM451:EN451">
    <cfRule type="expression" dxfId="1691" priority="4691">
      <formula>AND(COLUMN()&gt;162,OR(WEEKDAY($Q$6)&lt;&gt;4,$X$6&lt;&gt;"A"))</formula>
    </cfRule>
  </conditionalFormatting>
  <conditionalFormatting sqref="EM451:EN451">
    <cfRule type="expression" dxfId="1690" priority="4690">
      <formula>AND(COLUMN()&gt;162,OR(WEEKDAY($Q$6)&lt;&gt;4,$X$6&lt;&gt;"A"))</formula>
    </cfRule>
  </conditionalFormatting>
  <conditionalFormatting sqref="EM451:EN451">
    <cfRule type="expression" dxfId="1689" priority="4689">
      <formula>AND(COLUMN()&gt;162,OR(WEEKDAY($Q$6)&lt;&gt;4,$X$6&lt;&gt;"A"))</formula>
    </cfRule>
  </conditionalFormatting>
  <conditionalFormatting sqref="EM451:EN451">
    <cfRule type="expression" dxfId="1688" priority="4688">
      <formula>AND(COLUMN()&gt;162,OR(WEEKDAY($Q$6)&lt;&gt;4,$X$6&lt;&gt;"A"))</formula>
    </cfRule>
  </conditionalFormatting>
  <conditionalFormatting sqref="EM451:EN451">
    <cfRule type="expression" dxfId="1687" priority="4687">
      <formula>AND(COLUMN()&gt;162,OR(WEEKDAY($Q$6)&lt;&gt;4,$X$6&lt;&gt;"A"))</formula>
    </cfRule>
  </conditionalFormatting>
  <conditionalFormatting sqref="EM451:EN451">
    <cfRule type="expression" dxfId="1686" priority="4686">
      <formula>AND(COLUMN()&gt;162,OR(WEEKDAY($Q$6)&lt;&gt;4,$X$6&lt;&gt;"A"))</formula>
    </cfRule>
  </conditionalFormatting>
  <conditionalFormatting sqref="EM451:EN451">
    <cfRule type="expression" dxfId="1685" priority="4685">
      <formula>AND(COLUMN()&gt;162,OR(WEEKDAY($Q$6)&lt;&gt;4,$X$6&lt;&gt;"A"))</formula>
    </cfRule>
  </conditionalFormatting>
  <conditionalFormatting sqref="EM451:EN451">
    <cfRule type="expression" dxfId="1684" priority="4684">
      <formula>AND(COLUMN()&gt;162,OR(WEEKDAY($Q$6)&lt;&gt;4,$X$6&lt;&gt;"A"))</formula>
    </cfRule>
  </conditionalFormatting>
  <conditionalFormatting sqref="EM451:EN451">
    <cfRule type="expression" dxfId="1683" priority="4683">
      <formula>AND(COLUMN()&gt;162,OR(WEEKDAY($Q$6)&lt;&gt;4,$X$6&lt;&gt;"A"))</formula>
    </cfRule>
  </conditionalFormatting>
  <conditionalFormatting sqref="EM451:EN451">
    <cfRule type="expression" dxfId="1682" priority="4682">
      <formula>AND(COLUMN()&gt;162,OR(WEEKDAY($Q$6)&lt;&gt;4,$X$6&lt;&gt;"A"))</formula>
    </cfRule>
  </conditionalFormatting>
  <conditionalFormatting sqref="EM451:EN451">
    <cfRule type="expression" dxfId="1681" priority="4681">
      <formula>AND(COLUMN()&gt;162,OR(WEEKDAY($Q$6)&lt;&gt;4,$X$6&lt;&gt;"A"))</formula>
    </cfRule>
  </conditionalFormatting>
  <conditionalFormatting sqref="EM451:EN451">
    <cfRule type="expression" dxfId="1680" priority="4680">
      <formula>AND(COLUMN()&gt;162,OR(WEEKDAY($Q$6)&lt;&gt;4,$X$6&lt;&gt;"A"))</formula>
    </cfRule>
  </conditionalFormatting>
  <conditionalFormatting sqref="EM451:EN451">
    <cfRule type="expression" dxfId="1679" priority="4679">
      <formula>AND(COLUMN()&gt;162,OR(WEEKDAY($Q$6)&lt;&gt;4,$X$6&lt;&gt;"A"))</formula>
    </cfRule>
  </conditionalFormatting>
  <conditionalFormatting sqref="EM451:EN451">
    <cfRule type="expression" dxfId="1678" priority="4678">
      <formula>AND(COLUMN()&gt;162,OR(WEEKDAY($Q$6)&lt;&gt;4,$X$6&lt;&gt;"A"))</formula>
    </cfRule>
  </conditionalFormatting>
  <conditionalFormatting sqref="EM451:EN451">
    <cfRule type="expression" dxfId="1677" priority="4677">
      <formula>AND(COLUMN()&gt;162,OR(WEEKDAY($Q$6)&lt;&gt;4,$X$6&lt;&gt;"A"))</formula>
    </cfRule>
  </conditionalFormatting>
  <conditionalFormatting sqref="V75:Y75">
    <cfRule type="cellIs" dxfId="1676" priority="4576" operator="equal">
      <formula>"MANUAL"</formula>
    </cfRule>
  </conditionalFormatting>
  <conditionalFormatting sqref="V217:Y217">
    <cfRule type="cellIs" dxfId="1675" priority="4575" operator="equal">
      <formula>"MANUAL"</formula>
    </cfRule>
  </conditionalFormatting>
  <conditionalFormatting sqref="N8">
    <cfRule type="cellIs" dxfId="1674" priority="4566" operator="notEqual">
      <formula>""</formula>
    </cfRule>
  </conditionalFormatting>
  <conditionalFormatting sqref="E473:E474">
    <cfRule type="cellIs" dxfId="1673" priority="4146" operator="greaterThan">
      <formula>32</formula>
    </cfRule>
  </conditionalFormatting>
  <conditionalFormatting sqref="M473:M474">
    <cfRule type="cellIs" dxfId="1672" priority="4145" operator="lessThan">
      <formula>0</formula>
    </cfRule>
  </conditionalFormatting>
  <conditionalFormatting sqref="O473:O476">
    <cfRule type="cellIs" dxfId="1671" priority="4142" stopIfTrue="1" operator="lessThan">
      <formula>-4</formula>
    </cfRule>
    <cfRule type="cellIs" dxfId="1670" priority="4143" stopIfTrue="1" operator="lessThan">
      <formula>-2</formula>
    </cfRule>
    <cfRule type="cellIs" dxfId="1669" priority="4144" operator="lessThan">
      <formula>1</formula>
    </cfRule>
  </conditionalFormatting>
  <conditionalFormatting sqref="E479:E480">
    <cfRule type="cellIs" dxfId="1668" priority="4129" operator="greaterThan">
      <formula>32</formula>
    </cfRule>
  </conditionalFormatting>
  <conditionalFormatting sqref="Q473:Q480">
    <cfRule type="cellIs" dxfId="1667" priority="4136" operator="greaterThan">
      <formula>0</formula>
    </cfRule>
  </conditionalFormatting>
  <conditionalFormatting sqref="E491:E492">
    <cfRule type="cellIs" dxfId="1666" priority="4123" operator="greaterThan">
      <formula>32</formula>
    </cfRule>
  </conditionalFormatting>
  <conditionalFormatting sqref="O477:O480">
    <cfRule type="cellIs" dxfId="1665" priority="4132" stopIfTrue="1" operator="lessThan">
      <formula>-4</formula>
    </cfRule>
    <cfRule type="cellIs" dxfId="1664" priority="4133" stopIfTrue="1" operator="lessThan">
      <formula>-2</formula>
    </cfRule>
    <cfRule type="cellIs" dxfId="1663" priority="4134" operator="lessThan">
      <formula>1</formula>
    </cfRule>
  </conditionalFormatting>
  <conditionalFormatting sqref="E475:E476">
    <cfRule type="cellIs" dxfId="1662" priority="4131" operator="greaterThan">
      <formula>32</formula>
    </cfRule>
  </conditionalFormatting>
  <conditionalFormatting sqref="E477:E478">
    <cfRule type="cellIs" dxfId="1661" priority="4130" operator="greaterThan">
      <formula>32</formula>
    </cfRule>
  </conditionalFormatting>
  <conditionalFormatting sqref="E481:E482">
    <cfRule type="cellIs" dxfId="1660" priority="4128" operator="greaterThan">
      <formula>32</formula>
    </cfRule>
  </conditionalFormatting>
  <conditionalFormatting sqref="E483:E484">
    <cfRule type="cellIs" dxfId="1659" priority="4127" operator="greaterThan">
      <formula>32</formula>
    </cfRule>
  </conditionalFormatting>
  <conditionalFormatting sqref="E485:E486">
    <cfRule type="cellIs" dxfId="1658" priority="4126" operator="greaterThan">
      <formula>32</formula>
    </cfRule>
  </conditionalFormatting>
  <conditionalFormatting sqref="E487:E488">
    <cfRule type="cellIs" dxfId="1657" priority="4125" operator="greaterThan">
      <formula>32</formula>
    </cfRule>
  </conditionalFormatting>
  <conditionalFormatting sqref="E489:E490">
    <cfRule type="cellIs" dxfId="1656" priority="4124" operator="greaterThan">
      <formula>32</formula>
    </cfRule>
  </conditionalFormatting>
  <conditionalFormatting sqref="E493:E494">
    <cfRule type="cellIs" dxfId="1655" priority="4122" operator="greaterThan">
      <formula>32</formula>
    </cfRule>
  </conditionalFormatting>
  <conditionalFormatting sqref="E495:E496">
    <cfRule type="cellIs" dxfId="1654" priority="4121" operator="greaterThan">
      <formula>32</formula>
    </cfRule>
  </conditionalFormatting>
  <conditionalFormatting sqref="E497:E498">
    <cfRule type="cellIs" dxfId="1653" priority="4120" operator="greaterThan">
      <formula>32</formula>
    </cfRule>
  </conditionalFormatting>
  <conditionalFormatting sqref="E499:E500">
    <cfRule type="cellIs" dxfId="1652" priority="4119" operator="greaterThan">
      <formula>32</formula>
    </cfRule>
  </conditionalFormatting>
  <conditionalFormatting sqref="E501:E502">
    <cfRule type="cellIs" dxfId="1651" priority="4118" operator="greaterThan">
      <formula>32</formula>
    </cfRule>
  </conditionalFormatting>
  <conditionalFormatting sqref="E503:E504">
    <cfRule type="cellIs" dxfId="1650" priority="4117" operator="greaterThan">
      <formula>32</formula>
    </cfRule>
  </conditionalFormatting>
  <conditionalFormatting sqref="E505:E506">
    <cfRule type="cellIs" dxfId="1649" priority="4116" operator="greaterThan">
      <formula>32</formula>
    </cfRule>
  </conditionalFormatting>
  <conditionalFormatting sqref="E507:E508">
    <cfRule type="cellIs" dxfId="1648" priority="4115" operator="greaterThan">
      <formula>32</formula>
    </cfRule>
  </conditionalFormatting>
  <conditionalFormatting sqref="E509:E510">
    <cfRule type="cellIs" dxfId="1647" priority="4114" operator="greaterThan">
      <formula>32</formula>
    </cfRule>
  </conditionalFormatting>
  <conditionalFormatting sqref="E511:E512">
    <cfRule type="cellIs" dxfId="1646" priority="4113" operator="greaterThan">
      <formula>32</formula>
    </cfRule>
  </conditionalFormatting>
  <conditionalFormatting sqref="E513:E514">
    <cfRule type="cellIs" dxfId="1645" priority="4112" operator="greaterThan">
      <formula>32</formula>
    </cfRule>
  </conditionalFormatting>
  <conditionalFormatting sqref="E515:E516">
    <cfRule type="cellIs" dxfId="1644" priority="4111" operator="greaterThan">
      <formula>32</formula>
    </cfRule>
  </conditionalFormatting>
  <conditionalFormatting sqref="E517:E518">
    <cfRule type="cellIs" dxfId="1643" priority="4110" operator="greaterThan">
      <formula>32</formula>
    </cfRule>
  </conditionalFormatting>
  <conditionalFormatting sqref="E519:E520">
    <cfRule type="cellIs" dxfId="1642" priority="4109" operator="greaterThan">
      <formula>32</formula>
    </cfRule>
  </conditionalFormatting>
  <conditionalFormatting sqref="G473:G474">
    <cfRule type="cellIs" dxfId="1641" priority="4108" operator="greaterThan">
      <formula>32</formula>
    </cfRule>
  </conditionalFormatting>
  <conditionalFormatting sqref="G497:G498">
    <cfRule type="cellIs" dxfId="1640" priority="4095" operator="greaterThan">
      <formula>32</formula>
    </cfRule>
  </conditionalFormatting>
  <conditionalFormatting sqref="G475:G476">
    <cfRule type="cellIs" dxfId="1639" priority="4106" operator="greaterThan">
      <formula>32</formula>
    </cfRule>
  </conditionalFormatting>
  <conditionalFormatting sqref="G477:G478">
    <cfRule type="cellIs" dxfId="1638" priority="4105" operator="greaterThan">
      <formula>32</formula>
    </cfRule>
  </conditionalFormatting>
  <conditionalFormatting sqref="G479:G480">
    <cfRule type="cellIs" dxfId="1637" priority="4104" operator="greaterThan">
      <formula>32</formula>
    </cfRule>
  </conditionalFormatting>
  <conditionalFormatting sqref="G481:G482">
    <cfRule type="cellIs" dxfId="1636" priority="4103" operator="greaterThan">
      <formula>32</formula>
    </cfRule>
  </conditionalFormatting>
  <conditionalFormatting sqref="G483:G484">
    <cfRule type="cellIs" dxfId="1635" priority="4102" operator="greaterThan">
      <formula>32</formula>
    </cfRule>
  </conditionalFormatting>
  <conditionalFormatting sqref="G485:G486">
    <cfRule type="cellIs" dxfId="1634" priority="4101" operator="greaterThan">
      <formula>32</formula>
    </cfRule>
  </conditionalFormatting>
  <conditionalFormatting sqref="G487:G488">
    <cfRule type="cellIs" dxfId="1633" priority="4100" operator="greaterThan">
      <formula>32</formula>
    </cfRule>
  </conditionalFormatting>
  <conditionalFormatting sqref="G489:G490">
    <cfRule type="cellIs" dxfId="1632" priority="4099" operator="greaterThan">
      <formula>32</formula>
    </cfRule>
  </conditionalFormatting>
  <conditionalFormatting sqref="G491:G492">
    <cfRule type="cellIs" dxfId="1631" priority="4098" operator="greaterThan">
      <formula>32</formula>
    </cfRule>
  </conditionalFormatting>
  <conditionalFormatting sqref="G493:G494">
    <cfRule type="cellIs" dxfId="1630" priority="4097" operator="greaterThan">
      <formula>32</formula>
    </cfRule>
  </conditionalFormatting>
  <conditionalFormatting sqref="G495:G496">
    <cfRule type="cellIs" dxfId="1629" priority="4096" operator="greaterThan">
      <formula>32</formula>
    </cfRule>
  </conditionalFormatting>
  <conditionalFormatting sqref="G499:G500">
    <cfRule type="cellIs" dxfId="1628" priority="4094" operator="greaterThan">
      <formula>32</formula>
    </cfRule>
  </conditionalFormatting>
  <conditionalFormatting sqref="G501:G502">
    <cfRule type="cellIs" dxfId="1627" priority="4093" operator="greaterThan">
      <formula>32</formula>
    </cfRule>
  </conditionalFormatting>
  <conditionalFormatting sqref="G503:G504">
    <cfRule type="cellIs" dxfId="1626" priority="4092" operator="greaterThan">
      <formula>32</formula>
    </cfRule>
  </conditionalFormatting>
  <conditionalFormatting sqref="G505:G506">
    <cfRule type="cellIs" dxfId="1625" priority="4091" operator="greaterThan">
      <formula>32</formula>
    </cfRule>
  </conditionalFormatting>
  <conditionalFormatting sqref="G507:G508">
    <cfRule type="cellIs" dxfId="1624" priority="4090" operator="greaterThan">
      <formula>32</formula>
    </cfRule>
  </conditionalFormatting>
  <conditionalFormatting sqref="G509:G510">
    <cfRule type="cellIs" dxfId="1623" priority="4089" operator="greaterThan">
      <formula>32</formula>
    </cfRule>
  </conditionalFormatting>
  <conditionalFormatting sqref="G511:G512">
    <cfRule type="cellIs" dxfId="1622" priority="4088" operator="greaterThan">
      <formula>32</formula>
    </cfRule>
  </conditionalFormatting>
  <conditionalFormatting sqref="G513:G514">
    <cfRule type="cellIs" dxfId="1621" priority="4087" operator="greaterThan">
      <formula>32</formula>
    </cfRule>
  </conditionalFormatting>
  <conditionalFormatting sqref="G515:G516">
    <cfRule type="cellIs" dxfId="1620" priority="4086" operator="greaterThan">
      <formula>32</formula>
    </cfRule>
  </conditionalFormatting>
  <conditionalFormatting sqref="G517:G518">
    <cfRule type="cellIs" dxfId="1619" priority="4085" operator="greaterThan">
      <formula>32</formula>
    </cfRule>
  </conditionalFormatting>
  <conditionalFormatting sqref="G519:G520">
    <cfRule type="cellIs" dxfId="1618" priority="4084" operator="greaterThan">
      <formula>32</formula>
    </cfRule>
  </conditionalFormatting>
  <conditionalFormatting sqref="I473:I474">
    <cfRule type="cellIs" dxfId="1617" priority="4083" operator="greaterThan">
      <formula>32</formula>
    </cfRule>
  </conditionalFormatting>
  <conditionalFormatting sqref="I497:I498">
    <cfRule type="cellIs" dxfId="1616" priority="4070" operator="greaterThan">
      <formula>32</formula>
    </cfRule>
  </conditionalFormatting>
  <conditionalFormatting sqref="I475:I476">
    <cfRule type="cellIs" dxfId="1615" priority="4081" operator="greaterThan">
      <formula>32</formula>
    </cfRule>
  </conditionalFormatting>
  <conditionalFormatting sqref="I477:I478">
    <cfRule type="cellIs" dxfId="1614" priority="4080" operator="greaterThan">
      <formula>32</formula>
    </cfRule>
  </conditionalFormatting>
  <conditionalFormatting sqref="I479:I480">
    <cfRule type="cellIs" dxfId="1613" priority="4079" operator="greaterThan">
      <formula>32</formula>
    </cfRule>
  </conditionalFormatting>
  <conditionalFormatting sqref="I481:I482">
    <cfRule type="cellIs" dxfId="1612" priority="4078" operator="greaterThan">
      <formula>32</formula>
    </cfRule>
  </conditionalFormatting>
  <conditionalFormatting sqref="I483:I484">
    <cfRule type="cellIs" dxfId="1611" priority="4077" operator="greaterThan">
      <formula>32</formula>
    </cfRule>
  </conditionalFormatting>
  <conditionalFormatting sqref="I485:I486">
    <cfRule type="cellIs" dxfId="1610" priority="4076" operator="greaterThan">
      <formula>32</formula>
    </cfRule>
  </conditionalFormatting>
  <conditionalFormatting sqref="I487:I488">
    <cfRule type="cellIs" dxfId="1609" priority="4075" operator="greaterThan">
      <formula>32</formula>
    </cfRule>
  </conditionalFormatting>
  <conditionalFormatting sqref="I489:I490">
    <cfRule type="cellIs" dxfId="1608" priority="4074" operator="greaterThan">
      <formula>32</formula>
    </cfRule>
  </conditionalFormatting>
  <conditionalFormatting sqref="I491:I492">
    <cfRule type="cellIs" dxfId="1607" priority="4073" operator="greaterThan">
      <formula>32</formula>
    </cfRule>
  </conditionalFormatting>
  <conditionalFormatting sqref="I493:I494">
    <cfRule type="cellIs" dxfId="1606" priority="4072" operator="greaterThan">
      <formula>32</formula>
    </cfRule>
  </conditionalFormatting>
  <conditionalFormatting sqref="I495:I496">
    <cfRule type="cellIs" dxfId="1605" priority="4071" operator="greaterThan">
      <formula>32</formula>
    </cfRule>
  </conditionalFormatting>
  <conditionalFormatting sqref="I499:I500">
    <cfRule type="cellIs" dxfId="1604" priority="4069" operator="greaterThan">
      <formula>32</formula>
    </cfRule>
  </conditionalFormatting>
  <conditionalFormatting sqref="I501:I502">
    <cfRule type="cellIs" dxfId="1603" priority="4068" operator="greaterThan">
      <formula>32</formula>
    </cfRule>
  </conditionalFormatting>
  <conditionalFormatting sqref="I503:I504">
    <cfRule type="cellIs" dxfId="1602" priority="4067" operator="greaterThan">
      <formula>32</formula>
    </cfRule>
  </conditionalFormatting>
  <conditionalFormatting sqref="I505:I506">
    <cfRule type="cellIs" dxfId="1601" priority="4066" operator="greaterThan">
      <formula>32</formula>
    </cfRule>
  </conditionalFormatting>
  <conditionalFormatting sqref="I507:I508">
    <cfRule type="cellIs" dxfId="1600" priority="4065" operator="greaterThan">
      <formula>32</formula>
    </cfRule>
  </conditionalFormatting>
  <conditionalFormatting sqref="I509:I510">
    <cfRule type="cellIs" dxfId="1599" priority="4064" operator="greaterThan">
      <formula>32</formula>
    </cfRule>
  </conditionalFormatting>
  <conditionalFormatting sqref="I511:I512">
    <cfRule type="cellIs" dxfId="1598" priority="4063" operator="greaterThan">
      <formula>32</formula>
    </cfRule>
  </conditionalFormatting>
  <conditionalFormatting sqref="I513:I514">
    <cfRule type="cellIs" dxfId="1597" priority="4062" operator="greaterThan">
      <formula>32</formula>
    </cfRule>
  </conditionalFormatting>
  <conditionalFormatting sqref="I515:I516">
    <cfRule type="cellIs" dxfId="1596" priority="4061" operator="greaterThan">
      <formula>32</formula>
    </cfRule>
  </conditionalFormatting>
  <conditionalFormatting sqref="I517:I518">
    <cfRule type="cellIs" dxfId="1595" priority="4060" operator="greaterThan">
      <formula>32</formula>
    </cfRule>
  </conditionalFormatting>
  <conditionalFormatting sqref="I519:I520">
    <cfRule type="cellIs" dxfId="1594" priority="4059" operator="greaterThan">
      <formula>32</formula>
    </cfRule>
  </conditionalFormatting>
  <conditionalFormatting sqref="K473:K474">
    <cfRule type="cellIs" dxfId="1593" priority="4058" operator="greaterThan">
      <formula>32</formula>
    </cfRule>
  </conditionalFormatting>
  <conditionalFormatting sqref="K497:K498">
    <cfRule type="cellIs" dxfId="1592" priority="4045" operator="greaterThan">
      <formula>32</formula>
    </cfRule>
  </conditionalFormatting>
  <conditionalFormatting sqref="K475:K476">
    <cfRule type="cellIs" dxfId="1591" priority="4056" operator="greaterThan">
      <formula>32</formula>
    </cfRule>
  </conditionalFormatting>
  <conditionalFormatting sqref="K477:K478">
    <cfRule type="cellIs" dxfId="1590" priority="4055" operator="greaterThan">
      <formula>32</formula>
    </cfRule>
  </conditionalFormatting>
  <conditionalFormatting sqref="K479:K480">
    <cfRule type="cellIs" dxfId="1589" priority="4054" operator="greaterThan">
      <formula>32</formula>
    </cfRule>
  </conditionalFormatting>
  <conditionalFormatting sqref="K481:K482">
    <cfRule type="cellIs" dxfId="1588" priority="4053" operator="greaterThan">
      <formula>32</formula>
    </cfRule>
  </conditionalFormatting>
  <conditionalFormatting sqref="K483:K484">
    <cfRule type="cellIs" dxfId="1587" priority="4052" operator="greaterThan">
      <formula>32</formula>
    </cfRule>
  </conditionalFormatting>
  <conditionalFormatting sqref="K485:K486">
    <cfRule type="cellIs" dxfId="1586" priority="4051" operator="greaterThan">
      <formula>32</formula>
    </cfRule>
  </conditionalFormatting>
  <conditionalFormatting sqref="K487:K488">
    <cfRule type="cellIs" dxfId="1585" priority="4050" operator="greaterThan">
      <formula>32</formula>
    </cfRule>
  </conditionalFormatting>
  <conditionalFormatting sqref="K489:K490">
    <cfRule type="cellIs" dxfId="1584" priority="4049" operator="greaterThan">
      <formula>32</formula>
    </cfRule>
  </conditionalFormatting>
  <conditionalFormatting sqref="K491:K492">
    <cfRule type="cellIs" dxfId="1583" priority="4048" operator="greaterThan">
      <formula>32</formula>
    </cfRule>
  </conditionalFormatting>
  <conditionalFormatting sqref="K493:K494">
    <cfRule type="cellIs" dxfId="1582" priority="4047" operator="greaterThan">
      <formula>32</formula>
    </cfRule>
  </conditionalFormatting>
  <conditionalFormatting sqref="K495:K496">
    <cfRule type="cellIs" dxfId="1581" priority="4046" operator="greaterThan">
      <formula>32</formula>
    </cfRule>
  </conditionalFormatting>
  <conditionalFormatting sqref="K499:K500">
    <cfRule type="cellIs" dxfId="1580" priority="4044" operator="greaterThan">
      <formula>32</formula>
    </cfRule>
  </conditionalFormatting>
  <conditionalFormatting sqref="K501:K502">
    <cfRule type="cellIs" dxfId="1579" priority="4043" operator="greaterThan">
      <formula>32</formula>
    </cfRule>
  </conditionalFormatting>
  <conditionalFormatting sqref="K503:K504">
    <cfRule type="cellIs" dxfId="1578" priority="4042" operator="greaterThan">
      <formula>32</formula>
    </cfRule>
  </conditionalFormatting>
  <conditionalFormatting sqref="K505:K506">
    <cfRule type="cellIs" dxfId="1577" priority="4041" operator="greaterThan">
      <formula>32</formula>
    </cfRule>
  </conditionalFormatting>
  <conditionalFormatting sqref="K507:K508">
    <cfRule type="cellIs" dxfId="1576" priority="4040" operator="greaterThan">
      <formula>32</formula>
    </cfRule>
  </conditionalFormatting>
  <conditionalFormatting sqref="K509:K510">
    <cfRule type="cellIs" dxfId="1575" priority="4039" operator="greaterThan">
      <formula>32</formula>
    </cfRule>
  </conditionalFormatting>
  <conditionalFormatting sqref="K511:K512">
    <cfRule type="cellIs" dxfId="1574" priority="4038" operator="greaterThan">
      <formula>32</formula>
    </cfRule>
  </conditionalFormatting>
  <conditionalFormatting sqref="K513:K514">
    <cfRule type="cellIs" dxfId="1573" priority="4037" operator="greaterThan">
      <formula>32</formula>
    </cfRule>
  </conditionalFormatting>
  <conditionalFormatting sqref="K515:K516">
    <cfRule type="cellIs" dxfId="1572" priority="4036" operator="greaterThan">
      <formula>32</formula>
    </cfRule>
  </conditionalFormatting>
  <conditionalFormatting sqref="K517:K518">
    <cfRule type="cellIs" dxfId="1571" priority="4035" operator="greaterThan">
      <formula>32</formula>
    </cfRule>
  </conditionalFormatting>
  <conditionalFormatting sqref="K519:K520">
    <cfRule type="cellIs" dxfId="1570" priority="4034" operator="greaterThan">
      <formula>32</formula>
    </cfRule>
  </conditionalFormatting>
  <conditionalFormatting sqref="M475:M476">
    <cfRule type="cellIs" dxfId="1569" priority="4033" operator="lessThan">
      <formula>0</formula>
    </cfRule>
  </conditionalFormatting>
  <conditionalFormatting sqref="M477:M478">
    <cfRule type="cellIs" dxfId="1568" priority="4032" operator="lessThan">
      <formula>0</formula>
    </cfRule>
  </conditionalFormatting>
  <conditionalFormatting sqref="M479:M480">
    <cfRule type="cellIs" dxfId="1567" priority="4031" operator="lessThan">
      <formula>0</formula>
    </cfRule>
  </conditionalFormatting>
  <conditionalFormatting sqref="M481:M482">
    <cfRule type="cellIs" dxfId="1566" priority="4030" operator="lessThan">
      <formula>0</formula>
    </cfRule>
  </conditionalFormatting>
  <conditionalFormatting sqref="M483:M484">
    <cfRule type="cellIs" dxfId="1565" priority="4029" operator="lessThan">
      <formula>0</formula>
    </cfRule>
  </conditionalFormatting>
  <conditionalFormatting sqref="M485:M486">
    <cfRule type="cellIs" dxfId="1564" priority="4028" operator="lessThan">
      <formula>0</formula>
    </cfRule>
  </conditionalFormatting>
  <conditionalFormatting sqref="M487:M488">
    <cfRule type="cellIs" dxfId="1563" priority="4027" operator="lessThan">
      <formula>0</formula>
    </cfRule>
  </conditionalFormatting>
  <conditionalFormatting sqref="M489:M490">
    <cfRule type="cellIs" dxfId="1562" priority="4026" operator="lessThan">
      <formula>0</formula>
    </cfRule>
  </conditionalFormatting>
  <conditionalFormatting sqref="M491:M492">
    <cfRule type="cellIs" dxfId="1561" priority="4025" operator="lessThan">
      <formula>0</formula>
    </cfRule>
  </conditionalFormatting>
  <conditionalFormatting sqref="M493:M494">
    <cfRule type="cellIs" dxfId="1560" priority="4024" operator="lessThan">
      <formula>0</formula>
    </cfRule>
  </conditionalFormatting>
  <conditionalFormatting sqref="M495:M496">
    <cfRule type="cellIs" dxfId="1559" priority="4023" operator="lessThan">
      <formula>0</formula>
    </cfRule>
  </conditionalFormatting>
  <conditionalFormatting sqref="M497:M498">
    <cfRule type="cellIs" dxfId="1558" priority="4022" operator="lessThan">
      <formula>0</formula>
    </cfRule>
  </conditionalFormatting>
  <conditionalFormatting sqref="M499:M500">
    <cfRule type="cellIs" dxfId="1557" priority="4021" operator="lessThan">
      <formula>0</formula>
    </cfRule>
  </conditionalFormatting>
  <conditionalFormatting sqref="M501:M502">
    <cfRule type="cellIs" dxfId="1556" priority="4020" operator="lessThan">
      <formula>0</formula>
    </cfRule>
  </conditionalFormatting>
  <conditionalFormatting sqref="M503:M504">
    <cfRule type="cellIs" dxfId="1555" priority="4019" operator="lessThan">
      <formula>0</formula>
    </cfRule>
  </conditionalFormatting>
  <conditionalFormatting sqref="M505:M506">
    <cfRule type="cellIs" dxfId="1554" priority="4018" operator="lessThan">
      <formula>0</formula>
    </cfRule>
  </conditionalFormatting>
  <conditionalFormatting sqref="M507:M508">
    <cfRule type="cellIs" dxfId="1553" priority="4017" operator="lessThan">
      <formula>0</formula>
    </cfRule>
  </conditionalFormatting>
  <conditionalFormatting sqref="M509:M510">
    <cfRule type="cellIs" dxfId="1552" priority="4016" operator="lessThan">
      <formula>0</formula>
    </cfRule>
  </conditionalFormatting>
  <conditionalFormatting sqref="M511:M512">
    <cfRule type="cellIs" dxfId="1551" priority="4015" operator="lessThan">
      <formula>0</formula>
    </cfRule>
  </conditionalFormatting>
  <conditionalFormatting sqref="M513:M514">
    <cfRule type="cellIs" dxfId="1550" priority="4014" operator="lessThan">
      <formula>0</formula>
    </cfRule>
  </conditionalFormatting>
  <conditionalFormatting sqref="M515:M516">
    <cfRule type="cellIs" dxfId="1549" priority="4013" operator="lessThan">
      <formula>0</formula>
    </cfRule>
  </conditionalFormatting>
  <conditionalFormatting sqref="M517:M518">
    <cfRule type="cellIs" dxfId="1548" priority="4012" operator="lessThan">
      <formula>0</formula>
    </cfRule>
  </conditionalFormatting>
  <conditionalFormatting sqref="M519:M520">
    <cfRule type="cellIs" dxfId="1547" priority="4011" operator="lessThan">
      <formula>0</formula>
    </cfRule>
  </conditionalFormatting>
  <conditionalFormatting sqref="O481:O484">
    <cfRule type="cellIs" dxfId="1546" priority="4008" stopIfTrue="1" operator="lessThan">
      <formula>-4</formula>
    </cfRule>
    <cfRule type="cellIs" dxfId="1545" priority="4009" stopIfTrue="1" operator="lessThan">
      <formula>-2</formula>
    </cfRule>
    <cfRule type="cellIs" dxfId="1544" priority="4010" operator="lessThan">
      <formula>1</formula>
    </cfRule>
  </conditionalFormatting>
  <conditionalFormatting sqref="O485:O488">
    <cfRule type="cellIs" dxfId="1543" priority="4005" stopIfTrue="1" operator="lessThan">
      <formula>-4</formula>
    </cfRule>
    <cfRule type="cellIs" dxfId="1542" priority="4006" stopIfTrue="1" operator="lessThan">
      <formula>-2</formula>
    </cfRule>
    <cfRule type="cellIs" dxfId="1541" priority="4007" operator="lessThan">
      <formula>1</formula>
    </cfRule>
  </conditionalFormatting>
  <conditionalFormatting sqref="O489:O492">
    <cfRule type="cellIs" dxfId="1540" priority="4002" stopIfTrue="1" operator="lessThan">
      <formula>-4</formula>
    </cfRule>
    <cfRule type="cellIs" dxfId="1539" priority="4003" stopIfTrue="1" operator="lessThan">
      <formula>-2</formula>
    </cfRule>
    <cfRule type="cellIs" dxfId="1538" priority="4004" operator="lessThan">
      <formula>1</formula>
    </cfRule>
  </conditionalFormatting>
  <conditionalFormatting sqref="O493:O496">
    <cfRule type="cellIs" dxfId="1537" priority="3999" stopIfTrue="1" operator="lessThan">
      <formula>-4</formula>
    </cfRule>
    <cfRule type="cellIs" dxfId="1536" priority="4000" stopIfTrue="1" operator="lessThan">
      <formula>-2</formula>
    </cfRule>
    <cfRule type="cellIs" dxfId="1535" priority="4001" operator="lessThan">
      <formula>1</formula>
    </cfRule>
  </conditionalFormatting>
  <conditionalFormatting sqref="O497:O500">
    <cfRule type="cellIs" dxfId="1534" priority="3996" stopIfTrue="1" operator="lessThan">
      <formula>-4</formula>
    </cfRule>
    <cfRule type="cellIs" dxfId="1533" priority="3997" stopIfTrue="1" operator="lessThan">
      <formula>-2</formula>
    </cfRule>
    <cfRule type="cellIs" dxfId="1532" priority="3998" operator="lessThan">
      <formula>1</formula>
    </cfRule>
  </conditionalFormatting>
  <conditionalFormatting sqref="O501:O504">
    <cfRule type="cellIs" dxfId="1531" priority="3993" stopIfTrue="1" operator="lessThan">
      <formula>-4</formula>
    </cfRule>
    <cfRule type="cellIs" dxfId="1530" priority="3994" stopIfTrue="1" operator="lessThan">
      <formula>-2</formula>
    </cfRule>
    <cfRule type="cellIs" dxfId="1529" priority="3995" operator="lessThan">
      <formula>1</formula>
    </cfRule>
  </conditionalFormatting>
  <conditionalFormatting sqref="O505:O508">
    <cfRule type="cellIs" dxfId="1528" priority="3990" stopIfTrue="1" operator="lessThan">
      <formula>-4</formula>
    </cfRule>
    <cfRule type="cellIs" dxfId="1527" priority="3991" stopIfTrue="1" operator="lessThan">
      <formula>-2</formula>
    </cfRule>
    <cfRule type="cellIs" dxfId="1526" priority="3992" operator="lessThan">
      <formula>1</formula>
    </cfRule>
  </conditionalFormatting>
  <conditionalFormatting sqref="O509:O512">
    <cfRule type="cellIs" dxfId="1525" priority="3987" stopIfTrue="1" operator="lessThan">
      <formula>-4</formula>
    </cfRule>
    <cfRule type="cellIs" dxfId="1524" priority="3988" stopIfTrue="1" operator="lessThan">
      <formula>-2</formula>
    </cfRule>
    <cfRule type="cellIs" dxfId="1523" priority="3989" operator="lessThan">
      <formula>1</formula>
    </cfRule>
  </conditionalFormatting>
  <conditionalFormatting sqref="O513:O516">
    <cfRule type="cellIs" dxfId="1522" priority="3984" stopIfTrue="1" operator="lessThan">
      <formula>-4</formula>
    </cfRule>
    <cfRule type="cellIs" dxfId="1521" priority="3985" stopIfTrue="1" operator="lessThan">
      <formula>-2</formula>
    </cfRule>
    <cfRule type="cellIs" dxfId="1520" priority="3986" operator="lessThan">
      <formula>1</formula>
    </cfRule>
  </conditionalFormatting>
  <conditionalFormatting sqref="O517:O520">
    <cfRule type="cellIs" dxfId="1519" priority="3981" stopIfTrue="1" operator="lessThan">
      <formula>-4</formula>
    </cfRule>
    <cfRule type="cellIs" dxfId="1518" priority="3982" stopIfTrue="1" operator="lessThan">
      <formula>-2</formula>
    </cfRule>
    <cfRule type="cellIs" dxfId="1517" priority="3983" operator="lessThan">
      <formula>1</formula>
    </cfRule>
  </conditionalFormatting>
  <conditionalFormatting sqref="Q481:Q488">
    <cfRule type="cellIs" dxfId="1516" priority="3980" operator="greaterThan">
      <formula>0</formula>
    </cfRule>
  </conditionalFormatting>
  <conditionalFormatting sqref="Q489:Q496">
    <cfRule type="cellIs" dxfId="1515" priority="3979" operator="greaterThan">
      <formula>0</formula>
    </cfRule>
  </conditionalFormatting>
  <conditionalFormatting sqref="Q497:Q504">
    <cfRule type="cellIs" dxfId="1514" priority="3978" operator="greaterThan">
      <formula>0</formula>
    </cfRule>
  </conditionalFormatting>
  <conditionalFormatting sqref="Q505:Q512">
    <cfRule type="cellIs" dxfId="1513" priority="3977" operator="greaterThan">
      <formula>0</formula>
    </cfRule>
  </conditionalFormatting>
  <conditionalFormatting sqref="Q513:Q520">
    <cfRule type="cellIs" dxfId="1512" priority="3976" operator="greaterThan">
      <formula>0</formula>
    </cfRule>
  </conditionalFormatting>
  <conditionalFormatting sqref="S473:T520">
    <cfRule type="cellIs" dxfId="1511" priority="3973" stopIfTrue="1" operator="lessThan">
      <formula>0.01</formula>
    </cfRule>
    <cfRule type="cellIs" dxfId="1510" priority="3974" stopIfTrue="1" operator="greaterThan">
      <formula>1.99</formula>
    </cfRule>
    <cfRule type="cellIs" dxfId="1509" priority="3975" operator="greaterThan">
      <formula>1.49</formula>
    </cfRule>
  </conditionalFormatting>
  <conditionalFormatting sqref="BJ451:BK451">
    <cfRule type="expression" dxfId="1508" priority="3947">
      <formula>AND(COLUMN()&gt;162,OR(WEEKDAY($Q$6)&lt;&gt;4,$X$6&lt;&gt;"A"))</formula>
    </cfRule>
  </conditionalFormatting>
  <conditionalFormatting sqref="BJ451:BK451">
    <cfRule type="expression" dxfId="1507" priority="3946">
      <formula>AND(COLUMN()&gt;162,OR(WEEKDAY($Q$6)&lt;&gt;4,$X$6&lt;&gt;"A"))</formula>
    </cfRule>
  </conditionalFormatting>
  <conditionalFormatting sqref="BJ451:BK451">
    <cfRule type="expression" dxfId="1506" priority="3945">
      <formula>AND(COLUMN()&gt;162,OR(WEEKDAY($Q$6)&lt;&gt;4,$X$6&lt;&gt;"A"))</formula>
    </cfRule>
  </conditionalFormatting>
  <conditionalFormatting sqref="BJ451:BK451">
    <cfRule type="expression" dxfId="1505" priority="3944">
      <formula>AND(COLUMN()&gt;162,OR(WEEKDAY($Q$6)&lt;&gt;4,$X$6&lt;&gt;"A"))</formula>
    </cfRule>
  </conditionalFormatting>
  <conditionalFormatting sqref="BJ451:BK451">
    <cfRule type="expression" dxfId="1504" priority="3943">
      <formula>AND(COLUMN()&gt;162,OR(WEEKDAY($Q$6)&lt;&gt;4,$X$6&lt;&gt;"A"))</formula>
    </cfRule>
  </conditionalFormatting>
  <conditionalFormatting sqref="BJ451:BK451">
    <cfRule type="expression" dxfId="1503" priority="3942">
      <formula>AND(COLUMN()&gt;162,OR(WEEKDAY($Q$6)&lt;&gt;4,$X$6&lt;&gt;"A"))</formula>
    </cfRule>
  </conditionalFormatting>
  <conditionalFormatting sqref="BJ451:BK451">
    <cfRule type="expression" dxfId="1502" priority="3941">
      <formula>AND(COLUMN()&gt;162,OR(WEEKDAY($Q$6)&lt;&gt;4,$X$6&lt;&gt;"A"))</formula>
    </cfRule>
  </conditionalFormatting>
  <conditionalFormatting sqref="BJ451:BK451">
    <cfRule type="expression" dxfId="1501" priority="3940">
      <formula>AND(COLUMN()&gt;162,OR(WEEKDAY($Q$6)&lt;&gt;4,$X$6&lt;&gt;"A"))</formula>
    </cfRule>
  </conditionalFormatting>
  <conditionalFormatting sqref="BJ451:BK451">
    <cfRule type="expression" dxfId="1500" priority="3939">
      <formula>AND(COLUMN()&gt;162,OR(WEEKDAY($Q$6)&lt;&gt;4,$X$6&lt;&gt;"A"))</formula>
    </cfRule>
  </conditionalFormatting>
  <conditionalFormatting sqref="BJ451:BK451">
    <cfRule type="expression" dxfId="1499" priority="3938">
      <formula>AND(COLUMN()&gt;162,OR(WEEKDAY($Q$6)&lt;&gt;4,$X$6&lt;&gt;"A"))</formula>
    </cfRule>
  </conditionalFormatting>
  <conditionalFormatting sqref="BJ451:BK451">
    <cfRule type="expression" dxfId="1498" priority="3937">
      <formula>AND(COLUMN()&gt;162,OR(WEEKDAY($Q$6)&lt;&gt;4,$X$6&lt;&gt;"A"))</formula>
    </cfRule>
  </conditionalFormatting>
  <conditionalFormatting sqref="BJ451:BK451">
    <cfRule type="expression" dxfId="1497" priority="3936">
      <formula>AND(COLUMN()&gt;162,OR(WEEKDAY($Q$6)&lt;&gt;4,$X$6&lt;&gt;"A"))</formula>
    </cfRule>
  </conditionalFormatting>
  <conditionalFormatting sqref="BJ451:BK451">
    <cfRule type="expression" dxfId="1496" priority="3935">
      <formula>AND(COLUMN()&gt;162,OR(WEEKDAY($Q$6)&lt;&gt;4,$X$6&lt;&gt;"A"))</formula>
    </cfRule>
  </conditionalFormatting>
  <conditionalFormatting sqref="BJ451:BK451">
    <cfRule type="expression" dxfId="1495" priority="3934">
      <formula>AND(COLUMN()&gt;162,OR(WEEKDAY($Q$6)&lt;&gt;4,$X$6&lt;&gt;"A"))</formula>
    </cfRule>
  </conditionalFormatting>
  <conditionalFormatting sqref="BJ451:BK451">
    <cfRule type="expression" dxfId="1494" priority="3933">
      <formula>AND(COLUMN()&gt;162,OR(WEEKDAY($Q$6)&lt;&gt;4,$X$6&lt;&gt;"A"))</formula>
    </cfRule>
  </conditionalFormatting>
  <conditionalFormatting sqref="BJ451:BK451">
    <cfRule type="expression" dxfId="1493" priority="3932">
      <formula>AND(COLUMN()&gt;162,OR(WEEKDAY($Q$6)&lt;&gt;4,$X$6&lt;&gt;"A"))</formula>
    </cfRule>
  </conditionalFormatting>
  <conditionalFormatting sqref="BJ451:BK451">
    <cfRule type="expression" dxfId="1492" priority="3931">
      <formula>AND(COLUMN()&gt;162,OR(WEEKDAY($Q$6)&lt;&gt;4,$X$6&lt;&gt;"A"))</formula>
    </cfRule>
  </conditionalFormatting>
  <conditionalFormatting sqref="BJ451:BK451">
    <cfRule type="expression" dxfId="1491" priority="3930">
      <formula>AND(COLUMN()&gt;162,OR(WEEKDAY($Q$6)&lt;&gt;4,$X$6&lt;&gt;"A"))</formula>
    </cfRule>
  </conditionalFormatting>
  <conditionalFormatting sqref="BJ451:BK451">
    <cfRule type="expression" dxfId="1490" priority="3929">
      <formula>AND(COLUMN()&gt;162,OR(WEEKDAY($Q$6)&lt;&gt;4,$X$6&lt;&gt;"A"))</formula>
    </cfRule>
  </conditionalFormatting>
  <conditionalFormatting sqref="BJ451:BK451">
    <cfRule type="expression" dxfId="1489" priority="3928">
      <formula>AND(COLUMN()&gt;162,OR(WEEKDAY($Q$6)&lt;&gt;4,$X$6&lt;&gt;"A"))</formula>
    </cfRule>
  </conditionalFormatting>
  <conditionalFormatting sqref="BJ451:BK451">
    <cfRule type="expression" dxfId="1488" priority="3927">
      <formula>AND(COLUMN()&gt;162,OR(WEEKDAY($Q$6)&lt;&gt;4,$X$6&lt;&gt;"A"))</formula>
    </cfRule>
  </conditionalFormatting>
  <conditionalFormatting sqref="BJ451:BK451">
    <cfRule type="expression" dxfId="1487" priority="3926">
      <formula>AND(COLUMN()&gt;162,OR(WEEKDAY($Q$6)&lt;&gt;4,$X$6&lt;&gt;"A"))</formula>
    </cfRule>
  </conditionalFormatting>
  <conditionalFormatting sqref="BJ451:BK451">
    <cfRule type="expression" dxfId="1486" priority="3925">
      <formula>AND(COLUMN()&gt;162,OR(WEEKDAY($Q$6)&lt;&gt;4,$X$6&lt;&gt;"A"))</formula>
    </cfRule>
  </conditionalFormatting>
  <conditionalFormatting sqref="BJ451:BK451">
    <cfRule type="expression" dxfId="1485" priority="3924">
      <formula>AND(COLUMN()&gt;162,OR(WEEKDAY($Q$6)&lt;&gt;4,$X$6&lt;&gt;"A"))</formula>
    </cfRule>
  </conditionalFormatting>
  <conditionalFormatting sqref="BJ451:BK451">
    <cfRule type="expression" dxfId="1484" priority="3923">
      <formula>AND(COLUMN()&gt;162,OR(WEEKDAY($Q$6)&lt;&gt;4,$X$6&lt;&gt;"A"))</formula>
    </cfRule>
  </conditionalFormatting>
  <conditionalFormatting sqref="BJ451:BK451">
    <cfRule type="expression" dxfId="1483" priority="3922">
      <formula>AND(COLUMN()&gt;162,OR(WEEKDAY($Q$6)&lt;&gt;4,$X$6&lt;&gt;"A"))</formula>
    </cfRule>
  </conditionalFormatting>
  <conditionalFormatting sqref="BJ451:BK451">
    <cfRule type="expression" dxfId="1482" priority="3921">
      <formula>AND(COLUMN()&gt;162,OR(WEEKDAY($Q$6)&lt;&gt;4,$X$6&lt;&gt;"A"))</formula>
    </cfRule>
  </conditionalFormatting>
  <conditionalFormatting sqref="BJ451:BK451">
    <cfRule type="expression" dxfId="1481" priority="3920">
      <formula>AND(COLUMN()&gt;162,OR(WEEKDAY($Q$6)&lt;&gt;4,$X$6&lt;&gt;"A"))</formula>
    </cfRule>
  </conditionalFormatting>
  <conditionalFormatting sqref="BJ451:BK451">
    <cfRule type="expression" dxfId="1480" priority="3919">
      <formula>AND(COLUMN()&gt;162,OR(WEEKDAY($Q$6)&lt;&gt;4,$X$6&lt;&gt;"A"))</formula>
    </cfRule>
  </conditionalFormatting>
  <conditionalFormatting sqref="BJ451:BK451">
    <cfRule type="expression" dxfId="1479" priority="3918">
      <formula>AND(COLUMN()&gt;162,OR(WEEKDAY($Q$6)&lt;&gt;4,$X$6&lt;&gt;"A"))</formula>
    </cfRule>
  </conditionalFormatting>
  <conditionalFormatting sqref="BJ451:BK451">
    <cfRule type="expression" dxfId="1478" priority="3917">
      <formula>AND(COLUMN()&gt;162,OR(WEEKDAY($Q$6)&lt;&gt;4,$X$6&lt;&gt;"A"))</formula>
    </cfRule>
  </conditionalFormatting>
  <conditionalFormatting sqref="BJ451:BK451">
    <cfRule type="expression" dxfId="1477" priority="3916">
      <formula>AND(COLUMN()&gt;162,OR(WEEKDAY($Q$6)&lt;&gt;4,$X$6&lt;&gt;"A"))</formula>
    </cfRule>
  </conditionalFormatting>
  <conditionalFormatting sqref="BJ451:BK451">
    <cfRule type="expression" dxfId="1476" priority="3915">
      <formula>AND(COLUMN()&gt;162,OR(WEEKDAY($Q$6)&lt;&gt;4,$X$6&lt;&gt;"A"))</formula>
    </cfRule>
  </conditionalFormatting>
  <conditionalFormatting sqref="BJ451:BK451">
    <cfRule type="expression" dxfId="1475" priority="3914">
      <formula>AND(COLUMN()&gt;162,OR(WEEKDAY($Q$6)&lt;&gt;4,$X$6&lt;&gt;"A"))</formula>
    </cfRule>
  </conditionalFormatting>
  <conditionalFormatting sqref="BJ451:BK451">
    <cfRule type="expression" dxfId="1474" priority="3913">
      <formula>AND(COLUMN()&gt;162,OR(WEEKDAY($Q$6)&lt;&gt;4,$X$6&lt;&gt;"A"))</formula>
    </cfRule>
  </conditionalFormatting>
  <conditionalFormatting sqref="BJ451:BK451">
    <cfRule type="expression" dxfId="1473" priority="3912">
      <formula>AND(COLUMN()&gt;162,OR(WEEKDAY($Q$6)&lt;&gt;4,$X$6&lt;&gt;"A"))</formula>
    </cfRule>
  </conditionalFormatting>
  <conditionalFormatting sqref="BJ451:BK451">
    <cfRule type="expression" dxfId="1472" priority="3911">
      <formula>AND(COLUMN()&gt;162,OR(WEEKDAY($Q$6)&lt;&gt;4,$X$6&lt;&gt;"A"))</formula>
    </cfRule>
  </conditionalFormatting>
  <conditionalFormatting sqref="BJ451:BK451">
    <cfRule type="expression" dxfId="1471" priority="3910">
      <formula>AND(COLUMN()&gt;162,OR(WEEKDAY($Q$6)&lt;&gt;4,$X$6&lt;&gt;"A"))</formula>
    </cfRule>
  </conditionalFormatting>
  <conditionalFormatting sqref="BJ451:BK451">
    <cfRule type="expression" dxfId="1470" priority="3909">
      <formula>AND(COLUMN()&gt;162,OR(WEEKDAY($Q$6)&lt;&gt;4,$X$6&lt;&gt;"A"))</formula>
    </cfRule>
  </conditionalFormatting>
  <conditionalFormatting sqref="BJ451:BK451">
    <cfRule type="expression" dxfId="1469" priority="3908">
      <formula>AND(COLUMN()&gt;162,OR(WEEKDAY($Q$6)&lt;&gt;4,$X$6&lt;&gt;"A"))</formula>
    </cfRule>
  </conditionalFormatting>
  <conditionalFormatting sqref="BJ451:BK451">
    <cfRule type="expression" dxfId="1468" priority="3907">
      <formula>AND(COLUMN()&gt;162,OR(WEEKDAY($Q$6)&lt;&gt;4,$X$6&lt;&gt;"A"))</formula>
    </cfRule>
  </conditionalFormatting>
  <conditionalFormatting sqref="BJ451:BK451">
    <cfRule type="expression" dxfId="1467" priority="3906">
      <formula>AND(COLUMN()&gt;162,OR(WEEKDAY($Q$6)&lt;&gt;4,$X$6&lt;&gt;"A"))</formula>
    </cfRule>
  </conditionalFormatting>
  <conditionalFormatting sqref="BJ451:BK451">
    <cfRule type="expression" dxfId="1466" priority="3905">
      <formula>AND(COLUMN()&gt;162,OR(WEEKDAY($Q$6)&lt;&gt;4,$X$6&lt;&gt;"A"))</formula>
    </cfRule>
  </conditionalFormatting>
  <conditionalFormatting sqref="BJ451:BK451">
    <cfRule type="expression" dxfId="1465" priority="3904">
      <formula>AND(COLUMN()&gt;162,OR(WEEKDAY($Q$6)&lt;&gt;4,$X$6&lt;&gt;"A"))</formula>
    </cfRule>
  </conditionalFormatting>
  <conditionalFormatting sqref="BJ451:BK451">
    <cfRule type="expression" dxfId="1464" priority="3903">
      <formula>AND(COLUMN()&gt;162,OR(WEEKDAY($Q$6)&lt;&gt;4,$X$6&lt;&gt;"A"))</formula>
    </cfRule>
  </conditionalFormatting>
  <conditionalFormatting sqref="BJ451:BK451">
    <cfRule type="expression" dxfId="1463" priority="3902">
      <formula>AND(COLUMN()&gt;162,OR(WEEKDAY($Q$6)&lt;&gt;4,$X$6&lt;&gt;"A"))</formula>
    </cfRule>
  </conditionalFormatting>
  <conditionalFormatting sqref="BJ451:BK451">
    <cfRule type="expression" dxfId="1462" priority="3901">
      <formula>AND(COLUMN()&gt;162,OR(WEEKDAY($Q$6)&lt;&gt;4,$X$6&lt;&gt;"A"))</formula>
    </cfRule>
  </conditionalFormatting>
  <conditionalFormatting sqref="BJ451:BK451">
    <cfRule type="expression" dxfId="1461" priority="3900">
      <formula>AND(COLUMN()&gt;162,OR(WEEKDAY($Q$6)&lt;&gt;4,$X$6&lt;&gt;"A"))</formula>
    </cfRule>
  </conditionalFormatting>
  <conditionalFormatting sqref="BJ451:BK451">
    <cfRule type="expression" dxfId="1460" priority="3899">
      <formula>AND(COLUMN()&gt;162,OR(WEEKDAY($Q$6)&lt;&gt;4,$X$6&lt;&gt;"A"))</formula>
    </cfRule>
  </conditionalFormatting>
  <conditionalFormatting sqref="BJ451:BK451">
    <cfRule type="expression" dxfId="1459" priority="3898">
      <formula>AND(COLUMN()&gt;162,OR(WEEKDAY($Q$6)&lt;&gt;4,$X$6&lt;&gt;"A"))</formula>
    </cfRule>
  </conditionalFormatting>
  <conditionalFormatting sqref="BJ451:BK451">
    <cfRule type="expression" dxfId="1458" priority="3897">
      <formula>AND(COLUMN()&gt;162,OR(WEEKDAY($Q$6)&lt;&gt;4,$X$6&lt;&gt;"A"))</formula>
    </cfRule>
  </conditionalFormatting>
  <conditionalFormatting sqref="BJ451:BK451">
    <cfRule type="expression" dxfId="1457" priority="3896">
      <formula>AND(COLUMN()&gt;162,OR(WEEKDAY($Q$6)&lt;&gt;4,$X$6&lt;&gt;"A"))</formula>
    </cfRule>
  </conditionalFormatting>
  <conditionalFormatting sqref="BJ451:BK451">
    <cfRule type="expression" dxfId="1456" priority="3895">
      <formula>AND(COLUMN()&gt;162,OR(WEEKDAY($Q$6)&lt;&gt;4,$X$6&lt;&gt;"A"))</formula>
    </cfRule>
  </conditionalFormatting>
  <conditionalFormatting sqref="BJ451:BK451">
    <cfRule type="expression" dxfId="1455" priority="3894">
      <formula>AND(COLUMN()&gt;162,OR(WEEKDAY($Q$6)&lt;&gt;4,$X$6&lt;&gt;"A"))</formula>
    </cfRule>
  </conditionalFormatting>
  <conditionalFormatting sqref="BJ451:BK451">
    <cfRule type="expression" dxfId="1454" priority="3893">
      <formula>AND(COLUMN()&gt;162,OR(WEEKDAY($Q$6)&lt;&gt;4,$X$6&lt;&gt;"A"))</formula>
    </cfRule>
  </conditionalFormatting>
  <conditionalFormatting sqref="BJ451:BK451">
    <cfRule type="expression" dxfId="1453" priority="3892">
      <formula>AND(COLUMN()&gt;162,OR(WEEKDAY($Q$6)&lt;&gt;4,$X$6&lt;&gt;"A"))</formula>
    </cfRule>
  </conditionalFormatting>
  <conditionalFormatting sqref="BJ451:BK451">
    <cfRule type="expression" dxfId="1452" priority="3891">
      <formula>AND(COLUMN()&gt;162,OR(WEEKDAY($Q$6)&lt;&gt;4,$X$6&lt;&gt;"A"))</formula>
    </cfRule>
  </conditionalFormatting>
  <conditionalFormatting sqref="BJ451:BK451">
    <cfRule type="expression" dxfId="1451" priority="3890">
      <formula>AND(COLUMN()&gt;162,OR(WEEKDAY($Q$6)&lt;&gt;4,$X$6&lt;&gt;"A"))</formula>
    </cfRule>
  </conditionalFormatting>
  <conditionalFormatting sqref="BJ451:BK451">
    <cfRule type="expression" dxfId="1450" priority="3889">
      <formula>AND(COLUMN()&gt;162,OR(WEEKDAY($Q$6)&lt;&gt;4,$X$6&lt;&gt;"A"))</formula>
    </cfRule>
  </conditionalFormatting>
  <conditionalFormatting sqref="BJ451:BK451">
    <cfRule type="expression" dxfId="1449" priority="3888">
      <formula>AND(COLUMN()&gt;162,OR(WEEKDAY($Q$6)&lt;&gt;4,$X$6&lt;&gt;"A"))</formula>
    </cfRule>
  </conditionalFormatting>
  <conditionalFormatting sqref="BJ451:BK451">
    <cfRule type="expression" dxfId="1448" priority="3887">
      <formula>AND(COLUMN()&gt;162,OR(WEEKDAY($Q$6)&lt;&gt;4,$X$6&lt;&gt;"A"))</formula>
    </cfRule>
  </conditionalFormatting>
  <conditionalFormatting sqref="BJ451:BK451">
    <cfRule type="expression" dxfId="1447" priority="3886">
      <formula>AND(COLUMN()&gt;162,OR(WEEKDAY($Q$6)&lt;&gt;4,$X$6&lt;&gt;"A"))</formula>
    </cfRule>
  </conditionalFormatting>
  <conditionalFormatting sqref="BJ451:BK451">
    <cfRule type="expression" dxfId="1446" priority="3885">
      <formula>AND(COLUMN()&gt;162,OR(WEEKDAY($Q$6)&lt;&gt;4,$X$6&lt;&gt;"A"))</formula>
    </cfRule>
  </conditionalFormatting>
  <conditionalFormatting sqref="BJ451:BK451">
    <cfRule type="expression" dxfId="1445" priority="3884">
      <formula>AND(COLUMN()&gt;162,OR(WEEKDAY($Q$6)&lt;&gt;4,$X$6&lt;&gt;"A"))</formula>
    </cfRule>
  </conditionalFormatting>
  <conditionalFormatting sqref="BJ451:BK451">
    <cfRule type="expression" dxfId="1444" priority="3883">
      <formula>AND(COLUMN()&gt;162,OR(WEEKDAY($Q$6)&lt;&gt;4,$X$6&lt;&gt;"A"))</formula>
    </cfRule>
  </conditionalFormatting>
  <conditionalFormatting sqref="BJ451:BK451">
    <cfRule type="expression" dxfId="1443" priority="3882">
      <formula>AND(COLUMN()&gt;162,OR(WEEKDAY($Q$6)&lt;&gt;4,$X$6&lt;&gt;"A"))</formula>
    </cfRule>
  </conditionalFormatting>
  <conditionalFormatting sqref="BJ451:BK451">
    <cfRule type="expression" dxfId="1442" priority="3881">
      <formula>AND(COLUMN()&gt;162,OR(WEEKDAY($Q$6)&lt;&gt;4,$X$6&lt;&gt;"A"))</formula>
    </cfRule>
  </conditionalFormatting>
  <conditionalFormatting sqref="BJ451:BK451">
    <cfRule type="expression" dxfId="1441" priority="3880">
      <formula>AND(COLUMN()&gt;162,OR(WEEKDAY($Q$6)&lt;&gt;4,$X$6&lt;&gt;"A"))</formula>
    </cfRule>
  </conditionalFormatting>
  <conditionalFormatting sqref="BJ451:BK451">
    <cfRule type="expression" dxfId="1440" priority="3879">
      <formula>AND(COLUMN()&gt;162,OR(WEEKDAY($Q$6)&lt;&gt;4,$X$6&lt;&gt;"A"))</formula>
    </cfRule>
  </conditionalFormatting>
  <conditionalFormatting sqref="BJ451:BK451">
    <cfRule type="expression" dxfId="1439" priority="3878">
      <formula>AND(COLUMN()&gt;162,OR(WEEKDAY($Q$6)&lt;&gt;4,$X$6&lt;&gt;"A"))</formula>
    </cfRule>
  </conditionalFormatting>
  <conditionalFormatting sqref="BW451:BX451">
    <cfRule type="expression" dxfId="1438" priority="3877">
      <formula>AND(COLUMN()&gt;162,OR(WEEKDAY($Q$6)&lt;&gt;4,$X$6&lt;&gt;"A"))</formula>
    </cfRule>
  </conditionalFormatting>
  <conditionalFormatting sqref="BW451:BX451">
    <cfRule type="expression" dxfId="1437" priority="3876">
      <formula>AND(COLUMN()&gt;162,OR(WEEKDAY($Q$6)&lt;&gt;4,$X$6&lt;&gt;"A"))</formula>
    </cfRule>
  </conditionalFormatting>
  <conditionalFormatting sqref="BW451:BX451">
    <cfRule type="expression" dxfId="1436" priority="3875">
      <formula>AND(COLUMN()&gt;162,OR(WEEKDAY($Q$6)&lt;&gt;4,$X$6&lt;&gt;"A"))</formula>
    </cfRule>
  </conditionalFormatting>
  <conditionalFormatting sqref="BW451:BX451">
    <cfRule type="expression" dxfId="1435" priority="3874">
      <formula>AND(COLUMN()&gt;162,OR(WEEKDAY($Q$6)&lt;&gt;4,$X$6&lt;&gt;"A"))</formula>
    </cfRule>
  </conditionalFormatting>
  <conditionalFormatting sqref="BW451:BX451">
    <cfRule type="expression" dxfId="1434" priority="3873">
      <formula>AND(COLUMN()&gt;162,OR(WEEKDAY($Q$6)&lt;&gt;4,$X$6&lt;&gt;"A"))</formula>
    </cfRule>
  </conditionalFormatting>
  <conditionalFormatting sqref="BW451:BX451">
    <cfRule type="expression" dxfId="1433" priority="3872">
      <formula>AND(COLUMN()&gt;162,OR(WEEKDAY($Q$6)&lt;&gt;4,$X$6&lt;&gt;"A"))</formula>
    </cfRule>
  </conditionalFormatting>
  <conditionalFormatting sqref="BW451:BX451">
    <cfRule type="expression" dxfId="1432" priority="3871">
      <formula>AND(COLUMN()&gt;162,OR(WEEKDAY($Q$6)&lt;&gt;4,$X$6&lt;&gt;"A"))</formula>
    </cfRule>
  </conditionalFormatting>
  <conditionalFormatting sqref="BW451:BX451">
    <cfRule type="expression" dxfId="1431" priority="3870">
      <formula>AND(COLUMN()&gt;162,OR(WEEKDAY($Q$6)&lt;&gt;4,$X$6&lt;&gt;"A"))</formula>
    </cfRule>
  </conditionalFormatting>
  <conditionalFormatting sqref="BW451:BX451">
    <cfRule type="expression" dxfId="1430" priority="3869">
      <formula>AND(COLUMN()&gt;162,OR(WEEKDAY($Q$6)&lt;&gt;4,$X$6&lt;&gt;"A"))</formula>
    </cfRule>
  </conditionalFormatting>
  <conditionalFormatting sqref="BW451:BX451">
    <cfRule type="expression" dxfId="1429" priority="3868">
      <formula>AND(COLUMN()&gt;162,OR(WEEKDAY($Q$6)&lt;&gt;4,$X$6&lt;&gt;"A"))</formula>
    </cfRule>
  </conditionalFormatting>
  <conditionalFormatting sqref="BW451:BX451">
    <cfRule type="expression" dxfId="1428" priority="3867">
      <formula>AND(COLUMN()&gt;162,OR(WEEKDAY($Q$6)&lt;&gt;4,$X$6&lt;&gt;"A"))</formula>
    </cfRule>
  </conditionalFormatting>
  <conditionalFormatting sqref="BW451:BX451">
    <cfRule type="expression" dxfId="1427" priority="3866">
      <formula>AND(COLUMN()&gt;162,OR(WEEKDAY($Q$6)&lt;&gt;4,$X$6&lt;&gt;"A"))</formula>
    </cfRule>
  </conditionalFormatting>
  <conditionalFormatting sqref="BW451:BX451">
    <cfRule type="expression" dxfId="1426" priority="3865">
      <formula>AND(COLUMN()&gt;162,OR(WEEKDAY($Q$6)&lt;&gt;4,$X$6&lt;&gt;"A"))</formula>
    </cfRule>
  </conditionalFormatting>
  <conditionalFormatting sqref="BW451:BX451">
    <cfRule type="expression" dxfId="1425" priority="3864">
      <formula>AND(COLUMN()&gt;162,OR(WEEKDAY($Q$6)&lt;&gt;4,$X$6&lt;&gt;"A"))</formula>
    </cfRule>
  </conditionalFormatting>
  <conditionalFormatting sqref="BW451:BX451">
    <cfRule type="expression" dxfId="1424" priority="3863">
      <formula>AND(COLUMN()&gt;162,OR(WEEKDAY($Q$6)&lt;&gt;4,$X$6&lt;&gt;"A"))</formula>
    </cfRule>
  </conditionalFormatting>
  <conditionalFormatting sqref="BW451:BX451">
    <cfRule type="expression" dxfId="1423" priority="3862">
      <formula>AND(COLUMN()&gt;162,OR(WEEKDAY($Q$6)&lt;&gt;4,$X$6&lt;&gt;"A"))</formula>
    </cfRule>
  </conditionalFormatting>
  <conditionalFormatting sqref="BW451:BX451">
    <cfRule type="expression" dxfId="1422" priority="3861">
      <formula>AND(COLUMN()&gt;162,OR(WEEKDAY($Q$6)&lt;&gt;4,$X$6&lt;&gt;"A"))</formula>
    </cfRule>
  </conditionalFormatting>
  <conditionalFormatting sqref="BW451:BX451">
    <cfRule type="expression" dxfId="1421" priority="3860">
      <formula>AND(COLUMN()&gt;162,OR(WEEKDAY($Q$6)&lt;&gt;4,$X$6&lt;&gt;"A"))</formula>
    </cfRule>
  </conditionalFormatting>
  <conditionalFormatting sqref="BW451:BX451">
    <cfRule type="expression" dxfId="1420" priority="3859">
      <formula>AND(COLUMN()&gt;162,OR(WEEKDAY($Q$6)&lt;&gt;4,$X$6&lt;&gt;"A"))</formula>
    </cfRule>
  </conditionalFormatting>
  <conditionalFormatting sqref="BW451:BX451">
    <cfRule type="expression" dxfId="1419" priority="3858">
      <formula>AND(COLUMN()&gt;162,OR(WEEKDAY($Q$6)&lt;&gt;4,$X$6&lt;&gt;"A"))</formula>
    </cfRule>
  </conditionalFormatting>
  <conditionalFormatting sqref="BW451:BX451">
    <cfRule type="expression" dxfId="1418" priority="3857">
      <formula>AND(COLUMN()&gt;162,OR(WEEKDAY($Q$6)&lt;&gt;4,$X$6&lt;&gt;"A"))</formula>
    </cfRule>
  </conditionalFormatting>
  <conditionalFormatting sqref="BW451:BX451">
    <cfRule type="expression" dxfId="1417" priority="3856">
      <formula>AND(COLUMN()&gt;162,OR(WEEKDAY($Q$6)&lt;&gt;4,$X$6&lt;&gt;"A"))</formula>
    </cfRule>
  </conditionalFormatting>
  <conditionalFormatting sqref="BW451:BX451">
    <cfRule type="expression" dxfId="1416" priority="3855">
      <formula>AND(COLUMN()&gt;162,OR(WEEKDAY($Q$6)&lt;&gt;4,$X$6&lt;&gt;"A"))</formula>
    </cfRule>
  </conditionalFormatting>
  <conditionalFormatting sqref="BW451:BX451">
    <cfRule type="expression" dxfId="1415" priority="3854">
      <formula>AND(COLUMN()&gt;162,OR(WEEKDAY($Q$6)&lt;&gt;4,$X$6&lt;&gt;"A"))</formula>
    </cfRule>
  </conditionalFormatting>
  <conditionalFormatting sqref="BW451:BX451">
    <cfRule type="expression" dxfId="1414" priority="3853">
      <formula>AND(COLUMN()&gt;162,OR(WEEKDAY($Q$6)&lt;&gt;4,$X$6&lt;&gt;"A"))</formula>
    </cfRule>
  </conditionalFormatting>
  <conditionalFormatting sqref="BW451:BX451">
    <cfRule type="expression" dxfId="1413" priority="3852">
      <formula>AND(COLUMN()&gt;162,OR(WEEKDAY($Q$6)&lt;&gt;4,$X$6&lt;&gt;"A"))</formula>
    </cfRule>
  </conditionalFormatting>
  <conditionalFormatting sqref="BW451:BX451">
    <cfRule type="expression" dxfId="1412" priority="3851">
      <formula>AND(COLUMN()&gt;162,OR(WEEKDAY($Q$6)&lt;&gt;4,$X$6&lt;&gt;"A"))</formula>
    </cfRule>
  </conditionalFormatting>
  <conditionalFormatting sqref="BW451:BX451">
    <cfRule type="expression" dxfId="1411" priority="3850">
      <formula>AND(COLUMN()&gt;162,OR(WEEKDAY($Q$6)&lt;&gt;4,$X$6&lt;&gt;"A"))</formula>
    </cfRule>
  </conditionalFormatting>
  <conditionalFormatting sqref="BW451:BX451">
    <cfRule type="expression" dxfId="1410" priority="3849">
      <formula>AND(COLUMN()&gt;162,OR(WEEKDAY($Q$6)&lt;&gt;4,$X$6&lt;&gt;"A"))</formula>
    </cfRule>
  </conditionalFormatting>
  <conditionalFormatting sqref="BW451:BX451">
    <cfRule type="expression" dxfId="1409" priority="3848">
      <formula>AND(COLUMN()&gt;162,OR(WEEKDAY($Q$6)&lt;&gt;4,$X$6&lt;&gt;"A"))</formula>
    </cfRule>
  </conditionalFormatting>
  <conditionalFormatting sqref="BW451:BX451">
    <cfRule type="expression" dxfId="1408" priority="3847">
      <formula>AND(COLUMN()&gt;162,OR(WEEKDAY($Q$6)&lt;&gt;4,$X$6&lt;&gt;"A"))</formula>
    </cfRule>
  </conditionalFormatting>
  <conditionalFormatting sqref="BW451:BX451">
    <cfRule type="expression" dxfId="1407" priority="3846">
      <formula>AND(COLUMN()&gt;162,OR(WEEKDAY($Q$6)&lt;&gt;4,$X$6&lt;&gt;"A"))</formula>
    </cfRule>
  </conditionalFormatting>
  <conditionalFormatting sqref="BW451:BX451">
    <cfRule type="expression" dxfId="1406" priority="3845">
      <formula>AND(COLUMN()&gt;162,OR(WEEKDAY($Q$6)&lt;&gt;4,$X$6&lt;&gt;"A"))</formula>
    </cfRule>
  </conditionalFormatting>
  <conditionalFormatting sqref="BW451:BX451">
    <cfRule type="expression" dxfId="1405" priority="3844">
      <formula>AND(COLUMN()&gt;162,OR(WEEKDAY($Q$6)&lt;&gt;4,$X$6&lt;&gt;"A"))</formula>
    </cfRule>
  </conditionalFormatting>
  <conditionalFormatting sqref="BW451:BX451">
    <cfRule type="expression" dxfId="1404" priority="3843">
      <formula>AND(COLUMN()&gt;162,OR(WEEKDAY($Q$6)&lt;&gt;4,$X$6&lt;&gt;"A"))</formula>
    </cfRule>
  </conditionalFormatting>
  <conditionalFormatting sqref="BW451:BX451">
    <cfRule type="expression" dxfId="1403" priority="3842">
      <formula>AND(COLUMN()&gt;162,OR(WEEKDAY($Q$6)&lt;&gt;4,$X$6&lt;&gt;"A"))</formula>
    </cfRule>
  </conditionalFormatting>
  <conditionalFormatting sqref="BW451:BX451">
    <cfRule type="expression" dxfId="1402" priority="3841">
      <formula>AND(COLUMN()&gt;162,OR(WEEKDAY($Q$6)&lt;&gt;4,$X$6&lt;&gt;"A"))</formula>
    </cfRule>
  </conditionalFormatting>
  <conditionalFormatting sqref="BW451:BX451">
    <cfRule type="expression" dxfId="1401" priority="3840">
      <formula>AND(COLUMN()&gt;162,OR(WEEKDAY($Q$6)&lt;&gt;4,$X$6&lt;&gt;"A"))</formula>
    </cfRule>
  </conditionalFormatting>
  <conditionalFormatting sqref="BW451:BX451">
    <cfRule type="expression" dxfId="1400" priority="3839">
      <formula>AND(COLUMN()&gt;162,OR(WEEKDAY($Q$6)&lt;&gt;4,$X$6&lt;&gt;"A"))</formula>
    </cfRule>
  </conditionalFormatting>
  <conditionalFormatting sqref="BW451:BX451">
    <cfRule type="expression" dxfId="1399" priority="3838">
      <formula>AND(COLUMN()&gt;162,OR(WEEKDAY($Q$6)&lt;&gt;4,$X$6&lt;&gt;"A"))</formula>
    </cfRule>
  </conditionalFormatting>
  <conditionalFormatting sqref="BW451:BX451">
    <cfRule type="expression" dxfId="1398" priority="3837">
      <formula>AND(COLUMN()&gt;162,OR(WEEKDAY($Q$6)&lt;&gt;4,$X$6&lt;&gt;"A"))</formula>
    </cfRule>
  </conditionalFormatting>
  <conditionalFormatting sqref="BW451:BX451">
    <cfRule type="expression" dxfId="1397" priority="3836">
      <formula>AND(COLUMN()&gt;162,OR(WEEKDAY($Q$6)&lt;&gt;4,$X$6&lt;&gt;"A"))</formula>
    </cfRule>
  </conditionalFormatting>
  <conditionalFormatting sqref="BW451:BX451">
    <cfRule type="expression" dxfId="1396" priority="3835">
      <formula>AND(COLUMN()&gt;162,OR(WEEKDAY($Q$6)&lt;&gt;4,$X$6&lt;&gt;"A"))</formula>
    </cfRule>
  </conditionalFormatting>
  <conditionalFormatting sqref="BW451:BX451">
    <cfRule type="expression" dxfId="1395" priority="3834">
      <formula>AND(COLUMN()&gt;162,OR(WEEKDAY($Q$6)&lt;&gt;4,$X$6&lt;&gt;"A"))</formula>
    </cfRule>
  </conditionalFormatting>
  <conditionalFormatting sqref="BW451:BX451">
    <cfRule type="expression" dxfId="1394" priority="3833">
      <formula>AND(COLUMN()&gt;162,OR(WEEKDAY($Q$6)&lt;&gt;4,$X$6&lt;&gt;"A"))</formula>
    </cfRule>
  </conditionalFormatting>
  <conditionalFormatting sqref="BW451:BX451">
    <cfRule type="expression" dxfId="1393" priority="3832">
      <formula>AND(COLUMN()&gt;162,OR(WEEKDAY($Q$6)&lt;&gt;4,$X$6&lt;&gt;"A"))</formula>
    </cfRule>
  </conditionalFormatting>
  <conditionalFormatting sqref="BW451:BX451">
    <cfRule type="expression" dxfId="1392" priority="3831">
      <formula>AND(COLUMN()&gt;162,OR(WEEKDAY($Q$6)&lt;&gt;4,$X$6&lt;&gt;"A"))</formula>
    </cfRule>
  </conditionalFormatting>
  <conditionalFormatting sqref="BW451:BX451">
    <cfRule type="expression" dxfId="1391" priority="3830">
      <formula>AND(COLUMN()&gt;162,OR(WEEKDAY($Q$6)&lt;&gt;4,$X$6&lt;&gt;"A"))</formula>
    </cfRule>
  </conditionalFormatting>
  <conditionalFormatting sqref="BW451:BX451">
    <cfRule type="expression" dxfId="1390" priority="3829">
      <formula>AND(COLUMN()&gt;162,OR(WEEKDAY($Q$6)&lt;&gt;4,$X$6&lt;&gt;"A"))</formula>
    </cfRule>
  </conditionalFormatting>
  <conditionalFormatting sqref="BW451:BX451">
    <cfRule type="expression" dxfId="1389" priority="3828">
      <formula>AND(COLUMN()&gt;162,OR(WEEKDAY($Q$6)&lt;&gt;4,$X$6&lt;&gt;"A"))</formula>
    </cfRule>
  </conditionalFormatting>
  <conditionalFormatting sqref="BW451:BX451">
    <cfRule type="expression" dxfId="1388" priority="3827">
      <formula>AND(COLUMN()&gt;162,OR(WEEKDAY($Q$6)&lt;&gt;4,$X$6&lt;&gt;"A"))</formula>
    </cfRule>
  </conditionalFormatting>
  <conditionalFormatting sqref="BW451:BX451">
    <cfRule type="expression" dxfId="1387" priority="3826">
      <formula>AND(COLUMN()&gt;162,OR(WEEKDAY($Q$6)&lt;&gt;4,$X$6&lt;&gt;"A"))</formula>
    </cfRule>
  </conditionalFormatting>
  <conditionalFormatting sqref="BW451:BX451">
    <cfRule type="expression" dxfId="1386" priority="3825">
      <formula>AND(COLUMN()&gt;162,OR(WEEKDAY($Q$6)&lt;&gt;4,$X$6&lt;&gt;"A"))</formula>
    </cfRule>
  </conditionalFormatting>
  <conditionalFormatting sqref="BW451:BX451">
    <cfRule type="expression" dxfId="1385" priority="3824">
      <formula>AND(COLUMN()&gt;162,OR(WEEKDAY($Q$6)&lt;&gt;4,$X$6&lt;&gt;"A"))</formula>
    </cfRule>
  </conditionalFormatting>
  <conditionalFormatting sqref="BW451:BX451">
    <cfRule type="expression" dxfId="1384" priority="3823">
      <formula>AND(COLUMN()&gt;162,OR(WEEKDAY($Q$6)&lt;&gt;4,$X$6&lt;&gt;"A"))</formula>
    </cfRule>
  </conditionalFormatting>
  <conditionalFormatting sqref="BW451:BX451">
    <cfRule type="expression" dxfId="1383" priority="3822">
      <formula>AND(COLUMN()&gt;162,OR(WEEKDAY($Q$6)&lt;&gt;4,$X$6&lt;&gt;"A"))</formula>
    </cfRule>
  </conditionalFormatting>
  <conditionalFormatting sqref="BW451:BX451">
    <cfRule type="expression" dxfId="1382" priority="3821">
      <formula>AND(COLUMN()&gt;162,OR(WEEKDAY($Q$6)&lt;&gt;4,$X$6&lt;&gt;"A"))</formula>
    </cfRule>
  </conditionalFormatting>
  <conditionalFormatting sqref="BW451:BX451">
    <cfRule type="expression" dxfId="1381" priority="3820">
      <formula>AND(COLUMN()&gt;162,OR(WEEKDAY($Q$6)&lt;&gt;4,$X$6&lt;&gt;"A"))</formula>
    </cfRule>
  </conditionalFormatting>
  <conditionalFormatting sqref="BW451:BX451">
    <cfRule type="expression" dxfId="1380" priority="3819">
      <formula>AND(COLUMN()&gt;162,OR(WEEKDAY($Q$6)&lt;&gt;4,$X$6&lt;&gt;"A"))</formula>
    </cfRule>
  </conditionalFormatting>
  <conditionalFormatting sqref="BW451:BX451">
    <cfRule type="expression" dxfId="1379" priority="3818">
      <formula>AND(COLUMN()&gt;162,OR(WEEKDAY($Q$6)&lt;&gt;4,$X$6&lt;&gt;"A"))</formula>
    </cfRule>
  </conditionalFormatting>
  <conditionalFormatting sqref="BW451:BX451">
    <cfRule type="expression" dxfId="1378" priority="3817">
      <formula>AND(COLUMN()&gt;162,OR(WEEKDAY($Q$6)&lt;&gt;4,$X$6&lt;&gt;"A"))</formula>
    </cfRule>
  </conditionalFormatting>
  <conditionalFormatting sqref="BW451:BX451">
    <cfRule type="expression" dxfId="1377" priority="3816">
      <formula>AND(COLUMN()&gt;162,OR(WEEKDAY($Q$6)&lt;&gt;4,$X$6&lt;&gt;"A"))</formula>
    </cfRule>
  </conditionalFormatting>
  <conditionalFormatting sqref="BW451:BX451">
    <cfRule type="expression" dxfId="1376" priority="3815">
      <formula>AND(COLUMN()&gt;162,OR(WEEKDAY($Q$6)&lt;&gt;4,$X$6&lt;&gt;"A"))</formula>
    </cfRule>
  </conditionalFormatting>
  <conditionalFormatting sqref="BW451:BX451">
    <cfRule type="expression" dxfId="1375" priority="3814">
      <formula>AND(COLUMN()&gt;162,OR(WEEKDAY($Q$6)&lt;&gt;4,$X$6&lt;&gt;"A"))</formula>
    </cfRule>
  </conditionalFormatting>
  <conditionalFormatting sqref="BW451:BX451">
    <cfRule type="expression" dxfId="1374" priority="3813">
      <formula>AND(COLUMN()&gt;162,OR(WEEKDAY($Q$6)&lt;&gt;4,$X$6&lt;&gt;"A"))</formula>
    </cfRule>
  </conditionalFormatting>
  <conditionalFormatting sqref="BW451:BX451">
    <cfRule type="expression" dxfId="1373" priority="3812">
      <formula>AND(COLUMN()&gt;162,OR(WEEKDAY($Q$6)&lt;&gt;4,$X$6&lt;&gt;"A"))</formula>
    </cfRule>
  </conditionalFormatting>
  <conditionalFormatting sqref="BW451:BX451">
    <cfRule type="expression" dxfId="1372" priority="3811">
      <formula>AND(COLUMN()&gt;162,OR(WEEKDAY($Q$6)&lt;&gt;4,$X$6&lt;&gt;"A"))</formula>
    </cfRule>
  </conditionalFormatting>
  <conditionalFormatting sqref="BW451:BX451">
    <cfRule type="expression" dxfId="1371" priority="3810">
      <formula>AND(COLUMN()&gt;162,OR(WEEKDAY($Q$6)&lt;&gt;4,$X$6&lt;&gt;"A"))</formula>
    </cfRule>
  </conditionalFormatting>
  <conditionalFormatting sqref="BW451:BX451">
    <cfRule type="expression" dxfId="1370" priority="3809">
      <formula>AND(COLUMN()&gt;162,OR(WEEKDAY($Q$6)&lt;&gt;4,$X$6&lt;&gt;"A"))</formula>
    </cfRule>
  </conditionalFormatting>
  <conditionalFormatting sqref="BW451:BX451">
    <cfRule type="expression" dxfId="1369" priority="3808">
      <formula>AND(COLUMN()&gt;162,OR(WEEKDAY($Q$6)&lt;&gt;4,$X$6&lt;&gt;"A"))</formula>
    </cfRule>
  </conditionalFormatting>
  <conditionalFormatting sqref="CU452:CV452">
    <cfRule type="expression" dxfId="1368" priority="3800">
      <formula>AND(COLUMN()&gt;162,OR(WEEKDAY($Q$6)&lt;&gt;4,$X$6&lt;&gt;"A"))</formula>
    </cfRule>
  </conditionalFormatting>
  <conditionalFormatting sqref="CH452:CI452">
    <cfRule type="expression" dxfId="1367" priority="3799">
      <formula>AND(COLUMN()&gt;162,OR(WEEKDAY($Q$6)&lt;&gt;4,$X$6&lt;&gt;"A"))</formula>
    </cfRule>
  </conditionalFormatting>
  <conditionalFormatting sqref="BT452:BU452">
    <cfRule type="expression" dxfId="1366" priority="3795">
      <formula>AND(COLUMN()&gt;162,OR(WEEKDAY($Q$6)&lt;&gt;4,$X$6&lt;&gt;"A"))</formula>
    </cfRule>
  </conditionalFormatting>
  <conditionalFormatting sqref="BG452:BH452">
    <cfRule type="expression" dxfId="1365" priority="3794">
      <formula>AND(COLUMN()&gt;162,OR(WEEKDAY($Q$6)&lt;&gt;4,$X$6&lt;&gt;"A"))</formula>
    </cfRule>
  </conditionalFormatting>
  <conditionalFormatting sqref="EZ451:FA451">
    <cfRule type="expression" dxfId="1364" priority="3450">
      <formula>AND(COLUMN()&gt;162,OR(WEEKDAY($Q$6)&lt;&gt;4,$X$6&lt;&gt;"A"))</formula>
    </cfRule>
  </conditionalFormatting>
  <conditionalFormatting sqref="EZ451:FA451">
    <cfRule type="expression" dxfId="1363" priority="3449">
      <formula>AND(COLUMN()&gt;162,OR(WEEKDAY($Q$6)&lt;&gt;4,$X$6&lt;&gt;"A"))</formula>
    </cfRule>
  </conditionalFormatting>
  <conditionalFormatting sqref="EZ451:FA451">
    <cfRule type="expression" dxfId="1362" priority="3448">
      <formula>AND(COLUMN()&gt;162,OR(WEEKDAY($Q$6)&lt;&gt;4,$X$6&lt;&gt;"A"))</formula>
    </cfRule>
  </conditionalFormatting>
  <conditionalFormatting sqref="EZ451:FA451">
    <cfRule type="expression" dxfId="1361" priority="3447">
      <formula>AND(COLUMN()&gt;162,OR(WEEKDAY($Q$6)&lt;&gt;4,$X$6&lt;&gt;"A"))</formula>
    </cfRule>
  </conditionalFormatting>
  <conditionalFormatting sqref="EZ451:FA451">
    <cfRule type="expression" dxfId="1360" priority="3446">
      <formula>AND(COLUMN()&gt;162,OR(WEEKDAY($Q$6)&lt;&gt;4,$X$6&lt;&gt;"A"))</formula>
    </cfRule>
  </conditionalFormatting>
  <conditionalFormatting sqref="EZ451:FA451">
    <cfRule type="expression" dxfId="1359" priority="3445">
      <formula>AND(COLUMN()&gt;162,OR(WEEKDAY($Q$6)&lt;&gt;4,$X$6&lt;&gt;"A"))</formula>
    </cfRule>
  </conditionalFormatting>
  <conditionalFormatting sqref="EZ451:FA451">
    <cfRule type="expression" dxfId="1358" priority="3444">
      <formula>AND(COLUMN()&gt;162,OR(WEEKDAY($Q$6)&lt;&gt;4,$X$6&lt;&gt;"A"))</formula>
    </cfRule>
  </conditionalFormatting>
  <conditionalFormatting sqref="EZ451:FA451">
    <cfRule type="expression" dxfId="1357" priority="3443">
      <formula>AND(COLUMN()&gt;162,OR(WEEKDAY($Q$6)&lt;&gt;4,$X$6&lt;&gt;"A"))</formula>
    </cfRule>
  </conditionalFormatting>
  <conditionalFormatting sqref="EZ451:FA451">
    <cfRule type="expression" dxfId="1356" priority="3442">
      <formula>AND(COLUMN()&gt;162,OR(WEEKDAY($Q$6)&lt;&gt;4,$X$6&lt;&gt;"A"))</formula>
    </cfRule>
  </conditionalFormatting>
  <conditionalFormatting sqref="EZ451:FA451">
    <cfRule type="expression" dxfId="1355" priority="3441">
      <formula>AND(COLUMN()&gt;162,OR(WEEKDAY($Q$6)&lt;&gt;4,$X$6&lt;&gt;"A"))</formula>
    </cfRule>
  </conditionalFormatting>
  <conditionalFormatting sqref="EZ451:FA451">
    <cfRule type="expression" dxfId="1354" priority="3440">
      <formula>AND(COLUMN()&gt;162,OR(WEEKDAY($Q$6)&lt;&gt;4,$X$6&lt;&gt;"A"))</formula>
    </cfRule>
  </conditionalFormatting>
  <conditionalFormatting sqref="EZ451:FA451">
    <cfRule type="expression" dxfId="1353" priority="3439">
      <formula>AND(COLUMN()&gt;162,OR(WEEKDAY($Q$6)&lt;&gt;4,$X$6&lt;&gt;"A"))</formula>
    </cfRule>
  </conditionalFormatting>
  <conditionalFormatting sqref="EZ451:FA451">
    <cfRule type="expression" dxfId="1352" priority="3438">
      <formula>AND(COLUMN()&gt;162,OR(WEEKDAY($Q$6)&lt;&gt;4,$X$6&lt;&gt;"A"))</formula>
    </cfRule>
  </conditionalFormatting>
  <conditionalFormatting sqref="EZ451:FA451">
    <cfRule type="expression" dxfId="1351" priority="3437">
      <formula>AND(COLUMN()&gt;162,OR(WEEKDAY($Q$6)&lt;&gt;4,$X$6&lt;&gt;"A"))</formula>
    </cfRule>
  </conditionalFormatting>
  <conditionalFormatting sqref="EZ451:FA451">
    <cfRule type="expression" dxfId="1350" priority="3436">
      <formula>AND(COLUMN()&gt;162,OR(WEEKDAY($Q$6)&lt;&gt;4,$X$6&lt;&gt;"A"))</formula>
    </cfRule>
  </conditionalFormatting>
  <conditionalFormatting sqref="EZ451:FA451">
    <cfRule type="expression" dxfId="1349" priority="3435">
      <formula>AND(COLUMN()&gt;162,OR(WEEKDAY($Q$6)&lt;&gt;4,$X$6&lt;&gt;"A"))</formula>
    </cfRule>
  </conditionalFormatting>
  <conditionalFormatting sqref="EZ451:FA451">
    <cfRule type="expression" dxfId="1348" priority="3434">
      <formula>AND(COLUMN()&gt;162,OR(WEEKDAY($Q$6)&lt;&gt;4,$X$6&lt;&gt;"A"))</formula>
    </cfRule>
  </conditionalFormatting>
  <conditionalFormatting sqref="EZ451:FA451">
    <cfRule type="expression" dxfId="1347" priority="3433">
      <formula>AND(COLUMN()&gt;162,OR(WEEKDAY($Q$6)&lt;&gt;4,$X$6&lt;&gt;"A"))</formula>
    </cfRule>
  </conditionalFormatting>
  <conditionalFormatting sqref="EZ451:FA451">
    <cfRule type="expression" dxfId="1346" priority="3432">
      <formula>AND(COLUMN()&gt;162,OR(WEEKDAY($Q$6)&lt;&gt;4,$X$6&lt;&gt;"A"))</formula>
    </cfRule>
  </conditionalFormatting>
  <conditionalFormatting sqref="EZ451:FA451">
    <cfRule type="expression" dxfId="1345" priority="3431">
      <formula>AND(COLUMN()&gt;162,OR(WEEKDAY($Q$6)&lt;&gt;4,$X$6&lt;&gt;"A"))</formula>
    </cfRule>
  </conditionalFormatting>
  <conditionalFormatting sqref="EZ451:FA451">
    <cfRule type="expression" dxfId="1344" priority="3430">
      <formula>AND(COLUMN()&gt;162,OR(WEEKDAY($Q$6)&lt;&gt;4,$X$6&lt;&gt;"A"))</formula>
    </cfRule>
  </conditionalFormatting>
  <conditionalFormatting sqref="EZ451:FA451">
    <cfRule type="expression" dxfId="1343" priority="3429">
      <formula>AND(COLUMN()&gt;162,OR(WEEKDAY($Q$6)&lt;&gt;4,$X$6&lt;&gt;"A"))</formula>
    </cfRule>
  </conditionalFormatting>
  <conditionalFormatting sqref="EZ451:FA451">
    <cfRule type="expression" dxfId="1342" priority="3428">
      <formula>AND(COLUMN()&gt;162,OR(WEEKDAY($Q$6)&lt;&gt;4,$X$6&lt;&gt;"A"))</formula>
    </cfRule>
  </conditionalFormatting>
  <conditionalFormatting sqref="EZ451:FA451">
    <cfRule type="expression" dxfId="1341" priority="3427">
      <formula>AND(COLUMN()&gt;162,OR(WEEKDAY($Q$6)&lt;&gt;4,$X$6&lt;&gt;"A"))</formula>
    </cfRule>
  </conditionalFormatting>
  <conditionalFormatting sqref="EZ451:FA451">
    <cfRule type="expression" dxfId="1340" priority="3426">
      <formula>AND(COLUMN()&gt;162,OR(WEEKDAY($Q$6)&lt;&gt;4,$X$6&lt;&gt;"A"))</formula>
    </cfRule>
  </conditionalFormatting>
  <conditionalFormatting sqref="EZ451:FA451">
    <cfRule type="expression" dxfId="1339" priority="3425">
      <formula>AND(COLUMN()&gt;162,OR(WEEKDAY($Q$6)&lt;&gt;4,$X$6&lt;&gt;"A"))</formula>
    </cfRule>
  </conditionalFormatting>
  <conditionalFormatting sqref="EZ451:FA451">
    <cfRule type="expression" dxfId="1338" priority="3424">
      <formula>AND(COLUMN()&gt;162,OR(WEEKDAY($Q$6)&lt;&gt;4,$X$6&lt;&gt;"A"))</formula>
    </cfRule>
  </conditionalFormatting>
  <conditionalFormatting sqref="EZ451:FA451">
    <cfRule type="expression" dxfId="1337" priority="3423">
      <formula>AND(COLUMN()&gt;162,OR(WEEKDAY($Q$6)&lt;&gt;4,$X$6&lt;&gt;"A"))</formula>
    </cfRule>
  </conditionalFormatting>
  <conditionalFormatting sqref="EZ451:FA451">
    <cfRule type="expression" dxfId="1336" priority="3422">
      <formula>AND(COLUMN()&gt;162,OR(WEEKDAY($Q$6)&lt;&gt;4,$X$6&lt;&gt;"A"))</formula>
    </cfRule>
  </conditionalFormatting>
  <conditionalFormatting sqref="EZ451:FA451">
    <cfRule type="expression" dxfId="1335" priority="3421">
      <formula>AND(COLUMN()&gt;162,OR(WEEKDAY($Q$6)&lt;&gt;4,$X$6&lt;&gt;"A"))</formula>
    </cfRule>
  </conditionalFormatting>
  <conditionalFormatting sqref="EZ451:FA451">
    <cfRule type="expression" dxfId="1334" priority="3420">
      <formula>AND(COLUMN()&gt;162,OR(WEEKDAY($Q$6)&lt;&gt;4,$X$6&lt;&gt;"A"))</formula>
    </cfRule>
  </conditionalFormatting>
  <conditionalFormatting sqref="EZ451:FA451">
    <cfRule type="expression" dxfId="1333" priority="3419">
      <formula>AND(COLUMN()&gt;162,OR(WEEKDAY($Q$6)&lt;&gt;4,$X$6&lt;&gt;"A"))</formula>
    </cfRule>
  </conditionalFormatting>
  <conditionalFormatting sqref="EZ451:FA451">
    <cfRule type="expression" dxfId="1332" priority="3418">
      <formula>AND(COLUMN()&gt;162,OR(WEEKDAY($Q$6)&lt;&gt;4,$X$6&lt;&gt;"A"))</formula>
    </cfRule>
  </conditionalFormatting>
  <conditionalFormatting sqref="EZ451:FA451">
    <cfRule type="expression" dxfId="1331" priority="3417">
      <formula>AND(COLUMN()&gt;162,OR(WEEKDAY($Q$6)&lt;&gt;4,$X$6&lt;&gt;"A"))</formula>
    </cfRule>
  </conditionalFormatting>
  <conditionalFormatting sqref="EZ451:FA451">
    <cfRule type="expression" dxfId="1330" priority="3416">
      <formula>AND(COLUMN()&gt;162,OR(WEEKDAY($Q$6)&lt;&gt;4,$X$6&lt;&gt;"A"))</formula>
    </cfRule>
  </conditionalFormatting>
  <conditionalFormatting sqref="EZ451:FA451">
    <cfRule type="expression" dxfId="1329" priority="3415">
      <formula>AND(COLUMN()&gt;162,OR(WEEKDAY($Q$6)&lt;&gt;4,$X$6&lt;&gt;"A"))</formula>
    </cfRule>
  </conditionalFormatting>
  <conditionalFormatting sqref="EZ451:FA451">
    <cfRule type="expression" dxfId="1328" priority="3414">
      <formula>AND(COLUMN()&gt;162,OR(WEEKDAY($Q$6)&lt;&gt;4,$X$6&lt;&gt;"A"))</formula>
    </cfRule>
  </conditionalFormatting>
  <conditionalFormatting sqref="EZ451:FA451">
    <cfRule type="expression" dxfId="1327" priority="3413">
      <formula>AND(COLUMN()&gt;162,OR(WEEKDAY($Q$6)&lt;&gt;4,$X$6&lt;&gt;"A"))</formula>
    </cfRule>
  </conditionalFormatting>
  <conditionalFormatting sqref="EZ451:FA451">
    <cfRule type="expression" dxfId="1326" priority="3412">
      <formula>AND(COLUMN()&gt;162,OR(WEEKDAY($Q$6)&lt;&gt;4,$X$6&lt;&gt;"A"))</formula>
    </cfRule>
  </conditionalFormatting>
  <conditionalFormatting sqref="EZ451:FA451">
    <cfRule type="expression" dxfId="1325" priority="3411">
      <formula>AND(COLUMN()&gt;162,OR(WEEKDAY($Q$6)&lt;&gt;4,$X$6&lt;&gt;"A"))</formula>
    </cfRule>
  </conditionalFormatting>
  <conditionalFormatting sqref="EZ451:FA451">
    <cfRule type="expression" dxfId="1324" priority="3410">
      <formula>AND(COLUMN()&gt;162,OR(WEEKDAY($Q$6)&lt;&gt;4,$X$6&lt;&gt;"A"))</formula>
    </cfRule>
  </conditionalFormatting>
  <conditionalFormatting sqref="EZ451:FA451">
    <cfRule type="expression" dxfId="1323" priority="3409">
      <formula>AND(COLUMN()&gt;162,OR(WEEKDAY($Q$6)&lt;&gt;4,$X$6&lt;&gt;"A"))</formula>
    </cfRule>
  </conditionalFormatting>
  <conditionalFormatting sqref="EZ451:FA451">
    <cfRule type="expression" dxfId="1322" priority="3408">
      <formula>AND(COLUMN()&gt;162,OR(WEEKDAY($Q$6)&lt;&gt;4,$X$6&lt;&gt;"A"))</formula>
    </cfRule>
  </conditionalFormatting>
  <conditionalFormatting sqref="EZ451:FA451">
    <cfRule type="expression" dxfId="1321" priority="3407">
      <formula>AND(COLUMN()&gt;162,OR(WEEKDAY($Q$6)&lt;&gt;4,$X$6&lt;&gt;"A"))</formula>
    </cfRule>
  </conditionalFormatting>
  <conditionalFormatting sqref="EZ451:FA451">
    <cfRule type="expression" dxfId="1320" priority="3406">
      <formula>AND(COLUMN()&gt;162,OR(WEEKDAY($Q$6)&lt;&gt;4,$X$6&lt;&gt;"A"))</formula>
    </cfRule>
  </conditionalFormatting>
  <conditionalFormatting sqref="EZ451:FA451">
    <cfRule type="expression" dxfId="1319" priority="3405">
      <formula>AND(COLUMN()&gt;162,OR(WEEKDAY($Q$6)&lt;&gt;4,$X$6&lt;&gt;"A"))</formula>
    </cfRule>
  </conditionalFormatting>
  <conditionalFormatting sqref="EZ451:FA451">
    <cfRule type="expression" dxfId="1318" priority="3404">
      <formula>AND(COLUMN()&gt;162,OR(WEEKDAY($Q$6)&lt;&gt;4,$X$6&lt;&gt;"A"))</formula>
    </cfRule>
  </conditionalFormatting>
  <conditionalFormatting sqref="EZ451:FA451">
    <cfRule type="expression" dxfId="1317" priority="3403">
      <formula>AND(COLUMN()&gt;162,OR(WEEKDAY($Q$6)&lt;&gt;4,$X$6&lt;&gt;"A"))</formula>
    </cfRule>
  </conditionalFormatting>
  <conditionalFormatting sqref="EZ451:FA451">
    <cfRule type="expression" dxfId="1316" priority="3402">
      <formula>AND(COLUMN()&gt;162,OR(WEEKDAY($Q$6)&lt;&gt;4,$X$6&lt;&gt;"A"))</formula>
    </cfRule>
  </conditionalFormatting>
  <conditionalFormatting sqref="EZ451:FA451">
    <cfRule type="expression" dxfId="1315" priority="3401">
      <formula>AND(COLUMN()&gt;162,OR(WEEKDAY($Q$6)&lt;&gt;4,$X$6&lt;&gt;"A"))</formula>
    </cfRule>
  </conditionalFormatting>
  <conditionalFormatting sqref="EZ451:FA451">
    <cfRule type="expression" dxfId="1314" priority="3400">
      <formula>AND(COLUMN()&gt;162,OR(WEEKDAY($Q$6)&lt;&gt;4,$X$6&lt;&gt;"A"))</formula>
    </cfRule>
  </conditionalFormatting>
  <conditionalFormatting sqref="EZ451:FA451">
    <cfRule type="expression" dxfId="1313" priority="3399">
      <formula>AND(COLUMN()&gt;162,OR(WEEKDAY($Q$6)&lt;&gt;4,$X$6&lt;&gt;"A"))</formula>
    </cfRule>
  </conditionalFormatting>
  <conditionalFormatting sqref="EZ451:FA451">
    <cfRule type="expression" dxfId="1312" priority="3398">
      <formula>AND(COLUMN()&gt;162,OR(WEEKDAY($Q$6)&lt;&gt;4,$X$6&lt;&gt;"A"))</formula>
    </cfRule>
  </conditionalFormatting>
  <conditionalFormatting sqref="EZ451:FA451">
    <cfRule type="expression" dxfId="1311" priority="3397">
      <formula>AND(COLUMN()&gt;162,OR(WEEKDAY($Q$6)&lt;&gt;4,$X$6&lt;&gt;"A"))</formula>
    </cfRule>
  </conditionalFormatting>
  <conditionalFormatting sqref="EZ451:FA451">
    <cfRule type="expression" dxfId="1310" priority="3396">
      <formula>AND(COLUMN()&gt;162,OR(WEEKDAY($Q$6)&lt;&gt;4,$X$6&lt;&gt;"A"))</formula>
    </cfRule>
  </conditionalFormatting>
  <conditionalFormatting sqref="EZ451:FA451">
    <cfRule type="expression" dxfId="1309" priority="3395">
      <formula>AND(COLUMN()&gt;162,OR(WEEKDAY($Q$6)&lt;&gt;4,$X$6&lt;&gt;"A"))</formula>
    </cfRule>
  </conditionalFormatting>
  <conditionalFormatting sqref="EZ451:FA451">
    <cfRule type="expression" dxfId="1308" priority="3394">
      <formula>AND(COLUMN()&gt;162,OR(WEEKDAY($Q$6)&lt;&gt;4,$X$6&lt;&gt;"A"))</formula>
    </cfRule>
  </conditionalFormatting>
  <conditionalFormatting sqref="EZ451:FA451">
    <cfRule type="expression" dxfId="1307" priority="3393">
      <formula>AND(COLUMN()&gt;162,OR(WEEKDAY($Q$6)&lt;&gt;4,$X$6&lt;&gt;"A"))</formula>
    </cfRule>
  </conditionalFormatting>
  <conditionalFormatting sqref="EZ451:FA451">
    <cfRule type="expression" dxfId="1306" priority="3392">
      <formula>AND(COLUMN()&gt;162,OR(WEEKDAY($Q$6)&lt;&gt;4,$X$6&lt;&gt;"A"))</formula>
    </cfRule>
  </conditionalFormatting>
  <conditionalFormatting sqref="EZ451:FA451">
    <cfRule type="expression" dxfId="1305" priority="3391">
      <formula>AND(COLUMN()&gt;162,OR(WEEKDAY($Q$6)&lt;&gt;4,$X$6&lt;&gt;"A"))</formula>
    </cfRule>
  </conditionalFormatting>
  <conditionalFormatting sqref="EZ451:FA451">
    <cfRule type="expression" dxfId="1304" priority="3390">
      <formula>AND(COLUMN()&gt;162,OR(WEEKDAY($Q$6)&lt;&gt;4,$X$6&lt;&gt;"A"))</formula>
    </cfRule>
  </conditionalFormatting>
  <conditionalFormatting sqref="EZ451:FA451">
    <cfRule type="expression" dxfId="1303" priority="3389">
      <formula>AND(COLUMN()&gt;162,OR(WEEKDAY($Q$6)&lt;&gt;4,$X$6&lt;&gt;"A"))</formula>
    </cfRule>
  </conditionalFormatting>
  <conditionalFormatting sqref="EZ451:FA451">
    <cfRule type="expression" dxfId="1302" priority="3388">
      <formula>AND(COLUMN()&gt;162,OR(WEEKDAY($Q$6)&lt;&gt;4,$X$6&lt;&gt;"A"))</formula>
    </cfRule>
  </conditionalFormatting>
  <conditionalFormatting sqref="EZ451:FA451">
    <cfRule type="expression" dxfId="1301" priority="3387">
      <formula>AND(COLUMN()&gt;162,OR(WEEKDAY($Q$6)&lt;&gt;4,$X$6&lt;&gt;"A"))</formula>
    </cfRule>
  </conditionalFormatting>
  <conditionalFormatting sqref="EZ451:FA451">
    <cfRule type="expression" dxfId="1300" priority="3386">
      <formula>AND(COLUMN()&gt;162,OR(WEEKDAY($Q$6)&lt;&gt;4,$X$6&lt;&gt;"A"))</formula>
    </cfRule>
  </conditionalFormatting>
  <conditionalFormatting sqref="EZ451:FA451">
    <cfRule type="expression" dxfId="1299" priority="3385">
      <formula>AND(COLUMN()&gt;162,OR(WEEKDAY($Q$6)&lt;&gt;4,$X$6&lt;&gt;"A"))</formula>
    </cfRule>
  </conditionalFormatting>
  <conditionalFormatting sqref="EZ451:FA451">
    <cfRule type="expression" dxfId="1298" priority="3384">
      <formula>AND(COLUMN()&gt;162,OR(WEEKDAY($Q$6)&lt;&gt;4,$X$6&lt;&gt;"A"))</formula>
    </cfRule>
  </conditionalFormatting>
  <conditionalFormatting sqref="EZ451:FA451">
    <cfRule type="expression" dxfId="1297" priority="3383">
      <formula>AND(COLUMN()&gt;162,OR(WEEKDAY($Q$6)&lt;&gt;4,$X$6&lt;&gt;"A"))</formula>
    </cfRule>
  </conditionalFormatting>
  <conditionalFormatting sqref="EZ451:FA451">
    <cfRule type="expression" dxfId="1296" priority="3382">
      <formula>AND(COLUMN()&gt;162,OR(WEEKDAY($Q$6)&lt;&gt;4,$X$6&lt;&gt;"A"))</formula>
    </cfRule>
  </conditionalFormatting>
  <conditionalFormatting sqref="EZ451:FA451">
    <cfRule type="expression" dxfId="1295" priority="3381">
      <formula>AND(COLUMN()&gt;162,OR(WEEKDAY($Q$6)&lt;&gt;4,$X$6&lt;&gt;"A"))</formula>
    </cfRule>
  </conditionalFormatting>
  <conditionalFormatting sqref="N68">
    <cfRule type="expression" dxfId="1294" priority="3374">
      <formula>VALUE(TEXT(MID(N69,15,2)*1,"#")&amp;"/"&amp;MID(N69,17,2)&amp;"/"&amp;MID(N69,11,4))&lt;($Q$6-1)</formula>
    </cfRule>
  </conditionalFormatting>
  <conditionalFormatting sqref="CK451:CL451">
    <cfRule type="expression" dxfId="1293" priority="3360">
      <formula>AND(COLUMN()&gt;162,OR(WEEKDAY($Q$6)&lt;&gt;4,$X$6&lt;&gt;"A"))</formula>
    </cfRule>
  </conditionalFormatting>
  <conditionalFormatting sqref="CK451:CL451">
    <cfRule type="expression" dxfId="1292" priority="3359">
      <formula>AND(COLUMN()&gt;162,OR(WEEKDAY($Q$6)&lt;&gt;4,$X$6&lt;&gt;"A"))</formula>
    </cfRule>
  </conditionalFormatting>
  <conditionalFormatting sqref="CK451:CL451">
    <cfRule type="expression" dxfId="1291" priority="3358">
      <formula>AND(COLUMN()&gt;162,OR(WEEKDAY($Q$6)&lt;&gt;4,$X$6&lt;&gt;"A"))</formula>
    </cfRule>
  </conditionalFormatting>
  <conditionalFormatting sqref="CK451:CL451">
    <cfRule type="expression" dxfId="1290" priority="3357">
      <formula>AND(COLUMN()&gt;162,OR(WEEKDAY($Q$6)&lt;&gt;4,$X$6&lt;&gt;"A"))</formula>
    </cfRule>
  </conditionalFormatting>
  <conditionalFormatting sqref="CK451:CL451">
    <cfRule type="expression" dxfId="1289" priority="3356">
      <formula>AND(COLUMN()&gt;162,OR(WEEKDAY($Q$6)&lt;&gt;4,$X$6&lt;&gt;"A"))</formula>
    </cfRule>
  </conditionalFormatting>
  <conditionalFormatting sqref="CK451:CL451">
    <cfRule type="expression" dxfId="1288" priority="3355">
      <formula>AND(COLUMN()&gt;162,OR(WEEKDAY($Q$6)&lt;&gt;4,$X$6&lt;&gt;"A"))</formula>
    </cfRule>
  </conditionalFormatting>
  <conditionalFormatting sqref="CK451:CL451">
    <cfRule type="expression" dxfId="1287" priority="3354">
      <formula>AND(COLUMN()&gt;162,OR(WEEKDAY($Q$6)&lt;&gt;4,$X$6&lt;&gt;"A"))</formula>
    </cfRule>
  </conditionalFormatting>
  <conditionalFormatting sqref="CK451:CL451">
    <cfRule type="expression" dxfId="1286" priority="3353">
      <formula>AND(COLUMN()&gt;162,OR(WEEKDAY($Q$6)&lt;&gt;4,$X$6&lt;&gt;"A"))</formula>
    </cfRule>
  </conditionalFormatting>
  <conditionalFormatting sqref="CK451:CL451">
    <cfRule type="expression" dxfId="1285" priority="3352">
      <formula>AND(COLUMN()&gt;162,OR(WEEKDAY($Q$6)&lt;&gt;4,$X$6&lt;&gt;"A"))</formula>
    </cfRule>
  </conditionalFormatting>
  <conditionalFormatting sqref="CK451:CL451">
    <cfRule type="expression" dxfId="1284" priority="3351">
      <formula>AND(COLUMN()&gt;162,OR(WEEKDAY($Q$6)&lt;&gt;4,$X$6&lt;&gt;"A"))</formula>
    </cfRule>
  </conditionalFormatting>
  <conditionalFormatting sqref="CK451:CL451">
    <cfRule type="expression" dxfId="1283" priority="3350">
      <formula>AND(COLUMN()&gt;162,OR(WEEKDAY($Q$6)&lt;&gt;4,$X$6&lt;&gt;"A"))</formula>
    </cfRule>
  </conditionalFormatting>
  <conditionalFormatting sqref="CK451:CL451">
    <cfRule type="expression" dxfId="1282" priority="3349">
      <formula>AND(COLUMN()&gt;162,OR(WEEKDAY($Q$6)&lt;&gt;4,$X$6&lt;&gt;"A"))</formula>
    </cfRule>
  </conditionalFormatting>
  <conditionalFormatting sqref="CK451:CL451">
    <cfRule type="expression" dxfId="1281" priority="3348">
      <formula>AND(COLUMN()&gt;162,OR(WEEKDAY($Q$6)&lt;&gt;4,$X$6&lt;&gt;"A"))</formula>
    </cfRule>
  </conditionalFormatting>
  <conditionalFormatting sqref="CK451:CL451">
    <cfRule type="expression" dxfId="1280" priority="3347">
      <formula>AND(COLUMN()&gt;162,OR(WEEKDAY($Q$6)&lt;&gt;4,$X$6&lt;&gt;"A"))</formula>
    </cfRule>
  </conditionalFormatting>
  <conditionalFormatting sqref="CK451:CL451">
    <cfRule type="expression" dxfId="1279" priority="3346">
      <formula>AND(COLUMN()&gt;162,OR(WEEKDAY($Q$6)&lt;&gt;4,$X$6&lt;&gt;"A"))</formula>
    </cfRule>
  </conditionalFormatting>
  <conditionalFormatting sqref="CK451:CL451">
    <cfRule type="expression" dxfId="1278" priority="3345">
      <formula>AND(COLUMN()&gt;162,OR(WEEKDAY($Q$6)&lt;&gt;4,$X$6&lt;&gt;"A"))</formula>
    </cfRule>
  </conditionalFormatting>
  <conditionalFormatting sqref="CK451:CL451">
    <cfRule type="expression" dxfId="1277" priority="3344">
      <formula>AND(COLUMN()&gt;162,OR(WEEKDAY($Q$6)&lt;&gt;4,$X$6&lt;&gt;"A"))</formula>
    </cfRule>
  </conditionalFormatting>
  <conditionalFormatting sqref="CK451:CL451">
    <cfRule type="expression" dxfId="1276" priority="3343">
      <formula>AND(COLUMN()&gt;162,OR(WEEKDAY($Q$6)&lt;&gt;4,$X$6&lt;&gt;"A"))</formula>
    </cfRule>
  </conditionalFormatting>
  <conditionalFormatting sqref="CK451:CL451">
    <cfRule type="expression" dxfId="1275" priority="3342">
      <formula>AND(COLUMN()&gt;162,OR(WEEKDAY($Q$6)&lt;&gt;4,$X$6&lt;&gt;"A"))</formula>
    </cfRule>
  </conditionalFormatting>
  <conditionalFormatting sqref="CK451:CL451">
    <cfRule type="expression" dxfId="1274" priority="3341">
      <formula>AND(COLUMN()&gt;162,OR(WEEKDAY($Q$6)&lt;&gt;4,$X$6&lt;&gt;"A"))</formula>
    </cfRule>
  </conditionalFormatting>
  <conditionalFormatting sqref="CK451:CL451">
    <cfRule type="expression" dxfId="1273" priority="3340">
      <formula>AND(COLUMN()&gt;162,OR(WEEKDAY($Q$6)&lt;&gt;4,$X$6&lt;&gt;"A"))</formula>
    </cfRule>
  </conditionalFormatting>
  <conditionalFormatting sqref="CK451:CL451">
    <cfRule type="expression" dxfId="1272" priority="3339">
      <formula>AND(COLUMN()&gt;162,OR(WEEKDAY($Q$6)&lt;&gt;4,$X$6&lt;&gt;"A"))</formula>
    </cfRule>
  </conditionalFormatting>
  <conditionalFormatting sqref="CK451:CL451">
    <cfRule type="expression" dxfId="1271" priority="3338">
      <formula>AND(COLUMN()&gt;162,OR(WEEKDAY($Q$6)&lt;&gt;4,$X$6&lt;&gt;"A"))</formula>
    </cfRule>
  </conditionalFormatting>
  <conditionalFormatting sqref="CK451:CL451">
    <cfRule type="expression" dxfId="1270" priority="3337">
      <formula>AND(COLUMN()&gt;162,OR(WEEKDAY($Q$6)&lt;&gt;4,$X$6&lt;&gt;"A"))</formula>
    </cfRule>
  </conditionalFormatting>
  <conditionalFormatting sqref="CK451:CL451">
    <cfRule type="expression" dxfId="1269" priority="3336">
      <formula>AND(COLUMN()&gt;162,OR(WEEKDAY($Q$6)&lt;&gt;4,$X$6&lt;&gt;"A"))</formula>
    </cfRule>
  </conditionalFormatting>
  <conditionalFormatting sqref="CK451:CL451">
    <cfRule type="expression" dxfId="1268" priority="3335">
      <formula>AND(COLUMN()&gt;162,OR(WEEKDAY($Q$6)&lt;&gt;4,$X$6&lt;&gt;"A"))</formula>
    </cfRule>
  </conditionalFormatting>
  <conditionalFormatting sqref="CK451:CL451">
    <cfRule type="expression" dxfId="1267" priority="3334">
      <formula>AND(COLUMN()&gt;162,OR(WEEKDAY($Q$6)&lt;&gt;4,$X$6&lt;&gt;"A"))</formula>
    </cfRule>
  </conditionalFormatting>
  <conditionalFormatting sqref="CK451:CL451">
    <cfRule type="expression" dxfId="1266" priority="3333">
      <formula>AND(COLUMN()&gt;162,OR(WEEKDAY($Q$6)&lt;&gt;4,$X$6&lt;&gt;"A"))</formula>
    </cfRule>
  </conditionalFormatting>
  <conditionalFormatting sqref="CK451:CL451">
    <cfRule type="expression" dxfId="1265" priority="3332">
      <formula>AND(COLUMN()&gt;162,OR(WEEKDAY($Q$6)&lt;&gt;4,$X$6&lt;&gt;"A"))</formula>
    </cfRule>
  </conditionalFormatting>
  <conditionalFormatting sqref="CK451:CL451">
    <cfRule type="expression" dxfId="1264" priority="3331">
      <formula>AND(COLUMN()&gt;162,OR(WEEKDAY($Q$6)&lt;&gt;4,$X$6&lt;&gt;"A"))</formula>
    </cfRule>
  </conditionalFormatting>
  <conditionalFormatting sqref="CK451:CL451">
    <cfRule type="expression" dxfId="1263" priority="3330">
      <formula>AND(COLUMN()&gt;162,OR(WEEKDAY($Q$6)&lt;&gt;4,$X$6&lt;&gt;"A"))</formula>
    </cfRule>
  </conditionalFormatting>
  <conditionalFormatting sqref="CK451:CL451">
    <cfRule type="expression" dxfId="1262" priority="3329">
      <formula>AND(COLUMN()&gt;162,OR(WEEKDAY($Q$6)&lt;&gt;4,$X$6&lt;&gt;"A"))</formula>
    </cfRule>
  </conditionalFormatting>
  <conditionalFormatting sqref="CK451:CL451">
    <cfRule type="expression" dxfId="1261" priority="3328">
      <formula>AND(COLUMN()&gt;162,OR(WEEKDAY($Q$6)&lt;&gt;4,$X$6&lt;&gt;"A"))</formula>
    </cfRule>
  </conditionalFormatting>
  <conditionalFormatting sqref="CK451:CL451">
    <cfRule type="expression" dxfId="1260" priority="3327">
      <formula>AND(COLUMN()&gt;162,OR(WEEKDAY($Q$6)&lt;&gt;4,$X$6&lt;&gt;"A"))</formula>
    </cfRule>
  </conditionalFormatting>
  <conditionalFormatting sqref="CK451:CL451">
    <cfRule type="expression" dxfId="1259" priority="3326">
      <formula>AND(COLUMN()&gt;162,OR(WEEKDAY($Q$6)&lt;&gt;4,$X$6&lt;&gt;"A"))</formula>
    </cfRule>
  </conditionalFormatting>
  <conditionalFormatting sqref="CK451:CL451">
    <cfRule type="expression" dxfId="1258" priority="3325">
      <formula>AND(COLUMN()&gt;162,OR(WEEKDAY($Q$6)&lt;&gt;4,$X$6&lt;&gt;"A"))</formula>
    </cfRule>
  </conditionalFormatting>
  <conditionalFormatting sqref="CK451:CL451">
    <cfRule type="expression" dxfId="1257" priority="3324">
      <formula>AND(COLUMN()&gt;162,OR(WEEKDAY($Q$6)&lt;&gt;4,$X$6&lt;&gt;"A"))</formula>
    </cfRule>
  </conditionalFormatting>
  <conditionalFormatting sqref="CK451:CL451">
    <cfRule type="expression" dxfId="1256" priority="3323">
      <formula>AND(COLUMN()&gt;162,OR(WEEKDAY($Q$6)&lt;&gt;4,$X$6&lt;&gt;"A"))</formula>
    </cfRule>
  </conditionalFormatting>
  <conditionalFormatting sqref="CK451:CL451">
    <cfRule type="expression" dxfId="1255" priority="3322">
      <formula>AND(COLUMN()&gt;162,OR(WEEKDAY($Q$6)&lt;&gt;4,$X$6&lt;&gt;"A"))</formula>
    </cfRule>
  </conditionalFormatting>
  <conditionalFormatting sqref="CK451:CL451">
    <cfRule type="expression" dxfId="1254" priority="3321">
      <formula>AND(COLUMN()&gt;162,OR(WEEKDAY($Q$6)&lt;&gt;4,$X$6&lt;&gt;"A"))</formula>
    </cfRule>
  </conditionalFormatting>
  <conditionalFormatting sqref="CK451:CL451">
    <cfRule type="expression" dxfId="1253" priority="3320">
      <formula>AND(COLUMN()&gt;162,OR(WEEKDAY($Q$6)&lt;&gt;4,$X$6&lt;&gt;"A"))</formula>
    </cfRule>
  </conditionalFormatting>
  <conditionalFormatting sqref="CK451:CL451">
    <cfRule type="expression" dxfId="1252" priority="3319">
      <formula>AND(COLUMN()&gt;162,OR(WEEKDAY($Q$6)&lt;&gt;4,$X$6&lt;&gt;"A"))</formula>
    </cfRule>
  </conditionalFormatting>
  <conditionalFormatting sqref="CK451:CL451">
    <cfRule type="expression" dxfId="1251" priority="3318">
      <formula>AND(COLUMN()&gt;162,OR(WEEKDAY($Q$6)&lt;&gt;4,$X$6&lt;&gt;"A"))</formula>
    </cfRule>
  </conditionalFormatting>
  <conditionalFormatting sqref="CK451:CL451">
    <cfRule type="expression" dxfId="1250" priority="3317">
      <formula>AND(COLUMN()&gt;162,OR(WEEKDAY($Q$6)&lt;&gt;4,$X$6&lt;&gt;"A"))</formula>
    </cfRule>
  </conditionalFormatting>
  <conditionalFormatting sqref="CK451:CL451">
    <cfRule type="expression" dxfId="1249" priority="3316">
      <formula>AND(COLUMN()&gt;162,OR(WEEKDAY($Q$6)&lt;&gt;4,$X$6&lt;&gt;"A"))</formula>
    </cfRule>
  </conditionalFormatting>
  <conditionalFormatting sqref="CK451:CL451">
    <cfRule type="expression" dxfId="1248" priority="3315">
      <formula>AND(COLUMN()&gt;162,OR(WEEKDAY($Q$6)&lt;&gt;4,$X$6&lt;&gt;"A"))</formula>
    </cfRule>
  </conditionalFormatting>
  <conditionalFormatting sqref="CK451:CL451">
    <cfRule type="expression" dxfId="1247" priority="3314">
      <formula>AND(COLUMN()&gt;162,OR(WEEKDAY($Q$6)&lt;&gt;4,$X$6&lt;&gt;"A"))</formula>
    </cfRule>
  </conditionalFormatting>
  <conditionalFormatting sqref="CK451:CL451">
    <cfRule type="expression" dxfId="1246" priority="3313">
      <formula>AND(COLUMN()&gt;162,OR(WEEKDAY($Q$6)&lt;&gt;4,$X$6&lt;&gt;"A"))</formula>
    </cfRule>
  </conditionalFormatting>
  <conditionalFormatting sqref="CK451:CL451">
    <cfRule type="expression" dxfId="1245" priority="3312">
      <formula>AND(COLUMN()&gt;162,OR(WEEKDAY($Q$6)&lt;&gt;4,$X$6&lt;&gt;"A"))</formula>
    </cfRule>
  </conditionalFormatting>
  <conditionalFormatting sqref="CK451:CL451">
    <cfRule type="expression" dxfId="1244" priority="3311">
      <formula>AND(COLUMN()&gt;162,OR(WEEKDAY($Q$6)&lt;&gt;4,$X$6&lt;&gt;"A"))</formula>
    </cfRule>
  </conditionalFormatting>
  <conditionalFormatting sqref="CK451:CL451">
    <cfRule type="expression" dxfId="1243" priority="3310">
      <formula>AND(COLUMN()&gt;162,OR(WEEKDAY($Q$6)&lt;&gt;4,$X$6&lt;&gt;"A"))</formula>
    </cfRule>
  </conditionalFormatting>
  <conditionalFormatting sqref="CK451:CL451">
    <cfRule type="expression" dxfId="1242" priority="3309">
      <formula>AND(COLUMN()&gt;162,OR(WEEKDAY($Q$6)&lt;&gt;4,$X$6&lt;&gt;"A"))</formula>
    </cfRule>
  </conditionalFormatting>
  <conditionalFormatting sqref="CK451:CL451">
    <cfRule type="expression" dxfId="1241" priority="3308">
      <formula>AND(COLUMN()&gt;162,OR(WEEKDAY($Q$6)&lt;&gt;4,$X$6&lt;&gt;"A"))</formula>
    </cfRule>
  </conditionalFormatting>
  <conditionalFormatting sqref="CK451:CL451">
    <cfRule type="expression" dxfId="1240" priority="3307">
      <formula>AND(COLUMN()&gt;162,OR(WEEKDAY($Q$6)&lt;&gt;4,$X$6&lt;&gt;"A"))</formula>
    </cfRule>
  </conditionalFormatting>
  <conditionalFormatting sqref="CK451:CL451">
    <cfRule type="expression" dxfId="1239" priority="3306">
      <formula>AND(COLUMN()&gt;162,OR(WEEKDAY($Q$6)&lt;&gt;4,$X$6&lt;&gt;"A"))</formula>
    </cfRule>
  </conditionalFormatting>
  <conditionalFormatting sqref="CK451:CL451">
    <cfRule type="expression" dxfId="1238" priority="3305">
      <formula>AND(COLUMN()&gt;162,OR(WEEKDAY($Q$6)&lt;&gt;4,$X$6&lt;&gt;"A"))</formula>
    </cfRule>
  </conditionalFormatting>
  <conditionalFormatting sqref="CK451:CL451">
    <cfRule type="expression" dxfId="1237" priority="3304">
      <formula>AND(COLUMN()&gt;162,OR(WEEKDAY($Q$6)&lt;&gt;4,$X$6&lt;&gt;"A"))</formula>
    </cfRule>
  </conditionalFormatting>
  <conditionalFormatting sqref="CK451:CL451">
    <cfRule type="expression" dxfId="1236" priority="3303">
      <formula>AND(COLUMN()&gt;162,OR(WEEKDAY($Q$6)&lt;&gt;4,$X$6&lt;&gt;"A"))</formula>
    </cfRule>
  </conditionalFormatting>
  <conditionalFormatting sqref="CK451:CL451">
    <cfRule type="expression" dxfId="1235" priority="3302">
      <formula>AND(COLUMN()&gt;162,OR(WEEKDAY($Q$6)&lt;&gt;4,$X$6&lt;&gt;"A"))</formula>
    </cfRule>
  </conditionalFormatting>
  <conditionalFormatting sqref="CK451:CL451">
    <cfRule type="expression" dxfId="1234" priority="3301">
      <formula>AND(COLUMN()&gt;162,OR(WEEKDAY($Q$6)&lt;&gt;4,$X$6&lt;&gt;"A"))</formula>
    </cfRule>
  </conditionalFormatting>
  <conditionalFormatting sqref="CK451:CL451">
    <cfRule type="expression" dxfId="1233" priority="3300">
      <formula>AND(COLUMN()&gt;162,OR(WEEKDAY($Q$6)&lt;&gt;4,$X$6&lt;&gt;"A"))</formula>
    </cfRule>
  </conditionalFormatting>
  <conditionalFormatting sqref="CK451:CL451">
    <cfRule type="expression" dxfId="1232" priority="3299">
      <formula>AND(COLUMN()&gt;162,OR(WEEKDAY($Q$6)&lt;&gt;4,$X$6&lt;&gt;"A"))</formula>
    </cfRule>
  </conditionalFormatting>
  <conditionalFormatting sqref="CK451:CL451">
    <cfRule type="expression" dxfId="1231" priority="3298">
      <formula>AND(COLUMN()&gt;162,OR(WEEKDAY($Q$6)&lt;&gt;4,$X$6&lt;&gt;"A"))</formula>
    </cfRule>
  </conditionalFormatting>
  <conditionalFormatting sqref="CK451:CL451">
    <cfRule type="expression" dxfId="1230" priority="3297">
      <formula>AND(COLUMN()&gt;162,OR(WEEKDAY($Q$6)&lt;&gt;4,$X$6&lt;&gt;"A"))</formula>
    </cfRule>
  </conditionalFormatting>
  <conditionalFormatting sqref="CK451:CL451">
    <cfRule type="expression" dxfId="1229" priority="3296">
      <formula>AND(COLUMN()&gt;162,OR(WEEKDAY($Q$6)&lt;&gt;4,$X$6&lt;&gt;"A"))</formula>
    </cfRule>
  </conditionalFormatting>
  <conditionalFormatting sqref="CK451:CL451">
    <cfRule type="expression" dxfId="1228" priority="3295">
      <formula>AND(COLUMN()&gt;162,OR(WEEKDAY($Q$6)&lt;&gt;4,$X$6&lt;&gt;"A"))</formula>
    </cfRule>
  </conditionalFormatting>
  <conditionalFormatting sqref="CK451:CL451">
    <cfRule type="expression" dxfId="1227" priority="3294">
      <formula>AND(COLUMN()&gt;162,OR(WEEKDAY($Q$6)&lt;&gt;4,$X$6&lt;&gt;"A"))</formula>
    </cfRule>
  </conditionalFormatting>
  <conditionalFormatting sqref="CK451:CL451">
    <cfRule type="expression" dxfId="1226" priority="3293">
      <formula>AND(COLUMN()&gt;162,OR(WEEKDAY($Q$6)&lt;&gt;4,$X$6&lt;&gt;"A"))</formula>
    </cfRule>
  </conditionalFormatting>
  <conditionalFormatting sqref="CK451:CL451">
    <cfRule type="expression" dxfId="1225" priority="3292">
      <formula>AND(COLUMN()&gt;162,OR(WEEKDAY($Q$6)&lt;&gt;4,$X$6&lt;&gt;"A"))</formula>
    </cfRule>
  </conditionalFormatting>
  <conditionalFormatting sqref="CK451:CL451">
    <cfRule type="expression" dxfId="1224" priority="3291">
      <formula>AND(COLUMN()&gt;162,OR(WEEKDAY($Q$6)&lt;&gt;4,$X$6&lt;&gt;"A"))</formula>
    </cfRule>
  </conditionalFormatting>
  <conditionalFormatting sqref="CX451:CY451">
    <cfRule type="expression" dxfId="1223" priority="3042">
      <formula>AND(COLUMN()&gt;162,OR(WEEKDAY($Q$6)&lt;&gt;4,$X$6&lt;&gt;"A"))</formula>
    </cfRule>
  </conditionalFormatting>
  <conditionalFormatting sqref="CX451:CY451">
    <cfRule type="expression" dxfId="1222" priority="3041">
      <formula>AND(COLUMN()&gt;162,OR(WEEKDAY($Q$6)&lt;&gt;4,$X$6&lt;&gt;"A"))</formula>
    </cfRule>
  </conditionalFormatting>
  <conditionalFormatting sqref="CX451:CY451">
    <cfRule type="expression" dxfId="1221" priority="3040">
      <formula>AND(COLUMN()&gt;162,OR(WEEKDAY($Q$6)&lt;&gt;4,$X$6&lt;&gt;"A"))</formula>
    </cfRule>
  </conditionalFormatting>
  <conditionalFormatting sqref="CX451:CY451">
    <cfRule type="expression" dxfId="1220" priority="3039">
      <formula>AND(COLUMN()&gt;162,OR(WEEKDAY($Q$6)&lt;&gt;4,$X$6&lt;&gt;"A"))</formula>
    </cfRule>
  </conditionalFormatting>
  <conditionalFormatting sqref="CX451:CY451">
    <cfRule type="expression" dxfId="1219" priority="3038">
      <formula>AND(COLUMN()&gt;162,OR(WEEKDAY($Q$6)&lt;&gt;4,$X$6&lt;&gt;"A"))</formula>
    </cfRule>
  </conditionalFormatting>
  <conditionalFormatting sqref="CX451:CY451">
    <cfRule type="expression" dxfId="1218" priority="3037">
      <formula>AND(COLUMN()&gt;162,OR(WEEKDAY($Q$6)&lt;&gt;4,$X$6&lt;&gt;"A"))</formula>
    </cfRule>
  </conditionalFormatting>
  <conditionalFormatting sqref="CX451:CY451">
    <cfRule type="expression" dxfId="1217" priority="3036">
      <formula>AND(COLUMN()&gt;162,OR(WEEKDAY($Q$6)&lt;&gt;4,$X$6&lt;&gt;"A"))</formula>
    </cfRule>
  </conditionalFormatting>
  <conditionalFormatting sqref="CX451:CY451">
    <cfRule type="expression" dxfId="1216" priority="3035">
      <formula>AND(COLUMN()&gt;162,OR(WEEKDAY($Q$6)&lt;&gt;4,$X$6&lt;&gt;"A"))</formula>
    </cfRule>
  </conditionalFormatting>
  <conditionalFormatting sqref="CX451:CY451">
    <cfRule type="expression" dxfId="1215" priority="3034">
      <formula>AND(COLUMN()&gt;162,OR(WEEKDAY($Q$6)&lt;&gt;4,$X$6&lt;&gt;"A"))</formula>
    </cfRule>
  </conditionalFormatting>
  <conditionalFormatting sqref="CX451:CY451">
    <cfRule type="expression" dxfId="1214" priority="3033">
      <formula>AND(COLUMN()&gt;162,OR(WEEKDAY($Q$6)&lt;&gt;4,$X$6&lt;&gt;"A"))</formula>
    </cfRule>
  </conditionalFormatting>
  <conditionalFormatting sqref="CX451:CY451">
    <cfRule type="expression" dxfId="1213" priority="3032">
      <formula>AND(COLUMN()&gt;162,OR(WEEKDAY($Q$6)&lt;&gt;4,$X$6&lt;&gt;"A"))</formula>
    </cfRule>
  </conditionalFormatting>
  <conditionalFormatting sqref="CX451:CY451">
    <cfRule type="expression" dxfId="1212" priority="3031">
      <formula>AND(COLUMN()&gt;162,OR(WEEKDAY($Q$6)&lt;&gt;4,$X$6&lt;&gt;"A"))</formula>
    </cfRule>
  </conditionalFormatting>
  <conditionalFormatting sqref="CX451:CY451">
    <cfRule type="expression" dxfId="1211" priority="3030">
      <formula>AND(COLUMN()&gt;162,OR(WEEKDAY($Q$6)&lt;&gt;4,$X$6&lt;&gt;"A"))</formula>
    </cfRule>
  </conditionalFormatting>
  <conditionalFormatting sqref="CX451:CY451">
    <cfRule type="expression" dxfId="1210" priority="3029">
      <formula>AND(COLUMN()&gt;162,OR(WEEKDAY($Q$6)&lt;&gt;4,$X$6&lt;&gt;"A"))</formula>
    </cfRule>
  </conditionalFormatting>
  <conditionalFormatting sqref="CX451:CY451">
    <cfRule type="expression" dxfId="1209" priority="3028">
      <formula>AND(COLUMN()&gt;162,OR(WEEKDAY($Q$6)&lt;&gt;4,$X$6&lt;&gt;"A"))</formula>
    </cfRule>
  </conditionalFormatting>
  <conditionalFormatting sqref="CX451:CY451">
    <cfRule type="expression" dxfId="1208" priority="3027">
      <formula>AND(COLUMN()&gt;162,OR(WEEKDAY($Q$6)&lt;&gt;4,$X$6&lt;&gt;"A"))</formula>
    </cfRule>
  </conditionalFormatting>
  <conditionalFormatting sqref="CX451:CY451">
    <cfRule type="expression" dxfId="1207" priority="3026">
      <formula>AND(COLUMN()&gt;162,OR(WEEKDAY($Q$6)&lt;&gt;4,$X$6&lt;&gt;"A"))</formula>
    </cfRule>
  </conditionalFormatting>
  <conditionalFormatting sqref="CX451:CY451">
    <cfRule type="expression" dxfId="1206" priority="3025">
      <formula>AND(COLUMN()&gt;162,OR(WEEKDAY($Q$6)&lt;&gt;4,$X$6&lt;&gt;"A"))</formula>
    </cfRule>
  </conditionalFormatting>
  <conditionalFormatting sqref="CX451:CY451">
    <cfRule type="expression" dxfId="1205" priority="3024">
      <formula>AND(COLUMN()&gt;162,OR(WEEKDAY($Q$6)&lt;&gt;4,$X$6&lt;&gt;"A"))</formula>
    </cfRule>
  </conditionalFormatting>
  <conditionalFormatting sqref="CX451:CY451">
    <cfRule type="expression" dxfId="1204" priority="3023">
      <formula>AND(COLUMN()&gt;162,OR(WEEKDAY($Q$6)&lt;&gt;4,$X$6&lt;&gt;"A"))</formula>
    </cfRule>
  </conditionalFormatting>
  <conditionalFormatting sqref="CX451:CY451">
    <cfRule type="expression" dxfId="1203" priority="3022">
      <formula>AND(COLUMN()&gt;162,OR(WEEKDAY($Q$6)&lt;&gt;4,$X$6&lt;&gt;"A"))</formula>
    </cfRule>
  </conditionalFormatting>
  <conditionalFormatting sqref="CX451:CY451">
    <cfRule type="expression" dxfId="1202" priority="3021">
      <formula>AND(COLUMN()&gt;162,OR(WEEKDAY($Q$6)&lt;&gt;4,$X$6&lt;&gt;"A"))</formula>
    </cfRule>
  </conditionalFormatting>
  <conditionalFormatting sqref="CX451:CY451">
    <cfRule type="expression" dxfId="1201" priority="3020">
      <formula>AND(COLUMN()&gt;162,OR(WEEKDAY($Q$6)&lt;&gt;4,$X$6&lt;&gt;"A"))</formula>
    </cfRule>
  </conditionalFormatting>
  <conditionalFormatting sqref="CX451:CY451">
    <cfRule type="expression" dxfId="1200" priority="3019">
      <formula>AND(COLUMN()&gt;162,OR(WEEKDAY($Q$6)&lt;&gt;4,$X$6&lt;&gt;"A"))</formula>
    </cfRule>
  </conditionalFormatting>
  <conditionalFormatting sqref="CX451:CY451">
    <cfRule type="expression" dxfId="1199" priority="3018">
      <formula>AND(COLUMN()&gt;162,OR(WEEKDAY($Q$6)&lt;&gt;4,$X$6&lt;&gt;"A"))</formula>
    </cfRule>
  </conditionalFormatting>
  <conditionalFormatting sqref="CX451:CY451">
    <cfRule type="expression" dxfId="1198" priority="3017">
      <formula>AND(COLUMN()&gt;162,OR(WEEKDAY($Q$6)&lt;&gt;4,$X$6&lt;&gt;"A"))</formula>
    </cfRule>
  </conditionalFormatting>
  <conditionalFormatting sqref="CX451:CY451">
    <cfRule type="expression" dxfId="1197" priority="3016">
      <formula>AND(COLUMN()&gt;162,OR(WEEKDAY($Q$6)&lt;&gt;4,$X$6&lt;&gt;"A"))</formula>
    </cfRule>
  </conditionalFormatting>
  <conditionalFormatting sqref="CX451:CY451">
    <cfRule type="expression" dxfId="1196" priority="3015">
      <formula>AND(COLUMN()&gt;162,OR(WEEKDAY($Q$6)&lt;&gt;4,$X$6&lt;&gt;"A"))</formula>
    </cfRule>
  </conditionalFormatting>
  <conditionalFormatting sqref="CX451:CY451">
    <cfRule type="expression" dxfId="1195" priority="3014">
      <formula>AND(COLUMN()&gt;162,OR(WEEKDAY($Q$6)&lt;&gt;4,$X$6&lt;&gt;"A"))</formula>
    </cfRule>
  </conditionalFormatting>
  <conditionalFormatting sqref="CX451:CY451">
    <cfRule type="expression" dxfId="1194" priority="3013">
      <formula>AND(COLUMN()&gt;162,OR(WEEKDAY($Q$6)&lt;&gt;4,$X$6&lt;&gt;"A"))</formula>
    </cfRule>
  </conditionalFormatting>
  <conditionalFormatting sqref="CX451:CY451">
    <cfRule type="expression" dxfId="1193" priority="3012">
      <formula>AND(COLUMN()&gt;162,OR(WEEKDAY($Q$6)&lt;&gt;4,$X$6&lt;&gt;"A"))</formula>
    </cfRule>
  </conditionalFormatting>
  <conditionalFormatting sqref="CX451:CY451">
    <cfRule type="expression" dxfId="1192" priority="3011">
      <formula>AND(COLUMN()&gt;162,OR(WEEKDAY($Q$6)&lt;&gt;4,$X$6&lt;&gt;"A"))</formula>
    </cfRule>
  </conditionalFormatting>
  <conditionalFormatting sqref="CX451:CY451">
    <cfRule type="expression" dxfId="1191" priority="3010">
      <formula>AND(COLUMN()&gt;162,OR(WEEKDAY($Q$6)&lt;&gt;4,$X$6&lt;&gt;"A"))</formula>
    </cfRule>
  </conditionalFormatting>
  <conditionalFormatting sqref="CX451:CY451">
    <cfRule type="expression" dxfId="1190" priority="3009">
      <formula>AND(COLUMN()&gt;162,OR(WEEKDAY($Q$6)&lt;&gt;4,$X$6&lt;&gt;"A"))</formula>
    </cfRule>
  </conditionalFormatting>
  <conditionalFormatting sqref="CX451:CY451">
    <cfRule type="expression" dxfId="1189" priority="3008">
      <formula>AND(COLUMN()&gt;162,OR(WEEKDAY($Q$6)&lt;&gt;4,$X$6&lt;&gt;"A"))</formula>
    </cfRule>
  </conditionalFormatting>
  <conditionalFormatting sqref="CX451:CY451">
    <cfRule type="expression" dxfId="1188" priority="3007">
      <formula>AND(COLUMN()&gt;162,OR(WEEKDAY($Q$6)&lt;&gt;4,$X$6&lt;&gt;"A"))</formula>
    </cfRule>
  </conditionalFormatting>
  <conditionalFormatting sqref="CX451:CY451">
    <cfRule type="expression" dxfId="1187" priority="3006">
      <formula>AND(COLUMN()&gt;162,OR(WEEKDAY($Q$6)&lt;&gt;4,$X$6&lt;&gt;"A"))</formula>
    </cfRule>
  </conditionalFormatting>
  <conditionalFormatting sqref="CX451:CY451">
    <cfRule type="expression" dxfId="1186" priority="3005">
      <formula>AND(COLUMN()&gt;162,OR(WEEKDAY($Q$6)&lt;&gt;4,$X$6&lt;&gt;"A"))</formula>
    </cfRule>
  </conditionalFormatting>
  <conditionalFormatting sqref="CX451:CY451">
    <cfRule type="expression" dxfId="1185" priority="3004">
      <formula>AND(COLUMN()&gt;162,OR(WEEKDAY($Q$6)&lt;&gt;4,$X$6&lt;&gt;"A"))</formula>
    </cfRule>
  </conditionalFormatting>
  <conditionalFormatting sqref="CX451:CY451">
    <cfRule type="expression" dxfId="1184" priority="3003">
      <formula>AND(COLUMN()&gt;162,OR(WEEKDAY($Q$6)&lt;&gt;4,$X$6&lt;&gt;"A"))</formula>
    </cfRule>
  </conditionalFormatting>
  <conditionalFormatting sqref="CX451:CY451">
    <cfRule type="expression" dxfId="1183" priority="3002">
      <formula>AND(COLUMN()&gt;162,OR(WEEKDAY($Q$6)&lt;&gt;4,$X$6&lt;&gt;"A"))</formula>
    </cfRule>
  </conditionalFormatting>
  <conditionalFormatting sqref="CX451:CY451">
    <cfRule type="expression" dxfId="1182" priority="3001">
      <formula>AND(COLUMN()&gt;162,OR(WEEKDAY($Q$6)&lt;&gt;4,$X$6&lt;&gt;"A"))</formula>
    </cfRule>
  </conditionalFormatting>
  <conditionalFormatting sqref="CX451:CY451">
    <cfRule type="expression" dxfId="1181" priority="3000">
      <formula>AND(COLUMN()&gt;162,OR(WEEKDAY($Q$6)&lt;&gt;4,$X$6&lt;&gt;"A"))</formula>
    </cfRule>
  </conditionalFormatting>
  <conditionalFormatting sqref="CX451:CY451">
    <cfRule type="expression" dxfId="1180" priority="2999">
      <formula>AND(COLUMN()&gt;162,OR(WEEKDAY($Q$6)&lt;&gt;4,$X$6&lt;&gt;"A"))</formula>
    </cfRule>
  </conditionalFormatting>
  <conditionalFormatting sqref="CX451:CY451">
    <cfRule type="expression" dxfId="1179" priority="2998">
      <formula>AND(COLUMN()&gt;162,OR(WEEKDAY($Q$6)&lt;&gt;4,$X$6&lt;&gt;"A"))</formula>
    </cfRule>
  </conditionalFormatting>
  <conditionalFormatting sqref="CX451:CY451">
    <cfRule type="expression" dxfId="1178" priority="2997">
      <formula>AND(COLUMN()&gt;162,OR(WEEKDAY($Q$6)&lt;&gt;4,$X$6&lt;&gt;"A"))</formula>
    </cfRule>
  </conditionalFormatting>
  <conditionalFormatting sqref="CX451:CY451">
    <cfRule type="expression" dxfId="1177" priority="2996">
      <formula>AND(COLUMN()&gt;162,OR(WEEKDAY($Q$6)&lt;&gt;4,$X$6&lt;&gt;"A"))</formula>
    </cfRule>
  </conditionalFormatting>
  <conditionalFormatting sqref="CX451:CY451">
    <cfRule type="expression" dxfId="1176" priority="2995">
      <formula>AND(COLUMN()&gt;162,OR(WEEKDAY($Q$6)&lt;&gt;4,$X$6&lt;&gt;"A"))</formula>
    </cfRule>
  </conditionalFormatting>
  <conditionalFormatting sqref="CX451:CY451">
    <cfRule type="expression" dxfId="1175" priority="2994">
      <formula>AND(COLUMN()&gt;162,OR(WEEKDAY($Q$6)&lt;&gt;4,$X$6&lt;&gt;"A"))</formula>
    </cfRule>
  </conditionalFormatting>
  <conditionalFormatting sqref="CX451:CY451">
    <cfRule type="expression" dxfId="1174" priority="2993">
      <formula>AND(COLUMN()&gt;162,OR(WEEKDAY($Q$6)&lt;&gt;4,$X$6&lt;&gt;"A"))</formula>
    </cfRule>
  </conditionalFormatting>
  <conditionalFormatting sqref="CX451:CY451">
    <cfRule type="expression" dxfId="1173" priority="2992">
      <formula>AND(COLUMN()&gt;162,OR(WEEKDAY($Q$6)&lt;&gt;4,$X$6&lt;&gt;"A"))</formula>
    </cfRule>
  </conditionalFormatting>
  <conditionalFormatting sqref="CX451:CY451">
    <cfRule type="expression" dxfId="1172" priority="2991">
      <formula>AND(COLUMN()&gt;162,OR(WEEKDAY($Q$6)&lt;&gt;4,$X$6&lt;&gt;"A"))</formula>
    </cfRule>
  </conditionalFormatting>
  <conditionalFormatting sqref="CX451:CY451">
    <cfRule type="expression" dxfId="1171" priority="2990">
      <formula>AND(COLUMN()&gt;162,OR(WEEKDAY($Q$6)&lt;&gt;4,$X$6&lt;&gt;"A"))</formula>
    </cfRule>
  </conditionalFormatting>
  <conditionalFormatting sqref="CX451:CY451">
    <cfRule type="expression" dxfId="1170" priority="2989">
      <formula>AND(COLUMN()&gt;162,OR(WEEKDAY($Q$6)&lt;&gt;4,$X$6&lt;&gt;"A"))</formula>
    </cfRule>
  </conditionalFormatting>
  <conditionalFormatting sqref="CX451:CY451">
    <cfRule type="expression" dxfId="1169" priority="2988">
      <formula>AND(COLUMN()&gt;162,OR(WEEKDAY($Q$6)&lt;&gt;4,$X$6&lt;&gt;"A"))</formula>
    </cfRule>
  </conditionalFormatting>
  <conditionalFormatting sqref="CX451:CY451">
    <cfRule type="expression" dxfId="1168" priority="2987">
      <formula>AND(COLUMN()&gt;162,OR(WEEKDAY($Q$6)&lt;&gt;4,$X$6&lt;&gt;"A"))</formula>
    </cfRule>
  </conditionalFormatting>
  <conditionalFormatting sqref="CX451:CY451">
    <cfRule type="expression" dxfId="1167" priority="2986">
      <formula>AND(COLUMN()&gt;162,OR(WEEKDAY($Q$6)&lt;&gt;4,$X$6&lt;&gt;"A"))</formula>
    </cfRule>
  </conditionalFormatting>
  <conditionalFormatting sqref="CX451:CY451">
    <cfRule type="expression" dxfId="1166" priority="2985">
      <formula>AND(COLUMN()&gt;162,OR(WEEKDAY($Q$6)&lt;&gt;4,$X$6&lt;&gt;"A"))</formula>
    </cfRule>
  </conditionalFormatting>
  <conditionalFormatting sqref="CX451:CY451">
    <cfRule type="expression" dxfId="1165" priority="2984">
      <formula>AND(COLUMN()&gt;162,OR(WEEKDAY($Q$6)&lt;&gt;4,$X$6&lt;&gt;"A"))</formula>
    </cfRule>
  </conditionalFormatting>
  <conditionalFormatting sqref="CX451:CY451">
    <cfRule type="expression" dxfId="1164" priority="2983">
      <formula>AND(COLUMN()&gt;162,OR(WEEKDAY($Q$6)&lt;&gt;4,$X$6&lt;&gt;"A"))</formula>
    </cfRule>
  </conditionalFormatting>
  <conditionalFormatting sqref="CX451:CY451">
    <cfRule type="expression" dxfId="1163" priority="2982">
      <formula>AND(COLUMN()&gt;162,OR(WEEKDAY($Q$6)&lt;&gt;4,$X$6&lt;&gt;"A"))</formula>
    </cfRule>
  </conditionalFormatting>
  <conditionalFormatting sqref="CX451:CY451">
    <cfRule type="expression" dxfId="1162" priority="2981">
      <formula>AND(COLUMN()&gt;162,OR(WEEKDAY($Q$6)&lt;&gt;4,$X$6&lt;&gt;"A"))</formula>
    </cfRule>
  </conditionalFormatting>
  <conditionalFormatting sqref="CX451:CY451">
    <cfRule type="expression" dxfId="1161" priority="2980">
      <formula>AND(COLUMN()&gt;162,OR(WEEKDAY($Q$6)&lt;&gt;4,$X$6&lt;&gt;"A"))</formula>
    </cfRule>
  </conditionalFormatting>
  <conditionalFormatting sqref="CX451:CY451">
    <cfRule type="expression" dxfId="1160" priority="2979">
      <formula>AND(COLUMN()&gt;162,OR(WEEKDAY($Q$6)&lt;&gt;4,$X$6&lt;&gt;"A"))</formula>
    </cfRule>
  </conditionalFormatting>
  <conditionalFormatting sqref="CX451:CY451">
    <cfRule type="expression" dxfId="1159" priority="2978">
      <formula>AND(COLUMN()&gt;162,OR(WEEKDAY($Q$6)&lt;&gt;4,$X$6&lt;&gt;"A"))</formula>
    </cfRule>
  </conditionalFormatting>
  <conditionalFormatting sqref="CX451:CY451">
    <cfRule type="expression" dxfId="1158" priority="2977">
      <formula>AND(COLUMN()&gt;162,OR(WEEKDAY($Q$6)&lt;&gt;4,$X$6&lt;&gt;"A"))</formula>
    </cfRule>
  </conditionalFormatting>
  <conditionalFormatting sqref="CX451:CY451">
    <cfRule type="expression" dxfId="1157" priority="2976">
      <formula>AND(COLUMN()&gt;162,OR(WEEKDAY($Q$6)&lt;&gt;4,$X$6&lt;&gt;"A"))</formula>
    </cfRule>
  </conditionalFormatting>
  <conditionalFormatting sqref="CX451:CY451">
    <cfRule type="expression" dxfId="1156" priority="2975">
      <formula>AND(COLUMN()&gt;162,OR(WEEKDAY($Q$6)&lt;&gt;4,$X$6&lt;&gt;"A"))</formula>
    </cfRule>
  </conditionalFormatting>
  <conditionalFormatting sqref="CX451:CY451">
    <cfRule type="expression" dxfId="1155" priority="2974">
      <formula>AND(COLUMN()&gt;162,OR(WEEKDAY($Q$6)&lt;&gt;4,$X$6&lt;&gt;"A"))</formula>
    </cfRule>
  </conditionalFormatting>
  <conditionalFormatting sqref="CX451:CY451">
    <cfRule type="expression" dxfId="1154" priority="2973">
      <formula>AND(COLUMN()&gt;162,OR(WEEKDAY($Q$6)&lt;&gt;4,$X$6&lt;&gt;"A"))</formula>
    </cfRule>
  </conditionalFormatting>
  <conditionalFormatting sqref="DL451:DM451">
    <cfRule type="expression" dxfId="1153" priority="2721">
      <formula>AND(COLUMN()&gt;162,OR(WEEKDAY($Q$6)&lt;&gt;4,$X$6&lt;&gt;"A"))</formula>
    </cfRule>
  </conditionalFormatting>
  <conditionalFormatting sqref="DL451:DM451">
    <cfRule type="expression" dxfId="1152" priority="2720">
      <formula>AND(COLUMN()&gt;162,OR(WEEKDAY($Q$6)&lt;&gt;4,$X$6&lt;&gt;"A"))</formula>
    </cfRule>
  </conditionalFormatting>
  <conditionalFormatting sqref="DL451:DM451">
    <cfRule type="expression" dxfId="1151" priority="2719">
      <formula>AND(COLUMN()&gt;162,OR(WEEKDAY($Q$6)&lt;&gt;4,$X$6&lt;&gt;"A"))</formula>
    </cfRule>
  </conditionalFormatting>
  <conditionalFormatting sqref="DL451:DM451">
    <cfRule type="expression" dxfId="1150" priority="2718">
      <formula>AND(COLUMN()&gt;162,OR(WEEKDAY($Q$6)&lt;&gt;4,$X$6&lt;&gt;"A"))</formula>
    </cfRule>
  </conditionalFormatting>
  <conditionalFormatting sqref="DL451:DM451">
    <cfRule type="expression" dxfId="1149" priority="2717">
      <formula>AND(COLUMN()&gt;162,OR(WEEKDAY($Q$6)&lt;&gt;4,$X$6&lt;&gt;"A"))</formula>
    </cfRule>
  </conditionalFormatting>
  <conditionalFormatting sqref="DL451:DM451">
    <cfRule type="expression" dxfId="1148" priority="2716">
      <formula>AND(COLUMN()&gt;162,OR(WEEKDAY($Q$6)&lt;&gt;4,$X$6&lt;&gt;"A"))</formula>
    </cfRule>
  </conditionalFormatting>
  <conditionalFormatting sqref="DL451:DM451">
    <cfRule type="expression" dxfId="1147" priority="2715">
      <formula>AND(COLUMN()&gt;162,OR(WEEKDAY($Q$6)&lt;&gt;4,$X$6&lt;&gt;"A"))</formula>
    </cfRule>
  </conditionalFormatting>
  <conditionalFormatting sqref="DL451:DM451">
    <cfRule type="expression" dxfId="1146" priority="2714">
      <formula>AND(COLUMN()&gt;162,OR(WEEKDAY($Q$6)&lt;&gt;4,$X$6&lt;&gt;"A"))</formula>
    </cfRule>
  </conditionalFormatting>
  <conditionalFormatting sqref="DL451:DM451">
    <cfRule type="expression" dxfId="1145" priority="2713">
      <formula>AND(COLUMN()&gt;162,OR(WEEKDAY($Q$6)&lt;&gt;4,$X$6&lt;&gt;"A"))</formula>
    </cfRule>
  </conditionalFormatting>
  <conditionalFormatting sqref="DL451:DM451">
    <cfRule type="expression" dxfId="1144" priority="2712">
      <formula>AND(COLUMN()&gt;162,OR(WEEKDAY($Q$6)&lt;&gt;4,$X$6&lt;&gt;"A"))</formula>
    </cfRule>
  </conditionalFormatting>
  <conditionalFormatting sqref="DL451:DM451">
    <cfRule type="expression" dxfId="1143" priority="2711">
      <formula>AND(COLUMN()&gt;162,OR(WEEKDAY($Q$6)&lt;&gt;4,$X$6&lt;&gt;"A"))</formula>
    </cfRule>
  </conditionalFormatting>
  <conditionalFormatting sqref="DL451:DM451">
    <cfRule type="expression" dxfId="1142" priority="2710">
      <formula>AND(COLUMN()&gt;162,OR(WEEKDAY($Q$6)&lt;&gt;4,$X$6&lt;&gt;"A"))</formula>
    </cfRule>
  </conditionalFormatting>
  <conditionalFormatting sqref="DL451:DM451">
    <cfRule type="expression" dxfId="1141" priority="2709">
      <formula>AND(COLUMN()&gt;162,OR(WEEKDAY($Q$6)&lt;&gt;4,$X$6&lt;&gt;"A"))</formula>
    </cfRule>
  </conditionalFormatting>
  <conditionalFormatting sqref="DL451:DM451">
    <cfRule type="expression" dxfId="1140" priority="2708">
      <formula>AND(COLUMN()&gt;162,OR(WEEKDAY($Q$6)&lt;&gt;4,$X$6&lt;&gt;"A"))</formula>
    </cfRule>
  </conditionalFormatting>
  <conditionalFormatting sqref="DL451:DM451">
    <cfRule type="expression" dxfId="1139" priority="2707">
      <formula>AND(COLUMN()&gt;162,OR(WEEKDAY($Q$6)&lt;&gt;4,$X$6&lt;&gt;"A"))</formula>
    </cfRule>
  </conditionalFormatting>
  <conditionalFormatting sqref="DL451:DM451">
    <cfRule type="expression" dxfId="1138" priority="2706">
      <formula>AND(COLUMN()&gt;162,OR(WEEKDAY($Q$6)&lt;&gt;4,$X$6&lt;&gt;"A"))</formula>
    </cfRule>
  </conditionalFormatting>
  <conditionalFormatting sqref="DL451:DM451">
    <cfRule type="expression" dxfId="1137" priority="2705">
      <formula>AND(COLUMN()&gt;162,OR(WEEKDAY($Q$6)&lt;&gt;4,$X$6&lt;&gt;"A"))</formula>
    </cfRule>
  </conditionalFormatting>
  <conditionalFormatting sqref="DL451:DM451">
    <cfRule type="expression" dxfId="1136" priority="2704">
      <formula>AND(COLUMN()&gt;162,OR(WEEKDAY($Q$6)&lt;&gt;4,$X$6&lt;&gt;"A"))</formula>
    </cfRule>
  </conditionalFormatting>
  <conditionalFormatting sqref="DL451:DM451">
    <cfRule type="expression" dxfId="1135" priority="2703">
      <formula>AND(COLUMN()&gt;162,OR(WEEKDAY($Q$6)&lt;&gt;4,$X$6&lt;&gt;"A"))</formula>
    </cfRule>
  </conditionalFormatting>
  <conditionalFormatting sqref="DL451:DM451">
    <cfRule type="expression" dxfId="1134" priority="2702">
      <formula>AND(COLUMN()&gt;162,OR(WEEKDAY($Q$6)&lt;&gt;4,$X$6&lt;&gt;"A"))</formula>
    </cfRule>
  </conditionalFormatting>
  <conditionalFormatting sqref="DL451:DM451">
    <cfRule type="expression" dxfId="1133" priority="2701">
      <formula>AND(COLUMN()&gt;162,OR(WEEKDAY($Q$6)&lt;&gt;4,$X$6&lt;&gt;"A"))</formula>
    </cfRule>
  </conditionalFormatting>
  <conditionalFormatting sqref="DL451:DM451">
    <cfRule type="expression" dxfId="1132" priority="2700">
      <formula>AND(COLUMN()&gt;162,OR(WEEKDAY($Q$6)&lt;&gt;4,$X$6&lt;&gt;"A"))</formula>
    </cfRule>
  </conditionalFormatting>
  <conditionalFormatting sqref="DL451:DM451">
    <cfRule type="expression" dxfId="1131" priority="2699">
      <formula>AND(COLUMN()&gt;162,OR(WEEKDAY($Q$6)&lt;&gt;4,$X$6&lt;&gt;"A"))</formula>
    </cfRule>
  </conditionalFormatting>
  <conditionalFormatting sqref="DL451:DM451">
    <cfRule type="expression" dxfId="1130" priority="2698">
      <formula>AND(COLUMN()&gt;162,OR(WEEKDAY($Q$6)&lt;&gt;4,$X$6&lt;&gt;"A"))</formula>
    </cfRule>
  </conditionalFormatting>
  <conditionalFormatting sqref="DL451:DM451">
    <cfRule type="expression" dxfId="1129" priority="2697">
      <formula>AND(COLUMN()&gt;162,OR(WEEKDAY($Q$6)&lt;&gt;4,$X$6&lt;&gt;"A"))</formula>
    </cfRule>
  </conditionalFormatting>
  <conditionalFormatting sqref="DL451:DM451">
    <cfRule type="expression" dxfId="1128" priority="2696">
      <formula>AND(COLUMN()&gt;162,OR(WEEKDAY($Q$6)&lt;&gt;4,$X$6&lt;&gt;"A"))</formula>
    </cfRule>
  </conditionalFormatting>
  <conditionalFormatting sqref="DL451:DM451">
    <cfRule type="expression" dxfId="1127" priority="2695">
      <formula>AND(COLUMN()&gt;162,OR(WEEKDAY($Q$6)&lt;&gt;4,$X$6&lt;&gt;"A"))</formula>
    </cfRule>
  </conditionalFormatting>
  <conditionalFormatting sqref="DL451:DM451">
    <cfRule type="expression" dxfId="1126" priority="2694">
      <formula>AND(COLUMN()&gt;162,OR(WEEKDAY($Q$6)&lt;&gt;4,$X$6&lt;&gt;"A"))</formula>
    </cfRule>
  </conditionalFormatting>
  <conditionalFormatting sqref="DL451:DM451">
    <cfRule type="expression" dxfId="1125" priority="2693">
      <formula>AND(COLUMN()&gt;162,OR(WEEKDAY($Q$6)&lt;&gt;4,$X$6&lt;&gt;"A"))</formula>
    </cfRule>
  </conditionalFormatting>
  <conditionalFormatting sqref="DL451:DM451">
    <cfRule type="expression" dxfId="1124" priority="2692">
      <formula>AND(COLUMN()&gt;162,OR(WEEKDAY($Q$6)&lt;&gt;4,$X$6&lt;&gt;"A"))</formula>
    </cfRule>
  </conditionalFormatting>
  <conditionalFormatting sqref="DL451:DM451">
    <cfRule type="expression" dxfId="1123" priority="2691">
      <formula>AND(COLUMN()&gt;162,OR(WEEKDAY($Q$6)&lt;&gt;4,$X$6&lt;&gt;"A"))</formula>
    </cfRule>
  </conditionalFormatting>
  <conditionalFormatting sqref="DL451:DM451">
    <cfRule type="expression" dxfId="1122" priority="2690">
      <formula>AND(COLUMN()&gt;162,OR(WEEKDAY($Q$6)&lt;&gt;4,$X$6&lt;&gt;"A"))</formula>
    </cfRule>
  </conditionalFormatting>
  <conditionalFormatting sqref="DL451:DM451">
    <cfRule type="expression" dxfId="1121" priority="2689">
      <formula>AND(COLUMN()&gt;162,OR(WEEKDAY($Q$6)&lt;&gt;4,$X$6&lt;&gt;"A"))</formula>
    </cfRule>
  </conditionalFormatting>
  <conditionalFormatting sqref="DL451:DM451">
    <cfRule type="expression" dxfId="1120" priority="2688">
      <formula>AND(COLUMN()&gt;162,OR(WEEKDAY($Q$6)&lt;&gt;4,$X$6&lt;&gt;"A"))</formula>
    </cfRule>
  </conditionalFormatting>
  <conditionalFormatting sqref="DL451:DM451">
    <cfRule type="expression" dxfId="1119" priority="2687">
      <formula>AND(COLUMN()&gt;162,OR(WEEKDAY($Q$6)&lt;&gt;4,$X$6&lt;&gt;"A"))</formula>
    </cfRule>
  </conditionalFormatting>
  <conditionalFormatting sqref="DL451:DM451">
    <cfRule type="expression" dxfId="1118" priority="2686">
      <formula>AND(COLUMN()&gt;162,OR(WEEKDAY($Q$6)&lt;&gt;4,$X$6&lt;&gt;"A"))</formula>
    </cfRule>
  </conditionalFormatting>
  <conditionalFormatting sqref="DL451:DM451">
    <cfRule type="expression" dxfId="1117" priority="2685">
      <formula>AND(COLUMN()&gt;162,OR(WEEKDAY($Q$6)&lt;&gt;4,$X$6&lt;&gt;"A"))</formula>
    </cfRule>
  </conditionalFormatting>
  <conditionalFormatting sqref="DL451:DM451">
    <cfRule type="expression" dxfId="1116" priority="2684">
      <formula>AND(COLUMN()&gt;162,OR(WEEKDAY($Q$6)&lt;&gt;4,$X$6&lt;&gt;"A"))</formula>
    </cfRule>
  </conditionalFormatting>
  <conditionalFormatting sqref="DL451:DM451">
    <cfRule type="expression" dxfId="1115" priority="2683">
      <formula>AND(COLUMN()&gt;162,OR(WEEKDAY($Q$6)&lt;&gt;4,$X$6&lt;&gt;"A"))</formula>
    </cfRule>
  </conditionalFormatting>
  <conditionalFormatting sqref="DL451:DM451">
    <cfRule type="expression" dxfId="1114" priority="2682">
      <formula>AND(COLUMN()&gt;162,OR(WEEKDAY($Q$6)&lt;&gt;4,$X$6&lt;&gt;"A"))</formula>
    </cfRule>
  </conditionalFormatting>
  <conditionalFormatting sqref="DL451:DM451">
    <cfRule type="expression" dxfId="1113" priority="2681">
      <formula>AND(COLUMN()&gt;162,OR(WEEKDAY($Q$6)&lt;&gt;4,$X$6&lt;&gt;"A"))</formula>
    </cfRule>
  </conditionalFormatting>
  <conditionalFormatting sqref="DL451:DM451">
    <cfRule type="expression" dxfId="1112" priority="2680">
      <formula>AND(COLUMN()&gt;162,OR(WEEKDAY($Q$6)&lt;&gt;4,$X$6&lt;&gt;"A"))</formula>
    </cfRule>
  </conditionalFormatting>
  <conditionalFormatting sqref="DL451:DM451">
    <cfRule type="expression" dxfId="1111" priority="2679">
      <formula>AND(COLUMN()&gt;162,OR(WEEKDAY($Q$6)&lt;&gt;4,$X$6&lt;&gt;"A"))</formula>
    </cfRule>
  </conditionalFormatting>
  <conditionalFormatting sqref="DL451:DM451">
    <cfRule type="expression" dxfId="1110" priority="2678">
      <formula>AND(COLUMN()&gt;162,OR(WEEKDAY($Q$6)&lt;&gt;4,$X$6&lt;&gt;"A"))</formula>
    </cfRule>
  </conditionalFormatting>
  <conditionalFormatting sqref="DL451:DM451">
    <cfRule type="expression" dxfId="1109" priority="2677">
      <formula>AND(COLUMN()&gt;162,OR(WEEKDAY($Q$6)&lt;&gt;4,$X$6&lt;&gt;"A"))</formula>
    </cfRule>
  </conditionalFormatting>
  <conditionalFormatting sqref="DL451:DM451">
    <cfRule type="expression" dxfId="1108" priority="2676">
      <formula>AND(COLUMN()&gt;162,OR(WEEKDAY($Q$6)&lt;&gt;4,$X$6&lt;&gt;"A"))</formula>
    </cfRule>
  </conditionalFormatting>
  <conditionalFormatting sqref="DL451:DM451">
    <cfRule type="expression" dxfId="1107" priority="2675">
      <formula>AND(COLUMN()&gt;162,OR(WEEKDAY($Q$6)&lt;&gt;4,$X$6&lt;&gt;"A"))</formula>
    </cfRule>
  </conditionalFormatting>
  <conditionalFormatting sqref="DL451:DM451">
    <cfRule type="expression" dxfId="1106" priority="2674">
      <formula>AND(COLUMN()&gt;162,OR(WEEKDAY($Q$6)&lt;&gt;4,$X$6&lt;&gt;"A"))</formula>
    </cfRule>
  </conditionalFormatting>
  <conditionalFormatting sqref="DL451:DM451">
    <cfRule type="expression" dxfId="1105" priority="2673">
      <formula>AND(COLUMN()&gt;162,OR(WEEKDAY($Q$6)&lt;&gt;4,$X$6&lt;&gt;"A"))</formula>
    </cfRule>
  </conditionalFormatting>
  <conditionalFormatting sqref="DL451:DM451">
    <cfRule type="expression" dxfId="1104" priority="2672">
      <formula>AND(COLUMN()&gt;162,OR(WEEKDAY($Q$6)&lt;&gt;4,$X$6&lt;&gt;"A"))</formula>
    </cfRule>
  </conditionalFormatting>
  <conditionalFormatting sqref="DL451:DM451">
    <cfRule type="expression" dxfId="1103" priority="2671">
      <formula>AND(COLUMN()&gt;162,OR(WEEKDAY($Q$6)&lt;&gt;4,$X$6&lt;&gt;"A"))</formula>
    </cfRule>
  </conditionalFormatting>
  <conditionalFormatting sqref="DL451:DM451">
    <cfRule type="expression" dxfId="1102" priority="2670">
      <formula>AND(COLUMN()&gt;162,OR(WEEKDAY($Q$6)&lt;&gt;4,$X$6&lt;&gt;"A"))</formula>
    </cfRule>
  </conditionalFormatting>
  <conditionalFormatting sqref="DL451:DM451">
    <cfRule type="expression" dxfId="1101" priority="2669">
      <formula>AND(COLUMN()&gt;162,OR(WEEKDAY($Q$6)&lt;&gt;4,$X$6&lt;&gt;"A"))</formula>
    </cfRule>
  </conditionalFormatting>
  <conditionalFormatting sqref="DL451:DM451">
    <cfRule type="expression" dxfId="1100" priority="2668">
      <formula>AND(COLUMN()&gt;162,OR(WEEKDAY($Q$6)&lt;&gt;4,$X$6&lt;&gt;"A"))</formula>
    </cfRule>
  </conditionalFormatting>
  <conditionalFormatting sqref="DL451:DM451">
    <cfRule type="expression" dxfId="1099" priority="2667">
      <formula>AND(COLUMN()&gt;162,OR(WEEKDAY($Q$6)&lt;&gt;4,$X$6&lt;&gt;"A"))</formula>
    </cfRule>
  </conditionalFormatting>
  <conditionalFormatting sqref="DL451:DM451">
    <cfRule type="expression" dxfId="1098" priority="2666">
      <formula>AND(COLUMN()&gt;162,OR(WEEKDAY($Q$6)&lt;&gt;4,$X$6&lt;&gt;"A"))</formula>
    </cfRule>
  </conditionalFormatting>
  <conditionalFormatting sqref="DL451:DM451">
    <cfRule type="expression" dxfId="1097" priority="2665">
      <formula>AND(COLUMN()&gt;162,OR(WEEKDAY($Q$6)&lt;&gt;4,$X$6&lt;&gt;"A"))</formula>
    </cfRule>
  </conditionalFormatting>
  <conditionalFormatting sqref="DL451:DM451">
    <cfRule type="expression" dxfId="1096" priority="2664">
      <formula>AND(COLUMN()&gt;162,OR(WEEKDAY($Q$6)&lt;&gt;4,$X$6&lt;&gt;"A"))</formula>
    </cfRule>
  </conditionalFormatting>
  <conditionalFormatting sqref="DL451:DM451">
    <cfRule type="expression" dxfId="1095" priority="2663">
      <formula>AND(COLUMN()&gt;162,OR(WEEKDAY($Q$6)&lt;&gt;4,$X$6&lt;&gt;"A"))</formula>
    </cfRule>
  </conditionalFormatting>
  <conditionalFormatting sqref="DL451:DM451">
    <cfRule type="expression" dxfId="1094" priority="2662">
      <formula>AND(COLUMN()&gt;162,OR(WEEKDAY($Q$6)&lt;&gt;4,$X$6&lt;&gt;"A"))</formula>
    </cfRule>
  </conditionalFormatting>
  <conditionalFormatting sqref="DL451:DM451">
    <cfRule type="expression" dxfId="1093" priority="2661">
      <formula>AND(COLUMN()&gt;162,OR(WEEKDAY($Q$6)&lt;&gt;4,$X$6&lt;&gt;"A"))</formula>
    </cfRule>
  </conditionalFormatting>
  <conditionalFormatting sqref="DL451:DM451">
    <cfRule type="expression" dxfId="1092" priority="2660">
      <formula>AND(COLUMN()&gt;162,OR(WEEKDAY($Q$6)&lt;&gt;4,$X$6&lt;&gt;"A"))</formula>
    </cfRule>
  </conditionalFormatting>
  <conditionalFormatting sqref="DL451:DM451">
    <cfRule type="expression" dxfId="1091" priority="2659">
      <formula>AND(COLUMN()&gt;162,OR(WEEKDAY($Q$6)&lt;&gt;4,$X$6&lt;&gt;"A"))</formula>
    </cfRule>
  </conditionalFormatting>
  <conditionalFormatting sqref="DL451:DM451">
    <cfRule type="expression" dxfId="1090" priority="2658">
      <formula>AND(COLUMN()&gt;162,OR(WEEKDAY($Q$6)&lt;&gt;4,$X$6&lt;&gt;"A"))</formula>
    </cfRule>
  </conditionalFormatting>
  <conditionalFormatting sqref="DL451:DM451">
    <cfRule type="expression" dxfId="1089" priority="2657">
      <formula>AND(COLUMN()&gt;162,OR(WEEKDAY($Q$6)&lt;&gt;4,$X$6&lt;&gt;"A"))</formula>
    </cfRule>
  </conditionalFormatting>
  <conditionalFormatting sqref="DL451:DM451">
    <cfRule type="expression" dxfId="1088" priority="2656">
      <formula>AND(COLUMN()&gt;162,OR(WEEKDAY($Q$6)&lt;&gt;4,$X$6&lt;&gt;"A"))</formula>
    </cfRule>
  </conditionalFormatting>
  <conditionalFormatting sqref="DL451:DM451">
    <cfRule type="expression" dxfId="1087" priority="2655">
      <formula>AND(COLUMN()&gt;162,OR(WEEKDAY($Q$6)&lt;&gt;4,$X$6&lt;&gt;"A"))</formula>
    </cfRule>
  </conditionalFormatting>
  <conditionalFormatting sqref="DL451:DM451">
    <cfRule type="expression" dxfId="1086" priority="2654">
      <formula>AND(COLUMN()&gt;162,OR(WEEKDAY($Q$6)&lt;&gt;4,$X$6&lt;&gt;"A"))</formula>
    </cfRule>
  </conditionalFormatting>
  <conditionalFormatting sqref="DL451:DM451">
    <cfRule type="expression" dxfId="1085" priority="2653">
      <formula>AND(COLUMN()&gt;162,OR(WEEKDAY($Q$6)&lt;&gt;4,$X$6&lt;&gt;"A"))</formula>
    </cfRule>
  </conditionalFormatting>
  <conditionalFormatting sqref="DL451:DM451">
    <cfRule type="expression" dxfId="1084" priority="2652">
      <formula>AND(COLUMN()&gt;162,OR(WEEKDAY($Q$6)&lt;&gt;4,$X$6&lt;&gt;"A"))</formula>
    </cfRule>
  </conditionalFormatting>
  <conditionalFormatting sqref="DY451:DZ451">
    <cfRule type="expression" dxfId="1083" priority="2451">
      <formula>AND(COLUMN()&gt;162,OR(WEEKDAY($Q$6)&lt;&gt;4,$X$6&lt;&gt;"A"))</formula>
    </cfRule>
  </conditionalFormatting>
  <conditionalFormatting sqref="DY451:DZ451">
    <cfRule type="expression" dxfId="1082" priority="2450">
      <formula>AND(COLUMN()&gt;162,OR(WEEKDAY($Q$6)&lt;&gt;4,$X$6&lt;&gt;"A"))</formula>
    </cfRule>
  </conditionalFormatting>
  <conditionalFormatting sqref="DY451:DZ451">
    <cfRule type="expression" dxfId="1081" priority="2449">
      <formula>AND(COLUMN()&gt;162,OR(WEEKDAY($Q$6)&lt;&gt;4,$X$6&lt;&gt;"A"))</formula>
    </cfRule>
  </conditionalFormatting>
  <conditionalFormatting sqref="DY451:DZ451">
    <cfRule type="expression" dxfId="1080" priority="2448">
      <formula>AND(COLUMN()&gt;162,OR(WEEKDAY($Q$6)&lt;&gt;4,$X$6&lt;&gt;"A"))</formula>
    </cfRule>
  </conditionalFormatting>
  <conditionalFormatting sqref="DY451:DZ451">
    <cfRule type="expression" dxfId="1079" priority="2447">
      <formula>AND(COLUMN()&gt;162,OR(WEEKDAY($Q$6)&lt;&gt;4,$X$6&lt;&gt;"A"))</formula>
    </cfRule>
  </conditionalFormatting>
  <conditionalFormatting sqref="DY451:DZ451">
    <cfRule type="expression" dxfId="1078" priority="2446">
      <formula>AND(COLUMN()&gt;162,OR(WEEKDAY($Q$6)&lt;&gt;4,$X$6&lt;&gt;"A"))</formula>
    </cfRule>
  </conditionalFormatting>
  <conditionalFormatting sqref="DY451:DZ451">
    <cfRule type="expression" dxfId="1077" priority="2445">
      <formula>AND(COLUMN()&gt;162,OR(WEEKDAY($Q$6)&lt;&gt;4,$X$6&lt;&gt;"A"))</formula>
    </cfRule>
  </conditionalFormatting>
  <conditionalFormatting sqref="DY451:DZ451">
    <cfRule type="expression" dxfId="1076" priority="2444">
      <formula>AND(COLUMN()&gt;162,OR(WEEKDAY($Q$6)&lt;&gt;4,$X$6&lt;&gt;"A"))</formula>
    </cfRule>
  </conditionalFormatting>
  <conditionalFormatting sqref="DY451:DZ451">
    <cfRule type="expression" dxfId="1075" priority="2443">
      <formula>AND(COLUMN()&gt;162,OR(WEEKDAY($Q$6)&lt;&gt;4,$X$6&lt;&gt;"A"))</formula>
    </cfRule>
  </conditionalFormatting>
  <conditionalFormatting sqref="DY451:DZ451">
    <cfRule type="expression" dxfId="1074" priority="2442">
      <formula>AND(COLUMN()&gt;162,OR(WEEKDAY($Q$6)&lt;&gt;4,$X$6&lt;&gt;"A"))</formula>
    </cfRule>
  </conditionalFormatting>
  <conditionalFormatting sqref="DY451:DZ451">
    <cfRule type="expression" dxfId="1073" priority="2441">
      <formula>AND(COLUMN()&gt;162,OR(WEEKDAY($Q$6)&lt;&gt;4,$X$6&lt;&gt;"A"))</formula>
    </cfRule>
  </conditionalFormatting>
  <conditionalFormatting sqref="DY451:DZ451">
    <cfRule type="expression" dxfId="1072" priority="2440">
      <formula>AND(COLUMN()&gt;162,OR(WEEKDAY($Q$6)&lt;&gt;4,$X$6&lt;&gt;"A"))</formula>
    </cfRule>
  </conditionalFormatting>
  <conditionalFormatting sqref="DY451:DZ451">
    <cfRule type="expression" dxfId="1071" priority="2439">
      <formula>AND(COLUMN()&gt;162,OR(WEEKDAY($Q$6)&lt;&gt;4,$X$6&lt;&gt;"A"))</formula>
    </cfRule>
  </conditionalFormatting>
  <conditionalFormatting sqref="DY451:DZ451">
    <cfRule type="expression" dxfId="1070" priority="2438">
      <formula>AND(COLUMN()&gt;162,OR(WEEKDAY($Q$6)&lt;&gt;4,$X$6&lt;&gt;"A"))</formula>
    </cfRule>
  </conditionalFormatting>
  <conditionalFormatting sqref="DY451:DZ451">
    <cfRule type="expression" dxfId="1069" priority="2437">
      <formula>AND(COLUMN()&gt;162,OR(WEEKDAY($Q$6)&lt;&gt;4,$X$6&lt;&gt;"A"))</formula>
    </cfRule>
  </conditionalFormatting>
  <conditionalFormatting sqref="DY451:DZ451">
    <cfRule type="expression" dxfId="1068" priority="2436">
      <formula>AND(COLUMN()&gt;162,OR(WEEKDAY($Q$6)&lt;&gt;4,$X$6&lt;&gt;"A"))</formula>
    </cfRule>
  </conditionalFormatting>
  <conditionalFormatting sqref="DY451:DZ451">
    <cfRule type="expression" dxfId="1067" priority="2435">
      <formula>AND(COLUMN()&gt;162,OR(WEEKDAY($Q$6)&lt;&gt;4,$X$6&lt;&gt;"A"))</formula>
    </cfRule>
  </conditionalFormatting>
  <conditionalFormatting sqref="DY451:DZ451">
    <cfRule type="expression" dxfId="1066" priority="2434">
      <formula>AND(COLUMN()&gt;162,OR(WEEKDAY($Q$6)&lt;&gt;4,$X$6&lt;&gt;"A"))</formula>
    </cfRule>
  </conditionalFormatting>
  <conditionalFormatting sqref="DY451:DZ451">
    <cfRule type="expression" dxfId="1065" priority="2433">
      <formula>AND(COLUMN()&gt;162,OR(WEEKDAY($Q$6)&lt;&gt;4,$X$6&lt;&gt;"A"))</formula>
    </cfRule>
  </conditionalFormatting>
  <conditionalFormatting sqref="DY451:DZ451">
    <cfRule type="expression" dxfId="1064" priority="2432">
      <formula>AND(COLUMN()&gt;162,OR(WEEKDAY($Q$6)&lt;&gt;4,$X$6&lt;&gt;"A"))</formula>
    </cfRule>
  </conditionalFormatting>
  <conditionalFormatting sqref="DY451:DZ451">
    <cfRule type="expression" dxfId="1063" priority="2431">
      <formula>AND(COLUMN()&gt;162,OR(WEEKDAY($Q$6)&lt;&gt;4,$X$6&lt;&gt;"A"))</formula>
    </cfRule>
  </conditionalFormatting>
  <conditionalFormatting sqref="DY451:DZ451">
    <cfRule type="expression" dxfId="1062" priority="2430">
      <formula>AND(COLUMN()&gt;162,OR(WEEKDAY($Q$6)&lt;&gt;4,$X$6&lt;&gt;"A"))</formula>
    </cfRule>
  </conditionalFormatting>
  <conditionalFormatting sqref="DY451:DZ451">
    <cfRule type="expression" dxfId="1061" priority="2429">
      <formula>AND(COLUMN()&gt;162,OR(WEEKDAY($Q$6)&lt;&gt;4,$X$6&lt;&gt;"A"))</formula>
    </cfRule>
  </conditionalFormatting>
  <conditionalFormatting sqref="DY451:DZ451">
    <cfRule type="expression" dxfId="1060" priority="2428">
      <formula>AND(COLUMN()&gt;162,OR(WEEKDAY($Q$6)&lt;&gt;4,$X$6&lt;&gt;"A"))</formula>
    </cfRule>
  </conditionalFormatting>
  <conditionalFormatting sqref="DY451:DZ451">
    <cfRule type="expression" dxfId="1059" priority="2427">
      <formula>AND(COLUMN()&gt;162,OR(WEEKDAY($Q$6)&lt;&gt;4,$X$6&lt;&gt;"A"))</formula>
    </cfRule>
  </conditionalFormatting>
  <conditionalFormatting sqref="DY451:DZ451">
    <cfRule type="expression" dxfId="1058" priority="2426">
      <formula>AND(COLUMN()&gt;162,OR(WEEKDAY($Q$6)&lt;&gt;4,$X$6&lt;&gt;"A"))</formula>
    </cfRule>
  </conditionalFormatting>
  <conditionalFormatting sqref="DY451:DZ451">
    <cfRule type="expression" dxfId="1057" priority="2425">
      <formula>AND(COLUMN()&gt;162,OR(WEEKDAY($Q$6)&lt;&gt;4,$X$6&lt;&gt;"A"))</formula>
    </cfRule>
  </conditionalFormatting>
  <conditionalFormatting sqref="DY451:DZ451">
    <cfRule type="expression" dxfId="1056" priority="2424">
      <formula>AND(COLUMN()&gt;162,OR(WEEKDAY($Q$6)&lt;&gt;4,$X$6&lt;&gt;"A"))</formula>
    </cfRule>
  </conditionalFormatting>
  <conditionalFormatting sqref="DY451:DZ451">
    <cfRule type="expression" dxfId="1055" priority="2423">
      <formula>AND(COLUMN()&gt;162,OR(WEEKDAY($Q$6)&lt;&gt;4,$X$6&lt;&gt;"A"))</formula>
    </cfRule>
  </conditionalFormatting>
  <conditionalFormatting sqref="DY451:DZ451">
    <cfRule type="expression" dxfId="1054" priority="2422">
      <formula>AND(COLUMN()&gt;162,OR(WEEKDAY($Q$6)&lt;&gt;4,$X$6&lt;&gt;"A"))</formula>
    </cfRule>
  </conditionalFormatting>
  <conditionalFormatting sqref="DY451:DZ451">
    <cfRule type="expression" dxfId="1053" priority="2421">
      <formula>AND(COLUMN()&gt;162,OR(WEEKDAY($Q$6)&lt;&gt;4,$X$6&lt;&gt;"A"))</formula>
    </cfRule>
  </conditionalFormatting>
  <conditionalFormatting sqref="DY451:DZ451">
    <cfRule type="expression" dxfId="1052" priority="2420">
      <formula>AND(COLUMN()&gt;162,OR(WEEKDAY($Q$6)&lt;&gt;4,$X$6&lt;&gt;"A"))</formula>
    </cfRule>
  </conditionalFormatting>
  <conditionalFormatting sqref="DY451:DZ451">
    <cfRule type="expression" dxfId="1051" priority="2419">
      <formula>AND(COLUMN()&gt;162,OR(WEEKDAY($Q$6)&lt;&gt;4,$X$6&lt;&gt;"A"))</formula>
    </cfRule>
  </conditionalFormatting>
  <conditionalFormatting sqref="DY451:DZ451">
    <cfRule type="expression" dxfId="1050" priority="2418">
      <formula>AND(COLUMN()&gt;162,OR(WEEKDAY($Q$6)&lt;&gt;4,$X$6&lt;&gt;"A"))</formula>
    </cfRule>
  </conditionalFormatting>
  <conditionalFormatting sqref="DY451:DZ451">
    <cfRule type="expression" dxfId="1049" priority="2417">
      <formula>AND(COLUMN()&gt;162,OR(WEEKDAY($Q$6)&lt;&gt;4,$X$6&lt;&gt;"A"))</formula>
    </cfRule>
  </conditionalFormatting>
  <conditionalFormatting sqref="DY451:DZ451">
    <cfRule type="expression" dxfId="1048" priority="2416">
      <formula>AND(COLUMN()&gt;162,OR(WEEKDAY($Q$6)&lt;&gt;4,$X$6&lt;&gt;"A"))</formula>
    </cfRule>
  </conditionalFormatting>
  <conditionalFormatting sqref="DY451:DZ451">
    <cfRule type="expression" dxfId="1047" priority="2415">
      <formula>AND(COLUMN()&gt;162,OR(WEEKDAY($Q$6)&lt;&gt;4,$X$6&lt;&gt;"A"))</formula>
    </cfRule>
  </conditionalFormatting>
  <conditionalFormatting sqref="DY451:DZ451">
    <cfRule type="expression" dxfId="1046" priority="2414">
      <formula>AND(COLUMN()&gt;162,OR(WEEKDAY($Q$6)&lt;&gt;4,$X$6&lt;&gt;"A"))</formula>
    </cfRule>
  </conditionalFormatting>
  <conditionalFormatting sqref="DY451:DZ451">
    <cfRule type="expression" dxfId="1045" priority="2413">
      <formula>AND(COLUMN()&gt;162,OR(WEEKDAY($Q$6)&lt;&gt;4,$X$6&lt;&gt;"A"))</formula>
    </cfRule>
  </conditionalFormatting>
  <conditionalFormatting sqref="DY451:DZ451">
    <cfRule type="expression" dxfId="1044" priority="2412">
      <formula>AND(COLUMN()&gt;162,OR(WEEKDAY($Q$6)&lt;&gt;4,$X$6&lt;&gt;"A"))</formula>
    </cfRule>
  </conditionalFormatting>
  <conditionalFormatting sqref="DY451:DZ451">
    <cfRule type="expression" dxfId="1043" priority="2411">
      <formula>AND(COLUMN()&gt;162,OR(WEEKDAY($Q$6)&lt;&gt;4,$X$6&lt;&gt;"A"))</formula>
    </cfRule>
  </conditionalFormatting>
  <conditionalFormatting sqref="DY451:DZ451">
    <cfRule type="expression" dxfId="1042" priority="2410">
      <formula>AND(COLUMN()&gt;162,OR(WEEKDAY($Q$6)&lt;&gt;4,$X$6&lt;&gt;"A"))</formula>
    </cfRule>
  </conditionalFormatting>
  <conditionalFormatting sqref="DY451:DZ451">
    <cfRule type="expression" dxfId="1041" priority="2409">
      <formula>AND(COLUMN()&gt;162,OR(WEEKDAY($Q$6)&lt;&gt;4,$X$6&lt;&gt;"A"))</formula>
    </cfRule>
  </conditionalFormatting>
  <conditionalFormatting sqref="DY451:DZ451">
    <cfRule type="expression" dxfId="1040" priority="2408">
      <formula>AND(COLUMN()&gt;162,OR(WEEKDAY($Q$6)&lt;&gt;4,$X$6&lt;&gt;"A"))</formula>
    </cfRule>
  </conditionalFormatting>
  <conditionalFormatting sqref="DY451:DZ451">
    <cfRule type="expression" dxfId="1039" priority="2407">
      <formula>AND(COLUMN()&gt;162,OR(WEEKDAY($Q$6)&lt;&gt;4,$X$6&lt;&gt;"A"))</formula>
    </cfRule>
  </conditionalFormatting>
  <conditionalFormatting sqref="DY451:DZ451">
    <cfRule type="expression" dxfId="1038" priority="2406">
      <formula>AND(COLUMN()&gt;162,OR(WEEKDAY($Q$6)&lt;&gt;4,$X$6&lt;&gt;"A"))</formula>
    </cfRule>
  </conditionalFormatting>
  <conditionalFormatting sqref="DY451:DZ451">
    <cfRule type="expression" dxfId="1037" priority="2405">
      <formula>AND(COLUMN()&gt;162,OR(WEEKDAY($Q$6)&lt;&gt;4,$X$6&lt;&gt;"A"))</formula>
    </cfRule>
  </conditionalFormatting>
  <conditionalFormatting sqref="DY451:DZ451">
    <cfRule type="expression" dxfId="1036" priority="2404">
      <formula>AND(COLUMN()&gt;162,OR(WEEKDAY($Q$6)&lt;&gt;4,$X$6&lt;&gt;"A"))</formula>
    </cfRule>
  </conditionalFormatting>
  <conditionalFormatting sqref="DY451:DZ451">
    <cfRule type="expression" dxfId="1035" priority="2403">
      <formula>AND(COLUMN()&gt;162,OR(WEEKDAY($Q$6)&lt;&gt;4,$X$6&lt;&gt;"A"))</formula>
    </cfRule>
  </conditionalFormatting>
  <conditionalFormatting sqref="DY451:DZ451">
    <cfRule type="expression" dxfId="1034" priority="2402">
      <formula>AND(COLUMN()&gt;162,OR(WEEKDAY($Q$6)&lt;&gt;4,$X$6&lt;&gt;"A"))</formula>
    </cfRule>
  </conditionalFormatting>
  <conditionalFormatting sqref="DY451:DZ451">
    <cfRule type="expression" dxfId="1033" priority="2401">
      <formula>AND(COLUMN()&gt;162,OR(WEEKDAY($Q$6)&lt;&gt;4,$X$6&lt;&gt;"A"))</formula>
    </cfRule>
  </conditionalFormatting>
  <conditionalFormatting sqref="DY451:DZ451">
    <cfRule type="expression" dxfId="1032" priority="2400">
      <formula>AND(COLUMN()&gt;162,OR(WEEKDAY($Q$6)&lt;&gt;4,$X$6&lt;&gt;"A"))</formula>
    </cfRule>
  </conditionalFormatting>
  <conditionalFormatting sqref="DY451:DZ451">
    <cfRule type="expression" dxfId="1031" priority="2399">
      <formula>AND(COLUMN()&gt;162,OR(WEEKDAY($Q$6)&lt;&gt;4,$X$6&lt;&gt;"A"))</formula>
    </cfRule>
  </conditionalFormatting>
  <conditionalFormatting sqref="DY451:DZ451">
    <cfRule type="expression" dxfId="1030" priority="2398">
      <formula>AND(COLUMN()&gt;162,OR(WEEKDAY($Q$6)&lt;&gt;4,$X$6&lt;&gt;"A"))</formula>
    </cfRule>
  </conditionalFormatting>
  <conditionalFormatting sqref="DY451:DZ451">
    <cfRule type="expression" dxfId="1029" priority="2397">
      <formula>AND(COLUMN()&gt;162,OR(WEEKDAY($Q$6)&lt;&gt;4,$X$6&lt;&gt;"A"))</formula>
    </cfRule>
  </conditionalFormatting>
  <conditionalFormatting sqref="DY451:DZ451">
    <cfRule type="expression" dxfId="1028" priority="2396">
      <formula>AND(COLUMN()&gt;162,OR(WEEKDAY($Q$6)&lt;&gt;4,$X$6&lt;&gt;"A"))</formula>
    </cfRule>
  </conditionalFormatting>
  <conditionalFormatting sqref="DY451:DZ451">
    <cfRule type="expression" dxfId="1027" priority="2395">
      <formula>AND(COLUMN()&gt;162,OR(WEEKDAY($Q$6)&lt;&gt;4,$X$6&lt;&gt;"A"))</formula>
    </cfRule>
  </conditionalFormatting>
  <conditionalFormatting sqref="DY451:DZ451">
    <cfRule type="expression" dxfId="1026" priority="2394">
      <formula>AND(COLUMN()&gt;162,OR(WEEKDAY($Q$6)&lt;&gt;4,$X$6&lt;&gt;"A"))</formula>
    </cfRule>
  </conditionalFormatting>
  <conditionalFormatting sqref="DY451:DZ451">
    <cfRule type="expression" dxfId="1025" priority="2393">
      <formula>AND(COLUMN()&gt;162,OR(WEEKDAY($Q$6)&lt;&gt;4,$X$6&lt;&gt;"A"))</formula>
    </cfRule>
  </conditionalFormatting>
  <conditionalFormatting sqref="DY451:DZ451">
    <cfRule type="expression" dxfId="1024" priority="2392">
      <formula>AND(COLUMN()&gt;162,OR(WEEKDAY($Q$6)&lt;&gt;4,$X$6&lt;&gt;"A"))</formula>
    </cfRule>
  </conditionalFormatting>
  <conditionalFormatting sqref="DY451:DZ451">
    <cfRule type="expression" dxfId="1023" priority="2391">
      <formula>AND(COLUMN()&gt;162,OR(WEEKDAY($Q$6)&lt;&gt;4,$X$6&lt;&gt;"A"))</formula>
    </cfRule>
  </conditionalFormatting>
  <conditionalFormatting sqref="DY451:DZ451">
    <cfRule type="expression" dxfId="1022" priority="2390">
      <formula>AND(COLUMN()&gt;162,OR(WEEKDAY($Q$6)&lt;&gt;4,$X$6&lt;&gt;"A"))</formula>
    </cfRule>
  </conditionalFormatting>
  <conditionalFormatting sqref="DY451:DZ451">
    <cfRule type="expression" dxfId="1021" priority="2389">
      <formula>AND(COLUMN()&gt;162,OR(WEEKDAY($Q$6)&lt;&gt;4,$X$6&lt;&gt;"A"))</formula>
    </cfRule>
  </conditionalFormatting>
  <conditionalFormatting sqref="DY451:DZ451">
    <cfRule type="expression" dxfId="1020" priority="2388">
      <formula>AND(COLUMN()&gt;162,OR(WEEKDAY($Q$6)&lt;&gt;4,$X$6&lt;&gt;"A"))</formula>
    </cfRule>
  </conditionalFormatting>
  <conditionalFormatting sqref="DY451:DZ451">
    <cfRule type="expression" dxfId="1019" priority="2387">
      <formula>AND(COLUMN()&gt;162,OR(WEEKDAY($Q$6)&lt;&gt;4,$X$6&lt;&gt;"A"))</formula>
    </cfRule>
  </conditionalFormatting>
  <conditionalFormatting sqref="DY451:DZ451">
    <cfRule type="expression" dxfId="1018" priority="2386">
      <formula>AND(COLUMN()&gt;162,OR(WEEKDAY($Q$6)&lt;&gt;4,$X$6&lt;&gt;"A"))</formula>
    </cfRule>
  </conditionalFormatting>
  <conditionalFormatting sqref="DY451:DZ451">
    <cfRule type="expression" dxfId="1017" priority="2385">
      <formula>AND(COLUMN()&gt;162,OR(WEEKDAY($Q$6)&lt;&gt;4,$X$6&lt;&gt;"A"))</formula>
    </cfRule>
  </conditionalFormatting>
  <conditionalFormatting sqref="DY451:DZ451">
    <cfRule type="expression" dxfId="1016" priority="2384">
      <formula>AND(COLUMN()&gt;162,OR(WEEKDAY($Q$6)&lt;&gt;4,$X$6&lt;&gt;"A"))</formula>
    </cfRule>
  </conditionalFormatting>
  <conditionalFormatting sqref="DY451:DZ451">
    <cfRule type="expression" dxfId="1015" priority="2383">
      <formula>AND(COLUMN()&gt;162,OR(WEEKDAY($Q$6)&lt;&gt;4,$X$6&lt;&gt;"A"))</formula>
    </cfRule>
  </conditionalFormatting>
  <conditionalFormatting sqref="DY451:DZ451">
    <cfRule type="expression" dxfId="1014" priority="2382">
      <formula>AND(COLUMN()&gt;162,OR(WEEKDAY($Q$6)&lt;&gt;4,$X$6&lt;&gt;"A"))</formula>
    </cfRule>
  </conditionalFormatting>
  <conditionalFormatting sqref="S521:T548">
    <cfRule type="cellIs" dxfId="1013" priority="2055" stopIfTrue="1" operator="lessThan">
      <formula>0.01</formula>
    </cfRule>
    <cfRule type="cellIs" dxfId="1012" priority="2056" stopIfTrue="1" operator="greaterThan">
      <formula>1.99</formula>
    </cfRule>
    <cfRule type="cellIs" dxfId="1011" priority="2057" operator="greaterThan">
      <formula>1.49</formula>
    </cfRule>
  </conditionalFormatting>
  <conditionalFormatting sqref="E521:E548">
    <cfRule type="cellIs" dxfId="1010" priority="2066" operator="greaterThan">
      <formula>32</formula>
    </cfRule>
  </conditionalFormatting>
  <conditionalFormatting sqref="G521:G548">
    <cfRule type="cellIs" dxfId="1009" priority="2065" operator="greaterThan">
      <formula>32</formula>
    </cfRule>
  </conditionalFormatting>
  <conditionalFormatting sqref="I521:I548">
    <cfRule type="cellIs" dxfId="1008" priority="2064" operator="greaterThan">
      <formula>32</formula>
    </cfRule>
  </conditionalFormatting>
  <conditionalFormatting sqref="K521:K548">
    <cfRule type="cellIs" dxfId="1007" priority="2063" operator="greaterThan">
      <formula>32</formula>
    </cfRule>
  </conditionalFormatting>
  <conditionalFormatting sqref="M521:M548">
    <cfRule type="cellIs" dxfId="1006" priority="2062" operator="lessThan">
      <formula>0</formula>
    </cfRule>
  </conditionalFormatting>
  <conditionalFormatting sqref="O521:O548">
    <cfRule type="cellIs" dxfId="1005" priority="2059" stopIfTrue="1" operator="lessThan">
      <formula>-4</formula>
    </cfRule>
    <cfRule type="cellIs" dxfId="1004" priority="2060" stopIfTrue="1" operator="lessThan">
      <formula>-2</formula>
    </cfRule>
    <cfRule type="cellIs" dxfId="1003" priority="2061" operator="lessThan">
      <formula>1</formula>
    </cfRule>
  </conditionalFormatting>
  <conditionalFormatting sqref="Q521:Q548">
    <cfRule type="cellIs" dxfId="1002" priority="2058" operator="greaterThan">
      <formula>0</formula>
    </cfRule>
  </conditionalFormatting>
  <conditionalFormatting sqref="AQ301:AW301">
    <cfRule type="cellIs" dxfId="1001" priority="1936" operator="equal">
      <formula>" "</formula>
    </cfRule>
  </conditionalFormatting>
  <conditionalFormatting sqref="AQ303:AW303">
    <cfRule type="cellIs" dxfId="1000" priority="1935" operator="equal">
      <formula>" "</formula>
    </cfRule>
  </conditionalFormatting>
  <conditionalFormatting sqref="AQ311 AS311 AW311">
    <cfRule type="cellIs" dxfId="999" priority="1934" operator="equal">
      <formula>" "</formula>
    </cfRule>
  </conditionalFormatting>
  <conditionalFormatting sqref="AQ313 AS313 AW313">
    <cfRule type="cellIs" dxfId="998" priority="1933" operator="equal">
      <formula>" "</formula>
    </cfRule>
  </conditionalFormatting>
  <conditionalFormatting sqref="BE315 BG315 BK315">
    <cfRule type="cellIs" dxfId="997" priority="1900" operator="equal">
      <formula>" "</formula>
    </cfRule>
  </conditionalFormatting>
  <conditionalFormatting sqref="CE315:CE316 CG315:CG316 CK315:CK316">
    <cfRule type="cellIs" dxfId="996" priority="1888" operator="equal">
      <formula>" "</formula>
    </cfRule>
  </conditionalFormatting>
  <conditionalFormatting sqref="DE315:DE316 DG315:DG316 DK315:DK316">
    <cfRule type="cellIs" dxfId="995" priority="1887" operator="equal">
      <formula>" "</formula>
    </cfRule>
  </conditionalFormatting>
  <conditionalFormatting sqref="AT295:AY295">
    <cfRule type="cellIs" dxfId="994" priority="1868" operator="equal">
      <formula>" "</formula>
    </cfRule>
  </conditionalFormatting>
  <conditionalFormatting sqref="BE316 BG316 BK316">
    <cfRule type="cellIs" dxfId="993" priority="1861" operator="equal">
      <formula>" "</formula>
    </cfRule>
  </conditionalFormatting>
  <conditionalFormatting sqref="BZ318">
    <cfRule type="cellIs" dxfId="992" priority="1857" operator="notEqual">
      <formula>""</formula>
    </cfRule>
  </conditionalFormatting>
  <conditionalFormatting sqref="AP314">
    <cfRule type="cellIs" dxfId="991" priority="1854" operator="notEqual">
      <formula>""</formula>
    </cfRule>
  </conditionalFormatting>
  <conditionalFormatting sqref="AZ318">
    <cfRule type="cellIs" dxfId="990" priority="1850" operator="notEqual">
      <formula>""</formula>
    </cfRule>
  </conditionalFormatting>
  <conditionalFormatting sqref="CZ318">
    <cfRule type="cellIs" dxfId="989" priority="1849" operator="notEqual">
      <formula>""</formula>
    </cfRule>
  </conditionalFormatting>
  <conditionalFormatting sqref="DZ318">
    <cfRule type="cellIs" dxfId="988" priority="1848" operator="notEqual">
      <formula>""</formula>
    </cfRule>
  </conditionalFormatting>
  <conditionalFormatting sqref="BP314">
    <cfRule type="cellIs" dxfId="987" priority="1847" operator="notEqual">
      <formula>""</formula>
    </cfRule>
  </conditionalFormatting>
  <conditionalFormatting sqref="CP314">
    <cfRule type="cellIs" dxfId="986" priority="1846" operator="notEqual">
      <formula>""</formula>
    </cfRule>
  </conditionalFormatting>
  <conditionalFormatting sqref="DP314">
    <cfRule type="cellIs" dxfId="985" priority="1845" operator="notEqual">
      <formula>""</formula>
    </cfRule>
  </conditionalFormatting>
  <conditionalFormatting sqref="BH295:BK295">
    <cfRule type="expression" dxfId="984" priority="1838">
      <formula>$AF$295=""</formula>
    </cfRule>
  </conditionalFormatting>
  <conditionalFormatting sqref="BF295:BM295 BG298 BR298 BF301:BL301 BF303 BF305:BL305 BE311 BE313 BI303 BK303 BP307 BF307 BI307 BK307 BU298 BJ298 BG311 BK311 BG313 BK313">
    <cfRule type="cellIs" dxfId="983" priority="1837" operator="equal">
      <formula>" "</formula>
    </cfRule>
  </conditionalFormatting>
  <conditionalFormatting sqref="BQ301:BW301">
    <cfRule type="cellIs" dxfId="982" priority="1836" operator="equal">
      <formula>" "</formula>
    </cfRule>
  </conditionalFormatting>
  <conditionalFormatting sqref="BQ303:BW303">
    <cfRule type="cellIs" dxfId="981" priority="1835" operator="equal">
      <formula>" "</formula>
    </cfRule>
  </conditionalFormatting>
  <conditionalFormatting sqref="BQ311 BS311 BW311">
    <cfRule type="cellIs" dxfId="980" priority="1834" operator="equal">
      <formula>" "</formula>
    </cfRule>
  </conditionalFormatting>
  <conditionalFormatting sqref="BQ313 BS313 BW313">
    <cfRule type="cellIs" dxfId="979" priority="1833" operator="equal">
      <formula>" "</formula>
    </cfRule>
  </conditionalFormatting>
  <conditionalFormatting sqref="BT295:BY295">
    <cfRule type="cellIs" dxfId="978" priority="1832" operator="equal">
      <formula>" "</formula>
    </cfRule>
  </conditionalFormatting>
  <conditionalFormatting sqref="CH295:CK295">
    <cfRule type="expression" dxfId="977" priority="1831">
      <formula>$AF$295=""</formula>
    </cfRule>
  </conditionalFormatting>
  <conditionalFormatting sqref="CF295:CM295 CG298 CR298 CF301:CL301 CF303 CF305:CL305 CE311 CE313 CI303 CK303 CP307 CF307 CI307 CK307 CU298 CJ298 CG311 CK311 CG313 CK313">
    <cfRule type="cellIs" dxfId="976" priority="1830" operator="equal">
      <formula>" "</formula>
    </cfRule>
  </conditionalFormatting>
  <conditionalFormatting sqref="CQ301:CW301">
    <cfRule type="cellIs" dxfId="975" priority="1829" operator="equal">
      <formula>" "</formula>
    </cfRule>
  </conditionalFormatting>
  <conditionalFormatting sqref="CQ303:CW303">
    <cfRule type="cellIs" dxfId="974" priority="1828" operator="equal">
      <formula>" "</formula>
    </cfRule>
  </conditionalFormatting>
  <conditionalFormatting sqref="CQ311 CS311 CW311">
    <cfRule type="cellIs" dxfId="973" priority="1827" operator="equal">
      <formula>" "</formula>
    </cfRule>
  </conditionalFormatting>
  <conditionalFormatting sqref="CQ313 CS313 CW313">
    <cfRule type="cellIs" dxfId="972" priority="1826" operator="equal">
      <formula>" "</formula>
    </cfRule>
  </conditionalFormatting>
  <conditionalFormatting sqref="CT295:CY295">
    <cfRule type="cellIs" dxfId="971" priority="1825" operator="equal">
      <formula>" "</formula>
    </cfRule>
  </conditionalFormatting>
  <conditionalFormatting sqref="DH295:DK295">
    <cfRule type="expression" dxfId="970" priority="1824">
      <formula>$AF$295=""</formula>
    </cfRule>
  </conditionalFormatting>
  <conditionalFormatting sqref="DF295:DM295 DG298 DR298 DF301:DL301 DF303 DF305:DL305 DE311 DE313 DI303 DK303 DP307 DF307 DI307 DK307 DU298 DJ298 DG311 DK311 DG313 DK313">
    <cfRule type="cellIs" dxfId="969" priority="1823" operator="equal">
      <formula>" "</formula>
    </cfRule>
  </conditionalFormatting>
  <conditionalFormatting sqref="DQ301:DW301">
    <cfRule type="cellIs" dxfId="968" priority="1822" operator="equal">
      <formula>" "</formula>
    </cfRule>
  </conditionalFormatting>
  <conditionalFormatting sqref="DQ303:DW303">
    <cfRule type="cellIs" dxfId="967" priority="1821" operator="equal">
      <formula>" "</formula>
    </cfRule>
  </conditionalFormatting>
  <conditionalFormatting sqref="DQ311 DS311 DW311">
    <cfRule type="cellIs" dxfId="966" priority="1820" operator="equal">
      <formula>" "</formula>
    </cfRule>
  </conditionalFormatting>
  <conditionalFormatting sqref="DQ313 DS313 DW313">
    <cfRule type="cellIs" dxfId="965" priority="1819" operator="equal">
      <formula>" "</formula>
    </cfRule>
  </conditionalFormatting>
  <conditionalFormatting sqref="DT295:DY295">
    <cfRule type="cellIs" dxfId="964" priority="1818" operator="equal">
      <formula>" "</formula>
    </cfRule>
  </conditionalFormatting>
  <conditionalFormatting sqref="V25:AP26">
    <cfRule type="cellIs" dxfId="963" priority="1815" operator="equal">
      <formula>""</formula>
    </cfRule>
  </conditionalFormatting>
  <conditionalFormatting sqref="CK287">
    <cfRule type="cellIs" dxfId="962" priority="1814" operator="equal">
      <formula>""</formula>
    </cfRule>
  </conditionalFormatting>
  <conditionalFormatting sqref="DK287">
    <cfRule type="cellIs" dxfId="961" priority="1812" operator="equal">
      <formula>""</formula>
    </cfRule>
  </conditionalFormatting>
  <conditionalFormatting sqref="AM287:AZ288">
    <cfRule type="cellIs" dxfId="960" priority="1811" operator="equal">
      <formula>""</formula>
    </cfRule>
  </conditionalFormatting>
  <conditionalFormatting sqref="Q6:T6 X6">
    <cfRule type="expression" dxfId="959" priority="8190">
      <formula>$N$8&lt;&gt;""</formula>
    </cfRule>
  </conditionalFormatting>
  <conditionalFormatting sqref="AP293:AZ293">
    <cfRule type="cellIs" dxfId="958" priority="1810" operator="notEqual">
      <formula>""</formula>
    </cfRule>
  </conditionalFormatting>
  <conditionalFormatting sqref="BP293:BZ293">
    <cfRule type="cellIs" dxfId="957" priority="1809" operator="notEqual">
      <formula>""</formula>
    </cfRule>
  </conditionalFormatting>
  <conditionalFormatting sqref="CP293:CZ293">
    <cfRule type="cellIs" dxfId="956" priority="1808" operator="notEqual">
      <formula>""</formula>
    </cfRule>
  </conditionalFormatting>
  <conditionalFormatting sqref="DP293:DZ293">
    <cfRule type="cellIs" dxfId="955" priority="1807" operator="notEqual">
      <formula>""</formula>
    </cfRule>
  </conditionalFormatting>
  <conditionalFormatting sqref="AF289">
    <cfRule type="expression" dxfId="954" priority="1806">
      <formula>AE290=""</formula>
    </cfRule>
  </conditionalFormatting>
  <conditionalFormatting sqref="BF289">
    <cfRule type="expression" dxfId="953" priority="1804">
      <formula>BE290=""</formula>
    </cfRule>
  </conditionalFormatting>
  <conditionalFormatting sqref="CF289">
    <cfRule type="expression" dxfId="952" priority="1803">
      <formula>CE290=""</formula>
    </cfRule>
  </conditionalFormatting>
  <conditionalFormatting sqref="DF289">
    <cfRule type="expression" dxfId="951" priority="1802">
      <formula>DE290=""</formula>
    </cfRule>
  </conditionalFormatting>
  <conditionalFormatting sqref="AE290">
    <cfRule type="cellIs" dxfId="950" priority="1618" operator="equal">
      <formula>" "</formula>
    </cfRule>
  </conditionalFormatting>
  <conditionalFormatting sqref="DE290">
    <cfRule type="cellIs" dxfId="949" priority="206" operator="equal">
      <formula>" "</formula>
    </cfRule>
  </conditionalFormatting>
  <conditionalFormatting sqref="L2:N2">
    <cfRule type="cellIs" dxfId="948" priority="60" operator="notEqual">
      <formula>$O$1</formula>
    </cfRule>
  </conditionalFormatting>
  <conditionalFormatting sqref="EF460:ER461">
    <cfRule type="expression" dxfId="947" priority="21">
      <formula>AND(COLUMN()&gt;162,OR(WEEKDAY($Q$6)&lt;&gt;4,$X$6&lt;&gt;"A"))</formula>
    </cfRule>
  </conditionalFormatting>
  <conditionalFormatting sqref="AB460:AN461">
    <cfRule type="expression" dxfId="946" priority="12">
      <formula>AND(COLUMN()&gt;162,OR(WEEKDAY($Q$6)&lt;&gt;4,$X$6&lt;&gt;"A"))</formula>
    </cfRule>
  </conditionalFormatting>
  <conditionalFormatting sqref="AO460:BA461">
    <cfRule type="expression" dxfId="945" priority="11">
      <formula>AND(COLUMN()&gt;162,OR(WEEKDAY($Q$6)&lt;&gt;4,$X$6&lt;&gt;"A"))</formula>
    </cfRule>
  </conditionalFormatting>
  <conditionalFormatting sqref="BC460:BO461">
    <cfRule type="expression" dxfId="944" priority="10">
      <formula>AND(COLUMN()&gt;162,OR(WEEKDAY($Q$6)&lt;&gt;4,$X$6&lt;&gt;"A"))</formula>
    </cfRule>
  </conditionalFormatting>
  <conditionalFormatting sqref="BP460:CB461">
    <cfRule type="expression" dxfId="943" priority="9">
      <formula>AND(COLUMN()&gt;162,OR(WEEKDAY($Q$6)&lt;&gt;4,$X$6&lt;&gt;"A"))</formula>
    </cfRule>
  </conditionalFormatting>
  <conditionalFormatting sqref="CD460:CP461">
    <cfRule type="expression" dxfId="942" priority="8">
      <formula>AND(COLUMN()&gt;162,OR(WEEKDAY($Q$6)&lt;&gt;4,$X$6&lt;&gt;"A"))</formula>
    </cfRule>
  </conditionalFormatting>
  <conditionalFormatting sqref="CQ460:DC461">
    <cfRule type="expression" dxfId="941" priority="7">
      <formula>AND(COLUMN()&gt;162,OR(WEEKDAY($Q$6)&lt;&gt;4,$X$6&lt;&gt;"A"))</formula>
    </cfRule>
  </conditionalFormatting>
  <conditionalFormatting sqref="DE460:DQ461">
    <cfRule type="expression" dxfId="940" priority="6">
      <formula>AND(COLUMN()&gt;162,OR(WEEKDAY($Q$6)&lt;&gt;4,$X$6&lt;&gt;"A"))</formula>
    </cfRule>
  </conditionalFormatting>
  <conditionalFormatting sqref="DR460:ED461">
    <cfRule type="expression" dxfId="939" priority="5">
      <formula>AND(COLUMN()&gt;162,OR(WEEKDAY($Q$6)&lt;&gt;4,$X$6&lt;&gt;"A"))</formula>
    </cfRule>
  </conditionalFormatting>
  <conditionalFormatting sqref="ES460:FE461">
    <cfRule type="expression" dxfId="938" priority="4">
      <formula>AND(COLUMN()&gt;162,OR(WEEKDAY($Q$6)&lt;&gt;4,$X$6&lt;&gt;"A"))</formula>
    </cfRule>
  </conditionalFormatting>
  <conditionalFormatting sqref="BE290">
    <cfRule type="cellIs" dxfId="937" priority="2" operator="equal">
      <formula>" "</formula>
    </cfRule>
  </conditionalFormatting>
  <conditionalFormatting sqref="CE290">
    <cfRule type="cellIs" dxfId="936" priority="1" operator="equal">
      <formula>" "</formula>
    </cfRule>
  </conditionalFormatting>
  <dataValidations count="22">
    <dataValidation type="list" allowBlank="1" showInputMessage="1" showErrorMessage="1" sqref="BP84 AQ84 BA84">
      <formula1>$BD$551:$BD$552</formula1>
    </dataValidation>
    <dataValidation type="list" allowBlank="1" showInputMessage="1" showErrorMessage="1" sqref="BP82 BA82 AQ82">
      <formula1>$BF$551:$BF$552</formula1>
    </dataValidation>
    <dataValidation type="list" allowBlank="1" showInputMessage="1" showErrorMessage="1" sqref="V217:Y217 V75:Y75">
      <formula1>$Q$551:$Q$552</formula1>
    </dataValidation>
    <dataValidation type="list" allowBlank="1" showInputMessage="1" showErrorMessage="1" sqref="AM6:AO8">
      <formula1>$AG$551:$AG$552</formula1>
    </dataValidation>
    <dataValidation type="list" allowBlank="1" showInputMessage="1" showErrorMessage="1" sqref="BD6:BG8">
      <formula1>$AG$558:$AG$560</formula1>
    </dataValidation>
    <dataValidation type="list" allowBlank="1" showInputMessage="1" showErrorMessage="1" sqref="X6:Y7">
      <formula1>$X$551:$X$554</formula1>
    </dataValidation>
    <dataValidation type="list" allowBlank="1" showInputMessage="1" showErrorMessage="1" sqref="AQ313 DE315 AE313 BE313 AE315 CE315 CE313 DE313 DQ313 BQ313 CQ313 BE315">
      <formula1>$AK$553:$AK$555</formula1>
    </dataValidation>
    <dataValidation type="list" allowBlank="1" showInputMessage="1" showErrorMessage="1" sqref="AF301:AH301 AQ303:AS303 AQ301:AS301 BF301:BH301 DQ301:DS301 CF301:CH301 BQ303:BS303 BQ301:BS301 CQ303:CS303 CQ301:CS301 DQ303:DS303 DF301:DH301">
      <formula1>$AS$551:$AS$558</formula1>
    </dataValidation>
    <dataValidation type="list" allowBlank="1" showInputMessage="1" showErrorMessage="1" sqref="AQ311 AE311 BE311 DE311 CE311 BQ311 CQ311 DQ311">
      <formula1>$AK$551:$AK$555</formula1>
    </dataValidation>
    <dataValidation type="list" allowBlank="1" showInputMessage="1" showErrorMessage="1" sqref="AF305:AH305 AF307 CF305:CH305 BF305:BH305 BF307 AF303 CF307 CF303 BF303 DF305:DH305 DF307 DF303">
      <formula1>$AS$552:$AS$558</formula1>
    </dataValidation>
    <dataValidation type="list" allowBlank="1" showInputMessage="1" showErrorMessage="1" sqref="V78:Y78">
      <formula1>$Q$554:$Q$556</formula1>
    </dataValidation>
    <dataValidation type="list" allowBlank="1" showInputMessage="1" showErrorMessage="1" sqref="V80:Y80">
      <formula1>$Q$555:$Q$556</formula1>
    </dataValidation>
    <dataValidation type="list" allowBlank="1" showInputMessage="1" showErrorMessage="1" sqref="AG315 DG315 AS313 DS313 AG313 DG313 BG313 CG315 CG313 BS313 CS313 BG315">
      <formula1>$AO$551:$AO$556</formula1>
    </dataValidation>
    <dataValidation type="list" allowBlank="1" showInputMessage="1" showErrorMessage="1" sqref="AG311:AJ311">
      <formula1>$AO$557:$AO$562</formula1>
    </dataValidation>
    <dataValidation type="list" allowBlank="1" showInputMessage="1" showErrorMessage="1" sqref="AS311:AV311">
      <formula1>$AO$563:$AO$568</formula1>
    </dataValidation>
    <dataValidation type="list" allowBlank="1" showInputMessage="1" showErrorMessage="1" sqref="BG311:BJ311">
      <formula1>$AO$569:$AO$574</formula1>
    </dataValidation>
    <dataValidation type="list" allowBlank="1" showInputMessage="1" showErrorMessage="1" sqref="BS311:BV311">
      <formula1>$AO$575:$AO$580</formula1>
    </dataValidation>
    <dataValidation type="list" allowBlank="1" showInputMessage="1" showErrorMessage="1" sqref="CG311:CJ311">
      <formula1>$AO$581:$AO$586</formula1>
    </dataValidation>
    <dataValidation type="list" allowBlank="1" showInputMessage="1" showErrorMessage="1" sqref="CS311:CV311">
      <formula1>$AO$587:$AO$592</formula1>
    </dataValidation>
    <dataValidation type="list" allowBlank="1" showInputMessage="1" showErrorMessage="1" sqref="DG311:DJ311">
      <formula1>$AO$593:$AO$598</formula1>
    </dataValidation>
    <dataValidation type="list" allowBlank="1" showInputMessage="1" showErrorMessage="1" sqref="DS311:DV311">
      <formula1>$AO$599:$AO$604</formula1>
    </dataValidation>
    <dataValidation type="list" allowBlank="1" showInputMessage="1" showErrorMessage="1" sqref="AL31:AP31 AL34:AP34 AL37:AP37">
      <formula1>$AG$565:$AG$567</formula1>
    </dataValidation>
  </dataValidations>
  <printOptions horizontalCentered="1"/>
  <pageMargins left="0.15" right="0.15" top="0.25" bottom="0.25" header="0.3" footer="0.3"/>
  <pageSetup scale="98" orientation="portrait" r:id="rId1"/>
  <ignoredErrors>
    <ignoredError sqref="BN294 BN293" numberStoredAsText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I4574"/>
  <sheetViews>
    <sheetView workbookViewId="0">
      <pane ySplit="2" topLeftCell="A130" activePane="bottomLeft" state="frozen"/>
      <selection pane="bottomLeft" activeCell="BB10" sqref="BB10"/>
    </sheetView>
  </sheetViews>
  <sheetFormatPr defaultColWidth="9" defaultRowHeight="14"/>
  <cols>
    <col min="1" max="1" width="12.54296875" style="1" customWidth="1"/>
    <col min="2" max="2" width="9" style="878"/>
    <col min="3" max="3" width="9" style="878" bestFit="1" customWidth="1"/>
    <col min="4" max="5" width="9" style="878"/>
    <col min="6" max="6" width="9" style="878" bestFit="1" customWidth="1"/>
    <col min="7" max="7" width="9" style="878"/>
    <col min="8" max="8" width="9" style="878" bestFit="1" customWidth="1"/>
    <col min="9" max="9" width="9" style="878"/>
    <col min="10" max="10" width="11" style="875" customWidth="1"/>
    <col min="11" max="11" width="9" style="878"/>
    <col min="12" max="15" width="14.54296875" style="878" customWidth="1"/>
    <col min="16" max="17" width="9" style="878"/>
    <col min="18" max="18" width="9" style="878" bestFit="1" customWidth="1"/>
    <col min="19" max="19" width="12.54296875" style="878" customWidth="1"/>
    <col min="20" max="41" width="4.54296875" style="925" customWidth="1"/>
    <col min="42" max="42" width="7.54296875" style="925" customWidth="1"/>
    <col min="43" max="43" width="5" style="925" customWidth="1"/>
    <col min="44" max="44" width="9" style="925" customWidth="1"/>
    <col min="45" max="45" width="11.54296875" style="927" customWidth="1"/>
    <col min="46" max="51" width="9" style="925"/>
    <col min="52" max="53" width="9" style="1853"/>
    <col min="54" max="54" width="4" style="1879" customWidth="1"/>
    <col min="55" max="56" width="8" style="1879" customWidth="1"/>
    <col min="57" max="57" width="8.08984375" style="1879" customWidth="1"/>
    <col min="58" max="58" width="8" style="1879" customWidth="1"/>
    <col min="59" max="60" width="7.54296875" style="1879" customWidth="1"/>
    <col min="61" max="61" width="7" style="1879" customWidth="1"/>
    <col min="62" max="63" width="7.08984375" style="1879" customWidth="1"/>
    <col min="64" max="64" width="9" style="878" bestFit="1" customWidth="1"/>
    <col min="65" max="65" width="9" style="1875"/>
    <col min="66" max="66" width="6.54296875" style="934" customWidth="1"/>
    <col min="67" max="77" width="9" style="878"/>
    <col min="78" max="81" width="10" style="878" customWidth="1"/>
    <col min="82" max="82" width="9" style="878"/>
    <col min="83" max="83" width="10.08984375" style="878" customWidth="1"/>
    <col min="84" max="16384" width="9" style="878"/>
  </cols>
  <sheetData>
    <row r="2" spans="1:87">
      <c r="B2" s="924" t="s">
        <v>491</v>
      </c>
      <c r="C2" s="924" t="s">
        <v>492</v>
      </c>
      <c r="D2" s="924" t="s">
        <v>469</v>
      </c>
      <c r="E2" s="924" t="s">
        <v>493</v>
      </c>
      <c r="F2" s="924" t="s">
        <v>494</v>
      </c>
      <c r="G2" s="924" t="s">
        <v>495</v>
      </c>
      <c r="H2" s="924" t="s">
        <v>496</v>
      </c>
      <c r="I2" s="924" t="s">
        <v>497</v>
      </c>
      <c r="J2" s="874" t="s">
        <v>498</v>
      </c>
      <c r="BB2" s="1884" t="s">
        <v>499</v>
      </c>
      <c r="BE2" s="1877" t="s">
        <v>500</v>
      </c>
      <c r="BL2" s="1874" t="s">
        <v>501</v>
      </c>
      <c r="BM2" s="1876" t="s">
        <v>502</v>
      </c>
      <c r="BN2" s="1878" t="s">
        <v>387</v>
      </c>
    </row>
    <row r="3" spans="1:87" ht="14.5">
      <c r="A3" s="1">
        <f t="shared" ref="A3:A8" si="0">A4-1</f>
        <v>44556</v>
      </c>
      <c r="B3" s="932">
        <v>44556.288888888892</v>
      </c>
      <c r="C3" s="932">
        <v>44556.331944444442</v>
      </c>
      <c r="D3" s="932">
        <v>44556.729861111111</v>
      </c>
      <c r="E3" s="932">
        <v>44556.772916666669</v>
      </c>
      <c r="F3" s="932" t="s">
        <v>192</v>
      </c>
      <c r="G3" s="932">
        <v>44556.529861111114</v>
      </c>
      <c r="H3" s="2">
        <v>59</v>
      </c>
      <c r="I3" s="2">
        <v>28.792088277318438</v>
      </c>
      <c r="J3" s="1317">
        <v>-23.33653273165697</v>
      </c>
      <c r="S3" s="925" t="s">
        <v>503</v>
      </c>
      <c r="T3" s="939" t="str">
        <f>MID(T6,FIND("Sun for",T6)+8,4)</f>
        <v>2019</v>
      </c>
      <c r="U3" s="940"/>
      <c r="V3" s="939" t="str">
        <f>MID(V6,FIND("for",V6)+4,4)</f>
        <v>2019</v>
      </c>
      <c r="W3" s="940"/>
      <c r="X3" s="939" t="str">
        <f>MID(X6,FIND("Moon for",X6)+9,4)</f>
        <v>2019</v>
      </c>
      <c r="Z3" s="939" t="str">
        <f>MID(Z7,FIND(",",Z7)+2,4)</f>
        <v>2019</v>
      </c>
      <c r="BB3" s="1885">
        <v>26</v>
      </c>
      <c r="BC3" s="1879" t="s">
        <v>241</v>
      </c>
      <c r="BD3" s="1880">
        <v>0.52986111111111112</v>
      </c>
      <c r="BE3" s="1879" t="s">
        <v>504</v>
      </c>
      <c r="BF3" s="1880" t="s">
        <v>241</v>
      </c>
      <c r="BG3" s="1880">
        <v>0.2638888888888889</v>
      </c>
      <c r="BH3" s="1880" t="s">
        <v>505</v>
      </c>
      <c r="BI3" s="1881">
        <v>238711</v>
      </c>
      <c r="BJ3" s="1881">
        <v>0.56799999999999995</v>
      </c>
      <c r="BK3" s="1882"/>
      <c r="BL3" s="1619">
        <f t="shared" ref="BL3:BL66" si="1">A3</f>
        <v>44556</v>
      </c>
      <c r="BM3" s="1856">
        <f t="shared" ref="BM3:BM9" si="2">IF(ISNUMBER(FIND("(",BH3)),BG3,IF(ISNUMBER(FIND("Moon",BH3)),"NA",BH3))</f>
        <v>0.2638888888888889</v>
      </c>
      <c r="BN3" s="934">
        <f t="shared" ref="BN3:BN8" si="3">IF(ISNUMBER(FIND("(",BI3)),MID(BI3,2,4)*1,IF(BM3="NA","NA",MID(BH3,2,4)*1))</f>
        <v>57</v>
      </c>
    </row>
    <row r="4" spans="1:87" ht="14.5">
      <c r="A4" s="1">
        <f t="shared" si="0"/>
        <v>44557</v>
      </c>
      <c r="B4" s="932">
        <v>44557.288888888892</v>
      </c>
      <c r="C4" s="932">
        <v>44557.331944444442</v>
      </c>
      <c r="D4" s="932">
        <v>44557.729861111111</v>
      </c>
      <c r="E4" s="932">
        <v>44557.773611111108</v>
      </c>
      <c r="F4" s="932">
        <v>44557.036111111112</v>
      </c>
      <c r="G4" s="932">
        <v>44557.547916666663</v>
      </c>
      <c r="H4" s="2">
        <v>49</v>
      </c>
      <c r="I4" s="2">
        <v>28.836170936936217</v>
      </c>
      <c r="J4" s="1317">
        <v>-23.292824814287318</v>
      </c>
      <c r="S4" s="925"/>
      <c r="T4" s="926" t="s">
        <v>506</v>
      </c>
      <c r="V4" s="926" t="s">
        <v>507</v>
      </c>
      <c r="X4" s="926" t="s">
        <v>508</v>
      </c>
      <c r="Z4" s="926" t="s">
        <v>509</v>
      </c>
      <c r="BB4" s="1873">
        <v>27</v>
      </c>
      <c r="BC4" s="1880">
        <v>3.6111111111111115E-2</v>
      </c>
      <c r="BD4" s="1880" t="s">
        <v>510</v>
      </c>
      <c r="BE4" s="1880">
        <v>0.54791666666666672</v>
      </c>
      <c r="BF4" s="1880" t="s">
        <v>511</v>
      </c>
      <c r="BG4" s="1879" t="s">
        <v>241</v>
      </c>
      <c r="BH4" s="1880">
        <v>0.2951388888888889</v>
      </c>
      <c r="BI4" s="1879" t="s">
        <v>512</v>
      </c>
      <c r="BJ4" s="1881">
        <v>235255</v>
      </c>
      <c r="BK4" s="1882">
        <v>0.45800000000000002</v>
      </c>
      <c r="BL4" s="1619">
        <f t="shared" si="1"/>
        <v>44557</v>
      </c>
      <c r="BM4" s="1856">
        <f t="shared" si="2"/>
        <v>0.2951388888888889</v>
      </c>
      <c r="BN4" s="934">
        <f t="shared" si="3"/>
        <v>50.9</v>
      </c>
      <c r="BY4" s="1869">
        <v>1</v>
      </c>
      <c r="BZ4" s="1870">
        <v>8.9583333333333334E-2</v>
      </c>
      <c r="CA4" s="1869" t="s">
        <v>513</v>
      </c>
      <c r="CB4" s="1870">
        <v>0.53125</v>
      </c>
      <c r="CC4" s="1869" t="s">
        <v>514</v>
      </c>
      <c r="CD4" s="1869" t="s">
        <v>241</v>
      </c>
      <c r="CE4" s="1870">
        <v>0.30763888888888891</v>
      </c>
      <c r="CF4" s="1869" t="s">
        <v>515</v>
      </c>
      <c r="CG4" s="1871">
        <v>239673</v>
      </c>
      <c r="CH4" s="1872">
        <v>0.58699999999999997</v>
      </c>
      <c r="CI4" s="1869"/>
    </row>
    <row r="5" spans="1:87" ht="14.5">
      <c r="A5" s="1">
        <f t="shared" si="0"/>
        <v>44558</v>
      </c>
      <c r="B5" s="932">
        <v>44558.288888888892</v>
      </c>
      <c r="C5" s="932">
        <v>44558.332638888889</v>
      </c>
      <c r="D5" s="932">
        <v>44558.730555555558</v>
      </c>
      <c r="E5" s="932">
        <v>44558.773611111108</v>
      </c>
      <c r="F5" s="932">
        <v>44558.082638888889</v>
      </c>
      <c r="G5" s="932">
        <v>44558.567361111105</v>
      </c>
      <c r="H5" s="2">
        <v>38</v>
      </c>
      <c r="I5" s="2">
        <v>28.887816254599503</v>
      </c>
      <c r="J5" s="1317">
        <v>-23.241328424341372</v>
      </c>
      <c r="Q5" s="887"/>
      <c r="S5" s="927"/>
      <c r="T5" s="928" t="s">
        <v>516</v>
      </c>
      <c r="U5" s="929"/>
      <c r="V5" s="928" t="s">
        <v>516</v>
      </c>
      <c r="W5" s="929"/>
      <c r="X5" s="928" t="s">
        <v>516</v>
      </c>
      <c r="Y5" s="929"/>
      <c r="Z5" s="929"/>
      <c r="AS5" s="927" t="s">
        <v>517</v>
      </c>
      <c r="AT5" s="1854" t="s">
        <v>518</v>
      </c>
      <c r="BB5" s="1873">
        <v>28</v>
      </c>
      <c r="BC5" s="1880">
        <v>8.1944444444444445E-2</v>
      </c>
      <c r="BD5" s="1880" t="s">
        <v>519</v>
      </c>
      <c r="BE5" s="1880">
        <v>0.56736111111111109</v>
      </c>
      <c r="BF5" s="1880" t="s">
        <v>520</v>
      </c>
      <c r="BG5" s="1879" t="s">
        <v>241</v>
      </c>
      <c r="BH5" s="1880">
        <v>0.32777777777777778</v>
      </c>
      <c r="BI5" s="1879" t="s">
        <v>521</v>
      </c>
      <c r="BJ5" s="1881">
        <v>231720</v>
      </c>
      <c r="BK5" s="1882">
        <v>0.34599999999999997</v>
      </c>
      <c r="BL5" s="1619">
        <f t="shared" si="1"/>
        <v>44558</v>
      </c>
      <c r="BM5" s="1856">
        <f t="shared" si="2"/>
        <v>0.32777777777777778</v>
      </c>
      <c r="BN5" s="934">
        <f t="shared" si="3"/>
        <v>44.6</v>
      </c>
      <c r="BR5" s="878" t="s">
        <v>522</v>
      </c>
      <c r="BS5" s="2">
        <v>1</v>
      </c>
      <c r="BY5" s="1869" t="s">
        <v>523</v>
      </c>
      <c r="BZ5" s="1870">
        <v>0.11041666666666666</v>
      </c>
      <c r="CA5" s="1869" t="s">
        <v>524</v>
      </c>
      <c r="CB5" s="1870">
        <v>0.5756944444444444</v>
      </c>
      <c r="CC5" s="1869" t="s">
        <v>525</v>
      </c>
      <c r="CD5" s="1869" t="s">
        <v>241</v>
      </c>
      <c r="CE5" s="1870">
        <v>0.34027777777777773</v>
      </c>
      <c r="CF5" s="1869" t="s">
        <v>526</v>
      </c>
      <c r="CG5" s="1871">
        <v>243296</v>
      </c>
      <c r="CH5" s="1872">
        <v>0.48099999999999998</v>
      </c>
      <c r="CI5" s="1869"/>
    </row>
    <row r="6" spans="1:87" ht="14.5">
      <c r="A6" s="1">
        <f t="shared" si="0"/>
        <v>44559</v>
      </c>
      <c r="B6" s="932">
        <v>44559.289583333331</v>
      </c>
      <c r="C6" s="932">
        <v>44559.332638888889</v>
      </c>
      <c r="D6" s="932">
        <v>44559.731250000004</v>
      </c>
      <c r="E6" s="932">
        <v>44559.774305555555</v>
      </c>
      <c r="F6" s="932">
        <v>44559.131249999999</v>
      </c>
      <c r="G6" s="932">
        <v>44559.588888888895</v>
      </c>
      <c r="H6" s="2">
        <v>28.000000000000004</v>
      </c>
      <c r="I6" s="2">
        <v>28.947003452551993</v>
      </c>
      <c r="J6" s="1317">
        <v>-23.182067782446278</v>
      </c>
      <c r="S6" s="925"/>
      <c r="T6" s="930" t="s">
        <v>527</v>
      </c>
      <c r="U6" s="929"/>
      <c r="V6" s="930" t="s">
        <v>528</v>
      </c>
      <c r="W6" s="929"/>
      <c r="X6" s="930" t="s">
        <v>529</v>
      </c>
      <c r="Y6" s="929"/>
      <c r="Z6" s="929"/>
      <c r="BB6" s="1873">
        <v>29</v>
      </c>
      <c r="BC6" s="1880">
        <v>0.13055555555555556</v>
      </c>
      <c r="BD6" s="1880" t="s">
        <v>530</v>
      </c>
      <c r="BE6" s="1880">
        <v>0.58819444444444446</v>
      </c>
      <c r="BF6" s="1880" t="s">
        <v>531</v>
      </c>
      <c r="BG6" s="1879" t="s">
        <v>241</v>
      </c>
      <c r="BH6" s="1880">
        <v>0.36249999999999999</v>
      </c>
      <c r="BI6" s="1879" t="s">
        <v>532</v>
      </c>
      <c r="BJ6" s="1881">
        <v>228364</v>
      </c>
      <c r="BK6" s="1882">
        <v>0.23899999999999999</v>
      </c>
      <c r="BL6" s="1619">
        <f t="shared" si="1"/>
        <v>44559</v>
      </c>
      <c r="BM6" s="1856">
        <f t="shared" si="2"/>
        <v>0.36249999999999999</v>
      </c>
      <c r="BN6" s="934">
        <f t="shared" si="3"/>
        <v>38.4</v>
      </c>
      <c r="BR6" s="878" t="s">
        <v>533</v>
      </c>
      <c r="BS6" s="2">
        <v>2</v>
      </c>
      <c r="BY6" s="1869">
        <v>3</v>
      </c>
      <c r="BZ6" s="1870">
        <v>0.12847222222222224</v>
      </c>
      <c r="CA6" s="1869" t="s">
        <v>534</v>
      </c>
      <c r="CB6" s="1870">
        <v>0.61736111111111114</v>
      </c>
      <c r="CC6" s="1869" t="s">
        <v>535</v>
      </c>
      <c r="CD6" s="1869" t="s">
        <v>241</v>
      </c>
      <c r="CE6" s="1870">
        <v>0.37013888888888885</v>
      </c>
      <c r="CF6" s="1869" t="s">
        <v>536</v>
      </c>
      <c r="CG6" s="1871">
        <v>246404</v>
      </c>
      <c r="CH6" s="1872">
        <v>0.379</v>
      </c>
      <c r="CI6" s="1869"/>
    </row>
    <row r="7" spans="1:87" ht="15.5">
      <c r="A7" s="1">
        <f t="shared" si="0"/>
        <v>44560</v>
      </c>
      <c r="B7" s="932">
        <v>44560.289583333331</v>
      </c>
      <c r="C7" s="932">
        <v>44560.332638888889</v>
      </c>
      <c r="D7" s="932">
        <v>44560.731250000004</v>
      </c>
      <c r="E7" s="932">
        <v>44560.775000000001</v>
      </c>
      <c r="F7" s="932">
        <v>44560.182638888888</v>
      </c>
      <c r="G7" s="932">
        <v>44560.614583333336</v>
      </c>
      <c r="H7" s="2">
        <v>18</v>
      </c>
      <c r="I7" s="2">
        <v>29.01370846248221</v>
      </c>
      <c r="J7" s="1317">
        <v>-23.115071168364469</v>
      </c>
      <c r="L7" s="3613" t="s">
        <v>537</v>
      </c>
      <c r="M7" s="3613"/>
      <c r="N7" s="3613"/>
      <c r="O7" s="3613"/>
      <c r="P7" s="3613"/>
      <c r="R7" s="931"/>
      <c r="S7" s="925"/>
      <c r="T7" s="930" t="s">
        <v>538</v>
      </c>
      <c r="U7" s="929"/>
      <c r="V7" s="930" t="s">
        <v>538</v>
      </c>
      <c r="W7" s="929"/>
      <c r="X7" s="930" t="s">
        <v>538</v>
      </c>
      <c r="Y7" s="929"/>
      <c r="Z7" s="928" t="s">
        <v>539</v>
      </c>
      <c r="AS7" s="927" t="s">
        <v>540</v>
      </c>
      <c r="BB7" s="1873">
        <v>30</v>
      </c>
      <c r="BC7" s="1883">
        <v>0.18194444444444444</v>
      </c>
      <c r="BD7" s="1883" t="s">
        <v>513</v>
      </c>
      <c r="BE7" s="1883">
        <v>0.61388888888888882</v>
      </c>
      <c r="BF7" s="1883" t="s">
        <v>541</v>
      </c>
      <c r="BG7" s="1883" t="s">
        <v>241</v>
      </c>
      <c r="BH7" s="1883">
        <v>0.40069444444444446</v>
      </c>
      <c r="BI7" s="1883" t="s">
        <v>542</v>
      </c>
      <c r="BJ7" s="1883">
        <v>225500</v>
      </c>
      <c r="BK7" s="1883">
        <v>0.14299999999999999</v>
      </c>
      <c r="BL7" s="1619">
        <f t="shared" si="1"/>
        <v>44560</v>
      </c>
      <c r="BM7" s="1856">
        <f t="shared" si="2"/>
        <v>0.40069444444444446</v>
      </c>
      <c r="BN7" s="934">
        <f t="shared" si="3"/>
        <v>32.9</v>
      </c>
      <c r="BR7" s="878" t="s">
        <v>543</v>
      </c>
      <c r="BS7" s="2">
        <v>3</v>
      </c>
      <c r="BY7" s="1869">
        <v>4</v>
      </c>
      <c r="BZ7" s="1870">
        <v>0.14583333333333334</v>
      </c>
      <c r="CA7" s="1869" t="s">
        <v>544</v>
      </c>
      <c r="CB7" s="1870">
        <v>0.65763888888888888</v>
      </c>
      <c r="CC7" s="1869" t="s">
        <v>545</v>
      </c>
      <c r="CD7" s="1869" t="s">
        <v>241</v>
      </c>
      <c r="CE7" s="1870">
        <v>0.39861111111111108</v>
      </c>
      <c r="CF7" s="1869" t="s">
        <v>546</v>
      </c>
      <c r="CG7" s="1871">
        <v>248886</v>
      </c>
      <c r="CH7" s="1872">
        <v>0.28399999999999997</v>
      </c>
      <c r="CI7" s="1869"/>
    </row>
    <row r="8" spans="1:87" ht="15" thickBot="1">
      <c r="A8" s="1">
        <f t="shared" si="0"/>
        <v>44561</v>
      </c>
      <c r="B8" s="932">
        <v>44561.289583333331</v>
      </c>
      <c r="C8" s="932">
        <v>44561.332638888889</v>
      </c>
      <c r="D8" s="932">
        <v>44561.731944444444</v>
      </c>
      <c r="E8" s="932">
        <v>44561.775000000001</v>
      </c>
      <c r="F8" s="932">
        <v>44561.236111111117</v>
      </c>
      <c r="G8" s="932">
        <v>44561.645138888889</v>
      </c>
      <c r="H8" s="2">
        <v>10</v>
      </c>
      <c r="I8" s="2">
        <v>29.087903951180166</v>
      </c>
      <c r="J8" s="1317">
        <v>-23.040370873843131</v>
      </c>
      <c r="L8" s="3614" t="s">
        <v>547</v>
      </c>
      <c r="M8" s="3614"/>
      <c r="N8" s="3614" t="s">
        <v>548</v>
      </c>
      <c r="O8" s="3614"/>
      <c r="R8" s="931"/>
      <c r="S8" s="925"/>
      <c r="T8" s="930" t="s">
        <v>549</v>
      </c>
      <c r="U8" s="929"/>
      <c r="V8" s="930" t="s">
        <v>549</v>
      </c>
      <c r="W8" s="929"/>
      <c r="X8" s="930" t="s">
        <v>549</v>
      </c>
      <c r="Y8" s="929"/>
      <c r="Z8" s="930" t="s">
        <v>550</v>
      </c>
      <c r="AS8" s="1854" t="s">
        <v>551</v>
      </c>
      <c r="BB8" s="1873">
        <v>31</v>
      </c>
      <c r="BC8" s="1880">
        <v>0.23472222222222219</v>
      </c>
      <c r="BD8" s="1880" t="s">
        <v>552</v>
      </c>
      <c r="BE8" s="1880">
        <v>0.64444444444444449</v>
      </c>
      <c r="BF8" s="1880" t="s">
        <v>553</v>
      </c>
      <c r="BG8" s="1879" t="s">
        <v>241</v>
      </c>
      <c r="BH8" s="1880">
        <v>0.44166666666666665</v>
      </c>
      <c r="BI8" s="1879" t="s">
        <v>554</v>
      </c>
      <c r="BJ8" s="1881">
        <v>223455</v>
      </c>
      <c r="BK8" s="1882">
        <v>6.7000000000000004E-2</v>
      </c>
      <c r="BL8" s="1619">
        <f t="shared" si="1"/>
        <v>44561</v>
      </c>
      <c r="BM8" s="1856">
        <f t="shared" si="2"/>
        <v>0.44166666666666665</v>
      </c>
      <c r="BN8" s="934">
        <f t="shared" si="3"/>
        <v>28.5</v>
      </c>
      <c r="BR8" s="878" t="s">
        <v>555</v>
      </c>
      <c r="BS8" s="2">
        <v>4</v>
      </c>
      <c r="BY8" s="1869">
        <v>5</v>
      </c>
      <c r="BZ8" s="1870">
        <v>0.16250000000000001</v>
      </c>
      <c r="CA8" s="1869" t="s">
        <v>556</v>
      </c>
      <c r="CB8" s="1870">
        <v>0.69791666666666663</v>
      </c>
      <c r="CC8" s="1869" t="s">
        <v>557</v>
      </c>
      <c r="CD8" s="1869" t="s">
        <v>241</v>
      </c>
      <c r="CE8" s="1870">
        <v>0.42708333333333331</v>
      </c>
      <c r="CF8" s="1869" t="s">
        <v>558</v>
      </c>
      <c r="CG8" s="1871">
        <v>250696</v>
      </c>
      <c r="CH8" s="1872">
        <v>0.19900000000000001</v>
      </c>
      <c r="CI8" s="1869"/>
    </row>
    <row r="9" spans="1:87" ht="15" thickBot="1">
      <c r="A9" s="1017">
        <v>44562</v>
      </c>
      <c r="B9" s="932">
        <f t="shared" ref="B9:B72" si="4">INDEX(AT$28:AT$4574,MATCH($A9,$AP$28:$AP$4574,0))</f>
        <v>44562.289583333331</v>
      </c>
      <c r="C9" s="932">
        <f t="shared" ref="C9:C72" si="5">INDEX(AU$28:AU$4574,MATCH($A9,$AP$28:$AP$4574,0))</f>
        <v>44562.333333333336</v>
      </c>
      <c r="D9" s="932">
        <f t="shared" ref="D9:D72" si="6">INDEX(AV$28:AV$4574,MATCH($A9,$AP$28:$AP$4574,0))</f>
        <v>44562.732638888891</v>
      </c>
      <c r="E9" s="932">
        <f t="shared" ref="E9:E72" si="7">INDEX(AW$28:AW$4574,MATCH($A9,$AP$28:$AP$4574,0))</f>
        <v>44562.775694444441</v>
      </c>
      <c r="F9" s="932">
        <f t="shared" ref="F9:F72" si="8">INDEX(AX$28:AX$4574,MATCH($A9,$AP$28:$AP$4574,0))</f>
        <v>44562.288888888892</v>
      </c>
      <c r="G9" s="932">
        <f t="shared" ref="G9:G72" si="9">INDEX(AY$28:AY$4574,MATCH($A9,$AP$28:$AP$4574,0))</f>
        <v>44562.683333333334</v>
      </c>
      <c r="H9" s="2">
        <f>INDEX(AZ$28:AZ$4574,MATCH($A9,$AP$28:$AP$4574,0))*100</f>
        <v>4</v>
      </c>
      <c r="I9" s="2">
        <v>29.191108019163241</v>
      </c>
      <c r="J9" s="1317">
        <v>-22.936246973073224</v>
      </c>
      <c r="L9" s="876">
        <v>43408.041666666664</v>
      </c>
      <c r="M9" s="876">
        <v>43534.082638888889</v>
      </c>
      <c r="N9" s="885">
        <v>43408.25</v>
      </c>
      <c r="O9" s="885">
        <v>43534.290972222225</v>
      </c>
      <c r="P9" s="878" t="s">
        <v>559</v>
      </c>
      <c r="R9" s="931"/>
      <c r="S9" s="933"/>
      <c r="T9" s="930" t="s">
        <v>560</v>
      </c>
      <c r="U9" s="929"/>
      <c r="V9" s="930" t="s">
        <v>560</v>
      </c>
      <c r="W9" s="929"/>
      <c r="X9" s="930" t="s">
        <v>560</v>
      </c>
      <c r="Y9" s="929"/>
      <c r="Z9" s="930" t="s">
        <v>561</v>
      </c>
      <c r="BB9" s="1873">
        <v>1</v>
      </c>
      <c r="BC9" s="1880">
        <v>0.28819444444444448</v>
      </c>
      <c r="BD9" s="1880" t="s">
        <v>562</v>
      </c>
      <c r="BE9" s="1880">
        <v>0.68263888888888891</v>
      </c>
      <c r="BF9" s="1880" t="s">
        <v>563</v>
      </c>
      <c r="BG9" s="1879" t="s">
        <v>241</v>
      </c>
      <c r="BH9" s="1880">
        <v>0.4861111111111111</v>
      </c>
      <c r="BI9" s="1879" t="s">
        <v>564</v>
      </c>
      <c r="BJ9" s="1881">
        <v>222511</v>
      </c>
      <c r="BK9" s="1882">
        <v>1.7999999999999999E-2</v>
      </c>
      <c r="BL9" s="1619">
        <f t="shared" si="1"/>
        <v>44562</v>
      </c>
      <c r="BM9" s="1856">
        <f t="shared" si="2"/>
        <v>0.4861111111111111</v>
      </c>
      <c r="BN9" s="934">
        <f t="shared" ref="BN9:BN68" si="10">IF(ISNUMBER(FIND("(",BI9)),MID(BI9,2,4)*1,IF(BM9="NA","NA",MID(BH9,2,4)*1))</f>
        <v>25.7</v>
      </c>
      <c r="BR9" s="878" t="s">
        <v>565</v>
      </c>
      <c r="BS9" s="2">
        <v>5</v>
      </c>
      <c r="BY9" s="1869">
        <v>6</v>
      </c>
      <c r="BZ9" s="1870">
        <v>0.17916666666666667</v>
      </c>
      <c r="CA9" s="1869" t="s">
        <v>566</v>
      </c>
      <c r="CB9" s="1870">
        <v>0.73819444444444438</v>
      </c>
      <c r="CC9" s="1869" t="s">
        <v>567</v>
      </c>
      <c r="CD9" s="1869" t="s">
        <v>241</v>
      </c>
      <c r="CE9" s="1870">
        <v>0.45555555555555555</v>
      </c>
      <c r="CF9" s="1869" t="s">
        <v>568</v>
      </c>
      <c r="CG9" s="1871">
        <v>251841</v>
      </c>
      <c r="CH9" s="1872">
        <v>0.127</v>
      </c>
      <c r="CI9" s="1869"/>
    </row>
    <row r="10" spans="1:87" ht="14.5">
      <c r="A10" s="1">
        <f t="shared" ref="A10:A73" si="11">A9+1</f>
        <v>44563</v>
      </c>
      <c r="B10" s="932">
        <f t="shared" si="4"/>
        <v>44563.290277777778</v>
      </c>
      <c r="C10" s="932">
        <f t="shared" si="5"/>
        <v>44563.333333333336</v>
      </c>
      <c r="D10" s="932">
        <f t="shared" si="6"/>
        <v>44563.733333333337</v>
      </c>
      <c r="E10" s="932">
        <f t="shared" si="7"/>
        <v>44563.776388888888</v>
      </c>
      <c r="F10" s="932">
        <f t="shared" si="8"/>
        <v>44563.338194444448</v>
      </c>
      <c r="G10" s="932">
        <f t="shared" si="9"/>
        <v>44563.728472222225</v>
      </c>
      <c r="H10" s="2">
        <f t="shared" ref="H10:H73" si="12">INDEX(AZ$28:AZ$4574,MATCH($A10,$AP$28:$AP$4574,0))*100</f>
        <v>1</v>
      </c>
      <c r="I10" s="2">
        <v>29.28197857520475</v>
      </c>
      <c r="J10" s="1317">
        <v>-22.844414338847109</v>
      </c>
      <c r="L10" s="876">
        <v>43534.125</v>
      </c>
      <c r="M10" s="876">
        <v>43772.082638888889</v>
      </c>
      <c r="N10" s="885">
        <v>43534.291666666664</v>
      </c>
      <c r="O10" s="885">
        <v>43772.249305555553</v>
      </c>
      <c r="P10" s="878" t="s">
        <v>461</v>
      </c>
      <c r="R10" s="931"/>
      <c r="S10" s="925"/>
      <c r="T10" s="930" t="s">
        <v>560</v>
      </c>
      <c r="U10" s="929"/>
      <c r="V10" s="930" t="s">
        <v>560</v>
      </c>
      <c r="W10" s="929"/>
      <c r="X10" s="930" t="s">
        <v>560</v>
      </c>
      <c r="Y10" s="929"/>
      <c r="Z10" s="930" t="s">
        <v>569</v>
      </c>
      <c r="BB10" s="1873" t="s">
        <v>570</v>
      </c>
      <c r="BC10" s="1880">
        <v>0.33749999999999997</v>
      </c>
      <c r="BD10" s="1880" t="s">
        <v>571</v>
      </c>
      <c r="BE10" s="1880">
        <v>0.72777777777777775</v>
      </c>
      <c r="BF10" s="1880" t="s">
        <v>563</v>
      </c>
      <c r="BG10" s="1879" t="s">
        <v>241</v>
      </c>
      <c r="BH10" s="1880">
        <v>0.53263888888888888</v>
      </c>
      <c r="BI10" s="1879" t="s">
        <v>572</v>
      </c>
      <c r="BJ10" s="1881">
        <v>222841</v>
      </c>
      <c r="BK10" s="1882">
        <v>1E-3</v>
      </c>
      <c r="BL10" s="1619">
        <f t="shared" si="1"/>
        <v>44563</v>
      </c>
      <c r="BM10" s="1856">
        <f t="shared" ref="BM10:BM73" si="13">IF(ISNUMBER(FIND("(",BH10)),BG10,IF(ISNUMBER(FIND("Moon",BH10)),"NA",BH10))</f>
        <v>0.53263888888888888</v>
      </c>
      <c r="BN10" s="934">
        <f t="shared" si="10"/>
        <v>24.9</v>
      </c>
      <c r="BR10" s="878" t="s">
        <v>573</v>
      </c>
      <c r="BS10" s="2">
        <v>6</v>
      </c>
      <c r="BY10" s="1869">
        <v>7</v>
      </c>
      <c r="BZ10" s="1870">
        <v>0.19652777777777777</v>
      </c>
      <c r="CA10" s="1869" t="s">
        <v>574</v>
      </c>
      <c r="CB10" s="1870">
        <v>0.77847222222222223</v>
      </c>
      <c r="CC10" s="1869" t="s">
        <v>575</v>
      </c>
      <c r="CD10" s="1869" t="s">
        <v>241</v>
      </c>
      <c r="CE10" s="1870">
        <v>0.48472222222222222</v>
      </c>
      <c r="CF10" s="1869" t="s">
        <v>576</v>
      </c>
      <c r="CG10" s="1871">
        <v>252367</v>
      </c>
      <c r="CH10" s="1872">
        <v>7.0000000000000007E-2</v>
      </c>
      <c r="CI10" s="1869"/>
    </row>
    <row r="11" spans="1:87" ht="14.5">
      <c r="A11" s="1">
        <f t="shared" si="11"/>
        <v>44564</v>
      </c>
      <c r="B11" s="932">
        <f t="shared" si="4"/>
        <v>44564.290277777778</v>
      </c>
      <c r="C11" s="932">
        <f t="shared" si="5"/>
        <v>44564.333333333336</v>
      </c>
      <c r="D11" s="932">
        <f t="shared" si="6"/>
        <v>44564.733333333337</v>
      </c>
      <c r="E11" s="932">
        <f t="shared" si="7"/>
        <v>44564.776388888888</v>
      </c>
      <c r="F11" s="932">
        <f t="shared" si="8"/>
        <v>44564.380555555559</v>
      </c>
      <c r="G11" s="932">
        <f t="shared" si="9"/>
        <v>44564.779166666667</v>
      </c>
      <c r="H11" s="2">
        <f t="shared" si="12"/>
        <v>0</v>
      </c>
      <c r="I11" s="2">
        <v>29.380228678021908</v>
      </c>
      <c r="J11" s="1317">
        <v>-22.7450098823773</v>
      </c>
      <c r="L11" s="876">
        <v>43772.041666666664</v>
      </c>
      <c r="M11" s="876">
        <v>43898.082638888889</v>
      </c>
      <c r="N11" s="885">
        <v>43772.25</v>
      </c>
      <c r="O11" s="885">
        <v>43898.290972222225</v>
      </c>
      <c r="P11" s="878" t="s">
        <v>559</v>
      </c>
      <c r="R11" s="931"/>
      <c r="S11" s="934"/>
      <c r="T11" s="930" t="s">
        <v>577</v>
      </c>
      <c r="U11" s="929"/>
      <c r="V11" s="930" t="s">
        <v>577</v>
      </c>
      <c r="W11" s="929"/>
      <c r="X11" s="930" t="s">
        <v>577</v>
      </c>
      <c r="Y11" s="929"/>
      <c r="Z11" s="930" t="s">
        <v>569</v>
      </c>
      <c r="BB11" s="1873">
        <v>3</v>
      </c>
      <c r="BC11" s="1880">
        <v>0.37986111111111115</v>
      </c>
      <c r="BD11" s="1880" t="s">
        <v>562</v>
      </c>
      <c r="BE11" s="1880">
        <v>0.77847222222222223</v>
      </c>
      <c r="BF11" s="1880" t="s">
        <v>578</v>
      </c>
      <c r="BG11" s="1879" t="s">
        <v>241</v>
      </c>
      <c r="BH11" s="1880">
        <v>0.57777777777777783</v>
      </c>
      <c r="BI11" s="1879" t="s">
        <v>579</v>
      </c>
      <c r="BJ11" s="1881">
        <v>224446</v>
      </c>
      <c r="BK11" s="1882">
        <v>1.7000000000000001E-2</v>
      </c>
      <c r="BL11" s="1619">
        <f t="shared" si="1"/>
        <v>44564</v>
      </c>
      <c r="BM11" s="1856">
        <f t="shared" si="13"/>
        <v>0.57777777777777783</v>
      </c>
      <c r="BN11" s="934">
        <f t="shared" si="10"/>
        <v>26.4</v>
      </c>
      <c r="BR11" s="878" t="s">
        <v>580</v>
      </c>
      <c r="BS11" s="2">
        <v>7</v>
      </c>
      <c r="BY11" s="1869">
        <v>8</v>
      </c>
      <c r="BZ11" s="1870">
        <v>0.21666666666666667</v>
      </c>
      <c r="CA11" s="1869" t="s">
        <v>581</v>
      </c>
      <c r="CB11" s="1870">
        <v>0.81944444444444453</v>
      </c>
      <c r="CC11" s="1869" t="s">
        <v>582</v>
      </c>
      <c r="CD11" s="1869" t="s">
        <v>241</v>
      </c>
      <c r="CE11" s="1870">
        <v>0.51527777777777783</v>
      </c>
      <c r="CF11" s="1869" t="s">
        <v>583</v>
      </c>
      <c r="CG11" s="1871">
        <v>252337</v>
      </c>
      <c r="CH11" s="1872">
        <v>2.8000000000000001E-2</v>
      </c>
      <c r="CI11" s="1869"/>
    </row>
    <row r="12" spans="1:87" ht="14.5">
      <c r="A12" s="1">
        <f t="shared" si="11"/>
        <v>44565</v>
      </c>
      <c r="B12" s="932">
        <f t="shared" si="4"/>
        <v>44565.290277777778</v>
      </c>
      <c r="C12" s="932">
        <f t="shared" si="5"/>
        <v>44565.333333333336</v>
      </c>
      <c r="D12" s="932">
        <f t="shared" si="6"/>
        <v>44565.734027777777</v>
      </c>
      <c r="E12" s="932">
        <f t="shared" si="7"/>
        <v>44565.777083333334</v>
      </c>
      <c r="F12" s="932">
        <f t="shared" si="8"/>
        <v>44565.415972222225</v>
      </c>
      <c r="G12" s="932">
        <f t="shared" si="9"/>
        <v>44565.831249999996</v>
      </c>
      <c r="H12" s="2">
        <f t="shared" si="12"/>
        <v>3</v>
      </c>
      <c r="I12" s="2">
        <v>29.485817510844466</v>
      </c>
      <c r="J12" s="1317">
        <v>-22.638082245307537</v>
      </c>
      <c r="L12" s="876">
        <v>43898.125</v>
      </c>
      <c r="M12" s="876">
        <v>44136.082638888889</v>
      </c>
      <c r="N12" s="885">
        <v>43898.291666666664</v>
      </c>
      <c r="O12" s="885">
        <v>44136.249305555553</v>
      </c>
      <c r="P12" s="878" t="s">
        <v>461</v>
      </c>
      <c r="R12" s="931"/>
      <c r="S12" s="925"/>
      <c r="T12" s="930" t="s">
        <v>584</v>
      </c>
      <c r="U12" s="929"/>
      <c r="V12" s="930" t="s">
        <v>585</v>
      </c>
      <c r="W12" s="929"/>
      <c r="X12" s="930" t="s">
        <v>584</v>
      </c>
      <c r="Y12" s="929"/>
      <c r="Z12" s="930" t="s">
        <v>586</v>
      </c>
      <c r="BB12" s="1873">
        <v>4</v>
      </c>
      <c r="BC12" s="1880">
        <v>0.4152777777777778</v>
      </c>
      <c r="BD12" s="1880" t="s">
        <v>552</v>
      </c>
      <c r="BE12" s="1880">
        <v>0.8305555555555556</v>
      </c>
      <c r="BF12" s="1880" t="s">
        <v>587</v>
      </c>
      <c r="BG12" s="1879" t="s">
        <v>241</v>
      </c>
      <c r="BH12" s="1880">
        <v>0.62083333333333335</v>
      </c>
      <c r="BI12" s="1879" t="s">
        <v>588</v>
      </c>
      <c r="BJ12" s="1881">
        <v>227157</v>
      </c>
      <c r="BK12" s="1882">
        <v>6.3E-2</v>
      </c>
      <c r="BL12" s="1619">
        <f t="shared" si="1"/>
        <v>44565</v>
      </c>
      <c r="BM12" s="1856">
        <f t="shared" si="13"/>
        <v>0.62083333333333335</v>
      </c>
      <c r="BN12" s="934">
        <f t="shared" si="10"/>
        <v>29.7</v>
      </c>
      <c r="BR12" s="878" t="s">
        <v>589</v>
      </c>
      <c r="BS12" s="2">
        <v>8</v>
      </c>
      <c r="BY12" s="1869">
        <v>9</v>
      </c>
      <c r="BZ12" s="1870">
        <v>0.2388888888888889</v>
      </c>
      <c r="CA12" s="1869" t="s">
        <v>590</v>
      </c>
      <c r="CB12" s="1870">
        <v>0.86041666666666661</v>
      </c>
      <c r="CC12" s="1869" t="s">
        <v>591</v>
      </c>
      <c r="CD12" s="1869" t="s">
        <v>241</v>
      </c>
      <c r="CE12" s="1870">
        <v>0.54722222222222217</v>
      </c>
      <c r="CF12" s="1869" t="s">
        <v>592</v>
      </c>
      <c r="CG12" s="1871">
        <v>251820</v>
      </c>
      <c r="CH12" s="1872">
        <v>5.0000000000000001E-3</v>
      </c>
      <c r="CI12" s="1869"/>
    </row>
    <row r="13" spans="1:87" ht="14.5">
      <c r="A13" s="1">
        <f t="shared" si="11"/>
        <v>44566</v>
      </c>
      <c r="B13" s="932">
        <f t="shared" si="4"/>
        <v>44566.290277777778</v>
      </c>
      <c r="C13" s="932">
        <f t="shared" si="5"/>
        <v>44566.333333333336</v>
      </c>
      <c r="D13" s="932">
        <f t="shared" si="6"/>
        <v>44566.734722222223</v>
      </c>
      <c r="E13" s="932">
        <f t="shared" si="7"/>
        <v>44566.777777777781</v>
      </c>
      <c r="F13" s="932">
        <f t="shared" si="8"/>
        <v>44566.443749999999</v>
      </c>
      <c r="G13" s="932">
        <f t="shared" si="9"/>
        <v>44566.881944444445</v>
      </c>
      <c r="H13" s="2">
        <f t="shared" si="12"/>
        <v>9</v>
      </c>
      <c r="I13" s="2">
        <v>29.598701182866666</v>
      </c>
      <c r="J13" s="1317">
        <v>-22.523683732862111</v>
      </c>
      <c r="L13" s="876">
        <v>44136.041666666664</v>
      </c>
      <c r="M13" s="876">
        <v>44269.082638888889</v>
      </c>
      <c r="N13" s="885">
        <v>44136.25</v>
      </c>
      <c r="O13" s="885">
        <v>44269.290972222225</v>
      </c>
      <c r="P13" s="878" t="s">
        <v>559</v>
      </c>
      <c r="R13" s="931"/>
      <c r="S13" s="925"/>
      <c r="T13" s="930" t="s">
        <v>593</v>
      </c>
      <c r="U13" s="929"/>
      <c r="V13" s="930" t="s">
        <v>593</v>
      </c>
      <c r="W13" s="929"/>
      <c r="X13" s="930" t="s">
        <v>593</v>
      </c>
      <c r="Y13" s="929"/>
      <c r="Z13" s="930" t="s">
        <v>569</v>
      </c>
      <c r="BB13" s="1873">
        <v>5</v>
      </c>
      <c r="BC13" s="1880">
        <v>0.44305555555555554</v>
      </c>
      <c r="BD13" s="1880" t="s">
        <v>594</v>
      </c>
      <c r="BE13" s="1880">
        <v>0.88124999999999998</v>
      </c>
      <c r="BF13" s="1879" t="s">
        <v>595</v>
      </c>
      <c r="BG13" s="1880" t="s">
        <v>241</v>
      </c>
      <c r="BH13" s="1880">
        <v>0.65972222222222221</v>
      </c>
      <c r="BI13" s="1881" t="s">
        <v>596</v>
      </c>
      <c r="BJ13" s="1882">
        <v>230673</v>
      </c>
      <c r="BK13" s="1882">
        <v>0.13300000000000001</v>
      </c>
      <c r="BL13" s="1619">
        <f t="shared" si="1"/>
        <v>44566</v>
      </c>
      <c r="BM13" s="1856">
        <f t="shared" si="13"/>
        <v>0.65972222222222221</v>
      </c>
      <c r="BN13" s="934">
        <f t="shared" si="10"/>
        <v>34.299999999999997</v>
      </c>
      <c r="BR13" s="878" t="s">
        <v>597</v>
      </c>
      <c r="BS13" s="2">
        <v>9</v>
      </c>
      <c r="BY13" s="1869" t="s">
        <v>598</v>
      </c>
      <c r="BZ13" s="1870">
        <v>0.26527777777777778</v>
      </c>
      <c r="CA13" s="1869" t="s">
        <v>599</v>
      </c>
      <c r="CB13" s="1870">
        <v>0.9</v>
      </c>
      <c r="CC13" s="1869" t="s">
        <v>600</v>
      </c>
      <c r="CD13" s="1869" t="s">
        <v>241</v>
      </c>
      <c r="CE13" s="1870">
        <v>0.58124999999999993</v>
      </c>
      <c r="CF13" s="1869" t="s">
        <v>601</v>
      </c>
      <c r="CG13" s="1871">
        <v>250877</v>
      </c>
      <c r="CH13" s="1872">
        <v>1E-3</v>
      </c>
      <c r="CI13" s="1869"/>
    </row>
    <row r="14" spans="1:87" ht="14.5">
      <c r="A14" s="1">
        <f t="shared" si="11"/>
        <v>44567</v>
      </c>
      <c r="B14" s="932">
        <f t="shared" si="4"/>
        <v>44567.290277777778</v>
      </c>
      <c r="C14" s="932">
        <f t="shared" si="5"/>
        <v>44567.333333333336</v>
      </c>
      <c r="D14" s="932">
        <f t="shared" si="6"/>
        <v>44567.73541666667</v>
      </c>
      <c r="E14" s="932">
        <f t="shared" si="7"/>
        <v>44567.77847222222</v>
      </c>
      <c r="F14" s="932">
        <f t="shared" si="8"/>
        <v>44567.466666666667</v>
      </c>
      <c r="G14" s="932">
        <f t="shared" si="9"/>
        <v>44567.929861111108</v>
      </c>
      <c r="H14" s="2">
        <f t="shared" si="12"/>
        <v>16</v>
      </c>
      <c r="I14" s="2">
        <v>29.718832775235249</v>
      </c>
      <c r="J14" s="1317">
        <v>-22.401870230349672</v>
      </c>
      <c r="L14" s="876">
        <v>44269.125</v>
      </c>
      <c r="M14" s="876">
        <v>44507.082638888889</v>
      </c>
      <c r="N14" s="885">
        <v>44269.291666666664</v>
      </c>
      <c r="O14" s="885">
        <v>44507.249305555553</v>
      </c>
      <c r="P14" s="878" t="s">
        <v>461</v>
      </c>
      <c r="R14" s="935"/>
      <c r="S14" s="1016">
        <f>VALUE(LEFT(T14,2))</f>
        <v>1</v>
      </c>
      <c r="T14" s="930" t="s">
        <v>602</v>
      </c>
      <c r="U14" s="929"/>
      <c r="V14" s="930" t="s">
        <v>603</v>
      </c>
      <c r="W14" s="929"/>
      <c r="X14" s="930" t="s">
        <v>604</v>
      </c>
      <c r="Y14" s="929"/>
      <c r="Z14" s="930" t="s">
        <v>605</v>
      </c>
      <c r="AR14" s="933"/>
      <c r="AS14" s="1899"/>
      <c r="BB14" s="1873">
        <v>6</v>
      </c>
      <c r="BC14" s="1880">
        <v>0.46597222222222223</v>
      </c>
      <c r="BD14" s="1879" t="s">
        <v>524</v>
      </c>
      <c r="BE14" s="1880">
        <v>0.9291666666666667</v>
      </c>
      <c r="BF14" s="1879" t="s">
        <v>525</v>
      </c>
      <c r="BG14" s="1879" t="s">
        <v>241</v>
      </c>
      <c r="BH14" s="1880">
        <v>0.69444444444444453</v>
      </c>
      <c r="BI14" s="1879" t="s">
        <v>606</v>
      </c>
      <c r="BJ14" s="1881">
        <v>234630</v>
      </c>
      <c r="BK14" s="1882">
        <v>0.221</v>
      </c>
      <c r="BL14" s="1619">
        <f t="shared" si="1"/>
        <v>44567</v>
      </c>
      <c r="BM14" s="1856">
        <f t="shared" si="13"/>
        <v>0.69444444444444453</v>
      </c>
      <c r="BN14" s="934">
        <f t="shared" si="10"/>
        <v>39.799999999999997</v>
      </c>
      <c r="BR14" s="878" t="s">
        <v>607</v>
      </c>
      <c r="BS14" s="2">
        <v>10</v>
      </c>
      <c r="BY14" s="1869">
        <v>11</v>
      </c>
      <c r="BZ14" s="1870">
        <v>0.29583333333333334</v>
      </c>
      <c r="CA14" s="1869" t="s">
        <v>608</v>
      </c>
      <c r="CB14" s="1870">
        <v>0.93819444444444444</v>
      </c>
      <c r="CC14" s="1869" t="s">
        <v>609</v>
      </c>
      <c r="CD14" s="1869" t="s">
        <v>241</v>
      </c>
      <c r="CE14" s="1870">
        <v>0.61597222222222225</v>
      </c>
      <c r="CF14" s="1869" t="s">
        <v>610</v>
      </c>
      <c r="CG14" s="1871">
        <v>249553</v>
      </c>
      <c r="CH14" s="1872">
        <v>1.7000000000000001E-2</v>
      </c>
      <c r="CI14" s="1869"/>
    </row>
    <row r="15" spans="1:87" ht="14.5">
      <c r="A15" s="1">
        <f t="shared" si="11"/>
        <v>44568</v>
      </c>
      <c r="B15" s="932">
        <f t="shared" si="4"/>
        <v>44568.290277777778</v>
      </c>
      <c r="C15" s="932">
        <f t="shared" si="5"/>
        <v>44568.333333333336</v>
      </c>
      <c r="D15" s="932">
        <f t="shared" si="6"/>
        <v>44568.736111111117</v>
      </c>
      <c r="E15" s="932">
        <f t="shared" si="7"/>
        <v>44568.779166666667</v>
      </c>
      <c r="F15" s="932">
        <f t="shared" si="8"/>
        <v>44568.486805555556</v>
      </c>
      <c r="G15" s="932">
        <f t="shared" si="9"/>
        <v>44568.975694444445</v>
      </c>
      <c r="H15" s="2">
        <f t="shared" si="12"/>
        <v>25</v>
      </c>
      <c r="I15" s="2">
        <v>29.846162389710273</v>
      </c>
      <c r="J15" s="1317">
        <v>-22.272701114996579</v>
      </c>
      <c r="L15" s="876">
        <v>44507.041666666664</v>
      </c>
      <c r="M15" s="876">
        <v>44633.082638888889</v>
      </c>
      <c r="N15" s="885">
        <v>44507.25</v>
      </c>
      <c r="O15" s="885">
        <v>44633.290972222225</v>
      </c>
      <c r="P15" s="878" t="s">
        <v>559</v>
      </c>
      <c r="R15" s="931"/>
      <c r="S15" s="1016">
        <f t="shared" ref="S15:S44" si="14">VALUE(LEFT(T15,2))</f>
        <v>2</v>
      </c>
      <c r="T15" s="930" t="s">
        <v>611</v>
      </c>
      <c r="U15" s="929"/>
      <c r="V15" s="930" t="s">
        <v>612</v>
      </c>
      <c r="W15" s="929"/>
      <c r="X15" s="930" t="s">
        <v>613</v>
      </c>
      <c r="Y15" s="929"/>
      <c r="Z15" s="930" t="s">
        <v>614</v>
      </c>
      <c r="BB15" s="1873">
        <v>7</v>
      </c>
      <c r="BC15" s="1880">
        <v>0.48541666666666666</v>
      </c>
      <c r="BD15" s="1879" t="s">
        <v>534</v>
      </c>
      <c r="BE15" s="1880">
        <v>0.97430555555555554</v>
      </c>
      <c r="BF15" s="1879" t="s">
        <v>535</v>
      </c>
      <c r="BG15" s="1879" t="s">
        <v>241</v>
      </c>
      <c r="BH15" s="1880">
        <v>0.7270833333333333</v>
      </c>
      <c r="BI15" s="1879" t="s">
        <v>615</v>
      </c>
      <c r="BJ15" s="1881">
        <v>238668</v>
      </c>
      <c r="BK15" s="1882">
        <v>0.31900000000000001</v>
      </c>
      <c r="BL15" s="1619">
        <f t="shared" si="1"/>
        <v>44568</v>
      </c>
      <c r="BM15" s="1856">
        <f t="shared" si="13"/>
        <v>0.7270833333333333</v>
      </c>
      <c r="BN15" s="934">
        <f t="shared" si="10"/>
        <v>45.7</v>
      </c>
      <c r="BR15" s="878" t="s">
        <v>616</v>
      </c>
      <c r="BS15" s="2">
        <v>11</v>
      </c>
      <c r="BY15" s="1869">
        <v>12</v>
      </c>
      <c r="BZ15" s="1870">
        <v>0.33055555555555555</v>
      </c>
      <c r="CA15" s="1869" t="s">
        <v>608</v>
      </c>
      <c r="CB15" s="1870">
        <v>0.97222222222222221</v>
      </c>
      <c r="CC15" s="1869" t="s">
        <v>600</v>
      </c>
      <c r="CD15" s="1869" t="s">
        <v>241</v>
      </c>
      <c r="CE15" s="1870">
        <v>0.65208333333333335</v>
      </c>
      <c r="CF15" s="1869" t="s">
        <v>617</v>
      </c>
      <c r="CG15" s="1871">
        <v>247875</v>
      </c>
      <c r="CH15" s="1872">
        <v>5.2999999999999999E-2</v>
      </c>
      <c r="CI15" s="1869"/>
    </row>
    <row r="16" spans="1:87" ht="14.5">
      <c r="A16" s="1">
        <f t="shared" si="11"/>
        <v>44569</v>
      </c>
      <c r="B16" s="932">
        <f t="shared" si="4"/>
        <v>44569.290277777778</v>
      </c>
      <c r="C16" s="932">
        <f t="shared" si="5"/>
        <v>44569.333333333336</v>
      </c>
      <c r="D16" s="932">
        <f t="shared" si="6"/>
        <v>44569.736805555556</v>
      </c>
      <c r="E16" s="932">
        <f t="shared" si="7"/>
        <v>44569.779861111114</v>
      </c>
      <c r="F16" s="932">
        <f t="shared" si="8"/>
        <v>44569.504166666666</v>
      </c>
      <c r="G16" s="932" t="str">
        <f t="shared" si="9"/>
        <v>NONE</v>
      </c>
      <c r="H16" s="2">
        <f t="shared" si="12"/>
        <v>35</v>
      </c>
      <c r="I16" s="2">
        <v>29.980637199824638</v>
      </c>
      <c r="J16" s="1317">
        <v>-22.136239163466954</v>
      </c>
      <c r="L16" s="876">
        <v>44633.125</v>
      </c>
      <c r="M16" s="876">
        <v>44871.082638888889</v>
      </c>
      <c r="N16" s="885">
        <v>44633.291666666664</v>
      </c>
      <c r="O16" s="885">
        <v>44871.249305555553</v>
      </c>
      <c r="P16" s="878" t="s">
        <v>461</v>
      </c>
      <c r="R16" s="931"/>
      <c r="S16" s="1016">
        <f t="shared" si="14"/>
        <v>3</v>
      </c>
      <c r="T16" s="930" t="s">
        <v>618</v>
      </c>
      <c r="U16" s="929"/>
      <c r="V16" s="930" t="s">
        <v>619</v>
      </c>
      <c r="W16" s="929"/>
      <c r="X16" s="930" t="s">
        <v>620</v>
      </c>
      <c r="Y16" s="929"/>
      <c r="Z16" s="930" t="s">
        <v>621</v>
      </c>
      <c r="BB16" s="1873">
        <v>8</v>
      </c>
      <c r="BC16" s="1880">
        <v>0.50347222222222221</v>
      </c>
      <c r="BD16" s="1879" t="s">
        <v>544</v>
      </c>
      <c r="BE16" s="1880" t="s">
        <v>241</v>
      </c>
      <c r="BF16" s="1879" t="s">
        <v>241</v>
      </c>
      <c r="BG16" s="1880">
        <v>0.75763888888888886</v>
      </c>
      <c r="BH16" s="1880" t="s">
        <v>622</v>
      </c>
      <c r="BI16" s="1881">
        <v>242470</v>
      </c>
      <c r="BJ16" s="1881">
        <v>0.42199999999999999</v>
      </c>
      <c r="BK16" s="1882"/>
      <c r="BL16" s="1619">
        <f t="shared" si="1"/>
        <v>44569</v>
      </c>
      <c r="BM16" s="1856">
        <f t="shared" si="13"/>
        <v>0.75763888888888886</v>
      </c>
      <c r="BN16" s="934">
        <f t="shared" si="10"/>
        <v>51.6</v>
      </c>
      <c r="BR16" s="878" t="s">
        <v>623</v>
      </c>
      <c r="BS16" s="2">
        <v>12</v>
      </c>
      <c r="BY16" s="1869">
        <v>13</v>
      </c>
      <c r="BZ16" s="1870">
        <v>0.37013888888888885</v>
      </c>
      <c r="CA16" s="1869" t="s">
        <v>624</v>
      </c>
      <c r="CB16" s="1869" t="s">
        <v>241</v>
      </c>
      <c r="CC16" s="1869" t="s">
        <v>241</v>
      </c>
      <c r="CD16" s="1870">
        <v>0.68819444444444444</v>
      </c>
      <c r="CE16" s="1869" t="s">
        <v>625</v>
      </c>
      <c r="CF16" s="1871">
        <v>245856</v>
      </c>
      <c r="CG16" s="1872">
        <v>0.108</v>
      </c>
      <c r="CH16" s="1869"/>
      <c r="CI16" s="1869"/>
    </row>
    <row r="17" spans="1:87" ht="14.5">
      <c r="A17" s="1">
        <f t="shared" si="11"/>
        <v>44570</v>
      </c>
      <c r="B17" s="932">
        <f t="shared" si="4"/>
        <v>44570.290277777778</v>
      </c>
      <c r="C17" s="932">
        <f t="shared" si="5"/>
        <v>44570.333333333336</v>
      </c>
      <c r="D17" s="932">
        <f t="shared" si="6"/>
        <v>44570.737500000003</v>
      </c>
      <c r="E17" s="932">
        <f t="shared" si="7"/>
        <v>44570.779861111114</v>
      </c>
      <c r="F17" s="932">
        <f t="shared" si="8"/>
        <v>44570.521527777775</v>
      </c>
      <c r="G17" s="932">
        <f t="shared" si="9"/>
        <v>44570.018750000003</v>
      </c>
      <c r="H17" s="2">
        <f t="shared" si="12"/>
        <v>45</v>
      </c>
      <c r="I17" s="2">
        <v>30.122201504359094</v>
      </c>
      <c r="J17" s="1317">
        <v>-21.992550455443613</v>
      </c>
      <c r="L17" s="876">
        <v>44871.041666666664</v>
      </c>
      <c r="M17" s="876">
        <v>44997.082638888889</v>
      </c>
      <c r="N17" s="885">
        <v>44871.25</v>
      </c>
      <c r="O17" s="885">
        <v>44997.290972222225</v>
      </c>
      <c r="P17" s="878" t="s">
        <v>559</v>
      </c>
      <c r="R17" s="931"/>
      <c r="S17" s="1016">
        <f t="shared" si="14"/>
        <v>4</v>
      </c>
      <c r="T17" s="930" t="s">
        <v>626</v>
      </c>
      <c r="U17" s="929"/>
      <c r="V17" s="930" t="s">
        <v>627</v>
      </c>
      <c r="W17" s="929"/>
      <c r="X17" s="930" t="s">
        <v>628</v>
      </c>
      <c r="Y17" s="929"/>
      <c r="Z17" s="930" t="s">
        <v>629</v>
      </c>
      <c r="BB17" s="1873" t="s">
        <v>630</v>
      </c>
      <c r="BC17" s="1880" t="s">
        <v>241</v>
      </c>
      <c r="BD17" s="1880">
        <v>1.8055555555555557E-2</v>
      </c>
      <c r="BE17" s="1880" t="s">
        <v>631</v>
      </c>
      <c r="BF17" s="1880">
        <v>0.52013888888888882</v>
      </c>
      <c r="BG17" s="1879" t="s">
        <v>556</v>
      </c>
      <c r="BH17" s="1880">
        <v>0.78680555555555554</v>
      </c>
      <c r="BI17" s="1879" t="s">
        <v>632</v>
      </c>
      <c r="BJ17" s="1881">
        <v>245794</v>
      </c>
      <c r="BK17" s="1882">
        <v>0.52500000000000002</v>
      </c>
      <c r="BL17" s="1619">
        <f t="shared" si="1"/>
        <v>44570</v>
      </c>
      <c r="BM17" s="1856">
        <f t="shared" si="13"/>
        <v>0.78680555555555554</v>
      </c>
      <c r="BN17" s="934">
        <f t="shared" si="10"/>
        <v>57.4</v>
      </c>
      <c r="BY17" s="1869">
        <v>14</v>
      </c>
      <c r="BZ17" s="1869" t="s">
        <v>241</v>
      </c>
      <c r="CA17" s="1870">
        <v>2.7777777777777779E-3</v>
      </c>
      <c r="CB17" s="1869" t="s">
        <v>633</v>
      </c>
      <c r="CC17" s="1870">
        <v>0.41250000000000003</v>
      </c>
      <c r="CD17" s="1869" t="s">
        <v>634</v>
      </c>
      <c r="CE17" s="1870">
        <v>0.72361111111111109</v>
      </c>
      <c r="CF17" s="1869" t="s">
        <v>635</v>
      </c>
      <c r="CG17" s="1871">
        <v>243505</v>
      </c>
      <c r="CH17" s="1872">
        <v>0.18099999999999999</v>
      </c>
      <c r="CI17" s="1869"/>
    </row>
    <row r="18" spans="1:87" ht="14.5">
      <c r="A18" s="1">
        <f t="shared" si="11"/>
        <v>44571</v>
      </c>
      <c r="B18" s="932">
        <f t="shared" si="4"/>
        <v>44571.290277777778</v>
      </c>
      <c r="C18" s="932">
        <f t="shared" si="5"/>
        <v>44571.333333333336</v>
      </c>
      <c r="D18" s="932">
        <f t="shared" si="6"/>
        <v>44571.73819444445</v>
      </c>
      <c r="E18" s="932">
        <f t="shared" si="7"/>
        <v>44571.780555555553</v>
      </c>
      <c r="F18" s="932">
        <f t="shared" si="8"/>
        <v>44571.538194444445</v>
      </c>
      <c r="G18" s="932">
        <f t="shared" si="9"/>
        <v>44571.061111111107</v>
      </c>
      <c r="H18" s="2">
        <f t="shared" si="12"/>
        <v>55.000000000000007</v>
      </c>
      <c r="I18" s="2">
        <v>30.270796782951646</v>
      </c>
      <c r="J18" s="1317">
        <v>-21.841704273648762</v>
      </c>
      <c r="L18" s="876">
        <v>44997.125</v>
      </c>
      <c r="M18" s="876">
        <v>45235.082638888889</v>
      </c>
      <c r="N18" s="885">
        <v>44997.291666666664</v>
      </c>
      <c r="O18" s="885">
        <v>45235.249305555553</v>
      </c>
      <c r="P18" s="878" t="s">
        <v>461</v>
      </c>
      <c r="R18" s="931"/>
      <c r="S18" s="1016">
        <f t="shared" si="14"/>
        <v>5</v>
      </c>
      <c r="T18" s="930" t="s">
        <v>636</v>
      </c>
      <c r="U18" s="929"/>
      <c r="V18" s="930" t="s">
        <v>637</v>
      </c>
      <c r="W18" s="929"/>
      <c r="X18" s="930" t="s">
        <v>638</v>
      </c>
      <c r="Y18" s="929"/>
      <c r="Z18" s="930" t="s">
        <v>639</v>
      </c>
      <c r="BB18" s="1873">
        <v>10</v>
      </c>
      <c r="BC18" s="1880" t="s">
        <v>241</v>
      </c>
      <c r="BD18" s="1880">
        <v>5.9722222222222225E-2</v>
      </c>
      <c r="BE18" s="1880" t="s">
        <v>640</v>
      </c>
      <c r="BF18" s="1880">
        <v>0.53749999999999998</v>
      </c>
      <c r="BG18" s="1879" t="s">
        <v>641</v>
      </c>
      <c r="BH18" s="1880">
        <v>0.81597222222222221</v>
      </c>
      <c r="BI18" s="1879" t="s">
        <v>642</v>
      </c>
      <c r="BJ18" s="1881">
        <v>248476</v>
      </c>
      <c r="BK18" s="1882">
        <v>0.624</v>
      </c>
      <c r="BL18" s="1619">
        <f t="shared" si="1"/>
        <v>44571</v>
      </c>
      <c r="BM18" s="1856">
        <f t="shared" si="13"/>
        <v>0.81597222222222221</v>
      </c>
      <c r="BN18" s="934">
        <f t="shared" si="10"/>
        <v>62.8</v>
      </c>
      <c r="BY18" s="1869">
        <v>15</v>
      </c>
      <c r="BZ18" s="1869" t="s">
        <v>241</v>
      </c>
      <c r="CA18" s="1870">
        <v>2.9166666666666664E-2</v>
      </c>
      <c r="CB18" s="1869" t="s">
        <v>643</v>
      </c>
      <c r="CC18" s="1870">
        <v>0.45694444444444443</v>
      </c>
      <c r="CD18" s="1869" t="s">
        <v>644</v>
      </c>
      <c r="CE18" s="1870">
        <v>0.75763888888888886</v>
      </c>
      <c r="CF18" s="1869" t="s">
        <v>645</v>
      </c>
      <c r="CG18" s="1871">
        <v>240841</v>
      </c>
      <c r="CH18" s="1872">
        <v>0.27</v>
      </c>
      <c r="CI18" s="1869"/>
    </row>
    <row r="19" spans="1:87" ht="14.5">
      <c r="A19" s="1">
        <f t="shared" si="11"/>
        <v>44572</v>
      </c>
      <c r="B19" s="932">
        <f t="shared" si="4"/>
        <v>44572.290277777778</v>
      </c>
      <c r="C19" s="932">
        <f t="shared" si="5"/>
        <v>44572.332638888889</v>
      </c>
      <c r="D19" s="932">
        <f t="shared" si="6"/>
        <v>44572.738888888889</v>
      </c>
      <c r="E19" s="932">
        <f t="shared" si="7"/>
        <v>44572.78125</v>
      </c>
      <c r="F19" s="932">
        <f t="shared" si="8"/>
        <v>44572.556249999994</v>
      </c>
      <c r="G19" s="932">
        <f t="shared" si="9"/>
        <v>44572.102083333339</v>
      </c>
      <c r="H19" s="2">
        <f t="shared" si="12"/>
        <v>64</v>
      </c>
      <c r="I19" s="2">
        <v>30.426361753659485</v>
      </c>
      <c r="J19" s="1317">
        <v>-21.68377300069012</v>
      </c>
      <c r="L19" s="876">
        <v>45235.041666666664</v>
      </c>
      <c r="M19" s="876">
        <v>45361.082638888889</v>
      </c>
      <c r="N19" s="885">
        <v>45235.25</v>
      </c>
      <c r="O19" s="885">
        <v>45361.290972222225</v>
      </c>
      <c r="P19" s="878" t="s">
        <v>559</v>
      </c>
      <c r="R19" s="931"/>
      <c r="S19" s="1016">
        <f t="shared" si="14"/>
        <v>6</v>
      </c>
      <c r="T19" s="930" t="s">
        <v>646</v>
      </c>
      <c r="U19" s="929"/>
      <c r="V19" s="930" t="s">
        <v>647</v>
      </c>
      <c r="W19" s="929"/>
      <c r="X19" s="930" t="s">
        <v>648</v>
      </c>
      <c r="Y19" s="929"/>
      <c r="Z19" s="930" t="s">
        <v>649</v>
      </c>
      <c r="BB19" s="1873">
        <v>11</v>
      </c>
      <c r="BC19" s="1880" t="s">
        <v>241</v>
      </c>
      <c r="BD19" s="1880">
        <v>0.1013888888888889</v>
      </c>
      <c r="BE19" s="1880" t="s">
        <v>650</v>
      </c>
      <c r="BF19" s="1880">
        <v>0.55555555555555558</v>
      </c>
      <c r="BG19" s="1879" t="s">
        <v>651</v>
      </c>
      <c r="BH19" s="1880">
        <v>0.84583333333333333</v>
      </c>
      <c r="BI19" s="1879" t="s">
        <v>652</v>
      </c>
      <c r="BJ19" s="1881">
        <v>250429</v>
      </c>
      <c r="BK19" s="1882">
        <v>0.71599999999999997</v>
      </c>
      <c r="BL19" s="1619">
        <f t="shared" si="1"/>
        <v>44572</v>
      </c>
      <c r="BM19" s="1856">
        <f t="shared" si="13"/>
        <v>0.84583333333333333</v>
      </c>
      <c r="BN19" s="934">
        <f t="shared" si="10"/>
        <v>67.599999999999994</v>
      </c>
      <c r="BY19" s="1869">
        <v>16</v>
      </c>
      <c r="BZ19" s="1869" t="s">
        <v>241</v>
      </c>
      <c r="CA19" s="1870">
        <v>5.2777777777777778E-2</v>
      </c>
      <c r="CB19" s="1869" t="s">
        <v>575</v>
      </c>
      <c r="CC19" s="1870">
        <v>0.50208333333333333</v>
      </c>
      <c r="CD19" s="1869" t="s">
        <v>574</v>
      </c>
      <c r="CE19" s="1870">
        <v>0.7909722222222223</v>
      </c>
      <c r="CF19" s="1869" t="s">
        <v>653</v>
      </c>
      <c r="CG19" s="1871">
        <v>237914</v>
      </c>
      <c r="CH19" s="1872">
        <v>0.372</v>
      </c>
      <c r="CI19" s="1869"/>
    </row>
    <row r="20" spans="1:87" ht="14.5">
      <c r="A20" s="1">
        <f t="shared" si="11"/>
        <v>44573</v>
      </c>
      <c r="B20" s="932">
        <f t="shared" si="4"/>
        <v>44573.290277777778</v>
      </c>
      <c r="C20" s="932">
        <f t="shared" si="5"/>
        <v>44573.332638888889</v>
      </c>
      <c r="D20" s="932">
        <f t="shared" si="6"/>
        <v>44573.739583333336</v>
      </c>
      <c r="E20" s="932">
        <f t="shared" si="7"/>
        <v>44573.781944444447</v>
      </c>
      <c r="F20" s="932">
        <f t="shared" si="8"/>
        <v>44573.575694444444</v>
      </c>
      <c r="G20" s="932">
        <f t="shared" si="9"/>
        <v>44573.143750000003</v>
      </c>
      <c r="H20" s="2">
        <f t="shared" si="12"/>
        <v>73</v>
      </c>
      <c r="I20" s="2">
        <v>30.588832432295128</v>
      </c>
      <c r="J20" s="1317">
        <v>-21.518832013119258</v>
      </c>
      <c r="L20" s="876">
        <v>45361.125</v>
      </c>
      <c r="M20" s="876">
        <v>45599.082638888889</v>
      </c>
      <c r="N20" s="885">
        <v>45361</v>
      </c>
      <c r="O20" s="885">
        <v>45599.249305555553</v>
      </c>
      <c r="P20" s="878" t="s">
        <v>461</v>
      </c>
      <c r="R20" s="931"/>
      <c r="S20" s="1016">
        <f t="shared" si="14"/>
        <v>7</v>
      </c>
      <c r="T20" s="930" t="s">
        <v>654</v>
      </c>
      <c r="U20" s="929"/>
      <c r="V20" s="930" t="s">
        <v>655</v>
      </c>
      <c r="W20" s="929"/>
      <c r="X20" s="930" t="s">
        <v>656</v>
      </c>
      <c r="Y20" s="929"/>
      <c r="Z20" s="930" t="s">
        <v>657</v>
      </c>
      <c r="BB20" s="1873">
        <v>12</v>
      </c>
      <c r="BC20" s="1880" t="s">
        <v>241</v>
      </c>
      <c r="BD20" s="1880">
        <v>0.1423611111111111</v>
      </c>
      <c r="BE20" s="1880" t="s">
        <v>658</v>
      </c>
      <c r="BF20" s="1880">
        <v>0.57500000000000007</v>
      </c>
      <c r="BG20" s="1879" t="s">
        <v>644</v>
      </c>
      <c r="BH20" s="1880">
        <v>0.87638888888888899</v>
      </c>
      <c r="BI20" s="1879" t="s">
        <v>659</v>
      </c>
      <c r="BJ20" s="1881">
        <v>251636</v>
      </c>
      <c r="BK20" s="1882">
        <v>0.79900000000000004</v>
      </c>
      <c r="BL20" s="1619">
        <f t="shared" si="1"/>
        <v>44573</v>
      </c>
      <c r="BM20" s="1856">
        <f t="shared" si="13"/>
        <v>0.87638888888888899</v>
      </c>
      <c r="BN20" s="934">
        <f t="shared" si="10"/>
        <v>71.8</v>
      </c>
      <c r="BY20" s="1869" t="s">
        <v>660</v>
      </c>
      <c r="BZ20" s="1869" t="s">
        <v>241</v>
      </c>
      <c r="CA20" s="1870">
        <v>7.3611111111111113E-2</v>
      </c>
      <c r="CB20" s="1869" t="s">
        <v>567</v>
      </c>
      <c r="CC20" s="1870">
        <v>0.54791666666666672</v>
      </c>
      <c r="CD20" s="1869" t="s">
        <v>661</v>
      </c>
      <c r="CE20" s="1870">
        <v>0.82430555555555562</v>
      </c>
      <c r="CF20" s="1869" t="s">
        <v>662</v>
      </c>
      <c r="CG20" s="1871">
        <v>234816</v>
      </c>
      <c r="CH20" s="1872">
        <v>0.48199999999999998</v>
      </c>
      <c r="CI20" s="1869"/>
    </row>
    <row r="21" spans="1:87" ht="14.5">
      <c r="A21" s="1">
        <f t="shared" si="11"/>
        <v>44574</v>
      </c>
      <c r="B21" s="932">
        <f t="shared" si="4"/>
        <v>44574.290277777778</v>
      </c>
      <c r="C21" s="932">
        <f t="shared" si="5"/>
        <v>44574.332638888889</v>
      </c>
      <c r="D21" s="932">
        <f t="shared" si="6"/>
        <v>44574.740277777782</v>
      </c>
      <c r="E21" s="932">
        <f t="shared" si="7"/>
        <v>44574.782638888886</v>
      </c>
      <c r="F21" s="932">
        <f t="shared" si="8"/>
        <v>44574.598611111112</v>
      </c>
      <c r="G21" s="932">
        <f t="shared" si="9"/>
        <v>44574.18472222222</v>
      </c>
      <c r="H21" s="2">
        <f t="shared" si="12"/>
        <v>81</v>
      </c>
      <c r="I21" s="2">
        <v>30.758142193359035</v>
      </c>
      <c r="J21" s="1317">
        <v>-21.346959573092462</v>
      </c>
      <c r="L21" s="876">
        <v>45599.041666666664</v>
      </c>
      <c r="M21" s="876">
        <v>45725.082638888889</v>
      </c>
      <c r="N21" s="885">
        <v>45599.25</v>
      </c>
      <c r="O21" s="885">
        <v>45725.290972222225</v>
      </c>
      <c r="P21" s="878" t="s">
        <v>559</v>
      </c>
      <c r="R21" s="931"/>
      <c r="S21" s="1016">
        <f t="shared" si="14"/>
        <v>8</v>
      </c>
      <c r="T21" s="930" t="s">
        <v>663</v>
      </c>
      <c r="U21" s="929"/>
      <c r="V21" s="930" t="s">
        <v>664</v>
      </c>
      <c r="W21" s="929"/>
      <c r="X21" s="930" t="s">
        <v>665</v>
      </c>
      <c r="Y21" s="929"/>
      <c r="Z21" s="930" t="s">
        <v>666</v>
      </c>
      <c r="BB21" s="1873">
        <v>13</v>
      </c>
      <c r="BC21" s="1880" t="s">
        <v>241</v>
      </c>
      <c r="BD21" s="1880">
        <v>0.18402777777777779</v>
      </c>
      <c r="BE21" s="1880" t="s">
        <v>667</v>
      </c>
      <c r="BF21" s="1880">
        <v>0.59791666666666665</v>
      </c>
      <c r="BG21" s="1879" t="s">
        <v>668</v>
      </c>
      <c r="BH21" s="1880">
        <v>0.90902777777777777</v>
      </c>
      <c r="BI21" s="1879" t="s">
        <v>669</v>
      </c>
      <c r="BJ21" s="1881">
        <v>252133</v>
      </c>
      <c r="BK21" s="1882">
        <v>0.871</v>
      </c>
      <c r="BL21" s="1619">
        <f t="shared" si="1"/>
        <v>44574</v>
      </c>
      <c r="BM21" s="1856">
        <f t="shared" si="13"/>
        <v>0.90902777777777777</v>
      </c>
      <c r="BN21" s="934">
        <f t="shared" si="10"/>
        <v>75</v>
      </c>
      <c r="BY21" s="1869">
        <v>18</v>
      </c>
      <c r="BZ21" s="1869" t="s">
        <v>241</v>
      </c>
      <c r="CA21" s="1870">
        <v>9.375E-2</v>
      </c>
      <c r="CB21" s="1869" t="s">
        <v>670</v>
      </c>
      <c r="CC21" s="1870">
        <v>0.59444444444444444</v>
      </c>
      <c r="CD21" s="1869" t="s">
        <v>671</v>
      </c>
      <c r="CE21" s="1870">
        <v>0.8569444444444444</v>
      </c>
      <c r="CF21" s="1869" t="s">
        <v>672</v>
      </c>
      <c r="CG21" s="1871">
        <v>231698</v>
      </c>
      <c r="CH21" s="1872">
        <v>0.59699999999999998</v>
      </c>
      <c r="CI21" s="1869"/>
    </row>
    <row r="22" spans="1:87" ht="14.5">
      <c r="A22" s="1">
        <f t="shared" si="11"/>
        <v>44575</v>
      </c>
      <c r="B22" s="932">
        <f t="shared" si="4"/>
        <v>44575.290277777778</v>
      </c>
      <c r="C22" s="932">
        <f t="shared" si="5"/>
        <v>44575.332638888889</v>
      </c>
      <c r="D22" s="932">
        <f t="shared" si="6"/>
        <v>44575.740972222222</v>
      </c>
      <c r="E22" s="932">
        <f t="shared" si="7"/>
        <v>44575.783333333333</v>
      </c>
      <c r="F22" s="932">
        <f t="shared" si="8"/>
        <v>44575.625</v>
      </c>
      <c r="G22" s="932">
        <f t="shared" si="9"/>
        <v>44575.225694444445</v>
      </c>
      <c r="H22" s="2">
        <f t="shared" si="12"/>
        <v>88</v>
      </c>
      <c r="I22" s="2">
        <v>30.934221832399331</v>
      </c>
      <c r="J22" s="1317">
        <v>-21.168236718018758</v>
      </c>
      <c r="L22" s="876"/>
      <c r="M22" s="876"/>
      <c r="R22" s="931"/>
      <c r="S22" s="1016">
        <f t="shared" si="14"/>
        <v>9</v>
      </c>
      <c r="T22" s="930" t="s">
        <v>673</v>
      </c>
      <c r="U22" s="929"/>
      <c r="V22" s="930" t="s">
        <v>674</v>
      </c>
      <c r="W22" s="929"/>
      <c r="X22" s="930" t="s">
        <v>675</v>
      </c>
      <c r="Y22" s="929"/>
      <c r="Z22" s="930" t="s">
        <v>676</v>
      </c>
      <c r="BB22" s="1873">
        <v>14</v>
      </c>
      <c r="BC22" s="1880" t="s">
        <v>241</v>
      </c>
      <c r="BD22" s="1880">
        <v>0.22500000000000001</v>
      </c>
      <c r="BE22" s="1880" t="s">
        <v>677</v>
      </c>
      <c r="BF22" s="1880">
        <v>0.62430555555555556</v>
      </c>
      <c r="BG22" s="1879" t="s">
        <v>624</v>
      </c>
      <c r="BH22" s="1880">
        <v>0.94305555555555554</v>
      </c>
      <c r="BI22" s="1879" t="s">
        <v>678</v>
      </c>
      <c r="BJ22" s="1881">
        <v>251998</v>
      </c>
      <c r="BK22" s="1882">
        <v>0.92800000000000005</v>
      </c>
      <c r="BL22" s="1619">
        <f t="shared" si="1"/>
        <v>44575</v>
      </c>
      <c r="BM22" s="1856">
        <f t="shared" si="13"/>
        <v>0.94305555555555554</v>
      </c>
      <c r="BN22" s="934">
        <f t="shared" si="10"/>
        <v>77.2</v>
      </c>
      <c r="BY22" s="1869">
        <v>19</v>
      </c>
      <c r="BZ22" s="1869" t="s">
        <v>241</v>
      </c>
      <c r="CA22" s="1870">
        <v>0.1125</v>
      </c>
      <c r="CB22" s="1869" t="s">
        <v>679</v>
      </c>
      <c r="CC22" s="1870">
        <v>0.64166666666666672</v>
      </c>
      <c r="CD22" s="1869" t="s">
        <v>680</v>
      </c>
      <c r="CE22" s="1870">
        <v>0.89097222222222217</v>
      </c>
      <c r="CF22" s="1869" t="s">
        <v>536</v>
      </c>
      <c r="CG22" s="1871">
        <v>228767</v>
      </c>
      <c r="CH22" s="1872">
        <v>0.70899999999999996</v>
      </c>
      <c r="CI22" s="1869"/>
    </row>
    <row r="23" spans="1:87" ht="14.5">
      <c r="A23" s="1">
        <f t="shared" si="11"/>
        <v>44576</v>
      </c>
      <c r="B23" s="932">
        <f t="shared" si="4"/>
        <v>44576.289583333331</v>
      </c>
      <c r="C23" s="932">
        <f t="shared" si="5"/>
        <v>44576.331944444442</v>
      </c>
      <c r="D23" s="932">
        <f t="shared" si="6"/>
        <v>44576.741666666669</v>
      </c>
      <c r="E23" s="932">
        <f t="shared" si="7"/>
        <v>44576.78402777778</v>
      </c>
      <c r="F23" s="932">
        <f t="shared" si="8"/>
        <v>44576.655555555553</v>
      </c>
      <c r="G23" s="932">
        <f t="shared" si="9"/>
        <v>44576.265277777777</v>
      </c>
      <c r="H23" s="2">
        <f t="shared" si="12"/>
        <v>93</v>
      </c>
      <c r="I23" s="2">
        <v>31.116999629630069</v>
      </c>
      <c r="J23" s="1317">
        <v>-20.982747148580611</v>
      </c>
      <c r="L23" s="876"/>
      <c r="M23" s="876"/>
      <c r="R23" s="931"/>
      <c r="S23" s="1016">
        <f t="shared" si="14"/>
        <v>10</v>
      </c>
      <c r="T23" s="930" t="s">
        <v>681</v>
      </c>
      <c r="U23" s="929"/>
      <c r="V23" s="930" t="s">
        <v>682</v>
      </c>
      <c r="W23" s="929"/>
      <c r="X23" s="930" t="s">
        <v>683</v>
      </c>
      <c r="Y23" s="929"/>
      <c r="Z23" s="930" t="s">
        <v>684</v>
      </c>
      <c r="BB23" s="1873">
        <v>15</v>
      </c>
      <c r="BC23" s="1880" t="s">
        <v>241</v>
      </c>
      <c r="BD23" s="1880">
        <v>0.26458333333333334</v>
      </c>
      <c r="BE23" s="1880" t="s">
        <v>609</v>
      </c>
      <c r="BF23" s="1880">
        <v>0.65486111111111112</v>
      </c>
      <c r="BG23" s="1879" t="s">
        <v>685</v>
      </c>
      <c r="BH23" s="1880">
        <v>0.97777777777777775</v>
      </c>
      <c r="BI23" s="1879" t="s">
        <v>686</v>
      </c>
      <c r="BJ23" s="1881">
        <v>251328</v>
      </c>
      <c r="BK23" s="1882">
        <v>0.97</v>
      </c>
      <c r="BL23" s="1619">
        <f t="shared" si="1"/>
        <v>44576</v>
      </c>
      <c r="BM23" s="1856">
        <f t="shared" si="13"/>
        <v>0.97777777777777775</v>
      </c>
      <c r="BN23" s="934">
        <f t="shared" si="10"/>
        <v>78.2</v>
      </c>
      <c r="BY23" s="1869">
        <v>20</v>
      </c>
      <c r="BZ23" s="1869" t="s">
        <v>241</v>
      </c>
      <c r="CA23" s="1870">
        <v>0.13333333333333333</v>
      </c>
      <c r="CB23" s="1869" t="s">
        <v>687</v>
      </c>
      <c r="CC23" s="1870">
        <v>0.69166666666666676</v>
      </c>
      <c r="CD23" s="1869" t="s">
        <v>688</v>
      </c>
      <c r="CE23" s="1870">
        <v>0.92638888888888893</v>
      </c>
      <c r="CF23" s="1869" t="s">
        <v>689</v>
      </c>
      <c r="CG23" s="1871">
        <v>226278</v>
      </c>
      <c r="CH23" s="1872">
        <v>0.81299999999999994</v>
      </c>
      <c r="CI23" s="1869"/>
    </row>
    <row r="24" spans="1:87" ht="14.5">
      <c r="A24" s="1">
        <f t="shared" si="11"/>
        <v>44577</v>
      </c>
      <c r="B24" s="932">
        <f t="shared" si="4"/>
        <v>44577.289583333331</v>
      </c>
      <c r="C24" s="932">
        <f t="shared" si="5"/>
        <v>44577.331944444442</v>
      </c>
      <c r="D24" s="932">
        <f t="shared" si="6"/>
        <v>44577.742361111115</v>
      </c>
      <c r="E24" s="932">
        <f t="shared" si="7"/>
        <v>44577.784722222219</v>
      </c>
      <c r="F24" s="932">
        <f t="shared" si="8"/>
        <v>44577.690972222219</v>
      </c>
      <c r="G24" s="932">
        <f t="shared" si="9"/>
        <v>44577.302083333328</v>
      </c>
      <c r="H24" s="2">
        <f t="shared" si="12"/>
        <v>97</v>
      </c>
      <c r="I24" s="2">
        <v>31.306401414650999</v>
      </c>
      <c r="J24" s="1317">
        <v>-20.790577115501932</v>
      </c>
      <c r="L24" s="876"/>
      <c r="M24" s="876"/>
      <c r="N24" s="887" t="str">
        <f>LOOKUP(N25,N9:N21,P9:P21)</f>
        <v>D</v>
      </c>
      <c r="R24" s="931"/>
      <c r="S24" s="1016">
        <f t="shared" si="14"/>
        <v>11</v>
      </c>
      <c r="T24" s="930" t="s">
        <v>690</v>
      </c>
      <c r="U24" s="929"/>
      <c r="V24" s="930" t="s">
        <v>691</v>
      </c>
      <c r="W24" s="929"/>
      <c r="X24" s="930" t="s">
        <v>692</v>
      </c>
      <c r="Y24" s="929"/>
      <c r="Z24" s="930" t="s">
        <v>693</v>
      </c>
      <c r="BB24" s="1873">
        <v>16</v>
      </c>
      <c r="BC24" s="1880" t="s">
        <v>241</v>
      </c>
      <c r="BD24" s="1880">
        <v>0.30138888888888887</v>
      </c>
      <c r="BE24" s="1880" t="s">
        <v>694</v>
      </c>
      <c r="BF24" s="1880">
        <v>0.69027777777777777</v>
      </c>
      <c r="BG24" s="1879" t="s">
        <v>685</v>
      </c>
      <c r="BH24" s="1880" t="s">
        <v>695</v>
      </c>
      <c r="BJ24" s="1881"/>
      <c r="BK24" s="1882"/>
      <c r="BL24" s="1619">
        <f t="shared" si="1"/>
        <v>44577</v>
      </c>
      <c r="BM24" s="1856" t="str">
        <f t="shared" si="13"/>
        <v>NA</v>
      </c>
      <c r="BN24" s="934" t="str">
        <f t="shared" si="10"/>
        <v>NA</v>
      </c>
      <c r="BY24" s="1869">
        <v>21</v>
      </c>
      <c r="BZ24" s="1869" t="s">
        <v>241</v>
      </c>
      <c r="CA24" s="1870">
        <v>0.15555555555555556</v>
      </c>
      <c r="CB24" s="1869" t="s">
        <v>696</v>
      </c>
      <c r="CC24" s="1870">
        <v>0.74305555555555547</v>
      </c>
      <c r="CD24" s="1869" t="s">
        <v>697</v>
      </c>
      <c r="CE24" s="1870">
        <v>0.96458333333333324</v>
      </c>
      <c r="CF24" s="1869" t="s">
        <v>698</v>
      </c>
      <c r="CG24" s="1871">
        <v>224506</v>
      </c>
      <c r="CH24" s="1872">
        <v>0.9</v>
      </c>
      <c r="CI24" s="1869"/>
    </row>
    <row r="25" spans="1:87" ht="14.5">
      <c r="A25" s="1">
        <f t="shared" si="11"/>
        <v>44578</v>
      </c>
      <c r="B25" s="932">
        <f t="shared" si="4"/>
        <v>44578.289583333331</v>
      </c>
      <c r="C25" s="932">
        <f t="shared" si="5"/>
        <v>44578.331944444442</v>
      </c>
      <c r="D25" s="932">
        <f t="shared" si="6"/>
        <v>44578.743055555555</v>
      </c>
      <c r="E25" s="932">
        <f t="shared" si="7"/>
        <v>44578.785416666666</v>
      </c>
      <c r="F25" s="932">
        <f t="shared" si="8"/>
        <v>44578.729861111111</v>
      </c>
      <c r="G25" s="932">
        <f t="shared" si="9"/>
        <v>44578.335416666669</v>
      </c>
      <c r="H25" s="2">
        <f t="shared" si="12"/>
        <v>99</v>
      </c>
      <c r="I25" s="2">
        <v>31.502350632115828</v>
      </c>
      <c r="J25" s="1317">
        <v>-20.591815305432842</v>
      </c>
      <c r="L25" s="876"/>
      <c r="M25" s="876"/>
      <c r="N25" s="886">
        <f>Worksheet!AF77</f>
        <v>44748.916666666664</v>
      </c>
      <c r="R25" s="931"/>
      <c r="S25" s="1016">
        <f t="shared" si="14"/>
        <v>12</v>
      </c>
      <c r="T25" s="930" t="s">
        <v>699</v>
      </c>
      <c r="U25" s="929"/>
      <c r="V25" s="930" t="s">
        <v>700</v>
      </c>
      <c r="W25" s="929"/>
      <c r="X25" s="930" t="s">
        <v>701</v>
      </c>
      <c r="Y25" s="929"/>
      <c r="Z25" s="930" t="s">
        <v>702</v>
      </c>
      <c r="BB25" s="1873" t="s">
        <v>703</v>
      </c>
      <c r="BC25" s="1880" t="s">
        <v>241</v>
      </c>
      <c r="BD25" s="1880">
        <v>0.3347222222222222</v>
      </c>
      <c r="BE25" s="1880" t="s">
        <v>609</v>
      </c>
      <c r="BF25" s="1880">
        <v>0.72986111111111107</v>
      </c>
      <c r="BG25" s="1879" t="s">
        <v>624</v>
      </c>
      <c r="BH25" s="1880">
        <v>1.3194444444444444E-2</v>
      </c>
      <c r="BI25" s="1879" t="s">
        <v>704</v>
      </c>
      <c r="BJ25" s="1881">
        <v>250226</v>
      </c>
      <c r="BK25" s="1882">
        <v>0.99299999999999999</v>
      </c>
      <c r="BL25" s="1619">
        <f t="shared" si="1"/>
        <v>44578</v>
      </c>
      <c r="BM25" s="1856">
        <f t="shared" si="13"/>
        <v>1.3194444444444444E-2</v>
      </c>
      <c r="BN25" s="934">
        <f t="shared" si="10"/>
        <v>77.8</v>
      </c>
      <c r="BY25" s="1869">
        <v>22</v>
      </c>
      <c r="BZ25" s="1869" t="s">
        <v>241</v>
      </c>
      <c r="CA25" s="1870">
        <v>0.18055555555555555</v>
      </c>
      <c r="CB25" s="1869" t="s">
        <v>705</v>
      </c>
      <c r="CC25" s="1870">
        <v>0.79652777777777783</v>
      </c>
      <c r="CD25" s="1869" t="s">
        <v>706</v>
      </c>
      <c r="CE25" s="1869" t="s">
        <v>695</v>
      </c>
      <c r="CF25" s="1869"/>
      <c r="CG25" s="1869"/>
      <c r="CH25" s="1869"/>
      <c r="CI25" s="1869"/>
    </row>
    <row r="26" spans="1:87" ht="14.5">
      <c r="A26" s="1">
        <f t="shared" si="11"/>
        <v>44579</v>
      </c>
      <c r="B26" s="932">
        <f t="shared" si="4"/>
        <v>44579.289583333331</v>
      </c>
      <c r="C26" s="932">
        <f t="shared" si="5"/>
        <v>44579.331249999996</v>
      </c>
      <c r="D26" s="932">
        <f t="shared" si="6"/>
        <v>44579.743750000001</v>
      </c>
      <c r="E26" s="932">
        <f t="shared" si="7"/>
        <v>44579.786111111112</v>
      </c>
      <c r="F26" s="932">
        <f t="shared" si="8"/>
        <v>44579.772222222222</v>
      </c>
      <c r="G26" s="932">
        <f t="shared" si="9"/>
        <v>44579.364583333336</v>
      </c>
      <c r="H26" s="2">
        <f t="shared" si="12"/>
        <v>100</v>
      </c>
      <c r="I26" s="2">
        <v>31.704768408201073</v>
      </c>
      <c r="J26" s="1317">
        <v>-20.386552726314697</v>
      </c>
      <c r="L26" s="876"/>
      <c r="M26" s="876"/>
      <c r="R26" s="931"/>
      <c r="S26" s="1016">
        <f t="shared" si="14"/>
        <v>13</v>
      </c>
      <c r="T26" s="930" t="s">
        <v>707</v>
      </c>
      <c r="U26" s="929"/>
      <c r="V26" s="930" t="s">
        <v>708</v>
      </c>
      <c r="W26" s="929"/>
      <c r="X26" s="930" t="s">
        <v>709</v>
      </c>
      <c r="Y26" s="929"/>
      <c r="Z26" s="930" t="s">
        <v>710</v>
      </c>
      <c r="BB26" s="1873">
        <v>18</v>
      </c>
      <c r="BC26" s="1880" t="s">
        <v>241</v>
      </c>
      <c r="BD26" s="1880">
        <v>0.36388888888888887</v>
      </c>
      <c r="BE26" s="1880" t="s">
        <v>633</v>
      </c>
      <c r="BF26" s="1880">
        <v>0.7715277777777777</v>
      </c>
      <c r="BG26" s="1879" t="s">
        <v>668</v>
      </c>
      <c r="BH26" s="1880">
        <v>4.8611111111111112E-2</v>
      </c>
      <c r="BI26" s="1879" t="s">
        <v>711</v>
      </c>
      <c r="BJ26" s="1881">
        <v>248788</v>
      </c>
      <c r="BK26" s="1882">
        <v>0.998</v>
      </c>
      <c r="BL26" s="1619">
        <f t="shared" si="1"/>
        <v>44579</v>
      </c>
      <c r="BM26" s="1856">
        <f t="shared" si="13"/>
        <v>4.8611111111111112E-2</v>
      </c>
      <c r="BN26" s="934">
        <f t="shared" si="10"/>
        <v>76.099999999999994</v>
      </c>
      <c r="BY26" s="1869">
        <v>23</v>
      </c>
      <c r="BZ26" s="1869" t="s">
        <v>241</v>
      </c>
      <c r="CA26" s="1870">
        <v>0.21180555555555555</v>
      </c>
      <c r="CB26" s="1869" t="s">
        <v>712</v>
      </c>
      <c r="CC26" s="1870">
        <v>0.84861111111111109</v>
      </c>
      <c r="CD26" s="1869" t="s">
        <v>713</v>
      </c>
      <c r="CE26" s="1870">
        <v>5.5555555555555558E-3</v>
      </c>
      <c r="CF26" s="1869" t="s">
        <v>714</v>
      </c>
      <c r="CG26" s="1871">
        <v>223697</v>
      </c>
      <c r="CH26" s="1872">
        <v>0.96199999999999997</v>
      </c>
      <c r="CI26" s="1869"/>
    </row>
    <row r="27" spans="1:87" ht="14.5">
      <c r="A27" s="1">
        <f t="shared" si="11"/>
        <v>44580</v>
      </c>
      <c r="B27" s="932">
        <f t="shared" si="4"/>
        <v>44580.288888888892</v>
      </c>
      <c r="C27" s="932">
        <f t="shared" si="5"/>
        <v>44580.331249999996</v>
      </c>
      <c r="D27" s="932">
        <f t="shared" si="6"/>
        <v>44580.744444444448</v>
      </c>
      <c r="E27" s="932">
        <f t="shared" si="7"/>
        <v>44580.786805555559</v>
      </c>
      <c r="F27" s="932">
        <f t="shared" si="8"/>
        <v>44580.815972222219</v>
      </c>
      <c r="G27" s="932">
        <f t="shared" si="9"/>
        <v>44580.390277777777</v>
      </c>
      <c r="H27" s="2">
        <f t="shared" si="12"/>
        <v>98</v>
      </c>
      <c r="I27" s="2">
        <v>31.913573617747304</v>
      </c>
      <c r="J27" s="1317">
        <v>-20.17488259256514</v>
      </c>
      <c r="L27" s="876"/>
      <c r="M27" s="876"/>
      <c r="R27" s="931"/>
      <c r="S27" s="1016">
        <f t="shared" si="14"/>
        <v>14</v>
      </c>
      <c r="T27" s="930" t="s">
        <v>715</v>
      </c>
      <c r="U27" s="929"/>
      <c r="V27" s="930" t="s">
        <v>716</v>
      </c>
      <c r="W27" s="929"/>
      <c r="X27" s="930" t="s">
        <v>717</v>
      </c>
      <c r="Y27" s="929"/>
      <c r="Z27" s="930" t="s">
        <v>718</v>
      </c>
      <c r="AP27" s="1855">
        <v>44562</v>
      </c>
      <c r="AT27" s="925" t="s">
        <v>491</v>
      </c>
      <c r="AU27" s="925" t="s">
        <v>492</v>
      </c>
      <c r="AV27" s="925" t="s">
        <v>469</v>
      </c>
      <c r="AW27" s="925" t="s">
        <v>493</v>
      </c>
      <c r="AX27" s="925" t="s">
        <v>494</v>
      </c>
      <c r="AY27" s="925" t="s">
        <v>495</v>
      </c>
      <c r="AZ27" s="1853" t="s">
        <v>496</v>
      </c>
      <c r="BB27" s="1873">
        <v>19</v>
      </c>
      <c r="BC27" s="1880" t="s">
        <v>241</v>
      </c>
      <c r="BD27" s="1880">
        <v>0.3888888888888889</v>
      </c>
      <c r="BE27" s="1879" t="s">
        <v>643</v>
      </c>
      <c r="BF27" s="1880">
        <v>0.81527777777777777</v>
      </c>
      <c r="BG27" s="1880" t="s">
        <v>644</v>
      </c>
      <c r="BH27" s="1880">
        <v>8.3333333333333329E-2</v>
      </c>
      <c r="BI27" s="1881" t="s">
        <v>719</v>
      </c>
      <c r="BJ27" s="1882">
        <v>247086</v>
      </c>
      <c r="BK27" s="1882">
        <v>0.98199999999999998</v>
      </c>
      <c r="BL27" s="1619">
        <f t="shared" si="1"/>
        <v>44580</v>
      </c>
      <c r="BM27" s="1856">
        <f t="shared" si="13"/>
        <v>8.3333333333333329E-2</v>
      </c>
      <c r="BN27" s="934">
        <f t="shared" si="10"/>
        <v>73.2</v>
      </c>
      <c r="BY27" s="1869" t="s">
        <v>720</v>
      </c>
      <c r="BZ27" s="1869" t="s">
        <v>241</v>
      </c>
      <c r="CA27" s="1870">
        <v>0.24861111111111112</v>
      </c>
      <c r="CB27" s="1869" t="s">
        <v>721</v>
      </c>
      <c r="CC27" s="1870">
        <v>0.8979166666666667</v>
      </c>
      <c r="CD27" s="1869" t="s">
        <v>562</v>
      </c>
      <c r="CE27" s="1870">
        <v>4.9305555555555554E-2</v>
      </c>
      <c r="CF27" s="1869" t="s">
        <v>722</v>
      </c>
      <c r="CG27" s="1871">
        <v>224013</v>
      </c>
      <c r="CH27" s="1872">
        <v>0.995</v>
      </c>
      <c r="CI27" s="1869"/>
    </row>
    <row r="28" spans="1:87" ht="14.5">
      <c r="A28" s="1">
        <f t="shared" si="11"/>
        <v>44581</v>
      </c>
      <c r="B28" s="932">
        <f t="shared" si="4"/>
        <v>44581.288888888892</v>
      </c>
      <c r="C28" s="932">
        <f t="shared" si="5"/>
        <v>44581.330555555556</v>
      </c>
      <c r="D28" s="932">
        <f t="shared" si="6"/>
        <v>44581.745138888895</v>
      </c>
      <c r="E28" s="932">
        <f t="shared" si="7"/>
        <v>44581.787499999999</v>
      </c>
      <c r="F28" s="932">
        <f t="shared" si="8"/>
        <v>44581.859722222223</v>
      </c>
      <c r="G28" s="932">
        <f t="shared" si="9"/>
        <v>44581.411805555559</v>
      </c>
      <c r="H28" s="2">
        <f t="shared" si="12"/>
        <v>95</v>
      </c>
      <c r="I28" s="2">
        <v>32.128682951935346</v>
      </c>
      <c r="J28" s="1317">
        <v>-19.956900210428977</v>
      </c>
      <c r="L28" s="936"/>
      <c r="M28" s="876"/>
      <c r="R28" s="931"/>
      <c r="S28" s="1016">
        <f t="shared" si="14"/>
        <v>15</v>
      </c>
      <c r="T28" s="930" t="s">
        <v>723</v>
      </c>
      <c r="U28" s="929"/>
      <c r="V28" s="930" t="s">
        <v>724</v>
      </c>
      <c r="W28" s="929"/>
      <c r="X28" s="930" t="s">
        <v>725</v>
      </c>
      <c r="Y28" s="929"/>
      <c r="Z28" s="930" t="s">
        <v>726</v>
      </c>
      <c r="AP28" s="1855">
        <f>$AP$27</f>
        <v>44562</v>
      </c>
      <c r="AQ28" s="925" t="str">
        <f t="shared" ref="AQ28:AQ37" si="15">IF(NOT(ISNUMBER(FIND(":",AS28))),"",IF(ISNUMBER(FIND("Sunr",AS28)),"SR", IF(ISNUMBER(FIND("Suns",AS28)),"SS",IF(ISNUMBER(FIND("Moonr",AS28)),"MR",IF(ISNUMBER(FIND("Moons",AS28)),"MS",IF(ISNUMBER(FIND("Twi",AS28)),IF(HOUR(AR28)&lt;12,"BMNT","EENT")))))))</f>
        <v/>
      </c>
      <c r="AR28" s="1856" t="str">
        <f t="shared" ref="AR28:AR37" si="16">IF(NOT(ISNUMBER(FIND(":",AS28))),"",IF(ISNUMBER(FIND(" none",AS28)),"NONE",AP28+LEFT(RIGHT(AS28,5),2)/24+RIGHT(AS28,2)/1440))</f>
        <v/>
      </c>
      <c r="AS28" s="1900">
        <v>1</v>
      </c>
      <c r="AT28" s="1856">
        <f t="shared" ref="AT28:AT91" si="17">IF(ISNUMBER(AS28),INDEX(AR29:AR39,MATCH($AT$27,AQ29:AQ39,0)),"")</f>
        <v>44562.289583333331</v>
      </c>
      <c r="AU28" s="1856">
        <f t="shared" ref="AU28:AU91" si="18">IF(AT28="","",INDEX(AR29:AR39,MATCH($AU$27,AQ29:AQ39,0)))</f>
        <v>44562.333333333336</v>
      </c>
      <c r="AV28" s="1856">
        <f t="shared" ref="AV28:AV91" si="19">IF(AT28="","",INDEX(AR29:AR39,MATCH($AV$27,AQ29:AQ39,0)))</f>
        <v>44562.732638888891</v>
      </c>
      <c r="AW28" s="1856">
        <f t="shared" ref="AW28:AW91" si="20">IF(AT28="","",INDEX(AR29:AR39,MATCH($AW$27,AQ29:AQ39,0)))</f>
        <v>44562.775694444441</v>
      </c>
      <c r="AX28" s="1856">
        <f t="shared" ref="AX28:AX91" si="21">IF(AT28="","",INDEX(AR29:AR39,MATCH($AX$27,AQ29:AQ39,0)))</f>
        <v>44562.288888888892</v>
      </c>
      <c r="AY28" s="1856">
        <f t="shared" ref="AY28:AY91" si="22">IF(AT28="","",INDEX(AR29:AR39,MATCH($AY$27,AQ29:AQ39,0)))</f>
        <v>44562.683333333334</v>
      </c>
      <c r="AZ28" s="1853">
        <v>0.04</v>
      </c>
      <c r="BB28" s="1873">
        <v>20</v>
      </c>
      <c r="BC28" s="1879" t="s">
        <v>241</v>
      </c>
      <c r="BD28" s="1880">
        <v>0.41111111111111115</v>
      </c>
      <c r="BE28" s="1879" t="s">
        <v>575</v>
      </c>
      <c r="BF28" s="1880">
        <v>0.85902777777777783</v>
      </c>
      <c r="BG28" s="1879" t="s">
        <v>727</v>
      </c>
      <c r="BH28" s="1880">
        <v>0.11666666666666665</v>
      </c>
      <c r="BI28" s="1879" t="s">
        <v>728</v>
      </c>
      <c r="BJ28" s="1881">
        <v>245168</v>
      </c>
      <c r="BK28" s="1882">
        <v>0.94599999999999995</v>
      </c>
      <c r="BL28" s="1619">
        <f t="shared" si="1"/>
        <v>44581</v>
      </c>
      <c r="BM28" s="1856">
        <f t="shared" si="13"/>
        <v>0.11666666666666665</v>
      </c>
      <c r="BN28" s="934">
        <f t="shared" si="10"/>
        <v>69.099999999999994</v>
      </c>
      <c r="BY28" s="1869">
        <v>25</v>
      </c>
      <c r="BZ28" s="1869" t="s">
        <v>241</v>
      </c>
      <c r="CA28" s="1870">
        <v>0.29166666666666669</v>
      </c>
      <c r="CB28" s="1869" t="s">
        <v>721</v>
      </c>
      <c r="CC28" s="1870">
        <v>0.94027777777777777</v>
      </c>
      <c r="CD28" s="1869" t="s">
        <v>713</v>
      </c>
      <c r="CE28" s="1870">
        <v>9.4444444444444442E-2</v>
      </c>
      <c r="CF28" s="1869" t="s">
        <v>729</v>
      </c>
      <c r="CG28" s="1871">
        <v>225485</v>
      </c>
      <c r="CH28" s="1872">
        <v>0.996</v>
      </c>
      <c r="CI28" s="1869"/>
    </row>
    <row r="29" spans="1:87" ht="14.5">
      <c r="A29" s="1">
        <f t="shared" si="11"/>
        <v>44582</v>
      </c>
      <c r="B29" s="932">
        <f t="shared" si="4"/>
        <v>44582.288888888892</v>
      </c>
      <c r="C29" s="932">
        <f t="shared" si="5"/>
        <v>44582.330555555556</v>
      </c>
      <c r="D29" s="932">
        <f t="shared" si="6"/>
        <v>44582.745833333334</v>
      </c>
      <c r="E29" s="932">
        <f t="shared" si="7"/>
        <v>44582.787499999999</v>
      </c>
      <c r="F29" s="932">
        <f t="shared" si="8"/>
        <v>44582.90347222222</v>
      </c>
      <c r="G29" s="932">
        <f t="shared" si="9"/>
        <v>44582.431249999994</v>
      </c>
      <c r="H29" s="2">
        <f t="shared" si="12"/>
        <v>90</v>
      </c>
      <c r="I29" s="2">
        <v>32.350010986387964</v>
      </c>
      <c r="J29" s="1317">
        <v>-19.73270286380669</v>
      </c>
      <c r="L29" s="876"/>
      <c r="M29" s="876"/>
      <c r="R29" s="931"/>
      <c r="S29" s="1016">
        <f t="shared" si="14"/>
        <v>16</v>
      </c>
      <c r="T29" s="930" t="s">
        <v>730</v>
      </c>
      <c r="U29" s="929"/>
      <c r="V29" s="930" t="s">
        <v>731</v>
      </c>
      <c r="W29" s="929"/>
      <c r="X29" s="930" t="s">
        <v>732</v>
      </c>
      <c r="Y29" s="929"/>
      <c r="Z29" s="930" t="s">
        <v>733</v>
      </c>
      <c r="AP29" s="1855">
        <f t="shared" ref="AP29:AP36" si="23">$AP$27</f>
        <v>44562</v>
      </c>
      <c r="AQ29" s="925" t="str">
        <f t="shared" si="15"/>
        <v/>
      </c>
      <c r="AR29" s="1856" t="str">
        <f t="shared" si="16"/>
        <v/>
      </c>
      <c r="AS29" s="927" t="s">
        <v>252</v>
      </c>
      <c r="AT29" s="1856" t="str">
        <f t="shared" si="17"/>
        <v/>
      </c>
      <c r="AU29" s="1856" t="str">
        <f t="shared" si="18"/>
        <v/>
      </c>
      <c r="AV29" s="1856" t="str">
        <f t="shared" si="19"/>
        <v/>
      </c>
      <c r="AW29" s="1856" t="str">
        <f t="shared" si="20"/>
        <v/>
      </c>
      <c r="AX29" s="1856" t="str">
        <f t="shared" si="21"/>
        <v/>
      </c>
      <c r="AY29" s="1856" t="str">
        <f t="shared" si="22"/>
        <v/>
      </c>
      <c r="BB29" s="1873">
        <v>21</v>
      </c>
      <c r="BC29" s="1879" t="s">
        <v>241</v>
      </c>
      <c r="BD29" s="1880">
        <v>0.43055555555555558</v>
      </c>
      <c r="BE29" s="1879" t="s">
        <v>567</v>
      </c>
      <c r="BF29" s="1880">
        <v>0.90277777777777779</v>
      </c>
      <c r="BG29" s="1879" t="s">
        <v>566</v>
      </c>
      <c r="BH29" s="1880">
        <v>0.14861111111111111</v>
      </c>
      <c r="BI29" s="1879" t="s">
        <v>734</v>
      </c>
      <c r="BJ29" s="1881">
        <v>243056</v>
      </c>
      <c r="BK29" s="1882">
        <v>0.89</v>
      </c>
      <c r="BL29" s="1619">
        <f t="shared" si="1"/>
        <v>44582</v>
      </c>
      <c r="BM29" s="1856">
        <f t="shared" si="13"/>
        <v>0.14861111111111111</v>
      </c>
      <c r="BN29" s="934">
        <f t="shared" si="10"/>
        <v>64.2</v>
      </c>
      <c r="BY29" s="1869">
        <v>26</v>
      </c>
      <c r="BZ29" s="1869" t="s">
        <v>241</v>
      </c>
      <c r="CA29" s="1870">
        <v>0.33888888888888885</v>
      </c>
      <c r="CB29" s="1869" t="s">
        <v>735</v>
      </c>
      <c r="CC29" s="1870">
        <v>0.97499999999999998</v>
      </c>
      <c r="CD29" s="1869" t="s">
        <v>552</v>
      </c>
      <c r="CE29" s="1870">
        <v>0.13819444444444443</v>
      </c>
      <c r="CF29" s="1869" t="s">
        <v>722</v>
      </c>
      <c r="CG29" s="1871">
        <v>227995</v>
      </c>
      <c r="CH29" s="1872">
        <v>0.96599999999999997</v>
      </c>
      <c r="CI29" s="1869"/>
    </row>
    <row r="30" spans="1:87" ht="14.5">
      <c r="A30" s="1">
        <f t="shared" si="11"/>
        <v>44583</v>
      </c>
      <c r="B30" s="932">
        <f t="shared" si="4"/>
        <v>44583.288194444445</v>
      </c>
      <c r="C30" s="932">
        <f t="shared" si="5"/>
        <v>44583.329861111109</v>
      </c>
      <c r="D30" s="932">
        <f t="shared" si="6"/>
        <v>44583.746527777781</v>
      </c>
      <c r="E30" s="932">
        <f t="shared" si="7"/>
        <v>44583.788194444445</v>
      </c>
      <c r="F30" s="932">
        <f t="shared" si="8"/>
        <v>44583.947916666664</v>
      </c>
      <c r="G30" s="932">
        <f t="shared" si="9"/>
        <v>44583.44930555555</v>
      </c>
      <c r="H30" s="2">
        <f t="shared" si="12"/>
        <v>83</v>
      </c>
      <c r="I30" s="2">
        <v>32.577470249579193</v>
      </c>
      <c r="J30" s="1317">
        <v>-19.502389700875103</v>
      </c>
      <c r="L30" s="876"/>
      <c r="M30" s="876"/>
      <c r="R30" s="931"/>
      <c r="S30" s="1016">
        <f t="shared" si="14"/>
        <v>17</v>
      </c>
      <c r="T30" s="930" t="s">
        <v>736</v>
      </c>
      <c r="U30" s="929"/>
      <c r="V30" s="930" t="s">
        <v>737</v>
      </c>
      <c r="W30" s="929"/>
      <c r="X30" s="930" t="s">
        <v>738</v>
      </c>
      <c r="Y30" s="929"/>
      <c r="Z30" s="930" t="s">
        <v>739</v>
      </c>
      <c r="AP30" s="1855">
        <f t="shared" si="23"/>
        <v>44562</v>
      </c>
      <c r="AQ30" s="925" t="str">
        <f t="shared" si="15"/>
        <v/>
      </c>
      <c r="AR30" s="1856" t="str">
        <f t="shared" si="16"/>
        <v/>
      </c>
      <c r="AT30" s="1856" t="str">
        <f t="shared" si="17"/>
        <v/>
      </c>
      <c r="AU30" s="1856" t="str">
        <f t="shared" si="18"/>
        <v/>
      </c>
      <c r="AV30" s="1856" t="str">
        <f t="shared" si="19"/>
        <v/>
      </c>
      <c r="AW30" s="1856" t="str">
        <f t="shared" si="20"/>
        <v/>
      </c>
      <c r="AX30" s="1856" t="str">
        <f t="shared" si="21"/>
        <v/>
      </c>
      <c r="AY30" s="1856" t="str">
        <f t="shared" si="22"/>
        <v/>
      </c>
      <c r="BB30" s="1873">
        <v>22</v>
      </c>
      <c r="BC30" s="1879" t="s">
        <v>241</v>
      </c>
      <c r="BD30" s="1880">
        <v>0.44930555555555557</v>
      </c>
      <c r="BE30" s="1879" t="s">
        <v>740</v>
      </c>
      <c r="BF30" s="1880">
        <v>0.9472222222222223</v>
      </c>
      <c r="BG30" s="1879" t="s">
        <v>671</v>
      </c>
      <c r="BH30" s="1880">
        <v>0.17986111111111111</v>
      </c>
      <c r="BI30" s="1879" t="s">
        <v>741</v>
      </c>
      <c r="BJ30" s="1881">
        <v>240762</v>
      </c>
      <c r="BK30" s="1882">
        <v>0.81599999999999995</v>
      </c>
      <c r="BL30" s="1619">
        <f t="shared" si="1"/>
        <v>44583</v>
      </c>
      <c r="BM30" s="1856">
        <f t="shared" si="13"/>
        <v>0.17986111111111111</v>
      </c>
      <c r="BN30" s="934">
        <f t="shared" si="10"/>
        <v>58.6</v>
      </c>
      <c r="BY30" s="1869">
        <v>27</v>
      </c>
      <c r="BZ30" s="1869" t="s">
        <v>241</v>
      </c>
      <c r="CA30" s="1870">
        <v>0.38819444444444445</v>
      </c>
      <c r="CB30" s="1869" t="s">
        <v>587</v>
      </c>
      <c r="CC30" s="1869" t="s">
        <v>241</v>
      </c>
      <c r="CD30" s="1870">
        <v>0.17986111111111111</v>
      </c>
      <c r="CE30" s="1869" t="s">
        <v>742</v>
      </c>
      <c r="CF30" s="1871">
        <v>231292</v>
      </c>
      <c r="CG30" s="1872">
        <v>0.90900000000000003</v>
      </c>
      <c r="CH30" s="1869"/>
      <c r="CI30" s="1869"/>
    </row>
    <row r="31" spans="1:87" ht="14.5">
      <c r="A31" s="1">
        <f t="shared" si="11"/>
        <v>44584</v>
      </c>
      <c r="B31" s="932">
        <f t="shared" si="4"/>
        <v>44584.288194444445</v>
      </c>
      <c r="C31" s="932">
        <f t="shared" si="5"/>
        <v>44584.329861111109</v>
      </c>
      <c r="D31" s="932">
        <f t="shared" si="6"/>
        <v>44584.747222222228</v>
      </c>
      <c r="E31" s="932">
        <f t="shared" si="7"/>
        <v>44584.788888888892</v>
      </c>
      <c r="F31" s="932">
        <f t="shared" si="8"/>
        <v>44584.992361111115</v>
      </c>
      <c r="G31" s="932">
        <f t="shared" si="9"/>
        <v>44584.467361111114</v>
      </c>
      <c r="H31" s="2">
        <f t="shared" si="12"/>
        <v>75</v>
      </c>
      <c r="I31" s="2">
        <v>32.810971291455523</v>
      </c>
      <c r="J31" s="1317">
        <v>-19.266061621784445</v>
      </c>
      <c r="L31" s="877"/>
      <c r="M31" s="877"/>
      <c r="R31" s="931"/>
      <c r="S31" s="1016">
        <f t="shared" si="14"/>
        <v>18</v>
      </c>
      <c r="T31" s="930" t="s">
        <v>743</v>
      </c>
      <c r="U31" s="929"/>
      <c r="V31" s="930" t="s">
        <v>744</v>
      </c>
      <c r="W31" s="929"/>
      <c r="X31" s="930" t="s">
        <v>745</v>
      </c>
      <c r="Y31" s="929"/>
      <c r="Z31" s="930" t="s">
        <v>746</v>
      </c>
      <c r="AP31" s="1855">
        <f t="shared" si="23"/>
        <v>44562</v>
      </c>
      <c r="AQ31" s="925" t="str">
        <f t="shared" si="15"/>
        <v>MR</v>
      </c>
      <c r="AR31" s="1856">
        <f>IF(NOT(ISNUMBER(FIND(":",AS31))),"",IF(ISNUMBER(FIND(" none",AS31)),"NONE",AP31+LEFT(RIGHT(AS31,5),2)/24+RIGHT(AS31,2)/1440))</f>
        <v>44562.288888888892</v>
      </c>
      <c r="AS31" s="927" t="s">
        <v>747</v>
      </c>
      <c r="AT31" s="1856" t="str">
        <f t="shared" si="17"/>
        <v/>
      </c>
      <c r="AU31" s="1856" t="str">
        <f t="shared" si="18"/>
        <v/>
      </c>
      <c r="AV31" s="1856" t="str">
        <f t="shared" si="19"/>
        <v/>
      </c>
      <c r="AW31" s="1856" t="str">
        <f t="shared" si="20"/>
        <v/>
      </c>
      <c r="AX31" s="1856" t="str">
        <f t="shared" si="21"/>
        <v/>
      </c>
      <c r="AY31" s="1856" t="str">
        <f t="shared" si="22"/>
        <v/>
      </c>
      <c r="BB31" s="1873">
        <v>23</v>
      </c>
      <c r="BC31" s="1879" t="s">
        <v>241</v>
      </c>
      <c r="BD31" s="1880">
        <v>0.46666666666666662</v>
      </c>
      <c r="BE31" s="1879" t="s">
        <v>679</v>
      </c>
      <c r="BF31" s="1880">
        <v>0.99236111111111114</v>
      </c>
      <c r="BG31" s="1879" t="s">
        <v>680</v>
      </c>
      <c r="BH31" s="1880">
        <v>0.21041666666666667</v>
      </c>
      <c r="BI31" s="1879" t="s">
        <v>748</v>
      </c>
      <c r="BJ31" s="1881">
        <v>238299</v>
      </c>
      <c r="BK31" s="1882">
        <v>0.72599999999999998</v>
      </c>
      <c r="BL31" s="1619">
        <f t="shared" si="1"/>
        <v>44584</v>
      </c>
      <c r="BM31" s="1856">
        <f t="shared" si="13"/>
        <v>0.21041666666666667</v>
      </c>
      <c r="BN31" s="934">
        <f t="shared" si="10"/>
        <v>52.6</v>
      </c>
      <c r="BY31" s="1869">
        <v>28</v>
      </c>
      <c r="BZ31" s="1870">
        <v>3.472222222222222E-3</v>
      </c>
      <c r="CA31" s="1869" t="s">
        <v>749</v>
      </c>
      <c r="CB31" s="1870">
        <v>0.4368055555555555</v>
      </c>
      <c r="CC31" s="1869" t="s">
        <v>750</v>
      </c>
      <c r="CD31" s="1869" t="s">
        <v>241</v>
      </c>
      <c r="CE31" s="1870">
        <v>0.21736111111111112</v>
      </c>
      <c r="CF31" s="1869" t="s">
        <v>751</v>
      </c>
      <c r="CG31" s="1871">
        <v>235052</v>
      </c>
      <c r="CH31" s="1872">
        <v>0.83199999999999996</v>
      </c>
      <c r="CI31" s="1869"/>
    </row>
    <row r="32" spans="1:87" ht="14.5">
      <c r="A32" s="1">
        <f t="shared" si="11"/>
        <v>44585</v>
      </c>
      <c r="B32" s="932">
        <f t="shared" si="4"/>
        <v>44585.287499999999</v>
      </c>
      <c r="C32" s="932">
        <f t="shared" si="5"/>
        <v>44585.329166666663</v>
      </c>
      <c r="D32" s="932">
        <f t="shared" si="6"/>
        <v>44585.747916666667</v>
      </c>
      <c r="E32" s="932">
        <f t="shared" si="7"/>
        <v>44585.789583333331</v>
      </c>
      <c r="F32" s="932" t="str">
        <f t="shared" si="8"/>
        <v>NONE</v>
      </c>
      <c r="G32" s="932">
        <f t="shared" si="9"/>
        <v>44585.48541666667</v>
      </c>
      <c r="H32" s="2">
        <f t="shared" si="12"/>
        <v>65</v>
      </c>
      <c r="I32" s="2">
        <v>33.05042275217091</v>
      </c>
      <c r="J32" s="1317">
        <v>-19.023821167710544</v>
      </c>
      <c r="R32" s="931"/>
      <c r="S32" s="1016">
        <f t="shared" si="14"/>
        <v>19</v>
      </c>
      <c r="T32" s="930" t="s">
        <v>752</v>
      </c>
      <c r="U32" s="929"/>
      <c r="V32" s="930" t="s">
        <v>753</v>
      </c>
      <c r="W32" s="929"/>
      <c r="X32" s="930" t="s">
        <v>754</v>
      </c>
      <c r="Y32" s="929"/>
      <c r="Z32" s="930" t="s">
        <v>755</v>
      </c>
      <c r="AP32" s="1855">
        <f t="shared" si="23"/>
        <v>44562</v>
      </c>
      <c r="AQ32" s="925" t="str">
        <f t="shared" si="15"/>
        <v>BMNT</v>
      </c>
      <c r="AR32" s="1856">
        <f>IF(NOT(ISNUMBER(FIND(":",AS32))),"",IF(ISNUMBER(FIND(" none",AS32)),"NONE",AP32+LEFT(RIGHT(AS32,5),2)/24+RIGHT(AS32,2)/1440))</f>
        <v>44562.289583333331</v>
      </c>
      <c r="AS32" s="927" t="s">
        <v>756</v>
      </c>
      <c r="AT32" s="1856" t="str">
        <f t="shared" si="17"/>
        <v/>
      </c>
      <c r="AU32" s="1856" t="str">
        <f t="shared" si="18"/>
        <v/>
      </c>
      <c r="AV32" s="1856" t="str">
        <f t="shared" si="19"/>
        <v/>
      </c>
      <c r="AW32" s="1856" t="str">
        <f t="shared" si="20"/>
        <v/>
      </c>
      <c r="AX32" s="1856" t="str">
        <f t="shared" si="21"/>
        <v/>
      </c>
      <c r="AY32" s="1856" t="str">
        <f t="shared" si="22"/>
        <v/>
      </c>
      <c r="BB32" s="1873">
        <v>24</v>
      </c>
      <c r="BC32" s="1879" t="s">
        <v>241</v>
      </c>
      <c r="BD32" s="1880">
        <v>0.48472222222222222</v>
      </c>
      <c r="BE32" s="1879" t="s">
        <v>757</v>
      </c>
      <c r="BF32" s="1880" t="s">
        <v>241</v>
      </c>
      <c r="BG32" s="1880">
        <v>0.24166666666666667</v>
      </c>
      <c r="BH32" s="1880" t="s">
        <v>758</v>
      </c>
      <c r="BI32" s="1881">
        <v>235704</v>
      </c>
      <c r="BJ32" s="1881">
        <v>0.623</v>
      </c>
      <c r="BK32" s="1882"/>
      <c r="BL32" s="1619">
        <f t="shared" si="1"/>
        <v>44585</v>
      </c>
      <c r="BM32" s="1856">
        <f t="shared" si="13"/>
        <v>0.24166666666666667</v>
      </c>
      <c r="BN32" s="934">
        <f t="shared" si="10"/>
        <v>46.5</v>
      </c>
      <c r="BY32" s="1869">
        <v>29</v>
      </c>
      <c r="BZ32" s="1870">
        <v>2.6388888888888889E-2</v>
      </c>
      <c r="CA32" s="1869" t="s">
        <v>759</v>
      </c>
      <c r="CB32" s="1870">
        <v>0.4826388888888889</v>
      </c>
      <c r="CC32" s="1869" t="s">
        <v>760</v>
      </c>
      <c r="CD32" s="1869" t="s">
        <v>241</v>
      </c>
      <c r="CE32" s="1870">
        <v>0.25208333333333333</v>
      </c>
      <c r="CF32" s="1869" t="s">
        <v>761</v>
      </c>
      <c r="CG32" s="1871">
        <v>238933</v>
      </c>
      <c r="CH32" s="1872">
        <v>0.74199999999999999</v>
      </c>
      <c r="CI32" s="1869"/>
    </row>
    <row r="33" spans="1:87" ht="14.5">
      <c r="A33" s="1">
        <f t="shared" si="11"/>
        <v>44586</v>
      </c>
      <c r="B33" s="932">
        <f t="shared" si="4"/>
        <v>44586.287499999999</v>
      </c>
      <c r="C33" s="932">
        <f t="shared" si="5"/>
        <v>44586.329166666663</v>
      </c>
      <c r="D33" s="932">
        <f t="shared" si="6"/>
        <v>44586.748611111114</v>
      </c>
      <c r="E33" s="932">
        <f t="shared" si="7"/>
        <v>44586.790277777778</v>
      </c>
      <c r="F33" s="932">
        <f t="shared" si="8"/>
        <v>44586.039583333331</v>
      </c>
      <c r="G33" s="932">
        <f t="shared" si="9"/>
        <v>44586.504861111112</v>
      </c>
      <c r="H33" s="2">
        <f t="shared" si="12"/>
        <v>54</v>
      </c>
      <c r="I33" s="2">
        <v>33.295731430856648</v>
      </c>
      <c r="J33" s="1317">
        <v>-18.775772411511756</v>
      </c>
      <c r="R33" s="931"/>
      <c r="S33" s="1016">
        <f t="shared" si="14"/>
        <v>20</v>
      </c>
      <c r="T33" s="930" t="s">
        <v>762</v>
      </c>
      <c r="U33" s="929"/>
      <c r="V33" s="930" t="s">
        <v>763</v>
      </c>
      <c r="W33" s="929"/>
      <c r="X33" s="930" t="s">
        <v>764</v>
      </c>
      <c r="Y33" s="929"/>
      <c r="Z33" s="930" t="s">
        <v>765</v>
      </c>
      <c r="AP33" s="1855">
        <f t="shared" si="23"/>
        <v>44562</v>
      </c>
      <c r="AQ33" s="925" t="str">
        <f t="shared" si="15"/>
        <v>SR</v>
      </c>
      <c r="AR33" s="1856">
        <f t="shared" si="16"/>
        <v>44562.333333333336</v>
      </c>
      <c r="AS33" s="927" t="s">
        <v>766</v>
      </c>
      <c r="AT33" s="1856" t="str">
        <f t="shared" si="17"/>
        <v/>
      </c>
      <c r="AU33" s="1856" t="str">
        <f t="shared" si="18"/>
        <v/>
      </c>
      <c r="AV33" s="1856" t="str">
        <f t="shared" si="19"/>
        <v/>
      </c>
      <c r="AW33" s="1856" t="str">
        <f t="shared" si="20"/>
        <v/>
      </c>
      <c r="AX33" s="1856" t="str">
        <f t="shared" si="21"/>
        <v/>
      </c>
      <c r="AY33" s="1856" t="str">
        <f t="shared" si="22"/>
        <v/>
      </c>
      <c r="BB33" s="1873" t="s">
        <v>767</v>
      </c>
      <c r="BC33" s="1880">
        <v>3.888888888888889E-2</v>
      </c>
      <c r="BD33" s="1880" t="s">
        <v>768</v>
      </c>
      <c r="BE33" s="1880">
        <v>0.50486111111111109</v>
      </c>
      <c r="BF33" s="1880" t="s">
        <v>769</v>
      </c>
      <c r="BG33" s="1879" t="s">
        <v>241</v>
      </c>
      <c r="BH33" s="1880">
        <v>0.27499999999999997</v>
      </c>
      <c r="BI33" s="1879" t="s">
        <v>770</v>
      </c>
      <c r="BJ33" s="1881">
        <v>233054</v>
      </c>
      <c r="BK33" s="1882">
        <v>0.51100000000000001</v>
      </c>
      <c r="BL33" s="1619">
        <f t="shared" si="1"/>
        <v>44586</v>
      </c>
      <c r="BM33" s="1856">
        <f t="shared" si="13"/>
        <v>0.27499999999999997</v>
      </c>
      <c r="BN33" s="934">
        <f t="shared" si="10"/>
        <v>40.4</v>
      </c>
      <c r="BY33" s="1869">
        <v>30</v>
      </c>
      <c r="BZ33" s="1870">
        <v>4.6527777777777779E-2</v>
      </c>
      <c r="CA33" s="1869" t="s">
        <v>771</v>
      </c>
      <c r="CB33" s="1870">
        <v>0.52638888888888891</v>
      </c>
      <c r="CC33" s="1869" t="s">
        <v>757</v>
      </c>
      <c r="CD33" s="1869" t="s">
        <v>241</v>
      </c>
      <c r="CE33" s="1870">
        <v>0.28333333333333333</v>
      </c>
      <c r="CF33" s="1869" t="s">
        <v>772</v>
      </c>
      <c r="CG33" s="1871">
        <v>242623</v>
      </c>
      <c r="CH33" s="1872">
        <v>0.64300000000000002</v>
      </c>
      <c r="CI33" s="1869"/>
    </row>
    <row r="34" spans="1:87" ht="14.5">
      <c r="A34" s="1">
        <f t="shared" si="11"/>
        <v>44587</v>
      </c>
      <c r="B34" s="932">
        <f t="shared" si="4"/>
        <v>44587.286805555559</v>
      </c>
      <c r="C34" s="932">
        <f t="shared" si="5"/>
        <v>44587.328472222223</v>
      </c>
      <c r="D34" s="932">
        <f t="shared" si="6"/>
        <v>44587.75</v>
      </c>
      <c r="E34" s="932">
        <f t="shared" si="7"/>
        <v>44587.790972222225</v>
      </c>
      <c r="F34" s="932">
        <f t="shared" si="8"/>
        <v>44587.088194444448</v>
      </c>
      <c r="G34" s="932">
        <f t="shared" si="9"/>
        <v>44587.527777777781</v>
      </c>
      <c r="H34" s="2">
        <f t="shared" si="12"/>
        <v>43</v>
      </c>
      <c r="I34" s="2">
        <v>33.546802354339633</v>
      </c>
      <c r="J34" s="1317">
        <v>-18.522020850237812</v>
      </c>
      <c r="R34" s="931"/>
      <c r="S34" s="1016">
        <f t="shared" si="14"/>
        <v>21</v>
      </c>
      <c r="T34" s="930" t="s">
        <v>773</v>
      </c>
      <c r="U34" s="929"/>
      <c r="V34" s="930" t="s">
        <v>774</v>
      </c>
      <c r="W34" s="929"/>
      <c r="X34" s="930" t="s">
        <v>775</v>
      </c>
      <c r="Y34" s="929"/>
      <c r="Z34" s="930" t="s">
        <v>776</v>
      </c>
      <c r="AP34" s="1855">
        <f t="shared" si="23"/>
        <v>44562</v>
      </c>
      <c r="AQ34" s="925" t="str">
        <f t="shared" si="15"/>
        <v>MS</v>
      </c>
      <c r="AR34" s="1856">
        <f t="shared" si="16"/>
        <v>44562.683333333334</v>
      </c>
      <c r="AS34" s="927" t="s">
        <v>777</v>
      </c>
      <c r="AT34" s="1856" t="str">
        <f t="shared" si="17"/>
        <v/>
      </c>
      <c r="AU34" s="1856" t="str">
        <f t="shared" si="18"/>
        <v/>
      </c>
      <c r="AV34" s="1856" t="str">
        <f t="shared" si="19"/>
        <v/>
      </c>
      <c r="AW34" s="1856" t="str">
        <f t="shared" si="20"/>
        <v/>
      </c>
      <c r="AX34" s="1856" t="str">
        <f t="shared" si="21"/>
        <v/>
      </c>
      <c r="AY34" s="1856" t="str">
        <f t="shared" si="22"/>
        <v/>
      </c>
      <c r="BB34" s="1873">
        <v>26</v>
      </c>
      <c r="BC34" s="1880">
        <v>8.6805555555555566E-2</v>
      </c>
      <c r="BD34" s="1880" t="s">
        <v>778</v>
      </c>
      <c r="BE34" s="1880">
        <v>0.52777777777777779</v>
      </c>
      <c r="BF34" s="1880" t="s">
        <v>779</v>
      </c>
      <c r="BG34" s="1879" t="s">
        <v>241</v>
      </c>
      <c r="BH34" s="1880">
        <v>0.30972222222222223</v>
      </c>
      <c r="BI34" s="1879" t="s">
        <v>780</v>
      </c>
      <c r="BJ34" s="1881">
        <v>230481</v>
      </c>
      <c r="BK34" s="1882">
        <v>0.39500000000000002</v>
      </c>
      <c r="BL34" s="1619">
        <f t="shared" si="1"/>
        <v>44587</v>
      </c>
      <c r="BM34" s="1856">
        <f t="shared" si="13"/>
        <v>0.30972222222222223</v>
      </c>
      <c r="BN34" s="934">
        <f t="shared" si="10"/>
        <v>34.799999999999997</v>
      </c>
      <c r="BY34" s="1869"/>
      <c r="BZ34" s="1869"/>
      <c r="CA34" s="1869"/>
      <c r="CB34" s="1869"/>
      <c r="CC34" s="1869"/>
      <c r="CD34" s="1869"/>
      <c r="CE34" s="1869"/>
      <c r="CF34" s="1869"/>
      <c r="CG34" s="1869"/>
      <c r="CH34" s="1869"/>
      <c r="CI34" s="1869"/>
    </row>
    <row r="35" spans="1:87" ht="14.5">
      <c r="A35" s="1">
        <f t="shared" si="11"/>
        <v>44588</v>
      </c>
      <c r="B35" s="932">
        <f t="shared" si="4"/>
        <v>44588.286805555559</v>
      </c>
      <c r="C35" s="932">
        <f t="shared" si="5"/>
        <v>44588.327777777777</v>
      </c>
      <c r="D35" s="932">
        <f t="shared" si="6"/>
        <v>44588.750694444447</v>
      </c>
      <c r="E35" s="932">
        <f t="shared" si="7"/>
        <v>44588.791666666664</v>
      </c>
      <c r="F35" s="932">
        <f t="shared" si="8"/>
        <v>44588.138194444444</v>
      </c>
      <c r="G35" s="932">
        <f t="shared" si="9"/>
        <v>44588.555555555555</v>
      </c>
      <c r="H35" s="2">
        <f t="shared" si="12"/>
        <v>32</v>
      </c>
      <c r="I35" s="2">
        <v>33.803538845749372</v>
      </c>
      <c r="J35" s="1317">
        <v>-18.262673299699316</v>
      </c>
      <c r="R35" s="931"/>
      <c r="S35" s="1016">
        <f t="shared" si="14"/>
        <v>22</v>
      </c>
      <c r="T35" s="930" t="s">
        <v>781</v>
      </c>
      <c r="U35" s="929"/>
      <c r="V35" s="930" t="s">
        <v>782</v>
      </c>
      <c r="W35" s="929"/>
      <c r="X35" s="930" t="s">
        <v>783</v>
      </c>
      <c r="Y35" s="929"/>
      <c r="Z35" s="930" t="s">
        <v>784</v>
      </c>
      <c r="AP35" s="1855">
        <f t="shared" si="23"/>
        <v>44562</v>
      </c>
      <c r="AQ35" s="925" t="str">
        <f t="shared" si="15"/>
        <v>SS</v>
      </c>
      <c r="AR35" s="1856">
        <f t="shared" si="16"/>
        <v>44562.732638888891</v>
      </c>
      <c r="AS35" s="927" t="s">
        <v>785</v>
      </c>
      <c r="AT35" s="1856" t="str">
        <f t="shared" si="17"/>
        <v/>
      </c>
      <c r="AU35" s="1856" t="str">
        <f t="shared" si="18"/>
        <v/>
      </c>
      <c r="AV35" s="1856" t="str">
        <f t="shared" si="19"/>
        <v/>
      </c>
      <c r="AW35" s="1856" t="str">
        <f t="shared" si="20"/>
        <v/>
      </c>
      <c r="AX35" s="1856" t="str">
        <f t="shared" si="21"/>
        <v/>
      </c>
      <c r="AY35" s="1856" t="str">
        <f t="shared" si="22"/>
        <v/>
      </c>
      <c r="BB35" s="1873">
        <v>27</v>
      </c>
      <c r="BC35" s="1880">
        <v>0.13749999999999998</v>
      </c>
      <c r="BD35" s="1880" t="s">
        <v>786</v>
      </c>
      <c r="BE35" s="1880">
        <v>0.55486111111111114</v>
      </c>
      <c r="BF35" s="1880" t="s">
        <v>787</v>
      </c>
      <c r="BG35" s="1879" t="s">
        <v>241</v>
      </c>
      <c r="BH35" s="1880">
        <v>0.34861111111111115</v>
      </c>
      <c r="BI35" s="1879" t="s">
        <v>788</v>
      </c>
      <c r="BJ35" s="1881">
        <v>228173</v>
      </c>
      <c r="BK35" s="1882">
        <v>0.28299999999999997</v>
      </c>
      <c r="BL35" s="1619">
        <f t="shared" si="1"/>
        <v>44588</v>
      </c>
      <c r="BM35" s="1856">
        <f t="shared" si="13"/>
        <v>0.34861111111111115</v>
      </c>
      <c r="BN35" s="934">
        <f t="shared" si="10"/>
        <v>30.1</v>
      </c>
      <c r="BY35" s="1869"/>
      <c r="BZ35" s="1869"/>
      <c r="CA35" s="1869"/>
      <c r="CB35" s="1869"/>
      <c r="CC35" s="1869"/>
      <c r="CD35" s="1869"/>
      <c r="CE35" s="1869"/>
      <c r="CF35" s="1869"/>
      <c r="CG35" s="1869"/>
      <c r="CH35" s="1869"/>
      <c r="CI35" s="1869"/>
    </row>
    <row r="36" spans="1:87" ht="14.5">
      <c r="A36" s="1">
        <f t="shared" si="11"/>
        <v>44589</v>
      </c>
      <c r="B36" s="932">
        <f t="shared" si="4"/>
        <v>44589.286111111112</v>
      </c>
      <c r="C36" s="932">
        <f t="shared" si="5"/>
        <v>44589.327777777777</v>
      </c>
      <c r="D36" s="932">
        <f t="shared" si="6"/>
        <v>44589.751388888886</v>
      </c>
      <c r="E36" s="932">
        <f t="shared" si="7"/>
        <v>44589.792361111111</v>
      </c>
      <c r="F36" s="932">
        <f t="shared" si="8"/>
        <v>44589.190277777772</v>
      </c>
      <c r="G36" s="932">
        <f t="shared" si="9"/>
        <v>44589.588888888895</v>
      </c>
      <c r="H36" s="2">
        <f t="shared" si="12"/>
        <v>22</v>
      </c>
      <c r="I36" s="2">
        <v>34.065842592937074</v>
      </c>
      <c r="J36" s="1317">
        <v>-17.997837791312037</v>
      </c>
      <c r="R36" s="931"/>
      <c r="S36" s="1016">
        <f t="shared" si="14"/>
        <v>23</v>
      </c>
      <c r="T36" s="930" t="s">
        <v>789</v>
      </c>
      <c r="U36" s="929"/>
      <c r="V36" s="930" t="s">
        <v>790</v>
      </c>
      <c r="W36" s="929"/>
      <c r="X36" s="930" t="s">
        <v>791</v>
      </c>
      <c r="Y36" s="929"/>
      <c r="Z36" s="930" t="s">
        <v>792</v>
      </c>
      <c r="AP36" s="1855">
        <f t="shared" si="23"/>
        <v>44562</v>
      </c>
      <c r="AQ36" s="925" t="str">
        <f t="shared" si="15"/>
        <v>EENT</v>
      </c>
      <c r="AR36" s="1856">
        <f t="shared" si="16"/>
        <v>44562.775694444441</v>
      </c>
      <c r="AS36" s="927" t="s">
        <v>793</v>
      </c>
      <c r="AT36" s="1856" t="str">
        <f t="shared" si="17"/>
        <v/>
      </c>
      <c r="AU36" s="1856" t="str">
        <f t="shared" si="18"/>
        <v/>
      </c>
      <c r="AV36" s="1856" t="str">
        <f t="shared" si="19"/>
        <v/>
      </c>
      <c r="AW36" s="1856" t="str">
        <f t="shared" si="20"/>
        <v/>
      </c>
      <c r="AX36" s="1856" t="str">
        <f t="shared" si="21"/>
        <v/>
      </c>
      <c r="AY36" s="1856" t="str">
        <f t="shared" si="22"/>
        <v/>
      </c>
      <c r="BB36" s="1873">
        <v>28</v>
      </c>
      <c r="BC36" s="1880">
        <v>0.18888888888888888</v>
      </c>
      <c r="BD36" s="1880" t="s">
        <v>794</v>
      </c>
      <c r="BE36" s="1880">
        <v>0.58819444444444446</v>
      </c>
      <c r="BF36" s="1880" t="s">
        <v>721</v>
      </c>
      <c r="BG36" s="1879" t="s">
        <v>241</v>
      </c>
      <c r="BH36" s="1880">
        <v>0.38958333333333334</v>
      </c>
      <c r="BI36" s="1879" t="s">
        <v>722</v>
      </c>
      <c r="BJ36" s="1881">
        <v>226362</v>
      </c>
      <c r="BK36" s="1882">
        <v>0.18</v>
      </c>
      <c r="BL36" s="1619">
        <f t="shared" si="1"/>
        <v>44589</v>
      </c>
      <c r="BM36" s="1856">
        <f t="shared" si="13"/>
        <v>0.38958333333333334</v>
      </c>
      <c r="BN36" s="934">
        <f t="shared" si="10"/>
        <v>26.6</v>
      </c>
      <c r="BY36" s="1869"/>
      <c r="BZ36" s="1869"/>
      <c r="CA36" s="1869"/>
      <c r="CB36" s="1869"/>
      <c r="CC36" s="1869"/>
      <c r="CD36" s="1869"/>
      <c r="CE36" s="1869"/>
      <c r="CF36" s="1869"/>
      <c r="CG36" s="1869"/>
      <c r="CH36" s="1869"/>
      <c r="CI36" s="1869"/>
    </row>
    <row r="37" spans="1:87" ht="14.5">
      <c r="A37" s="1">
        <f t="shared" si="11"/>
        <v>44590</v>
      </c>
      <c r="B37" s="932">
        <f t="shared" si="4"/>
        <v>44590.285416666666</v>
      </c>
      <c r="C37" s="932">
        <f t="shared" si="5"/>
        <v>44590.32708333333</v>
      </c>
      <c r="D37" s="932">
        <f t="shared" si="6"/>
        <v>44590.752083333333</v>
      </c>
      <c r="E37" s="932">
        <f t="shared" si="7"/>
        <v>44590.79305555555</v>
      </c>
      <c r="F37" s="932">
        <f t="shared" si="8"/>
        <v>44590.239583333336</v>
      </c>
      <c r="G37" s="932">
        <f t="shared" si="9"/>
        <v>44590.629861111112</v>
      </c>
      <c r="H37" s="2">
        <f t="shared" si="12"/>
        <v>13</v>
      </c>
      <c r="I37" s="2">
        <v>34.333613716658526</v>
      </c>
      <c r="J37" s="1317">
        <v>-17.727623471388856</v>
      </c>
      <c r="R37" s="931"/>
      <c r="S37" s="1016">
        <f t="shared" si="14"/>
        <v>24</v>
      </c>
      <c r="T37" s="930" t="s">
        <v>795</v>
      </c>
      <c r="U37" s="929"/>
      <c r="V37" s="930" t="s">
        <v>796</v>
      </c>
      <c r="W37" s="929"/>
      <c r="X37" s="930" t="s">
        <v>797</v>
      </c>
      <c r="Y37" s="929"/>
      <c r="Z37" s="930" t="s">
        <v>798</v>
      </c>
      <c r="AP37" s="1855">
        <f>IF(ISNUMBER(AS37),AP27+1,AP27)</f>
        <v>44563</v>
      </c>
      <c r="AQ37" s="925" t="str">
        <f t="shared" si="15"/>
        <v/>
      </c>
      <c r="AR37" s="1856" t="str">
        <f t="shared" si="16"/>
        <v/>
      </c>
      <c r="AS37" s="927">
        <v>2</v>
      </c>
      <c r="AT37" s="1856">
        <f t="shared" si="17"/>
        <v>44563.290277777778</v>
      </c>
      <c r="AU37" s="1856">
        <f t="shared" si="18"/>
        <v>44563.333333333336</v>
      </c>
      <c r="AV37" s="1856">
        <f t="shared" si="19"/>
        <v>44563.733333333337</v>
      </c>
      <c r="AW37" s="1856">
        <f t="shared" si="20"/>
        <v>44563.776388888888</v>
      </c>
      <c r="AX37" s="1856">
        <f t="shared" si="21"/>
        <v>44563.338194444448</v>
      </c>
      <c r="AY37" s="1856">
        <f t="shared" si="22"/>
        <v>44563.728472222225</v>
      </c>
      <c r="AZ37" s="1853">
        <v>0.01</v>
      </c>
      <c r="BB37" s="1873">
        <v>29</v>
      </c>
      <c r="BC37" s="1880">
        <v>0.2388888888888889</v>
      </c>
      <c r="BD37" s="1880" t="s">
        <v>571</v>
      </c>
      <c r="BE37" s="1880">
        <v>0.62916666666666665</v>
      </c>
      <c r="BF37" s="1880" t="s">
        <v>563</v>
      </c>
      <c r="BG37" s="1879" t="s">
        <v>241</v>
      </c>
      <c r="BH37" s="1880">
        <v>0.43402777777777773</v>
      </c>
      <c r="BI37" s="1879" t="s">
        <v>799</v>
      </c>
      <c r="BJ37" s="1881">
        <v>225292</v>
      </c>
      <c r="BK37" s="1882">
        <v>9.6000000000000002E-2</v>
      </c>
      <c r="BL37" s="1619">
        <f t="shared" si="1"/>
        <v>44590</v>
      </c>
      <c r="BM37" s="1856">
        <f t="shared" si="13"/>
        <v>0.43402777777777773</v>
      </c>
      <c r="BN37" s="934">
        <f t="shared" si="10"/>
        <v>25</v>
      </c>
      <c r="BY37" s="1869"/>
      <c r="BZ37" s="1869"/>
      <c r="CA37" s="1869"/>
      <c r="CB37" s="1869"/>
      <c r="CC37" s="1869"/>
      <c r="CD37" s="1869"/>
      <c r="CE37" s="1869"/>
      <c r="CF37" s="1869"/>
      <c r="CG37" s="1869"/>
      <c r="CH37" s="1869"/>
      <c r="CI37" s="1869"/>
    </row>
    <row r="38" spans="1:87" ht="14.5">
      <c r="A38" s="1">
        <f t="shared" si="11"/>
        <v>44591</v>
      </c>
      <c r="B38" s="932">
        <f t="shared" si="4"/>
        <v>44591.285416666666</v>
      </c>
      <c r="C38" s="932">
        <f t="shared" si="5"/>
        <v>44591.326388888883</v>
      </c>
      <c r="D38" s="932">
        <f t="shared" si="6"/>
        <v>44591.75277777778</v>
      </c>
      <c r="E38" s="932">
        <f t="shared" si="7"/>
        <v>44591.793749999997</v>
      </c>
      <c r="F38" s="932">
        <f t="shared" si="8"/>
        <v>44591.284722222219</v>
      </c>
      <c r="G38" s="932">
        <f t="shared" si="9"/>
        <v>44591.677083333328</v>
      </c>
      <c r="H38" s="2">
        <f t="shared" si="12"/>
        <v>6</v>
      </c>
      <c r="I38" s="2">
        <v>34.606750838462496</v>
      </c>
      <c r="J38" s="1317">
        <v>-17.452140503049211</v>
      </c>
      <c r="R38" s="931"/>
      <c r="S38" s="1016">
        <f t="shared" si="14"/>
        <v>25</v>
      </c>
      <c r="T38" s="930" t="s">
        <v>800</v>
      </c>
      <c r="U38" s="929"/>
      <c r="V38" s="930" t="s">
        <v>801</v>
      </c>
      <c r="W38" s="929"/>
      <c r="X38" s="930" t="s">
        <v>802</v>
      </c>
      <c r="Y38" s="929"/>
      <c r="Z38" s="930" t="s">
        <v>803</v>
      </c>
      <c r="AP38" s="1855">
        <f t="shared" ref="AP38:AP100" si="24">IF(ISNUMBER(AS38),AP37+1,AP37)</f>
        <v>44563</v>
      </c>
      <c r="AQ38" s="925" t="str">
        <f t="shared" ref="AQ38:AQ100" si="25">IF(NOT(ISNUMBER(FIND(":",AS38))),"",IF(ISNUMBER(FIND("Sunr",AS38)),"SR", IF(ISNUMBER(FIND("Suns",AS38)),"SS",IF(ISNUMBER(FIND("Moonr",AS38)),"MR",IF(ISNUMBER(FIND("Moons",AS38)),"MS",IF(ISNUMBER(FIND("Twi",AS38)),IF(HOUR(AR38)&lt;12,"BMNT","EENT")))))))</f>
        <v/>
      </c>
      <c r="AR38" s="1856" t="str">
        <f>IF(NOT(ISNUMBER(FIND(":",AS38))),"",IF(ISNUMBER(FIND(" none",AS38)),"NONE",AP38+LEFT(RIGHT(AS38,5),2)/24+RIGHT(AS38,2)/1440))</f>
        <v/>
      </c>
      <c r="AS38" s="927" t="s">
        <v>252</v>
      </c>
      <c r="AT38" s="1856" t="str">
        <f t="shared" si="17"/>
        <v/>
      </c>
      <c r="AU38" s="1856" t="str">
        <f t="shared" si="18"/>
        <v/>
      </c>
      <c r="AV38" s="1856" t="str">
        <f t="shared" si="19"/>
        <v/>
      </c>
      <c r="AW38" s="1856" t="str">
        <f t="shared" si="20"/>
        <v/>
      </c>
      <c r="AX38" s="1856" t="str">
        <f t="shared" si="21"/>
        <v/>
      </c>
      <c r="AY38" s="1856" t="str">
        <f t="shared" si="22"/>
        <v/>
      </c>
      <c r="BB38" s="1873">
        <v>30</v>
      </c>
      <c r="BC38" s="1880">
        <v>0.28402777777777777</v>
      </c>
      <c r="BD38" s="1880" t="s">
        <v>571</v>
      </c>
      <c r="BE38" s="1880">
        <v>0.67638888888888893</v>
      </c>
      <c r="BF38" s="1880" t="s">
        <v>721</v>
      </c>
      <c r="BG38" s="1879" t="s">
        <v>241</v>
      </c>
      <c r="BH38" s="1880">
        <v>0.47916666666666669</v>
      </c>
      <c r="BI38" s="1879" t="s">
        <v>804</v>
      </c>
      <c r="BJ38" s="1881">
        <v>225165</v>
      </c>
      <c r="BK38" s="1882">
        <v>3.5999999999999997E-2</v>
      </c>
      <c r="BL38" s="1619">
        <f t="shared" si="1"/>
        <v>44591</v>
      </c>
      <c r="BM38" s="1856">
        <f t="shared" si="13"/>
        <v>0.47916666666666669</v>
      </c>
      <c r="BN38" s="934">
        <f t="shared" si="10"/>
        <v>25.4</v>
      </c>
      <c r="BY38" s="1869"/>
      <c r="BZ38" s="1869"/>
      <c r="CA38" s="1869"/>
      <c r="CB38" s="1869"/>
      <c r="CC38" s="1869"/>
      <c r="CD38" s="1869"/>
      <c r="CE38" s="1869"/>
      <c r="CF38" s="1869"/>
      <c r="CG38" s="1869"/>
      <c r="CH38" s="1869"/>
      <c r="CI38" s="1869"/>
    </row>
    <row r="39" spans="1:87" ht="14.5">
      <c r="A39" s="1">
        <f t="shared" si="11"/>
        <v>44592</v>
      </c>
      <c r="B39" s="932">
        <f t="shared" si="4"/>
        <v>44592.284722222219</v>
      </c>
      <c r="C39" s="932">
        <f t="shared" si="5"/>
        <v>44592.325694444444</v>
      </c>
      <c r="D39" s="932">
        <f t="shared" si="6"/>
        <v>44592.753472222219</v>
      </c>
      <c r="E39" s="932">
        <f t="shared" si="7"/>
        <v>44592.794444444444</v>
      </c>
      <c r="F39" s="932">
        <f t="shared" si="8"/>
        <v>44592.322916666664</v>
      </c>
      <c r="G39" s="932">
        <f t="shared" si="9"/>
        <v>44592.728472222225</v>
      </c>
      <c r="H39" s="2">
        <f t="shared" si="12"/>
        <v>2</v>
      </c>
      <c r="I39" s="2">
        <v>34.885151148234328</v>
      </c>
      <c r="J39" s="1317">
        <v>-17.171499970893933</v>
      </c>
      <c r="R39" s="931"/>
      <c r="S39" s="1016">
        <f t="shared" si="14"/>
        <v>26</v>
      </c>
      <c r="T39" s="930" t="s">
        <v>805</v>
      </c>
      <c r="U39" s="929"/>
      <c r="V39" s="930" t="s">
        <v>806</v>
      </c>
      <c r="W39" s="929"/>
      <c r="X39" s="930" t="s">
        <v>807</v>
      </c>
      <c r="Y39" s="929"/>
      <c r="Z39" s="930" t="s">
        <v>808</v>
      </c>
      <c r="AP39" s="1855">
        <f t="shared" si="24"/>
        <v>44563</v>
      </c>
      <c r="AQ39" s="925" t="str">
        <f t="shared" si="25"/>
        <v/>
      </c>
      <c r="AR39" s="1856" t="str">
        <f>IF(NOT(ISNUMBER(FIND(":",AS39))),"",IF(ISNUMBER(FIND(" none",AS39)),"NONE",AP39+LEFT(RIGHT(AS39,5),2)/24+RIGHT(AS39,2)/1440))</f>
        <v/>
      </c>
      <c r="AT39" s="1856" t="str">
        <f t="shared" si="17"/>
        <v/>
      </c>
      <c r="AU39" s="1856" t="str">
        <f t="shared" si="18"/>
        <v/>
      </c>
      <c r="AV39" s="1856" t="str">
        <f t="shared" si="19"/>
        <v/>
      </c>
      <c r="AW39" s="1856" t="str">
        <f t="shared" si="20"/>
        <v/>
      </c>
      <c r="AX39" s="1856" t="str">
        <f t="shared" si="21"/>
        <v/>
      </c>
      <c r="AY39" s="1856" t="str">
        <f t="shared" si="22"/>
        <v/>
      </c>
      <c r="BB39" s="1873">
        <v>31</v>
      </c>
      <c r="BC39" s="1880">
        <v>0.32222222222222224</v>
      </c>
      <c r="BD39" s="1880" t="s">
        <v>794</v>
      </c>
      <c r="BE39" s="1880">
        <v>0.72777777777777775</v>
      </c>
      <c r="BF39" s="1880" t="s">
        <v>553</v>
      </c>
      <c r="BG39" s="1879" t="s">
        <v>241</v>
      </c>
      <c r="BH39" s="1880">
        <v>0.5229166666666667</v>
      </c>
      <c r="BI39" s="1879" t="s">
        <v>809</v>
      </c>
      <c r="BJ39" s="1881">
        <v>226086</v>
      </c>
      <c r="BK39" s="1882">
        <v>5.0000000000000001E-3</v>
      </c>
      <c r="BL39" s="1619">
        <f t="shared" si="1"/>
        <v>44592</v>
      </c>
      <c r="BM39" s="1856">
        <f t="shared" si="13"/>
        <v>0.5229166666666667</v>
      </c>
      <c r="BN39" s="934">
        <f t="shared" si="10"/>
        <v>27.7</v>
      </c>
      <c r="BY39" s="1869"/>
      <c r="BZ39" s="1869"/>
      <c r="CA39" s="1869"/>
      <c r="CB39" s="1869"/>
      <c r="CC39" s="1869"/>
      <c r="CD39" s="1869"/>
      <c r="CE39" s="1869"/>
      <c r="CF39" s="1869"/>
      <c r="CG39" s="1869"/>
      <c r="CH39" s="1869"/>
      <c r="CI39" s="1869"/>
    </row>
    <row r="40" spans="1:87" ht="14.5">
      <c r="A40" s="1">
        <f t="shared" si="11"/>
        <v>44593</v>
      </c>
      <c r="B40" s="932">
        <f t="shared" si="4"/>
        <v>44593.28402777778</v>
      </c>
      <c r="C40" s="932">
        <f t="shared" si="5"/>
        <v>44593.324999999997</v>
      </c>
      <c r="D40" s="932">
        <f t="shared" si="6"/>
        <v>44593.754166666666</v>
      </c>
      <c r="E40" s="932">
        <f t="shared" si="7"/>
        <v>44593.795138888883</v>
      </c>
      <c r="F40" s="932">
        <f t="shared" si="8"/>
        <v>44593.354166666672</v>
      </c>
      <c r="G40" s="932">
        <f t="shared" si="9"/>
        <v>44593.780555555553</v>
      </c>
      <c r="H40" s="2">
        <f t="shared" si="12"/>
        <v>0</v>
      </c>
      <c r="I40" s="2">
        <v>35.168710471353243</v>
      </c>
      <c r="J40" s="1317">
        <v>-16.885813788570928</v>
      </c>
      <c r="R40" s="931"/>
      <c r="S40" s="1016">
        <f t="shared" si="14"/>
        <v>27</v>
      </c>
      <c r="T40" s="930" t="s">
        <v>810</v>
      </c>
      <c r="U40" s="929"/>
      <c r="V40" s="930" t="s">
        <v>811</v>
      </c>
      <c r="W40" s="929"/>
      <c r="X40" s="930" t="s">
        <v>812</v>
      </c>
      <c r="Y40" s="929"/>
      <c r="Z40" s="930" t="s">
        <v>813</v>
      </c>
      <c r="AP40" s="1855">
        <f t="shared" si="24"/>
        <v>44563</v>
      </c>
      <c r="AQ40" s="925" t="str">
        <f t="shared" si="25"/>
        <v>BMNT</v>
      </c>
      <c r="AR40" s="1856">
        <f>IF(NOT(ISNUMBER(FIND(":",AS40))),"",IF(ISNUMBER(FIND(" none",AS40)),"NONE",AP40+LEFT(RIGHT(AS40,5),2)/24+RIGHT(AS40,2)/1440))</f>
        <v>44563.290277777778</v>
      </c>
      <c r="AS40" s="927" t="s">
        <v>814</v>
      </c>
      <c r="AT40" s="1856" t="str">
        <f t="shared" si="17"/>
        <v/>
      </c>
      <c r="AU40" s="1856" t="str">
        <f t="shared" si="18"/>
        <v/>
      </c>
      <c r="AV40" s="1856" t="str">
        <f t="shared" si="19"/>
        <v/>
      </c>
      <c r="AW40" s="1856" t="str">
        <f t="shared" si="20"/>
        <v/>
      </c>
      <c r="AX40" s="1856" t="str">
        <f t="shared" si="21"/>
        <v/>
      </c>
      <c r="AY40" s="1856" t="str">
        <f t="shared" si="22"/>
        <v/>
      </c>
      <c r="BB40" s="1873">
        <v>1</v>
      </c>
      <c r="BC40" s="1880">
        <v>0.35347222222222219</v>
      </c>
      <c r="BD40" s="1880" t="s">
        <v>786</v>
      </c>
      <c r="BE40" s="1880">
        <v>0.77986111111111101</v>
      </c>
      <c r="BF40" s="1880" t="s">
        <v>705</v>
      </c>
      <c r="BG40" s="1879" t="s">
        <v>241</v>
      </c>
      <c r="BH40" s="1880">
        <v>0.56388888888888888</v>
      </c>
      <c r="BI40" s="1879" t="s">
        <v>815</v>
      </c>
      <c r="BJ40" s="1881">
        <v>228029</v>
      </c>
      <c r="BK40" s="1882">
        <v>6.0000000000000001E-3</v>
      </c>
      <c r="BL40" s="1619">
        <f t="shared" si="1"/>
        <v>44593</v>
      </c>
      <c r="BM40" s="1856">
        <f t="shared" si="13"/>
        <v>0.56388888888888888</v>
      </c>
      <c r="BN40" s="934">
        <f t="shared" si="10"/>
        <v>31.8</v>
      </c>
      <c r="BY40" s="1869"/>
      <c r="BZ40" s="1869"/>
      <c r="CA40" s="1869"/>
      <c r="CB40" s="1869"/>
      <c r="CC40" s="1869"/>
      <c r="CD40" s="1869"/>
      <c r="CE40" s="1869"/>
      <c r="CF40" s="1869"/>
      <c r="CG40" s="1869"/>
      <c r="CH40" s="1869"/>
      <c r="CI40" s="1869"/>
    </row>
    <row r="41" spans="1:87" ht="14.5">
      <c r="A41" s="1">
        <f t="shared" si="11"/>
        <v>44594</v>
      </c>
      <c r="B41" s="932">
        <f t="shared" si="4"/>
        <v>44594.283333333333</v>
      </c>
      <c r="C41" s="932">
        <f t="shared" si="5"/>
        <v>44594.324999999997</v>
      </c>
      <c r="D41" s="932">
        <f t="shared" si="6"/>
        <v>44594.754861111112</v>
      </c>
      <c r="E41" s="932">
        <f t="shared" si="7"/>
        <v>44594.79583333333</v>
      </c>
      <c r="F41" s="932">
        <f t="shared" si="8"/>
        <v>44594.379861111112</v>
      </c>
      <c r="G41" s="932">
        <f t="shared" si="9"/>
        <v>44594.831249999996</v>
      </c>
      <c r="H41" s="2">
        <f t="shared" si="12"/>
        <v>2</v>
      </c>
      <c r="I41" s="2">
        <v>35.457323335415985</v>
      </c>
      <c r="J41" s="1317">
        <v>-16.595194609348244</v>
      </c>
      <c r="R41" s="931"/>
      <c r="S41" s="1016">
        <f t="shared" si="14"/>
        <v>28</v>
      </c>
      <c r="T41" s="930" t="s">
        <v>816</v>
      </c>
      <c r="U41" s="929"/>
      <c r="V41" s="930" t="s">
        <v>817</v>
      </c>
      <c r="W41" s="929"/>
      <c r="X41" s="930" t="s">
        <v>818</v>
      </c>
      <c r="Y41" s="929"/>
      <c r="Z41" s="930" t="s">
        <v>819</v>
      </c>
      <c r="AP41" s="1855">
        <f t="shared" si="24"/>
        <v>44563</v>
      </c>
      <c r="AQ41" s="925" t="str">
        <f t="shared" si="25"/>
        <v>SR</v>
      </c>
      <c r="AR41" s="1856">
        <f t="shared" ref="AR41:AR104" si="26">IF(NOT(ISNUMBER(FIND(":",AS41))),"",IF(ISNUMBER(FIND(" none",AS41)),"NONE",AP41+LEFT(RIGHT(AS41,5),2)/24+RIGHT(AS41,2)/1440))</f>
        <v>44563.333333333336</v>
      </c>
      <c r="AS41" s="927" t="s">
        <v>766</v>
      </c>
      <c r="AT41" s="1856" t="str">
        <f t="shared" si="17"/>
        <v/>
      </c>
      <c r="AU41" s="1856" t="str">
        <f t="shared" si="18"/>
        <v/>
      </c>
      <c r="AV41" s="1856" t="str">
        <f t="shared" si="19"/>
        <v/>
      </c>
      <c r="AW41" s="1856" t="str">
        <f t="shared" si="20"/>
        <v/>
      </c>
      <c r="AX41" s="1856" t="str">
        <f t="shared" si="21"/>
        <v/>
      </c>
      <c r="AY41" s="1856" t="str">
        <f t="shared" si="22"/>
        <v/>
      </c>
      <c r="BB41" s="1873">
        <v>2</v>
      </c>
      <c r="BC41" s="1880">
        <v>0.37916666666666665</v>
      </c>
      <c r="BD41" s="1880" t="s">
        <v>778</v>
      </c>
      <c r="BE41" s="1880">
        <v>0.82986111111111116</v>
      </c>
      <c r="BF41" s="1880" t="s">
        <v>696</v>
      </c>
      <c r="BG41" s="1879" t="s">
        <v>241</v>
      </c>
      <c r="BH41" s="1880">
        <v>0.60138888888888886</v>
      </c>
      <c r="BI41" s="1879" t="s">
        <v>820</v>
      </c>
      <c r="BJ41" s="1881">
        <v>230836</v>
      </c>
      <c r="BK41" s="1882">
        <v>3.5000000000000003E-2</v>
      </c>
      <c r="BL41" s="1619">
        <f t="shared" si="1"/>
        <v>44594</v>
      </c>
      <c r="BM41" s="1856">
        <f t="shared" si="13"/>
        <v>0.60138888888888886</v>
      </c>
      <c r="BN41" s="934">
        <f t="shared" si="10"/>
        <v>37</v>
      </c>
      <c r="BY41" s="1869"/>
      <c r="BZ41" s="1869"/>
      <c r="CA41" s="1869"/>
      <c r="CB41" s="1869"/>
      <c r="CC41" s="1869"/>
      <c r="CD41" s="1869"/>
      <c r="CE41" s="1869"/>
      <c r="CF41" s="1869"/>
      <c r="CG41" s="1869"/>
      <c r="CH41" s="1869"/>
      <c r="CI41" s="1869"/>
    </row>
    <row r="42" spans="1:87" ht="14.5">
      <c r="A42" s="1">
        <f t="shared" si="11"/>
        <v>44595</v>
      </c>
      <c r="B42" s="932">
        <f t="shared" si="4"/>
        <v>44595.283333333333</v>
      </c>
      <c r="C42" s="932">
        <f t="shared" si="5"/>
        <v>44595.32430555555</v>
      </c>
      <c r="D42" s="932">
        <f t="shared" si="6"/>
        <v>44595.755555555559</v>
      </c>
      <c r="E42" s="932">
        <f t="shared" si="7"/>
        <v>44595.796527777777</v>
      </c>
      <c r="F42" s="932">
        <f t="shared" si="8"/>
        <v>44595.401388888888</v>
      </c>
      <c r="G42" s="932">
        <f t="shared" si="9"/>
        <v>44595.879166666666</v>
      </c>
      <c r="H42" s="2">
        <f t="shared" si="12"/>
        <v>5</v>
      </c>
      <c r="I42" s="2">
        <v>35.750883036491246</v>
      </c>
      <c r="J42" s="1317">
        <v>-16.299755739785066</v>
      </c>
      <c r="R42" s="931"/>
      <c r="S42" s="1016">
        <f t="shared" si="14"/>
        <v>29</v>
      </c>
      <c r="T42" s="930" t="s">
        <v>821</v>
      </c>
      <c r="U42" s="929"/>
      <c r="V42" s="930" t="s">
        <v>822</v>
      </c>
      <c r="W42" s="929"/>
      <c r="X42" s="930" t="s">
        <v>823</v>
      </c>
      <c r="Y42" s="929"/>
      <c r="Z42" s="930" t="s">
        <v>824</v>
      </c>
      <c r="AP42" s="1855">
        <f t="shared" si="24"/>
        <v>44563</v>
      </c>
      <c r="AQ42" s="925" t="str">
        <f t="shared" si="25"/>
        <v>MR</v>
      </c>
      <c r="AR42" s="1856">
        <f t="shared" si="26"/>
        <v>44563.338194444448</v>
      </c>
      <c r="AS42" s="927" t="s">
        <v>825</v>
      </c>
      <c r="AT42" s="1856" t="str">
        <f t="shared" si="17"/>
        <v/>
      </c>
      <c r="AU42" s="1856" t="str">
        <f t="shared" si="18"/>
        <v/>
      </c>
      <c r="AV42" s="1856" t="str">
        <f t="shared" si="19"/>
        <v/>
      </c>
      <c r="AW42" s="1856" t="str">
        <f t="shared" si="20"/>
        <v/>
      </c>
      <c r="AX42" s="1856" t="str">
        <f t="shared" si="21"/>
        <v/>
      </c>
      <c r="AY42" s="1856" t="str">
        <f t="shared" si="22"/>
        <v/>
      </c>
      <c r="BB42" s="1873">
        <v>3</v>
      </c>
      <c r="BC42" s="1880">
        <v>0.40069444444444446</v>
      </c>
      <c r="BD42" s="1880" t="s">
        <v>688</v>
      </c>
      <c r="BE42" s="1880">
        <v>0.87777777777777777</v>
      </c>
      <c r="BF42" s="1879" t="s">
        <v>687</v>
      </c>
      <c r="BG42" s="1880" t="s">
        <v>241</v>
      </c>
      <c r="BH42" s="1880">
        <v>0.63611111111111118</v>
      </c>
      <c r="BI42" s="1881" t="s">
        <v>826</v>
      </c>
      <c r="BJ42" s="1882">
        <v>234249</v>
      </c>
      <c r="BK42" s="1882">
        <v>0.09</v>
      </c>
      <c r="BL42" s="1619">
        <f t="shared" si="1"/>
        <v>44595</v>
      </c>
      <c r="BM42" s="1856">
        <f t="shared" si="13"/>
        <v>0.63611111111111118</v>
      </c>
      <c r="BN42" s="934">
        <f t="shared" si="10"/>
        <v>42.9</v>
      </c>
      <c r="BY42" s="1869"/>
      <c r="BZ42" s="1869"/>
      <c r="CA42" s="1869"/>
      <c r="CB42" s="1869"/>
      <c r="CC42" s="1869"/>
      <c r="CD42" s="1869"/>
      <c r="CE42" s="1869"/>
      <c r="CF42" s="1869"/>
      <c r="CG42" s="1869"/>
      <c r="CH42" s="1869"/>
      <c r="CI42" s="1869"/>
    </row>
    <row r="43" spans="1:87" ht="14.5">
      <c r="A43" s="1">
        <f t="shared" si="11"/>
        <v>44596</v>
      </c>
      <c r="B43" s="932">
        <f t="shared" si="4"/>
        <v>44596.282638888886</v>
      </c>
      <c r="C43" s="932">
        <f t="shared" si="5"/>
        <v>44596.323611111111</v>
      </c>
      <c r="D43" s="932">
        <f t="shared" si="6"/>
        <v>44596.756944444445</v>
      </c>
      <c r="E43" s="932">
        <f t="shared" si="7"/>
        <v>44596.797222222223</v>
      </c>
      <c r="F43" s="932">
        <f t="shared" si="8"/>
        <v>44596.420138888883</v>
      </c>
      <c r="G43" s="932">
        <f t="shared" si="9"/>
        <v>44596.924305555556</v>
      </c>
      <c r="H43" s="2">
        <f t="shared" si="12"/>
        <v>11</v>
      </c>
      <c r="I43" s="2">
        <v>36.049281704861826</v>
      </c>
      <c r="J43" s="1317">
        <v>-15.999611056584197</v>
      </c>
      <c r="R43" s="931"/>
      <c r="S43" s="1016">
        <f t="shared" si="14"/>
        <v>30</v>
      </c>
      <c r="T43" s="930" t="s">
        <v>827</v>
      </c>
      <c r="U43" s="929"/>
      <c r="V43" s="930" t="s">
        <v>828</v>
      </c>
      <c r="W43" s="929"/>
      <c r="X43" s="930" t="s">
        <v>829</v>
      </c>
      <c r="Y43" s="929"/>
      <c r="Z43" s="930" t="s">
        <v>830</v>
      </c>
      <c r="AP43" s="1855">
        <f t="shared" si="24"/>
        <v>44563</v>
      </c>
      <c r="AQ43" s="925" t="str">
        <f t="shared" si="25"/>
        <v>MS</v>
      </c>
      <c r="AR43" s="1856">
        <f t="shared" si="26"/>
        <v>44563.728472222225</v>
      </c>
      <c r="AS43" s="927" t="s">
        <v>831</v>
      </c>
      <c r="AT43" s="1856" t="str">
        <f t="shared" si="17"/>
        <v/>
      </c>
      <c r="AU43" s="1856" t="str">
        <f t="shared" si="18"/>
        <v/>
      </c>
      <c r="AV43" s="1856" t="str">
        <f t="shared" si="19"/>
        <v/>
      </c>
      <c r="AW43" s="1856" t="str">
        <f t="shared" si="20"/>
        <v/>
      </c>
      <c r="AX43" s="1856" t="str">
        <f t="shared" si="21"/>
        <v/>
      </c>
      <c r="AY43" s="1856" t="str">
        <f t="shared" si="22"/>
        <v/>
      </c>
      <c r="BB43" s="1873">
        <v>4</v>
      </c>
      <c r="BC43" s="1880">
        <v>0.41944444444444445</v>
      </c>
      <c r="BD43" s="1879" t="s">
        <v>680</v>
      </c>
      <c r="BE43" s="1880">
        <v>0.92361111111111116</v>
      </c>
      <c r="BF43" s="1879" t="s">
        <v>679</v>
      </c>
      <c r="BG43" s="1879" t="s">
        <v>241</v>
      </c>
      <c r="BH43" s="1880">
        <v>0.66805555555555562</v>
      </c>
      <c r="BI43" s="1879" t="s">
        <v>832</v>
      </c>
      <c r="BJ43" s="1881">
        <v>237954</v>
      </c>
      <c r="BK43" s="1882">
        <v>0.16300000000000001</v>
      </c>
      <c r="BL43" s="1619">
        <f t="shared" si="1"/>
        <v>44596</v>
      </c>
      <c r="BM43" s="1856">
        <f t="shared" si="13"/>
        <v>0.66805555555555562</v>
      </c>
      <c r="BN43" s="934">
        <f t="shared" si="10"/>
        <v>49.1</v>
      </c>
      <c r="BY43" s="1869"/>
      <c r="BZ43" s="1869"/>
      <c r="CA43" s="1869"/>
      <c r="CB43" s="1869"/>
      <c r="CC43" s="1869"/>
      <c r="CD43" s="1869"/>
      <c r="CE43" s="1869"/>
      <c r="CF43" s="1869"/>
      <c r="CG43" s="1869"/>
      <c r="CH43" s="1869"/>
      <c r="CI43" s="1869"/>
    </row>
    <row r="44" spans="1:87" ht="14.5">
      <c r="A44" s="1">
        <f t="shared" si="11"/>
        <v>44597</v>
      </c>
      <c r="B44" s="932">
        <f t="shared" si="4"/>
        <v>44597.281944444447</v>
      </c>
      <c r="C44" s="932">
        <f t="shared" si="5"/>
        <v>44597.322916666664</v>
      </c>
      <c r="D44" s="932">
        <f t="shared" si="6"/>
        <v>44597.757638888892</v>
      </c>
      <c r="E44" s="932">
        <f t="shared" si="7"/>
        <v>44597.797916666663</v>
      </c>
      <c r="F44" s="932">
        <f t="shared" si="8"/>
        <v>44597.438194444439</v>
      </c>
      <c r="G44" s="932">
        <f t="shared" si="9"/>
        <v>44597.968055555561</v>
      </c>
      <c r="H44" s="2">
        <f t="shared" si="12"/>
        <v>19</v>
      </c>
      <c r="I44" s="2">
        <v>36.352410370220696</v>
      </c>
      <c r="J44" s="1317">
        <v>-15.694874926685552</v>
      </c>
      <c r="R44" s="931"/>
      <c r="S44" s="1016">
        <f t="shared" si="14"/>
        <v>31</v>
      </c>
      <c r="T44" s="930" t="s">
        <v>833</v>
      </c>
      <c r="U44" s="929"/>
      <c r="V44" s="930" t="s">
        <v>834</v>
      </c>
      <c r="W44" s="929"/>
      <c r="X44" s="930" t="s">
        <v>835</v>
      </c>
      <c r="Y44" s="929"/>
      <c r="Z44" s="930" t="s">
        <v>836</v>
      </c>
      <c r="AP44" s="1855">
        <f t="shared" si="24"/>
        <v>44563</v>
      </c>
      <c r="AQ44" s="925" t="str">
        <f t="shared" si="25"/>
        <v>SS</v>
      </c>
      <c r="AR44" s="1856">
        <f t="shared" si="26"/>
        <v>44563.733333333337</v>
      </c>
      <c r="AS44" s="927" t="s">
        <v>837</v>
      </c>
      <c r="AT44" s="1856" t="str">
        <f t="shared" si="17"/>
        <v/>
      </c>
      <c r="AU44" s="1856" t="str">
        <f t="shared" si="18"/>
        <v/>
      </c>
      <c r="AV44" s="1856" t="str">
        <f t="shared" si="19"/>
        <v/>
      </c>
      <c r="AW44" s="1856" t="str">
        <f t="shared" si="20"/>
        <v/>
      </c>
      <c r="AX44" s="1856" t="str">
        <f t="shared" si="21"/>
        <v/>
      </c>
      <c r="AY44" s="1856" t="str">
        <f t="shared" si="22"/>
        <v/>
      </c>
      <c r="BB44" s="1873">
        <v>5</v>
      </c>
      <c r="BC44" s="1880">
        <v>0.4375</v>
      </c>
      <c r="BD44" s="1879" t="s">
        <v>671</v>
      </c>
      <c r="BE44" s="1880">
        <v>0.96736111111111101</v>
      </c>
      <c r="BF44" s="1879" t="s">
        <v>670</v>
      </c>
      <c r="BG44" s="1879" t="s">
        <v>241</v>
      </c>
      <c r="BH44" s="1880">
        <v>0.69861111111111107</v>
      </c>
      <c r="BI44" s="1879" t="s">
        <v>838</v>
      </c>
      <c r="BJ44" s="1881">
        <v>241631</v>
      </c>
      <c r="BK44" s="1882">
        <v>0.25</v>
      </c>
      <c r="BL44" s="1619">
        <f t="shared" si="1"/>
        <v>44597</v>
      </c>
      <c r="BM44" s="1856">
        <f t="shared" si="13"/>
        <v>0.69861111111111107</v>
      </c>
      <c r="BN44" s="934">
        <f t="shared" si="10"/>
        <v>55.1</v>
      </c>
      <c r="BY44" s="1869"/>
      <c r="BZ44" s="1869"/>
      <c r="CA44" s="1869"/>
      <c r="CB44" s="1869"/>
      <c r="CC44" s="1869"/>
      <c r="CD44" s="1869"/>
      <c r="CE44" s="1869"/>
      <c r="CF44" s="1869"/>
      <c r="CG44" s="1869"/>
      <c r="CH44" s="1869"/>
      <c r="CI44" s="1869"/>
    </row>
    <row r="45" spans="1:87" ht="14.5">
      <c r="A45" s="1">
        <f t="shared" si="11"/>
        <v>44598</v>
      </c>
      <c r="B45" s="932">
        <f t="shared" si="4"/>
        <v>44598.28125</v>
      </c>
      <c r="C45" s="932">
        <f t="shared" si="5"/>
        <v>44598.322222222218</v>
      </c>
      <c r="D45" s="932">
        <f t="shared" si="6"/>
        <v>44598.758333333331</v>
      </c>
      <c r="E45" s="932">
        <f t="shared" si="7"/>
        <v>44598.798611111109</v>
      </c>
      <c r="F45" s="932">
        <f t="shared" si="8"/>
        <v>44598.455555555556</v>
      </c>
      <c r="G45" s="932" t="str">
        <f t="shared" si="9"/>
        <v>NONE</v>
      </c>
      <c r="H45" s="2">
        <f t="shared" si="12"/>
        <v>28.000000000000004</v>
      </c>
      <c r="I45" s="2">
        <v>36.660159026284575</v>
      </c>
      <c r="J45" s="1317">
        <v>-15.385662130649095</v>
      </c>
      <c r="R45" s="931"/>
      <c r="T45" s="930"/>
      <c r="U45" s="929"/>
      <c r="V45" s="930"/>
      <c r="W45" s="929"/>
      <c r="X45" s="930"/>
      <c r="Y45" s="929"/>
      <c r="Z45" s="930"/>
      <c r="AP45" s="1855">
        <f t="shared" si="24"/>
        <v>44563</v>
      </c>
      <c r="AQ45" s="925" t="str">
        <f t="shared" si="25"/>
        <v>EENT</v>
      </c>
      <c r="AR45" s="1856">
        <f t="shared" si="26"/>
        <v>44563.776388888888</v>
      </c>
      <c r="AS45" s="927" t="s">
        <v>839</v>
      </c>
      <c r="AT45" s="1856" t="str">
        <f t="shared" si="17"/>
        <v/>
      </c>
      <c r="AU45" s="1856" t="str">
        <f t="shared" si="18"/>
        <v/>
      </c>
      <c r="AV45" s="1856" t="str">
        <f t="shared" si="19"/>
        <v/>
      </c>
      <c r="AW45" s="1856" t="str">
        <f t="shared" si="20"/>
        <v/>
      </c>
      <c r="AX45" s="1856" t="str">
        <f t="shared" si="21"/>
        <v/>
      </c>
      <c r="AY45" s="1856" t="str">
        <f t="shared" si="22"/>
        <v/>
      </c>
      <c r="BB45" s="1873">
        <v>6</v>
      </c>
      <c r="BC45" s="1880">
        <v>0.45416666666666666</v>
      </c>
      <c r="BD45" s="1879" t="s">
        <v>661</v>
      </c>
      <c r="BE45" s="1880" t="s">
        <v>241</v>
      </c>
      <c r="BF45" s="1879" t="s">
        <v>241</v>
      </c>
      <c r="BG45" s="1880">
        <v>0.72916666666666663</v>
      </c>
      <c r="BH45" s="1880" t="s">
        <v>840</v>
      </c>
      <c r="BI45" s="1881">
        <v>244990</v>
      </c>
      <c r="BJ45" s="1881">
        <v>0.34399999999999997</v>
      </c>
      <c r="BK45" s="1882"/>
      <c r="BL45" s="1619">
        <f t="shared" si="1"/>
        <v>44598</v>
      </c>
      <c r="BM45" s="1856">
        <f t="shared" si="13"/>
        <v>0.72916666666666663</v>
      </c>
      <c r="BN45" s="934">
        <f t="shared" si="10"/>
        <v>60.8</v>
      </c>
      <c r="BY45" s="1869"/>
      <c r="BZ45" s="1869"/>
      <c r="CA45" s="1869"/>
      <c r="CB45" s="1869"/>
      <c r="CC45" s="1869"/>
      <c r="CD45" s="1869"/>
      <c r="CE45" s="1869"/>
      <c r="CF45" s="1869"/>
      <c r="CG45" s="1869"/>
      <c r="CH45" s="1869"/>
      <c r="CI45" s="1869"/>
    </row>
    <row r="46" spans="1:87" ht="14.5">
      <c r="A46" s="1">
        <f t="shared" si="11"/>
        <v>44599</v>
      </c>
      <c r="B46" s="932">
        <f t="shared" si="4"/>
        <v>44599.280555555553</v>
      </c>
      <c r="C46" s="932">
        <f t="shared" si="5"/>
        <v>44599.321527777778</v>
      </c>
      <c r="D46" s="932">
        <f t="shared" si="6"/>
        <v>44599.759027777778</v>
      </c>
      <c r="E46" s="932">
        <f t="shared" si="7"/>
        <v>44599.799305555556</v>
      </c>
      <c r="F46" s="932">
        <f t="shared" si="8"/>
        <v>44599.472916666666</v>
      </c>
      <c r="G46" s="932">
        <f t="shared" si="9"/>
        <v>44599.011111111111</v>
      </c>
      <c r="H46" s="2">
        <f t="shared" si="12"/>
        <v>37</v>
      </c>
      <c r="I46" s="2">
        <v>36.972416694780819</v>
      </c>
      <c r="J46" s="1317">
        <v>-15.072087789368746</v>
      </c>
      <c r="R46" s="931"/>
      <c r="T46" s="930" t="s">
        <v>841</v>
      </c>
      <c r="U46" s="929"/>
      <c r="V46" s="930" t="s">
        <v>841</v>
      </c>
      <c r="W46" s="929"/>
      <c r="X46" s="930" t="s">
        <v>841</v>
      </c>
      <c r="Y46" s="929"/>
      <c r="Z46" s="930"/>
      <c r="AP46" s="1855">
        <f t="shared" si="24"/>
        <v>44564</v>
      </c>
      <c r="AQ46" s="925" t="str">
        <f t="shared" si="25"/>
        <v/>
      </c>
      <c r="AR46" s="1856" t="str">
        <f t="shared" si="26"/>
        <v/>
      </c>
      <c r="AS46" s="927">
        <v>3</v>
      </c>
      <c r="AT46" s="1856">
        <f t="shared" si="17"/>
        <v>44564.290277777778</v>
      </c>
      <c r="AU46" s="1856">
        <f t="shared" si="18"/>
        <v>44564.333333333336</v>
      </c>
      <c r="AV46" s="1856">
        <f t="shared" si="19"/>
        <v>44564.733333333337</v>
      </c>
      <c r="AW46" s="1856">
        <f t="shared" si="20"/>
        <v>44564.776388888888</v>
      </c>
      <c r="AX46" s="1856">
        <f t="shared" si="21"/>
        <v>44564.380555555559</v>
      </c>
      <c r="AY46" s="1856">
        <f t="shared" si="22"/>
        <v>44564.779166666667</v>
      </c>
      <c r="AZ46" s="1853">
        <v>0</v>
      </c>
      <c r="BB46" s="1873">
        <v>7</v>
      </c>
      <c r="BC46" s="1880" t="s">
        <v>241</v>
      </c>
      <c r="BD46" s="1880">
        <v>9.7222222222222224E-3</v>
      </c>
      <c r="BE46" s="1880" t="s">
        <v>842</v>
      </c>
      <c r="BF46" s="1880">
        <v>0.47222222222222227</v>
      </c>
      <c r="BG46" s="1879" t="s">
        <v>843</v>
      </c>
      <c r="BH46" s="1880">
        <v>0.75902777777777775</v>
      </c>
      <c r="BI46" s="1879" t="s">
        <v>844</v>
      </c>
      <c r="BJ46" s="1881">
        <v>247795</v>
      </c>
      <c r="BK46" s="1882">
        <v>0.443</v>
      </c>
      <c r="BL46" s="1619">
        <f t="shared" si="1"/>
        <v>44599</v>
      </c>
      <c r="BM46" s="1856">
        <f t="shared" si="13"/>
        <v>0.75902777777777775</v>
      </c>
      <c r="BN46" s="934">
        <f t="shared" si="10"/>
        <v>66</v>
      </c>
      <c r="BY46" s="1869"/>
      <c r="BZ46" s="1869"/>
      <c r="CA46" s="1869"/>
      <c r="CB46" s="1869"/>
      <c r="CC46" s="1869"/>
      <c r="CD46" s="1869"/>
      <c r="CE46" s="1869"/>
      <c r="CF46" s="1869"/>
      <c r="CG46" s="1869"/>
      <c r="CH46" s="1869"/>
      <c r="CI46" s="1869"/>
    </row>
    <row r="47" spans="1:87" ht="14.5">
      <c r="A47" s="1">
        <f t="shared" si="11"/>
        <v>44600</v>
      </c>
      <c r="B47" s="932">
        <f t="shared" si="4"/>
        <v>44600.279861111114</v>
      </c>
      <c r="C47" s="932">
        <f t="shared" si="5"/>
        <v>44600.320833333331</v>
      </c>
      <c r="D47" s="932">
        <f t="shared" si="6"/>
        <v>44600.759722222225</v>
      </c>
      <c r="E47" s="932">
        <f t="shared" si="7"/>
        <v>44600.799999999996</v>
      </c>
      <c r="F47" s="932">
        <f t="shared" si="8"/>
        <v>44600.492361111115</v>
      </c>
      <c r="G47" s="932">
        <f t="shared" si="9"/>
        <v>44600.052777777775</v>
      </c>
      <c r="H47" s="2">
        <f t="shared" si="12"/>
        <v>46</v>
      </c>
      <c r="I47" s="2">
        <v>37.28907148878217</v>
      </c>
      <c r="J47" s="1317">
        <v>-14.75426729412712</v>
      </c>
      <c r="R47" s="931"/>
      <c r="T47" s="930"/>
      <c r="U47" s="929"/>
      <c r="V47" s="930"/>
      <c r="W47" s="929"/>
      <c r="X47" s="930"/>
      <c r="Y47" s="929"/>
      <c r="Z47" s="929"/>
      <c r="AP47" s="1855">
        <f t="shared" si="24"/>
        <v>44564</v>
      </c>
      <c r="AQ47" s="925" t="str">
        <f t="shared" si="25"/>
        <v/>
      </c>
      <c r="AR47" s="1856" t="str">
        <f t="shared" si="26"/>
        <v/>
      </c>
      <c r="AS47" s="927" t="s">
        <v>252</v>
      </c>
      <c r="AT47" s="1856" t="str">
        <f t="shared" si="17"/>
        <v/>
      </c>
      <c r="AU47" s="1856" t="str">
        <f t="shared" si="18"/>
        <v/>
      </c>
      <c r="AV47" s="1856" t="str">
        <f t="shared" si="19"/>
        <v/>
      </c>
      <c r="AW47" s="1856" t="str">
        <f t="shared" si="20"/>
        <v/>
      </c>
      <c r="AX47" s="1856" t="str">
        <f t="shared" si="21"/>
        <v/>
      </c>
      <c r="AY47" s="1856" t="str">
        <f t="shared" si="22"/>
        <v/>
      </c>
      <c r="BB47" s="1873" t="s">
        <v>845</v>
      </c>
      <c r="BC47" s="1880" t="s">
        <v>241</v>
      </c>
      <c r="BD47" s="1880">
        <v>5.2083333333333336E-2</v>
      </c>
      <c r="BE47" s="1880" t="s">
        <v>575</v>
      </c>
      <c r="BF47" s="1880">
        <v>0.4916666666666667</v>
      </c>
      <c r="BG47" s="1879" t="s">
        <v>846</v>
      </c>
      <c r="BH47" s="1880">
        <v>0.7895833333333333</v>
      </c>
      <c r="BI47" s="1879" t="s">
        <v>847</v>
      </c>
      <c r="BJ47" s="1881">
        <v>249879</v>
      </c>
      <c r="BK47" s="1882">
        <v>0.54200000000000004</v>
      </c>
      <c r="BL47" s="1619">
        <f t="shared" si="1"/>
        <v>44600</v>
      </c>
      <c r="BM47" s="1856">
        <f t="shared" si="13"/>
        <v>0.7895833333333333</v>
      </c>
      <c r="BN47" s="934">
        <f t="shared" si="10"/>
        <v>70.5</v>
      </c>
    </row>
    <row r="48" spans="1:87" ht="14.5">
      <c r="A48" s="1">
        <f t="shared" si="11"/>
        <v>44601</v>
      </c>
      <c r="B48" s="932">
        <f t="shared" si="4"/>
        <v>44601.279861111114</v>
      </c>
      <c r="C48" s="932">
        <f t="shared" si="5"/>
        <v>44601.320138888885</v>
      </c>
      <c r="D48" s="932">
        <f t="shared" si="6"/>
        <v>44601.760416666664</v>
      </c>
      <c r="E48" s="932">
        <f t="shared" si="7"/>
        <v>44601.800694444442</v>
      </c>
      <c r="F48" s="932">
        <f t="shared" si="8"/>
        <v>44601.513888888891</v>
      </c>
      <c r="G48" s="932">
        <f t="shared" si="9"/>
        <v>44601.094444444447</v>
      </c>
      <c r="H48" s="2">
        <f t="shared" si="12"/>
        <v>56.000000000000007</v>
      </c>
      <c r="I48" s="2">
        <v>37.610010675344867</v>
      </c>
      <c r="J48" s="1317">
        <v>-14.432316240006212</v>
      </c>
      <c r="R48" s="931"/>
      <c r="T48" s="930"/>
      <c r="U48" s="929"/>
      <c r="V48" s="930"/>
      <c r="W48" s="929"/>
      <c r="X48" s="930"/>
      <c r="Y48" s="929"/>
      <c r="Z48" s="929" t="s">
        <v>848</v>
      </c>
      <c r="AP48" s="1855">
        <f t="shared" si="24"/>
        <v>44564</v>
      </c>
      <c r="AQ48" s="925" t="str">
        <f t="shared" si="25"/>
        <v/>
      </c>
      <c r="AR48" s="1856" t="str">
        <f t="shared" si="26"/>
        <v/>
      </c>
      <c r="AT48" s="1856" t="str">
        <f t="shared" si="17"/>
        <v/>
      </c>
      <c r="AU48" s="1856" t="str">
        <f t="shared" si="18"/>
        <v/>
      </c>
      <c r="AV48" s="1856" t="str">
        <f t="shared" si="19"/>
        <v/>
      </c>
      <c r="AW48" s="1856" t="str">
        <f t="shared" si="20"/>
        <v/>
      </c>
      <c r="AX48" s="1856" t="str">
        <f t="shared" si="21"/>
        <v/>
      </c>
      <c r="AY48" s="1856" t="str">
        <f t="shared" si="22"/>
        <v/>
      </c>
      <c r="BB48" s="1873">
        <v>9</v>
      </c>
      <c r="BC48" s="1880" t="s">
        <v>241</v>
      </c>
      <c r="BD48" s="1880">
        <v>9.375E-2</v>
      </c>
      <c r="BE48" s="1880" t="s">
        <v>582</v>
      </c>
      <c r="BF48" s="1880">
        <v>0.5131944444444444</v>
      </c>
      <c r="BG48" s="1879" t="s">
        <v>590</v>
      </c>
      <c r="BH48" s="1880">
        <v>0.82152777777777775</v>
      </c>
      <c r="BI48" s="1879" t="s">
        <v>849</v>
      </c>
      <c r="BJ48" s="1881">
        <v>251150</v>
      </c>
      <c r="BK48" s="1882">
        <v>0.63700000000000001</v>
      </c>
      <c r="BL48" s="1619">
        <f t="shared" si="1"/>
        <v>44601</v>
      </c>
      <c r="BM48" s="1856">
        <f t="shared" si="13"/>
        <v>0.82152777777777775</v>
      </c>
      <c r="BN48" s="934">
        <f t="shared" si="10"/>
        <v>74.099999999999994</v>
      </c>
    </row>
    <row r="49" spans="1:66" ht="14.5">
      <c r="A49" s="1">
        <f t="shared" si="11"/>
        <v>44602</v>
      </c>
      <c r="B49" s="932">
        <f t="shared" si="4"/>
        <v>44602.279166666667</v>
      </c>
      <c r="C49" s="932">
        <f t="shared" si="5"/>
        <v>44602.319444444445</v>
      </c>
      <c r="D49" s="932">
        <f t="shared" si="6"/>
        <v>44602.761111111111</v>
      </c>
      <c r="E49" s="932">
        <f t="shared" si="7"/>
        <v>44602.802083333328</v>
      </c>
      <c r="F49" s="932">
        <f t="shared" si="8"/>
        <v>44602.538888888892</v>
      </c>
      <c r="G49" s="932">
        <f t="shared" si="9"/>
        <v>44602.136111111111</v>
      </c>
      <c r="H49" s="2">
        <f t="shared" si="12"/>
        <v>65</v>
      </c>
      <c r="I49" s="2">
        <v>37.93512073741195</v>
      </c>
      <c r="J49" s="1317">
        <v>-14.106350362650915</v>
      </c>
      <c r="R49" s="931"/>
      <c r="T49" s="929"/>
      <c r="U49" s="929"/>
      <c r="V49" s="929"/>
      <c r="W49" s="929"/>
      <c r="X49" s="930"/>
      <c r="Y49" s="929"/>
      <c r="Z49" s="929"/>
      <c r="AP49" s="1855">
        <f t="shared" si="24"/>
        <v>44564</v>
      </c>
      <c r="AQ49" s="925" t="str">
        <f t="shared" si="25"/>
        <v>BMNT</v>
      </c>
      <c r="AR49" s="1856">
        <f t="shared" si="26"/>
        <v>44564.290277777778</v>
      </c>
      <c r="AS49" s="927" t="s">
        <v>814</v>
      </c>
      <c r="AT49" s="1856" t="str">
        <f t="shared" si="17"/>
        <v/>
      </c>
      <c r="AU49" s="1856" t="str">
        <f t="shared" si="18"/>
        <v/>
      </c>
      <c r="AV49" s="1856" t="str">
        <f t="shared" si="19"/>
        <v/>
      </c>
      <c r="AW49" s="1856" t="str">
        <f t="shared" si="20"/>
        <v/>
      </c>
      <c r="AX49" s="1856" t="str">
        <f t="shared" si="21"/>
        <v/>
      </c>
      <c r="AY49" s="1856" t="str">
        <f t="shared" si="22"/>
        <v/>
      </c>
      <c r="BB49" s="1873">
        <v>10</v>
      </c>
      <c r="BC49" s="1880" t="s">
        <v>241</v>
      </c>
      <c r="BD49" s="1880">
        <v>0.13541666666666666</v>
      </c>
      <c r="BE49" s="1880" t="s">
        <v>633</v>
      </c>
      <c r="BF49" s="1880">
        <v>0.53819444444444442</v>
      </c>
      <c r="BG49" s="1879" t="s">
        <v>599</v>
      </c>
      <c r="BH49" s="1880">
        <v>0.85486111111111107</v>
      </c>
      <c r="BI49" s="1879" t="s">
        <v>850</v>
      </c>
      <c r="BJ49" s="1881">
        <v>251590</v>
      </c>
      <c r="BK49" s="1882">
        <v>0.72699999999999998</v>
      </c>
      <c r="BL49" s="1619">
        <f t="shared" si="1"/>
        <v>44602</v>
      </c>
      <c r="BM49" s="1856">
        <f t="shared" si="13"/>
        <v>0.85486111111111107</v>
      </c>
      <c r="BN49" s="934">
        <f t="shared" si="10"/>
        <v>76.7</v>
      </c>
    </row>
    <row r="50" spans="1:66" ht="14.5">
      <c r="A50" s="1">
        <f t="shared" si="11"/>
        <v>44603</v>
      </c>
      <c r="B50" s="932">
        <f t="shared" si="4"/>
        <v>44603.27847222222</v>
      </c>
      <c r="C50" s="932">
        <f t="shared" si="5"/>
        <v>44603.318749999999</v>
      </c>
      <c r="D50" s="932">
        <f t="shared" si="6"/>
        <v>44603.761805555558</v>
      </c>
      <c r="E50" s="932">
        <f t="shared" si="7"/>
        <v>44603.802777777775</v>
      </c>
      <c r="F50" s="932">
        <f t="shared" si="8"/>
        <v>44603.568055555552</v>
      </c>
      <c r="G50" s="932">
        <f t="shared" si="9"/>
        <v>44603.175694444442</v>
      </c>
      <c r="H50" s="2">
        <f t="shared" si="12"/>
        <v>74</v>
      </c>
      <c r="I50" s="2">
        <v>38.264287434946581</v>
      </c>
      <c r="J50" s="1317">
        <v>-13.776485478366746</v>
      </c>
      <c r="R50" s="931"/>
      <c r="T50" s="929" t="s">
        <v>848</v>
      </c>
      <c r="U50" s="929"/>
      <c r="V50" s="929" t="s">
        <v>848</v>
      </c>
      <c r="W50" s="929"/>
      <c r="X50" s="930" t="s">
        <v>848</v>
      </c>
      <c r="Y50" s="929"/>
      <c r="Z50" s="929"/>
      <c r="AP50" s="1855">
        <f t="shared" si="24"/>
        <v>44564</v>
      </c>
      <c r="AQ50" s="925" t="str">
        <f t="shared" si="25"/>
        <v>SR</v>
      </c>
      <c r="AR50" s="1856">
        <f t="shared" si="26"/>
        <v>44564.333333333336</v>
      </c>
      <c r="AS50" s="927" t="s">
        <v>766</v>
      </c>
      <c r="AT50" s="1856" t="str">
        <f t="shared" si="17"/>
        <v/>
      </c>
      <c r="AU50" s="1856" t="str">
        <f t="shared" si="18"/>
        <v/>
      </c>
      <c r="AV50" s="1856" t="str">
        <f t="shared" si="19"/>
        <v/>
      </c>
      <c r="AW50" s="1856" t="str">
        <f t="shared" si="20"/>
        <v/>
      </c>
      <c r="AX50" s="1856" t="str">
        <f t="shared" si="21"/>
        <v/>
      </c>
      <c r="AY50" s="1856" t="str">
        <f t="shared" si="22"/>
        <v/>
      </c>
      <c r="BB50" s="1873">
        <v>11</v>
      </c>
      <c r="BC50" s="1880" t="s">
        <v>241</v>
      </c>
      <c r="BD50" s="1880">
        <v>0.17569444444444446</v>
      </c>
      <c r="BE50" s="1880" t="s">
        <v>609</v>
      </c>
      <c r="BF50" s="1880">
        <v>0.56736111111111109</v>
      </c>
      <c r="BG50" s="1879" t="s">
        <v>685</v>
      </c>
      <c r="BH50" s="1880">
        <v>0.88958333333333339</v>
      </c>
      <c r="BI50" s="1879" t="s">
        <v>686</v>
      </c>
      <c r="BJ50" s="1881">
        <v>251245</v>
      </c>
      <c r="BK50" s="1882">
        <v>0.80900000000000005</v>
      </c>
      <c r="BL50" s="1619">
        <f t="shared" si="1"/>
        <v>44603</v>
      </c>
      <c r="BM50" s="1856">
        <f t="shared" si="13"/>
        <v>0.88958333333333339</v>
      </c>
      <c r="BN50" s="934">
        <f t="shared" si="10"/>
        <v>78.2</v>
      </c>
    </row>
    <row r="51" spans="1:66" ht="14.5">
      <c r="A51" s="1">
        <f t="shared" si="11"/>
        <v>44604</v>
      </c>
      <c r="B51" s="932">
        <f t="shared" si="4"/>
        <v>44604.277777777781</v>
      </c>
      <c r="C51" s="932">
        <f t="shared" si="5"/>
        <v>44604.318055555552</v>
      </c>
      <c r="D51" s="932">
        <f t="shared" si="6"/>
        <v>44604.762499999997</v>
      </c>
      <c r="E51" s="932">
        <f t="shared" si="7"/>
        <v>44604.803472222222</v>
      </c>
      <c r="F51" s="932">
        <f t="shared" si="8"/>
        <v>44604.602083333339</v>
      </c>
      <c r="G51" s="932">
        <f t="shared" si="9"/>
        <v>44604.213888888895</v>
      </c>
      <c r="H51" s="2">
        <f t="shared" si="12"/>
        <v>82</v>
      </c>
      <c r="I51" s="2">
        <v>38.597395865250711</v>
      </c>
      <c r="J51" s="1317">
        <v>-13.442837427531925</v>
      </c>
      <c r="R51" s="931"/>
      <c r="T51" s="929"/>
      <c r="U51" s="929"/>
      <c r="V51" s="929"/>
      <c r="W51" s="929"/>
      <c r="X51" s="929"/>
      <c r="Y51" s="929"/>
      <c r="Z51" s="929"/>
      <c r="AP51" s="1855">
        <f t="shared" si="24"/>
        <v>44564</v>
      </c>
      <c r="AQ51" s="925" t="str">
        <f t="shared" si="25"/>
        <v>MR</v>
      </c>
      <c r="AR51" s="1856">
        <f t="shared" si="26"/>
        <v>44564.380555555559</v>
      </c>
      <c r="AS51" s="927" t="s">
        <v>851</v>
      </c>
      <c r="AT51" s="1856" t="str">
        <f t="shared" si="17"/>
        <v/>
      </c>
      <c r="AU51" s="1856" t="str">
        <f t="shared" si="18"/>
        <v/>
      </c>
      <c r="AV51" s="1856" t="str">
        <f t="shared" si="19"/>
        <v/>
      </c>
      <c r="AW51" s="1856" t="str">
        <f t="shared" si="20"/>
        <v/>
      </c>
      <c r="AX51" s="1856" t="str">
        <f t="shared" si="21"/>
        <v/>
      </c>
      <c r="AY51" s="1856" t="str">
        <f t="shared" si="22"/>
        <v/>
      </c>
      <c r="BB51" s="1873">
        <v>12</v>
      </c>
      <c r="BC51" s="1880" t="s">
        <v>241</v>
      </c>
      <c r="BD51" s="1880">
        <v>0.21388888888888891</v>
      </c>
      <c r="BE51" s="1880" t="s">
        <v>694</v>
      </c>
      <c r="BF51" s="1880">
        <v>0.60138888888888886</v>
      </c>
      <c r="BG51" s="1879" t="s">
        <v>685</v>
      </c>
      <c r="BH51" s="1880">
        <v>0.92499999999999993</v>
      </c>
      <c r="BI51" s="1879" t="s">
        <v>852</v>
      </c>
      <c r="BJ51" s="1881">
        <v>250216</v>
      </c>
      <c r="BK51" s="1882">
        <v>0.879</v>
      </c>
      <c r="BL51" s="1619">
        <f t="shared" si="1"/>
        <v>44604</v>
      </c>
      <c r="BM51" s="1856">
        <f t="shared" si="13"/>
        <v>0.92499999999999993</v>
      </c>
      <c r="BN51" s="934">
        <f t="shared" si="10"/>
        <v>78.3</v>
      </c>
    </row>
    <row r="52" spans="1:66" ht="14.5">
      <c r="A52" s="1">
        <f t="shared" si="11"/>
        <v>44605</v>
      </c>
      <c r="B52" s="932">
        <f t="shared" si="4"/>
        <v>44605.277083333334</v>
      </c>
      <c r="C52" s="932">
        <f t="shared" si="5"/>
        <v>44605.316666666666</v>
      </c>
      <c r="D52" s="932">
        <f t="shared" si="6"/>
        <v>44605.763888888891</v>
      </c>
      <c r="E52" s="932">
        <f t="shared" si="7"/>
        <v>44605.804166666661</v>
      </c>
      <c r="F52" s="932">
        <f t="shared" si="8"/>
        <v>44605.640277777777</v>
      </c>
      <c r="G52" s="932">
        <f t="shared" si="9"/>
        <v>44605.248611111114</v>
      </c>
      <c r="H52" s="2">
        <f t="shared" si="12"/>
        <v>88</v>
      </c>
      <c r="I52" s="2">
        <v>38.934330522432923</v>
      </c>
      <c r="J52" s="1317">
        <v>-13.105522021284536</v>
      </c>
      <c r="R52" s="931"/>
      <c r="T52" s="929"/>
      <c r="U52" s="929"/>
      <c r="V52" s="929"/>
      <c r="W52" s="929"/>
      <c r="X52" s="929" t="s">
        <v>848</v>
      </c>
      <c r="Y52" s="929"/>
      <c r="Z52" s="929"/>
      <c r="AP52" s="1855">
        <f t="shared" si="24"/>
        <v>44564</v>
      </c>
      <c r="AQ52" s="925" t="str">
        <f t="shared" si="25"/>
        <v>SS</v>
      </c>
      <c r="AR52" s="1856">
        <f t="shared" si="26"/>
        <v>44564.733333333337</v>
      </c>
      <c r="AS52" s="927" t="s">
        <v>837</v>
      </c>
      <c r="AT52" s="1856" t="str">
        <f t="shared" si="17"/>
        <v/>
      </c>
      <c r="AU52" s="1856" t="str">
        <f t="shared" si="18"/>
        <v/>
      </c>
      <c r="AV52" s="1856" t="str">
        <f t="shared" si="19"/>
        <v/>
      </c>
      <c r="AW52" s="1856" t="str">
        <f t="shared" si="20"/>
        <v/>
      </c>
      <c r="AX52" s="1856" t="str">
        <f t="shared" si="21"/>
        <v/>
      </c>
      <c r="AY52" s="1856" t="str">
        <f t="shared" si="22"/>
        <v/>
      </c>
      <c r="BB52" s="1873">
        <v>13</v>
      </c>
      <c r="BC52" s="1880" t="s">
        <v>241</v>
      </c>
      <c r="BD52" s="1880">
        <v>0.24791666666666667</v>
      </c>
      <c r="BE52" s="1880" t="s">
        <v>694</v>
      </c>
      <c r="BF52" s="1880">
        <v>0.63958333333333328</v>
      </c>
      <c r="BG52" s="1879" t="s">
        <v>608</v>
      </c>
      <c r="BH52" s="1880">
        <v>0.96111111111111114</v>
      </c>
      <c r="BI52" s="1879" t="s">
        <v>853</v>
      </c>
      <c r="BJ52" s="1881">
        <v>248644</v>
      </c>
      <c r="BK52" s="1882">
        <v>0.93600000000000005</v>
      </c>
      <c r="BL52" s="1619">
        <f t="shared" si="1"/>
        <v>44605</v>
      </c>
      <c r="BM52" s="1856">
        <f t="shared" si="13"/>
        <v>0.96111111111111114</v>
      </c>
      <c r="BN52" s="934">
        <f t="shared" si="10"/>
        <v>77</v>
      </c>
    </row>
    <row r="53" spans="1:66" ht="14.5">
      <c r="A53" s="1">
        <f t="shared" si="11"/>
        <v>44606</v>
      </c>
      <c r="B53" s="932">
        <f t="shared" si="4"/>
        <v>44606.275694444441</v>
      </c>
      <c r="C53" s="932">
        <f t="shared" si="5"/>
        <v>44606.315972222219</v>
      </c>
      <c r="D53" s="932">
        <f t="shared" si="6"/>
        <v>44606.76458333333</v>
      </c>
      <c r="E53" s="932">
        <f t="shared" si="7"/>
        <v>44606.804861111108</v>
      </c>
      <c r="F53" s="932">
        <f t="shared" si="8"/>
        <v>44606.681944444441</v>
      </c>
      <c r="G53" s="932">
        <f t="shared" si="9"/>
        <v>44606.279861111114</v>
      </c>
      <c r="H53" s="2">
        <f t="shared" si="12"/>
        <v>94</v>
      </c>
      <c r="I53" s="2">
        <v>39.274975355978505</v>
      </c>
      <c r="J53" s="1317">
        <v>-12.764654991447435</v>
      </c>
      <c r="R53" s="931"/>
      <c r="T53" s="929"/>
      <c r="U53" s="929"/>
      <c r="V53" s="929"/>
      <c r="W53" s="929"/>
      <c r="X53" s="929"/>
      <c r="Y53" s="929"/>
      <c r="Z53" s="929"/>
      <c r="AP53" s="1855">
        <f t="shared" si="24"/>
        <v>44564</v>
      </c>
      <c r="AQ53" s="925" t="str">
        <f t="shared" si="25"/>
        <v>EENT</v>
      </c>
      <c r="AR53" s="1856">
        <f t="shared" si="26"/>
        <v>44564.776388888888</v>
      </c>
      <c r="AS53" s="927" t="s">
        <v>839</v>
      </c>
      <c r="AT53" s="1856" t="str">
        <f t="shared" si="17"/>
        <v/>
      </c>
      <c r="AU53" s="1856" t="str">
        <f t="shared" si="18"/>
        <v/>
      </c>
      <c r="AV53" s="1856" t="str">
        <f t="shared" si="19"/>
        <v/>
      </c>
      <c r="AW53" s="1856" t="str">
        <f t="shared" si="20"/>
        <v/>
      </c>
      <c r="AX53" s="1856" t="str">
        <f t="shared" si="21"/>
        <v/>
      </c>
      <c r="AY53" s="1856" t="str">
        <f t="shared" si="22"/>
        <v/>
      </c>
      <c r="BB53" s="1873">
        <v>14</v>
      </c>
      <c r="BC53" s="1880" t="s">
        <v>241</v>
      </c>
      <c r="BD53" s="1880">
        <v>0.27916666666666667</v>
      </c>
      <c r="BE53" s="1880" t="s">
        <v>600</v>
      </c>
      <c r="BF53" s="1880">
        <v>0.68055555555555547</v>
      </c>
      <c r="BG53" s="1879" t="s">
        <v>854</v>
      </c>
      <c r="BH53" s="1880">
        <v>0.99583333333333324</v>
      </c>
      <c r="BI53" s="1879" t="s">
        <v>855</v>
      </c>
      <c r="BJ53" s="1881">
        <v>246692</v>
      </c>
      <c r="BK53" s="1882">
        <v>0.97599999999999998</v>
      </c>
      <c r="BL53" s="1619">
        <f t="shared" si="1"/>
        <v>44606</v>
      </c>
      <c r="BM53" s="1856">
        <f t="shared" si="13"/>
        <v>0.99583333333333324</v>
      </c>
      <c r="BN53" s="934">
        <f t="shared" si="10"/>
        <v>74.400000000000006</v>
      </c>
    </row>
    <row r="54" spans="1:66" ht="14.5">
      <c r="A54" s="1">
        <f t="shared" si="11"/>
        <v>44607</v>
      </c>
      <c r="B54" s="932">
        <f t="shared" si="4"/>
        <v>44607.275000000001</v>
      </c>
      <c r="C54" s="932">
        <f t="shared" si="5"/>
        <v>44607.315277777772</v>
      </c>
      <c r="D54" s="932">
        <f t="shared" si="6"/>
        <v>44607.765277777777</v>
      </c>
      <c r="E54" s="932">
        <f t="shared" si="7"/>
        <v>44607.805555555555</v>
      </c>
      <c r="F54" s="932">
        <f t="shared" si="8"/>
        <v>44607.725694444445</v>
      </c>
      <c r="G54" s="932">
        <f t="shared" si="9"/>
        <v>44607.306249999994</v>
      </c>
      <c r="H54" s="2">
        <f t="shared" si="12"/>
        <v>98</v>
      </c>
      <c r="I54" s="2">
        <v>39.619213828383664</v>
      </c>
      <c r="J54" s="1317">
        <v>-12.420351943635325</v>
      </c>
      <c r="R54" s="931"/>
      <c r="T54" s="929"/>
      <c r="U54" s="929"/>
      <c r="V54" s="929"/>
      <c r="W54" s="929"/>
      <c r="X54" s="929"/>
      <c r="Y54" s="929"/>
      <c r="Z54" s="929"/>
      <c r="AP54" s="1855">
        <f t="shared" si="24"/>
        <v>44564</v>
      </c>
      <c r="AQ54" s="925" t="str">
        <f t="shared" si="25"/>
        <v>MS</v>
      </c>
      <c r="AR54" s="1856">
        <f t="shared" si="26"/>
        <v>44564.779166666667</v>
      </c>
      <c r="AS54" s="927" t="s">
        <v>856</v>
      </c>
      <c r="AT54" s="1856" t="str">
        <f t="shared" si="17"/>
        <v/>
      </c>
      <c r="AU54" s="1856" t="str">
        <f t="shared" si="18"/>
        <v/>
      </c>
      <c r="AV54" s="1856" t="str">
        <f t="shared" si="19"/>
        <v/>
      </c>
      <c r="AW54" s="1856" t="str">
        <f t="shared" si="20"/>
        <v/>
      </c>
      <c r="AX54" s="1856" t="str">
        <f t="shared" si="21"/>
        <v/>
      </c>
      <c r="AY54" s="1856" t="str">
        <f t="shared" si="22"/>
        <v/>
      </c>
      <c r="BB54" s="1873">
        <v>15</v>
      </c>
      <c r="BC54" s="1880" t="s">
        <v>241</v>
      </c>
      <c r="BD54" s="1880">
        <v>0.30555555555555552</v>
      </c>
      <c r="BE54" s="1880" t="s">
        <v>857</v>
      </c>
      <c r="BF54" s="1880">
        <v>0.72430555555555554</v>
      </c>
      <c r="BG54" s="1879" t="s">
        <v>858</v>
      </c>
      <c r="BH54" s="1880" t="s">
        <v>695</v>
      </c>
      <c r="BJ54" s="1881"/>
      <c r="BK54" s="1882"/>
      <c r="BL54" s="1619">
        <f t="shared" si="1"/>
        <v>44607</v>
      </c>
      <c r="BM54" s="1856" t="str">
        <f t="shared" si="13"/>
        <v>NA</v>
      </c>
      <c r="BN54" s="934" t="str">
        <f t="shared" si="10"/>
        <v>NA</v>
      </c>
    </row>
    <row r="55" spans="1:66" ht="14.5">
      <c r="A55" s="1">
        <f t="shared" si="11"/>
        <v>44608</v>
      </c>
      <c r="B55" s="932">
        <f t="shared" si="4"/>
        <v>44608.274305555555</v>
      </c>
      <c r="C55" s="932">
        <f t="shared" si="5"/>
        <v>44608.314583333333</v>
      </c>
      <c r="D55" s="932">
        <f t="shared" si="6"/>
        <v>44608.765972222223</v>
      </c>
      <c r="E55" s="932">
        <f t="shared" si="7"/>
        <v>44608.806249999994</v>
      </c>
      <c r="F55" s="932">
        <f t="shared" si="8"/>
        <v>44608.770138888889</v>
      </c>
      <c r="G55" s="932">
        <f t="shared" si="9"/>
        <v>44608.329861111109</v>
      </c>
      <c r="H55" s="2">
        <f t="shared" si="12"/>
        <v>100</v>
      </c>
      <c r="I55" s="2">
        <v>39.966928971805437</v>
      </c>
      <c r="J55" s="1317">
        <v>-12.072728313491339</v>
      </c>
      <c r="R55" s="931"/>
      <c r="T55" s="929"/>
      <c r="U55" s="929"/>
      <c r="V55" s="929"/>
      <c r="W55" s="929"/>
      <c r="X55" s="929"/>
      <c r="Y55" s="929"/>
      <c r="Z55" s="929"/>
      <c r="AP55" s="1855">
        <f t="shared" si="24"/>
        <v>44565</v>
      </c>
      <c r="AQ55" s="925" t="str">
        <f t="shared" si="25"/>
        <v/>
      </c>
      <c r="AR55" s="1856" t="str">
        <f t="shared" si="26"/>
        <v/>
      </c>
      <c r="AS55" s="927">
        <v>4</v>
      </c>
      <c r="AT55" s="1856">
        <f t="shared" si="17"/>
        <v>44565.290277777778</v>
      </c>
      <c r="AU55" s="1856">
        <f t="shared" si="18"/>
        <v>44565.333333333336</v>
      </c>
      <c r="AV55" s="1856">
        <f t="shared" si="19"/>
        <v>44565.734027777777</v>
      </c>
      <c r="AW55" s="1856">
        <f t="shared" si="20"/>
        <v>44565.777083333334</v>
      </c>
      <c r="AX55" s="1856">
        <f t="shared" si="21"/>
        <v>44565.415972222225</v>
      </c>
      <c r="AY55" s="1856">
        <f t="shared" si="22"/>
        <v>44565.831249999996</v>
      </c>
      <c r="AZ55" s="1853">
        <v>0.03</v>
      </c>
      <c r="BB55" s="1873" t="s">
        <v>859</v>
      </c>
      <c r="BC55" s="1880" t="s">
        <v>241</v>
      </c>
      <c r="BD55" s="1880">
        <v>0.32847222222222222</v>
      </c>
      <c r="BE55" s="1880" t="s">
        <v>658</v>
      </c>
      <c r="BF55" s="1880">
        <v>0.76874999999999993</v>
      </c>
      <c r="BG55" s="1879" t="s">
        <v>860</v>
      </c>
      <c r="BH55" s="1880">
        <v>2.9861111111111113E-2</v>
      </c>
      <c r="BI55" s="1879" t="s">
        <v>861</v>
      </c>
      <c r="BJ55" s="1881">
        <v>244522</v>
      </c>
      <c r="BK55" s="1882">
        <v>0.996</v>
      </c>
      <c r="BL55" s="1619">
        <f t="shared" si="1"/>
        <v>44608</v>
      </c>
      <c r="BM55" s="1856">
        <f t="shared" si="13"/>
        <v>2.9861111111111113E-2</v>
      </c>
      <c r="BN55" s="934">
        <f t="shared" si="10"/>
        <v>70.7</v>
      </c>
    </row>
    <row r="56" spans="1:66" ht="14.5">
      <c r="A56" s="1">
        <f t="shared" si="11"/>
        <v>44609</v>
      </c>
      <c r="B56" s="932">
        <f t="shared" si="4"/>
        <v>44609.273611111108</v>
      </c>
      <c r="C56" s="932">
        <f t="shared" si="5"/>
        <v>44609.313888888886</v>
      </c>
      <c r="D56" s="932">
        <f t="shared" si="6"/>
        <v>44609.76666666667</v>
      </c>
      <c r="E56" s="932">
        <f t="shared" si="7"/>
        <v>44609.806944444441</v>
      </c>
      <c r="F56" s="932">
        <f t="shared" si="8"/>
        <v>44609.814583333333</v>
      </c>
      <c r="G56" s="932">
        <f t="shared" si="9"/>
        <v>44609.350000000006</v>
      </c>
      <c r="H56" s="2">
        <f t="shared" si="12"/>
        <v>99</v>
      </c>
      <c r="I56" s="2">
        <v>40.318003443691367</v>
      </c>
      <c r="J56" s="1317">
        <v>-11.721899325981536</v>
      </c>
      <c r="R56" s="931"/>
      <c r="AP56" s="1855">
        <f t="shared" si="24"/>
        <v>44565</v>
      </c>
      <c r="AQ56" s="925" t="str">
        <f t="shared" si="25"/>
        <v/>
      </c>
      <c r="AR56" s="1856" t="str">
        <f t="shared" si="26"/>
        <v/>
      </c>
      <c r="AS56" s="927" t="s">
        <v>252</v>
      </c>
      <c r="AT56" s="1856" t="str">
        <f t="shared" si="17"/>
        <v/>
      </c>
      <c r="AU56" s="1856" t="str">
        <f t="shared" si="18"/>
        <v/>
      </c>
      <c r="AV56" s="1856" t="str">
        <f t="shared" si="19"/>
        <v/>
      </c>
      <c r="AW56" s="1856" t="str">
        <f t="shared" si="20"/>
        <v/>
      </c>
      <c r="AX56" s="1856" t="str">
        <f t="shared" si="21"/>
        <v/>
      </c>
      <c r="AY56" s="1856" t="str">
        <f t="shared" si="22"/>
        <v/>
      </c>
      <c r="BB56" s="1873">
        <v>17</v>
      </c>
      <c r="BC56" s="1880" t="s">
        <v>241</v>
      </c>
      <c r="BD56" s="1880">
        <v>0.34930555555555554</v>
      </c>
      <c r="BE56" s="1879" t="s">
        <v>650</v>
      </c>
      <c r="BF56" s="1880">
        <v>0.81388888888888899</v>
      </c>
      <c r="BG56" s="1880" t="s">
        <v>862</v>
      </c>
      <c r="BH56" s="1880">
        <v>6.25E-2</v>
      </c>
      <c r="BI56" s="1881" t="s">
        <v>863</v>
      </c>
      <c r="BJ56" s="1882">
        <v>242277</v>
      </c>
      <c r="BK56" s="1882">
        <v>0.995</v>
      </c>
      <c r="BL56" s="1619">
        <f t="shared" si="1"/>
        <v>44609</v>
      </c>
      <c r="BM56" s="1856">
        <f t="shared" si="13"/>
        <v>6.25E-2</v>
      </c>
      <c r="BN56" s="934">
        <f t="shared" si="10"/>
        <v>65.900000000000006</v>
      </c>
    </row>
    <row r="57" spans="1:66" ht="14.5">
      <c r="A57" s="1">
        <f t="shared" si="11"/>
        <v>44610</v>
      </c>
      <c r="B57" s="932">
        <f t="shared" si="4"/>
        <v>44610.272916666669</v>
      </c>
      <c r="C57" s="932">
        <f t="shared" si="5"/>
        <v>44610.313194444439</v>
      </c>
      <c r="D57" s="932">
        <f t="shared" si="6"/>
        <v>44610.767361111109</v>
      </c>
      <c r="E57" s="932">
        <f t="shared" si="7"/>
        <v>44610.806944444441</v>
      </c>
      <c r="F57" s="932">
        <f t="shared" si="8"/>
        <v>44610.859722222223</v>
      </c>
      <c r="G57" s="932">
        <f t="shared" si="9"/>
        <v>44610.368750000001</v>
      </c>
      <c r="H57" s="2">
        <f t="shared" si="12"/>
        <v>97</v>
      </c>
      <c r="I57" s="2">
        <v>40.672319581331173</v>
      </c>
      <c r="J57" s="1317">
        <v>-11.367979957691022</v>
      </c>
      <c r="R57" s="931"/>
      <c r="AP57" s="1855">
        <f t="shared" si="24"/>
        <v>44565</v>
      </c>
      <c r="AQ57" s="925" t="str">
        <f t="shared" si="25"/>
        <v/>
      </c>
      <c r="AR57" s="1856" t="str">
        <f t="shared" si="26"/>
        <v/>
      </c>
      <c r="AT57" s="1856" t="str">
        <f t="shared" si="17"/>
        <v/>
      </c>
      <c r="AU57" s="1856" t="str">
        <f t="shared" si="18"/>
        <v/>
      </c>
      <c r="AV57" s="1856" t="str">
        <f t="shared" si="19"/>
        <v/>
      </c>
      <c r="AW57" s="1856" t="str">
        <f t="shared" si="20"/>
        <v/>
      </c>
      <c r="AX57" s="1856" t="str">
        <f t="shared" si="21"/>
        <v/>
      </c>
      <c r="AY57" s="1856" t="str">
        <f t="shared" si="22"/>
        <v/>
      </c>
      <c r="BB57" s="1873">
        <v>18</v>
      </c>
      <c r="BC57" s="1879" t="s">
        <v>241</v>
      </c>
      <c r="BD57" s="1880">
        <v>0.36805555555555558</v>
      </c>
      <c r="BE57" s="1879" t="s">
        <v>640</v>
      </c>
      <c r="BF57" s="1880">
        <v>0.85902777777777783</v>
      </c>
      <c r="BG57" s="1879" t="s">
        <v>556</v>
      </c>
      <c r="BH57" s="1880">
        <v>9.4444444444444442E-2</v>
      </c>
      <c r="BI57" s="1879" t="s">
        <v>864</v>
      </c>
      <c r="BJ57" s="1881">
        <v>240068</v>
      </c>
      <c r="BK57" s="1882">
        <v>0.97099999999999997</v>
      </c>
      <c r="BL57" s="1619">
        <f t="shared" si="1"/>
        <v>44610</v>
      </c>
      <c r="BM57" s="1856">
        <f t="shared" si="13"/>
        <v>9.4444444444444442E-2</v>
      </c>
      <c r="BN57" s="934">
        <f t="shared" si="10"/>
        <v>60.4</v>
      </c>
    </row>
    <row r="58" spans="1:66" ht="14.5">
      <c r="A58" s="1">
        <f t="shared" si="11"/>
        <v>44611</v>
      </c>
      <c r="B58" s="932">
        <f t="shared" si="4"/>
        <v>44611.272222222222</v>
      </c>
      <c r="C58" s="932">
        <f t="shared" si="5"/>
        <v>44611.311805555553</v>
      </c>
      <c r="D58" s="932">
        <f t="shared" si="6"/>
        <v>44611.768055555556</v>
      </c>
      <c r="E58" s="932">
        <f t="shared" si="7"/>
        <v>44611.807638888888</v>
      </c>
      <c r="F58" s="932">
        <f t="shared" si="8"/>
        <v>44611.904861111114</v>
      </c>
      <c r="G58" s="932">
        <f t="shared" si="9"/>
        <v>44611.386805555558</v>
      </c>
      <c r="H58" s="2">
        <f t="shared" si="12"/>
        <v>93</v>
      </c>
      <c r="I58" s="2">
        <v>41.029759455303441</v>
      </c>
      <c r="J58" s="1317">
        <v>-11.011084902030429</v>
      </c>
      <c r="R58" s="931"/>
      <c r="AP58" s="1855">
        <f t="shared" si="24"/>
        <v>44565</v>
      </c>
      <c r="AQ58" s="925" t="str">
        <f t="shared" si="25"/>
        <v>BMNT</v>
      </c>
      <c r="AR58" s="1856">
        <f t="shared" si="26"/>
        <v>44565.290277777778</v>
      </c>
      <c r="AS58" s="927" t="s">
        <v>814</v>
      </c>
      <c r="AT58" s="1856" t="str">
        <f t="shared" si="17"/>
        <v/>
      </c>
      <c r="AU58" s="1856" t="str">
        <f t="shared" si="18"/>
        <v/>
      </c>
      <c r="AV58" s="1856" t="str">
        <f t="shared" si="19"/>
        <v/>
      </c>
      <c r="AW58" s="1856" t="str">
        <f t="shared" si="20"/>
        <v/>
      </c>
      <c r="AX58" s="1856" t="str">
        <f t="shared" si="21"/>
        <v/>
      </c>
      <c r="AY58" s="1856" t="str">
        <f t="shared" si="22"/>
        <v/>
      </c>
      <c r="BB58" s="1873">
        <v>19</v>
      </c>
      <c r="BC58" s="1879" t="s">
        <v>241</v>
      </c>
      <c r="BD58" s="1880">
        <v>0.38611111111111113</v>
      </c>
      <c r="BE58" s="1879" t="s">
        <v>631</v>
      </c>
      <c r="BF58" s="1880">
        <v>0.90416666666666667</v>
      </c>
      <c r="BG58" s="1879" t="s">
        <v>544</v>
      </c>
      <c r="BH58" s="1880">
        <v>0.12569444444444444</v>
      </c>
      <c r="BI58" s="1879" t="s">
        <v>865</v>
      </c>
      <c r="BJ58" s="1881">
        <v>237967</v>
      </c>
      <c r="BK58" s="1882">
        <v>0.92500000000000004</v>
      </c>
      <c r="BL58" s="1619">
        <f t="shared" si="1"/>
        <v>44611</v>
      </c>
      <c r="BM58" s="1856">
        <f t="shared" si="13"/>
        <v>0.12569444444444444</v>
      </c>
      <c r="BN58" s="934">
        <f t="shared" si="10"/>
        <v>54.4</v>
      </c>
    </row>
    <row r="59" spans="1:66" ht="14.5">
      <c r="A59" s="1">
        <f t="shared" si="11"/>
        <v>44612</v>
      </c>
      <c r="B59" s="932">
        <f t="shared" si="4"/>
        <v>44612.271527777775</v>
      </c>
      <c r="C59" s="932">
        <f t="shared" si="5"/>
        <v>44612.311111111107</v>
      </c>
      <c r="D59" s="932">
        <f t="shared" si="6"/>
        <v>44612.768750000003</v>
      </c>
      <c r="E59" s="932">
        <f t="shared" si="7"/>
        <v>44612.808333333334</v>
      </c>
      <c r="F59" s="932">
        <f t="shared" si="8"/>
        <v>44612.951388888883</v>
      </c>
      <c r="G59" s="932">
        <f t="shared" si="9"/>
        <v>44612.404861111114</v>
      </c>
      <c r="H59" s="2">
        <f t="shared" si="12"/>
        <v>87</v>
      </c>
      <c r="I59" s="2">
        <v>41.390204921761864</v>
      </c>
      <c r="J59" s="1317">
        <v>-10.651328537286055</v>
      </c>
      <c r="R59" s="931"/>
      <c r="AP59" s="1855">
        <f t="shared" si="24"/>
        <v>44565</v>
      </c>
      <c r="AQ59" s="925" t="str">
        <f t="shared" si="25"/>
        <v>SR</v>
      </c>
      <c r="AR59" s="1856">
        <f t="shared" si="26"/>
        <v>44565.333333333336</v>
      </c>
      <c r="AS59" s="927" t="s">
        <v>766</v>
      </c>
      <c r="AT59" s="1856" t="str">
        <f t="shared" si="17"/>
        <v/>
      </c>
      <c r="AU59" s="1856" t="str">
        <f t="shared" si="18"/>
        <v/>
      </c>
      <c r="AV59" s="1856" t="str">
        <f t="shared" si="19"/>
        <v/>
      </c>
      <c r="AW59" s="1856" t="str">
        <f t="shared" si="20"/>
        <v/>
      </c>
      <c r="AX59" s="1856" t="str">
        <f t="shared" si="21"/>
        <v/>
      </c>
      <c r="AY59" s="1856" t="str">
        <f t="shared" si="22"/>
        <v/>
      </c>
      <c r="BB59" s="1873">
        <v>20</v>
      </c>
      <c r="BC59" s="1879" t="s">
        <v>241</v>
      </c>
      <c r="BD59" s="1880">
        <v>0.40416666666666662</v>
      </c>
      <c r="BE59" s="1879" t="s">
        <v>535</v>
      </c>
      <c r="BF59" s="1880">
        <v>0.95000000000000007</v>
      </c>
      <c r="BG59" s="1879" t="s">
        <v>866</v>
      </c>
      <c r="BH59" s="1880">
        <v>0.15763888888888888</v>
      </c>
      <c r="BI59" s="1879" t="s">
        <v>867</v>
      </c>
      <c r="BJ59" s="1881">
        <v>236011</v>
      </c>
      <c r="BK59" s="1882">
        <v>0.85699999999999998</v>
      </c>
      <c r="BL59" s="1619">
        <f t="shared" si="1"/>
        <v>44612</v>
      </c>
      <c r="BM59" s="1856">
        <f t="shared" si="13"/>
        <v>0.15763888888888888</v>
      </c>
      <c r="BN59" s="934">
        <f t="shared" si="10"/>
        <v>48.1</v>
      </c>
    </row>
    <row r="60" spans="1:66" ht="14.5">
      <c r="A60" s="1">
        <f t="shared" si="11"/>
        <v>44613</v>
      </c>
      <c r="B60" s="932">
        <f t="shared" si="4"/>
        <v>44613.270833333336</v>
      </c>
      <c r="C60" s="932">
        <f t="shared" si="5"/>
        <v>44613.310416666667</v>
      </c>
      <c r="D60" s="932">
        <f t="shared" si="6"/>
        <v>44613.769444444442</v>
      </c>
      <c r="E60" s="932">
        <f t="shared" si="7"/>
        <v>44613.809027777774</v>
      </c>
      <c r="F60" s="932">
        <f t="shared" si="8"/>
        <v>44613.998611111114</v>
      </c>
      <c r="G60" s="932">
        <f t="shared" si="9"/>
        <v>44613.424305555556</v>
      </c>
      <c r="H60" s="2">
        <f t="shared" si="12"/>
        <v>79</v>
      </c>
      <c r="I60" s="2">
        <v>41.753537673522281</v>
      </c>
      <c r="J60" s="1317">
        <v>-10.288824897427071</v>
      </c>
      <c r="R60" s="931"/>
      <c r="AP60" s="1855">
        <f t="shared" si="24"/>
        <v>44565</v>
      </c>
      <c r="AQ60" s="925" t="str">
        <f t="shared" si="25"/>
        <v>MR</v>
      </c>
      <c r="AR60" s="1856">
        <f t="shared" si="26"/>
        <v>44565.415972222225</v>
      </c>
      <c r="AS60" s="927" t="s">
        <v>868</v>
      </c>
      <c r="AT60" s="1856" t="str">
        <f t="shared" si="17"/>
        <v/>
      </c>
      <c r="AU60" s="1856" t="str">
        <f t="shared" si="18"/>
        <v/>
      </c>
      <c r="AV60" s="1856" t="str">
        <f t="shared" si="19"/>
        <v/>
      </c>
      <c r="AW60" s="1856" t="str">
        <f t="shared" si="20"/>
        <v/>
      </c>
      <c r="AX60" s="1856" t="str">
        <f t="shared" si="21"/>
        <v/>
      </c>
      <c r="AY60" s="1856" t="str">
        <f t="shared" si="22"/>
        <v/>
      </c>
      <c r="BB60" s="1873">
        <v>21</v>
      </c>
      <c r="BC60" s="1879" t="s">
        <v>241</v>
      </c>
      <c r="BD60" s="1880">
        <v>0.4236111111111111</v>
      </c>
      <c r="BE60" s="1879" t="s">
        <v>869</v>
      </c>
      <c r="BF60" s="1880">
        <v>0.99791666666666667</v>
      </c>
      <c r="BG60" s="1879" t="s">
        <v>759</v>
      </c>
      <c r="BH60" s="1880">
        <v>0.19027777777777777</v>
      </c>
      <c r="BI60" s="1879" t="s">
        <v>870</v>
      </c>
      <c r="BJ60" s="1881">
        <v>234213</v>
      </c>
      <c r="BK60" s="1882">
        <v>0.77</v>
      </c>
      <c r="BL60" s="1619">
        <f t="shared" si="1"/>
        <v>44613</v>
      </c>
      <c r="BM60" s="1856">
        <f t="shared" si="13"/>
        <v>0.19027777777777777</v>
      </c>
      <c r="BN60" s="934">
        <f t="shared" si="10"/>
        <v>42</v>
      </c>
    </row>
    <row r="61" spans="1:66" ht="14.5">
      <c r="A61" s="1">
        <f t="shared" si="11"/>
        <v>44614</v>
      </c>
      <c r="B61" s="932">
        <f t="shared" si="4"/>
        <v>44614.269444444442</v>
      </c>
      <c r="C61" s="932">
        <f t="shared" si="5"/>
        <v>44614.309027777774</v>
      </c>
      <c r="D61" s="932">
        <f t="shared" si="6"/>
        <v>44614.770138888889</v>
      </c>
      <c r="E61" s="932">
        <f t="shared" si="7"/>
        <v>44614.80972222222</v>
      </c>
      <c r="F61" s="932" t="str">
        <f t="shared" si="8"/>
        <v>NONE</v>
      </c>
      <c r="G61" s="932">
        <f t="shared" si="9"/>
        <v>44614.445833333331</v>
      </c>
      <c r="H61" s="2">
        <f t="shared" si="12"/>
        <v>69</v>
      </c>
      <c r="I61" s="2">
        <v>42.119639289910339</v>
      </c>
      <c r="J61" s="1317">
        <v>-9.9236876455830618</v>
      </c>
      <c r="R61" s="931"/>
      <c r="AP61" s="1855">
        <f t="shared" si="24"/>
        <v>44565</v>
      </c>
      <c r="AQ61" s="925" t="str">
        <f t="shared" si="25"/>
        <v>SS</v>
      </c>
      <c r="AR61" s="1856">
        <f t="shared" si="26"/>
        <v>44565.734027777777</v>
      </c>
      <c r="AS61" s="927" t="s">
        <v>871</v>
      </c>
      <c r="AT61" s="1856" t="str">
        <f t="shared" si="17"/>
        <v/>
      </c>
      <c r="AU61" s="1856" t="str">
        <f t="shared" si="18"/>
        <v/>
      </c>
      <c r="AV61" s="1856" t="str">
        <f t="shared" si="19"/>
        <v/>
      </c>
      <c r="AW61" s="1856" t="str">
        <f t="shared" si="20"/>
        <v/>
      </c>
      <c r="AX61" s="1856" t="str">
        <f t="shared" si="21"/>
        <v/>
      </c>
      <c r="AY61" s="1856" t="str">
        <f t="shared" si="22"/>
        <v/>
      </c>
      <c r="BB61" s="1873">
        <v>22</v>
      </c>
      <c r="BC61" s="1879" t="s">
        <v>241</v>
      </c>
      <c r="BD61" s="1880">
        <v>0.44444444444444442</v>
      </c>
      <c r="BE61" s="1879" t="s">
        <v>872</v>
      </c>
      <c r="BF61" s="1880" t="s">
        <v>241</v>
      </c>
      <c r="BG61" s="1880">
        <v>0.22430555555555556</v>
      </c>
      <c r="BH61" s="1880" t="s">
        <v>873</v>
      </c>
      <c r="BI61" s="1881">
        <v>232579</v>
      </c>
      <c r="BJ61" s="1881">
        <v>0.66700000000000004</v>
      </c>
      <c r="BK61" s="1882"/>
      <c r="BL61" s="1619">
        <f t="shared" si="1"/>
        <v>44614</v>
      </c>
      <c r="BM61" s="1856">
        <f t="shared" si="13"/>
        <v>0.22430555555555556</v>
      </c>
      <c r="BN61" s="934">
        <f t="shared" si="10"/>
        <v>36.200000000000003</v>
      </c>
    </row>
    <row r="62" spans="1:66" ht="14.5">
      <c r="A62" s="1">
        <f t="shared" si="11"/>
        <v>44615</v>
      </c>
      <c r="B62" s="932">
        <f t="shared" si="4"/>
        <v>44615.268750000003</v>
      </c>
      <c r="C62" s="932">
        <f t="shared" si="5"/>
        <v>44615.308333333334</v>
      </c>
      <c r="D62" s="932">
        <f t="shared" si="6"/>
        <v>44615.770833333336</v>
      </c>
      <c r="E62" s="932">
        <f t="shared" si="7"/>
        <v>44615.810416666667</v>
      </c>
      <c r="F62" s="932">
        <f t="shared" si="8"/>
        <v>44615.047916666663</v>
      </c>
      <c r="G62" s="932">
        <f t="shared" si="9"/>
        <v>44615.470833333333</v>
      </c>
      <c r="H62" s="2">
        <f t="shared" si="12"/>
        <v>57.999999999999993</v>
      </c>
      <c r="I62" s="2">
        <v>42.488391285330948</v>
      </c>
      <c r="J62" s="1317">
        <v>-9.556030050102942</v>
      </c>
      <c r="R62" s="931"/>
      <c r="AP62" s="1855">
        <f t="shared" si="24"/>
        <v>44565</v>
      </c>
      <c r="AQ62" s="925" t="str">
        <f t="shared" si="25"/>
        <v>EENT</v>
      </c>
      <c r="AR62" s="1856">
        <f t="shared" si="26"/>
        <v>44565.777083333334</v>
      </c>
      <c r="AS62" s="927" t="s">
        <v>874</v>
      </c>
      <c r="AT62" s="1856" t="str">
        <f t="shared" si="17"/>
        <v/>
      </c>
      <c r="AU62" s="1856" t="str">
        <f t="shared" si="18"/>
        <v/>
      </c>
      <c r="AV62" s="1856" t="str">
        <f t="shared" si="19"/>
        <v/>
      </c>
      <c r="AW62" s="1856" t="str">
        <f t="shared" si="20"/>
        <v/>
      </c>
      <c r="AX62" s="1856" t="str">
        <f t="shared" si="21"/>
        <v/>
      </c>
      <c r="AY62" s="1856" t="str">
        <f t="shared" si="22"/>
        <v/>
      </c>
      <c r="BB62" s="1873" t="s">
        <v>875</v>
      </c>
      <c r="BC62" s="1880">
        <v>4.7222222222222221E-2</v>
      </c>
      <c r="BD62" s="1880" t="s">
        <v>876</v>
      </c>
      <c r="BE62" s="1880">
        <v>0.47013888888888888</v>
      </c>
      <c r="BF62" s="1880" t="s">
        <v>587</v>
      </c>
      <c r="BG62" s="1879" t="s">
        <v>241</v>
      </c>
      <c r="BH62" s="1880">
        <v>0.26111111111111113</v>
      </c>
      <c r="BI62" s="1879" t="s">
        <v>877</v>
      </c>
      <c r="BJ62" s="1881">
        <v>231129</v>
      </c>
      <c r="BK62" s="1882">
        <v>0.55400000000000005</v>
      </c>
      <c r="BL62" s="1619">
        <f t="shared" si="1"/>
        <v>44615</v>
      </c>
      <c r="BM62" s="1856">
        <f t="shared" si="13"/>
        <v>0.26111111111111113</v>
      </c>
      <c r="BN62" s="934">
        <f t="shared" si="10"/>
        <v>31.2</v>
      </c>
    </row>
    <row r="63" spans="1:66" ht="14.5">
      <c r="A63" s="1">
        <f t="shared" si="11"/>
        <v>44616</v>
      </c>
      <c r="B63" s="932">
        <f t="shared" si="4"/>
        <v>44616.268055555556</v>
      </c>
      <c r="C63" s="932">
        <f t="shared" si="5"/>
        <v>44616.307638888888</v>
      </c>
      <c r="D63" s="932">
        <f t="shared" si="6"/>
        <v>44616.771527777775</v>
      </c>
      <c r="E63" s="932">
        <f t="shared" si="7"/>
        <v>44616.811111111107</v>
      </c>
      <c r="F63" s="932">
        <f t="shared" si="8"/>
        <v>44616.097916666666</v>
      </c>
      <c r="G63" s="932">
        <f t="shared" si="9"/>
        <v>44616.501388888886</v>
      </c>
      <c r="H63" s="2">
        <f t="shared" si="12"/>
        <v>47</v>
      </c>
      <c r="I63" s="2">
        <v>42.859675156518499</v>
      </c>
      <c r="J63" s="1317">
        <v>-9.1859649631077769</v>
      </c>
      <c r="R63" s="931"/>
      <c r="AP63" s="1855">
        <f t="shared" si="24"/>
        <v>44565</v>
      </c>
      <c r="AQ63" s="925" t="str">
        <f t="shared" si="25"/>
        <v>MS</v>
      </c>
      <c r="AR63" s="1856">
        <f t="shared" si="26"/>
        <v>44565.831249999996</v>
      </c>
      <c r="AS63" s="927" t="s">
        <v>878</v>
      </c>
      <c r="AT63" s="1856" t="str">
        <f t="shared" si="17"/>
        <v/>
      </c>
      <c r="AU63" s="1856" t="str">
        <f t="shared" si="18"/>
        <v/>
      </c>
      <c r="AV63" s="1856" t="str">
        <f t="shared" si="19"/>
        <v/>
      </c>
      <c r="AW63" s="1856" t="str">
        <f t="shared" si="20"/>
        <v/>
      </c>
      <c r="AX63" s="1856" t="str">
        <f t="shared" si="21"/>
        <v/>
      </c>
      <c r="AY63" s="1856" t="str">
        <f t="shared" si="22"/>
        <v/>
      </c>
      <c r="BB63" s="1873">
        <v>24</v>
      </c>
      <c r="BC63" s="1880">
        <v>9.7222222222222224E-2</v>
      </c>
      <c r="BD63" s="1880" t="s">
        <v>879</v>
      </c>
      <c r="BE63" s="1880">
        <v>0.5</v>
      </c>
      <c r="BF63" s="1880" t="s">
        <v>578</v>
      </c>
      <c r="BG63" s="1879" t="s">
        <v>241</v>
      </c>
      <c r="BH63" s="1880">
        <v>0.30069444444444443</v>
      </c>
      <c r="BI63" s="1879" t="s">
        <v>880</v>
      </c>
      <c r="BJ63" s="1881">
        <v>229913</v>
      </c>
      <c r="BK63" s="1882">
        <v>0.436</v>
      </c>
      <c r="BL63" s="1619">
        <f t="shared" si="1"/>
        <v>44616</v>
      </c>
      <c r="BM63" s="1856">
        <f t="shared" si="13"/>
        <v>0.30069444444444443</v>
      </c>
      <c r="BN63" s="934">
        <f t="shared" si="10"/>
        <v>27.4</v>
      </c>
    </row>
    <row r="64" spans="1:66" ht="14.5">
      <c r="A64" s="1">
        <f t="shared" si="11"/>
        <v>44617</v>
      </c>
      <c r="B64" s="932">
        <f t="shared" si="4"/>
        <v>44617.26666666667</v>
      </c>
      <c r="C64" s="932">
        <f t="shared" si="5"/>
        <v>44617.306944444441</v>
      </c>
      <c r="D64" s="932">
        <f t="shared" si="6"/>
        <v>44617.772222222222</v>
      </c>
      <c r="E64" s="932">
        <f t="shared" si="7"/>
        <v>44617.811805555553</v>
      </c>
      <c r="F64" s="932">
        <f t="shared" si="8"/>
        <v>44617.147222222222</v>
      </c>
      <c r="G64" s="932">
        <f t="shared" si="9"/>
        <v>44617.538194444445</v>
      </c>
      <c r="H64" s="2">
        <f t="shared" si="12"/>
        <v>36</v>
      </c>
      <c r="I64" s="2">
        <v>43.233372428438123</v>
      </c>
      <c r="J64" s="1317">
        <v>-8.8136048014404764</v>
      </c>
      <c r="R64" s="931"/>
      <c r="AP64" s="1855">
        <f t="shared" si="24"/>
        <v>44566</v>
      </c>
      <c r="AQ64" s="925" t="str">
        <f t="shared" si="25"/>
        <v/>
      </c>
      <c r="AR64" s="1856" t="str">
        <f t="shared" si="26"/>
        <v/>
      </c>
      <c r="AS64" s="927">
        <v>5</v>
      </c>
      <c r="AT64" s="1856">
        <f t="shared" si="17"/>
        <v>44566.290277777778</v>
      </c>
      <c r="AU64" s="1856">
        <f t="shared" si="18"/>
        <v>44566.333333333336</v>
      </c>
      <c r="AV64" s="1856">
        <f t="shared" si="19"/>
        <v>44566.734722222223</v>
      </c>
      <c r="AW64" s="1856">
        <f t="shared" si="20"/>
        <v>44566.777777777781</v>
      </c>
      <c r="AX64" s="1856">
        <f t="shared" si="21"/>
        <v>44566.443749999999</v>
      </c>
      <c r="AY64" s="1856">
        <f t="shared" si="22"/>
        <v>44566.881944444445</v>
      </c>
      <c r="AZ64" s="1853">
        <v>0.09</v>
      </c>
      <c r="BB64" s="1873">
        <v>25</v>
      </c>
      <c r="BC64" s="1880">
        <v>0.14652777777777778</v>
      </c>
      <c r="BD64" s="1880" t="s">
        <v>571</v>
      </c>
      <c r="BE64" s="1880">
        <v>0.53680555555555554</v>
      </c>
      <c r="BF64" s="1880" t="s">
        <v>563</v>
      </c>
      <c r="BG64" s="1879" t="s">
        <v>241</v>
      </c>
      <c r="BH64" s="1880">
        <v>0.34236111111111112</v>
      </c>
      <c r="BI64" s="1879" t="s">
        <v>881</v>
      </c>
      <c r="BJ64" s="1881">
        <v>229019</v>
      </c>
      <c r="BK64" s="1882">
        <v>0.32100000000000001</v>
      </c>
      <c r="BL64" s="1619">
        <f t="shared" si="1"/>
        <v>44617</v>
      </c>
      <c r="BM64" s="1856">
        <f t="shared" si="13"/>
        <v>0.34236111111111112</v>
      </c>
      <c r="BN64" s="934">
        <f t="shared" si="10"/>
        <v>25.2</v>
      </c>
    </row>
    <row r="65" spans="1:66" ht="14.5">
      <c r="A65" s="1">
        <f t="shared" si="11"/>
        <v>44618</v>
      </c>
      <c r="B65" s="932">
        <f t="shared" si="4"/>
        <v>44618.265972222223</v>
      </c>
      <c r="C65" s="932">
        <f t="shared" si="5"/>
        <v>44618.305555555555</v>
      </c>
      <c r="D65" s="932">
        <f t="shared" si="6"/>
        <v>44618.772916666669</v>
      </c>
      <c r="E65" s="932">
        <f t="shared" si="7"/>
        <v>44618.8125</v>
      </c>
      <c r="F65" s="932">
        <f t="shared" si="8"/>
        <v>44618.193055555552</v>
      </c>
      <c r="G65" s="932">
        <f t="shared" si="9"/>
        <v>44618.581944444442</v>
      </c>
      <c r="H65" s="2">
        <f t="shared" si="12"/>
        <v>25</v>
      </c>
      <c r="I65" s="2">
        <v>43.60936469880032</v>
      </c>
      <c r="J65" s="1317">
        <v>-8.4390615299237908</v>
      </c>
      <c r="R65" s="931"/>
      <c r="AP65" s="1855">
        <f t="shared" si="24"/>
        <v>44566</v>
      </c>
      <c r="AQ65" s="925" t="str">
        <f t="shared" si="25"/>
        <v/>
      </c>
      <c r="AR65" s="1856" t="str">
        <f t="shared" si="26"/>
        <v/>
      </c>
      <c r="AS65" s="927" t="s">
        <v>252</v>
      </c>
      <c r="AT65" s="1856" t="str">
        <f t="shared" si="17"/>
        <v/>
      </c>
      <c r="AU65" s="1856" t="str">
        <f t="shared" si="18"/>
        <v/>
      </c>
      <c r="AV65" s="1856" t="str">
        <f t="shared" si="19"/>
        <v/>
      </c>
      <c r="AW65" s="1856" t="str">
        <f t="shared" si="20"/>
        <v/>
      </c>
      <c r="AX65" s="1856" t="str">
        <f t="shared" si="21"/>
        <v/>
      </c>
      <c r="AY65" s="1856" t="str">
        <f t="shared" si="22"/>
        <v/>
      </c>
      <c r="BB65" s="1873">
        <v>26</v>
      </c>
      <c r="BC65" s="1880">
        <v>0.19236111111111112</v>
      </c>
      <c r="BD65" s="1880" t="s">
        <v>882</v>
      </c>
      <c r="BE65" s="1880">
        <v>0.5805555555555556</v>
      </c>
      <c r="BF65" s="1880" t="s">
        <v>563</v>
      </c>
      <c r="BG65" s="1879" t="s">
        <v>241</v>
      </c>
      <c r="BH65" s="1880">
        <v>0.38611111111111113</v>
      </c>
      <c r="BI65" s="1879" t="s">
        <v>883</v>
      </c>
      <c r="BJ65" s="1881">
        <v>228565</v>
      </c>
      <c r="BK65" s="1882">
        <v>0.214</v>
      </c>
      <c r="BL65" s="1619">
        <f t="shared" si="1"/>
        <v>44618</v>
      </c>
      <c r="BM65" s="1856">
        <f t="shared" si="13"/>
        <v>0.38611111111111113</v>
      </c>
      <c r="BN65" s="934">
        <f t="shared" si="10"/>
        <v>24.8</v>
      </c>
    </row>
    <row r="66" spans="1:66" ht="14.5">
      <c r="A66" s="1">
        <f t="shared" si="11"/>
        <v>44619</v>
      </c>
      <c r="B66" s="932">
        <f t="shared" si="4"/>
        <v>44619.265277777777</v>
      </c>
      <c r="C66" s="932">
        <f t="shared" si="5"/>
        <v>44619.304861111108</v>
      </c>
      <c r="D66" s="932">
        <f t="shared" si="6"/>
        <v>44619.773611111108</v>
      </c>
      <c r="E66" s="932">
        <f t="shared" si="7"/>
        <v>44619.813194444439</v>
      </c>
      <c r="F66" s="932">
        <f t="shared" si="8"/>
        <v>44619.232638888891</v>
      </c>
      <c r="G66" s="932">
        <f t="shared" si="9"/>
        <v>44619.629861111112</v>
      </c>
      <c r="H66" s="2">
        <f t="shared" si="12"/>
        <v>16</v>
      </c>
      <c r="I66" s="2">
        <v>43.987533681169225</v>
      </c>
      <c r="J66" s="1317">
        <v>-8.0624466468232558</v>
      </c>
      <c r="R66" s="931"/>
      <c r="AP66" s="1855">
        <f t="shared" si="24"/>
        <v>44566</v>
      </c>
      <c r="AQ66" s="925" t="str">
        <f t="shared" si="25"/>
        <v/>
      </c>
      <c r="AR66" s="1856" t="str">
        <f t="shared" si="26"/>
        <v/>
      </c>
      <c r="AT66" s="1856" t="str">
        <f t="shared" si="17"/>
        <v/>
      </c>
      <c r="AU66" s="1856" t="str">
        <f t="shared" si="18"/>
        <v/>
      </c>
      <c r="AV66" s="1856" t="str">
        <f t="shared" si="19"/>
        <v/>
      </c>
      <c r="AW66" s="1856" t="str">
        <f t="shared" si="20"/>
        <v/>
      </c>
      <c r="AX66" s="1856" t="str">
        <f t="shared" si="21"/>
        <v/>
      </c>
      <c r="AY66" s="1856" t="str">
        <f t="shared" si="22"/>
        <v/>
      </c>
      <c r="BB66" s="1873">
        <v>27</v>
      </c>
      <c r="BC66" s="1880">
        <v>0.23194444444444443</v>
      </c>
      <c r="BD66" s="1880" t="s">
        <v>562</v>
      </c>
      <c r="BE66" s="1880">
        <v>0.62916666666666665</v>
      </c>
      <c r="BF66" s="1880" t="s">
        <v>578</v>
      </c>
      <c r="BG66" s="1879" t="s">
        <v>241</v>
      </c>
      <c r="BH66" s="1880">
        <v>0.4291666666666667</v>
      </c>
      <c r="BI66" s="1879" t="s">
        <v>884</v>
      </c>
      <c r="BJ66" s="1881">
        <v>228677</v>
      </c>
      <c r="BK66" s="1882">
        <v>0.124</v>
      </c>
      <c r="BL66" s="1619">
        <f t="shared" si="1"/>
        <v>44619</v>
      </c>
      <c r="BM66" s="1856">
        <f t="shared" si="13"/>
        <v>0.4291666666666667</v>
      </c>
      <c r="BN66" s="934">
        <f t="shared" si="10"/>
        <v>26.3</v>
      </c>
    </row>
    <row r="67" spans="1:66" ht="14.5">
      <c r="A67" s="1">
        <f t="shared" si="11"/>
        <v>44620</v>
      </c>
      <c r="B67" s="932">
        <f t="shared" si="4"/>
        <v>44620.26458333333</v>
      </c>
      <c r="C67" s="932">
        <f t="shared" si="5"/>
        <v>44620.303472222222</v>
      </c>
      <c r="D67" s="932">
        <f t="shared" si="6"/>
        <v>44620.774305555555</v>
      </c>
      <c r="E67" s="932">
        <f t="shared" si="7"/>
        <v>44620.813888888886</v>
      </c>
      <c r="F67" s="932">
        <f t="shared" si="8"/>
        <v>44620.265277777777</v>
      </c>
      <c r="G67" s="932">
        <f t="shared" si="9"/>
        <v>44620.681249999994</v>
      </c>
      <c r="H67" s="2">
        <f t="shared" si="12"/>
        <v>8</v>
      </c>
      <c r="I67" s="2">
        <v>44.367761246623559</v>
      </c>
      <c r="J67" s="1317">
        <v>-7.6838711714351042</v>
      </c>
      <c r="R67" s="931"/>
      <c r="AP67" s="1855">
        <f t="shared" si="24"/>
        <v>44566</v>
      </c>
      <c r="AQ67" s="925" t="str">
        <f t="shared" si="25"/>
        <v>BMNT</v>
      </c>
      <c r="AR67" s="1856">
        <f t="shared" si="26"/>
        <v>44566.290277777778</v>
      </c>
      <c r="AS67" s="927" t="s">
        <v>814</v>
      </c>
      <c r="AT67" s="1856" t="str">
        <f t="shared" si="17"/>
        <v/>
      </c>
      <c r="AU67" s="1856" t="str">
        <f t="shared" si="18"/>
        <v/>
      </c>
      <c r="AV67" s="1856" t="str">
        <f t="shared" si="19"/>
        <v/>
      </c>
      <c r="AW67" s="1856" t="str">
        <f t="shared" si="20"/>
        <v/>
      </c>
      <c r="AX67" s="1856" t="str">
        <f t="shared" si="21"/>
        <v/>
      </c>
      <c r="AY67" s="1856" t="str">
        <f t="shared" si="22"/>
        <v/>
      </c>
      <c r="BB67" s="1873">
        <v>28</v>
      </c>
      <c r="BC67" s="1880">
        <v>0.26527777777777778</v>
      </c>
      <c r="BD67" s="1880" t="s">
        <v>552</v>
      </c>
      <c r="BE67" s="1880">
        <v>0.67986111111111114</v>
      </c>
      <c r="BF67" s="1880" t="s">
        <v>587</v>
      </c>
      <c r="BG67" s="1879" t="s">
        <v>241</v>
      </c>
      <c r="BH67" s="1880">
        <v>0.47013888888888888</v>
      </c>
      <c r="BI67" s="1879" t="s">
        <v>588</v>
      </c>
      <c r="BJ67" s="1881">
        <v>229453</v>
      </c>
      <c r="BK67" s="1882">
        <v>5.7000000000000002E-2</v>
      </c>
      <c r="BL67" s="1619">
        <f t="shared" ref="BL67:BL130" si="27">A67</f>
        <v>44620</v>
      </c>
      <c r="BM67" s="1856">
        <f t="shared" si="13"/>
        <v>0.47013888888888888</v>
      </c>
      <c r="BN67" s="934">
        <f t="shared" si="10"/>
        <v>29.7</v>
      </c>
    </row>
    <row r="68" spans="1:66" ht="14.5">
      <c r="A68" s="1">
        <f t="shared" si="11"/>
        <v>44621</v>
      </c>
      <c r="B68" s="932">
        <f t="shared" si="4"/>
        <v>44621.263194444444</v>
      </c>
      <c r="C68" s="932">
        <f t="shared" si="5"/>
        <v>44621.302777777775</v>
      </c>
      <c r="D68" s="932">
        <f t="shared" si="6"/>
        <v>44621.775000000001</v>
      </c>
      <c r="E68" s="932">
        <f t="shared" si="7"/>
        <v>44621.814583333333</v>
      </c>
      <c r="F68" s="932">
        <f t="shared" si="8"/>
        <v>44621.29305555555</v>
      </c>
      <c r="G68" s="932">
        <f t="shared" si="9"/>
        <v>44621.731944444444</v>
      </c>
      <c r="H68" s="2">
        <f t="shared" si="12"/>
        <v>3</v>
      </c>
      <c r="I68" s="2">
        <v>44.749929463967995</v>
      </c>
      <c r="J68" s="1317">
        <v>-7.3034456336847757</v>
      </c>
      <c r="R68" s="931"/>
      <c r="AP68" s="1855">
        <f t="shared" si="24"/>
        <v>44566</v>
      </c>
      <c r="AQ68" s="925" t="str">
        <f t="shared" si="25"/>
        <v>SR</v>
      </c>
      <c r="AR68" s="1856">
        <f t="shared" si="26"/>
        <v>44566.333333333336</v>
      </c>
      <c r="AS68" s="927" t="s">
        <v>766</v>
      </c>
      <c r="AT68" s="1856" t="str">
        <f t="shared" si="17"/>
        <v/>
      </c>
      <c r="AU68" s="1856" t="str">
        <f t="shared" si="18"/>
        <v/>
      </c>
      <c r="AV68" s="1856" t="str">
        <f t="shared" si="19"/>
        <v/>
      </c>
      <c r="AW68" s="1856" t="str">
        <f t="shared" si="20"/>
        <v/>
      </c>
      <c r="AX68" s="1856" t="str">
        <f t="shared" si="21"/>
        <v/>
      </c>
      <c r="AY68" s="1856" t="str">
        <f t="shared" si="22"/>
        <v/>
      </c>
      <c r="BB68" s="1873">
        <v>1</v>
      </c>
      <c r="BC68" s="1880">
        <v>0.29236111111111113</v>
      </c>
      <c r="BD68" s="1880" t="s">
        <v>594</v>
      </c>
      <c r="BE68" s="1880">
        <v>0.73055555555555562</v>
      </c>
      <c r="BF68" s="1880" t="s">
        <v>595</v>
      </c>
      <c r="BG68" s="1879" t="s">
        <v>241</v>
      </c>
      <c r="BH68" s="1880">
        <v>0.50902777777777775</v>
      </c>
      <c r="BI68" s="1879" t="s">
        <v>885</v>
      </c>
      <c r="BJ68" s="1881">
        <v>230935</v>
      </c>
      <c r="BK68" s="1882">
        <v>1.4999999999999999E-2</v>
      </c>
      <c r="BL68" s="1619">
        <f t="shared" si="27"/>
        <v>44621</v>
      </c>
      <c r="BM68" s="1856">
        <f t="shared" si="13"/>
        <v>0.50902777777777775</v>
      </c>
      <c r="BN68" s="934">
        <f t="shared" si="10"/>
        <v>34.4</v>
      </c>
    </row>
    <row r="69" spans="1:66" ht="14.5">
      <c r="A69" s="1">
        <f t="shared" si="11"/>
        <v>44622</v>
      </c>
      <c r="B69" s="932">
        <f t="shared" si="4"/>
        <v>44622.262499999997</v>
      </c>
      <c r="C69" s="932">
        <f t="shared" si="5"/>
        <v>44622.302083333328</v>
      </c>
      <c r="D69" s="932">
        <f t="shared" si="6"/>
        <v>44622.775694444441</v>
      </c>
      <c r="E69" s="932">
        <f t="shared" si="7"/>
        <v>44622.815277777772</v>
      </c>
      <c r="F69" s="932">
        <f t="shared" si="8"/>
        <v>44622.315972222219</v>
      </c>
      <c r="G69" s="932">
        <f t="shared" si="9"/>
        <v>44622.780555555553</v>
      </c>
      <c r="H69" s="2">
        <f t="shared" si="12"/>
        <v>1</v>
      </c>
      <c r="I69" s="2">
        <v>45.133920638462037</v>
      </c>
      <c r="J69" s="1317">
        <v>-6.9212800656557141</v>
      </c>
      <c r="R69" s="931"/>
      <c r="AP69" s="1855">
        <f t="shared" si="24"/>
        <v>44566</v>
      </c>
      <c r="AQ69" s="925" t="str">
        <f t="shared" si="25"/>
        <v>MR</v>
      </c>
      <c r="AR69" s="1856">
        <f t="shared" si="26"/>
        <v>44566.443749999999</v>
      </c>
      <c r="AS69" s="927" t="s">
        <v>886</v>
      </c>
      <c r="AT69" s="1856" t="str">
        <f t="shared" si="17"/>
        <v/>
      </c>
      <c r="AU69" s="1856" t="str">
        <f t="shared" si="18"/>
        <v/>
      </c>
      <c r="AV69" s="1856" t="str">
        <f t="shared" si="19"/>
        <v/>
      </c>
      <c r="AW69" s="1856" t="str">
        <f t="shared" si="20"/>
        <v/>
      </c>
      <c r="AX69" s="1856" t="str">
        <f t="shared" si="21"/>
        <v/>
      </c>
      <c r="AY69" s="1856" t="str">
        <f t="shared" si="22"/>
        <v/>
      </c>
      <c r="BB69" s="1873" t="s">
        <v>887</v>
      </c>
      <c r="BC69" s="1880">
        <v>0.31527777777777777</v>
      </c>
      <c r="BD69" s="1880" t="s">
        <v>524</v>
      </c>
      <c r="BE69" s="1880">
        <v>0.77986111111111101</v>
      </c>
      <c r="BF69" s="1880" t="s">
        <v>525</v>
      </c>
      <c r="BG69" s="1879" t="s">
        <v>241</v>
      </c>
      <c r="BH69" s="1880">
        <v>0.5444444444444444</v>
      </c>
      <c r="BI69" s="1879" t="s">
        <v>888</v>
      </c>
      <c r="BJ69" s="1881">
        <v>233082</v>
      </c>
      <c r="BK69" s="1882">
        <v>2E-3</v>
      </c>
      <c r="BL69" s="1619">
        <f t="shared" si="27"/>
        <v>44622</v>
      </c>
      <c r="BM69" s="1856">
        <f t="shared" si="13"/>
        <v>0.5444444444444444</v>
      </c>
      <c r="BN69" s="934">
        <f t="shared" ref="BN69:BN132" si="28">IF(ISNUMBER(FIND("(",BI69)),MID(BI69,2,4)*1,IF(BM69="NA","NA",MID(BH69,2,4)*1))</f>
        <v>40</v>
      </c>
    </row>
    <row r="70" spans="1:66" ht="14.5">
      <c r="A70" s="1">
        <f t="shared" si="11"/>
        <v>44623</v>
      </c>
      <c r="B70" s="932">
        <f t="shared" si="4"/>
        <v>44623.261111111111</v>
      </c>
      <c r="C70" s="932">
        <f t="shared" si="5"/>
        <v>44623.300694444442</v>
      </c>
      <c r="D70" s="932">
        <f t="shared" si="6"/>
        <v>44623.776388888888</v>
      </c>
      <c r="E70" s="932">
        <f t="shared" si="7"/>
        <v>44623.815972222219</v>
      </c>
      <c r="F70" s="932">
        <f t="shared" si="8"/>
        <v>44623.335416666669</v>
      </c>
      <c r="G70" s="932">
        <f t="shared" si="9"/>
        <v>44623.827777777777</v>
      </c>
      <c r="H70" s="2">
        <f t="shared" si="12"/>
        <v>0</v>
      </c>
      <c r="I70" s="2">
        <v>45.519617349061818</v>
      </c>
      <c r="J70" s="1317">
        <v>-6.5374839949447816</v>
      </c>
      <c r="R70" s="931"/>
      <c r="AP70" s="1855">
        <f t="shared" si="24"/>
        <v>44566</v>
      </c>
      <c r="AQ70" s="925" t="str">
        <f t="shared" si="25"/>
        <v>SS</v>
      </c>
      <c r="AR70" s="1856">
        <f t="shared" si="26"/>
        <v>44566.734722222223</v>
      </c>
      <c r="AS70" s="927" t="s">
        <v>889</v>
      </c>
      <c r="AT70" s="1856" t="str">
        <f t="shared" si="17"/>
        <v/>
      </c>
      <c r="AU70" s="1856" t="str">
        <f t="shared" si="18"/>
        <v/>
      </c>
      <c r="AV70" s="1856" t="str">
        <f t="shared" si="19"/>
        <v/>
      </c>
      <c r="AW70" s="1856" t="str">
        <f t="shared" si="20"/>
        <v/>
      </c>
      <c r="AX70" s="1856" t="str">
        <f t="shared" si="21"/>
        <v/>
      </c>
      <c r="AY70" s="1856" t="str">
        <f t="shared" si="22"/>
        <v/>
      </c>
      <c r="BB70" s="1873">
        <v>3</v>
      </c>
      <c r="BC70" s="1880">
        <v>0.3347222222222222</v>
      </c>
      <c r="BD70" s="1880" t="s">
        <v>534</v>
      </c>
      <c r="BE70" s="1880">
        <v>0.82638888888888884</v>
      </c>
      <c r="BF70" s="1880" t="s">
        <v>890</v>
      </c>
      <c r="BG70" s="1879" t="s">
        <v>241</v>
      </c>
      <c r="BH70" s="1880">
        <v>0.57777777777777783</v>
      </c>
      <c r="BI70" s="1879" t="s">
        <v>891</v>
      </c>
      <c r="BJ70" s="1881">
        <v>235773</v>
      </c>
      <c r="BK70" s="1882">
        <v>1.4999999999999999E-2</v>
      </c>
      <c r="BL70" s="1619">
        <f t="shared" si="27"/>
        <v>44623</v>
      </c>
      <c r="BM70" s="1856">
        <f t="shared" si="13"/>
        <v>0.57777777777777783</v>
      </c>
      <c r="BN70" s="934">
        <f t="shared" si="28"/>
        <v>46.2</v>
      </c>
    </row>
    <row r="71" spans="1:66" ht="14.5">
      <c r="A71" s="1">
        <f t="shared" si="11"/>
        <v>44624</v>
      </c>
      <c r="B71" s="932">
        <f t="shared" si="4"/>
        <v>44624.260416666664</v>
      </c>
      <c r="C71" s="932">
        <f t="shared" si="5"/>
        <v>44624.299999999996</v>
      </c>
      <c r="D71" s="932">
        <f t="shared" si="6"/>
        <v>44624.777083333334</v>
      </c>
      <c r="E71" s="932">
        <f t="shared" si="7"/>
        <v>44624.816666666666</v>
      </c>
      <c r="F71" s="932">
        <f t="shared" si="8"/>
        <v>44624.353472222225</v>
      </c>
      <c r="G71" s="932">
        <f t="shared" si="9"/>
        <v>44624.872916666667</v>
      </c>
      <c r="H71" s="2">
        <f t="shared" si="12"/>
        <v>3</v>
      </c>
      <c r="I71" s="2">
        <v>45.906902484160788</v>
      </c>
      <c r="J71" s="1317">
        <v>-6.1521664397546347</v>
      </c>
      <c r="R71" s="931"/>
      <c r="AP71" s="1855">
        <f t="shared" si="24"/>
        <v>44566</v>
      </c>
      <c r="AQ71" s="925" t="str">
        <f t="shared" si="25"/>
        <v>EENT</v>
      </c>
      <c r="AR71" s="1856">
        <f t="shared" si="26"/>
        <v>44566.777777777781</v>
      </c>
      <c r="AS71" s="927" t="s">
        <v>892</v>
      </c>
      <c r="AT71" s="1856" t="str">
        <f t="shared" si="17"/>
        <v/>
      </c>
      <c r="AU71" s="1856" t="str">
        <f t="shared" si="18"/>
        <v/>
      </c>
      <c r="AV71" s="1856" t="str">
        <f t="shared" si="19"/>
        <v/>
      </c>
      <c r="AW71" s="1856" t="str">
        <f t="shared" si="20"/>
        <v/>
      </c>
      <c r="AX71" s="1856" t="str">
        <f t="shared" si="21"/>
        <v/>
      </c>
      <c r="AY71" s="1856" t="str">
        <f t="shared" si="22"/>
        <v/>
      </c>
      <c r="BB71" s="1873">
        <v>4</v>
      </c>
      <c r="BC71" s="1880">
        <v>0.35347222222222219</v>
      </c>
      <c r="BD71" s="1880" t="s">
        <v>893</v>
      </c>
      <c r="BE71" s="1880">
        <v>0.87152777777777779</v>
      </c>
      <c r="BF71" s="1879" t="s">
        <v>894</v>
      </c>
      <c r="BG71" s="1880" t="s">
        <v>241</v>
      </c>
      <c r="BH71" s="1880">
        <v>0.60902777777777783</v>
      </c>
      <c r="BI71" s="1881" t="s">
        <v>895</v>
      </c>
      <c r="BJ71" s="1882">
        <v>238812</v>
      </c>
      <c r="BK71" s="1882">
        <v>5.2999999999999999E-2</v>
      </c>
      <c r="BL71" s="1619">
        <f t="shared" si="27"/>
        <v>44624</v>
      </c>
      <c r="BM71" s="1856">
        <f t="shared" si="13"/>
        <v>0.60902777777777783</v>
      </c>
      <c r="BN71" s="934">
        <f t="shared" si="28"/>
        <v>52.4</v>
      </c>
    </row>
    <row r="72" spans="1:66" ht="14.5">
      <c r="A72" s="1">
        <f t="shared" si="11"/>
        <v>44625</v>
      </c>
      <c r="B72" s="932">
        <f t="shared" si="4"/>
        <v>44625.259722222225</v>
      </c>
      <c r="C72" s="932">
        <f t="shared" si="5"/>
        <v>44625.298611111109</v>
      </c>
      <c r="D72" s="932">
        <f t="shared" si="6"/>
        <v>44625.777777777781</v>
      </c>
      <c r="E72" s="932">
        <f t="shared" si="7"/>
        <v>44625.817361111105</v>
      </c>
      <c r="F72" s="932">
        <f t="shared" si="8"/>
        <v>44625.371527777781</v>
      </c>
      <c r="G72" s="932">
        <f t="shared" si="9"/>
        <v>44625.916666666664</v>
      </c>
      <c r="H72" s="2">
        <f t="shared" si="12"/>
        <v>7.0000000000000009</v>
      </c>
      <c r="I72" s="2">
        <v>46.295659275829699</v>
      </c>
      <c r="J72" s="1317">
        <v>-5.7654359056245319</v>
      </c>
      <c r="R72" s="931"/>
      <c r="AP72" s="1855">
        <f t="shared" si="24"/>
        <v>44566</v>
      </c>
      <c r="AQ72" s="925" t="str">
        <f t="shared" si="25"/>
        <v>MS</v>
      </c>
      <c r="AR72" s="1856">
        <f t="shared" si="26"/>
        <v>44566.881944444445</v>
      </c>
      <c r="AS72" s="927" t="s">
        <v>896</v>
      </c>
      <c r="AT72" s="1856" t="str">
        <f t="shared" si="17"/>
        <v/>
      </c>
      <c r="AU72" s="1856" t="str">
        <f t="shared" si="18"/>
        <v/>
      </c>
      <c r="AV72" s="1856" t="str">
        <f t="shared" si="19"/>
        <v/>
      </c>
      <c r="AW72" s="1856" t="str">
        <f t="shared" si="20"/>
        <v/>
      </c>
      <c r="AX72" s="1856" t="str">
        <f t="shared" si="21"/>
        <v/>
      </c>
      <c r="AY72" s="1856" t="str">
        <f t="shared" si="22"/>
        <v/>
      </c>
      <c r="BB72" s="1873">
        <v>5</v>
      </c>
      <c r="BC72" s="1880">
        <v>0.37083333333333335</v>
      </c>
      <c r="BD72" s="1879" t="s">
        <v>897</v>
      </c>
      <c r="BE72" s="1880">
        <v>0.9159722222222223</v>
      </c>
      <c r="BF72" s="1879" t="s">
        <v>898</v>
      </c>
      <c r="BG72" s="1879" t="s">
        <v>241</v>
      </c>
      <c r="BH72" s="1880">
        <v>0.63958333333333328</v>
      </c>
      <c r="BI72" s="1879" t="s">
        <v>662</v>
      </c>
      <c r="BJ72" s="1881">
        <v>241960</v>
      </c>
      <c r="BK72" s="1882">
        <v>0.11</v>
      </c>
      <c r="BL72" s="1619">
        <f t="shared" si="27"/>
        <v>44625</v>
      </c>
      <c r="BM72" s="1856">
        <f t="shared" si="13"/>
        <v>0.63958333333333328</v>
      </c>
      <c r="BN72" s="934">
        <f t="shared" si="28"/>
        <v>58.4</v>
      </c>
    </row>
    <row r="73" spans="1:66" ht="14.5">
      <c r="A73" s="1">
        <f t="shared" si="11"/>
        <v>44626</v>
      </c>
      <c r="B73" s="932">
        <f t="shared" ref="B73:B136" si="29">INDEX(AT$28:AT$4574,MATCH($A73,$AP$28:$AP$4574,0))</f>
        <v>44626.258333333331</v>
      </c>
      <c r="C73" s="932">
        <f t="shared" ref="C73:C136" si="30">INDEX(AU$28:AU$4574,MATCH($A73,$AP$28:$AP$4574,0))</f>
        <v>44626.297916666663</v>
      </c>
      <c r="D73" s="932">
        <f t="shared" ref="D73:D136" si="31">INDEX(AV$28:AV$4574,MATCH($A73,$AP$28:$AP$4574,0))</f>
        <v>44626.77847222222</v>
      </c>
      <c r="E73" s="932">
        <f t="shared" ref="E73:E136" si="32">INDEX(AW$28:AW$4574,MATCH($A73,$AP$28:$AP$4574,0))</f>
        <v>44626.818055555552</v>
      </c>
      <c r="F73" s="932">
        <f t="shared" ref="F73:F136" si="33">INDEX(AX$28:AX$4574,MATCH($A73,$AP$28:$AP$4574,0))</f>
        <v>44626.388888888891</v>
      </c>
      <c r="G73" s="932">
        <f t="shared" ref="G73:G136" si="34">INDEX(AY$28:AY$4574,MATCH($A73,$AP$28:$AP$4574,0))</f>
        <v>44626.959722222222</v>
      </c>
      <c r="H73" s="2">
        <f t="shared" si="12"/>
        <v>13</v>
      </c>
      <c r="I73" s="2">
        <v>46.685771332550296</v>
      </c>
      <c r="J73" s="1317">
        <v>-5.3774003837118585</v>
      </c>
      <c r="R73" s="931"/>
      <c r="AP73" s="1855">
        <f t="shared" si="24"/>
        <v>44567</v>
      </c>
      <c r="AQ73" s="925" t="str">
        <f t="shared" si="25"/>
        <v/>
      </c>
      <c r="AR73" s="1856" t="str">
        <f t="shared" si="26"/>
        <v/>
      </c>
      <c r="AS73" s="927">
        <v>6</v>
      </c>
      <c r="AT73" s="1856">
        <f t="shared" si="17"/>
        <v>44567.290277777778</v>
      </c>
      <c r="AU73" s="1856">
        <f t="shared" si="18"/>
        <v>44567.333333333336</v>
      </c>
      <c r="AV73" s="1856">
        <f t="shared" si="19"/>
        <v>44567.73541666667</v>
      </c>
      <c r="AW73" s="1856">
        <f t="shared" si="20"/>
        <v>44567.77847222222</v>
      </c>
      <c r="AX73" s="1856">
        <f t="shared" si="21"/>
        <v>44567.466666666667</v>
      </c>
      <c r="AY73" s="1856">
        <f t="shared" si="22"/>
        <v>44567.929861111108</v>
      </c>
      <c r="AZ73" s="1853">
        <v>0.16</v>
      </c>
      <c r="BB73" s="1873">
        <v>6</v>
      </c>
      <c r="BC73" s="1880">
        <v>0.38819444444444445</v>
      </c>
      <c r="BD73" s="1879" t="s">
        <v>899</v>
      </c>
      <c r="BE73" s="1880">
        <v>0.9590277777777777</v>
      </c>
      <c r="BF73" s="1879" t="s">
        <v>900</v>
      </c>
      <c r="BG73" s="1879" t="s">
        <v>241</v>
      </c>
      <c r="BH73" s="1880">
        <v>0.67013888888888884</v>
      </c>
      <c r="BI73" s="1879" t="s">
        <v>653</v>
      </c>
      <c r="BJ73" s="1881">
        <v>244959</v>
      </c>
      <c r="BK73" s="1882">
        <v>0.183</v>
      </c>
      <c r="BL73" s="1619">
        <f t="shared" si="27"/>
        <v>44626</v>
      </c>
      <c r="BM73" s="1856">
        <f t="shared" si="13"/>
        <v>0.67013888888888884</v>
      </c>
      <c r="BN73" s="934">
        <f t="shared" si="28"/>
        <v>64</v>
      </c>
    </row>
    <row r="74" spans="1:66" ht="14.5">
      <c r="A74" s="1">
        <f t="shared" ref="A74:A137" si="35">A73+1</f>
        <v>44627</v>
      </c>
      <c r="B74" s="932">
        <f t="shared" si="29"/>
        <v>44627.257638888892</v>
      </c>
      <c r="C74" s="932">
        <f t="shared" si="30"/>
        <v>44627.296527777777</v>
      </c>
      <c r="D74" s="932">
        <f t="shared" si="31"/>
        <v>44627.779166666667</v>
      </c>
      <c r="E74" s="932">
        <f t="shared" si="32"/>
        <v>44627.818749999999</v>
      </c>
      <c r="F74" s="932">
        <f t="shared" si="33"/>
        <v>44627.407638888886</v>
      </c>
      <c r="G74" s="932" t="str">
        <f t="shared" si="34"/>
        <v>NONE</v>
      </c>
      <c r="H74" s="2">
        <f t="shared" ref="H74:H137" si="36">INDEX(AZ$28:AZ$4574,MATCH($A74,$AP$28:$AP$4574,0))*100</f>
        <v>21</v>
      </c>
      <c r="I74" s="2">
        <v>47.077122670455189</v>
      </c>
      <c r="J74" s="1317">
        <v>-4.9881673505249671</v>
      </c>
      <c r="R74" s="931"/>
      <c r="AP74" s="1855">
        <f t="shared" si="24"/>
        <v>44567</v>
      </c>
      <c r="AQ74" s="925" t="str">
        <f t="shared" si="25"/>
        <v/>
      </c>
      <c r="AR74" s="1856" t="str">
        <f t="shared" si="26"/>
        <v/>
      </c>
      <c r="AS74" s="927" t="s">
        <v>252</v>
      </c>
      <c r="AT74" s="1856" t="str">
        <f t="shared" si="17"/>
        <v/>
      </c>
      <c r="AU74" s="1856" t="str">
        <f t="shared" si="18"/>
        <v/>
      </c>
      <c r="AV74" s="1856" t="str">
        <f t="shared" si="19"/>
        <v/>
      </c>
      <c r="AW74" s="1856" t="str">
        <f t="shared" si="20"/>
        <v/>
      </c>
      <c r="AX74" s="1856" t="str">
        <f t="shared" si="21"/>
        <v/>
      </c>
      <c r="AY74" s="1856" t="str">
        <f t="shared" si="22"/>
        <v/>
      </c>
      <c r="BB74" s="1873">
        <v>7</v>
      </c>
      <c r="BC74" s="1880">
        <v>0.4069444444444445</v>
      </c>
      <c r="BD74" s="1879" t="s">
        <v>860</v>
      </c>
      <c r="BE74" s="1880" t="s">
        <v>241</v>
      </c>
      <c r="BF74" s="1879" t="s">
        <v>241</v>
      </c>
      <c r="BG74" s="1880">
        <v>0.70138888888888884</v>
      </c>
      <c r="BH74" s="1880" t="s">
        <v>901</v>
      </c>
      <c r="BI74" s="1881">
        <v>247563</v>
      </c>
      <c r="BJ74" s="1881">
        <v>0.26800000000000002</v>
      </c>
      <c r="BK74" s="1882"/>
      <c r="BL74" s="1619">
        <f t="shared" si="27"/>
        <v>44627</v>
      </c>
      <c r="BM74" s="1856">
        <f t="shared" ref="BM74:BM137" si="37">IF(ISNUMBER(FIND("(",BH74)),BG74,IF(ISNUMBER(FIND("Moon",BH74)),"NA",BH74))</f>
        <v>0.70138888888888884</v>
      </c>
      <c r="BN74" s="934">
        <f t="shared" si="28"/>
        <v>68.900000000000006</v>
      </c>
    </row>
    <row r="75" spans="1:66" ht="14.5">
      <c r="A75" s="1">
        <f t="shared" si="35"/>
        <v>44628</v>
      </c>
      <c r="B75" s="932">
        <f t="shared" si="29"/>
        <v>44628.256249999999</v>
      </c>
      <c r="C75" s="932">
        <f t="shared" si="30"/>
        <v>44628.29583333333</v>
      </c>
      <c r="D75" s="932">
        <f t="shared" si="31"/>
        <v>44628.779861111114</v>
      </c>
      <c r="E75" s="932">
        <f t="shared" si="32"/>
        <v>44628.819444444445</v>
      </c>
      <c r="F75" s="932">
        <f t="shared" si="33"/>
        <v>44628.428472222222</v>
      </c>
      <c r="G75" s="932">
        <f t="shared" si="34"/>
        <v>44628.00277777778</v>
      </c>
      <c r="H75" s="2">
        <f t="shared" si="36"/>
        <v>28.999999999999996</v>
      </c>
      <c r="I75" s="2">
        <v>47.469597743071503</v>
      </c>
      <c r="J75" s="1317">
        <v>-4.5978437690274845</v>
      </c>
      <c r="R75" s="931"/>
      <c r="AP75" s="1855">
        <f t="shared" si="24"/>
        <v>44567</v>
      </c>
      <c r="AQ75" s="925" t="str">
        <f t="shared" si="25"/>
        <v/>
      </c>
      <c r="AR75" s="1856" t="str">
        <f t="shared" si="26"/>
        <v/>
      </c>
      <c r="AT75" s="1856" t="str">
        <f t="shared" si="17"/>
        <v/>
      </c>
      <c r="AU75" s="1856" t="str">
        <f t="shared" si="18"/>
        <v/>
      </c>
      <c r="AV75" s="1856" t="str">
        <f t="shared" si="19"/>
        <v/>
      </c>
      <c r="AW75" s="1856" t="str">
        <f t="shared" si="20"/>
        <v/>
      </c>
      <c r="AX75" s="1856" t="str">
        <f t="shared" si="21"/>
        <v/>
      </c>
      <c r="AY75" s="1856" t="str">
        <f t="shared" si="22"/>
        <v/>
      </c>
      <c r="BB75" s="1873">
        <v>8</v>
      </c>
      <c r="BC75" s="1880" t="s">
        <v>241</v>
      </c>
      <c r="BD75" s="1880">
        <v>2.0833333333333333E-3</v>
      </c>
      <c r="BE75" s="1880" t="s">
        <v>902</v>
      </c>
      <c r="BF75" s="1880">
        <v>0.4284722222222222</v>
      </c>
      <c r="BG75" s="1879" t="s">
        <v>858</v>
      </c>
      <c r="BH75" s="1880">
        <v>0.73333333333333339</v>
      </c>
      <c r="BI75" s="1879" t="s">
        <v>903</v>
      </c>
      <c r="BJ75" s="1881">
        <v>249563</v>
      </c>
      <c r="BK75" s="1882">
        <v>0.36</v>
      </c>
      <c r="BL75" s="1619">
        <f t="shared" si="27"/>
        <v>44628</v>
      </c>
      <c r="BM75" s="1856">
        <f t="shared" si="37"/>
        <v>0.73333333333333339</v>
      </c>
      <c r="BN75" s="934">
        <f t="shared" si="28"/>
        <v>73</v>
      </c>
    </row>
    <row r="76" spans="1:66" ht="14.5">
      <c r="A76" s="1">
        <f t="shared" si="35"/>
        <v>44629</v>
      </c>
      <c r="B76" s="932">
        <f t="shared" si="29"/>
        <v>44629.255555555559</v>
      </c>
      <c r="C76" s="932">
        <f t="shared" si="30"/>
        <v>44629.295138888883</v>
      </c>
      <c r="D76" s="932">
        <f t="shared" si="31"/>
        <v>44629.780555555553</v>
      </c>
      <c r="E76" s="932">
        <f t="shared" si="32"/>
        <v>44629.820138888885</v>
      </c>
      <c r="F76" s="932">
        <f t="shared" si="33"/>
        <v>44629.452777777777</v>
      </c>
      <c r="G76" s="932">
        <f t="shared" si="34"/>
        <v>44629.044444444444</v>
      </c>
      <c r="H76" s="2">
        <f t="shared" si="36"/>
        <v>39</v>
      </c>
      <c r="I76" s="2">
        <v>47.86308146959832</v>
      </c>
      <c r="J76" s="1317">
        <v>-4.2065360910083536</v>
      </c>
      <c r="R76" s="931"/>
      <c r="AP76" s="1855">
        <f t="shared" si="24"/>
        <v>44567</v>
      </c>
      <c r="AQ76" s="925" t="str">
        <f t="shared" si="25"/>
        <v>BMNT</v>
      </c>
      <c r="AR76" s="1856">
        <f t="shared" si="26"/>
        <v>44567.290277777778</v>
      </c>
      <c r="AS76" s="927" t="s">
        <v>814</v>
      </c>
      <c r="AT76" s="1856" t="str">
        <f t="shared" si="17"/>
        <v/>
      </c>
      <c r="AU76" s="1856" t="str">
        <f t="shared" si="18"/>
        <v/>
      </c>
      <c r="AV76" s="1856" t="str">
        <f t="shared" si="19"/>
        <v/>
      </c>
      <c r="AW76" s="1856" t="str">
        <f t="shared" si="20"/>
        <v/>
      </c>
      <c r="AX76" s="1856" t="str">
        <f t="shared" si="21"/>
        <v/>
      </c>
      <c r="AY76" s="1856" t="str">
        <f t="shared" si="22"/>
        <v/>
      </c>
      <c r="BB76" s="1873">
        <v>9</v>
      </c>
      <c r="BC76" s="1880" t="s">
        <v>241</v>
      </c>
      <c r="BD76" s="1880">
        <v>4.4444444444444446E-2</v>
      </c>
      <c r="BE76" s="1880" t="s">
        <v>591</v>
      </c>
      <c r="BF76" s="1880">
        <v>0.45208333333333334</v>
      </c>
      <c r="BG76" s="1879" t="s">
        <v>854</v>
      </c>
      <c r="BH76" s="1880">
        <v>0.76666666666666661</v>
      </c>
      <c r="BI76" s="1879" t="s">
        <v>711</v>
      </c>
      <c r="BJ76" s="1881">
        <v>250805</v>
      </c>
      <c r="BK76" s="1882">
        <v>0.45700000000000002</v>
      </c>
      <c r="BL76" s="1619">
        <f t="shared" si="27"/>
        <v>44629</v>
      </c>
      <c r="BM76" s="1856">
        <f t="shared" si="37"/>
        <v>0.76666666666666661</v>
      </c>
      <c r="BN76" s="934">
        <f t="shared" si="28"/>
        <v>76.099999999999994</v>
      </c>
    </row>
    <row r="77" spans="1:66" ht="14.5">
      <c r="A77" s="1">
        <f t="shared" si="35"/>
        <v>44630</v>
      </c>
      <c r="B77" s="932">
        <f t="shared" si="29"/>
        <v>44630.254166666666</v>
      </c>
      <c r="C77" s="932">
        <f t="shared" si="30"/>
        <v>44630.293749999997</v>
      </c>
      <c r="D77" s="932">
        <f t="shared" si="31"/>
        <v>44630.78125</v>
      </c>
      <c r="E77" s="932">
        <f t="shared" si="32"/>
        <v>44630.820833333331</v>
      </c>
      <c r="F77" s="932">
        <f t="shared" si="33"/>
        <v>44630.479861111111</v>
      </c>
      <c r="G77" s="932">
        <f t="shared" si="34"/>
        <v>44630.085416666669</v>
      </c>
      <c r="H77" s="2">
        <f t="shared" si="36"/>
        <v>48</v>
      </c>
      <c r="I77" s="2">
        <v>48.257459261714644</v>
      </c>
      <c r="J77" s="1317">
        <v>-3.8143502606497481</v>
      </c>
      <c r="R77" s="931"/>
      <c r="AP77" s="1855">
        <f t="shared" si="24"/>
        <v>44567</v>
      </c>
      <c r="AQ77" s="925" t="str">
        <f t="shared" si="25"/>
        <v>SR</v>
      </c>
      <c r="AR77" s="1856">
        <f t="shared" si="26"/>
        <v>44567.333333333336</v>
      </c>
      <c r="AS77" s="927" t="s">
        <v>766</v>
      </c>
      <c r="AT77" s="1856" t="str">
        <f t="shared" si="17"/>
        <v/>
      </c>
      <c r="AU77" s="1856" t="str">
        <f t="shared" si="18"/>
        <v/>
      </c>
      <c r="AV77" s="1856" t="str">
        <f t="shared" si="19"/>
        <v/>
      </c>
      <c r="AW77" s="1856" t="str">
        <f t="shared" si="20"/>
        <v/>
      </c>
      <c r="AX77" s="1856" t="str">
        <f t="shared" si="21"/>
        <v/>
      </c>
      <c r="AY77" s="1856" t="str">
        <f t="shared" si="22"/>
        <v/>
      </c>
      <c r="BB77" s="1873" t="s">
        <v>904</v>
      </c>
      <c r="BC77" s="1880" t="s">
        <v>241</v>
      </c>
      <c r="BD77" s="1880">
        <v>8.5416666666666655E-2</v>
      </c>
      <c r="BE77" s="1880" t="s">
        <v>600</v>
      </c>
      <c r="BF77" s="1880">
        <v>0.47916666666666669</v>
      </c>
      <c r="BG77" s="1879" t="s">
        <v>608</v>
      </c>
      <c r="BH77" s="1880">
        <v>0.80069444444444438</v>
      </c>
      <c r="BI77" s="1879" t="s">
        <v>905</v>
      </c>
      <c r="BJ77" s="1881">
        <v>251199</v>
      </c>
      <c r="BK77" s="1882">
        <v>0.55400000000000005</v>
      </c>
      <c r="BL77" s="1619">
        <f t="shared" si="27"/>
        <v>44630</v>
      </c>
      <c r="BM77" s="1856">
        <f t="shared" si="37"/>
        <v>0.80069444444444438</v>
      </c>
      <c r="BN77" s="934">
        <f t="shared" si="28"/>
        <v>78</v>
      </c>
    </row>
    <row r="78" spans="1:66" ht="14.5">
      <c r="A78" s="1">
        <f t="shared" si="35"/>
        <v>44631</v>
      </c>
      <c r="B78" s="932">
        <f t="shared" si="29"/>
        <v>44631.253472222219</v>
      </c>
      <c r="C78" s="932">
        <f t="shared" si="30"/>
        <v>44631.29305555555</v>
      </c>
      <c r="D78" s="932">
        <f t="shared" si="31"/>
        <v>44631.781944444447</v>
      </c>
      <c r="E78" s="932">
        <f t="shared" si="32"/>
        <v>44631.821527777778</v>
      </c>
      <c r="F78" s="932">
        <f t="shared" si="33"/>
        <v>44631.511805555558</v>
      </c>
      <c r="G78" s="932">
        <f t="shared" si="34"/>
        <v>44631.124305555561</v>
      </c>
      <c r="H78" s="2">
        <f t="shared" si="36"/>
        <v>56.999999999999993</v>
      </c>
      <c r="I78" s="2">
        <v>48.652617048961247</v>
      </c>
      <c r="J78" s="1317">
        <v>-3.4213917191846899</v>
      </c>
      <c r="R78" s="931"/>
      <c r="AP78" s="1855">
        <f t="shared" si="24"/>
        <v>44567</v>
      </c>
      <c r="AQ78" s="925" t="str">
        <f t="shared" si="25"/>
        <v>MR</v>
      </c>
      <c r="AR78" s="1856">
        <f t="shared" si="26"/>
        <v>44567.466666666667</v>
      </c>
      <c r="AS78" s="927" t="s">
        <v>906</v>
      </c>
      <c r="AT78" s="1856" t="str">
        <f t="shared" si="17"/>
        <v/>
      </c>
      <c r="AU78" s="1856" t="str">
        <f t="shared" si="18"/>
        <v/>
      </c>
      <c r="AV78" s="1856" t="str">
        <f t="shared" si="19"/>
        <v/>
      </c>
      <c r="AW78" s="1856" t="str">
        <f t="shared" si="20"/>
        <v/>
      </c>
      <c r="AX78" s="1856" t="str">
        <f t="shared" si="21"/>
        <v/>
      </c>
      <c r="AY78" s="1856" t="str">
        <f t="shared" si="22"/>
        <v/>
      </c>
      <c r="BB78" s="1873">
        <v>11</v>
      </c>
      <c r="BC78" s="1880" t="s">
        <v>241</v>
      </c>
      <c r="BD78" s="1880">
        <v>0.12430555555555556</v>
      </c>
      <c r="BE78" s="1880" t="s">
        <v>694</v>
      </c>
      <c r="BF78" s="1880">
        <v>0.51111111111111118</v>
      </c>
      <c r="BG78" s="1879" t="s">
        <v>907</v>
      </c>
      <c r="BH78" s="1880">
        <v>0.83611111111111114</v>
      </c>
      <c r="BI78" s="1879" t="s">
        <v>908</v>
      </c>
      <c r="BJ78" s="1881">
        <v>250730</v>
      </c>
      <c r="BK78" s="1882">
        <v>0.65</v>
      </c>
      <c r="BL78" s="1619">
        <f t="shared" si="27"/>
        <v>44631</v>
      </c>
      <c r="BM78" s="1856">
        <f t="shared" si="37"/>
        <v>0.83611111111111114</v>
      </c>
      <c r="BN78" s="934">
        <f t="shared" si="28"/>
        <v>78.599999999999994</v>
      </c>
    </row>
    <row r="79" spans="1:66" ht="14.5">
      <c r="A79" s="1">
        <f t="shared" si="35"/>
        <v>44632</v>
      </c>
      <c r="B79" s="932">
        <f t="shared" si="29"/>
        <v>44632.252083333333</v>
      </c>
      <c r="C79" s="932">
        <f t="shared" si="30"/>
        <v>44632.291666666664</v>
      </c>
      <c r="D79" s="932">
        <f t="shared" si="31"/>
        <v>44632.782638888886</v>
      </c>
      <c r="E79" s="932">
        <f t="shared" si="32"/>
        <v>44632.822222222218</v>
      </c>
      <c r="F79" s="932">
        <f t="shared" si="33"/>
        <v>44632.548611111109</v>
      </c>
      <c r="G79" s="932">
        <f t="shared" si="34"/>
        <v>44632.160416666666</v>
      </c>
      <c r="H79" s="2">
        <f t="shared" si="36"/>
        <v>66</v>
      </c>
      <c r="I79" s="2">
        <v>49.048441302705555</v>
      </c>
      <c r="J79" s="1317">
        <v>-3.0277654105748191</v>
      </c>
      <c r="R79" s="931"/>
      <c r="AP79" s="1855">
        <f t="shared" si="24"/>
        <v>44567</v>
      </c>
      <c r="AQ79" s="925" t="str">
        <f t="shared" si="25"/>
        <v>SS</v>
      </c>
      <c r="AR79" s="1856">
        <f t="shared" si="26"/>
        <v>44567.73541666667</v>
      </c>
      <c r="AS79" s="927" t="s">
        <v>909</v>
      </c>
      <c r="AT79" s="1856" t="str">
        <f t="shared" si="17"/>
        <v/>
      </c>
      <c r="AU79" s="1856" t="str">
        <f t="shared" si="18"/>
        <v/>
      </c>
      <c r="AV79" s="1856" t="str">
        <f t="shared" si="19"/>
        <v/>
      </c>
      <c r="AW79" s="1856" t="str">
        <f t="shared" si="20"/>
        <v/>
      </c>
      <c r="AX79" s="1856" t="str">
        <f t="shared" si="21"/>
        <v/>
      </c>
      <c r="AY79" s="1856" t="str">
        <f t="shared" si="22"/>
        <v/>
      </c>
      <c r="BB79" s="1873">
        <v>12</v>
      </c>
      <c r="BC79" s="1880" t="s">
        <v>241</v>
      </c>
      <c r="BD79" s="1880">
        <v>0.16041666666666668</v>
      </c>
      <c r="BE79" s="1880" t="s">
        <v>694</v>
      </c>
      <c r="BF79" s="1880">
        <v>0.54791666666666672</v>
      </c>
      <c r="BG79" s="1879" t="s">
        <v>685</v>
      </c>
      <c r="BH79" s="1880">
        <v>0.87152777777777779</v>
      </c>
      <c r="BI79" s="1879" t="s">
        <v>910</v>
      </c>
      <c r="BJ79" s="1881">
        <v>249454</v>
      </c>
      <c r="BK79" s="1882">
        <v>0.74</v>
      </c>
      <c r="BL79" s="1619">
        <f t="shared" si="27"/>
        <v>44632</v>
      </c>
      <c r="BM79" s="1856">
        <f t="shared" si="37"/>
        <v>0.87152777777777779</v>
      </c>
      <c r="BN79" s="934">
        <f t="shared" si="28"/>
        <v>77.900000000000006</v>
      </c>
    </row>
    <row r="80" spans="1:66" ht="14.5">
      <c r="A80" s="1">
        <f t="shared" si="35"/>
        <v>44633</v>
      </c>
      <c r="B80" s="932">
        <f t="shared" si="29"/>
        <v>44633.29305555555</v>
      </c>
      <c r="C80" s="932">
        <f t="shared" si="30"/>
        <v>44633.332638888889</v>
      </c>
      <c r="D80" s="932">
        <f t="shared" si="31"/>
        <v>44633.824999999997</v>
      </c>
      <c r="E80" s="932">
        <f t="shared" si="32"/>
        <v>44633.864583333336</v>
      </c>
      <c r="F80" s="932">
        <f t="shared" si="33"/>
        <v>44633.630555555559</v>
      </c>
      <c r="G80" s="932">
        <f t="shared" si="34"/>
        <v>44633.234027777777</v>
      </c>
      <c r="H80" s="2">
        <f t="shared" si="36"/>
        <v>75</v>
      </c>
      <c r="I80" s="2">
        <v>49.444819058728136</v>
      </c>
      <c r="J80" s="1317">
        <v>-2.6335757881147197</v>
      </c>
      <c r="R80" s="931"/>
      <c r="AP80" s="1855">
        <f t="shared" si="24"/>
        <v>44567</v>
      </c>
      <c r="AQ80" s="925" t="str">
        <f t="shared" si="25"/>
        <v>EENT</v>
      </c>
      <c r="AR80" s="1856">
        <f t="shared" si="26"/>
        <v>44567.77847222222</v>
      </c>
      <c r="AS80" s="927" t="s">
        <v>911</v>
      </c>
      <c r="AT80" s="1856" t="str">
        <f t="shared" si="17"/>
        <v/>
      </c>
      <c r="AU80" s="1856" t="str">
        <f t="shared" si="18"/>
        <v/>
      </c>
      <c r="AV80" s="1856" t="str">
        <f t="shared" si="19"/>
        <v/>
      </c>
      <c r="AW80" s="1856" t="str">
        <f t="shared" si="20"/>
        <v/>
      </c>
      <c r="AX80" s="1856" t="str">
        <f t="shared" si="21"/>
        <v/>
      </c>
      <c r="AY80" s="1856" t="str">
        <f t="shared" si="22"/>
        <v/>
      </c>
      <c r="BB80" s="1873">
        <v>13</v>
      </c>
      <c r="BC80" s="1880" t="s">
        <v>241</v>
      </c>
      <c r="BD80" s="1880">
        <v>0.23402777777777781</v>
      </c>
      <c r="BE80" s="1880" t="s">
        <v>609</v>
      </c>
      <c r="BF80" s="1880">
        <v>0.62986111111111109</v>
      </c>
      <c r="BG80" s="1879" t="s">
        <v>624</v>
      </c>
      <c r="BH80" s="1880">
        <v>0.94791666666666663</v>
      </c>
      <c r="BI80" s="1879" t="s">
        <v>625</v>
      </c>
      <c r="BJ80" s="1881">
        <v>247494</v>
      </c>
      <c r="BK80" s="1882">
        <v>0.82199999999999995</v>
      </c>
      <c r="BL80" s="1619">
        <f t="shared" si="27"/>
        <v>44633</v>
      </c>
      <c r="BM80" s="1856">
        <f t="shared" si="37"/>
        <v>0.94791666666666663</v>
      </c>
      <c r="BN80" s="934">
        <f t="shared" si="28"/>
        <v>75.8</v>
      </c>
    </row>
    <row r="81" spans="1:66" ht="14.5">
      <c r="A81" s="1">
        <f t="shared" si="35"/>
        <v>44634</v>
      </c>
      <c r="B81" s="932">
        <f t="shared" si="29"/>
        <v>44634.291666666664</v>
      </c>
      <c r="C81" s="932">
        <f t="shared" si="30"/>
        <v>44634.331249999996</v>
      </c>
      <c r="D81" s="932">
        <f t="shared" si="31"/>
        <v>44634.825694444444</v>
      </c>
      <c r="E81" s="932">
        <f t="shared" si="32"/>
        <v>44634.865277777782</v>
      </c>
      <c r="F81" s="932">
        <f t="shared" si="33"/>
        <v>44634.673611111109</v>
      </c>
      <c r="G81" s="932">
        <f t="shared" si="34"/>
        <v>44634.262499999997</v>
      </c>
      <c r="H81" s="2">
        <f t="shared" si="36"/>
        <v>83</v>
      </c>
      <c r="I81" s="2">
        <v>49.841637938456941</v>
      </c>
      <c r="J81" s="1317">
        <v>-2.2389268218858018</v>
      </c>
      <c r="R81" s="931"/>
      <c r="AP81" s="1855">
        <f t="shared" si="24"/>
        <v>44567</v>
      </c>
      <c r="AQ81" s="925" t="str">
        <f t="shared" si="25"/>
        <v>MS</v>
      </c>
      <c r="AR81" s="1856">
        <f t="shared" si="26"/>
        <v>44567.929861111108</v>
      </c>
      <c r="AS81" s="927" t="s">
        <v>912</v>
      </c>
      <c r="AT81" s="1856" t="str">
        <f t="shared" si="17"/>
        <v/>
      </c>
      <c r="AU81" s="1856" t="str">
        <f t="shared" si="18"/>
        <v/>
      </c>
      <c r="AV81" s="1856" t="str">
        <f t="shared" si="19"/>
        <v/>
      </c>
      <c r="AW81" s="1856" t="str">
        <f t="shared" si="20"/>
        <v/>
      </c>
      <c r="AX81" s="1856" t="str">
        <f t="shared" si="21"/>
        <v/>
      </c>
      <c r="AY81" s="1856" t="str">
        <f t="shared" si="22"/>
        <v/>
      </c>
      <c r="BB81" s="1873">
        <v>14</v>
      </c>
      <c r="BC81" s="1880" t="s">
        <v>241</v>
      </c>
      <c r="BD81" s="1880">
        <v>0.26180555555555557</v>
      </c>
      <c r="BE81" s="1880" t="s">
        <v>633</v>
      </c>
      <c r="BF81" s="1880">
        <v>0.67222222222222217</v>
      </c>
      <c r="BG81" s="1879" t="s">
        <v>634</v>
      </c>
      <c r="BH81" s="1880">
        <v>0.98263888888888884</v>
      </c>
      <c r="BI81" s="1879" t="s">
        <v>913</v>
      </c>
      <c r="BJ81" s="1881">
        <v>245029</v>
      </c>
      <c r="BK81" s="1882">
        <v>0.89300000000000002</v>
      </c>
      <c r="BL81" s="1619">
        <f t="shared" si="27"/>
        <v>44634</v>
      </c>
      <c r="BM81" s="1856">
        <f t="shared" ref="BM81:BM99" si="38">IF(ISNUMBER(FIND("(",BH81)),BG81,IF(ISNUMBER(FIND("Moon",BH81)),"NA",BH81))</f>
        <v>0.98263888888888884</v>
      </c>
      <c r="BN81" s="934">
        <f t="shared" ref="BN81:BN99" si="39">IF(ISNUMBER(FIND("(",BI81)),MID(BI81,2,4)*1,IF(BM81="NA","NA",MID(BH81,2,4)*1))</f>
        <v>72.5</v>
      </c>
    </row>
    <row r="82" spans="1:66" ht="14.5">
      <c r="A82" s="1">
        <f t="shared" si="35"/>
        <v>44635</v>
      </c>
      <c r="B82" s="932">
        <f t="shared" si="29"/>
        <v>44635.290972222225</v>
      </c>
      <c r="C82" s="932">
        <f t="shared" si="30"/>
        <v>44635.330555555556</v>
      </c>
      <c r="D82" s="932">
        <f t="shared" si="31"/>
        <v>44635.826388888883</v>
      </c>
      <c r="E82" s="932">
        <f t="shared" si="32"/>
        <v>44635.865972222222</v>
      </c>
      <c r="F82" s="932">
        <f t="shared" si="33"/>
        <v>44635.718055555561</v>
      </c>
      <c r="G82" s="932">
        <f t="shared" si="34"/>
        <v>44635.286805555559</v>
      </c>
      <c r="H82" s="2">
        <f t="shared" si="36"/>
        <v>90</v>
      </c>
      <c r="I82" s="2">
        <v>50.238786168889753</v>
      </c>
      <c r="J82" s="1317">
        <v>-1.8439220069730788</v>
      </c>
      <c r="R82" s="931"/>
      <c r="AP82" s="1855">
        <f t="shared" si="24"/>
        <v>44568</v>
      </c>
      <c r="AQ82" s="925" t="str">
        <f t="shared" si="25"/>
        <v/>
      </c>
      <c r="AR82" s="1856" t="str">
        <f t="shared" si="26"/>
        <v/>
      </c>
      <c r="AS82" s="927">
        <v>7</v>
      </c>
      <c r="AT82" s="1856">
        <f t="shared" si="17"/>
        <v>44568.290277777778</v>
      </c>
      <c r="AU82" s="1856">
        <f t="shared" si="18"/>
        <v>44568.333333333336</v>
      </c>
      <c r="AV82" s="1856">
        <f t="shared" si="19"/>
        <v>44568.736111111117</v>
      </c>
      <c r="AW82" s="1856">
        <f t="shared" si="20"/>
        <v>44568.779166666667</v>
      </c>
      <c r="AX82" s="1856">
        <f t="shared" si="21"/>
        <v>44568.486805555556</v>
      </c>
      <c r="AY82" s="1856">
        <f t="shared" si="22"/>
        <v>44568.975694444445</v>
      </c>
      <c r="AZ82" s="1853">
        <v>0.25</v>
      </c>
      <c r="BB82" s="1873">
        <v>15</v>
      </c>
      <c r="BC82" s="1880" t="s">
        <v>241</v>
      </c>
      <c r="BD82" s="1880">
        <v>0.28611111111111115</v>
      </c>
      <c r="BE82" s="1880" t="s">
        <v>582</v>
      </c>
      <c r="BF82" s="1880">
        <v>0.71666666666666667</v>
      </c>
      <c r="BG82" s="1879" t="s">
        <v>581</v>
      </c>
      <c r="BH82" s="1880" t="s">
        <v>695</v>
      </c>
      <c r="BJ82" s="1881"/>
      <c r="BK82" s="1882"/>
      <c r="BL82" s="1619">
        <f t="shared" si="27"/>
        <v>44635</v>
      </c>
      <c r="BM82" s="1856" t="str">
        <f t="shared" si="38"/>
        <v>NA</v>
      </c>
      <c r="BN82" s="934" t="str">
        <f t="shared" si="39"/>
        <v>NA</v>
      </c>
    </row>
    <row r="83" spans="1:66" ht="14.5">
      <c r="A83" s="1">
        <f t="shared" si="35"/>
        <v>44636</v>
      </c>
      <c r="B83" s="932">
        <f t="shared" si="29"/>
        <v>44636.289583333331</v>
      </c>
      <c r="C83" s="932">
        <f t="shared" si="30"/>
        <v>44636.329166666663</v>
      </c>
      <c r="D83" s="932">
        <f t="shared" si="31"/>
        <v>44636.82708333333</v>
      </c>
      <c r="E83" s="932">
        <f t="shared" si="32"/>
        <v>44636.866666666669</v>
      </c>
      <c r="F83" s="932">
        <f t="shared" si="33"/>
        <v>44636.763194444444</v>
      </c>
      <c r="G83" s="932">
        <f t="shared" si="34"/>
        <v>44636.309027777774</v>
      </c>
      <c r="H83" s="2">
        <f t="shared" si="36"/>
        <v>95</v>
      </c>
      <c r="I83" s="2">
        <v>50.636152601236205</v>
      </c>
      <c r="J83" s="1317">
        <v>-1.448664372370615</v>
      </c>
      <c r="R83" s="931"/>
      <c r="AP83" s="1855">
        <f t="shared" si="24"/>
        <v>44568</v>
      </c>
      <c r="AQ83" s="925" t="str">
        <f t="shared" si="25"/>
        <v/>
      </c>
      <c r="AR83" s="1856" t="str">
        <f t="shared" si="26"/>
        <v/>
      </c>
      <c r="AS83" s="927" t="s">
        <v>252</v>
      </c>
      <c r="AT83" s="1856" t="str">
        <f t="shared" si="17"/>
        <v/>
      </c>
      <c r="AU83" s="1856" t="str">
        <f t="shared" si="18"/>
        <v/>
      </c>
      <c r="AV83" s="1856" t="str">
        <f t="shared" si="19"/>
        <v/>
      </c>
      <c r="AW83" s="1856" t="str">
        <f t="shared" si="20"/>
        <v/>
      </c>
      <c r="AX83" s="1856" t="str">
        <f t="shared" si="21"/>
        <v/>
      </c>
      <c r="AY83" s="1856" t="str">
        <f t="shared" si="22"/>
        <v/>
      </c>
      <c r="BB83" s="1873">
        <v>16</v>
      </c>
      <c r="BC83" s="1880" t="s">
        <v>241</v>
      </c>
      <c r="BD83" s="1880">
        <v>0.30763888888888891</v>
      </c>
      <c r="BE83" s="1880" t="s">
        <v>914</v>
      </c>
      <c r="BF83" s="1880">
        <v>0.76180555555555562</v>
      </c>
      <c r="BG83" s="1879" t="s">
        <v>843</v>
      </c>
      <c r="BH83" s="1880">
        <v>1.5972222222222224E-2</v>
      </c>
      <c r="BI83" s="1879" t="s">
        <v>915</v>
      </c>
      <c r="BJ83" s="1881">
        <v>242272</v>
      </c>
      <c r="BK83" s="1882">
        <v>0.94799999999999995</v>
      </c>
      <c r="BL83" s="1619">
        <f t="shared" si="27"/>
        <v>44636</v>
      </c>
      <c r="BM83" s="1856">
        <f t="shared" si="38"/>
        <v>1.5972222222222224E-2</v>
      </c>
      <c r="BN83" s="934">
        <f t="shared" si="39"/>
        <v>68.099999999999994</v>
      </c>
    </row>
    <row r="84" spans="1:66" ht="14.5">
      <c r="A84" s="1">
        <f t="shared" si="35"/>
        <v>44637</v>
      </c>
      <c r="B84" s="932">
        <f t="shared" si="29"/>
        <v>44637.288888888892</v>
      </c>
      <c r="C84" s="932">
        <f t="shared" si="30"/>
        <v>44637.328472222223</v>
      </c>
      <c r="D84" s="932">
        <f t="shared" si="31"/>
        <v>44637.827777777777</v>
      </c>
      <c r="E84" s="932">
        <f t="shared" si="32"/>
        <v>44637.867361111115</v>
      </c>
      <c r="F84" s="932">
        <f t="shared" si="33"/>
        <v>44637.809027777774</v>
      </c>
      <c r="G84" s="932">
        <f t="shared" si="34"/>
        <v>44637.328472222223</v>
      </c>
      <c r="H84" s="2">
        <f t="shared" si="36"/>
        <v>98</v>
      </c>
      <c r="I84" s="2">
        <v>51.033626728324442</v>
      </c>
      <c r="J84" s="1317">
        <v>-1.0532564904912562</v>
      </c>
      <c r="R84" s="931"/>
      <c r="AP84" s="1855">
        <f t="shared" si="24"/>
        <v>44568</v>
      </c>
      <c r="AQ84" s="925" t="str">
        <f t="shared" si="25"/>
        <v/>
      </c>
      <c r="AR84" s="1856" t="str">
        <f t="shared" si="26"/>
        <v/>
      </c>
      <c r="AT84" s="1856" t="str">
        <f t="shared" si="17"/>
        <v/>
      </c>
      <c r="AU84" s="1856" t="str">
        <f t="shared" si="18"/>
        <v/>
      </c>
      <c r="AV84" s="1856" t="str">
        <f t="shared" si="19"/>
        <v/>
      </c>
      <c r="AW84" s="1856" t="str">
        <f t="shared" si="20"/>
        <v/>
      </c>
      <c r="AX84" s="1856" t="str">
        <f t="shared" si="21"/>
        <v/>
      </c>
      <c r="AY84" s="1856" t="str">
        <f t="shared" si="22"/>
        <v/>
      </c>
      <c r="BB84" s="1873">
        <v>17</v>
      </c>
      <c r="BC84" s="1880" t="s">
        <v>241</v>
      </c>
      <c r="BD84" s="1880">
        <v>0.32708333333333334</v>
      </c>
      <c r="BE84" s="1879" t="s">
        <v>916</v>
      </c>
      <c r="BF84" s="1880">
        <v>0.80763888888888891</v>
      </c>
      <c r="BG84" s="1880" t="s">
        <v>917</v>
      </c>
      <c r="BH84" s="1880">
        <v>4.8611111111111112E-2</v>
      </c>
      <c r="BI84" s="1881" t="s">
        <v>918</v>
      </c>
      <c r="BJ84" s="1882">
        <v>239450</v>
      </c>
      <c r="BK84" s="1882">
        <v>0.98499999999999999</v>
      </c>
      <c r="BL84" s="1619">
        <f t="shared" si="27"/>
        <v>44637</v>
      </c>
      <c r="BM84" s="1856">
        <f t="shared" si="38"/>
        <v>4.8611111111111112E-2</v>
      </c>
      <c r="BN84" s="934">
        <f t="shared" si="39"/>
        <v>62.7</v>
      </c>
    </row>
    <row r="85" spans="1:66" ht="14.5">
      <c r="A85" s="1">
        <f t="shared" si="35"/>
        <v>44638</v>
      </c>
      <c r="B85" s="932">
        <f t="shared" si="29"/>
        <v>44638.287499999999</v>
      </c>
      <c r="C85" s="932">
        <f t="shared" si="30"/>
        <v>44638.32708333333</v>
      </c>
      <c r="D85" s="932">
        <f t="shared" si="31"/>
        <v>44638.828472222223</v>
      </c>
      <c r="E85" s="932">
        <f t="shared" si="32"/>
        <v>44638.868055555555</v>
      </c>
      <c r="F85" s="932">
        <f t="shared" si="33"/>
        <v>44638.854861111111</v>
      </c>
      <c r="G85" s="932">
        <f t="shared" si="34"/>
        <v>44638.34652777778</v>
      </c>
      <c r="H85" s="2">
        <f t="shared" si="36"/>
        <v>100</v>
      </c>
      <c r="I85" s="2">
        <v>51.431098700807702</v>
      </c>
      <c r="J85" s="1317">
        <v>-0.65780048720886997</v>
      </c>
      <c r="R85" s="931"/>
      <c r="AP85" s="1855">
        <f t="shared" si="24"/>
        <v>44568</v>
      </c>
      <c r="AQ85" s="925" t="str">
        <f t="shared" si="25"/>
        <v>BMNT</v>
      </c>
      <c r="AR85" s="1856">
        <f t="shared" si="26"/>
        <v>44568.290277777778</v>
      </c>
      <c r="AS85" s="927" t="s">
        <v>814</v>
      </c>
      <c r="AT85" s="1856" t="str">
        <f t="shared" si="17"/>
        <v/>
      </c>
      <c r="AU85" s="1856" t="str">
        <f t="shared" si="18"/>
        <v/>
      </c>
      <c r="AV85" s="1856" t="str">
        <f t="shared" si="19"/>
        <v/>
      </c>
      <c r="AW85" s="1856" t="str">
        <f t="shared" si="20"/>
        <v/>
      </c>
      <c r="AX85" s="1856" t="str">
        <f t="shared" si="21"/>
        <v/>
      </c>
      <c r="AY85" s="1856" t="str">
        <f t="shared" si="22"/>
        <v/>
      </c>
      <c r="BB85" s="1873" t="s">
        <v>919</v>
      </c>
      <c r="BC85" s="1879" t="s">
        <v>241</v>
      </c>
      <c r="BD85" s="1880">
        <v>0.34583333333333338</v>
      </c>
      <c r="BE85" s="1879" t="s">
        <v>920</v>
      </c>
      <c r="BF85" s="1880">
        <v>0.8534722222222223</v>
      </c>
      <c r="BG85" s="1879" t="s">
        <v>921</v>
      </c>
      <c r="BH85" s="1880">
        <v>8.0555555555555561E-2</v>
      </c>
      <c r="BI85" s="1879" t="s">
        <v>922</v>
      </c>
      <c r="BJ85" s="1881">
        <v>236776</v>
      </c>
      <c r="BK85" s="1882">
        <v>0.999</v>
      </c>
      <c r="BL85" s="1619">
        <f t="shared" si="27"/>
        <v>44638</v>
      </c>
      <c r="BM85" s="1856">
        <f t="shared" si="38"/>
        <v>8.0555555555555561E-2</v>
      </c>
      <c r="BN85" s="934">
        <f t="shared" si="39"/>
        <v>56.7</v>
      </c>
    </row>
    <row r="86" spans="1:66" ht="14.5">
      <c r="A86" s="1">
        <f t="shared" si="35"/>
        <v>44639</v>
      </c>
      <c r="B86" s="932">
        <f t="shared" si="29"/>
        <v>44639.286805555559</v>
      </c>
      <c r="C86" s="932">
        <f t="shared" si="30"/>
        <v>44639.326388888883</v>
      </c>
      <c r="D86" s="932">
        <f t="shared" si="31"/>
        <v>44639.829166666663</v>
      </c>
      <c r="E86" s="932">
        <f t="shared" si="32"/>
        <v>44639.868750000001</v>
      </c>
      <c r="F86" s="932">
        <f t="shared" si="33"/>
        <v>44639.902083333334</v>
      </c>
      <c r="G86" s="932">
        <f t="shared" si="34"/>
        <v>44639.364583333336</v>
      </c>
      <c r="H86" s="2">
        <f t="shared" si="36"/>
        <v>99</v>
      </c>
      <c r="I86" s="2">
        <v>51.828459342216654</v>
      </c>
      <c r="J86" s="1317">
        <v>-0.26239805235282088</v>
      </c>
      <c r="R86" s="931"/>
      <c r="AP86" s="1855">
        <f t="shared" si="24"/>
        <v>44568</v>
      </c>
      <c r="AQ86" s="925" t="str">
        <f t="shared" si="25"/>
        <v>SR</v>
      </c>
      <c r="AR86" s="1856">
        <f t="shared" si="26"/>
        <v>44568.333333333336</v>
      </c>
      <c r="AS86" s="927" t="s">
        <v>766</v>
      </c>
      <c r="AT86" s="1856" t="str">
        <f t="shared" si="17"/>
        <v/>
      </c>
      <c r="AU86" s="1856" t="str">
        <f t="shared" si="18"/>
        <v/>
      </c>
      <c r="AV86" s="1856" t="str">
        <f t="shared" si="19"/>
        <v/>
      </c>
      <c r="AW86" s="1856" t="str">
        <f t="shared" si="20"/>
        <v/>
      </c>
      <c r="AX86" s="1856" t="str">
        <f t="shared" si="21"/>
        <v/>
      </c>
      <c r="AY86" s="1856" t="str">
        <f t="shared" si="22"/>
        <v/>
      </c>
      <c r="BB86" s="1873">
        <v>19</v>
      </c>
      <c r="BC86" s="1879" t="s">
        <v>241</v>
      </c>
      <c r="BD86" s="1880">
        <v>0.36388888888888887</v>
      </c>
      <c r="BE86" s="1879" t="s">
        <v>923</v>
      </c>
      <c r="BF86" s="1880">
        <v>0.90069444444444446</v>
      </c>
      <c r="BG86" s="1879" t="s">
        <v>924</v>
      </c>
      <c r="BH86" s="1880">
        <v>0.1125</v>
      </c>
      <c r="BI86" s="1879" t="s">
        <v>925</v>
      </c>
      <c r="BJ86" s="1881">
        <v>234426</v>
      </c>
      <c r="BK86" s="1882">
        <v>0.98799999999999999</v>
      </c>
      <c r="BL86" s="1619">
        <f t="shared" si="27"/>
        <v>44639</v>
      </c>
      <c r="BM86" s="1856">
        <f t="shared" si="38"/>
        <v>0.1125</v>
      </c>
      <c r="BN86" s="934">
        <f t="shared" si="39"/>
        <v>50.4</v>
      </c>
    </row>
    <row r="87" spans="1:66" ht="14.5">
      <c r="A87" s="1">
        <f t="shared" si="35"/>
        <v>44640</v>
      </c>
      <c r="B87" s="932">
        <f t="shared" si="29"/>
        <v>44640.285416666666</v>
      </c>
      <c r="C87" s="932">
        <f t="shared" si="30"/>
        <v>44640.324999999997</v>
      </c>
      <c r="D87" s="932">
        <f t="shared" si="31"/>
        <v>44640.829861111109</v>
      </c>
      <c r="E87" s="932">
        <f t="shared" si="32"/>
        <v>44640.869444444448</v>
      </c>
      <c r="F87" s="932">
        <f t="shared" si="33"/>
        <v>44640.950694444444</v>
      </c>
      <c r="G87" s="932">
        <f t="shared" si="34"/>
        <v>44640.384027777778</v>
      </c>
      <c r="H87" s="2">
        <f t="shared" si="36"/>
        <v>96</v>
      </c>
      <c r="I87" s="2">
        <v>52.225600162899326</v>
      </c>
      <c r="J87" s="1317">
        <v>0.13284954941928812</v>
      </c>
      <c r="R87" s="931"/>
      <c r="AP87" s="1855">
        <f t="shared" si="24"/>
        <v>44568</v>
      </c>
      <c r="AQ87" s="925" t="str">
        <f t="shared" si="25"/>
        <v>MR</v>
      </c>
      <c r="AR87" s="1856">
        <f t="shared" si="26"/>
        <v>44568.486805555556</v>
      </c>
      <c r="AS87" s="927" t="s">
        <v>926</v>
      </c>
      <c r="AT87" s="1856" t="str">
        <f t="shared" si="17"/>
        <v/>
      </c>
      <c r="AU87" s="1856" t="str">
        <f t="shared" si="18"/>
        <v/>
      </c>
      <c r="AV87" s="1856" t="str">
        <f t="shared" si="19"/>
        <v/>
      </c>
      <c r="AW87" s="1856" t="str">
        <f t="shared" si="20"/>
        <v/>
      </c>
      <c r="AX87" s="1856" t="str">
        <f t="shared" si="21"/>
        <v/>
      </c>
      <c r="AY87" s="1856" t="str">
        <f t="shared" si="22"/>
        <v/>
      </c>
      <c r="BB87" s="1873">
        <v>20</v>
      </c>
      <c r="BC87" s="1879" t="s">
        <v>241</v>
      </c>
      <c r="BD87" s="1880">
        <v>0.3833333333333333</v>
      </c>
      <c r="BE87" s="1879" t="s">
        <v>520</v>
      </c>
      <c r="BF87" s="1880">
        <v>0.94930555555555562</v>
      </c>
      <c r="BG87" s="1879" t="s">
        <v>524</v>
      </c>
      <c r="BH87" s="1880">
        <v>0.1451388888888889</v>
      </c>
      <c r="BI87" s="1879" t="s">
        <v>927</v>
      </c>
      <c r="BJ87" s="1881">
        <v>232523</v>
      </c>
      <c r="BK87" s="1882">
        <v>0.95099999999999996</v>
      </c>
      <c r="BL87" s="1619">
        <f t="shared" si="27"/>
        <v>44640</v>
      </c>
      <c r="BM87" s="1856">
        <f t="shared" si="38"/>
        <v>0.1451388888888889</v>
      </c>
      <c r="BN87" s="934">
        <f t="shared" si="39"/>
        <v>43.9</v>
      </c>
    </row>
    <row r="88" spans="1:66" ht="14.5">
      <c r="A88" s="1">
        <f t="shared" si="35"/>
        <v>44641</v>
      </c>
      <c r="B88" s="932">
        <f t="shared" si="29"/>
        <v>44641.284722222219</v>
      </c>
      <c r="C88" s="932">
        <f t="shared" si="30"/>
        <v>44641.32430555555</v>
      </c>
      <c r="D88" s="932">
        <f t="shared" si="31"/>
        <v>44641.830555555556</v>
      </c>
      <c r="E88" s="932">
        <f t="shared" si="32"/>
        <v>44641.870138888895</v>
      </c>
      <c r="F88" s="932">
        <f t="shared" si="33"/>
        <v>44642</v>
      </c>
      <c r="G88" s="932">
        <f t="shared" si="34"/>
        <v>44641.404861111114</v>
      </c>
      <c r="H88" s="2">
        <f t="shared" si="36"/>
        <v>90</v>
      </c>
      <c r="I88" s="2">
        <v>52.622413372882654</v>
      </c>
      <c r="J88" s="1317">
        <v>0.52784146743624327</v>
      </c>
      <c r="R88" s="931"/>
      <c r="AP88" s="1855">
        <f t="shared" si="24"/>
        <v>44568</v>
      </c>
      <c r="AQ88" s="925" t="str">
        <f t="shared" si="25"/>
        <v>SS</v>
      </c>
      <c r="AR88" s="1856">
        <f t="shared" si="26"/>
        <v>44568.736111111117</v>
      </c>
      <c r="AS88" s="927" t="s">
        <v>928</v>
      </c>
      <c r="AT88" s="1856" t="str">
        <f t="shared" si="17"/>
        <v/>
      </c>
      <c r="AU88" s="1856" t="str">
        <f t="shared" si="18"/>
        <v/>
      </c>
      <c r="AV88" s="1856" t="str">
        <f t="shared" si="19"/>
        <v/>
      </c>
      <c r="AW88" s="1856" t="str">
        <f t="shared" si="20"/>
        <v/>
      </c>
      <c r="AX88" s="1856" t="str">
        <f t="shared" si="21"/>
        <v/>
      </c>
      <c r="AY88" s="1856" t="str">
        <f t="shared" si="22"/>
        <v/>
      </c>
      <c r="BB88" s="1873">
        <v>21</v>
      </c>
      <c r="BC88" s="1879" t="s">
        <v>241</v>
      </c>
      <c r="BD88" s="1880">
        <v>0.40416666666666662</v>
      </c>
      <c r="BE88" s="1879" t="s">
        <v>514</v>
      </c>
      <c r="BF88" s="1880">
        <v>0.99930555555555556</v>
      </c>
      <c r="BG88" s="1879" t="s">
        <v>594</v>
      </c>
      <c r="BH88" s="1880">
        <v>0.17986111111111111</v>
      </c>
      <c r="BI88" s="1879" t="s">
        <v>929</v>
      </c>
      <c r="BJ88" s="1881">
        <v>231126</v>
      </c>
      <c r="BK88" s="1882">
        <v>0.88900000000000001</v>
      </c>
      <c r="BL88" s="1619">
        <f t="shared" si="27"/>
        <v>44641</v>
      </c>
      <c r="BM88" s="1856">
        <f t="shared" si="38"/>
        <v>0.17986111111111111</v>
      </c>
      <c r="BN88" s="934">
        <f t="shared" si="39"/>
        <v>37.799999999999997</v>
      </c>
    </row>
    <row r="89" spans="1:66" ht="14.5">
      <c r="A89" s="1">
        <f t="shared" si="35"/>
        <v>44642</v>
      </c>
      <c r="B89" s="932">
        <f t="shared" si="29"/>
        <v>44642.283333333333</v>
      </c>
      <c r="C89" s="932">
        <f t="shared" si="30"/>
        <v>44642.322916666664</v>
      </c>
      <c r="D89" s="932">
        <f t="shared" si="31"/>
        <v>44642.831249999996</v>
      </c>
      <c r="E89" s="932">
        <f t="shared" si="32"/>
        <v>44642.870833333334</v>
      </c>
      <c r="F89" s="932" t="str">
        <f t="shared" si="33"/>
        <v>NONE</v>
      </c>
      <c r="G89" s="932">
        <f t="shared" si="34"/>
        <v>44642.429166666661</v>
      </c>
      <c r="H89" s="2">
        <f t="shared" si="36"/>
        <v>82</v>
      </c>
      <c r="I89" s="2">
        <v>53.018791893715793</v>
      </c>
      <c r="J89" s="1317">
        <v>0.92247725360576305</v>
      </c>
      <c r="R89" s="931"/>
      <c r="AP89" s="1855">
        <f t="shared" si="24"/>
        <v>44568</v>
      </c>
      <c r="AQ89" s="925" t="str">
        <f t="shared" si="25"/>
        <v>EENT</v>
      </c>
      <c r="AR89" s="1856">
        <f t="shared" si="26"/>
        <v>44568.779166666667</v>
      </c>
      <c r="AS89" s="927" t="s">
        <v>930</v>
      </c>
      <c r="AT89" s="1856" t="str">
        <f t="shared" si="17"/>
        <v/>
      </c>
      <c r="AU89" s="1856" t="str">
        <f t="shared" si="18"/>
        <v/>
      </c>
      <c r="AV89" s="1856" t="str">
        <f t="shared" si="19"/>
        <v/>
      </c>
      <c r="AW89" s="1856" t="str">
        <f t="shared" si="20"/>
        <v/>
      </c>
      <c r="AX89" s="1856" t="str">
        <f t="shared" si="21"/>
        <v/>
      </c>
      <c r="AY89" s="1856" t="str">
        <f t="shared" si="22"/>
        <v/>
      </c>
      <c r="BB89" s="1873">
        <v>22</v>
      </c>
      <c r="BC89" s="1879" t="s">
        <v>241</v>
      </c>
      <c r="BD89" s="1880">
        <v>0.42777777777777781</v>
      </c>
      <c r="BE89" s="1879" t="s">
        <v>931</v>
      </c>
      <c r="BF89" s="1880" t="s">
        <v>241</v>
      </c>
      <c r="BG89" s="1880">
        <v>0.21597222222222223</v>
      </c>
      <c r="BH89" s="1880" t="s">
        <v>932</v>
      </c>
      <c r="BI89" s="1881">
        <v>230237</v>
      </c>
      <c r="BJ89" s="1881">
        <v>0.80500000000000005</v>
      </c>
      <c r="BK89" s="1882"/>
      <c r="BL89" s="1619">
        <f t="shared" si="27"/>
        <v>44642</v>
      </c>
      <c r="BM89" s="1856">
        <f t="shared" si="38"/>
        <v>0.21597222222222223</v>
      </c>
      <c r="BN89" s="934">
        <f t="shared" si="39"/>
        <v>32.4</v>
      </c>
    </row>
    <row r="90" spans="1:66" ht="14.5">
      <c r="A90" s="1">
        <f t="shared" si="35"/>
        <v>44643</v>
      </c>
      <c r="B90" s="932">
        <f t="shared" si="29"/>
        <v>44643.281944444447</v>
      </c>
      <c r="C90" s="932">
        <f t="shared" si="30"/>
        <v>44643.321527777778</v>
      </c>
      <c r="D90" s="932">
        <f t="shared" si="31"/>
        <v>44643.831944444442</v>
      </c>
      <c r="E90" s="932">
        <f t="shared" si="32"/>
        <v>44643.871527777781</v>
      </c>
      <c r="F90" s="932">
        <f t="shared" si="33"/>
        <v>44643.050694444442</v>
      </c>
      <c r="G90" s="932">
        <f t="shared" si="34"/>
        <v>44643.457638888889</v>
      </c>
      <c r="H90" s="2">
        <f t="shared" si="36"/>
        <v>73</v>
      </c>
      <c r="I90" s="2">
        <v>53.414629369310774</v>
      </c>
      <c r="J90" s="1317">
        <v>1.3166568508308005</v>
      </c>
      <c r="R90" s="931"/>
      <c r="AP90" s="1855">
        <f t="shared" si="24"/>
        <v>44568</v>
      </c>
      <c r="AQ90" s="925" t="str">
        <f t="shared" si="25"/>
        <v>MS</v>
      </c>
      <c r="AR90" s="1856">
        <f t="shared" si="26"/>
        <v>44568.975694444445</v>
      </c>
      <c r="AS90" s="927" t="s">
        <v>933</v>
      </c>
      <c r="AT90" s="1856" t="str">
        <f t="shared" si="17"/>
        <v/>
      </c>
      <c r="AU90" s="1856" t="str">
        <f t="shared" si="18"/>
        <v/>
      </c>
      <c r="AV90" s="1856" t="str">
        <f t="shared" si="19"/>
        <v/>
      </c>
      <c r="AW90" s="1856" t="str">
        <f t="shared" si="20"/>
        <v/>
      </c>
      <c r="AX90" s="1856" t="str">
        <f t="shared" si="21"/>
        <v/>
      </c>
      <c r="AY90" s="1856" t="str">
        <f t="shared" si="22"/>
        <v/>
      </c>
      <c r="BB90" s="1873">
        <v>23</v>
      </c>
      <c r="BC90" s="1880">
        <v>4.9999999999999996E-2</v>
      </c>
      <c r="BD90" s="1880" t="s">
        <v>552</v>
      </c>
      <c r="BE90" s="1880">
        <v>0.45694444444444443</v>
      </c>
      <c r="BF90" s="1880" t="s">
        <v>735</v>
      </c>
      <c r="BG90" s="1879" t="s">
        <v>241</v>
      </c>
      <c r="BH90" s="1880">
        <v>0.25555555555555559</v>
      </c>
      <c r="BI90" s="1879" t="s">
        <v>934</v>
      </c>
      <c r="BJ90" s="1881">
        <v>229814</v>
      </c>
      <c r="BK90" s="1882">
        <v>0.70299999999999996</v>
      </c>
      <c r="BL90" s="1619">
        <f t="shared" si="27"/>
        <v>44643</v>
      </c>
      <c r="BM90" s="1856">
        <f t="shared" si="38"/>
        <v>0.25555555555555559</v>
      </c>
      <c r="BN90" s="934">
        <f t="shared" si="39"/>
        <v>28.1</v>
      </c>
    </row>
    <row r="91" spans="1:66" ht="14.5">
      <c r="A91" s="1">
        <f t="shared" si="35"/>
        <v>44644</v>
      </c>
      <c r="B91" s="932">
        <f t="shared" si="29"/>
        <v>44644.28125</v>
      </c>
      <c r="C91" s="932">
        <f t="shared" si="30"/>
        <v>44644.320833333331</v>
      </c>
      <c r="D91" s="932">
        <f t="shared" si="31"/>
        <v>44644.832638888889</v>
      </c>
      <c r="E91" s="932">
        <f t="shared" si="32"/>
        <v>44644.872222222228</v>
      </c>
      <c r="F91" s="932">
        <f t="shared" si="33"/>
        <v>44644.100694444445</v>
      </c>
      <c r="G91" s="932">
        <f t="shared" si="34"/>
        <v>44644.492361111115</v>
      </c>
      <c r="H91" s="2">
        <f t="shared" si="36"/>
        <v>62</v>
      </c>
      <c r="I91" s="2">
        <v>53.809820175845466</v>
      </c>
      <c r="J91" s="1317">
        <v>1.7102805813458311</v>
      </c>
      <c r="R91" s="931"/>
      <c r="AP91" s="1855">
        <f t="shared" si="24"/>
        <v>44569</v>
      </c>
      <c r="AQ91" s="925" t="str">
        <f t="shared" si="25"/>
        <v/>
      </c>
      <c r="AR91" s="1856" t="str">
        <f t="shared" si="26"/>
        <v/>
      </c>
      <c r="AS91" s="927">
        <v>8</v>
      </c>
      <c r="AT91" s="1856">
        <f t="shared" si="17"/>
        <v>44569.290277777778</v>
      </c>
      <c r="AU91" s="1856">
        <f t="shared" si="18"/>
        <v>44569.333333333336</v>
      </c>
      <c r="AV91" s="1856">
        <f t="shared" si="19"/>
        <v>44569.736805555556</v>
      </c>
      <c r="AW91" s="1856">
        <f t="shared" si="20"/>
        <v>44569.779861111114</v>
      </c>
      <c r="AX91" s="1856">
        <f t="shared" si="21"/>
        <v>44569.504166666666</v>
      </c>
      <c r="AY91" s="1856" t="str">
        <f t="shared" si="22"/>
        <v>NONE</v>
      </c>
      <c r="AZ91" s="1853">
        <v>0.35</v>
      </c>
      <c r="BB91" s="1873">
        <v>24</v>
      </c>
      <c r="BC91" s="1880">
        <v>9.9999999999999992E-2</v>
      </c>
      <c r="BD91" s="1880" t="s">
        <v>562</v>
      </c>
      <c r="BE91" s="1880">
        <v>0.4916666666666667</v>
      </c>
      <c r="BF91" s="1880" t="s">
        <v>563</v>
      </c>
      <c r="BG91" s="1879" t="s">
        <v>241</v>
      </c>
      <c r="BH91" s="1880">
        <v>0.29722222222222222</v>
      </c>
      <c r="BI91" s="1879" t="s">
        <v>804</v>
      </c>
      <c r="BJ91" s="1881">
        <v>229797</v>
      </c>
      <c r="BK91" s="1882">
        <v>0.58899999999999997</v>
      </c>
      <c r="BL91" s="1619">
        <f t="shared" si="27"/>
        <v>44644</v>
      </c>
      <c r="BM91" s="1856">
        <f t="shared" si="38"/>
        <v>0.29722222222222222</v>
      </c>
      <c r="BN91" s="934">
        <f t="shared" si="39"/>
        <v>25.4</v>
      </c>
    </row>
    <row r="92" spans="1:66" ht="14.5">
      <c r="A92" s="1">
        <f t="shared" si="35"/>
        <v>44645</v>
      </c>
      <c r="B92" s="932">
        <f t="shared" si="29"/>
        <v>44645.279861111114</v>
      </c>
      <c r="C92" s="932">
        <f t="shared" si="30"/>
        <v>44645.319444444445</v>
      </c>
      <c r="D92" s="932">
        <f t="shared" si="31"/>
        <v>44645.833333333336</v>
      </c>
      <c r="E92" s="932">
        <f t="shared" si="32"/>
        <v>44645.872916666667</v>
      </c>
      <c r="F92" s="932">
        <f t="shared" si="33"/>
        <v>44645.147222222222</v>
      </c>
      <c r="G92" s="932">
        <f t="shared" si="34"/>
        <v>44645.533333333333</v>
      </c>
      <c r="H92" s="2">
        <f t="shared" si="36"/>
        <v>51</v>
      </c>
      <c r="I92" s="2">
        <v>54.204259430745829</v>
      </c>
      <c r="J92" s="1317">
        <v>2.1032491350213283</v>
      </c>
      <c r="R92" s="931"/>
      <c r="AP92" s="1855">
        <f t="shared" si="24"/>
        <v>44569</v>
      </c>
      <c r="AQ92" s="925" t="str">
        <f t="shared" si="25"/>
        <v/>
      </c>
      <c r="AR92" s="1856" t="str">
        <f t="shared" si="26"/>
        <v/>
      </c>
      <c r="AS92" s="927" t="s">
        <v>252</v>
      </c>
      <c r="AT92" s="1856" t="str">
        <f t="shared" ref="AT92:AT155" si="40">IF(ISNUMBER(AS92),INDEX(AR93:AR103,MATCH($AT$27,AQ93:AQ103,0)),"")</f>
        <v/>
      </c>
      <c r="AU92" s="1856" t="str">
        <f t="shared" ref="AU92:AU155" si="41">IF(AT92="","",INDEX(AR93:AR103,MATCH($AU$27,AQ93:AQ103,0)))</f>
        <v/>
      </c>
      <c r="AV92" s="1856" t="str">
        <f t="shared" ref="AV92:AV155" si="42">IF(AT92="","",INDEX(AR93:AR103,MATCH($AV$27,AQ93:AQ103,0)))</f>
        <v/>
      </c>
      <c r="AW92" s="1856" t="str">
        <f t="shared" ref="AW92:AW155" si="43">IF(AT92="","",INDEX(AR93:AR103,MATCH($AW$27,AQ93:AQ103,0)))</f>
        <v/>
      </c>
      <c r="AX92" s="1856" t="str">
        <f t="shared" ref="AX92:AX155" si="44">IF(AT92="","",INDEX(AR93:AR103,MATCH($AX$27,AQ93:AQ103,0)))</f>
        <v/>
      </c>
      <c r="AY92" s="1856" t="str">
        <f t="shared" ref="AY92:AY155" si="45">IF(AT92="","",INDEX(AR93:AR103,MATCH($AY$27,AQ93:AQ103,0)))</f>
        <v/>
      </c>
      <c r="BB92" s="1873" t="s">
        <v>935</v>
      </c>
      <c r="BC92" s="1880">
        <v>0.14652777777777778</v>
      </c>
      <c r="BD92" s="1880" t="s">
        <v>882</v>
      </c>
      <c r="BE92" s="1880">
        <v>0.53263888888888888</v>
      </c>
      <c r="BF92" s="1880" t="s">
        <v>936</v>
      </c>
      <c r="BG92" s="1879" t="s">
        <v>241</v>
      </c>
      <c r="BH92" s="1880">
        <v>0.33958333333333335</v>
      </c>
      <c r="BI92" s="1879" t="s">
        <v>937</v>
      </c>
      <c r="BJ92" s="1881">
        <v>230128</v>
      </c>
      <c r="BK92" s="1882">
        <v>0.47</v>
      </c>
      <c r="BL92" s="1619">
        <f t="shared" si="27"/>
        <v>44645</v>
      </c>
      <c r="BM92" s="1856">
        <f t="shared" si="38"/>
        <v>0.33958333333333335</v>
      </c>
      <c r="BN92" s="934">
        <f t="shared" si="39"/>
        <v>24.5</v>
      </c>
    </row>
    <row r="93" spans="1:66" ht="14.5">
      <c r="A93" s="1">
        <f t="shared" si="35"/>
        <v>44646</v>
      </c>
      <c r="B93" s="932">
        <f t="shared" si="29"/>
        <v>44646.279166666667</v>
      </c>
      <c r="C93" s="932">
        <f t="shared" si="30"/>
        <v>44646.318749999999</v>
      </c>
      <c r="D93" s="932">
        <f t="shared" si="31"/>
        <v>44646.833333333336</v>
      </c>
      <c r="E93" s="932">
        <f t="shared" si="32"/>
        <v>44646.873611111114</v>
      </c>
      <c r="F93" s="932">
        <f t="shared" si="33"/>
        <v>44646.1875</v>
      </c>
      <c r="G93" s="932">
        <f t="shared" si="34"/>
        <v>44646.579861111109</v>
      </c>
      <c r="H93" s="2">
        <f t="shared" si="36"/>
        <v>39</v>
      </c>
      <c r="I93" s="2">
        <v>54.597843000793844</v>
      </c>
      <c r="J93" s="1317">
        <v>2.4954635577165027</v>
      </c>
      <c r="AP93" s="1855">
        <f t="shared" si="24"/>
        <v>44569</v>
      </c>
      <c r="AQ93" s="925" t="str">
        <f t="shared" si="25"/>
        <v/>
      </c>
      <c r="AR93" s="1856" t="str">
        <f t="shared" si="26"/>
        <v/>
      </c>
      <c r="AT93" s="1856" t="str">
        <f t="shared" si="40"/>
        <v/>
      </c>
      <c r="AU93" s="1856" t="str">
        <f t="shared" si="41"/>
        <v/>
      </c>
      <c r="AV93" s="1856" t="str">
        <f t="shared" si="42"/>
        <v/>
      </c>
      <c r="AW93" s="1856" t="str">
        <f t="shared" si="43"/>
        <v/>
      </c>
      <c r="AX93" s="1856" t="str">
        <f t="shared" si="44"/>
        <v/>
      </c>
      <c r="AY93" s="1856" t="str">
        <f t="shared" si="45"/>
        <v/>
      </c>
      <c r="BB93" s="1873">
        <v>26</v>
      </c>
      <c r="BC93" s="1880">
        <v>0.1875</v>
      </c>
      <c r="BD93" s="1880" t="s">
        <v>571</v>
      </c>
      <c r="BE93" s="1880">
        <v>0.57916666666666672</v>
      </c>
      <c r="BF93" s="1880" t="s">
        <v>721</v>
      </c>
      <c r="BG93" s="1879" t="s">
        <v>241</v>
      </c>
      <c r="BH93" s="1880">
        <v>0.38263888888888892</v>
      </c>
      <c r="BI93" s="1879" t="s">
        <v>804</v>
      </c>
      <c r="BJ93" s="1881">
        <v>230774</v>
      </c>
      <c r="BK93" s="1882">
        <v>0.35299999999999998</v>
      </c>
      <c r="BL93" s="1619">
        <f t="shared" si="27"/>
        <v>44646</v>
      </c>
      <c r="BM93" s="1856">
        <f t="shared" si="38"/>
        <v>0.38263888888888892</v>
      </c>
      <c r="BN93" s="934">
        <f t="shared" si="39"/>
        <v>25.4</v>
      </c>
    </row>
    <row r="94" spans="1:66" ht="14.5">
      <c r="A94" s="1">
        <f t="shared" si="35"/>
        <v>44647</v>
      </c>
      <c r="B94" s="932">
        <f t="shared" si="29"/>
        <v>44647.277777777781</v>
      </c>
      <c r="C94" s="932">
        <f t="shared" si="30"/>
        <v>44647.317361111105</v>
      </c>
      <c r="D94" s="932">
        <f t="shared" si="31"/>
        <v>44647.834027777782</v>
      </c>
      <c r="E94" s="932">
        <f t="shared" si="32"/>
        <v>44647.874305555561</v>
      </c>
      <c r="F94" s="932">
        <f t="shared" si="33"/>
        <v>44647.222222222226</v>
      </c>
      <c r="G94" s="932">
        <f t="shared" si="34"/>
        <v>44647.629166666666</v>
      </c>
      <c r="H94" s="2">
        <f t="shared" si="36"/>
        <v>28.000000000000004</v>
      </c>
      <c r="I94" s="2">
        <v>54.990467509391124</v>
      </c>
      <c r="J94" s="1317">
        <v>2.8868252397450465</v>
      </c>
      <c r="AP94" s="1855">
        <f t="shared" si="24"/>
        <v>44569</v>
      </c>
      <c r="AQ94" s="925" t="str">
        <f t="shared" si="25"/>
        <v>BMNT</v>
      </c>
      <c r="AR94" s="1856">
        <f t="shared" si="26"/>
        <v>44569.290277777778</v>
      </c>
      <c r="AS94" s="927" t="s">
        <v>814</v>
      </c>
      <c r="AT94" s="1856" t="str">
        <f t="shared" si="40"/>
        <v/>
      </c>
      <c r="AU94" s="1856" t="str">
        <f t="shared" si="41"/>
        <v/>
      </c>
      <c r="AV94" s="1856" t="str">
        <f t="shared" si="42"/>
        <v/>
      </c>
      <c r="AW94" s="1856" t="str">
        <f t="shared" si="43"/>
        <v/>
      </c>
      <c r="AX94" s="1856" t="str">
        <f t="shared" si="44"/>
        <v/>
      </c>
      <c r="AY94" s="1856" t="str">
        <f t="shared" si="45"/>
        <v/>
      </c>
      <c r="BB94" s="1873">
        <v>27</v>
      </c>
      <c r="BC94" s="1880">
        <v>0.22152777777777777</v>
      </c>
      <c r="BD94" s="1880" t="s">
        <v>794</v>
      </c>
      <c r="BE94" s="1880">
        <v>0.62847222222222221</v>
      </c>
      <c r="BF94" s="1880" t="s">
        <v>712</v>
      </c>
      <c r="BG94" s="1879" t="s">
        <v>241</v>
      </c>
      <c r="BH94" s="1880">
        <v>0.4236111111111111</v>
      </c>
      <c r="BI94" s="1879" t="s">
        <v>938</v>
      </c>
      <c r="BJ94" s="1881">
        <v>231724</v>
      </c>
      <c r="BK94" s="1882">
        <v>0.245</v>
      </c>
      <c r="BL94" s="1619">
        <f t="shared" si="27"/>
        <v>44647</v>
      </c>
      <c r="BM94" s="1856">
        <f t="shared" si="38"/>
        <v>0.4236111111111111</v>
      </c>
      <c r="BN94" s="934">
        <f t="shared" si="39"/>
        <v>28.2</v>
      </c>
    </row>
    <row r="95" spans="1:66" ht="14.5">
      <c r="A95" s="1">
        <f t="shared" si="35"/>
        <v>44648</v>
      </c>
      <c r="B95" s="932">
        <f t="shared" si="29"/>
        <v>44648.276388888888</v>
      </c>
      <c r="C95" s="932">
        <f t="shared" si="30"/>
        <v>44648.316666666666</v>
      </c>
      <c r="D95" s="932">
        <f t="shared" si="31"/>
        <v>44648.834722222222</v>
      </c>
      <c r="E95" s="932">
        <f t="shared" si="32"/>
        <v>44648.875</v>
      </c>
      <c r="F95" s="932">
        <f t="shared" si="33"/>
        <v>44648.25</v>
      </c>
      <c r="G95" s="932">
        <f t="shared" si="34"/>
        <v>44648.678472222222</v>
      </c>
      <c r="H95" s="2">
        <f t="shared" si="36"/>
        <v>19</v>
      </c>
      <c r="I95" s="2">
        <v>55.382030343004061</v>
      </c>
      <c r="J95" s="1317">
        <v>3.2772359045172412</v>
      </c>
      <c r="AP95" s="1855">
        <f t="shared" si="24"/>
        <v>44569</v>
      </c>
      <c r="AQ95" s="925" t="str">
        <f t="shared" si="25"/>
        <v>SR</v>
      </c>
      <c r="AR95" s="1856">
        <f t="shared" si="26"/>
        <v>44569.333333333336</v>
      </c>
      <c r="AS95" s="927" t="s">
        <v>766</v>
      </c>
      <c r="AT95" s="1856" t="str">
        <f t="shared" si="40"/>
        <v/>
      </c>
      <c r="AU95" s="1856" t="str">
        <f t="shared" si="41"/>
        <v/>
      </c>
      <c r="AV95" s="1856" t="str">
        <f t="shared" si="42"/>
        <v/>
      </c>
      <c r="AW95" s="1856" t="str">
        <f t="shared" si="43"/>
        <v/>
      </c>
      <c r="AX95" s="1856" t="str">
        <f t="shared" si="44"/>
        <v/>
      </c>
      <c r="AY95" s="1856" t="str">
        <f t="shared" si="45"/>
        <v/>
      </c>
      <c r="BB95" s="1873">
        <v>28</v>
      </c>
      <c r="BC95" s="1880">
        <v>0.25</v>
      </c>
      <c r="BD95" s="1880" t="s">
        <v>786</v>
      </c>
      <c r="BE95" s="1880">
        <v>0.67847222222222225</v>
      </c>
      <c r="BF95" s="1880" t="s">
        <v>779</v>
      </c>
      <c r="BG95" s="1879" t="s">
        <v>241</v>
      </c>
      <c r="BH95" s="1880">
        <v>0.46180555555555558</v>
      </c>
      <c r="BI95" s="1879" t="s">
        <v>932</v>
      </c>
      <c r="BJ95" s="1881">
        <v>232991</v>
      </c>
      <c r="BK95" s="1882">
        <v>0.153</v>
      </c>
      <c r="BL95" s="1619">
        <f t="shared" si="27"/>
        <v>44648</v>
      </c>
      <c r="BM95" s="1856">
        <f t="shared" si="38"/>
        <v>0.46180555555555558</v>
      </c>
      <c r="BN95" s="934">
        <f t="shared" si="39"/>
        <v>32.4</v>
      </c>
    </row>
    <row r="96" spans="1:66" ht="14.5">
      <c r="A96" s="1">
        <f t="shared" si="35"/>
        <v>44649</v>
      </c>
      <c r="B96" s="932">
        <f t="shared" si="29"/>
        <v>44649.275694444441</v>
      </c>
      <c r="C96" s="932">
        <f t="shared" si="30"/>
        <v>44649.315277777772</v>
      </c>
      <c r="D96" s="932">
        <f t="shared" si="31"/>
        <v>44649.835416666669</v>
      </c>
      <c r="E96" s="932">
        <f t="shared" si="32"/>
        <v>44649.875694444447</v>
      </c>
      <c r="F96" s="932">
        <f t="shared" si="33"/>
        <v>44649.273611111108</v>
      </c>
      <c r="G96" s="932">
        <f t="shared" si="34"/>
        <v>44649.727083333339</v>
      </c>
      <c r="H96" s="2">
        <f t="shared" si="36"/>
        <v>11</v>
      </c>
      <c r="I96" s="2">
        <v>55.772429656820712</v>
      </c>
      <c r="J96" s="1317">
        <v>3.666597597428944</v>
      </c>
      <c r="AP96" s="1855">
        <f t="shared" si="24"/>
        <v>44569</v>
      </c>
      <c r="AQ96" s="925" t="str">
        <f t="shared" si="25"/>
        <v>MR</v>
      </c>
      <c r="AR96" s="1856">
        <f t="shared" si="26"/>
        <v>44569.504166666666</v>
      </c>
      <c r="AS96" s="927" t="s">
        <v>939</v>
      </c>
      <c r="AT96" s="1856" t="str">
        <f t="shared" si="40"/>
        <v/>
      </c>
      <c r="AU96" s="1856" t="str">
        <f t="shared" si="41"/>
        <v/>
      </c>
      <c r="AV96" s="1856" t="str">
        <f t="shared" si="42"/>
        <v/>
      </c>
      <c r="AW96" s="1856" t="str">
        <f t="shared" si="43"/>
        <v/>
      </c>
      <c r="AX96" s="1856" t="str">
        <f t="shared" si="44"/>
        <v/>
      </c>
      <c r="AY96" s="1856" t="str">
        <f t="shared" si="45"/>
        <v/>
      </c>
      <c r="BB96" s="1873">
        <v>29</v>
      </c>
      <c r="BC96" s="1880">
        <v>0.27361111111111108</v>
      </c>
      <c r="BD96" s="1880" t="s">
        <v>940</v>
      </c>
      <c r="BE96" s="1880">
        <v>0.72638888888888886</v>
      </c>
      <c r="BF96" s="1880" t="s">
        <v>769</v>
      </c>
      <c r="BG96" s="1879" t="s">
        <v>241</v>
      </c>
      <c r="BH96" s="1880">
        <v>0.49722222222222223</v>
      </c>
      <c r="BI96" s="1879" t="s">
        <v>941</v>
      </c>
      <c r="BJ96" s="1881">
        <v>234590</v>
      </c>
      <c r="BK96" s="1882">
        <v>0.08</v>
      </c>
      <c r="BL96" s="1619">
        <f t="shared" si="27"/>
        <v>44649</v>
      </c>
      <c r="BM96" s="1856">
        <f t="shared" si="38"/>
        <v>0.49722222222222223</v>
      </c>
      <c r="BN96" s="934">
        <f t="shared" si="39"/>
        <v>37.6</v>
      </c>
    </row>
    <row r="97" spans="1:66" ht="14.5">
      <c r="A97" s="1">
        <f t="shared" si="35"/>
        <v>44650</v>
      </c>
      <c r="B97" s="932">
        <f t="shared" si="29"/>
        <v>44650.274305555555</v>
      </c>
      <c r="C97" s="932">
        <f t="shared" si="30"/>
        <v>44650.314583333333</v>
      </c>
      <c r="D97" s="932">
        <f t="shared" si="31"/>
        <v>44650.836111111115</v>
      </c>
      <c r="E97" s="932">
        <f t="shared" si="32"/>
        <v>44650.876388888886</v>
      </c>
      <c r="F97" s="932">
        <f t="shared" si="33"/>
        <v>44650.294444444444</v>
      </c>
      <c r="G97" s="932">
        <f t="shared" si="34"/>
        <v>44650.774305555555</v>
      </c>
      <c r="H97" s="2">
        <f t="shared" si="36"/>
        <v>5</v>
      </c>
      <c r="I97" s="2">
        <v>56.161564379640517</v>
      </c>
      <c r="J97" s="1317">
        <v>4.0548126750614975</v>
      </c>
      <c r="AP97" s="1855">
        <f t="shared" si="24"/>
        <v>44569</v>
      </c>
      <c r="AQ97" s="925" t="str">
        <f t="shared" si="25"/>
        <v>SS</v>
      </c>
      <c r="AR97" s="1856">
        <f t="shared" si="26"/>
        <v>44569.736805555556</v>
      </c>
      <c r="AS97" s="927" t="s">
        <v>942</v>
      </c>
      <c r="AT97" s="1856" t="str">
        <f t="shared" si="40"/>
        <v/>
      </c>
      <c r="AU97" s="1856" t="str">
        <f t="shared" si="41"/>
        <v/>
      </c>
      <c r="AV97" s="1856" t="str">
        <f t="shared" si="42"/>
        <v/>
      </c>
      <c r="AW97" s="1856" t="str">
        <f t="shared" si="43"/>
        <v/>
      </c>
      <c r="AX97" s="1856" t="str">
        <f t="shared" si="44"/>
        <v/>
      </c>
      <c r="AY97" s="1856" t="str">
        <f t="shared" si="45"/>
        <v/>
      </c>
      <c r="BB97" s="1873">
        <v>30</v>
      </c>
      <c r="BC97" s="1880">
        <v>0.29375000000000001</v>
      </c>
      <c r="BD97" s="1880" t="s">
        <v>768</v>
      </c>
      <c r="BE97" s="1880">
        <v>0.77361111111111114</v>
      </c>
      <c r="BF97" s="1880" t="s">
        <v>757</v>
      </c>
      <c r="BG97" s="1879" t="s">
        <v>241</v>
      </c>
      <c r="BH97" s="1880">
        <v>0.53055555555555556</v>
      </c>
      <c r="BI97" s="1879" t="s">
        <v>943</v>
      </c>
      <c r="BJ97" s="1881">
        <v>236520</v>
      </c>
      <c r="BK97" s="1882">
        <v>0.03</v>
      </c>
      <c r="BL97" s="1619">
        <f t="shared" si="27"/>
        <v>44650</v>
      </c>
      <c r="BM97" s="1856">
        <f t="shared" si="38"/>
        <v>0.53055555555555556</v>
      </c>
      <c r="BN97" s="934">
        <f t="shared" si="39"/>
        <v>43.5</v>
      </c>
    </row>
    <row r="98" spans="1:66" ht="14.5">
      <c r="A98" s="1">
        <f t="shared" si="35"/>
        <v>44651</v>
      </c>
      <c r="B98" s="932">
        <f t="shared" si="29"/>
        <v>44651.273611111108</v>
      </c>
      <c r="C98" s="932">
        <f t="shared" si="30"/>
        <v>44651.313194444439</v>
      </c>
      <c r="D98" s="932">
        <f t="shared" si="31"/>
        <v>44651.836805555555</v>
      </c>
      <c r="E98" s="932">
        <f t="shared" si="32"/>
        <v>44651.877083333333</v>
      </c>
      <c r="F98" s="932">
        <f t="shared" si="33"/>
        <v>44651.3125</v>
      </c>
      <c r="G98" s="932">
        <f t="shared" si="34"/>
        <v>44651.819444444445</v>
      </c>
      <c r="H98" s="2">
        <f t="shared" si="36"/>
        <v>1</v>
      </c>
      <c r="I98" s="2">
        <v>56.549334218007182</v>
      </c>
      <c r="J98" s="1317">
        <v>4.4417837947495524</v>
      </c>
      <c r="AP98" s="1855">
        <f t="shared" si="24"/>
        <v>44569</v>
      </c>
      <c r="AQ98" s="925" t="str">
        <f t="shared" si="25"/>
        <v>EENT</v>
      </c>
      <c r="AR98" s="1856">
        <f t="shared" si="26"/>
        <v>44569.779861111114</v>
      </c>
      <c r="AS98" s="927" t="s">
        <v>944</v>
      </c>
      <c r="AT98" s="1856" t="str">
        <f t="shared" si="40"/>
        <v/>
      </c>
      <c r="AU98" s="1856" t="str">
        <f t="shared" si="41"/>
        <v/>
      </c>
      <c r="AV98" s="1856" t="str">
        <f t="shared" si="42"/>
        <v/>
      </c>
      <c r="AW98" s="1856" t="str">
        <f t="shared" si="43"/>
        <v/>
      </c>
      <c r="AX98" s="1856" t="str">
        <f t="shared" si="44"/>
        <v/>
      </c>
      <c r="AY98" s="1856" t="str">
        <f t="shared" si="45"/>
        <v/>
      </c>
      <c r="BB98" s="1873">
        <v>31</v>
      </c>
      <c r="BC98" s="1880">
        <v>0.31180555555555556</v>
      </c>
      <c r="BD98" s="1880" t="s">
        <v>945</v>
      </c>
      <c r="BE98" s="1880">
        <v>0.81874999999999998</v>
      </c>
      <c r="BF98" s="1880" t="s">
        <v>946</v>
      </c>
      <c r="BG98" s="1879" t="s">
        <v>241</v>
      </c>
      <c r="BH98" s="1880">
        <v>0.56180555555555556</v>
      </c>
      <c r="BI98" s="1879" t="s">
        <v>947</v>
      </c>
      <c r="BJ98" s="1881">
        <v>238744</v>
      </c>
      <c r="BK98" s="1882">
        <v>4.0000000000000001E-3</v>
      </c>
      <c r="BL98" s="1619">
        <f t="shared" si="27"/>
        <v>44651</v>
      </c>
      <c r="BM98" s="1856">
        <f t="shared" si="38"/>
        <v>0.56180555555555556</v>
      </c>
      <c r="BN98" s="934">
        <f t="shared" si="39"/>
        <v>49.7</v>
      </c>
    </row>
    <row r="99" spans="1:66" ht="14.5">
      <c r="A99" s="1">
        <f t="shared" si="35"/>
        <v>44652</v>
      </c>
      <c r="B99" s="932">
        <f t="shared" si="29"/>
        <v>44652.272222222222</v>
      </c>
      <c r="C99" s="932">
        <f t="shared" si="30"/>
        <v>44652.3125</v>
      </c>
      <c r="D99" s="932">
        <f t="shared" si="31"/>
        <v>44652.837500000001</v>
      </c>
      <c r="E99" s="932">
        <f t="shared" si="32"/>
        <v>44652.87777777778</v>
      </c>
      <c r="F99" s="932">
        <f t="shared" si="33"/>
        <v>44652.329861111109</v>
      </c>
      <c r="G99" s="932">
        <f t="shared" si="34"/>
        <v>44652.863888888889</v>
      </c>
      <c r="H99" s="2">
        <f t="shared" si="36"/>
        <v>0</v>
      </c>
      <c r="I99" s="2">
        <v>56.935639659614665</v>
      </c>
      <c r="J99" s="1317">
        <v>4.8274139045971891</v>
      </c>
      <c r="AP99" s="1855">
        <f t="shared" si="24"/>
        <v>44569</v>
      </c>
      <c r="AQ99" s="925" t="str">
        <f t="shared" si="25"/>
        <v>MS</v>
      </c>
      <c r="AR99" s="1856" t="str">
        <f t="shared" si="26"/>
        <v>NONE</v>
      </c>
      <c r="AS99" s="927" t="s">
        <v>948</v>
      </c>
      <c r="AT99" s="1856" t="str">
        <f t="shared" si="40"/>
        <v/>
      </c>
      <c r="AU99" s="1856" t="str">
        <f t="shared" si="41"/>
        <v/>
      </c>
      <c r="AV99" s="1856" t="str">
        <f t="shared" si="42"/>
        <v/>
      </c>
      <c r="AW99" s="1856" t="str">
        <f t="shared" si="43"/>
        <v/>
      </c>
      <c r="AX99" s="1856" t="str">
        <f t="shared" si="44"/>
        <v/>
      </c>
      <c r="AY99" s="1856" t="str">
        <f t="shared" si="45"/>
        <v/>
      </c>
      <c r="BB99" s="1873">
        <v>1</v>
      </c>
      <c r="BC99" s="1880">
        <v>0.3298611111111111</v>
      </c>
      <c r="BD99" s="1880" t="s">
        <v>671</v>
      </c>
      <c r="BE99" s="1880">
        <v>0.86319444444444438</v>
      </c>
      <c r="BF99" s="1880" t="s">
        <v>740</v>
      </c>
      <c r="BG99" s="1880" t="s">
        <v>241</v>
      </c>
      <c r="BH99" s="1880">
        <v>0.59305555555555556</v>
      </c>
      <c r="BI99" s="1881" t="s">
        <v>949</v>
      </c>
      <c r="BJ99" s="1881">
        <v>241178</v>
      </c>
      <c r="BK99" s="1882">
        <v>3.0000000000000001E-3</v>
      </c>
      <c r="BL99" s="1619">
        <f t="shared" si="27"/>
        <v>44652</v>
      </c>
      <c r="BM99" s="1856">
        <f t="shared" si="38"/>
        <v>0.59305555555555556</v>
      </c>
      <c r="BN99" s="934">
        <f t="shared" si="39"/>
        <v>55.9</v>
      </c>
    </row>
    <row r="100" spans="1:66" ht="14.5">
      <c r="A100" s="1">
        <f t="shared" si="35"/>
        <v>44653</v>
      </c>
      <c r="B100" s="932">
        <f t="shared" si="29"/>
        <v>44653.270833333336</v>
      </c>
      <c r="C100" s="932">
        <f t="shared" si="30"/>
        <v>44653.311111111107</v>
      </c>
      <c r="D100" s="932">
        <f t="shared" si="31"/>
        <v>44653.838194444448</v>
      </c>
      <c r="E100" s="932">
        <f t="shared" si="32"/>
        <v>44653.878472222219</v>
      </c>
      <c r="F100" s="932">
        <f t="shared" si="33"/>
        <v>44653.347222222226</v>
      </c>
      <c r="G100" s="932">
        <f t="shared" si="34"/>
        <v>44653.907638888886</v>
      </c>
      <c r="H100" s="2">
        <f t="shared" si="36"/>
        <v>1</v>
      </c>
      <c r="I100" s="2">
        <v>57.320381975975835</v>
      </c>
      <c r="J100" s="1317">
        <v>5.2116062339855933</v>
      </c>
      <c r="AP100" s="1855">
        <f t="shared" si="24"/>
        <v>44570</v>
      </c>
      <c r="AQ100" s="925" t="str">
        <f t="shared" si="25"/>
        <v/>
      </c>
      <c r="AR100" s="1856" t="str">
        <f t="shared" si="26"/>
        <v/>
      </c>
      <c r="AS100" s="927">
        <v>9</v>
      </c>
      <c r="AT100" s="1856">
        <f t="shared" si="40"/>
        <v>44570.290277777778</v>
      </c>
      <c r="AU100" s="1856">
        <f t="shared" si="41"/>
        <v>44570.333333333336</v>
      </c>
      <c r="AV100" s="1856">
        <f t="shared" si="42"/>
        <v>44570.737500000003</v>
      </c>
      <c r="AW100" s="1856">
        <f t="shared" si="43"/>
        <v>44570.779861111114</v>
      </c>
      <c r="AX100" s="1856">
        <f t="shared" si="44"/>
        <v>44570.521527777775</v>
      </c>
      <c r="AY100" s="1856">
        <f t="shared" si="45"/>
        <v>44570.018750000003</v>
      </c>
      <c r="AZ100" s="1853">
        <v>0.45</v>
      </c>
      <c r="BB100" s="1873">
        <v>2</v>
      </c>
      <c r="BC100" s="1880">
        <v>0.34722222222222227</v>
      </c>
      <c r="BD100" s="1879" t="s">
        <v>566</v>
      </c>
      <c r="BE100" s="1880">
        <v>0.90694444444444444</v>
      </c>
      <c r="BF100" s="1879" t="s">
        <v>950</v>
      </c>
      <c r="BG100" s="1879" t="s">
        <v>241</v>
      </c>
      <c r="BH100" s="1880">
        <v>0.62361111111111112</v>
      </c>
      <c r="BI100" s="1879" t="s">
        <v>951</v>
      </c>
      <c r="BJ100" s="1881">
        <v>243692</v>
      </c>
      <c r="BK100" s="1882">
        <v>2.5000000000000001E-2</v>
      </c>
      <c r="BL100" s="1619">
        <f t="shared" si="27"/>
        <v>44653</v>
      </c>
      <c r="BM100" s="1856">
        <f t="shared" si="37"/>
        <v>0.62361111111111112</v>
      </c>
      <c r="BN100" s="934">
        <f t="shared" si="28"/>
        <v>61.7</v>
      </c>
    </row>
    <row r="101" spans="1:66" ht="14.5">
      <c r="A101" s="1">
        <f t="shared" si="35"/>
        <v>44654</v>
      </c>
      <c r="B101" s="932">
        <f t="shared" si="29"/>
        <v>44654.270138888889</v>
      </c>
      <c r="C101" s="932">
        <f t="shared" si="30"/>
        <v>44654.310416666667</v>
      </c>
      <c r="D101" s="932">
        <f t="shared" si="31"/>
        <v>44654.838888888895</v>
      </c>
      <c r="E101" s="932">
        <f t="shared" si="32"/>
        <v>44654.879166666666</v>
      </c>
      <c r="F101" s="932">
        <f t="shared" si="33"/>
        <v>44654.365972222222</v>
      </c>
      <c r="G101" s="932">
        <f t="shared" si="34"/>
        <v>44654.951388888883</v>
      </c>
      <c r="H101" s="2">
        <f t="shared" si="36"/>
        <v>4</v>
      </c>
      <c r="I101" s="2">
        <v>57.703463224377586</v>
      </c>
      <c r="J101" s="1317">
        <v>5.5942642846540274</v>
      </c>
      <c r="AP101" s="1855">
        <f t="shared" ref="AP101:AP164" si="46">IF(ISNUMBER(AS101),AP100+1,AP100)</f>
        <v>44570</v>
      </c>
      <c r="AQ101" s="925" t="str">
        <f t="shared" ref="AQ101:AQ164" si="47">IF(NOT(ISNUMBER(FIND(":",AS101))),"",IF(ISNUMBER(FIND("Sunr",AS101)),"SR", IF(ISNUMBER(FIND("Suns",AS101)),"SS",IF(ISNUMBER(FIND("Moonr",AS101)),"MR",IF(ISNUMBER(FIND("Moons",AS101)),"MS",IF(ISNUMBER(FIND("Twi",AS101)),IF(HOUR(AR101)&lt;12,"BMNT","EENT")))))))</f>
        <v/>
      </c>
      <c r="AR101" s="1856" t="str">
        <f t="shared" si="26"/>
        <v/>
      </c>
      <c r="AS101" s="927" t="s">
        <v>252</v>
      </c>
      <c r="AT101" s="1856" t="str">
        <f t="shared" si="40"/>
        <v/>
      </c>
      <c r="AU101" s="1856" t="str">
        <f t="shared" si="41"/>
        <v/>
      </c>
      <c r="AV101" s="1856" t="str">
        <f t="shared" si="42"/>
        <v/>
      </c>
      <c r="AW101" s="1856" t="str">
        <f t="shared" si="43"/>
        <v/>
      </c>
      <c r="AX101" s="1856" t="str">
        <f t="shared" si="44"/>
        <v/>
      </c>
      <c r="AY101" s="1856" t="str">
        <f t="shared" si="45"/>
        <v/>
      </c>
      <c r="BB101" s="1873">
        <v>3</v>
      </c>
      <c r="BC101" s="1880">
        <v>0.36527777777777781</v>
      </c>
      <c r="BD101" s="1879" t="s">
        <v>727</v>
      </c>
      <c r="BE101" s="1880">
        <v>0.95000000000000007</v>
      </c>
      <c r="BF101" s="1879" t="s">
        <v>952</v>
      </c>
      <c r="BG101" s="1879" t="s">
        <v>241</v>
      </c>
      <c r="BH101" s="1880">
        <v>0.65416666666666667</v>
      </c>
      <c r="BI101" s="1879" t="s">
        <v>953</v>
      </c>
      <c r="BJ101" s="1881">
        <v>246120</v>
      </c>
      <c r="BK101" s="1882">
        <v>6.7000000000000004E-2</v>
      </c>
      <c r="BL101" s="1619">
        <f t="shared" si="27"/>
        <v>44654</v>
      </c>
      <c r="BM101" s="1856">
        <f t="shared" si="37"/>
        <v>0.65416666666666667</v>
      </c>
      <c r="BN101" s="934">
        <f t="shared" si="28"/>
        <v>67</v>
      </c>
    </row>
    <row r="102" spans="1:66" ht="14.5">
      <c r="A102" s="1">
        <f t="shared" si="35"/>
        <v>44655</v>
      </c>
      <c r="B102" s="932">
        <f t="shared" si="29"/>
        <v>44655.268750000003</v>
      </c>
      <c r="C102" s="932">
        <f t="shared" si="30"/>
        <v>44655.309027777774</v>
      </c>
      <c r="D102" s="932">
        <f t="shared" si="31"/>
        <v>44655.839583333334</v>
      </c>
      <c r="E102" s="932">
        <f t="shared" si="32"/>
        <v>44655.879861111112</v>
      </c>
      <c r="F102" s="932">
        <f t="shared" si="33"/>
        <v>44655.385416666664</v>
      </c>
      <c r="G102" s="932">
        <f t="shared" si="34"/>
        <v>44655.994444444448</v>
      </c>
      <c r="H102" s="2">
        <f t="shared" si="36"/>
        <v>9</v>
      </c>
      <c r="I102" s="2">
        <v>58.084786249104845</v>
      </c>
      <c r="J102" s="1317">
        <v>5.9752918223985612</v>
      </c>
      <c r="AP102" s="1855">
        <f t="shared" si="46"/>
        <v>44570</v>
      </c>
      <c r="AQ102" s="925" t="str">
        <f t="shared" si="47"/>
        <v/>
      </c>
      <c r="AR102" s="1856" t="str">
        <f t="shared" si="26"/>
        <v/>
      </c>
      <c r="AT102" s="1856" t="str">
        <f t="shared" si="40"/>
        <v/>
      </c>
      <c r="AU102" s="1856" t="str">
        <f t="shared" si="41"/>
        <v/>
      </c>
      <c r="AV102" s="1856" t="str">
        <f t="shared" si="42"/>
        <v/>
      </c>
      <c r="AW102" s="1856" t="str">
        <f t="shared" si="43"/>
        <v/>
      </c>
      <c r="AX102" s="1856" t="str">
        <f t="shared" si="44"/>
        <v/>
      </c>
      <c r="AY102" s="1856" t="str">
        <f t="shared" si="45"/>
        <v/>
      </c>
      <c r="BB102" s="1873">
        <v>4</v>
      </c>
      <c r="BC102" s="1880">
        <v>0.38541666666666669</v>
      </c>
      <c r="BD102" s="1879" t="s">
        <v>644</v>
      </c>
      <c r="BE102" s="1880">
        <v>0.99375000000000002</v>
      </c>
      <c r="BF102" s="1879" t="s">
        <v>667</v>
      </c>
      <c r="BG102" s="1879" t="s">
        <v>241</v>
      </c>
      <c r="BH102" s="1880">
        <v>0.68611111111111101</v>
      </c>
      <c r="BI102" s="1879" t="s">
        <v>954</v>
      </c>
      <c r="BJ102" s="1881">
        <v>248272</v>
      </c>
      <c r="BK102" s="1882">
        <v>0.127</v>
      </c>
      <c r="BL102" s="1619">
        <f t="shared" si="27"/>
        <v>44655</v>
      </c>
      <c r="BM102" s="1856">
        <f t="shared" si="37"/>
        <v>0.68611111111111101</v>
      </c>
      <c r="BN102" s="934">
        <f t="shared" si="28"/>
        <v>71.599999999999994</v>
      </c>
    </row>
    <row r="103" spans="1:66" ht="14.5">
      <c r="A103" s="1">
        <f t="shared" si="35"/>
        <v>44656</v>
      </c>
      <c r="B103" s="932">
        <f t="shared" si="29"/>
        <v>44656.268055555556</v>
      </c>
      <c r="C103" s="932">
        <f t="shared" si="30"/>
        <v>44656.308333333334</v>
      </c>
      <c r="D103" s="932">
        <f t="shared" si="31"/>
        <v>44656.840277777781</v>
      </c>
      <c r="E103" s="932">
        <f t="shared" si="32"/>
        <v>44656.880555555559</v>
      </c>
      <c r="F103" s="932">
        <f t="shared" si="33"/>
        <v>44656.408333333333</v>
      </c>
      <c r="G103" s="932" t="str">
        <f t="shared" si="34"/>
        <v>NONE</v>
      </c>
      <c r="H103" s="2">
        <f t="shared" si="36"/>
        <v>15</v>
      </c>
      <c r="I103" s="2">
        <v>58.464254681948553</v>
      </c>
      <c r="J103" s="1317">
        <v>6.3545928694690597</v>
      </c>
      <c r="AP103" s="1855">
        <f t="shared" si="46"/>
        <v>44570</v>
      </c>
      <c r="AQ103" s="925" t="str">
        <f t="shared" si="47"/>
        <v>MS</v>
      </c>
      <c r="AR103" s="1856">
        <f t="shared" si="26"/>
        <v>44570.018750000003</v>
      </c>
      <c r="AS103" s="927" t="s">
        <v>955</v>
      </c>
      <c r="AT103" s="1856" t="str">
        <f t="shared" si="40"/>
        <v/>
      </c>
      <c r="AU103" s="1856" t="str">
        <f t="shared" si="41"/>
        <v/>
      </c>
      <c r="AV103" s="1856" t="str">
        <f t="shared" si="42"/>
        <v/>
      </c>
      <c r="AW103" s="1856" t="str">
        <f t="shared" si="43"/>
        <v/>
      </c>
      <c r="AX103" s="1856" t="str">
        <f t="shared" si="44"/>
        <v/>
      </c>
      <c r="AY103" s="1856" t="str">
        <f t="shared" si="45"/>
        <v/>
      </c>
      <c r="BB103" s="1873">
        <v>5</v>
      </c>
      <c r="BC103" s="1880">
        <v>0.40763888888888888</v>
      </c>
      <c r="BD103" s="1879" t="s">
        <v>668</v>
      </c>
      <c r="BE103" s="1880" t="s">
        <v>241</v>
      </c>
      <c r="BF103" s="1879" t="s">
        <v>241</v>
      </c>
      <c r="BG103" s="1880">
        <v>0.71875</v>
      </c>
      <c r="BH103" s="1880" t="s">
        <v>956</v>
      </c>
      <c r="BI103" s="1881">
        <v>249959</v>
      </c>
      <c r="BJ103" s="1881">
        <v>0.2</v>
      </c>
      <c r="BK103" s="1882"/>
      <c r="BL103" s="1619">
        <f t="shared" si="27"/>
        <v>44656</v>
      </c>
      <c r="BM103" s="1856">
        <f t="shared" si="37"/>
        <v>0.71875</v>
      </c>
      <c r="BN103" s="934">
        <f t="shared" si="28"/>
        <v>75.099999999999994</v>
      </c>
    </row>
    <row r="104" spans="1:66" ht="14.5">
      <c r="A104" s="1">
        <f t="shared" si="35"/>
        <v>44657</v>
      </c>
      <c r="B104" s="932">
        <f t="shared" si="29"/>
        <v>44657.26666666667</v>
      </c>
      <c r="C104" s="932">
        <f t="shared" si="30"/>
        <v>44657.306944444441</v>
      </c>
      <c r="D104" s="932">
        <f t="shared" si="31"/>
        <v>44657.840972222228</v>
      </c>
      <c r="E104" s="932">
        <f t="shared" si="32"/>
        <v>44657.881249999999</v>
      </c>
      <c r="F104" s="932">
        <f t="shared" si="33"/>
        <v>44657.434027777774</v>
      </c>
      <c r="G104" s="932">
        <f t="shared" si="34"/>
        <v>44657.036111111112</v>
      </c>
      <c r="H104" s="2">
        <f t="shared" si="36"/>
        <v>23</v>
      </c>
      <c r="I104" s="2">
        <v>58.841772941969325</v>
      </c>
      <c r="J104" s="1317">
        <v>6.7320716977059707</v>
      </c>
      <c r="AP104" s="1855">
        <f t="shared" si="46"/>
        <v>44570</v>
      </c>
      <c r="AQ104" s="925" t="str">
        <f t="shared" si="47"/>
        <v>BMNT</v>
      </c>
      <c r="AR104" s="1856">
        <f t="shared" si="26"/>
        <v>44570.290277777778</v>
      </c>
      <c r="AS104" s="927" t="s">
        <v>814</v>
      </c>
      <c r="AT104" s="1856" t="str">
        <f t="shared" si="40"/>
        <v/>
      </c>
      <c r="AU104" s="1856" t="str">
        <f t="shared" si="41"/>
        <v/>
      </c>
      <c r="AV104" s="1856" t="str">
        <f t="shared" si="42"/>
        <v/>
      </c>
      <c r="AW104" s="1856" t="str">
        <f t="shared" si="43"/>
        <v/>
      </c>
      <c r="AX104" s="1856" t="str">
        <f t="shared" si="44"/>
        <v/>
      </c>
      <c r="AY104" s="1856" t="str">
        <f t="shared" si="45"/>
        <v/>
      </c>
      <c r="BB104" s="1873">
        <v>6</v>
      </c>
      <c r="BC104" s="1880" t="s">
        <v>241</v>
      </c>
      <c r="BD104" s="1880">
        <v>3.5416666666666666E-2</v>
      </c>
      <c r="BE104" s="1880" t="s">
        <v>677</v>
      </c>
      <c r="BF104" s="1880">
        <v>0.43402777777777773</v>
      </c>
      <c r="BG104" s="1879" t="s">
        <v>624</v>
      </c>
      <c r="BH104" s="1880">
        <v>0.75347222222222221</v>
      </c>
      <c r="BI104" s="1879" t="s">
        <v>957</v>
      </c>
      <c r="BJ104" s="1881">
        <v>251010</v>
      </c>
      <c r="BK104" s="1882">
        <v>0.28499999999999998</v>
      </c>
      <c r="BL104" s="1619">
        <f t="shared" si="27"/>
        <v>44657</v>
      </c>
      <c r="BM104" s="1856">
        <f t="shared" si="37"/>
        <v>0.75347222222222221</v>
      </c>
      <c r="BN104" s="934">
        <f t="shared" si="28"/>
        <v>77.599999999999994</v>
      </c>
    </row>
    <row r="105" spans="1:66" ht="14.5">
      <c r="A105" s="1">
        <f t="shared" si="35"/>
        <v>44658</v>
      </c>
      <c r="B105" s="932">
        <f t="shared" si="29"/>
        <v>44658.265277777777</v>
      </c>
      <c r="C105" s="932">
        <f t="shared" si="30"/>
        <v>44658.306249999994</v>
      </c>
      <c r="D105" s="932">
        <f t="shared" si="31"/>
        <v>44658.840972222228</v>
      </c>
      <c r="E105" s="932">
        <f t="shared" si="32"/>
        <v>44658.881944444445</v>
      </c>
      <c r="F105" s="932">
        <f t="shared" si="33"/>
        <v>44658.464583333334</v>
      </c>
      <c r="G105" s="932">
        <f t="shared" si="34"/>
        <v>44658.076388888883</v>
      </c>
      <c r="H105" s="2">
        <f t="shared" si="36"/>
        <v>31</v>
      </c>
      <c r="I105" s="2">
        <v>59.217246234520765</v>
      </c>
      <c r="J105" s="1317">
        <v>7.1076328224937999</v>
      </c>
      <c r="AP105" s="1855">
        <f t="shared" si="46"/>
        <v>44570</v>
      </c>
      <c r="AQ105" s="925" t="str">
        <f t="shared" si="47"/>
        <v>SR</v>
      </c>
      <c r="AR105" s="1856">
        <f t="shared" ref="AR105:AR168" si="48">IF(NOT(ISNUMBER(FIND(":",AS105))),"",IF(ISNUMBER(FIND(" none",AS105)),"NONE",AP105+LEFT(RIGHT(AS105,5),2)/24+RIGHT(AS105,2)/1440))</f>
        <v>44570.333333333336</v>
      </c>
      <c r="AS105" s="927" t="s">
        <v>766</v>
      </c>
      <c r="AT105" s="1856" t="str">
        <f t="shared" si="40"/>
        <v/>
      </c>
      <c r="AU105" s="1856" t="str">
        <f t="shared" si="41"/>
        <v/>
      </c>
      <c r="AV105" s="1856" t="str">
        <f t="shared" si="42"/>
        <v/>
      </c>
      <c r="AW105" s="1856" t="str">
        <f t="shared" si="43"/>
        <v/>
      </c>
      <c r="AX105" s="1856" t="str">
        <f t="shared" si="44"/>
        <v/>
      </c>
      <c r="AY105" s="1856" t="str">
        <f t="shared" si="45"/>
        <v/>
      </c>
      <c r="BB105" s="1873">
        <v>7</v>
      </c>
      <c r="BC105" s="1880" t="s">
        <v>241</v>
      </c>
      <c r="BD105" s="1880">
        <v>7.5694444444444439E-2</v>
      </c>
      <c r="BE105" s="1880" t="s">
        <v>694</v>
      </c>
      <c r="BF105" s="1880">
        <v>0.46388888888888885</v>
      </c>
      <c r="BG105" s="1879" t="s">
        <v>685</v>
      </c>
      <c r="BH105" s="1880">
        <v>0.78819444444444453</v>
      </c>
      <c r="BI105" s="1879" t="s">
        <v>958</v>
      </c>
      <c r="BJ105" s="1881">
        <v>251297</v>
      </c>
      <c r="BK105" s="1882">
        <v>0.377</v>
      </c>
      <c r="BL105" s="1619">
        <f t="shared" si="27"/>
        <v>44658</v>
      </c>
      <c r="BM105" s="1856">
        <f t="shared" si="37"/>
        <v>0.78819444444444453</v>
      </c>
      <c r="BN105" s="934">
        <f t="shared" si="28"/>
        <v>78.7</v>
      </c>
    </row>
    <row r="106" spans="1:66" ht="14.5">
      <c r="A106" s="1">
        <f t="shared" si="35"/>
        <v>44659</v>
      </c>
      <c r="B106" s="932">
        <f t="shared" si="29"/>
        <v>44659.26458333333</v>
      </c>
      <c r="C106" s="932">
        <f t="shared" si="30"/>
        <v>44659.304861111108</v>
      </c>
      <c r="D106" s="932">
        <f t="shared" si="31"/>
        <v>44659.841666666667</v>
      </c>
      <c r="E106" s="932">
        <f t="shared" si="32"/>
        <v>44659.882638888892</v>
      </c>
      <c r="F106" s="932">
        <f t="shared" si="33"/>
        <v>44659.499305555561</v>
      </c>
      <c r="G106" s="932">
        <f t="shared" si="34"/>
        <v>44659.113888888889</v>
      </c>
      <c r="H106" s="2">
        <f t="shared" si="36"/>
        <v>40</v>
      </c>
      <c r="I106" s="2">
        <v>59.590580549507948</v>
      </c>
      <c r="J106" s="1317">
        <v>7.4811809975833743</v>
      </c>
      <c r="AP106" s="1855">
        <f t="shared" si="46"/>
        <v>44570</v>
      </c>
      <c r="AQ106" s="925" t="str">
        <f t="shared" si="47"/>
        <v>MR</v>
      </c>
      <c r="AR106" s="1856">
        <f t="shared" si="48"/>
        <v>44570.521527777775</v>
      </c>
      <c r="AS106" s="927" t="s">
        <v>959</v>
      </c>
      <c r="AT106" s="1856" t="str">
        <f t="shared" si="40"/>
        <v/>
      </c>
      <c r="AU106" s="1856" t="str">
        <f t="shared" si="41"/>
        <v/>
      </c>
      <c r="AV106" s="1856" t="str">
        <f t="shared" si="42"/>
        <v/>
      </c>
      <c r="AW106" s="1856" t="str">
        <f t="shared" si="43"/>
        <v/>
      </c>
      <c r="AX106" s="1856" t="str">
        <f t="shared" si="44"/>
        <v/>
      </c>
      <c r="AY106" s="1856" t="str">
        <f t="shared" si="45"/>
        <v/>
      </c>
      <c r="BB106" s="1873">
        <v>8</v>
      </c>
      <c r="BC106" s="1880" t="s">
        <v>241</v>
      </c>
      <c r="BD106" s="1880">
        <v>0.11319444444444444</v>
      </c>
      <c r="BE106" s="1880" t="s">
        <v>960</v>
      </c>
      <c r="BF106" s="1880">
        <v>0.49861111111111112</v>
      </c>
      <c r="BG106" s="1879" t="s">
        <v>907</v>
      </c>
      <c r="BH106" s="1880">
        <v>0.82361111111111107</v>
      </c>
      <c r="BI106" s="1879" t="s">
        <v>908</v>
      </c>
      <c r="BJ106" s="1881">
        <v>250743</v>
      </c>
      <c r="BK106" s="1882">
        <v>0.47399999999999998</v>
      </c>
      <c r="BL106" s="1619">
        <f t="shared" si="27"/>
        <v>44659</v>
      </c>
      <c r="BM106" s="1856">
        <f t="shared" si="37"/>
        <v>0.82361111111111107</v>
      </c>
      <c r="BN106" s="934">
        <f t="shared" si="28"/>
        <v>78.599999999999994</v>
      </c>
    </row>
    <row r="107" spans="1:66" ht="14.5">
      <c r="A107" s="1">
        <f t="shared" si="35"/>
        <v>44660</v>
      </c>
      <c r="B107" s="932">
        <f t="shared" si="29"/>
        <v>44660.263194444444</v>
      </c>
      <c r="C107" s="932">
        <f t="shared" si="30"/>
        <v>44660.304166666661</v>
      </c>
      <c r="D107" s="932">
        <f t="shared" si="31"/>
        <v>44660.842361111114</v>
      </c>
      <c r="E107" s="932">
        <f t="shared" si="32"/>
        <v>44660.883333333331</v>
      </c>
      <c r="F107" s="932">
        <f t="shared" si="33"/>
        <v>44660.537499999999</v>
      </c>
      <c r="G107" s="932">
        <f t="shared" si="34"/>
        <v>44660.147222222222</v>
      </c>
      <c r="H107" s="2">
        <f t="shared" si="36"/>
        <v>49</v>
      </c>
      <c r="I107" s="2">
        <v>59.96168265886508</v>
      </c>
      <c r="J107" s="1317">
        <v>7.8526212108460349</v>
      </c>
      <c r="AP107" s="1855">
        <f t="shared" si="46"/>
        <v>44570</v>
      </c>
      <c r="AQ107" s="925" t="str">
        <f t="shared" si="47"/>
        <v>SS</v>
      </c>
      <c r="AR107" s="1856">
        <f t="shared" si="48"/>
        <v>44570.737500000003</v>
      </c>
      <c r="AS107" s="927" t="s">
        <v>961</v>
      </c>
      <c r="AT107" s="1856" t="str">
        <f t="shared" si="40"/>
        <v/>
      </c>
      <c r="AU107" s="1856" t="str">
        <f t="shared" si="41"/>
        <v/>
      </c>
      <c r="AV107" s="1856" t="str">
        <f t="shared" si="42"/>
        <v/>
      </c>
      <c r="AW107" s="1856" t="str">
        <f t="shared" si="43"/>
        <v/>
      </c>
      <c r="AX107" s="1856" t="str">
        <f t="shared" si="44"/>
        <v/>
      </c>
      <c r="AY107" s="1856" t="str">
        <f t="shared" si="45"/>
        <v/>
      </c>
      <c r="BB107" s="1873" t="s">
        <v>962</v>
      </c>
      <c r="BC107" s="1880" t="s">
        <v>241</v>
      </c>
      <c r="BD107" s="1880">
        <v>0.14722222222222223</v>
      </c>
      <c r="BE107" s="1880" t="s">
        <v>694</v>
      </c>
      <c r="BF107" s="1880">
        <v>0.53680555555555554</v>
      </c>
      <c r="BG107" s="1879" t="s">
        <v>608</v>
      </c>
      <c r="BH107" s="1880">
        <v>0.85833333333333339</v>
      </c>
      <c r="BI107" s="1879" t="s">
        <v>853</v>
      </c>
      <c r="BJ107" s="1881">
        <v>249343</v>
      </c>
      <c r="BK107" s="1882">
        <v>0.57199999999999995</v>
      </c>
      <c r="BL107" s="1619">
        <f t="shared" si="27"/>
        <v>44660</v>
      </c>
      <c r="BM107" s="1856">
        <f t="shared" si="37"/>
        <v>0.85833333333333339</v>
      </c>
      <c r="BN107" s="934">
        <f t="shared" si="28"/>
        <v>77</v>
      </c>
    </row>
    <row r="108" spans="1:66" ht="14.5">
      <c r="A108" s="1">
        <f t="shared" si="35"/>
        <v>44661</v>
      </c>
      <c r="B108" s="932">
        <f t="shared" si="29"/>
        <v>44661.262499999997</v>
      </c>
      <c r="C108" s="932">
        <f t="shared" si="30"/>
        <v>44661.302777777775</v>
      </c>
      <c r="D108" s="932">
        <f t="shared" si="31"/>
        <v>44661.843055555561</v>
      </c>
      <c r="E108" s="932">
        <f t="shared" si="32"/>
        <v>44661.884027777778</v>
      </c>
      <c r="F108" s="932">
        <f t="shared" si="33"/>
        <v>44661.579166666663</v>
      </c>
      <c r="G108" s="932">
        <f t="shared" si="34"/>
        <v>44661.176388888889</v>
      </c>
      <c r="H108" s="2">
        <f t="shared" si="36"/>
        <v>59</v>
      </c>
      <c r="I108" s="2">
        <v>60.330460113221157</v>
      </c>
      <c r="J108" s="1317">
        <v>8.2218586810108771</v>
      </c>
      <c r="AP108" s="1855">
        <f t="shared" si="46"/>
        <v>44570</v>
      </c>
      <c r="AQ108" s="925" t="str">
        <f t="shared" si="47"/>
        <v>EENT</v>
      </c>
      <c r="AR108" s="1856">
        <f t="shared" si="48"/>
        <v>44570.779861111114</v>
      </c>
      <c r="AS108" s="927" t="s">
        <v>944</v>
      </c>
      <c r="AT108" s="1856" t="str">
        <f t="shared" si="40"/>
        <v/>
      </c>
      <c r="AU108" s="1856" t="str">
        <f t="shared" si="41"/>
        <v/>
      </c>
      <c r="AV108" s="1856" t="str">
        <f t="shared" si="42"/>
        <v/>
      </c>
      <c r="AW108" s="1856" t="str">
        <f t="shared" si="43"/>
        <v/>
      </c>
      <c r="AX108" s="1856" t="str">
        <f t="shared" si="44"/>
        <v/>
      </c>
      <c r="AY108" s="1856" t="str">
        <f t="shared" si="45"/>
        <v/>
      </c>
      <c r="BB108" s="1879">
        <v>10</v>
      </c>
      <c r="BC108" s="1880" t="s">
        <v>241</v>
      </c>
      <c r="BD108" s="1880">
        <v>0.1763888888888889</v>
      </c>
      <c r="BE108" s="1880" t="s">
        <v>600</v>
      </c>
      <c r="BF108" s="1880">
        <v>0.57847222222222217</v>
      </c>
      <c r="BG108" s="1879" t="s">
        <v>854</v>
      </c>
      <c r="BH108" s="1880">
        <v>0.8930555555555556</v>
      </c>
      <c r="BI108" s="1879" t="s">
        <v>963</v>
      </c>
      <c r="BJ108" s="1881">
        <v>247164</v>
      </c>
      <c r="BK108" s="1882">
        <v>0.66900000000000004</v>
      </c>
      <c r="BL108" s="1619">
        <f t="shared" si="27"/>
        <v>44661</v>
      </c>
      <c r="BM108" s="1856">
        <f t="shared" si="37"/>
        <v>0.8930555555555556</v>
      </c>
      <c r="BN108" s="934">
        <f t="shared" si="28"/>
        <v>74.3</v>
      </c>
    </row>
    <row r="109" spans="1:66" ht="14.5">
      <c r="A109" s="1">
        <f t="shared" si="35"/>
        <v>44662</v>
      </c>
      <c r="B109" s="932">
        <f t="shared" si="29"/>
        <v>44662.261111111111</v>
      </c>
      <c r="C109" s="932">
        <f t="shared" si="30"/>
        <v>44662.302083333328</v>
      </c>
      <c r="D109" s="932">
        <f t="shared" si="31"/>
        <v>44662.84375</v>
      </c>
      <c r="E109" s="932">
        <f t="shared" si="32"/>
        <v>44662.884722222225</v>
      </c>
      <c r="F109" s="932">
        <f t="shared" si="33"/>
        <v>44662.622222222228</v>
      </c>
      <c r="G109" s="932">
        <f t="shared" si="34"/>
        <v>44662.20208333333</v>
      </c>
      <c r="H109" s="2">
        <f t="shared" si="36"/>
        <v>68</v>
      </c>
      <c r="I109" s="2">
        <v>60.696821237744281</v>
      </c>
      <c r="J109" s="1317">
        <v>8.588798855459217</v>
      </c>
      <c r="AP109" s="1855">
        <f t="shared" si="46"/>
        <v>44571</v>
      </c>
      <c r="AQ109" s="925" t="str">
        <f t="shared" si="47"/>
        <v/>
      </c>
      <c r="AR109" s="1856" t="str">
        <f t="shared" si="48"/>
        <v/>
      </c>
      <c r="AS109" s="927">
        <v>10</v>
      </c>
      <c r="AT109" s="1856">
        <f t="shared" si="40"/>
        <v>44571.290277777778</v>
      </c>
      <c r="AU109" s="1856">
        <f t="shared" si="41"/>
        <v>44571.333333333336</v>
      </c>
      <c r="AV109" s="1856">
        <f t="shared" si="42"/>
        <v>44571.73819444445</v>
      </c>
      <c r="AW109" s="1856">
        <f t="shared" si="43"/>
        <v>44571.780555555553</v>
      </c>
      <c r="AX109" s="1856">
        <f t="shared" si="44"/>
        <v>44571.538194444445</v>
      </c>
      <c r="AY109" s="1856">
        <f t="shared" si="45"/>
        <v>44571.061111111107</v>
      </c>
      <c r="AZ109" s="1853">
        <v>0.55000000000000004</v>
      </c>
      <c r="BB109" s="1879">
        <v>11</v>
      </c>
      <c r="BC109" s="1880" t="s">
        <v>241</v>
      </c>
      <c r="BD109" s="1880">
        <v>0.20138888888888887</v>
      </c>
      <c r="BE109" s="1880" t="s">
        <v>667</v>
      </c>
      <c r="BF109" s="1880">
        <v>0.62152777777777779</v>
      </c>
      <c r="BG109" s="1879" t="s">
        <v>964</v>
      </c>
      <c r="BH109" s="1880">
        <v>0.92638888888888893</v>
      </c>
      <c r="BI109" s="1879" t="s">
        <v>965</v>
      </c>
      <c r="BJ109" s="1881">
        <v>244349</v>
      </c>
      <c r="BK109" s="1882">
        <v>0.76200000000000001</v>
      </c>
      <c r="BL109" s="1619">
        <f t="shared" si="27"/>
        <v>44662</v>
      </c>
      <c r="BM109" s="1856">
        <f t="shared" si="37"/>
        <v>0.92638888888888893</v>
      </c>
      <c r="BN109" s="934">
        <f t="shared" si="28"/>
        <v>70.3</v>
      </c>
    </row>
    <row r="110" spans="1:66" ht="14.5">
      <c r="A110" s="1">
        <f t="shared" si="35"/>
        <v>44663</v>
      </c>
      <c r="B110" s="932">
        <f t="shared" si="29"/>
        <v>44663.259722222225</v>
      </c>
      <c r="C110" s="932">
        <f t="shared" si="30"/>
        <v>44663.300694444442</v>
      </c>
      <c r="D110" s="932">
        <f t="shared" si="31"/>
        <v>44663.844444444447</v>
      </c>
      <c r="E110" s="932">
        <f t="shared" si="32"/>
        <v>44663.885416666664</v>
      </c>
      <c r="F110" s="932">
        <f t="shared" si="33"/>
        <v>44663.666666666664</v>
      </c>
      <c r="G110" s="932">
        <f t="shared" si="34"/>
        <v>44663.224305555559</v>
      </c>
      <c r="H110" s="2">
        <f t="shared" si="36"/>
        <v>77</v>
      </c>
      <c r="I110" s="2">
        <v>61.060675127117818</v>
      </c>
      <c r="J110" s="1317">
        <v>8.9533474091147411</v>
      </c>
      <c r="AP110" s="1855">
        <f t="shared" si="46"/>
        <v>44571</v>
      </c>
      <c r="AQ110" s="925" t="str">
        <f t="shared" si="47"/>
        <v/>
      </c>
      <c r="AR110" s="1856" t="str">
        <f t="shared" si="48"/>
        <v/>
      </c>
      <c r="AS110" s="927" t="s">
        <v>252</v>
      </c>
      <c r="AT110" s="1856" t="str">
        <f t="shared" si="40"/>
        <v/>
      </c>
      <c r="AU110" s="1856" t="str">
        <f t="shared" si="41"/>
        <v/>
      </c>
      <c r="AV110" s="1856" t="str">
        <f t="shared" si="42"/>
        <v/>
      </c>
      <c r="AW110" s="1856" t="str">
        <f t="shared" si="43"/>
        <v/>
      </c>
      <c r="AX110" s="1856" t="str">
        <f t="shared" si="44"/>
        <v/>
      </c>
      <c r="AY110" s="1856" t="str">
        <f t="shared" si="45"/>
        <v/>
      </c>
      <c r="BB110" s="1879">
        <v>12</v>
      </c>
      <c r="BC110" s="1880" t="s">
        <v>241</v>
      </c>
      <c r="BD110" s="1880">
        <v>0.22430555555555556</v>
      </c>
      <c r="BE110" s="1880" t="s">
        <v>658</v>
      </c>
      <c r="BF110" s="1880">
        <v>0.66597222222222219</v>
      </c>
      <c r="BG110" s="1879" t="s">
        <v>651</v>
      </c>
      <c r="BH110" s="1880">
        <v>0.95833333333333337</v>
      </c>
      <c r="BI110" s="1879" t="s">
        <v>966</v>
      </c>
      <c r="BJ110" s="1881">
        <v>241101</v>
      </c>
      <c r="BK110" s="1882">
        <v>0.84499999999999997</v>
      </c>
      <c r="BL110" s="1619">
        <f t="shared" si="27"/>
        <v>44663</v>
      </c>
      <c r="BM110" s="1856">
        <f t="shared" si="37"/>
        <v>0.95833333333333337</v>
      </c>
      <c r="BN110" s="934">
        <f t="shared" si="28"/>
        <v>65.400000000000006</v>
      </c>
    </row>
    <row r="111" spans="1:66" ht="14.5">
      <c r="A111" s="1">
        <f t="shared" si="35"/>
        <v>44664</v>
      </c>
      <c r="B111" s="932">
        <f t="shared" si="29"/>
        <v>44664.259027777778</v>
      </c>
      <c r="C111" s="932">
        <f t="shared" si="30"/>
        <v>44664.299999999996</v>
      </c>
      <c r="D111" s="932">
        <f t="shared" si="31"/>
        <v>44664.845138888893</v>
      </c>
      <c r="E111" s="932">
        <f t="shared" si="32"/>
        <v>44664.886111111111</v>
      </c>
      <c r="F111" s="932">
        <f t="shared" si="33"/>
        <v>44664.712500000001</v>
      </c>
      <c r="G111" s="932">
        <f t="shared" si="34"/>
        <v>44664.244444444448</v>
      </c>
      <c r="H111" s="2">
        <f t="shared" si="36"/>
        <v>85</v>
      </c>
      <c r="I111" s="2">
        <v>61.421931639637513</v>
      </c>
      <c r="J111" s="1317">
        <v>9.3154102445043119</v>
      </c>
      <c r="AP111" s="1855">
        <f t="shared" si="46"/>
        <v>44571</v>
      </c>
      <c r="AQ111" s="925" t="str">
        <f t="shared" si="47"/>
        <v/>
      </c>
      <c r="AR111" s="1856" t="str">
        <f t="shared" si="48"/>
        <v/>
      </c>
      <c r="AT111" s="1856" t="str">
        <f t="shared" si="40"/>
        <v/>
      </c>
      <c r="AU111" s="1856" t="str">
        <f t="shared" si="41"/>
        <v/>
      </c>
      <c r="AV111" s="1856" t="str">
        <f t="shared" si="42"/>
        <v/>
      </c>
      <c r="AW111" s="1856" t="str">
        <f t="shared" si="43"/>
        <v/>
      </c>
      <c r="AX111" s="1856" t="str">
        <f t="shared" si="44"/>
        <v/>
      </c>
      <c r="AY111" s="1856" t="str">
        <f t="shared" si="45"/>
        <v/>
      </c>
      <c r="BB111" s="1879">
        <v>13</v>
      </c>
      <c r="BC111" s="1880" t="s">
        <v>241</v>
      </c>
      <c r="BD111" s="1880">
        <v>0.24374999999999999</v>
      </c>
      <c r="BE111" s="1880" t="s">
        <v>950</v>
      </c>
      <c r="BF111" s="1880">
        <v>0.71111111111111114</v>
      </c>
      <c r="BG111" s="1879" t="s">
        <v>641</v>
      </c>
      <c r="BH111" s="1880">
        <v>0.9902777777777777</v>
      </c>
      <c r="BI111" s="1879" t="s">
        <v>967</v>
      </c>
      <c r="BJ111" s="1881">
        <v>237678</v>
      </c>
      <c r="BK111" s="1882">
        <v>0.91500000000000004</v>
      </c>
      <c r="BL111" s="1619">
        <f t="shared" si="27"/>
        <v>44664</v>
      </c>
      <c r="BM111" s="1856">
        <f t="shared" si="37"/>
        <v>0.9902777777777777</v>
      </c>
      <c r="BN111" s="934">
        <f t="shared" si="28"/>
        <v>59.7</v>
      </c>
    </row>
    <row r="112" spans="1:66" ht="14.5">
      <c r="A112" s="1">
        <f t="shared" si="35"/>
        <v>44665</v>
      </c>
      <c r="B112" s="932">
        <f t="shared" si="29"/>
        <v>44665.257638888892</v>
      </c>
      <c r="C112" s="932">
        <f t="shared" si="30"/>
        <v>44665.299305555556</v>
      </c>
      <c r="D112" s="932">
        <f t="shared" si="31"/>
        <v>44665.845833333333</v>
      </c>
      <c r="E112" s="932">
        <f t="shared" si="32"/>
        <v>44665.886805555558</v>
      </c>
      <c r="F112" s="932">
        <f t="shared" si="33"/>
        <v>44665.758333333331</v>
      </c>
      <c r="G112" s="932">
        <f t="shared" si="34"/>
        <v>44665.263194444444</v>
      </c>
      <c r="H112" s="2">
        <f t="shared" si="36"/>
        <v>92</v>
      </c>
      <c r="I112" s="2">
        <v>61.780501390383492</v>
      </c>
      <c r="J112" s="1317">
        <v>9.6748934930287493</v>
      </c>
      <c r="AP112" s="1855">
        <f t="shared" si="46"/>
        <v>44571</v>
      </c>
      <c r="AQ112" s="925" t="str">
        <f t="shared" si="47"/>
        <v>MS</v>
      </c>
      <c r="AR112" s="1856">
        <f t="shared" si="48"/>
        <v>44571.061111111107</v>
      </c>
      <c r="AS112" s="927" t="s">
        <v>968</v>
      </c>
      <c r="AT112" s="1856" t="str">
        <f t="shared" si="40"/>
        <v/>
      </c>
      <c r="AU112" s="1856" t="str">
        <f t="shared" si="41"/>
        <v/>
      </c>
      <c r="AV112" s="1856" t="str">
        <f t="shared" si="42"/>
        <v/>
      </c>
      <c r="AW112" s="1856" t="str">
        <f t="shared" si="43"/>
        <v/>
      </c>
      <c r="AX112" s="1856" t="str">
        <f t="shared" si="44"/>
        <v/>
      </c>
      <c r="AY112" s="1856" t="str">
        <f t="shared" si="45"/>
        <v/>
      </c>
      <c r="BB112" s="1879">
        <v>14</v>
      </c>
      <c r="BC112" s="1880" t="s">
        <v>241</v>
      </c>
      <c r="BD112" s="1880">
        <v>0.26250000000000001</v>
      </c>
      <c r="BE112" s="1880" t="s">
        <v>557</v>
      </c>
      <c r="BF112" s="1880">
        <v>0.75763888888888886</v>
      </c>
      <c r="BG112" s="1879" t="s">
        <v>969</v>
      </c>
      <c r="BH112" s="1880" t="s">
        <v>695</v>
      </c>
      <c r="BJ112" s="1881"/>
      <c r="BK112" s="1882"/>
      <c r="BL112" s="1619">
        <f t="shared" si="27"/>
        <v>44665</v>
      </c>
      <c r="BM112" s="1856" t="str">
        <f t="shared" si="37"/>
        <v>NA</v>
      </c>
      <c r="BN112" s="934" t="str">
        <f t="shared" si="28"/>
        <v>NA</v>
      </c>
    </row>
    <row r="113" spans="1:66" ht="14.5">
      <c r="A113" s="1">
        <f t="shared" si="35"/>
        <v>44666</v>
      </c>
      <c r="B113" s="932">
        <f t="shared" si="29"/>
        <v>44666.256944444445</v>
      </c>
      <c r="C113" s="932">
        <f t="shared" si="30"/>
        <v>44666.297916666663</v>
      </c>
      <c r="D113" s="932">
        <f t="shared" si="31"/>
        <v>44666.84652777778</v>
      </c>
      <c r="E113" s="932">
        <f t="shared" si="32"/>
        <v>44666.887499999997</v>
      </c>
      <c r="F113" s="932">
        <f t="shared" si="33"/>
        <v>44666.805555555555</v>
      </c>
      <c r="G113" s="932">
        <f t="shared" si="34"/>
        <v>44666.28125</v>
      </c>
      <c r="H113" s="2">
        <f t="shared" si="36"/>
        <v>97</v>
      </c>
      <c r="I113" s="2">
        <v>62.136295743453772</v>
      </c>
      <c r="J113" s="1317">
        <v>10.031703517514758</v>
      </c>
      <c r="AP113" s="1855">
        <f t="shared" si="46"/>
        <v>44571</v>
      </c>
      <c r="AQ113" s="925" t="str">
        <f t="shared" si="47"/>
        <v>BMNT</v>
      </c>
      <c r="AR113" s="1856">
        <f t="shared" si="48"/>
        <v>44571.290277777778</v>
      </c>
      <c r="AS113" s="927" t="s">
        <v>814</v>
      </c>
      <c r="AT113" s="1856" t="str">
        <f t="shared" si="40"/>
        <v/>
      </c>
      <c r="AU113" s="1856" t="str">
        <f t="shared" si="41"/>
        <v/>
      </c>
      <c r="AV113" s="1856" t="str">
        <f t="shared" si="42"/>
        <v/>
      </c>
      <c r="AW113" s="1856" t="str">
        <f t="shared" si="43"/>
        <v/>
      </c>
      <c r="AX113" s="1856" t="str">
        <f t="shared" si="44"/>
        <v/>
      </c>
      <c r="AY113" s="1856" t="str">
        <f t="shared" si="45"/>
        <v/>
      </c>
      <c r="BB113" s="1879">
        <v>15</v>
      </c>
      <c r="BC113" s="1880" t="s">
        <v>241</v>
      </c>
      <c r="BD113" s="1880">
        <v>0.28055555555555556</v>
      </c>
      <c r="BE113" s="1880" t="s">
        <v>946</v>
      </c>
      <c r="BF113" s="1880">
        <v>0.8041666666666667</v>
      </c>
      <c r="BG113" s="1879" t="s">
        <v>945</v>
      </c>
      <c r="BH113" s="1880">
        <v>2.2916666666666669E-2</v>
      </c>
      <c r="BI113" s="1879" t="s">
        <v>970</v>
      </c>
      <c r="BJ113" s="1881">
        <v>234361</v>
      </c>
      <c r="BK113" s="1882">
        <v>0.96699999999999997</v>
      </c>
      <c r="BL113" s="1619">
        <f t="shared" si="27"/>
        <v>44666</v>
      </c>
      <c r="BM113" s="1856">
        <f t="shared" si="37"/>
        <v>2.2916666666666669E-2</v>
      </c>
      <c r="BN113" s="934">
        <f t="shared" si="28"/>
        <v>53.4</v>
      </c>
    </row>
    <row r="114" spans="1:66" ht="14.5">
      <c r="A114" s="1">
        <f t="shared" si="35"/>
        <v>44667</v>
      </c>
      <c r="B114" s="932">
        <f t="shared" si="29"/>
        <v>44667.255555555559</v>
      </c>
      <c r="C114" s="932">
        <f t="shared" si="30"/>
        <v>44667.297222222223</v>
      </c>
      <c r="D114" s="932">
        <f t="shared" si="31"/>
        <v>44667.847222222226</v>
      </c>
      <c r="E114" s="932">
        <f t="shared" si="32"/>
        <v>44667.888194444444</v>
      </c>
      <c r="F114" s="932">
        <f t="shared" si="33"/>
        <v>44667.854166666672</v>
      </c>
      <c r="G114" s="932">
        <f t="shared" si="34"/>
        <v>44667.299999999996</v>
      </c>
      <c r="H114" s="2">
        <f t="shared" si="36"/>
        <v>99</v>
      </c>
      <c r="I114" s="2">
        <v>62.489226803214876</v>
      </c>
      <c r="J114" s="1317">
        <v>10.385746916085731</v>
      </c>
      <c r="AP114" s="1855">
        <f t="shared" si="46"/>
        <v>44571</v>
      </c>
      <c r="AQ114" s="925" t="str">
        <f t="shared" si="47"/>
        <v>SR</v>
      </c>
      <c r="AR114" s="1856">
        <f t="shared" si="48"/>
        <v>44571.333333333336</v>
      </c>
      <c r="AS114" s="927" t="s">
        <v>766</v>
      </c>
      <c r="AT114" s="1856" t="str">
        <f t="shared" si="40"/>
        <v/>
      </c>
      <c r="AU114" s="1856" t="str">
        <f t="shared" si="41"/>
        <v/>
      </c>
      <c r="AV114" s="1856" t="str">
        <f t="shared" si="42"/>
        <v/>
      </c>
      <c r="AW114" s="1856" t="str">
        <f t="shared" si="43"/>
        <v/>
      </c>
      <c r="AX114" s="1856" t="str">
        <f t="shared" si="44"/>
        <v/>
      </c>
      <c r="AY114" s="1856" t="str">
        <f t="shared" si="45"/>
        <v/>
      </c>
      <c r="BB114" s="1879" t="s">
        <v>971</v>
      </c>
      <c r="BC114" s="1880" t="s">
        <v>241</v>
      </c>
      <c r="BD114" s="1880">
        <v>0.29930555555555555</v>
      </c>
      <c r="BE114" s="1879" t="s">
        <v>757</v>
      </c>
      <c r="BF114" s="1880">
        <v>0.8534722222222223</v>
      </c>
      <c r="BG114" s="1880" t="s">
        <v>768</v>
      </c>
      <c r="BH114" s="1880">
        <v>5.5555555555555552E-2</v>
      </c>
      <c r="BI114" s="1881" t="s">
        <v>972</v>
      </c>
      <c r="BJ114" s="1882">
        <v>231427</v>
      </c>
      <c r="BK114" s="1882">
        <v>0.995</v>
      </c>
      <c r="BL114" s="1619">
        <f t="shared" si="27"/>
        <v>44667</v>
      </c>
      <c r="BM114" s="1856">
        <f t="shared" si="37"/>
        <v>5.5555555555555552E-2</v>
      </c>
      <c r="BN114" s="934">
        <f t="shared" si="28"/>
        <v>46.8</v>
      </c>
    </row>
    <row r="115" spans="1:66" ht="14.5">
      <c r="A115" s="1">
        <f t="shared" si="35"/>
        <v>44668</v>
      </c>
      <c r="B115" s="932">
        <f t="shared" si="29"/>
        <v>44668.254861111112</v>
      </c>
      <c r="C115" s="932">
        <f t="shared" si="30"/>
        <v>44668.29583333333</v>
      </c>
      <c r="D115" s="932">
        <f t="shared" si="31"/>
        <v>44668.847916666666</v>
      </c>
      <c r="E115" s="932">
        <f t="shared" si="32"/>
        <v>44668.888888888891</v>
      </c>
      <c r="F115" s="932">
        <f t="shared" si="33"/>
        <v>44668.904861111114</v>
      </c>
      <c r="G115" s="932">
        <f t="shared" si="34"/>
        <v>44668.320138888885</v>
      </c>
      <c r="H115" s="2">
        <f t="shared" si="36"/>
        <v>100</v>
      </c>
      <c r="I115" s="2">
        <v>62.839207404558898</v>
      </c>
      <c r="J115" s="1317">
        <v>10.736930527420075</v>
      </c>
      <c r="AP115" s="1855">
        <f t="shared" si="46"/>
        <v>44571</v>
      </c>
      <c r="AQ115" s="925" t="str">
        <f t="shared" si="47"/>
        <v>MR</v>
      </c>
      <c r="AR115" s="1856">
        <f t="shared" si="48"/>
        <v>44571.538194444445</v>
      </c>
      <c r="AS115" s="927" t="s">
        <v>973</v>
      </c>
      <c r="AT115" s="1856" t="str">
        <f t="shared" si="40"/>
        <v/>
      </c>
      <c r="AU115" s="1856" t="str">
        <f t="shared" si="41"/>
        <v/>
      </c>
      <c r="AV115" s="1856" t="str">
        <f t="shared" si="42"/>
        <v/>
      </c>
      <c r="AW115" s="1856" t="str">
        <f t="shared" si="43"/>
        <v/>
      </c>
      <c r="AX115" s="1856" t="str">
        <f t="shared" si="44"/>
        <v/>
      </c>
      <c r="AY115" s="1856" t="str">
        <f t="shared" si="45"/>
        <v/>
      </c>
      <c r="BB115" s="1879">
        <v>17</v>
      </c>
      <c r="BC115" s="1879" t="s">
        <v>241</v>
      </c>
      <c r="BD115" s="1880">
        <v>0.31944444444444448</v>
      </c>
      <c r="BE115" s="1879" t="s">
        <v>769</v>
      </c>
      <c r="BF115" s="1880">
        <v>0.90416666666666667</v>
      </c>
      <c r="BG115" s="1879" t="s">
        <v>778</v>
      </c>
      <c r="BH115" s="1880">
        <v>8.9583333333333334E-2</v>
      </c>
      <c r="BI115" s="1879" t="s">
        <v>974</v>
      </c>
      <c r="BJ115" s="1881">
        <v>229115</v>
      </c>
      <c r="BK115" s="1882">
        <v>0.997</v>
      </c>
      <c r="BL115" s="1619">
        <f t="shared" si="27"/>
        <v>44668</v>
      </c>
      <c r="BM115" s="1856">
        <f t="shared" si="37"/>
        <v>8.9583333333333334E-2</v>
      </c>
      <c r="BN115" s="934">
        <f t="shared" si="28"/>
        <v>40.299999999999997</v>
      </c>
    </row>
    <row r="116" spans="1:66" ht="14.5">
      <c r="A116" s="1">
        <f t="shared" si="35"/>
        <v>44669</v>
      </c>
      <c r="B116" s="932">
        <f t="shared" si="29"/>
        <v>44669.253472222219</v>
      </c>
      <c r="C116" s="932">
        <f t="shared" si="30"/>
        <v>44669.295138888883</v>
      </c>
      <c r="D116" s="932">
        <f t="shared" si="31"/>
        <v>44669.848611111112</v>
      </c>
      <c r="E116" s="932">
        <f t="shared" si="32"/>
        <v>44669.890277777777</v>
      </c>
      <c r="F116" s="932">
        <f t="shared" si="33"/>
        <v>44669.957638888889</v>
      </c>
      <c r="G116" s="932">
        <f t="shared" si="34"/>
        <v>44669.34375</v>
      </c>
      <c r="H116" s="2">
        <f t="shared" si="36"/>
        <v>97</v>
      </c>
      <c r="I116" s="2">
        <v>63.186151102128072</v>
      </c>
      <c r="J116" s="1317">
        <v>11.085161437432301</v>
      </c>
      <c r="AP116" s="1855">
        <f t="shared" si="46"/>
        <v>44571</v>
      </c>
      <c r="AQ116" s="925" t="str">
        <f t="shared" si="47"/>
        <v>SS</v>
      </c>
      <c r="AR116" s="1856">
        <f t="shared" si="48"/>
        <v>44571.73819444445</v>
      </c>
      <c r="AS116" s="927" t="s">
        <v>975</v>
      </c>
      <c r="AT116" s="1856" t="str">
        <f t="shared" si="40"/>
        <v/>
      </c>
      <c r="AU116" s="1856" t="str">
        <f t="shared" si="41"/>
        <v/>
      </c>
      <c r="AV116" s="1856" t="str">
        <f t="shared" si="42"/>
        <v/>
      </c>
      <c r="AW116" s="1856" t="str">
        <f t="shared" si="43"/>
        <v/>
      </c>
      <c r="AX116" s="1856" t="str">
        <f t="shared" si="44"/>
        <v/>
      </c>
      <c r="AY116" s="1856" t="str">
        <f t="shared" si="45"/>
        <v/>
      </c>
      <c r="BB116" s="1879">
        <v>18</v>
      </c>
      <c r="BC116" s="1879" t="s">
        <v>241</v>
      </c>
      <c r="BD116" s="1880">
        <v>0.3430555555555555</v>
      </c>
      <c r="BE116" s="1879" t="s">
        <v>779</v>
      </c>
      <c r="BF116" s="1880">
        <v>0.95624999999999993</v>
      </c>
      <c r="BG116" s="1879" t="s">
        <v>706</v>
      </c>
      <c r="BH116" s="1880">
        <v>0.12638888888888888</v>
      </c>
      <c r="BI116" s="1879" t="s">
        <v>885</v>
      </c>
      <c r="BJ116" s="1881">
        <v>227590</v>
      </c>
      <c r="BK116" s="1882">
        <v>0.97</v>
      </c>
      <c r="BL116" s="1619">
        <f t="shared" si="27"/>
        <v>44669</v>
      </c>
      <c r="BM116" s="1856">
        <f t="shared" si="37"/>
        <v>0.12638888888888888</v>
      </c>
      <c r="BN116" s="934">
        <f t="shared" si="28"/>
        <v>34.4</v>
      </c>
    </row>
    <row r="117" spans="1:66" ht="14.5">
      <c r="A117" s="1">
        <f t="shared" si="35"/>
        <v>44670</v>
      </c>
      <c r="B117" s="932">
        <f t="shared" si="29"/>
        <v>44670.252083333333</v>
      </c>
      <c r="C117" s="932">
        <f t="shared" si="30"/>
        <v>44670.294444444444</v>
      </c>
      <c r="D117" s="932">
        <f t="shared" si="31"/>
        <v>44670.849305555559</v>
      </c>
      <c r="E117" s="932">
        <f t="shared" si="32"/>
        <v>44670.890972222223</v>
      </c>
      <c r="F117" s="932" t="str">
        <f t="shared" si="33"/>
        <v>NONE</v>
      </c>
      <c r="G117" s="932">
        <f t="shared" si="34"/>
        <v>44670.371527777781</v>
      </c>
      <c r="H117" s="2">
        <f t="shared" si="36"/>
        <v>92</v>
      </c>
      <c r="I117" s="2">
        <v>63.529972158501877</v>
      </c>
      <c r="J117" s="1317">
        <v>11.4303469874413</v>
      </c>
      <c r="AP117" s="1855">
        <f t="shared" si="46"/>
        <v>44571</v>
      </c>
      <c r="AQ117" s="925" t="str">
        <f t="shared" si="47"/>
        <v>EENT</v>
      </c>
      <c r="AR117" s="1856">
        <f t="shared" si="48"/>
        <v>44571.780555555553</v>
      </c>
      <c r="AS117" s="927" t="s">
        <v>976</v>
      </c>
      <c r="AT117" s="1856" t="str">
        <f t="shared" si="40"/>
        <v/>
      </c>
      <c r="AU117" s="1856" t="str">
        <f t="shared" si="41"/>
        <v/>
      </c>
      <c r="AV117" s="1856" t="str">
        <f t="shared" si="42"/>
        <v/>
      </c>
      <c r="AW117" s="1856" t="str">
        <f t="shared" si="43"/>
        <v/>
      </c>
      <c r="AX117" s="1856" t="str">
        <f t="shared" si="44"/>
        <v/>
      </c>
      <c r="AY117" s="1856" t="str">
        <f t="shared" si="45"/>
        <v/>
      </c>
      <c r="BB117" s="1879">
        <v>19</v>
      </c>
      <c r="BC117" s="1879" t="s">
        <v>241</v>
      </c>
      <c r="BD117" s="1880">
        <v>0.37083333333333335</v>
      </c>
      <c r="BE117" s="1879" t="s">
        <v>712</v>
      </c>
      <c r="BF117" s="1880" t="s">
        <v>241</v>
      </c>
      <c r="BG117" s="1880">
        <v>0.16597222222222222</v>
      </c>
      <c r="BH117" s="1880" t="s">
        <v>742</v>
      </c>
      <c r="BI117" s="1881">
        <v>226924</v>
      </c>
      <c r="BJ117" s="1881">
        <v>0.91400000000000003</v>
      </c>
      <c r="BK117" s="1882"/>
      <c r="BL117" s="1619">
        <f t="shared" si="27"/>
        <v>44670</v>
      </c>
      <c r="BM117" s="1856">
        <f t="shared" si="37"/>
        <v>0.16597222222222222</v>
      </c>
      <c r="BN117" s="934">
        <f t="shared" si="28"/>
        <v>29.4</v>
      </c>
    </row>
    <row r="118" spans="1:66" ht="14.5">
      <c r="A118" s="1">
        <f t="shared" si="35"/>
        <v>44671</v>
      </c>
      <c r="B118" s="932">
        <f t="shared" si="29"/>
        <v>44671.251388888886</v>
      </c>
      <c r="C118" s="932">
        <f t="shared" si="30"/>
        <v>44671.29305555555</v>
      </c>
      <c r="D118" s="932">
        <f t="shared" si="31"/>
        <v>44671.849305555559</v>
      </c>
      <c r="E118" s="932">
        <f t="shared" si="32"/>
        <v>44671.89166666667</v>
      </c>
      <c r="F118" s="932">
        <f t="shared" si="33"/>
        <v>44671.009027777778</v>
      </c>
      <c r="G118" s="932">
        <f t="shared" si="34"/>
        <v>44671.404861111114</v>
      </c>
      <c r="H118" s="2">
        <f t="shared" si="36"/>
        <v>85</v>
      </c>
      <c r="I118" s="2">
        <v>63.870585531323123</v>
      </c>
      <c r="J118" s="1317">
        <v>11.772394783863859</v>
      </c>
      <c r="AP118" s="1855">
        <f t="shared" si="46"/>
        <v>44572</v>
      </c>
      <c r="AQ118" s="925" t="str">
        <f t="shared" si="47"/>
        <v/>
      </c>
      <c r="AR118" s="1856" t="str">
        <f t="shared" si="48"/>
        <v/>
      </c>
      <c r="AS118" s="927">
        <v>11</v>
      </c>
      <c r="AT118" s="1856">
        <f t="shared" si="40"/>
        <v>44572.290277777778</v>
      </c>
      <c r="AU118" s="1856">
        <f t="shared" si="41"/>
        <v>44572.332638888889</v>
      </c>
      <c r="AV118" s="1856">
        <f t="shared" si="42"/>
        <v>44572.738888888889</v>
      </c>
      <c r="AW118" s="1856">
        <f t="shared" si="43"/>
        <v>44572.78125</v>
      </c>
      <c r="AX118" s="1856">
        <f t="shared" si="44"/>
        <v>44572.556249999994</v>
      </c>
      <c r="AY118" s="1856">
        <f t="shared" si="45"/>
        <v>44572.102083333339</v>
      </c>
      <c r="AZ118" s="1853">
        <v>0.64</v>
      </c>
      <c r="BB118" s="1879">
        <v>20</v>
      </c>
      <c r="BC118" s="1880">
        <v>8.3333333333333332E-3</v>
      </c>
      <c r="BD118" s="1880" t="s">
        <v>713</v>
      </c>
      <c r="BE118" s="1880">
        <v>0.40416666666666662</v>
      </c>
      <c r="BF118" s="1880" t="s">
        <v>721</v>
      </c>
      <c r="BG118" s="1879" t="s">
        <v>241</v>
      </c>
      <c r="BH118" s="1880">
        <v>0.2076388888888889</v>
      </c>
      <c r="BI118" s="1879" t="s">
        <v>977</v>
      </c>
      <c r="BJ118" s="1881">
        <v>227087</v>
      </c>
      <c r="BK118" s="1882">
        <v>0.83299999999999996</v>
      </c>
      <c r="BL118" s="1619">
        <f t="shared" si="27"/>
        <v>44671</v>
      </c>
      <c r="BM118" s="1856">
        <f t="shared" si="37"/>
        <v>0.2076388888888889</v>
      </c>
      <c r="BN118" s="934">
        <f t="shared" si="28"/>
        <v>26</v>
      </c>
    </row>
    <row r="119" spans="1:66" ht="14.5">
      <c r="A119" s="1">
        <f t="shared" si="35"/>
        <v>44672</v>
      </c>
      <c r="B119" s="932">
        <f t="shared" si="29"/>
        <v>44672.25</v>
      </c>
      <c r="C119" s="932">
        <f t="shared" si="30"/>
        <v>44672.292361111111</v>
      </c>
      <c r="D119" s="932">
        <f t="shared" si="31"/>
        <v>44672.850000000006</v>
      </c>
      <c r="E119" s="932">
        <f t="shared" si="32"/>
        <v>44672.892361111109</v>
      </c>
      <c r="F119" s="932">
        <f t="shared" si="33"/>
        <v>44672.058333333334</v>
      </c>
      <c r="G119" s="932">
        <f t="shared" si="34"/>
        <v>44672.444444444445</v>
      </c>
      <c r="H119" s="2">
        <f t="shared" si="36"/>
        <v>75</v>
      </c>
      <c r="I119" s="2">
        <v>64.207906859356612</v>
      </c>
      <c r="J119" s="1317">
        <v>12.111212709480329</v>
      </c>
      <c r="AP119" s="1855">
        <f t="shared" si="46"/>
        <v>44572</v>
      </c>
      <c r="AQ119" s="925" t="str">
        <f t="shared" si="47"/>
        <v/>
      </c>
      <c r="AR119" s="1856" t="str">
        <f t="shared" si="48"/>
        <v/>
      </c>
      <c r="AS119" s="927" t="s">
        <v>252</v>
      </c>
      <c r="AT119" s="1856" t="str">
        <f t="shared" si="40"/>
        <v/>
      </c>
      <c r="AU119" s="1856" t="str">
        <f t="shared" si="41"/>
        <v/>
      </c>
      <c r="AV119" s="1856" t="str">
        <f t="shared" si="42"/>
        <v/>
      </c>
      <c r="AW119" s="1856" t="str">
        <f t="shared" si="43"/>
        <v/>
      </c>
      <c r="AX119" s="1856" t="str">
        <f t="shared" si="44"/>
        <v/>
      </c>
      <c r="AY119" s="1856" t="str">
        <f t="shared" si="45"/>
        <v/>
      </c>
      <c r="BB119" s="1879">
        <v>21</v>
      </c>
      <c r="BC119" s="1880">
        <v>5.8333333333333327E-2</v>
      </c>
      <c r="BD119" s="1880" t="s">
        <v>882</v>
      </c>
      <c r="BE119" s="1880">
        <v>0.44444444444444442</v>
      </c>
      <c r="BF119" s="1880" t="s">
        <v>936</v>
      </c>
      <c r="BG119" s="1879" t="s">
        <v>241</v>
      </c>
      <c r="BH119" s="1880">
        <v>0.25138888888888888</v>
      </c>
      <c r="BI119" s="1879" t="s">
        <v>978</v>
      </c>
      <c r="BJ119" s="1881">
        <v>227967</v>
      </c>
      <c r="BK119" s="1882">
        <v>0.73199999999999998</v>
      </c>
      <c r="BL119" s="1619">
        <f t="shared" si="27"/>
        <v>44672</v>
      </c>
      <c r="BM119" s="1856">
        <f t="shared" si="37"/>
        <v>0.25138888888888888</v>
      </c>
      <c r="BN119" s="934">
        <f t="shared" si="28"/>
        <v>24.4</v>
      </c>
    </row>
    <row r="120" spans="1:66" ht="14.5">
      <c r="A120" s="1">
        <f t="shared" si="35"/>
        <v>44673</v>
      </c>
      <c r="B120" s="932">
        <f t="shared" si="29"/>
        <v>44673.249305555561</v>
      </c>
      <c r="C120" s="932">
        <f t="shared" si="30"/>
        <v>44673.291666666664</v>
      </c>
      <c r="D120" s="932">
        <f t="shared" si="31"/>
        <v>44673.850694444445</v>
      </c>
      <c r="E120" s="932">
        <f t="shared" si="32"/>
        <v>44673.893055555556</v>
      </c>
      <c r="F120" s="932">
        <f t="shared" si="33"/>
        <v>44673.102083333339</v>
      </c>
      <c r="G120" s="932">
        <f t="shared" si="34"/>
        <v>44673.490277777782</v>
      </c>
      <c r="H120" s="2">
        <f t="shared" si="36"/>
        <v>65</v>
      </c>
      <c r="I120" s="2">
        <v>64.541852447484615</v>
      </c>
      <c r="J120" s="1317">
        <v>12.44670893632013</v>
      </c>
      <c r="AP120" s="1855">
        <f t="shared" si="46"/>
        <v>44572</v>
      </c>
      <c r="AQ120" s="925" t="str">
        <f t="shared" si="47"/>
        <v/>
      </c>
      <c r="AR120" s="1856" t="str">
        <f t="shared" si="48"/>
        <v/>
      </c>
      <c r="AT120" s="1856" t="str">
        <f t="shared" si="40"/>
        <v/>
      </c>
      <c r="AU120" s="1856" t="str">
        <f t="shared" si="41"/>
        <v/>
      </c>
      <c r="AV120" s="1856" t="str">
        <f t="shared" si="42"/>
        <v/>
      </c>
      <c r="AW120" s="1856" t="str">
        <f t="shared" si="43"/>
        <v/>
      </c>
      <c r="AX120" s="1856" t="str">
        <f t="shared" si="44"/>
        <v/>
      </c>
      <c r="AY120" s="1856" t="str">
        <f t="shared" si="45"/>
        <v/>
      </c>
      <c r="BB120" s="1879">
        <v>22</v>
      </c>
      <c r="BC120" s="1880">
        <v>0.1013888888888889</v>
      </c>
      <c r="BD120" s="1880" t="s">
        <v>882</v>
      </c>
      <c r="BE120" s="1880">
        <v>0.49027777777777781</v>
      </c>
      <c r="BF120" s="1880" t="s">
        <v>563</v>
      </c>
      <c r="BG120" s="1879" t="s">
        <v>241</v>
      </c>
      <c r="BH120" s="1880">
        <v>0.2951388888888889</v>
      </c>
      <c r="BI120" s="1879" t="s">
        <v>883</v>
      </c>
      <c r="BJ120" s="1881">
        <v>229399</v>
      </c>
      <c r="BK120" s="1882">
        <v>0.61899999999999999</v>
      </c>
      <c r="BL120" s="1619">
        <f t="shared" si="27"/>
        <v>44673</v>
      </c>
      <c r="BM120" s="1856">
        <f t="shared" si="37"/>
        <v>0.2951388888888889</v>
      </c>
      <c r="BN120" s="934">
        <f t="shared" si="28"/>
        <v>24.8</v>
      </c>
    </row>
    <row r="121" spans="1:66" ht="14.5">
      <c r="A121" s="1">
        <f t="shared" si="35"/>
        <v>44674</v>
      </c>
      <c r="B121" s="932">
        <f t="shared" si="29"/>
        <v>44674.247916666667</v>
      </c>
      <c r="C121" s="932">
        <f t="shared" si="30"/>
        <v>44674.290277777778</v>
      </c>
      <c r="D121" s="932">
        <f t="shared" si="31"/>
        <v>44674.851388888892</v>
      </c>
      <c r="E121" s="932">
        <f t="shared" si="32"/>
        <v>44674.893750000003</v>
      </c>
      <c r="F121" s="932">
        <f t="shared" si="33"/>
        <v>44674.138194444444</v>
      </c>
      <c r="G121" s="932">
        <f t="shared" si="34"/>
        <v>44674.538888888892</v>
      </c>
      <c r="H121" s="2">
        <f t="shared" si="36"/>
        <v>54</v>
      </c>
      <c r="I121" s="2">
        <v>64.872339250649361</v>
      </c>
      <c r="J121" s="1317">
        <v>12.77879194020924</v>
      </c>
      <c r="AP121" s="1855">
        <f t="shared" si="46"/>
        <v>44572</v>
      </c>
      <c r="AQ121" s="925" t="str">
        <f t="shared" si="47"/>
        <v>MS</v>
      </c>
      <c r="AR121" s="1856">
        <f t="shared" si="48"/>
        <v>44572.102083333339</v>
      </c>
      <c r="AS121" s="927" t="s">
        <v>979</v>
      </c>
      <c r="AT121" s="1856" t="str">
        <f t="shared" si="40"/>
        <v/>
      </c>
      <c r="AU121" s="1856" t="str">
        <f t="shared" si="41"/>
        <v/>
      </c>
      <c r="AV121" s="1856" t="str">
        <f t="shared" si="42"/>
        <v/>
      </c>
      <c r="AW121" s="1856" t="str">
        <f t="shared" si="43"/>
        <v/>
      </c>
      <c r="AX121" s="1856" t="str">
        <f t="shared" si="44"/>
        <v/>
      </c>
      <c r="AY121" s="1856" t="str">
        <f t="shared" si="45"/>
        <v/>
      </c>
      <c r="BB121" s="1879" t="s">
        <v>980</v>
      </c>
      <c r="BC121" s="1880">
        <v>0.13819444444444443</v>
      </c>
      <c r="BD121" s="1880" t="s">
        <v>713</v>
      </c>
      <c r="BE121" s="1880">
        <v>0.53888888888888886</v>
      </c>
      <c r="BF121" s="1880" t="s">
        <v>735</v>
      </c>
      <c r="BG121" s="1879" t="s">
        <v>241</v>
      </c>
      <c r="BH121" s="1880">
        <v>0.33680555555555558</v>
      </c>
      <c r="BI121" s="1879" t="s">
        <v>981</v>
      </c>
      <c r="BJ121" s="1881">
        <v>231207</v>
      </c>
      <c r="BK121" s="1882">
        <v>0.501</v>
      </c>
      <c r="BL121" s="1619">
        <f t="shared" si="27"/>
        <v>44674</v>
      </c>
      <c r="BM121" s="1856">
        <f t="shared" si="37"/>
        <v>0.33680555555555558</v>
      </c>
      <c r="BN121" s="934">
        <f t="shared" si="28"/>
        <v>27</v>
      </c>
    </row>
    <row r="122" spans="1:66" ht="14.5">
      <c r="A122" s="1">
        <f t="shared" si="35"/>
        <v>44675</v>
      </c>
      <c r="B122" s="932">
        <f t="shared" si="29"/>
        <v>44675.247222222228</v>
      </c>
      <c r="C122" s="932">
        <f t="shared" si="30"/>
        <v>44675.289583333331</v>
      </c>
      <c r="D122" s="932">
        <f t="shared" si="31"/>
        <v>44675.852083333339</v>
      </c>
      <c r="E122" s="932">
        <f t="shared" si="32"/>
        <v>44675.894444444442</v>
      </c>
      <c r="F122" s="932">
        <f t="shared" si="33"/>
        <v>44675.16805555555</v>
      </c>
      <c r="G122" s="932">
        <f t="shared" si="34"/>
        <v>44675.588194444448</v>
      </c>
      <c r="H122" s="2">
        <f t="shared" si="36"/>
        <v>42</v>
      </c>
      <c r="I122" s="2">
        <v>65.199284856754332</v>
      </c>
      <c r="J122" s="1317">
        <v>13.107370517009111</v>
      </c>
      <c r="AP122" s="1855">
        <f t="shared" si="46"/>
        <v>44572</v>
      </c>
      <c r="AQ122" s="925" t="str">
        <f t="shared" si="47"/>
        <v>BMNT</v>
      </c>
      <c r="AR122" s="1856">
        <f t="shared" si="48"/>
        <v>44572.290277777778</v>
      </c>
      <c r="AS122" s="927" t="s">
        <v>814</v>
      </c>
      <c r="AT122" s="1856" t="str">
        <f t="shared" si="40"/>
        <v/>
      </c>
      <c r="AU122" s="1856" t="str">
        <f t="shared" si="41"/>
        <v/>
      </c>
      <c r="AV122" s="1856" t="str">
        <f t="shared" si="42"/>
        <v/>
      </c>
      <c r="AW122" s="1856" t="str">
        <f t="shared" si="43"/>
        <v/>
      </c>
      <c r="AX122" s="1856" t="str">
        <f t="shared" si="44"/>
        <v/>
      </c>
      <c r="AY122" s="1856" t="str">
        <f t="shared" si="45"/>
        <v/>
      </c>
      <c r="BB122" s="1879">
        <v>24</v>
      </c>
      <c r="BC122" s="1880">
        <v>0.16805555555555554</v>
      </c>
      <c r="BD122" s="1880" t="s">
        <v>982</v>
      </c>
      <c r="BE122" s="1880">
        <v>0.58819444444444446</v>
      </c>
      <c r="BF122" s="1880" t="s">
        <v>541</v>
      </c>
      <c r="BG122" s="1879" t="s">
        <v>241</v>
      </c>
      <c r="BH122" s="1880">
        <v>0.3756944444444445</v>
      </c>
      <c r="BI122" s="1879" t="s">
        <v>983</v>
      </c>
      <c r="BJ122" s="1881">
        <v>233238</v>
      </c>
      <c r="BK122" s="1882">
        <v>0.38500000000000001</v>
      </c>
      <c r="BL122" s="1619">
        <f t="shared" si="27"/>
        <v>44675</v>
      </c>
      <c r="BM122" s="1856">
        <f t="shared" si="37"/>
        <v>0.3756944444444445</v>
      </c>
      <c r="BN122" s="934">
        <f t="shared" si="28"/>
        <v>30.8</v>
      </c>
    </row>
    <row r="123" spans="1:66" ht="14.5">
      <c r="A123" s="1">
        <f t="shared" si="35"/>
        <v>44676</v>
      </c>
      <c r="B123" s="932">
        <f t="shared" si="29"/>
        <v>44676.245833333334</v>
      </c>
      <c r="C123" s="932">
        <f t="shared" si="30"/>
        <v>44676.288888888892</v>
      </c>
      <c r="D123" s="932">
        <f t="shared" si="31"/>
        <v>44676.852777777778</v>
      </c>
      <c r="E123" s="932">
        <f t="shared" si="32"/>
        <v>44676.895138888889</v>
      </c>
      <c r="F123" s="932">
        <f t="shared" si="33"/>
        <v>44676.192361111105</v>
      </c>
      <c r="G123" s="932">
        <f t="shared" si="34"/>
        <v>44676.636805555558</v>
      </c>
      <c r="H123" s="2">
        <f t="shared" si="36"/>
        <v>31</v>
      </c>
      <c r="I123" s="2">
        <v>65.522607468569802</v>
      </c>
      <c r="J123" s="1317">
        <v>13.432353800596793</v>
      </c>
      <c r="AP123" s="1855">
        <f t="shared" si="46"/>
        <v>44572</v>
      </c>
      <c r="AQ123" s="925" t="str">
        <f t="shared" si="47"/>
        <v>SR</v>
      </c>
      <c r="AR123" s="1856">
        <f t="shared" si="48"/>
        <v>44572.332638888889</v>
      </c>
      <c r="AS123" s="927" t="s">
        <v>984</v>
      </c>
      <c r="AT123" s="1856" t="str">
        <f t="shared" si="40"/>
        <v/>
      </c>
      <c r="AU123" s="1856" t="str">
        <f t="shared" si="41"/>
        <v/>
      </c>
      <c r="AV123" s="1856" t="str">
        <f t="shared" si="42"/>
        <v/>
      </c>
      <c r="AW123" s="1856" t="str">
        <f t="shared" si="43"/>
        <v/>
      </c>
      <c r="AX123" s="1856" t="str">
        <f t="shared" si="44"/>
        <v/>
      </c>
      <c r="AY123" s="1856" t="str">
        <f t="shared" si="45"/>
        <v/>
      </c>
      <c r="BB123" s="1879">
        <v>25</v>
      </c>
      <c r="BC123" s="1880">
        <v>0.19236111111111112</v>
      </c>
      <c r="BD123" s="1880" t="s">
        <v>697</v>
      </c>
      <c r="BE123" s="1880">
        <v>0.63680555555555551</v>
      </c>
      <c r="BF123" s="1880" t="s">
        <v>531</v>
      </c>
      <c r="BG123" s="1879" t="s">
        <v>241</v>
      </c>
      <c r="BH123" s="1880">
        <v>0.41180555555555554</v>
      </c>
      <c r="BI123" s="1879" t="s">
        <v>985</v>
      </c>
      <c r="BJ123" s="1881">
        <v>235382</v>
      </c>
      <c r="BK123" s="1882">
        <v>0.27700000000000002</v>
      </c>
      <c r="BL123" s="1619">
        <f t="shared" si="27"/>
        <v>44676</v>
      </c>
      <c r="BM123" s="1856">
        <f t="shared" si="37"/>
        <v>0.41180555555555554</v>
      </c>
      <c r="BN123" s="934">
        <f t="shared" si="28"/>
        <v>35.799999999999997</v>
      </c>
    </row>
    <row r="124" spans="1:66" ht="14.5">
      <c r="A124" s="1">
        <f t="shared" si="35"/>
        <v>44677</v>
      </c>
      <c r="B124" s="932">
        <f t="shared" si="29"/>
        <v>44677.245138888895</v>
      </c>
      <c r="C124" s="932">
        <f t="shared" si="30"/>
        <v>44677.287499999999</v>
      </c>
      <c r="D124" s="932">
        <f t="shared" si="31"/>
        <v>44677.853472222225</v>
      </c>
      <c r="E124" s="932">
        <f t="shared" si="32"/>
        <v>44677.895833333336</v>
      </c>
      <c r="F124" s="932">
        <f t="shared" si="33"/>
        <v>44677.213194444448</v>
      </c>
      <c r="G124" s="932">
        <f t="shared" si="34"/>
        <v>44677.683333333334</v>
      </c>
      <c r="H124" s="2">
        <f t="shared" si="36"/>
        <v>22</v>
      </c>
      <c r="I124" s="2">
        <v>65.842225884675074</v>
      </c>
      <c r="J124" s="1317">
        <v>13.753651282604434</v>
      </c>
      <c r="AP124" s="1855">
        <f t="shared" si="46"/>
        <v>44572</v>
      </c>
      <c r="AQ124" s="925" t="str">
        <f t="shared" si="47"/>
        <v>MR</v>
      </c>
      <c r="AR124" s="1856">
        <f t="shared" si="48"/>
        <v>44572.556249999994</v>
      </c>
      <c r="AS124" s="927" t="s">
        <v>986</v>
      </c>
      <c r="AT124" s="1856" t="str">
        <f t="shared" si="40"/>
        <v/>
      </c>
      <c r="AU124" s="1856" t="str">
        <f t="shared" si="41"/>
        <v/>
      </c>
      <c r="AV124" s="1856" t="str">
        <f t="shared" si="42"/>
        <v/>
      </c>
      <c r="AW124" s="1856" t="str">
        <f t="shared" si="43"/>
        <v/>
      </c>
      <c r="AX124" s="1856" t="str">
        <f t="shared" si="44"/>
        <v/>
      </c>
      <c r="AY124" s="1856" t="str">
        <f t="shared" si="45"/>
        <v/>
      </c>
      <c r="BB124" s="1879">
        <v>26</v>
      </c>
      <c r="BC124" s="1880">
        <v>0.21319444444444444</v>
      </c>
      <c r="BD124" s="1880" t="s">
        <v>987</v>
      </c>
      <c r="BE124" s="1880">
        <v>0.68333333333333324</v>
      </c>
      <c r="BF124" s="1880" t="s">
        <v>520</v>
      </c>
      <c r="BG124" s="1879" t="s">
        <v>241</v>
      </c>
      <c r="BH124" s="1880">
        <v>0.44513888888888892</v>
      </c>
      <c r="BI124" s="1879" t="s">
        <v>988</v>
      </c>
      <c r="BJ124" s="1881">
        <v>237570</v>
      </c>
      <c r="BK124" s="1882">
        <v>0.183</v>
      </c>
      <c r="BL124" s="1619">
        <f t="shared" si="27"/>
        <v>44677</v>
      </c>
      <c r="BM124" s="1856">
        <f t="shared" si="37"/>
        <v>0.44513888888888892</v>
      </c>
      <c r="BN124" s="934">
        <f t="shared" si="28"/>
        <v>41.4</v>
      </c>
    </row>
    <row r="125" spans="1:66" ht="14.5">
      <c r="A125" s="1">
        <f t="shared" si="35"/>
        <v>44678</v>
      </c>
      <c r="B125" s="932">
        <f t="shared" si="29"/>
        <v>44678.244444444448</v>
      </c>
      <c r="C125" s="932">
        <f t="shared" si="30"/>
        <v>44678.286805555559</v>
      </c>
      <c r="D125" s="932">
        <f t="shared" si="31"/>
        <v>44678.854166666672</v>
      </c>
      <c r="E125" s="932">
        <f t="shared" si="32"/>
        <v>44678.897222222222</v>
      </c>
      <c r="F125" s="932">
        <f t="shared" si="33"/>
        <v>44678.231944444444</v>
      </c>
      <c r="G125" s="932">
        <f t="shared" si="34"/>
        <v>44678.728472222225</v>
      </c>
      <c r="H125" s="2">
        <f t="shared" si="36"/>
        <v>14.000000000000002</v>
      </c>
      <c r="I125" s="2">
        <v>66.158059479512858</v>
      </c>
      <c r="J125" s="1317">
        <v>14.071172833961819</v>
      </c>
      <c r="AP125" s="1855">
        <f t="shared" si="46"/>
        <v>44572</v>
      </c>
      <c r="AQ125" s="925" t="str">
        <f t="shared" si="47"/>
        <v>SS</v>
      </c>
      <c r="AR125" s="1856">
        <f t="shared" si="48"/>
        <v>44572.738888888889</v>
      </c>
      <c r="AS125" s="927" t="s">
        <v>989</v>
      </c>
      <c r="AT125" s="1856" t="str">
        <f t="shared" si="40"/>
        <v/>
      </c>
      <c r="AU125" s="1856" t="str">
        <f t="shared" si="41"/>
        <v/>
      </c>
      <c r="AV125" s="1856" t="str">
        <f t="shared" si="42"/>
        <v/>
      </c>
      <c r="AW125" s="1856" t="str">
        <f t="shared" si="43"/>
        <v/>
      </c>
      <c r="AX125" s="1856" t="str">
        <f t="shared" si="44"/>
        <v/>
      </c>
      <c r="AY125" s="1856" t="str">
        <f t="shared" si="45"/>
        <v/>
      </c>
      <c r="BB125" s="1879">
        <v>27</v>
      </c>
      <c r="BC125" s="1880">
        <v>0.23124999999999998</v>
      </c>
      <c r="BD125" s="1880" t="s">
        <v>519</v>
      </c>
      <c r="BE125" s="1880">
        <v>0.72777777777777775</v>
      </c>
      <c r="BF125" s="1880" t="s">
        <v>511</v>
      </c>
      <c r="BG125" s="1879" t="s">
        <v>241</v>
      </c>
      <c r="BH125" s="1880">
        <v>0.47638888888888892</v>
      </c>
      <c r="BI125" s="1879" t="s">
        <v>990</v>
      </c>
      <c r="BJ125" s="1881">
        <v>239768</v>
      </c>
      <c r="BK125" s="1882">
        <v>0.106</v>
      </c>
      <c r="BL125" s="1619">
        <f t="shared" si="27"/>
        <v>44678</v>
      </c>
      <c r="BM125" s="1856">
        <f t="shared" si="37"/>
        <v>0.47638888888888892</v>
      </c>
      <c r="BN125" s="934">
        <f t="shared" si="28"/>
        <v>47.5</v>
      </c>
    </row>
    <row r="126" spans="1:66" ht="14.5">
      <c r="A126" s="1">
        <f t="shared" si="35"/>
        <v>44679</v>
      </c>
      <c r="B126" s="932">
        <f t="shared" si="29"/>
        <v>44679.243055555555</v>
      </c>
      <c r="C126" s="932">
        <f t="shared" si="30"/>
        <v>44679.286111111112</v>
      </c>
      <c r="D126" s="932">
        <f t="shared" si="31"/>
        <v>44679.854861111111</v>
      </c>
      <c r="E126" s="932">
        <f t="shared" si="32"/>
        <v>44679.897916666669</v>
      </c>
      <c r="F126" s="932">
        <f t="shared" si="33"/>
        <v>44679.249305555561</v>
      </c>
      <c r="G126" s="932">
        <f t="shared" si="34"/>
        <v>44679.772222222222</v>
      </c>
      <c r="H126" s="2">
        <f t="shared" si="36"/>
        <v>7.0000000000000009</v>
      </c>
      <c r="I126" s="2">
        <v>66.47002818261997</v>
      </c>
      <c r="J126" s="1317">
        <v>14.384828728253344</v>
      </c>
      <c r="AP126" s="1855">
        <f t="shared" si="46"/>
        <v>44572</v>
      </c>
      <c r="AQ126" s="925" t="str">
        <f t="shared" si="47"/>
        <v>EENT</v>
      </c>
      <c r="AR126" s="1856">
        <f t="shared" si="48"/>
        <v>44572.78125</v>
      </c>
      <c r="AS126" s="927" t="s">
        <v>991</v>
      </c>
      <c r="AT126" s="1856" t="str">
        <f t="shared" si="40"/>
        <v/>
      </c>
      <c r="AU126" s="1856" t="str">
        <f t="shared" si="41"/>
        <v/>
      </c>
      <c r="AV126" s="1856" t="str">
        <f t="shared" si="42"/>
        <v/>
      </c>
      <c r="AW126" s="1856" t="str">
        <f t="shared" si="43"/>
        <v/>
      </c>
      <c r="AX126" s="1856" t="str">
        <f t="shared" si="44"/>
        <v/>
      </c>
      <c r="AY126" s="1856" t="str">
        <f t="shared" si="45"/>
        <v/>
      </c>
      <c r="BB126" s="1879">
        <v>28</v>
      </c>
      <c r="BC126" s="1880">
        <v>0.24861111111111112</v>
      </c>
      <c r="BD126" s="1880" t="s">
        <v>510</v>
      </c>
      <c r="BE126" s="1880">
        <v>0.77222222222222225</v>
      </c>
      <c r="BF126" s="1880" t="s">
        <v>920</v>
      </c>
      <c r="BG126" s="1879" t="s">
        <v>241</v>
      </c>
      <c r="BH126" s="1880">
        <v>0.50694444444444442</v>
      </c>
      <c r="BI126" s="1879" t="s">
        <v>992</v>
      </c>
      <c r="BJ126" s="1881">
        <v>241953</v>
      </c>
      <c r="BK126" s="1882">
        <v>4.9000000000000002E-2</v>
      </c>
      <c r="BL126" s="1619">
        <f t="shared" si="27"/>
        <v>44679</v>
      </c>
      <c r="BM126" s="1856">
        <f t="shared" si="37"/>
        <v>0.50694444444444442</v>
      </c>
      <c r="BN126" s="934">
        <f t="shared" si="28"/>
        <v>53.6</v>
      </c>
    </row>
    <row r="127" spans="1:66" ht="14.5">
      <c r="A127" s="1">
        <f t="shared" si="35"/>
        <v>44680</v>
      </c>
      <c r="B127" s="932">
        <f t="shared" si="29"/>
        <v>44680.242361111115</v>
      </c>
      <c r="C127" s="932">
        <f t="shared" si="30"/>
        <v>44680.285416666666</v>
      </c>
      <c r="D127" s="932">
        <f t="shared" si="31"/>
        <v>44680.855555555558</v>
      </c>
      <c r="E127" s="932">
        <f t="shared" si="32"/>
        <v>44680.898611111108</v>
      </c>
      <c r="F127" s="932">
        <f t="shared" si="33"/>
        <v>44680.265972222223</v>
      </c>
      <c r="G127" s="932">
        <f t="shared" si="34"/>
        <v>44680.815972222219</v>
      </c>
      <c r="H127" s="2">
        <f t="shared" si="36"/>
        <v>3</v>
      </c>
      <c r="I127" s="2">
        <v>66.778052457144852</v>
      </c>
      <c r="J127" s="1317">
        <v>14.694529666924703</v>
      </c>
      <c r="AP127" s="1855">
        <f t="shared" si="46"/>
        <v>44573</v>
      </c>
      <c r="AQ127" s="925" t="str">
        <f t="shared" si="47"/>
        <v/>
      </c>
      <c r="AR127" s="1856" t="str">
        <f t="shared" si="48"/>
        <v/>
      </c>
      <c r="AS127" s="927">
        <v>12</v>
      </c>
      <c r="AT127" s="1856">
        <f t="shared" si="40"/>
        <v>44573.290277777778</v>
      </c>
      <c r="AU127" s="1856">
        <f t="shared" si="41"/>
        <v>44573.332638888889</v>
      </c>
      <c r="AV127" s="1856">
        <f t="shared" si="42"/>
        <v>44573.739583333336</v>
      </c>
      <c r="AW127" s="1856">
        <f t="shared" si="43"/>
        <v>44573.781944444447</v>
      </c>
      <c r="AX127" s="1856">
        <f t="shared" si="44"/>
        <v>44573.575694444444</v>
      </c>
      <c r="AY127" s="1856">
        <f t="shared" si="45"/>
        <v>44573.143750000003</v>
      </c>
      <c r="AZ127" s="1853">
        <v>0.73</v>
      </c>
      <c r="BB127" s="1879">
        <v>29</v>
      </c>
      <c r="BC127" s="1880">
        <v>0.26527777777777778</v>
      </c>
      <c r="BD127" s="1880" t="s">
        <v>917</v>
      </c>
      <c r="BE127" s="1880">
        <v>0.81527777777777777</v>
      </c>
      <c r="BF127" s="1879" t="s">
        <v>916</v>
      </c>
      <c r="BG127" s="1880" t="s">
        <v>241</v>
      </c>
      <c r="BH127" s="1880">
        <v>0.53680555555555554</v>
      </c>
      <c r="BI127" s="1881" t="s">
        <v>993</v>
      </c>
      <c r="BJ127" s="1882">
        <v>244098</v>
      </c>
      <c r="BK127" s="1882">
        <v>1.4E-2</v>
      </c>
      <c r="BL127" s="1619">
        <f t="shared" si="27"/>
        <v>44680</v>
      </c>
      <c r="BM127" s="1856">
        <f t="shared" si="37"/>
        <v>0.53680555555555554</v>
      </c>
      <c r="BN127" s="934">
        <f t="shared" si="28"/>
        <v>59.5</v>
      </c>
    </row>
    <row r="128" spans="1:66" ht="14.5">
      <c r="A128" s="1">
        <f t="shared" si="35"/>
        <v>44681</v>
      </c>
      <c r="B128" s="932">
        <f t="shared" si="29"/>
        <v>44681.240972222222</v>
      </c>
      <c r="C128" s="932">
        <f t="shared" si="30"/>
        <v>44681.284722222219</v>
      </c>
      <c r="D128" s="932">
        <f t="shared" si="31"/>
        <v>44681.856250000004</v>
      </c>
      <c r="E128" s="932">
        <f t="shared" si="32"/>
        <v>44681.899305555555</v>
      </c>
      <c r="F128" s="932">
        <f t="shared" si="33"/>
        <v>44681.283333333333</v>
      </c>
      <c r="G128" s="932">
        <f t="shared" si="34"/>
        <v>44681.859722222223</v>
      </c>
      <c r="H128" s="2">
        <f t="shared" si="36"/>
        <v>1</v>
      </c>
      <c r="I128" s="2">
        <v>67.082053277758661</v>
      </c>
      <c r="J128" s="1317">
        <v>15.0001868063462</v>
      </c>
      <c r="AP128" s="1855">
        <f t="shared" si="46"/>
        <v>44573</v>
      </c>
      <c r="AQ128" s="925" t="str">
        <f t="shared" si="47"/>
        <v/>
      </c>
      <c r="AR128" s="1856" t="str">
        <f t="shared" si="48"/>
        <v/>
      </c>
      <c r="AS128" s="927" t="s">
        <v>252</v>
      </c>
      <c r="AT128" s="1856" t="str">
        <f t="shared" si="40"/>
        <v/>
      </c>
      <c r="AU128" s="1856" t="str">
        <f t="shared" si="41"/>
        <v/>
      </c>
      <c r="AV128" s="1856" t="str">
        <f t="shared" si="42"/>
        <v/>
      </c>
      <c r="AW128" s="1856" t="str">
        <f t="shared" si="43"/>
        <v/>
      </c>
      <c r="AX128" s="1856" t="str">
        <f t="shared" si="44"/>
        <v/>
      </c>
      <c r="AY128" s="1856" t="str">
        <f t="shared" si="45"/>
        <v/>
      </c>
      <c r="BB128" s="1879" t="s">
        <v>994</v>
      </c>
      <c r="BC128" s="1880">
        <v>0.28333333333333333</v>
      </c>
      <c r="BD128" s="1879" t="s">
        <v>995</v>
      </c>
      <c r="BE128" s="1880">
        <v>0.85833333333333339</v>
      </c>
      <c r="BF128" s="1879" t="s">
        <v>914</v>
      </c>
      <c r="BG128" s="1879" t="s">
        <v>241</v>
      </c>
      <c r="BH128" s="1880">
        <v>0.56736111111111109</v>
      </c>
      <c r="BI128" s="1879" t="s">
        <v>996</v>
      </c>
      <c r="BJ128" s="1881">
        <v>246158</v>
      </c>
      <c r="BK128" s="1882">
        <v>0</v>
      </c>
      <c r="BL128" s="1619">
        <f t="shared" si="27"/>
        <v>44681</v>
      </c>
      <c r="BM128" s="1856">
        <f t="shared" si="37"/>
        <v>0.56736111111111109</v>
      </c>
      <c r="BN128" s="934">
        <f t="shared" si="28"/>
        <v>65.099999999999994</v>
      </c>
    </row>
    <row r="129" spans="1:66" ht="14.5">
      <c r="A129" s="1">
        <f t="shared" si="35"/>
        <v>44682</v>
      </c>
      <c r="B129" s="932">
        <f t="shared" si="29"/>
        <v>44682.240277777782</v>
      </c>
      <c r="C129" s="932">
        <f t="shared" si="30"/>
        <v>44682.283333333333</v>
      </c>
      <c r="D129" s="932">
        <f t="shared" si="31"/>
        <v>44682.856944444444</v>
      </c>
      <c r="E129" s="932">
        <f t="shared" si="32"/>
        <v>44682.9</v>
      </c>
      <c r="F129" s="932">
        <f t="shared" si="33"/>
        <v>44682.302777777775</v>
      </c>
      <c r="G129" s="932">
        <f t="shared" si="34"/>
        <v>44682.902777777781</v>
      </c>
      <c r="H129" s="2">
        <f t="shared" si="36"/>
        <v>0</v>
      </c>
      <c r="I129" s="2">
        <v>67.381952108101203</v>
      </c>
      <c r="J129" s="1317">
        <v>15.301711786748898</v>
      </c>
      <c r="AP129" s="1855">
        <f t="shared" si="46"/>
        <v>44573</v>
      </c>
      <c r="AQ129" s="925" t="str">
        <f t="shared" si="47"/>
        <v/>
      </c>
      <c r="AR129" s="1856" t="str">
        <f t="shared" si="48"/>
        <v/>
      </c>
      <c r="AT129" s="1856" t="str">
        <f t="shared" si="40"/>
        <v/>
      </c>
      <c r="AU129" s="1856" t="str">
        <f t="shared" si="41"/>
        <v/>
      </c>
      <c r="AV129" s="1856" t="str">
        <f t="shared" si="42"/>
        <v/>
      </c>
      <c r="AW129" s="1856" t="str">
        <f t="shared" si="43"/>
        <v/>
      </c>
      <c r="AX129" s="1856" t="str">
        <f t="shared" si="44"/>
        <v/>
      </c>
      <c r="AY129" s="1856" t="str">
        <f t="shared" si="45"/>
        <v/>
      </c>
      <c r="BB129" s="1879">
        <v>1</v>
      </c>
      <c r="BC129" s="1880">
        <v>0.30208333333333331</v>
      </c>
      <c r="BD129" s="1879" t="s">
        <v>997</v>
      </c>
      <c r="BE129" s="1880">
        <v>0.90138888888888891</v>
      </c>
      <c r="BF129" s="1879" t="s">
        <v>582</v>
      </c>
      <c r="BG129" s="1879" t="s">
        <v>241</v>
      </c>
      <c r="BH129" s="1880">
        <v>0.59861111111111109</v>
      </c>
      <c r="BI129" s="1879" t="s">
        <v>998</v>
      </c>
      <c r="BJ129" s="1881">
        <v>248058</v>
      </c>
      <c r="BK129" s="1882">
        <v>8.0000000000000002E-3</v>
      </c>
      <c r="BL129" s="1619">
        <f t="shared" si="27"/>
        <v>44682</v>
      </c>
      <c r="BM129" s="1856">
        <f t="shared" si="37"/>
        <v>0.59861111111111109</v>
      </c>
      <c r="BN129" s="934">
        <f t="shared" si="28"/>
        <v>69.900000000000006</v>
      </c>
    </row>
    <row r="130" spans="1:66" ht="14.5">
      <c r="A130" s="1">
        <f t="shared" si="35"/>
        <v>44683</v>
      </c>
      <c r="B130" s="932">
        <f t="shared" si="29"/>
        <v>44683.239583333336</v>
      </c>
      <c r="C130" s="932">
        <f t="shared" si="30"/>
        <v>44683.282638888886</v>
      </c>
      <c r="D130" s="932">
        <f t="shared" si="31"/>
        <v>44683.857638888891</v>
      </c>
      <c r="E130" s="932">
        <f t="shared" si="32"/>
        <v>44683.900694444441</v>
      </c>
      <c r="F130" s="932">
        <f t="shared" si="33"/>
        <v>44683.32430555555</v>
      </c>
      <c r="G130" s="932">
        <f t="shared" si="34"/>
        <v>44683.945138888885</v>
      </c>
      <c r="H130" s="2">
        <f t="shared" si="36"/>
        <v>2</v>
      </c>
      <c r="I130" s="2">
        <v>67.677670877928605</v>
      </c>
      <c r="J130" s="1317">
        <v>15.599016763045208</v>
      </c>
      <c r="AP130" s="1855">
        <f t="shared" si="46"/>
        <v>44573</v>
      </c>
      <c r="AQ130" s="925" t="str">
        <f t="shared" si="47"/>
        <v>MS</v>
      </c>
      <c r="AR130" s="1856">
        <f t="shared" si="48"/>
        <v>44573.143750000003</v>
      </c>
      <c r="AS130" s="927" t="s">
        <v>999</v>
      </c>
      <c r="AT130" s="1856" t="str">
        <f t="shared" si="40"/>
        <v/>
      </c>
      <c r="AU130" s="1856" t="str">
        <f t="shared" si="41"/>
        <v/>
      </c>
      <c r="AV130" s="1856" t="str">
        <f t="shared" si="42"/>
        <v/>
      </c>
      <c r="AW130" s="1856" t="str">
        <f t="shared" si="43"/>
        <v/>
      </c>
      <c r="AX130" s="1856" t="str">
        <f t="shared" si="44"/>
        <v/>
      </c>
      <c r="AY130" s="1856" t="str">
        <f t="shared" si="45"/>
        <v/>
      </c>
      <c r="BB130" s="1879">
        <v>2</v>
      </c>
      <c r="BC130" s="1880">
        <v>0.32361111111111113</v>
      </c>
      <c r="BD130" s="1879" t="s">
        <v>590</v>
      </c>
      <c r="BE130" s="1880">
        <v>0.94444444444444453</v>
      </c>
      <c r="BF130" s="1879" t="s">
        <v>633</v>
      </c>
      <c r="BG130" s="1879" t="s">
        <v>241</v>
      </c>
      <c r="BH130" s="1880">
        <v>0.63124999999999998</v>
      </c>
      <c r="BI130" s="1879" t="s">
        <v>1000</v>
      </c>
      <c r="BJ130" s="1881">
        <v>249698</v>
      </c>
      <c r="BK130" s="1882">
        <v>3.5999999999999997E-2</v>
      </c>
      <c r="BL130" s="1619">
        <f t="shared" si="27"/>
        <v>44683</v>
      </c>
      <c r="BM130" s="1856">
        <f t="shared" si="37"/>
        <v>0.63124999999999998</v>
      </c>
      <c r="BN130" s="934">
        <f t="shared" si="28"/>
        <v>73.900000000000006</v>
      </c>
    </row>
    <row r="131" spans="1:66" ht="14.5">
      <c r="A131" s="1">
        <f t="shared" si="35"/>
        <v>44684</v>
      </c>
      <c r="B131" s="932">
        <f t="shared" si="29"/>
        <v>44684.23819444445</v>
      </c>
      <c r="C131" s="932">
        <f t="shared" si="30"/>
        <v>44684.281944444447</v>
      </c>
      <c r="D131" s="932">
        <f t="shared" si="31"/>
        <v>44684.857638888891</v>
      </c>
      <c r="E131" s="932">
        <f t="shared" si="32"/>
        <v>44684.901388888888</v>
      </c>
      <c r="F131" s="932">
        <f t="shared" si="33"/>
        <v>44684.348611111112</v>
      </c>
      <c r="G131" s="932">
        <f t="shared" si="34"/>
        <v>44684.986805555556</v>
      </c>
      <c r="H131" s="2">
        <f t="shared" si="36"/>
        <v>5</v>
      </c>
      <c r="I131" s="2">
        <v>67.969131960141382</v>
      </c>
      <c r="J131" s="1317">
        <v>15.892014437529815</v>
      </c>
      <c r="AP131" s="1855">
        <f t="shared" si="46"/>
        <v>44573</v>
      </c>
      <c r="AQ131" s="925" t="str">
        <f t="shared" si="47"/>
        <v>BMNT</v>
      </c>
      <c r="AR131" s="1856">
        <f t="shared" si="48"/>
        <v>44573.290277777778</v>
      </c>
      <c r="AS131" s="927" t="s">
        <v>814</v>
      </c>
      <c r="AT131" s="1856" t="str">
        <f t="shared" si="40"/>
        <v/>
      </c>
      <c r="AU131" s="1856" t="str">
        <f t="shared" si="41"/>
        <v/>
      </c>
      <c r="AV131" s="1856" t="str">
        <f t="shared" si="42"/>
        <v/>
      </c>
      <c r="AW131" s="1856" t="str">
        <f t="shared" si="43"/>
        <v/>
      </c>
      <c r="AX131" s="1856" t="str">
        <f t="shared" si="44"/>
        <v/>
      </c>
      <c r="AY131" s="1856" t="str">
        <f t="shared" si="45"/>
        <v/>
      </c>
      <c r="BB131" s="1879">
        <v>3</v>
      </c>
      <c r="BC131" s="1880">
        <v>0.34791666666666665</v>
      </c>
      <c r="BD131" s="1879" t="s">
        <v>599</v>
      </c>
      <c r="BE131" s="1880">
        <v>0.98611111111111116</v>
      </c>
      <c r="BF131" s="1879" t="s">
        <v>609</v>
      </c>
      <c r="BG131" s="1879" t="s">
        <v>241</v>
      </c>
      <c r="BH131" s="1880">
        <v>0.6645833333333333</v>
      </c>
      <c r="BI131" s="1879" t="s">
        <v>1001</v>
      </c>
      <c r="BJ131" s="1881">
        <v>250953</v>
      </c>
      <c r="BK131" s="1882">
        <v>8.2000000000000003E-2</v>
      </c>
      <c r="BL131" s="1619">
        <f t="shared" ref="BL131:BL194" si="49">A131</f>
        <v>44684</v>
      </c>
      <c r="BM131" s="1856">
        <f t="shared" si="37"/>
        <v>0.6645833333333333</v>
      </c>
      <c r="BN131" s="934">
        <f t="shared" si="28"/>
        <v>76.8</v>
      </c>
    </row>
    <row r="132" spans="1:66" ht="14.5">
      <c r="A132" s="1">
        <f t="shared" si="35"/>
        <v>44685</v>
      </c>
      <c r="B132" s="932">
        <f t="shared" si="29"/>
        <v>44685.237500000003</v>
      </c>
      <c r="C132" s="932">
        <f t="shared" si="30"/>
        <v>44685.28125</v>
      </c>
      <c r="D132" s="932">
        <f t="shared" si="31"/>
        <v>44685.858333333337</v>
      </c>
      <c r="E132" s="932">
        <f t="shared" si="32"/>
        <v>44685.902777777781</v>
      </c>
      <c r="F132" s="932">
        <f t="shared" si="33"/>
        <v>44685.377083333333</v>
      </c>
      <c r="G132" s="932" t="str">
        <f t="shared" si="34"/>
        <v>NONE</v>
      </c>
      <c r="H132" s="2">
        <f t="shared" si="36"/>
        <v>10</v>
      </c>
      <c r="I132" s="2">
        <v>68.256258147911836</v>
      </c>
      <c r="J132" s="1317">
        <v>16.180618094463401</v>
      </c>
      <c r="AP132" s="1855">
        <f t="shared" si="46"/>
        <v>44573</v>
      </c>
      <c r="AQ132" s="925" t="str">
        <f t="shared" si="47"/>
        <v>SR</v>
      </c>
      <c r="AR132" s="1856">
        <f t="shared" si="48"/>
        <v>44573.332638888889</v>
      </c>
      <c r="AS132" s="927" t="s">
        <v>984</v>
      </c>
      <c r="AT132" s="1856" t="str">
        <f t="shared" si="40"/>
        <v/>
      </c>
      <c r="AU132" s="1856" t="str">
        <f t="shared" si="41"/>
        <v/>
      </c>
      <c r="AV132" s="1856" t="str">
        <f t="shared" si="42"/>
        <v/>
      </c>
      <c r="AW132" s="1856" t="str">
        <f t="shared" si="43"/>
        <v/>
      </c>
      <c r="AX132" s="1856" t="str">
        <f t="shared" si="44"/>
        <v/>
      </c>
      <c r="AY132" s="1856" t="str">
        <f t="shared" si="45"/>
        <v/>
      </c>
      <c r="BB132" s="1879">
        <v>4</v>
      </c>
      <c r="BC132" s="1880">
        <v>0.37638888888888888</v>
      </c>
      <c r="BD132" s="1879" t="s">
        <v>685</v>
      </c>
      <c r="BE132" s="1880" t="s">
        <v>241</v>
      </c>
      <c r="BF132" s="1879" t="s">
        <v>241</v>
      </c>
      <c r="BG132" s="1880">
        <v>0.69930555555555562</v>
      </c>
      <c r="BH132" s="1880" t="s">
        <v>1002</v>
      </c>
      <c r="BI132" s="1881">
        <v>251690</v>
      </c>
      <c r="BJ132" s="1881">
        <v>0.14499999999999999</v>
      </c>
      <c r="BK132" s="1882"/>
      <c r="BL132" s="1619">
        <f t="shared" si="49"/>
        <v>44685</v>
      </c>
      <c r="BM132" s="1856">
        <f t="shared" si="37"/>
        <v>0.69930555555555562</v>
      </c>
      <c r="BN132" s="934">
        <f t="shared" si="28"/>
        <v>78.5</v>
      </c>
    </row>
    <row r="133" spans="1:66" ht="14.5">
      <c r="A133" s="1">
        <f t="shared" si="35"/>
        <v>44686</v>
      </c>
      <c r="B133" s="932">
        <f t="shared" si="29"/>
        <v>44686.236805555556</v>
      </c>
      <c r="C133" s="932">
        <f t="shared" si="30"/>
        <v>44686.280555555553</v>
      </c>
      <c r="D133" s="932">
        <f t="shared" si="31"/>
        <v>44686.859027777777</v>
      </c>
      <c r="E133" s="932">
        <f t="shared" si="32"/>
        <v>44686.90347222222</v>
      </c>
      <c r="F133" s="932">
        <f t="shared" si="33"/>
        <v>44686.410416666666</v>
      </c>
      <c r="G133" s="932">
        <f t="shared" si="34"/>
        <v>44686.025694444441</v>
      </c>
      <c r="H133" s="2">
        <f t="shared" si="36"/>
        <v>17</v>
      </c>
      <c r="I133" s="2">
        <v>68.538972632149367</v>
      </c>
      <c r="J133" s="1317">
        <v>16.464741636529041</v>
      </c>
      <c r="AP133" s="1855">
        <f t="shared" si="46"/>
        <v>44573</v>
      </c>
      <c r="AQ133" s="925" t="str">
        <f t="shared" si="47"/>
        <v>MR</v>
      </c>
      <c r="AR133" s="1856">
        <f t="shared" si="48"/>
        <v>44573.575694444444</v>
      </c>
      <c r="AS133" s="927" t="s">
        <v>1003</v>
      </c>
      <c r="AT133" s="1856" t="str">
        <f t="shared" si="40"/>
        <v/>
      </c>
      <c r="AU133" s="1856" t="str">
        <f t="shared" si="41"/>
        <v/>
      </c>
      <c r="AV133" s="1856" t="str">
        <f t="shared" si="42"/>
        <v/>
      </c>
      <c r="AW133" s="1856" t="str">
        <f t="shared" si="43"/>
        <v/>
      </c>
      <c r="AX133" s="1856" t="str">
        <f t="shared" si="44"/>
        <v/>
      </c>
      <c r="AY133" s="1856" t="str">
        <f t="shared" si="45"/>
        <v/>
      </c>
      <c r="BB133" s="1879">
        <v>5</v>
      </c>
      <c r="BC133" s="1880" t="s">
        <v>241</v>
      </c>
      <c r="BD133" s="1880">
        <v>2.4999999999999998E-2</v>
      </c>
      <c r="BE133" s="1880" t="s">
        <v>960</v>
      </c>
      <c r="BF133" s="1880">
        <v>0.40972222222222227</v>
      </c>
      <c r="BG133" s="1879" t="s">
        <v>907</v>
      </c>
      <c r="BH133" s="1880">
        <v>0.73472222222222217</v>
      </c>
      <c r="BI133" s="1879" t="s">
        <v>1004</v>
      </c>
      <c r="BJ133" s="1881">
        <v>251787</v>
      </c>
      <c r="BK133" s="1882">
        <v>0.22</v>
      </c>
      <c r="BL133" s="1619">
        <f t="shared" si="49"/>
        <v>44686</v>
      </c>
      <c r="BM133" s="1856">
        <f t="shared" si="37"/>
        <v>0.73472222222222217</v>
      </c>
      <c r="BN133" s="934">
        <f t="shared" ref="BN133:BN196" si="50">IF(ISNUMBER(FIND("(",BI133)),MID(BI133,2,4)*1,IF(BM133="NA","NA",MID(BH133,2,4)*1))</f>
        <v>78.900000000000006</v>
      </c>
    </row>
    <row r="134" spans="1:66" ht="14.5">
      <c r="A134" s="1">
        <f t="shared" si="35"/>
        <v>44687</v>
      </c>
      <c r="B134" s="932">
        <f t="shared" si="29"/>
        <v>44687.23541666667</v>
      </c>
      <c r="C134" s="932">
        <f t="shared" si="30"/>
        <v>44687.279861111114</v>
      </c>
      <c r="D134" s="932">
        <f t="shared" si="31"/>
        <v>44687.859722222223</v>
      </c>
      <c r="E134" s="932">
        <f t="shared" si="32"/>
        <v>44687.904166666667</v>
      </c>
      <c r="F134" s="932">
        <f t="shared" si="33"/>
        <v>44687.446527777778</v>
      </c>
      <c r="G134" s="932">
        <f t="shared" si="34"/>
        <v>44687.060416666667</v>
      </c>
      <c r="H134" s="2">
        <f t="shared" si="36"/>
        <v>25</v>
      </c>
      <c r="I134" s="2">
        <v>68.817198979566797</v>
      </c>
      <c r="J134" s="1317">
        <v>16.74429962314084</v>
      </c>
      <c r="AP134" s="1855">
        <f t="shared" si="46"/>
        <v>44573</v>
      </c>
      <c r="AQ134" s="925" t="str">
        <f t="shared" si="47"/>
        <v>SS</v>
      </c>
      <c r="AR134" s="1856">
        <f t="shared" si="48"/>
        <v>44573.739583333336</v>
      </c>
      <c r="AS134" s="927" t="s">
        <v>1005</v>
      </c>
      <c r="AT134" s="1856" t="str">
        <f t="shared" si="40"/>
        <v/>
      </c>
      <c r="AU134" s="1856" t="str">
        <f t="shared" si="41"/>
        <v/>
      </c>
      <c r="AV134" s="1856" t="str">
        <f t="shared" si="42"/>
        <v/>
      </c>
      <c r="AW134" s="1856" t="str">
        <f t="shared" si="43"/>
        <v/>
      </c>
      <c r="AX134" s="1856" t="str">
        <f t="shared" si="44"/>
        <v/>
      </c>
      <c r="AY134" s="1856" t="str">
        <f t="shared" si="45"/>
        <v/>
      </c>
      <c r="BB134" s="1879">
        <v>6</v>
      </c>
      <c r="BC134" s="1880" t="s">
        <v>241</v>
      </c>
      <c r="BD134" s="1880">
        <v>5.9722222222222225E-2</v>
      </c>
      <c r="BE134" s="1880" t="s">
        <v>960</v>
      </c>
      <c r="BF134" s="1880">
        <v>0.4465277777777778</v>
      </c>
      <c r="BG134" s="1879" t="s">
        <v>685</v>
      </c>
      <c r="BH134" s="1880">
        <v>0.77013888888888893</v>
      </c>
      <c r="BI134" s="1879" t="s">
        <v>910</v>
      </c>
      <c r="BJ134" s="1881">
        <v>251145</v>
      </c>
      <c r="BK134" s="1882">
        <v>0.30599999999999999</v>
      </c>
      <c r="BL134" s="1619">
        <f t="shared" si="49"/>
        <v>44687</v>
      </c>
      <c r="BM134" s="1856">
        <f t="shared" si="37"/>
        <v>0.77013888888888893</v>
      </c>
      <c r="BN134" s="934">
        <f t="shared" si="50"/>
        <v>77.900000000000006</v>
      </c>
    </row>
    <row r="135" spans="1:66" ht="14.5">
      <c r="A135" s="1">
        <f t="shared" si="35"/>
        <v>44688</v>
      </c>
      <c r="B135" s="932">
        <f t="shared" si="29"/>
        <v>44688.234722222223</v>
      </c>
      <c r="C135" s="932">
        <f t="shared" si="30"/>
        <v>44688.279166666667</v>
      </c>
      <c r="D135" s="932">
        <f t="shared" si="31"/>
        <v>44688.86041666667</v>
      </c>
      <c r="E135" s="932">
        <f t="shared" si="32"/>
        <v>44688.904861111114</v>
      </c>
      <c r="F135" s="932">
        <f t="shared" si="33"/>
        <v>44688.486805555556</v>
      </c>
      <c r="G135" s="932">
        <f t="shared" si="34"/>
        <v>44688.090972222228</v>
      </c>
      <c r="H135" s="2">
        <f t="shared" si="36"/>
        <v>33</v>
      </c>
      <c r="I135" s="2">
        <v>69.090861111658683</v>
      </c>
      <c r="J135" s="1317">
        <v>17.019207310595771</v>
      </c>
      <c r="AP135" s="1855">
        <f t="shared" si="46"/>
        <v>44573</v>
      </c>
      <c r="AQ135" s="925" t="str">
        <f t="shared" si="47"/>
        <v>EENT</v>
      </c>
      <c r="AR135" s="1856">
        <f t="shared" si="48"/>
        <v>44573.781944444447</v>
      </c>
      <c r="AS135" s="927" t="s">
        <v>1006</v>
      </c>
      <c r="AT135" s="1856" t="str">
        <f t="shared" si="40"/>
        <v/>
      </c>
      <c r="AU135" s="1856" t="str">
        <f t="shared" si="41"/>
        <v/>
      </c>
      <c r="AV135" s="1856" t="str">
        <f t="shared" si="42"/>
        <v/>
      </c>
      <c r="AW135" s="1856" t="str">
        <f t="shared" si="43"/>
        <v/>
      </c>
      <c r="AX135" s="1856" t="str">
        <f t="shared" si="44"/>
        <v/>
      </c>
      <c r="AY135" s="1856" t="str">
        <f t="shared" si="45"/>
        <v/>
      </c>
      <c r="BB135" s="1879">
        <v>7</v>
      </c>
      <c r="BC135" s="1880" t="s">
        <v>241</v>
      </c>
      <c r="BD135" s="1880">
        <v>9.0277777777777776E-2</v>
      </c>
      <c r="BE135" s="1880" t="s">
        <v>609</v>
      </c>
      <c r="BF135" s="1880">
        <v>0.4861111111111111</v>
      </c>
      <c r="BG135" s="1879" t="s">
        <v>624</v>
      </c>
      <c r="BH135" s="1880">
        <v>0.8041666666666667</v>
      </c>
      <c r="BI135" s="1879" t="s">
        <v>1007</v>
      </c>
      <c r="BJ135" s="1881">
        <v>249715</v>
      </c>
      <c r="BK135" s="1882">
        <v>0.40100000000000002</v>
      </c>
      <c r="BL135" s="1619">
        <f t="shared" si="49"/>
        <v>44688</v>
      </c>
      <c r="BM135" s="1856">
        <f t="shared" si="37"/>
        <v>0.8041666666666667</v>
      </c>
      <c r="BN135" s="934">
        <f t="shared" si="50"/>
        <v>75.599999999999994</v>
      </c>
    </row>
    <row r="136" spans="1:66" ht="14.5">
      <c r="A136" s="1">
        <f t="shared" si="35"/>
        <v>44689</v>
      </c>
      <c r="B136" s="932">
        <f t="shared" si="29"/>
        <v>44689.234027777777</v>
      </c>
      <c r="C136" s="932">
        <f t="shared" si="30"/>
        <v>44689.27847222222</v>
      </c>
      <c r="D136" s="932">
        <f t="shared" si="31"/>
        <v>44689.861111111117</v>
      </c>
      <c r="E136" s="932">
        <f t="shared" si="32"/>
        <v>44689.905555555553</v>
      </c>
      <c r="F136" s="932">
        <f t="shared" si="33"/>
        <v>44689.52847222222</v>
      </c>
      <c r="G136" s="932">
        <f t="shared" si="34"/>
        <v>44689.117361111115</v>
      </c>
      <c r="H136" s="2">
        <f t="shared" si="36"/>
        <v>42</v>
      </c>
      <c r="I136" s="2">
        <v>69.359883284905152</v>
      </c>
      <c r="J136" s="1317">
        <v>17.289380694025617</v>
      </c>
      <c r="AP136" s="1855">
        <f t="shared" si="46"/>
        <v>44574</v>
      </c>
      <c r="AQ136" s="925" t="str">
        <f t="shared" si="47"/>
        <v/>
      </c>
      <c r="AR136" s="1856" t="str">
        <f t="shared" si="48"/>
        <v/>
      </c>
      <c r="AS136" s="927">
        <v>13</v>
      </c>
      <c r="AT136" s="1856">
        <f t="shared" si="40"/>
        <v>44574.290277777778</v>
      </c>
      <c r="AU136" s="1856">
        <f t="shared" si="41"/>
        <v>44574.332638888889</v>
      </c>
      <c r="AV136" s="1856">
        <f t="shared" si="42"/>
        <v>44574.740277777782</v>
      </c>
      <c r="AW136" s="1856">
        <f t="shared" si="43"/>
        <v>44574.782638888886</v>
      </c>
      <c r="AX136" s="1856">
        <f t="shared" si="44"/>
        <v>44574.598611111112</v>
      </c>
      <c r="AY136" s="1856">
        <f t="shared" si="45"/>
        <v>44574.18472222222</v>
      </c>
      <c r="AZ136" s="1853">
        <v>0.81</v>
      </c>
      <c r="BB136" s="1879" t="s">
        <v>1008</v>
      </c>
      <c r="BC136" s="1880" t="s">
        <v>241</v>
      </c>
      <c r="BD136" s="1880">
        <v>0.1173611111111111</v>
      </c>
      <c r="BE136" s="1880" t="s">
        <v>591</v>
      </c>
      <c r="BF136" s="1880">
        <v>0.52847222222222223</v>
      </c>
      <c r="BG136" s="1879" t="s">
        <v>634</v>
      </c>
      <c r="BH136" s="1880">
        <v>0.83750000000000002</v>
      </c>
      <c r="BI136" s="1879" t="s">
        <v>1009</v>
      </c>
      <c r="BJ136" s="1881">
        <v>247503</v>
      </c>
      <c r="BK136" s="1882">
        <v>0.5</v>
      </c>
      <c r="BL136" s="1619">
        <f t="shared" si="49"/>
        <v>44689</v>
      </c>
      <c r="BM136" s="1856">
        <f t="shared" si="37"/>
        <v>0.83750000000000002</v>
      </c>
      <c r="BN136" s="934">
        <f t="shared" si="50"/>
        <v>72.2</v>
      </c>
    </row>
    <row r="137" spans="1:66" ht="14.5">
      <c r="A137" s="1">
        <f t="shared" si="35"/>
        <v>44690</v>
      </c>
      <c r="B137" s="932">
        <f t="shared" ref="B137:B200" si="51">INDEX(AT$28:AT$4574,MATCH($A137,$AP$28:$AP$4574,0))</f>
        <v>44690.232638888891</v>
      </c>
      <c r="C137" s="932">
        <f t="shared" ref="C137:C200" si="52">INDEX(AU$28:AU$4574,MATCH($A137,$AP$28:$AP$4574,0))</f>
        <v>44690.277777777781</v>
      </c>
      <c r="D137" s="932">
        <f t="shared" ref="D137:D200" si="53">INDEX(AV$28:AV$4574,MATCH($A137,$AP$28:$AP$4574,0))</f>
        <v>44690.861805555556</v>
      </c>
      <c r="E137" s="932">
        <f t="shared" ref="E137:E200" si="54">INDEX(AW$28:AW$4574,MATCH($A137,$AP$28:$AP$4574,0))</f>
        <v>44690.90625</v>
      </c>
      <c r="F137" s="932">
        <f t="shared" ref="F137:F200" si="55">INDEX(AX$28:AX$4574,MATCH($A137,$AP$28:$AP$4574,0))</f>
        <v>44690.572222222218</v>
      </c>
      <c r="G137" s="932">
        <f t="shared" ref="G137:G200" si="56">INDEX(AY$28:AY$4574,MATCH($A137,$AP$28:$AP$4574,0))</f>
        <v>44690.140277777777</v>
      </c>
      <c r="H137" s="2">
        <f t="shared" si="36"/>
        <v>52</v>
      </c>
      <c r="I137" s="2">
        <v>69.624190072572745</v>
      </c>
      <c r="J137" s="1317">
        <v>17.554736551127249</v>
      </c>
      <c r="AP137" s="1855">
        <f t="shared" si="46"/>
        <v>44574</v>
      </c>
      <c r="AQ137" s="925" t="str">
        <f t="shared" si="47"/>
        <v/>
      </c>
      <c r="AR137" s="1856" t="str">
        <f t="shared" si="48"/>
        <v/>
      </c>
      <c r="AS137" s="927" t="s">
        <v>252</v>
      </c>
      <c r="AT137" s="1856" t="str">
        <f t="shared" si="40"/>
        <v/>
      </c>
      <c r="AU137" s="1856" t="str">
        <f t="shared" si="41"/>
        <v/>
      </c>
      <c r="AV137" s="1856" t="str">
        <f t="shared" si="42"/>
        <v/>
      </c>
      <c r="AW137" s="1856" t="str">
        <f t="shared" si="43"/>
        <v/>
      </c>
      <c r="AX137" s="1856" t="str">
        <f t="shared" si="44"/>
        <v/>
      </c>
      <c r="AY137" s="1856" t="str">
        <f t="shared" si="45"/>
        <v/>
      </c>
      <c r="BB137" s="1879">
        <v>9</v>
      </c>
      <c r="BC137" s="1880" t="s">
        <v>241</v>
      </c>
      <c r="BD137" s="1880">
        <v>0.14027777777777778</v>
      </c>
      <c r="BE137" s="1880" t="s">
        <v>582</v>
      </c>
      <c r="BF137" s="1880">
        <v>0.57152777777777775</v>
      </c>
      <c r="BG137" s="1879" t="s">
        <v>846</v>
      </c>
      <c r="BH137" s="1880">
        <v>0.86944444444444446</v>
      </c>
      <c r="BI137" s="1879" t="s">
        <v>1010</v>
      </c>
      <c r="BJ137" s="1881">
        <v>244588</v>
      </c>
      <c r="BK137" s="1882">
        <v>0.60199999999999998</v>
      </c>
      <c r="BL137" s="1619">
        <f t="shared" si="49"/>
        <v>44690</v>
      </c>
      <c r="BM137" s="1856">
        <f t="shared" si="37"/>
        <v>0.86944444444444446</v>
      </c>
      <c r="BN137" s="934">
        <f t="shared" si="50"/>
        <v>67.8</v>
      </c>
    </row>
    <row r="138" spans="1:66" ht="14.5">
      <c r="A138" s="1">
        <f t="shared" ref="A138:A201" si="57">A137+1</f>
        <v>44691</v>
      </c>
      <c r="B138" s="932">
        <f t="shared" si="51"/>
        <v>44691.231944444444</v>
      </c>
      <c r="C138" s="932">
        <f t="shared" si="52"/>
        <v>44691.277083333334</v>
      </c>
      <c r="D138" s="932">
        <f t="shared" si="53"/>
        <v>44691.862500000003</v>
      </c>
      <c r="E138" s="932">
        <f t="shared" si="54"/>
        <v>44691.906944444447</v>
      </c>
      <c r="F138" s="932">
        <f t="shared" si="55"/>
        <v>44691.615972222222</v>
      </c>
      <c r="G138" s="932">
        <f t="shared" si="56"/>
        <v>44691.160416666666</v>
      </c>
      <c r="H138" s="2">
        <f t="shared" ref="H138:H201" si="58">INDEX(AZ$28:AZ$4574,MATCH($A138,$AP$28:$AP$4574,0))*100</f>
        <v>62</v>
      </c>
      <c r="I138" s="2">
        <v>69.883706348494073</v>
      </c>
      <c r="J138" s="1317">
        <v>17.815192487619722</v>
      </c>
      <c r="AP138" s="1855">
        <f t="shared" si="46"/>
        <v>44574</v>
      </c>
      <c r="AQ138" s="925" t="str">
        <f t="shared" si="47"/>
        <v/>
      </c>
      <c r="AR138" s="1856" t="str">
        <f t="shared" si="48"/>
        <v/>
      </c>
      <c r="AT138" s="1856" t="str">
        <f t="shared" si="40"/>
        <v/>
      </c>
      <c r="AU138" s="1856" t="str">
        <f t="shared" si="41"/>
        <v/>
      </c>
      <c r="AV138" s="1856" t="str">
        <f t="shared" si="42"/>
        <v/>
      </c>
      <c r="AW138" s="1856" t="str">
        <f t="shared" si="43"/>
        <v/>
      </c>
      <c r="AX138" s="1856" t="str">
        <f t="shared" si="44"/>
        <v/>
      </c>
      <c r="AY138" s="1856" t="str">
        <f t="shared" si="45"/>
        <v/>
      </c>
      <c r="BB138" s="1879">
        <v>10</v>
      </c>
      <c r="BC138" s="1880" t="s">
        <v>241</v>
      </c>
      <c r="BD138" s="1880">
        <v>0.16041666666666668</v>
      </c>
      <c r="BE138" s="1880" t="s">
        <v>914</v>
      </c>
      <c r="BF138" s="1880">
        <v>0.61527777777777781</v>
      </c>
      <c r="BG138" s="1879" t="s">
        <v>843</v>
      </c>
      <c r="BH138" s="1880">
        <v>0.90069444444444446</v>
      </c>
      <c r="BI138" s="1879" t="s">
        <v>1011</v>
      </c>
      <c r="BJ138" s="1881">
        <v>241120</v>
      </c>
      <c r="BK138" s="1882">
        <v>0.70199999999999996</v>
      </c>
      <c r="BL138" s="1619">
        <f t="shared" si="49"/>
        <v>44691</v>
      </c>
      <c r="BM138" s="1856">
        <f t="shared" ref="BM138:BM201" si="59">IF(ISNUMBER(FIND("(",BH138)),BG138,IF(ISNUMBER(FIND("Moon",BH138)),"NA",BH138))</f>
        <v>0.90069444444444446</v>
      </c>
      <c r="BN138" s="934">
        <f t="shared" si="50"/>
        <v>62.5</v>
      </c>
    </row>
    <row r="139" spans="1:66" ht="14.5">
      <c r="A139" s="1">
        <f t="shared" si="57"/>
        <v>44692</v>
      </c>
      <c r="B139" s="932">
        <f t="shared" si="51"/>
        <v>44692.231250000004</v>
      </c>
      <c r="C139" s="932">
        <f t="shared" si="52"/>
        <v>44692.276388888888</v>
      </c>
      <c r="D139" s="932">
        <f t="shared" si="53"/>
        <v>44692.86319444445</v>
      </c>
      <c r="E139" s="932">
        <f t="shared" si="54"/>
        <v>44692.907638888886</v>
      </c>
      <c r="F139" s="932">
        <f t="shared" si="55"/>
        <v>44692.660416666666</v>
      </c>
      <c r="G139" s="932">
        <f t="shared" si="56"/>
        <v>44692.179166666661</v>
      </c>
      <c r="H139" s="2">
        <f t="shared" si="58"/>
        <v>72</v>
      </c>
      <c r="I139" s="2">
        <v>70.138357273247976</v>
      </c>
      <c r="J139" s="1317">
        <v>18.070666984381088</v>
      </c>
      <c r="AP139" s="1855">
        <f t="shared" si="46"/>
        <v>44574</v>
      </c>
      <c r="AQ139" s="925" t="str">
        <f t="shared" si="47"/>
        <v>MS</v>
      </c>
      <c r="AR139" s="1856">
        <f t="shared" si="48"/>
        <v>44574.18472222222</v>
      </c>
      <c r="AS139" s="927" t="s">
        <v>1012</v>
      </c>
      <c r="AT139" s="1856" t="str">
        <f t="shared" si="40"/>
        <v/>
      </c>
      <c r="AU139" s="1856" t="str">
        <f t="shared" si="41"/>
        <v/>
      </c>
      <c r="AV139" s="1856" t="str">
        <f t="shared" si="42"/>
        <v/>
      </c>
      <c r="AW139" s="1856" t="str">
        <f t="shared" si="43"/>
        <v/>
      </c>
      <c r="AX139" s="1856" t="str">
        <f t="shared" si="44"/>
        <v/>
      </c>
      <c r="AY139" s="1856" t="str">
        <f t="shared" si="45"/>
        <v/>
      </c>
      <c r="BB139" s="1879">
        <v>11</v>
      </c>
      <c r="BC139" s="1880" t="s">
        <v>241</v>
      </c>
      <c r="BD139" s="1880">
        <v>0.17916666666666667</v>
      </c>
      <c r="BE139" s="1880" t="s">
        <v>916</v>
      </c>
      <c r="BF139" s="1880">
        <v>0.66041666666666665</v>
      </c>
      <c r="BG139" s="1879" t="s">
        <v>917</v>
      </c>
      <c r="BH139" s="1880">
        <v>0.93194444444444446</v>
      </c>
      <c r="BI139" s="1879" t="s">
        <v>1013</v>
      </c>
      <c r="BJ139" s="1881">
        <v>237323</v>
      </c>
      <c r="BK139" s="1882">
        <v>0.79600000000000004</v>
      </c>
      <c r="BL139" s="1619">
        <f t="shared" si="49"/>
        <v>44692</v>
      </c>
      <c r="BM139" s="1856">
        <f t="shared" si="59"/>
        <v>0.93194444444444446</v>
      </c>
      <c r="BN139" s="934">
        <f t="shared" si="50"/>
        <v>56.5</v>
      </c>
    </row>
    <row r="140" spans="1:66" ht="14.5">
      <c r="A140" s="1">
        <f t="shared" si="57"/>
        <v>44693</v>
      </c>
      <c r="B140" s="932">
        <f t="shared" si="51"/>
        <v>44693.230555555558</v>
      </c>
      <c r="C140" s="932">
        <f t="shared" si="52"/>
        <v>44693.275694444441</v>
      </c>
      <c r="D140" s="932">
        <f t="shared" si="53"/>
        <v>44693.863888888889</v>
      </c>
      <c r="E140" s="932">
        <f t="shared" si="54"/>
        <v>44693.90902777778</v>
      </c>
      <c r="F140" s="932">
        <f t="shared" si="55"/>
        <v>44693.706944444442</v>
      </c>
      <c r="G140" s="932">
        <f t="shared" si="56"/>
        <v>44693.197222222218</v>
      </c>
      <c r="H140" s="2">
        <f t="shared" si="58"/>
        <v>81</v>
      </c>
      <c r="I140" s="2">
        <v>70.388068283191842</v>
      </c>
      <c r="J140" s="1317">
        <v>18.321079446210447</v>
      </c>
      <c r="AP140" s="1855">
        <f t="shared" si="46"/>
        <v>44574</v>
      </c>
      <c r="AQ140" s="925" t="str">
        <f t="shared" si="47"/>
        <v>BMNT</v>
      </c>
      <c r="AR140" s="1856">
        <f t="shared" si="48"/>
        <v>44574.290277777778</v>
      </c>
      <c r="AS140" s="927" t="s">
        <v>814</v>
      </c>
      <c r="AT140" s="1856" t="str">
        <f t="shared" si="40"/>
        <v/>
      </c>
      <c r="AU140" s="1856" t="str">
        <f t="shared" si="41"/>
        <v/>
      </c>
      <c r="AV140" s="1856" t="str">
        <f t="shared" si="42"/>
        <v/>
      </c>
      <c r="AW140" s="1856" t="str">
        <f t="shared" si="43"/>
        <v/>
      </c>
      <c r="AX140" s="1856" t="str">
        <f t="shared" si="44"/>
        <v/>
      </c>
      <c r="AY140" s="1856" t="str">
        <f t="shared" si="45"/>
        <v/>
      </c>
      <c r="BB140" s="1879">
        <v>12</v>
      </c>
      <c r="BC140" s="1880" t="s">
        <v>241</v>
      </c>
      <c r="BD140" s="1880">
        <v>0.19722222222222222</v>
      </c>
      <c r="BE140" s="1880" t="s">
        <v>920</v>
      </c>
      <c r="BF140" s="1880">
        <v>0.70624999999999993</v>
      </c>
      <c r="BG140" s="1879" t="s">
        <v>921</v>
      </c>
      <c r="BH140" s="1880">
        <v>0.96388888888888891</v>
      </c>
      <c r="BI140" s="1879" t="s">
        <v>1014</v>
      </c>
      <c r="BJ140" s="1881">
        <v>233484</v>
      </c>
      <c r="BK140" s="1882">
        <v>0.879</v>
      </c>
      <c r="BL140" s="1619">
        <f t="shared" si="49"/>
        <v>44693</v>
      </c>
      <c r="BM140" s="1856">
        <f t="shared" si="59"/>
        <v>0.96388888888888891</v>
      </c>
      <c r="BN140" s="934">
        <f t="shared" si="50"/>
        <v>50.1</v>
      </c>
    </row>
    <row r="141" spans="1:66" ht="14.5">
      <c r="A141" s="1">
        <f t="shared" si="57"/>
        <v>44694</v>
      </c>
      <c r="B141" s="932">
        <f t="shared" si="51"/>
        <v>44694.229861111111</v>
      </c>
      <c r="C141" s="932">
        <f t="shared" si="52"/>
        <v>44694.275000000001</v>
      </c>
      <c r="D141" s="932">
        <f t="shared" si="53"/>
        <v>44694.864583333336</v>
      </c>
      <c r="E141" s="932">
        <f t="shared" si="54"/>
        <v>44694.909722222219</v>
      </c>
      <c r="F141" s="932">
        <f t="shared" si="55"/>
        <v>44694.754166666666</v>
      </c>
      <c r="G141" s="932">
        <f t="shared" si="56"/>
        <v>44694.215277777781</v>
      </c>
      <c r="H141" s="2">
        <f t="shared" si="58"/>
        <v>88</v>
      </c>
      <c r="I141" s="2">
        <v>70.632765082820328</v>
      </c>
      <c r="J141" s="1317">
        <v>18.56635025214608</v>
      </c>
      <c r="AP141" s="1855">
        <f t="shared" si="46"/>
        <v>44574</v>
      </c>
      <c r="AQ141" s="925" t="str">
        <f t="shared" si="47"/>
        <v>SR</v>
      </c>
      <c r="AR141" s="1856">
        <f t="shared" si="48"/>
        <v>44574.332638888889</v>
      </c>
      <c r="AS141" s="927" t="s">
        <v>984</v>
      </c>
      <c r="AT141" s="1856" t="str">
        <f t="shared" si="40"/>
        <v/>
      </c>
      <c r="AU141" s="1856" t="str">
        <f t="shared" si="41"/>
        <v/>
      </c>
      <c r="AV141" s="1856" t="str">
        <f t="shared" si="42"/>
        <v/>
      </c>
      <c r="AW141" s="1856" t="str">
        <f t="shared" si="43"/>
        <v/>
      </c>
      <c r="AX141" s="1856" t="str">
        <f t="shared" si="44"/>
        <v/>
      </c>
      <c r="AY141" s="1856" t="str">
        <f t="shared" si="45"/>
        <v/>
      </c>
      <c r="BB141" s="1879">
        <v>13</v>
      </c>
      <c r="BC141" s="1880" t="s">
        <v>241</v>
      </c>
      <c r="BD141" s="1880">
        <v>0.21527777777777779</v>
      </c>
      <c r="BE141" s="1880" t="s">
        <v>923</v>
      </c>
      <c r="BF141" s="1880">
        <v>0.75347222222222221</v>
      </c>
      <c r="BG141" s="1879" t="s">
        <v>924</v>
      </c>
      <c r="BH141" s="1880">
        <v>0.99722222222222223</v>
      </c>
      <c r="BI141" s="1879" t="s">
        <v>943</v>
      </c>
      <c r="BJ141" s="1881">
        <v>229926</v>
      </c>
      <c r="BK141" s="1882">
        <v>0.94399999999999995</v>
      </c>
      <c r="BL141" s="1619">
        <f t="shared" si="49"/>
        <v>44694</v>
      </c>
      <c r="BM141" s="1856">
        <f t="shared" si="59"/>
        <v>0.99722222222222223</v>
      </c>
      <c r="BN141" s="934">
        <f t="shared" si="50"/>
        <v>43.5</v>
      </c>
    </row>
    <row r="142" spans="1:66" ht="14.5">
      <c r="A142" s="1">
        <f t="shared" si="57"/>
        <v>44695</v>
      </c>
      <c r="B142" s="932">
        <f t="shared" si="51"/>
        <v>44695.229166666672</v>
      </c>
      <c r="C142" s="932">
        <f t="shared" si="52"/>
        <v>44695.274305555555</v>
      </c>
      <c r="D142" s="932">
        <f t="shared" si="53"/>
        <v>44695.864583333336</v>
      </c>
      <c r="E142" s="932">
        <f t="shared" si="54"/>
        <v>44695.910416666666</v>
      </c>
      <c r="F142" s="932">
        <f t="shared" si="55"/>
        <v>44695.804166666661</v>
      </c>
      <c r="G142" s="932">
        <f t="shared" si="56"/>
        <v>44695.234722222223</v>
      </c>
      <c r="H142" s="2">
        <f t="shared" si="58"/>
        <v>95</v>
      </c>
      <c r="I142" s="2">
        <v>70.872373640950542</v>
      </c>
      <c r="J142" s="1317">
        <v>18.806400807265693</v>
      </c>
      <c r="AP142" s="1855">
        <f t="shared" si="46"/>
        <v>44574</v>
      </c>
      <c r="AQ142" s="925" t="str">
        <f t="shared" si="47"/>
        <v>MR</v>
      </c>
      <c r="AR142" s="1856">
        <f t="shared" si="48"/>
        <v>44574.598611111112</v>
      </c>
      <c r="AS142" s="927" t="s">
        <v>1015</v>
      </c>
      <c r="AT142" s="1856" t="str">
        <f t="shared" si="40"/>
        <v/>
      </c>
      <c r="AU142" s="1856" t="str">
        <f t="shared" si="41"/>
        <v/>
      </c>
      <c r="AV142" s="1856" t="str">
        <f t="shared" si="42"/>
        <v/>
      </c>
      <c r="AW142" s="1856" t="str">
        <f t="shared" si="43"/>
        <v/>
      </c>
      <c r="AX142" s="1856" t="str">
        <f t="shared" si="44"/>
        <v/>
      </c>
      <c r="AY142" s="1856" t="str">
        <f t="shared" si="45"/>
        <v/>
      </c>
      <c r="BB142" s="1879">
        <v>14</v>
      </c>
      <c r="BC142" s="1880" t="s">
        <v>241</v>
      </c>
      <c r="BD142" s="1880">
        <v>0.23402777777777781</v>
      </c>
      <c r="BE142" s="1880" t="s">
        <v>1016</v>
      </c>
      <c r="BF142" s="1880">
        <v>0.80347222222222225</v>
      </c>
      <c r="BG142" s="1879" t="s">
        <v>524</v>
      </c>
      <c r="BH142" s="1880" t="s">
        <v>695</v>
      </c>
      <c r="BJ142" s="1881"/>
      <c r="BK142" s="1882"/>
      <c r="BL142" s="1619">
        <f t="shared" si="49"/>
        <v>44695</v>
      </c>
      <c r="BM142" s="1856" t="str">
        <f t="shared" si="59"/>
        <v>NA</v>
      </c>
      <c r="BN142" s="934" t="str">
        <f t="shared" si="50"/>
        <v>NA</v>
      </c>
    </row>
    <row r="143" spans="1:66" ht="14.5">
      <c r="A143" s="1">
        <f t="shared" si="57"/>
        <v>44696</v>
      </c>
      <c r="B143" s="932">
        <f t="shared" si="51"/>
        <v>44696.228472222225</v>
      </c>
      <c r="C143" s="932">
        <f t="shared" si="52"/>
        <v>44696.273611111108</v>
      </c>
      <c r="D143" s="932">
        <f t="shared" si="53"/>
        <v>44696.865277777782</v>
      </c>
      <c r="E143" s="932">
        <f t="shared" si="54"/>
        <v>44696.911111111112</v>
      </c>
      <c r="F143" s="932">
        <f t="shared" si="55"/>
        <v>44696.856944444444</v>
      </c>
      <c r="G143" s="932">
        <f t="shared" si="56"/>
        <v>44696.256249999999</v>
      </c>
      <c r="H143" s="2">
        <f t="shared" si="58"/>
        <v>99</v>
      </c>
      <c r="I143" s="2">
        <v>71.106820191265868</v>
      </c>
      <c r="J143" s="1317">
        <v>19.04115359589332</v>
      </c>
      <c r="AP143" s="1855">
        <f t="shared" si="46"/>
        <v>44574</v>
      </c>
      <c r="AQ143" s="925" t="str">
        <f t="shared" si="47"/>
        <v>SS</v>
      </c>
      <c r="AR143" s="1856">
        <f t="shared" si="48"/>
        <v>44574.740277777782</v>
      </c>
      <c r="AS143" s="927" t="s">
        <v>1017</v>
      </c>
      <c r="AT143" s="1856" t="str">
        <f t="shared" si="40"/>
        <v/>
      </c>
      <c r="AU143" s="1856" t="str">
        <f t="shared" si="41"/>
        <v/>
      </c>
      <c r="AV143" s="1856" t="str">
        <f t="shared" si="42"/>
        <v/>
      </c>
      <c r="AW143" s="1856" t="str">
        <f t="shared" si="43"/>
        <v/>
      </c>
      <c r="AX143" s="1856" t="str">
        <f t="shared" si="44"/>
        <v/>
      </c>
      <c r="AY143" s="1856" t="str">
        <f t="shared" si="45"/>
        <v/>
      </c>
      <c r="BB143" s="1879">
        <v>15</v>
      </c>
      <c r="BC143" s="1880" t="s">
        <v>241</v>
      </c>
      <c r="BD143" s="1880">
        <v>0.25625000000000003</v>
      </c>
      <c r="BE143" s="1879" t="s">
        <v>595</v>
      </c>
      <c r="BF143" s="1880">
        <v>0.85625000000000007</v>
      </c>
      <c r="BG143" s="1880" t="s">
        <v>749</v>
      </c>
      <c r="BH143" s="1880">
        <v>3.2638888888888891E-2</v>
      </c>
      <c r="BI143" s="1881" t="s">
        <v>1018</v>
      </c>
      <c r="BJ143" s="1882">
        <v>226978</v>
      </c>
      <c r="BK143" s="1882">
        <v>0.98599999999999999</v>
      </c>
      <c r="BL143" s="1619">
        <f t="shared" si="49"/>
        <v>44696</v>
      </c>
      <c r="BM143" s="1856">
        <f t="shared" si="59"/>
        <v>3.2638888888888891E-2</v>
      </c>
      <c r="BN143" s="934">
        <f t="shared" si="50"/>
        <v>37.200000000000003</v>
      </c>
    </row>
    <row r="144" spans="1:66" ht="14.5">
      <c r="A144" s="1">
        <f t="shared" si="57"/>
        <v>44697</v>
      </c>
      <c r="B144" s="932">
        <f t="shared" si="51"/>
        <v>44697.227083333339</v>
      </c>
      <c r="C144" s="932">
        <f t="shared" si="52"/>
        <v>44697.272916666669</v>
      </c>
      <c r="D144" s="932">
        <f t="shared" si="53"/>
        <v>44697.865972222222</v>
      </c>
      <c r="E144" s="932">
        <f t="shared" si="54"/>
        <v>44697.911805555559</v>
      </c>
      <c r="F144" s="932">
        <f t="shared" si="55"/>
        <v>44697.911111111112</v>
      </c>
      <c r="G144" s="932">
        <f t="shared" si="56"/>
        <v>44697.282638888886</v>
      </c>
      <c r="H144" s="2">
        <f t="shared" si="58"/>
        <v>100</v>
      </c>
      <c r="I144" s="2">
        <v>71.336031237751769</v>
      </c>
      <c r="J144" s="1317">
        <v>19.270532236113958</v>
      </c>
      <c r="AP144" s="1855">
        <f t="shared" si="46"/>
        <v>44574</v>
      </c>
      <c r="AQ144" s="925" t="str">
        <f t="shared" si="47"/>
        <v>EENT</v>
      </c>
      <c r="AR144" s="1856">
        <f t="shared" si="48"/>
        <v>44574.782638888886</v>
      </c>
      <c r="AS144" s="927" t="s">
        <v>1019</v>
      </c>
      <c r="AT144" s="1856" t="str">
        <f t="shared" si="40"/>
        <v/>
      </c>
      <c r="AU144" s="1856" t="str">
        <f t="shared" si="41"/>
        <v/>
      </c>
      <c r="AV144" s="1856" t="str">
        <f t="shared" si="42"/>
        <v/>
      </c>
      <c r="AW144" s="1856" t="str">
        <f t="shared" si="43"/>
        <v/>
      </c>
      <c r="AX144" s="1856" t="str">
        <f t="shared" si="44"/>
        <v/>
      </c>
      <c r="AY144" s="1856" t="str">
        <f t="shared" si="45"/>
        <v/>
      </c>
      <c r="BB144" s="1879" t="s">
        <v>1020</v>
      </c>
      <c r="BC144" s="1879" t="s">
        <v>241</v>
      </c>
      <c r="BD144" s="1880">
        <v>0.28194444444444444</v>
      </c>
      <c r="BE144" s="1879" t="s">
        <v>587</v>
      </c>
      <c r="BF144" s="1880">
        <v>0.90972222222222221</v>
      </c>
      <c r="BG144" s="1879" t="s">
        <v>879</v>
      </c>
      <c r="BH144" s="1880">
        <v>7.1527777777777787E-2</v>
      </c>
      <c r="BI144" s="1879" t="s">
        <v>1021</v>
      </c>
      <c r="BJ144" s="1881">
        <v>224921</v>
      </c>
      <c r="BK144" s="1882">
        <v>1</v>
      </c>
      <c r="BL144" s="1619">
        <f t="shared" si="49"/>
        <v>44697</v>
      </c>
      <c r="BM144" s="1856">
        <f t="shared" si="59"/>
        <v>7.1527777777777787E-2</v>
      </c>
      <c r="BN144" s="934">
        <f t="shared" si="50"/>
        <v>31.6</v>
      </c>
    </row>
    <row r="145" spans="1:66" ht="14.5">
      <c r="A145" s="1">
        <f t="shared" si="57"/>
        <v>44698</v>
      </c>
      <c r="B145" s="932">
        <f t="shared" si="51"/>
        <v>44698.226388888892</v>
      </c>
      <c r="C145" s="932">
        <f t="shared" si="52"/>
        <v>44698.272222222222</v>
      </c>
      <c r="D145" s="932">
        <f t="shared" si="53"/>
        <v>44698.866666666669</v>
      </c>
      <c r="E145" s="932">
        <f t="shared" si="54"/>
        <v>44698.912499999999</v>
      </c>
      <c r="F145" s="932">
        <f t="shared" si="55"/>
        <v>44698.963194444448</v>
      </c>
      <c r="G145" s="932">
        <f t="shared" si="56"/>
        <v>44698.313888888886</v>
      </c>
      <c r="H145" s="2">
        <f t="shared" si="58"/>
        <v>98</v>
      </c>
      <c r="I145" s="2">
        <v>71.559933565592274</v>
      </c>
      <c r="J145" s="1317">
        <v>19.49446153550841</v>
      </c>
      <c r="AP145" s="1855">
        <f t="shared" si="46"/>
        <v>44575</v>
      </c>
      <c r="AQ145" s="925" t="str">
        <f t="shared" si="47"/>
        <v/>
      </c>
      <c r="AR145" s="1856" t="str">
        <f t="shared" si="48"/>
        <v/>
      </c>
      <c r="AS145" s="927">
        <v>14</v>
      </c>
      <c r="AT145" s="1856">
        <f t="shared" si="40"/>
        <v>44575.290277777778</v>
      </c>
      <c r="AU145" s="1856">
        <f t="shared" si="41"/>
        <v>44575.332638888889</v>
      </c>
      <c r="AV145" s="1856">
        <f t="shared" si="42"/>
        <v>44575.740972222222</v>
      </c>
      <c r="AW145" s="1856">
        <f t="shared" si="43"/>
        <v>44575.783333333333</v>
      </c>
      <c r="AX145" s="1856">
        <f t="shared" si="44"/>
        <v>44575.625</v>
      </c>
      <c r="AY145" s="1856">
        <f t="shared" si="45"/>
        <v>44575.225694444445</v>
      </c>
      <c r="AZ145" s="1853">
        <v>0.88</v>
      </c>
      <c r="BB145" s="1879">
        <v>17</v>
      </c>
      <c r="BC145" s="1879" t="s">
        <v>241</v>
      </c>
      <c r="BD145" s="1880">
        <v>0.31319444444444444</v>
      </c>
      <c r="BE145" s="1879" t="s">
        <v>578</v>
      </c>
      <c r="BF145" s="1880">
        <v>0.96250000000000002</v>
      </c>
      <c r="BG145" s="1879" t="s">
        <v>571</v>
      </c>
      <c r="BH145" s="1880">
        <v>0.11319444444444444</v>
      </c>
      <c r="BI145" s="1879" t="s">
        <v>1022</v>
      </c>
      <c r="BJ145" s="1881">
        <v>223948</v>
      </c>
      <c r="BK145" s="1882">
        <v>0.98199999999999998</v>
      </c>
      <c r="BL145" s="1619">
        <f t="shared" si="49"/>
        <v>44698</v>
      </c>
      <c r="BM145" s="1856">
        <f t="shared" si="59"/>
        <v>0.11319444444444444</v>
      </c>
      <c r="BN145" s="934">
        <f t="shared" si="50"/>
        <v>27.3</v>
      </c>
    </row>
    <row r="146" spans="1:66" ht="14.5">
      <c r="A146" s="1">
        <f t="shared" si="57"/>
        <v>44699</v>
      </c>
      <c r="B146" s="932">
        <f t="shared" si="51"/>
        <v>44699.225694444445</v>
      </c>
      <c r="C146" s="932">
        <f t="shared" si="52"/>
        <v>44699.272222222222</v>
      </c>
      <c r="D146" s="932">
        <f t="shared" si="53"/>
        <v>44699.867361111115</v>
      </c>
      <c r="E146" s="932">
        <f t="shared" si="54"/>
        <v>44699.913194444445</v>
      </c>
      <c r="F146" s="932" t="str">
        <f t="shared" si="55"/>
        <v>NONE</v>
      </c>
      <c r="G146" s="932">
        <f t="shared" si="56"/>
        <v>44699.352777777778</v>
      </c>
      <c r="H146" s="2">
        <f t="shared" si="58"/>
        <v>94</v>
      </c>
      <c r="I146" s="2">
        <v>71.778454258083002</v>
      </c>
      <c r="J146" s="1317">
        <v>19.712867547992161</v>
      </c>
      <c r="AP146" s="1855">
        <f t="shared" si="46"/>
        <v>44575</v>
      </c>
      <c r="AQ146" s="925" t="str">
        <f t="shared" si="47"/>
        <v/>
      </c>
      <c r="AR146" s="1856" t="str">
        <f t="shared" si="48"/>
        <v/>
      </c>
      <c r="AS146" s="927" t="s">
        <v>252</v>
      </c>
      <c r="AT146" s="1856" t="str">
        <f t="shared" si="40"/>
        <v/>
      </c>
      <c r="AU146" s="1856" t="str">
        <f t="shared" si="41"/>
        <v/>
      </c>
      <c r="AV146" s="1856" t="str">
        <f t="shared" si="42"/>
        <v/>
      </c>
      <c r="AW146" s="1856" t="str">
        <f t="shared" si="43"/>
        <v/>
      </c>
      <c r="AX146" s="1856" t="str">
        <f t="shared" si="44"/>
        <v/>
      </c>
      <c r="AY146" s="1856" t="str">
        <f t="shared" si="45"/>
        <v/>
      </c>
      <c r="BB146" s="1879">
        <v>18</v>
      </c>
      <c r="BC146" s="1879" t="s">
        <v>241</v>
      </c>
      <c r="BD146" s="1880">
        <v>0.3520833333333333</v>
      </c>
      <c r="BE146" s="1879" t="s">
        <v>936</v>
      </c>
      <c r="BF146" s="1880" t="s">
        <v>241</v>
      </c>
      <c r="BG146" s="1880">
        <v>0.15833333333333333</v>
      </c>
      <c r="BH146" s="1880" t="s">
        <v>883</v>
      </c>
      <c r="BI146" s="1881">
        <v>224117</v>
      </c>
      <c r="BJ146" s="1881">
        <v>0.93300000000000005</v>
      </c>
      <c r="BK146" s="1882"/>
      <c r="BL146" s="1619">
        <f t="shared" si="49"/>
        <v>44699</v>
      </c>
      <c r="BM146" s="1856">
        <f t="shared" si="59"/>
        <v>0.15833333333333333</v>
      </c>
      <c r="BN146" s="934">
        <f t="shared" si="50"/>
        <v>24.8</v>
      </c>
    </row>
    <row r="147" spans="1:66" ht="14.5">
      <c r="A147" s="1">
        <f t="shared" si="57"/>
        <v>44700</v>
      </c>
      <c r="B147" s="932">
        <f t="shared" si="51"/>
        <v>44700.225000000006</v>
      </c>
      <c r="C147" s="932">
        <f t="shared" si="52"/>
        <v>44700.271527777775</v>
      </c>
      <c r="D147" s="932">
        <f t="shared" si="53"/>
        <v>44700.868055555555</v>
      </c>
      <c r="E147" s="932">
        <f t="shared" si="54"/>
        <v>44700.913888888892</v>
      </c>
      <c r="F147" s="932">
        <f t="shared" si="55"/>
        <v>44700.011111111111</v>
      </c>
      <c r="G147" s="932">
        <f t="shared" si="56"/>
        <v>44700.397916666669</v>
      </c>
      <c r="H147" s="2">
        <f t="shared" si="58"/>
        <v>87</v>
      </c>
      <c r="I147" s="2">
        <v>71.991520720138368</v>
      </c>
      <c r="J147" s="1317">
        <v>19.925677631653915</v>
      </c>
      <c r="AP147" s="1855">
        <f t="shared" si="46"/>
        <v>44575</v>
      </c>
      <c r="AQ147" s="925" t="str">
        <f t="shared" si="47"/>
        <v/>
      </c>
      <c r="AR147" s="1856" t="str">
        <f t="shared" si="48"/>
        <v/>
      </c>
      <c r="AT147" s="1856" t="str">
        <f t="shared" si="40"/>
        <v/>
      </c>
      <c r="AU147" s="1856" t="str">
        <f t="shared" si="41"/>
        <v/>
      </c>
      <c r="AV147" s="1856" t="str">
        <f t="shared" si="42"/>
        <v/>
      </c>
      <c r="AW147" s="1856" t="str">
        <f t="shared" si="43"/>
        <v/>
      </c>
      <c r="AX147" s="1856" t="str">
        <f t="shared" si="44"/>
        <v/>
      </c>
      <c r="AY147" s="1856" t="str">
        <f t="shared" si="45"/>
        <v/>
      </c>
      <c r="BB147" s="1879">
        <v>19</v>
      </c>
      <c r="BC147" s="1880">
        <v>1.0416666666666666E-2</v>
      </c>
      <c r="BD147" s="1880" t="s">
        <v>882</v>
      </c>
      <c r="BE147" s="1880">
        <v>0.3972222222222222</v>
      </c>
      <c r="BF147" s="1880" t="s">
        <v>936</v>
      </c>
      <c r="BG147" s="1879" t="s">
        <v>241</v>
      </c>
      <c r="BH147" s="1880">
        <v>0.20347222222222219</v>
      </c>
      <c r="BI147" s="1879" t="s">
        <v>978</v>
      </c>
      <c r="BJ147" s="1881">
        <v>225344</v>
      </c>
      <c r="BK147" s="1882">
        <v>0.85599999999999998</v>
      </c>
      <c r="BL147" s="1619">
        <f t="shared" si="49"/>
        <v>44700</v>
      </c>
      <c r="BM147" s="1856">
        <f t="shared" si="59"/>
        <v>0.20347222222222219</v>
      </c>
      <c r="BN147" s="934">
        <f t="shared" si="50"/>
        <v>24.4</v>
      </c>
    </row>
    <row r="148" spans="1:66" ht="14.5">
      <c r="A148" s="1">
        <f t="shared" si="57"/>
        <v>44701</v>
      </c>
      <c r="B148" s="932">
        <f t="shared" si="51"/>
        <v>44701.224305555559</v>
      </c>
      <c r="C148" s="932">
        <f t="shared" si="52"/>
        <v>44701.270833333336</v>
      </c>
      <c r="D148" s="932">
        <f t="shared" si="53"/>
        <v>44701.868750000001</v>
      </c>
      <c r="E148" s="932">
        <f t="shared" si="54"/>
        <v>44701.914583333331</v>
      </c>
      <c r="F148" s="932">
        <f t="shared" si="55"/>
        <v>44701.051388888889</v>
      </c>
      <c r="G148" s="932">
        <f t="shared" si="56"/>
        <v>44701.447222222218</v>
      </c>
      <c r="H148" s="2">
        <f t="shared" si="58"/>
        <v>78</v>
      </c>
      <c r="I148" s="2">
        <v>72.199060708947087</v>
      </c>
      <c r="J148" s="1317">
        <v>20.13282050746411</v>
      </c>
      <c r="AP148" s="1855">
        <f t="shared" si="46"/>
        <v>44575</v>
      </c>
      <c r="AQ148" s="925" t="str">
        <f t="shared" si="47"/>
        <v>MS</v>
      </c>
      <c r="AR148" s="1856">
        <f t="shared" si="48"/>
        <v>44575.225694444445</v>
      </c>
      <c r="AS148" s="927" t="s">
        <v>1023</v>
      </c>
      <c r="AT148" s="1856" t="str">
        <f t="shared" si="40"/>
        <v/>
      </c>
      <c r="AU148" s="1856" t="str">
        <f t="shared" si="41"/>
        <v/>
      </c>
      <c r="AV148" s="1856" t="str">
        <f t="shared" si="42"/>
        <v/>
      </c>
      <c r="AW148" s="1856" t="str">
        <f t="shared" si="43"/>
        <v/>
      </c>
      <c r="AX148" s="1856" t="str">
        <f t="shared" si="44"/>
        <v/>
      </c>
      <c r="AY148" s="1856" t="str">
        <f t="shared" si="45"/>
        <v/>
      </c>
      <c r="BB148" s="1879">
        <v>20</v>
      </c>
      <c r="BC148" s="1880">
        <v>5.1388888888888894E-2</v>
      </c>
      <c r="BD148" s="1880" t="s">
        <v>562</v>
      </c>
      <c r="BE148" s="1880">
        <v>0.44722222222222219</v>
      </c>
      <c r="BF148" s="1880" t="s">
        <v>578</v>
      </c>
      <c r="BG148" s="1879" t="s">
        <v>241</v>
      </c>
      <c r="BH148" s="1880">
        <v>0.24791666666666667</v>
      </c>
      <c r="BI148" s="1879" t="s">
        <v>977</v>
      </c>
      <c r="BJ148" s="1881">
        <v>227425</v>
      </c>
      <c r="BK148" s="1882">
        <v>0.75900000000000001</v>
      </c>
      <c r="BL148" s="1619">
        <f t="shared" si="49"/>
        <v>44701</v>
      </c>
      <c r="BM148" s="1856">
        <f t="shared" si="59"/>
        <v>0.24791666666666667</v>
      </c>
      <c r="BN148" s="934">
        <f t="shared" si="50"/>
        <v>26</v>
      </c>
    </row>
    <row r="149" spans="1:66" ht="14.5">
      <c r="A149" s="1">
        <f t="shared" si="57"/>
        <v>44702</v>
      </c>
      <c r="B149" s="932">
        <f t="shared" si="51"/>
        <v>44702.224305555559</v>
      </c>
      <c r="C149" s="932">
        <f t="shared" si="52"/>
        <v>44702.270138888889</v>
      </c>
      <c r="D149" s="932">
        <f t="shared" si="53"/>
        <v>44702.868750000001</v>
      </c>
      <c r="E149" s="932">
        <f t="shared" si="54"/>
        <v>44702.915277777778</v>
      </c>
      <c r="F149" s="932">
        <f t="shared" si="55"/>
        <v>44702.084722222222</v>
      </c>
      <c r="G149" s="932">
        <f t="shared" si="56"/>
        <v>44702.497916666667</v>
      </c>
      <c r="H149" s="2">
        <f t="shared" si="58"/>
        <v>68</v>
      </c>
      <c r="I149" s="2">
        <v>72.401002372328307</v>
      </c>
      <c r="J149" s="1317">
        <v>20.334226318728614</v>
      </c>
      <c r="AP149" s="1855">
        <f t="shared" si="46"/>
        <v>44575</v>
      </c>
      <c r="AQ149" s="925" t="str">
        <f t="shared" si="47"/>
        <v>BMNT</v>
      </c>
      <c r="AR149" s="1856">
        <f t="shared" si="48"/>
        <v>44575.290277777778</v>
      </c>
      <c r="AS149" s="927" t="s">
        <v>814</v>
      </c>
      <c r="AT149" s="1856" t="str">
        <f t="shared" si="40"/>
        <v/>
      </c>
      <c r="AU149" s="1856" t="str">
        <f t="shared" si="41"/>
        <v/>
      </c>
      <c r="AV149" s="1856" t="str">
        <f t="shared" si="42"/>
        <v/>
      </c>
      <c r="AW149" s="1856" t="str">
        <f t="shared" si="43"/>
        <v/>
      </c>
      <c r="AX149" s="1856" t="str">
        <f t="shared" si="44"/>
        <v/>
      </c>
      <c r="AY149" s="1856" t="str">
        <f t="shared" si="45"/>
        <v/>
      </c>
      <c r="BB149" s="1879">
        <v>21</v>
      </c>
      <c r="BC149" s="1880">
        <v>8.4027777777777771E-2</v>
      </c>
      <c r="BD149" s="1880" t="s">
        <v>552</v>
      </c>
      <c r="BE149" s="1880">
        <v>0.49791666666666662</v>
      </c>
      <c r="BF149" s="1880" t="s">
        <v>587</v>
      </c>
      <c r="BG149" s="1879" t="s">
        <v>241</v>
      </c>
      <c r="BH149" s="1880">
        <v>0.28888888888888892</v>
      </c>
      <c r="BI149" s="1879" t="s">
        <v>742</v>
      </c>
      <c r="BJ149" s="1881">
        <v>230091</v>
      </c>
      <c r="BK149" s="1882">
        <v>0.64800000000000002</v>
      </c>
      <c r="BL149" s="1619">
        <f t="shared" si="49"/>
        <v>44702</v>
      </c>
      <c r="BM149" s="1856">
        <f t="shared" si="59"/>
        <v>0.28888888888888892</v>
      </c>
      <c r="BN149" s="934">
        <f t="shared" si="50"/>
        <v>29.4</v>
      </c>
    </row>
    <row r="150" spans="1:66" ht="14.5">
      <c r="A150" s="1">
        <f t="shared" si="57"/>
        <v>44703</v>
      </c>
      <c r="B150" s="932">
        <f t="shared" si="51"/>
        <v>44703.223611111112</v>
      </c>
      <c r="C150" s="932">
        <f t="shared" si="52"/>
        <v>44703.270138888889</v>
      </c>
      <c r="D150" s="932">
        <f t="shared" si="53"/>
        <v>44703.869444444448</v>
      </c>
      <c r="E150" s="932">
        <f t="shared" si="54"/>
        <v>44703.915972222225</v>
      </c>
      <c r="F150" s="932">
        <f t="shared" si="55"/>
        <v>44703.111111111117</v>
      </c>
      <c r="G150" s="932">
        <f t="shared" si="56"/>
        <v>44703.547916666663</v>
      </c>
      <c r="H150" s="2">
        <f t="shared" si="58"/>
        <v>56.999999999999993</v>
      </c>
      <c r="I150" s="2">
        <v>72.597274295304388</v>
      </c>
      <c r="J150" s="1317">
        <v>20.529826691145946</v>
      </c>
      <c r="AP150" s="1855">
        <f t="shared" si="46"/>
        <v>44575</v>
      </c>
      <c r="AQ150" s="925" t="str">
        <f t="shared" si="47"/>
        <v>SR</v>
      </c>
      <c r="AR150" s="1856">
        <f t="shared" si="48"/>
        <v>44575.332638888889</v>
      </c>
      <c r="AS150" s="927" t="s">
        <v>984</v>
      </c>
      <c r="AT150" s="1856" t="str">
        <f t="shared" si="40"/>
        <v/>
      </c>
      <c r="AU150" s="1856" t="str">
        <f t="shared" si="41"/>
        <v/>
      </c>
      <c r="AV150" s="1856" t="str">
        <f t="shared" si="42"/>
        <v/>
      </c>
      <c r="AW150" s="1856" t="str">
        <f t="shared" si="43"/>
        <v/>
      </c>
      <c r="AX150" s="1856" t="str">
        <f t="shared" si="44"/>
        <v/>
      </c>
      <c r="AY150" s="1856" t="str">
        <f t="shared" si="45"/>
        <v/>
      </c>
      <c r="BB150" s="1879" t="s">
        <v>1024</v>
      </c>
      <c r="BC150" s="1880">
        <v>0.1111111111111111</v>
      </c>
      <c r="BD150" s="1880" t="s">
        <v>594</v>
      </c>
      <c r="BE150" s="1880">
        <v>0.54722222222222217</v>
      </c>
      <c r="BF150" s="1880" t="s">
        <v>872</v>
      </c>
      <c r="BG150" s="1879" t="s">
        <v>241</v>
      </c>
      <c r="BH150" s="1880">
        <v>0.3263888888888889</v>
      </c>
      <c r="BI150" s="1879" t="s">
        <v>1025</v>
      </c>
      <c r="BJ150" s="1881">
        <v>233071</v>
      </c>
      <c r="BK150" s="1882">
        <v>0.53300000000000003</v>
      </c>
      <c r="BL150" s="1619">
        <f t="shared" si="49"/>
        <v>44703</v>
      </c>
      <c r="BM150" s="1856">
        <f t="shared" si="59"/>
        <v>0.3263888888888889</v>
      </c>
      <c r="BN150" s="934">
        <f t="shared" si="50"/>
        <v>34.1</v>
      </c>
    </row>
    <row r="151" spans="1:66" ht="14.5">
      <c r="A151" s="1">
        <f t="shared" si="57"/>
        <v>44704</v>
      </c>
      <c r="B151" s="932">
        <f t="shared" si="51"/>
        <v>44704.222916666666</v>
      </c>
      <c r="C151" s="932">
        <f t="shared" si="52"/>
        <v>44704.269444444442</v>
      </c>
      <c r="D151" s="932">
        <f t="shared" si="53"/>
        <v>44704.870138888895</v>
      </c>
      <c r="E151" s="932">
        <f t="shared" si="54"/>
        <v>44704.916666666664</v>
      </c>
      <c r="F151" s="932">
        <f t="shared" si="55"/>
        <v>44704.133333333331</v>
      </c>
      <c r="G151" s="932">
        <f t="shared" si="56"/>
        <v>44704.595138888893</v>
      </c>
      <c r="H151" s="2">
        <f t="shared" si="58"/>
        <v>45</v>
      </c>
      <c r="I151" s="2">
        <v>72.787805555384182</v>
      </c>
      <c r="J151" s="1317">
        <v>20.719554793330747</v>
      </c>
      <c r="AP151" s="1855">
        <f t="shared" si="46"/>
        <v>44575</v>
      </c>
      <c r="AQ151" s="925" t="str">
        <f t="shared" si="47"/>
        <v>MR</v>
      </c>
      <c r="AR151" s="1856">
        <f t="shared" si="48"/>
        <v>44575.625</v>
      </c>
      <c r="AS151" s="927" t="s">
        <v>1026</v>
      </c>
      <c r="AT151" s="1856" t="str">
        <f t="shared" si="40"/>
        <v/>
      </c>
      <c r="AU151" s="1856" t="str">
        <f t="shared" si="41"/>
        <v/>
      </c>
      <c r="AV151" s="1856" t="str">
        <f t="shared" si="42"/>
        <v/>
      </c>
      <c r="AW151" s="1856" t="str">
        <f t="shared" si="43"/>
        <v/>
      </c>
      <c r="AX151" s="1856" t="str">
        <f t="shared" si="44"/>
        <v/>
      </c>
      <c r="AY151" s="1856" t="str">
        <f t="shared" si="45"/>
        <v/>
      </c>
      <c r="BB151" s="1879">
        <v>23</v>
      </c>
      <c r="BC151" s="1880">
        <v>0.13263888888888889</v>
      </c>
      <c r="BD151" s="1880" t="s">
        <v>1027</v>
      </c>
      <c r="BE151" s="1880">
        <v>0.59513888888888888</v>
      </c>
      <c r="BF151" s="1880" t="s">
        <v>525</v>
      </c>
      <c r="BG151" s="1879" t="s">
        <v>241</v>
      </c>
      <c r="BH151" s="1880">
        <v>0.3611111111111111</v>
      </c>
      <c r="BI151" s="1879" t="s">
        <v>1028</v>
      </c>
      <c r="BJ151" s="1881">
        <v>236130</v>
      </c>
      <c r="BK151" s="1882">
        <v>0.42</v>
      </c>
      <c r="BL151" s="1619">
        <f t="shared" si="49"/>
        <v>44704</v>
      </c>
      <c r="BM151" s="1856">
        <f t="shared" si="59"/>
        <v>0.3611111111111111</v>
      </c>
      <c r="BN151" s="934">
        <f t="shared" si="50"/>
        <v>39.700000000000003</v>
      </c>
    </row>
    <row r="152" spans="1:66" ht="14.5">
      <c r="A152" s="1">
        <f t="shared" si="57"/>
        <v>44705</v>
      </c>
      <c r="B152" s="932">
        <f t="shared" si="51"/>
        <v>44705.222222222226</v>
      </c>
      <c r="C152" s="932">
        <f t="shared" si="52"/>
        <v>44705.268750000003</v>
      </c>
      <c r="D152" s="932">
        <f t="shared" si="53"/>
        <v>44705.870833333334</v>
      </c>
      <c r="E152" s="932">
        <f t="shared" si="54"/>
        <v>44705.917361111111</v>
      </c>
      <c r="F152" s="932">
        <f t="shared" si="55"/>
        <v>44705.152083333334</v>
      </c>
      <c r="G152" s="932">
        <f t="shared" si="56"/>
        <v>44705.640277777777</v>
      </c>
      <c r="H152" s="2">
        <f t="shared" si="58"/>
        <v>35</v>
      </c>
      <c r="I152" s="2">
        <v>72.972525786982573</v>
      </c>
      <c r="J152" s="1317">
        <v>20.90334539764266</v>
      </c>
      <c r="AP152" s="1855">
        <f t="shared" si="46"/>
        <v>44575</v>
      </c>
      <c r="AQ152" s="925" t="str">
        <f t="shared" si="47"/>
        <v>SS</v>
      </c>
      <c r="AR152" s="1856">
        <f t="shared" si="48"/>
        <v>44575.740972222222</v>
      </c>
      <c r="AS152" s="927" t="s">
        <v>1029</v>
      </c>
      <c r="AT152" s="1856" t="str">
        <f t="shared" si="40"/>
        <v/>
      </c>
      <c r="AU152" s="1856" t="str">
        <f t="shared" si="41"/>
        <v/>
      </c>
      <c r="AV152" s="1856" t="str">
        <f t="shared" si="42"/>
        <v/>
      </c>
      <c r="AW152" s="1856" t="str">
        <f t="shared" si="43"/>
        <v/>
      </c>
      <c r="AX152" s="1856" t="str">
        <f t="shared" si="44"/>
        <v/>
      </c>
      <c r="AY152" s="1856" t="str">
        <f t="shared" si="45"/>
        <v/>
      </c>
      <c r="BB152" s="1879">
        <v>24</v>
      </c>
      <c r="BC152" s="1880">
        <v>0.15138888888888888</v>
      </c>
      <c r="BD152" s="1880" t="s">
        <v>534</v>
      </c>
      <c r="BE152" s="1880">
        <v>0.64027777777777783</v>
      </c>
      <c r="BF152" s="1880" t="s">
        <v>535</v>
      </c>
      <c r="BG152" s="1879" t="s">
        <v>241</v>
      </c>
      <c r="BH152" s="1880">
        <v>0.3923611111111111</v>
      </c>
      <c r="BI152" s="1879" t="s">
        <v>1030</v>
      </c>
      <c r="BJ152" s="1881">
        <v>239094</v>
      </c>
      <c r="BK152" s="1882">
        <v>0.313</v>
      </c>
      <c r="BL152" s="1619">
        <f t="shared" si="49"/>
        <v>44705</v>
      </c>
      <c r="BM152" s="1856">
        <f t="shared" si="59"/>
        <v>0.3923611111111111</v>
      </c>
      <c r="BN152" s="934">
        <f t="shared" si="50"/>
        <v>45.6</v>
      </c>
    </row>
    <row r="153" spans="1:66" ht="14.5">
      <c r="A153" s="1">
        <f t="shared" si="57"/>
        <v>44706</v>
      </c>
      <c r="B153" s="932">
        <f t="shared" si="51"/>
        <v>44706.22152777778</v>
      </c>
      <c r="C153" s="932">
        <f t="shared" si="52"/>
        <v>44706.268750000003</v>
      </c>
      <c r="D153" s="932">
        <f t="shared" si="53"/>
        <v>44706.871527777781</v>
      </c>
      <c r="E153" s="932">
        <f t="shared" si="54"/>
        <v>44706.91805555555</v>
      </c>
      <c r="F153" s="932">
        <f t="shared" si="55"/>
        <v>44706.169444444444</v>
      </c>
      <c r="G153" s="932">
        <f t="shared" si="56"/>
        <v>44706.684027777774</v>
      </c>
      <c r="H153" s="2">
        <f t="shared" si="58"/>
        <v>25</v>
      </c>
      <c r="I153" s="2">
        <v>73.151365255361256</v>
      </c>
      <c r="J153" s="1317">
        <v>21.081134941172582</v>
      </c>
      <c r="AP153" s="1855">
        <f t="shared" si="46"/>
        <v>44575</v>
      </c>
      <c r="AQ153" s="925" t="str">
        <f t="shared" si="47"/>
        <v>EENT</v>
      </c>
      <c r="AR153" s="1856">
        <f t="shared" si="48"/>
        <v>44575.783333333333</v>
      </c>
      <c r="AS153" s="927" t="s">
        <v>1031</v>
      </c>
      <c r="AT153" s="1856" t="str">
        <f t="shared" si="40"/>
        <v/>
      </c>
      <c r="AU153" s="1856" t="str">
        <f t="shared" si="41"/>
        <v/>
      </c>
      <c r="AV153" s="1856" t="str">
        <f t="shared" si="42"/>
        <v/>
      </c>
      <c r="AW153" s="1856" t="str">
        <f t="shared" si="43"/>
        <v/>
      </c>
      <c r="AX153" s="1856" t="str">
        <f t="shared" si="44"/>
        <v/>
      </c>
      <c r="AY153" s="1856" t="str">
        <f t="shared" si="45"/>
        <v/>
      </c>
      <c r="BB153" s="1879">
        <v>25</v>
      </c>
      <c r="BC153" s="1880">
        <v>0.16874999999999998</v>
      </c>
      <c r="BD153" s="1880" t="s">
        <v>544</v>
      </c>
      <c r="BE153" s="1880">
        <v>0.68402777777777779</v>
      </c>
      <c r="BF153" s="1880" t="s">
        <v>631</v>
      </c>
      <c r="BG153" s="1879" t="s">
        <v>241</v>
      </c>
      <c r="BH153" s="1880">
        <v>0.42291666666666666</v>
      </c>
      <c r="BI153" s="1879" t="s">
        <v>1032</v>
      </c>
      <c r="BJ153" s="1881">
        <v>241850</v>
      </c>
      <c r="BK153" s="1882">
        <v>0.218</v>
      </c>
      <c r="BL153" s="1619">
        <f t="shared" si="49"/>
        <v>44706</v>
      </c>
      <c r="BM153" s="1856">
        <f t="shared" si="59"/>
        <v>0.42291666666666666</v>
      </c>
      <c r="BN153" s="934">
        <f t="shared" si="50"/>
        <v>51.7</v>
      </c>
    </row>
    <row r="154" spans="1:66" ht="14.5">
      <c r="A154" s="1">
        <f t="shared" si="57"/>
        <v>44707</v>
      </c>
      <c r="B154" s="932">
        <f t="shared" si="51"/>
        <v>44707.220833333333</v>
      </c>
      <c r="C154" s="932">
        <f t="shared" si="52"/>
        <v>44707.268055555556</v>
      </c>
      <c r="D154" s="932">
        <f t="shared" si="53"/>
        <v>44707.871527777781</v>
      </c>
      <c r="E154" s="932">
        <f t="shared" si="54"/>
        <v>44707.918749999997</v>
      </c>
      <c r="F154" s="932">
        <f t="shared" si="55"/>
        <v>44707.186111111107</v>
      </c>
      <c r="G154" s="932">
        <f t="shared" si="56"/>
        <v>44707.727083333339</v>
      </c>
      <c r="H154" s="2">
        <f t="shared" si="58"/>
        <v>17</v>
      </c>
      <c r="I154" s="2">
        <v>73.324254940380456</v>
      </c>
      <c r="J154" s="1317">
        <v>21.252861586713745</v>
      </c>
      <c r="AP154" s="1855">
        <f t="shared" si="46"/>
        <v>44576</v>
      </c>
      <c r="AQ154" s="925" t="str">
        <f t="shared" si="47"/>
        <v/>
      </c>
      <c r="AR154" s="1856" t="str">
        <f t="shared" si="48"/>
        <v/>
      </c>
      <c r="AS154" s="927">
        <v>15</v>
      </c>
      <c r="AT154" s="1856">
        <f t="shared" si="40"/>
        <v>44576.289583333331</v>
      </c>
      <c r="AU154" s="1856">
        <f t="shared" si="41"/>
        <v>44576.331944444442</v>
      </c>
      <c r="AV154" s="1856">
        <f t="shared" si="42"/>
        <v>44576.741666666669</v>
      </c>
      <c r="AW154" s="1856">
        <f t="shared" si="43"/>
        <v>44576.78402777778</v>
      </c>
      <c r="AX154" s="1856">
        <f t="shared" si="44"/>
        <v>44576.655555555553</v>
      </c>
      <c r="AY154" s="1856">
        <f t="shared" si="45"/>
        <v>44576.265277777777</v>
      </c>
      <c r="AZ154" s="1853">
        <v>0.93</v>
      </c>
      <c r="BB154" s="1879">
        <v>26</v>
      </c>
      <c r="BC154" s="1880">
        <v>0.18541666666666667</v>
      </c>
      <c r="BD154" s="1880" t="s">
        <v>1033</v>
      </c>
      <c r="BE154" s="1880">
        <v>0.72638888888888886</v>
      </c>
      <c r="BF154" s="1880" t="s">
        <v>1034</v>
      </c>
      <c r="BG154" s="1879" t="s">
        <v>241</v>
      </c>
      <c r="BH154" s="1880">
        <v>0.45277777777777778</v>
      </c>
      <c r="BI154" s="1879" t="s">
        <v>1035</v>
      </c>
      <c r="BJ154" s="1881">
        <v>244336</v>
      </c>
      <c r="BK154" s="1882">
        <v>0.13800000000000001</v>
      </c>
      <c r="BL154" s="1619">
        <f t="shared" si="49"/>
        <v>44707</v>
      </c>
      <c r="BM154" s="1856">
        <f t="shared" si="59"/>
        <v>0.45277777777777778</v>
      </c>
      <c r="BN154" s="934">
        <f t="shared" si="50"/>
        <v>57.7</v>
      </c>
    </row>
    <row r="155" spans="1:66" ht="14.5">
      <c r="A155" s="1">
        <f t="shared" si="57"/>
        <v>44708</v>
      </c>
      <c r="B155" s="932">
        <f t="shared" si="51"/>
        <v>44708.220833333333</v>
      </c>
      <c r="C155" s="932">
        <f t="shared" si="52"/>
        <v>44708.268055555556</v>
      </c>
      <c r="D155" s="932">
        <f t="shared" si="53"/>
        <v>44708.872222222228</v>
      </c>
      <c r="E155" s="932">
        <f t="shared" si="54"/>
        <v>44708.919444444444</v>
      </c>
      <c r="F155" s="932">
        <f t="shared" si="55"/>
        <v>44708.202777777777</v>
      </c>
      <c r="G155" s="932">
        <f t="shared" si="56"/>
        <v>44708.770138888889</v>
      </c>
      <c r="H155" s="2">
        <f t="shared" si="58"/>
        <v>10</v>
      </c>
      <c r="I155" s="2">
        <v>73.491126630278359</v>
      </c>
      <c r="J155" s="1317">
        <v>21.4184652835573</v>
      </c>
      <c r="AP155" s="1855">
        <f t="shared" si="46"/>
        <v>44576</v>
      </c>
      <c r="AQ155" s="925" t="str">
        <f t="shared" si="47"/>
        <v/>
      </c>
      <c r="AR155" s="1856" t="str">
        <f t="shared" si="48"/>
        <v/>
      </c>
      <c r="AS155" s="927" t="s">
        <v>252</v>
      </c>
      <c r="AT155" s="1856" t="str">
        <f t="shared" si="40"/>
        <v/>
      </c>
      <c r="AU155" s="1856" t="str">
        <f t="shared" si="41"/>
        <v/>
      </c>
      <c r="AV155" s="1856" t="str">
        <f t="shared" si="42"/>
        <v/>
      </c>
      <c r="AW155" s="1856" t="str">
        <f t="shared" si="43"/>
        <v/>
      </c>
      <c r="AX155" s="1856" t="str">
        <f t="shared" si="44"/>
        <v/>
      </c>
      <c r="AY155" s="1856" t="str">
        <f t="shared" si="45"/>
        <v/>
      </c>
      <c r="BB155" s="1879">
        <v>27</v>
      </c>
      <c r="BC155" s="1880">
        <v>0.20277777777777781</v>
      </c>
      <c r="BD155" s="1880" t="s">
        <v>862</v>
      </c>
      <c r="BE155" s="1880">
        <v>0.76944444444444438</v>
      </c>
      <c r="BF155" s="1880" t="s">
        <v>900</v>
      </c>
      <c r="BG155" s="1879" t="s">
        <v>241</v>
      </c>
      <c r="BH155" s="1880">
        <v>0.4826388888888889</v>
      </c>
      <c r="BI155" s="1879" t="s">
        <v>1036</v>
      </c>
      <c r="BJ155" s="1881">
        <v>246525</v>
      </c>
      <c r="BK155" s="1882">
        <v>7.4999999999999997E-2</v>
      </c>
      <c r="BL155" s="1619">
        <f t="shared" si="49"/>
        <v>44708</v>
      </c>
      <c r="BM155" s="1856">
        <f t="shared" si="59"/>
        <v>0.4826388888888889</v>
      </c>
      <c r="BN155" s="934">
        <f t="shared" si="50"/>
        <v>63.3</v>
      </c>
    </row>
    <row r="156" spans="1:66" ht="14.5">
      <c r="A156" s="1">
        <f t="shared" si="57"/>
        <v>44709</v>
      </c>
      <c r="B156" s="932">
        <f t="shared" si="51"/>
        <v>44709.220138888893</v>
      </c>
      <c r="C156" s="932">
        <f t="shared" si="52"/>
        <v>44709.267361111109</v>
      </c>
      <c r="D156" s="932">
        <f t="shared" si="53"/>
        <v>44709.872916666667</v>
      </c>
      <c r="E156" s="932">
        <f t="shared" si="54"/>
        <v>44709.920138888883</v>
      </c>
      <c r="F156" s="932">
        <f t="shared" si="55"/>
        <v>44709.22152777778</v>
      </c>
      <c r="G156" s="932">
        <f t="shared" si="56"/>
        <v>44709.813194444439</v>
      </c>
      <c r="H156" s="2">
        <f t="shared" si="58"/>
        <v>5</v>
      </c>
      <c r="I156" s="2">
        <v>73.65191302557372</v>
      </c>
      <c r="J156" s="1317">
        <v>21.577887827930276</v>
      </c>
      <c r="AP156" s="1855">
        <f t="shared" si="46"/>
        <v>44576</v>
      </c>
      <c r="AQ156" s="925" t="str">
        <f t="shared" si="47"/>
        <v/>
      </c>
      <c r="AR156" s="1856" t="str">
        <f t="shared" si="48"/>
        <v/>
      </c>
      <c r="AT156" s="1856" t="str">
        <f t="shared" ref="AT156:AT219" si="60">IF(ISNUMBER(AS156),INDEX(AR157:AR167,MATCH($AT$27,AQ157:AQ167,0)),"")</f>
        <v/>
      </c>
      <c r="AU156" s="1856" t="str">
        <f t="shared" ref="AU156:AU219" si="61">IF(AT156="","",INDEX(AR157:AR167,MATCH($AU$27,AQ157:AQ167,0)))</f>
        <v/>
      </c>
      <c r="AV156" s="1856" t="str">
        <f t="shared" ref="AV156:AV219" si="62">IF(AT156="","",INDEX(AR157:AR167,MATCH($AV$27,AQ157:AQ167,0)))</f>
        <v/>
      </c>
      <c r="AW156" s="1856" t="str">
        <f t="shared" ref="AW156:AW219" si="63">IF(AT156="","",INDEX(AR157:AR167,MATCH($AW$27,AQ157:AQ167,0)))</f>
        <v/>
      </c>
      <c r="AX156" s="1856" t="str">
        <f t="shared" ref="AX156:AX219" si="64">IF(AT156="","",INDEX(AR157:AR167,MATCH($AX$27,AQ157:AQ167,0)))</f>
        <v/>
      </c>
      <c r="AY156" s="1856" t="str">
        <f t="shared" ref="AY156:AY219" si="65">IF(AT156="","",INDEX(AR157:AR167,MATCH($AY$27,AQ157:AQ167,0)))</f>
        <v/>
      </c>
      <c r="BB156" s="1879">
        <v>28</v>
      </c>
      <c r="BC156" s="1880">
        <v>0.22083333333333333</v>
      </c>
      <c r="BD156" s="1880" t="s">
        <v>651</v>
      </c>
      <c r="BE156" s="1880">
        <v>0.81180555555555556</v>
      </c>
      <c r="BF156" s="1880" t="s">
        <v>1037</v>
      </c>
      <c r="BG156" s="1879" t="s">
        <v>241</v>
      </c>
      <c r="BH156" s="1880">
        <v>0.5131944444444444</v>
      </c>
      <c r="BI156" s="1879" t="s">
        <v>1038</v>
      </c>
      <c r="BJ156" s="1881">
        <v>248406</v>
      </c>
      <c r="BK156" s="1882">
        <v>0.03</v>
      </c>
      <c r="BL156" s="1619">
        <f t="shared" si="49"/>
        <v>44709</v>
      </c>
      <c r="BM156" s="1856">
        <f t="shared" si="59"/>
        <v>0.5131944444444444</v>
      </c>
      <c r="BN156" s="934">
        <f t="shared" si="50"/>
        <v>68.3</v>
      </c>
    </row>
    <row r="157" spans="1:66" ht="14.5">
      <c r="A157" s="1">
        <f t="shared" si="57"/>
        <v>44710</v>
      </c>
      <c r="B157" s="932">
        <f t="shared" si="51"/>
        <v>44710.219444444447</v>
      </c>
      <c r="C157" s="932">
        <f t="shared" si="52"/>
        <v>44710.267361111109</v>
      </c>
      <c r="D157" s="932">
        <f t="shared" si="53"/>
        <v>44710.873611111114</v>
      </c>
      <c r="E157" s="932">
        <f t="shared" si="54"/>
        <v>44710.92083333333</v>
      </c>
      <c r="F157" s="932">
        <f t="shared" si="55"/>
        <v>44710.241666666669</v>
      </c>
      <c r="G157" s="932">
        <f t="shared" si="56"/>
        <v>44710.855555555558</v>
      </c>
      <c r="H157" s="2">
        <f t="shared" si="58"/>
        <v>2</v>
      </c>
      <c r="I157" s="2">
        <v>73.806547853082719</v>
      </c>
      <c r="J157" s="1317">
        <v>21.731072922905931</v>
      </c>
      <c r="AP157" s="1855">
        <f t="shared" si="46"/>
        <v>44576</v>
      </c>
      <c r="AQ157" s="925" t="str">
        <f t="shared" si="47"/>
        <v>MS</v>
      </c>
      <c r="AR157" s="1856">
        <f t="shared" si="48"/>
        <v>44576.265277777777</v>
      </c>
      <c r="AS157" s="927" t="s">
        <v>1039</v>
      </c>
      <c r="AT157" s="1856" t="str">
        <f t="shared" si="60"/>
        <v/>
      </c>
      <c r="AU157" s="1856" t="str">
        <f t="shared" si="61"/>
        <v/>
      </c>
      <c r="AV157" s="1856" t="str">
        <f t="shared" si="62"/>
        <v/>
      </c>
      <c r="AW157" s="1856" t="str">
        <f t="shared" si="63"/>
        <v/>
      </c>
      <c r="AX157" s="1856" t="str">
        <f t="shared" si="64"/>
        <v/>
      </c>
      <c r="AY157" s="1856" t="str">
        <f t="shared" si="65"/>
        <v/>
      </c>
      <c r="BB157" s="1879">
        <v>29</v>
      </c>
      <c r="BC157" s="1880">
        <v>0.24097222222222223</v>
      </c>
      <c r="BD157" s="1880" t="s">
        <v>964</v>
      </c>
      <c r="BE157" s="1880">
        <v>0.85486111111111107</v>
      </c>
      <c r="BF157" s="1879" t="s">
        <v>857</v>
      </c>
      <c r="BG157" s="1880" t="s">
        <v>241</v>
      </c>
      <c r="BH157" s="1880">
        <v>0.54513888888888895</v>
      </c>
      <c r="BI157" s="1881" t="s">
        <v>1040</v>
      </c>
      <c r="BJ157" s="1882">
        <v>249966</v>
      </c>
      <c r="BK157" s="1882">
        <v>6.0000000000000001E-3</v>
      </c>
      <c r="BL157" s="1619">
        <f t="shared" si="49"/>
        <v>44710</v>
      </c>
      <c r="BM157" s="1856">
        <f t="shared" si="59"/>
        <v>0.54513888888888895</v>
      </c>
      <c r="BN157" s="934">
        <f t="shared" si="50"/>
        <v>72.599999999999994</v>
      </c>
    </row>
    <row r="158" spans="1:66" ht="14.5">
      <c r="A158" s="1">
        <f t="shared" si="57"/>
        <v>44711</v>
      </c>
      <c r="B158" s="932">
        <f t="shared" si="51"/>
        <v>44711.219444444447</v>
      </c>
      <c r="C158" s="932">
        <f t="shared" si="52"/>
        <v>44711.26666666667</v>
      </c>
      <c r="D158" s="932">
        <f t="shared" si="53"/>
        <v>44711.873611111114</v>
      </c>
      <c r="E158" s="932">
        <f t="shared" si="54"/>
        <v>44711.921527777777</v>
      </c>
      <c r="F158" s="932">
        <f t="shared" si="55"/>
        <v>44711.26458333333</v>
      </c>
      <c r="G158" s="932">
        <f t="shared" si="56"/>
        <v>44711.897222222222</v>
      </c>
      <c r="H158" s="2">
        <f t="shared" si="58"/>
        <v>0</v>
      </c>
      <c r="I158" s="2">
        <v>73.954965989893807</v>
      </c>
      <c r="J158" s="1317">
        <v>21.877966237598692</v>
      </c>
      <c r="AP158" s="1855">
        <f t="shared" si="46"/>
        <v>44576</v>
      </c>
      <c r="AQ158" s="925" t="str">
        <f t="shared" si="47"/>
        <v>BMNT</v>
      </c>
      <c r="AR158" s="1856">
        <f t="shared" si="48"/>
        <v>44576.289583333331</v>
      </c>
      <c r="AS158" s="927" t="s">
        <v>756</v>
      </c>
      <c r="AT158" s="1856" t="str">
        <f t="shared" si="60"/>
        <v/>
      </c>
      <c r="AU158" s="1856" t="str">
        <f t="shared" si="61"/>
        <v/>
      </c>
      <c r="AV158" s="1856" t="str">
        <f t="shared" si="62"/>
        <v/>
      </c>
      <c r="AW158" s="1856" t="str">
        <f t="shared" si="63"/>
        <v/>
      </c>
      <c r="AX158" s="1856" t="str">
        <f t="shared" si="64"/>
        <v/>
      </c>
      <c r="AY158" s="1856" t="str">
        <f t="shared" si="65"/>
        <v/>
      </c>
      <c r="BB158" s="1879" t="s">
        <v>1041</v>
      </c>
      <c r="BC158" s="1880">
        <v>0.2638888888888889</v>
      </c>
      <c r="BD158" s="1879" t="s">
        <v>854</v>
      </c>
      <c r="BE158" s="1880">
        <v>0.8965277777777777</v>
      </c>
      <c r="BF158" s="1879" t="s">
        <v>600</v>
      </c>
      <c r="BG158" s="1879" t="s">
        <v>241</v>
      </c>
      <c r="BH158" s="1880">
        <v>0.57777777777777783</v>
      </c>
      <c r="BI158" s="1879" t="s">
        <v>1042</v>
      </c>
      <c r="BJ158" s="1881">
        <v>251182</v>
      </c>
      <c r="BK158" s="1882">
        <v>1E-3</v>
      </c>
      <c r="BL158" s="1619">
        <f t="shared" si="49"/>
        <v>44711</v>
      </c>
      <c r="BM158" s="1856">
        <f t="shared" si="59"/>
        <v>0.57777777777777783</v>
      </c>
      <c r="BN158" s="934">
        <f t="shared" si="50"/>
        <v>75.900000000000006</v>
      </c>
    </row>
    <row r="159" spans="1:66" ht="14.5">
      <c r="A159" s="1">
        <f t="shared" si="57"/>
        <v>44712</v>
      </c>
      <c r="B159" s="932">
        <f t="shared" si="51"/>
        <v>44712.21875</v>
      </c>
      <c r="C159" s="932">
        <f t="shared" si="52"/>
        <v>44712.26666666667</v>
      </c>
      <c r="D159" s="932">
        <f t="shared" si="53"/>
        <v>44712.874305555561</v>
      </c>
      <c r="E159" s="932">
        <f t="shared" si="54"/>
        <v>44712.922222222223</v>
      </c>
      <c r="F159" s="932">
        <f t="shared" si="55"/>
        <v>44712.291666666664</v>
      </c>
      <c r="G159" s="932">
        <f t="shared" si="56"/>
        <v>44712.9375</v>
      </c>
      <c r="H159" s="2">
        <f t="shared" si="58"/>
        <v>1</v>
      </c>
      <c r="I159" s="2">
        <v>74.097103597007646</v>
      </c>
      <c r="J159" s="1317">
        <v>22.018515465465367</v>
      </c>
      <c r="AP159" s="1855">
        <f t="shared" si="46"/>
        <v>44576</v>
      </c>
      <c r="AQ159" s="925" t="str">
        <f t="shared" si="47"/>
        <v>SR</v>
      </c>
      <c r="AR159" s="1856">
        <f t="shared" si="48"/>
        <v>44576.331944444442</v>
      </c>
      <c r="AS159" s="927" t="s">
        <v>1043</v>
      </c>
      <c r="AT159" s="1856" t="str">
        <f t="shared" si="60"/>
        <v/>
      </c>
      <c r="AU159" s="1856" t="str">
        <f t="shared" si="61"/>
        <v/>
      </c>
      <c r="AV159" s="1856" t="str">
        <f t="shared" si="62"/>
        <v/>
      </c>
      <c r="AW159" s="1856" t="str">
        <f t="shared" si="63"/>
        <v/>
      </c>
      <c r="AX159" s="1856" t="str">
        <f t="shared" si="64"/>
        <v/>
      </c>
      <c r="AY159" s="1856" t="str">
        <f t="shared" si="65"/>
        <v/>
      </c>
      <c r="BB159" s="1879">
        <v>31</v>
      </c>
      <c r="BC159" s="1880">
        <v>0.29097222222222224</v>
      </c>
      <c r="BD159" s="1879" t="s">
        <v>608</v>
      </c>
      <c r="BE159" s="1880">
        <v>0.93680555555555556</v>
      </c>
      <c r="BF159" s="1879" t="s">
        <v>694</v>
      </c>
      <c r="BG159" s="1879" t="s">
        <v>241</v>
      </c>
      <c r="BH159" s="1880">
        <v>0.61249999999999993</v>
      </c>
      <c r="BI159" s="1879" t="s">
        <v>905</v>
      </c>
      <c r="BJ159" s="1881">
        <v>252008</v>
      </c>
      <c r="BK159" s="1882">
        <v>1.6E-2</v>
      </c>
      <c r="BL159" s="1619">
        <f t="shared" si="49"/>
        <v>44712</v>
      </c>
      <c r="BM159" s="1856">
        <f t="shared" si="59"/>
        <v>0.61249999999999993</v>
      </c>
      <c r="BN159" s="934">
        <f t="shared" si="50"/>
        <v>78</v>
      </c>
    </row>
    <row r="160" spans="1:66" ht="14.5">
      <c r="A160" s="1">
        <f t="shared" si="57"/>
        <v>44713</v>
      </c>
      <c r="B160" s="932">
        <f t="shared" si="51"/>
        <v>44713.218055555561</v>
      </c>
      <c r="C160" s="932">
        <f t="shared" si="52"/>
        <v>44713.265972222223</v>
      </c>
      <c r="D160" s="932">
        <f t="shared" si="53"/>
        <v>44713.875</v>
      </c>
      <c r="E160" s="932">
        <f t="shared" si="54"/>
        <v>44713.922916666663</v>
      </c>
      <c r="F160" s="932">
        <f t="shared" si="55"/>
        <v>44713.323611111111</v>
      </c>
      <c r="G160" s="932">
        <f t="shared" si="56"/>
        <v>44713.973611111112</v>
      </c>
      <c r="H160" s="2">
        <f t="shared" si="58"/>
        <v>3</v>
      </c>
      <c r="I160" s="2">
        <v>74.232898262181237</v>
      </c>
      <c r="J160" s="1317">
        <v>22.152670381521538</v>
      </c>
      <c r="AP160" s="1855">
        <f t="shared" si="46"/>
        <v>44576</v>
      </c>
      <c r="AQ160" s="925" t="str">
        <f t="shared" si="47"/>
        <v>MR</v>
      </c>
      <c r="AR160" s="1856">
        <f t="shared" si="48"/>
        <v>44576.655555555553</v>
      </c>
      <c r="AS160" s="927" t="s">
        <v>1044</v>
      </c>
      <c r="AT160" s="1856" t="str">
        <f t="shared" si="60"/>
        <v/>
      </c>
      <c r="AU160" s="1856" t="str">
        <f t="shared" si="61"/>
        <v/>
      </c>
      <c r="AV160" s="1856" t="str">
        <f t="shared" si="62"/>
        <v/>
      </c>
      <c r="AW160" s="1856" t="str">
        <f t="shared" si="63"/>
        <v/>
      </c>
      <c r="AX160" s="1856" t="str">
        <f t="shared" si="64"/>
        <v/>
      </c>
      <c r="AY160" s="1856" t="str">
        <f t="shared" si="65"/>
        <v/>
      </c>
      <c r="BB160" s="1879">
        <v>1</v>
      </c>
      <c r="BC160" s="1880">
        <v>0.32291666666666669</v>
      </c>
      <c r="BD160" s="1879" t="s">
        <v>907</v>
      </c>
      <c r="BE160" s="1880">
        <v>0.97291666666666676</v>
      </c>
      <c r="BF160" s="1879" t="s">
        <v>960</v>
      </c>
      <c r="BG160" s="1879" t="s">
        <v>241</v>
      </c>
      <c r="BH160" s="1880">
        <v>0.6479166666666667</v>
      </c>
      <c r="BI160" s="1879" t="s">
        <v>1004</v>
      </c>
      <c r="BJ160" s="1881">
        <v>252382</v>
      </c>
      <c r="BK160" s="1882">
        <v>0.05</v>
      </c>
      <c r="BL160" s="1619">
        <f t="shared" si="49"/>
        <v>44713</v>
      </c>
      <c r="BM160" s="1856">
        <f t="shared" si="59"/>
        <v>0.6479166666666667</v>
      </c>
      <c r="BN160" s="934">
        <f t="shared" si="50"/>
        <v>78.900000000000006</v>
      </c>
    </row>
    <row r="161" spans="1:66" ht="14.5">
      <c r="A161" s="1">
        <f t="shared" si="57"/>
        <v>44714</v>
      </c>
      <c r="B161" s="932">
        <f t="shared" si="51"/>
        <v>44714.218055555561</v>
      </c>
      <c r="C161" s="932">
        <f t="shared" si="52"/>
        <v>44714.265972222223</v>
      </c>
      <c r="D161" s="932">
        <f t="shared" si="53"/>
        <v>44714.875</v>
      </c>
      <c r="E161" s="932">
        <f t="shared" si="54"/>
        <v>44714.923611111109</v>
      </c>
      <c r="F161" s="932">
        <f t="shared" si="55"/>
        <v>44714.359027777777</v>
      </c>
      <c r="G161" s="932" t="str">
        <f t="shared" si="56"/>
        <v>NONE</v>
      </c>
      <c r="H161" s="2">
        <f t="shared" si="58"/>
        <v>7.0000000000000009</v>
      </c>
      <c r="I161" s="2">
        <v>74.362289151358738</v>
      </c>
      <c r="J161" s="1317">
        <v>22.280382898293691</v>
      </c>
      <c r="AP161" s="1855">
        <f t="shared" si="46"/>
        <v>44576</v>
      </c>
      <c r="AQ161" s="925" t="str">
        <f t="shared" si="47"/>
        <v>SS</v>
      </c>
      <c r="AR161" s="1856">
        <f t="shared" si="48"/>
        <v>44576.741666666669</v>
      </c>
      <c r="AS161" s="927" t="s">
        <v>1045</v>
      </c>
      <c r="AT161" s="1856" t="str">
        <f t="shared" si="60"/>
        <v/>
      </c>
      <c r="AU161" s="1856" t="str">
        <f t="shared" si="61"/>
        <v/>
      </c>
      <c r="AV161" s="1856" t="str">
        <f t="shared" si="62"/>
        <v/>
      </c>
      <c r="AW161" s="1856" t="str">
        <f t="shared" si="63"/>
        <v/>
      </c>
      <c r="AX161" s="1856" t="str">
        <f t="shared" si="64"/>
        <v/>
      </c>
      <c r="AY161" s="1856" t="str">
        <f t="shared" si="65"/>
        <v/>
      </c>
      <c r="BB161" s="1879">
        <v>2</v>
      </c>
      <c r="BC161" s="1880">
        <v>0.35833333333333334</v>
      </c>
      <c r="BD161" s="1879" t="s">
        <v>907</v>
      </c>
      <c r="BE161" s="1880" t="s">
        <v>241</v>
      </c>
      <c r="BF161" s="1879" t="s">
        <v>241</v>
      </c>
      <c r="BG161" s="1880">
        <v>0.68263888888888891</v>
      </c>
      <c r="BH161" s="1880" t="s">
        <v>1046</v>
      </c>
      <c r="BI161" s="1881">
        <v>252227</v>
      </c>
      <c r="BJ161" s="1881">
        <v>0.10100000000000001</v>
      </c>
      <c r="BK161" s="1882"/>
      <c r="BL161" s="1619">
        <f t="shared" si="49"/>
        <v>44714</v>
      </c>
      <c r="BM161" s="1856">
        <f t="shared" si="59"/>
        <v>0.68263888888888891</v>
      </c>
      <c r="BN161" s="934">
        <f t="shared" si="50"/>
        <v>78.400000000000006</v>
      </c>
    </row>
    <row r="162" spans="1:66" ht="14.5">
      <c r="A162" s="1">
        <f t="shared" si="57"/>
        <v>44715</v>
      </c>
      <c r="B162" s="932">
        <f t="shared" si="51"/>
        <v>44715.217361111114</v>
      </c>
      <c r="C162" s="932">
        <f t="shared" si="52"/>
        <v>44715.265972222223</v>
      </c>
      <c r="D162" s="932">
        <f t="shared" si="53"/>
        <v>44715.875694444447</v>
      </c>
      <c r="E162" s="932">
        <f t="shared" si="54"/>
        <v>44715.923611111109</v>
      </c>
      <c r="F162" s="932">
        <f t="shared" si="55"/>
        <v>44715.397916666669</v>
      </c>
      <c r="G162" s="932">
        <f t="shared" si="56"/>
        <v>44715.006249999999</v>
      </c>
      <c r="H162" s="2">
        <f t="shared" si="58"/>
        <v>12</v>
      </c>
      <c r="I162" s="2">
        <v>74.485217167881075</v>
      </c>
      <c r="J162" s="1317">
        <v>22.401607120313763</v>
      </c>
      <c r="AP162" s="1855">
        <f t="shared" si="46"/>
        <v>44576</v>
      </c>
      <c r="AQ162" s="925" t="str">
        <f t="shared" si="47"/>
        <v>EENT</v>
      </c>
      <c r="AR162" s="1856">
        <f t="shared" si="48"/>
        <v>44576.78402777778</v>
      </c>
      <c r="AS162" s="927" t="s">
        <v>1047</v>
      </c>
      <c r="AT162" s="1856" t="str">
        <f t="shared" si="60"/>
        <v/>
      </c>
      <c r="AU162" s="1856" t="str">
        <f t="shared" si="61"/>
        <v/>
      </c>
      <c r="AV162" s="1856" t="str">
        <f t="shared" si="62"/>
        <v/>
      </c>
      <c r="AW162" s="1856" t="str">
        <f t="shared" si="63"/>
        <v/>
      </c>
      <c r="AX162" s="1856" t="str">
        <f t="shared" si="64"/>
        <v/>
      </c>
      <c r="AY162" s="1856" t="str">
        <f t="shared" si="65"/>
        <v/>
      </c>
      <c r="BB162" s="1879">
        <v>3</v>
      </c>
      <c r="BC162" s="1880" t="s">
        <v>241</v>
      </c>
      <c r="BD162" s="1880">
        <v>5.5555555555555558E-3</v>
      </c>
      <c r="BE162" s="1880" t="s">
        <v>694</v>
      </c>
      <c r="BF162" s="1880">
        <v>0.3972222222222222</v>
      </c>
      <c r="BG162" s="1879" t="s">
        <v>608</v>
      </c>
      <c r="BH162" s="1880">
        <v>0.71736111111111101</v>
      </c>
      <c r="BI162" s="1879" t="s">
        <v>1048</v>
      </c>
      <c r="BJ162" s="1881">
        <v>251469</v>
      </c>
      <c r="BK162" s="1882">
        <v>0.16700000000000001</v>
      </c>
      <c r="BL162" s="1619">
        <f t="shared" si="49"/>
        <v>44715</v>
      </c>
      <c r="BM162" s="1856">
        <f t="shared" si="59"/>
        <v>0.71736111111111101</v>
      </c>
      <c r="BN162" s="934">
        <f t="shared" si="50"/>
        <v>76.5</v>
      </c>
    </row>
    <row r="163" spans="1:66" ht="14.5">
      <c r="A163" s="1">
        <f t="shared" si="57"/>
        <v>44716</v>
      </c>
      <c r="B163" s="932">
        <f t="shared" si="51"/>
        <v>44716.217361111114</v>
      </c>
      <c r="C163" s="932">
        <f t="shared" si="52"/>
        <v>44716.265277777777</v>
      </c>
      <c r="D163" s="932">
        <f t="shared" si="53"/>
        <v>44716.876388888886</v>
      </c>
      <c r="E163" s="932">
        <f t="shared" si="54"/>
        <v>44716.924305555556</v>
      </c>
      <c r="F163" s="932">
        <f t="shared" si="55"/>
        <v>44716.438888888886</v>
      </c>
      <c r="G163" s="932">
        <f t="shared" si="56"/>
        <v>44716.03402777778</v>
      </c>
      <c r="H163" s="2">
        <f t="shared" si="58"/>
        <v>19</v>
      </c>
      <c r="I163" s="2">
        <v>74.601625118500507</v>
      </c>
      <c r="J163" s="1317">
        <v>22.516299396975874</v>
      </c>
      <c r="AP163" s="1855">
        <f t="shared" si="46"/>
        <v>44577</v>
      </c>
      <c r="AQ163" s="925" t="str">
        <f t="shared" si="47"/>
        <v/>
      </c>
      <c r="AR163" s="1856" t="str">
        <f t="shared" si="48"/>
        <v/>
      </c>
      <c r="AS163" s="927">
        <v>16</v>
      </c>
      <c r="AT163" s="1856">
        <f t="shared" si="60"/>
        <v>44577.289583333331</v>
      </c>
      <c r="AU163" s="1856">
        <f t="shared" si="61"/>
        <v>44577.331944444442</v>
      </c>
      <c r="AV163" s="1856">
        <f t="shared" si="62"/>
        <v>44577.742361111115</v>
      </c>
      <c r="AW163" s="1856">
        <f t="shared" si="63"/>
        <v>44577.784722222219</v>
      </c>
      <c r="AX163" s="1856">
        <f t="shared" si="64"/>
        <v>44577.690972222219</v>
      </c>
      <c r="AY163" s="1856">
        <f t="shared" si="65"/>
        <v>44577.302083333328</v>
      </c>
      <c r="AZ163" s="1853">
        <v>0.97</v>
      </c>
      <c r="BB163" s="1879">
        <v>4</v>
      </c>
      <c r="BC163" s="1880" t="s">
        <v>241</v>
      </c>
      <c r="BD163" s="1880">
        <v>3.3333333333333333E-2</v>
      </c>
      <c r="BE163" s="1880" t="s">
        <v>677</v>
      </c>
      <c r="BF163" s="1880">
        <v>0.4381944444444445</v>
      </c>
      <c r="BG163" s="1879" t="s">
        <v>668</v>
      </c>
      <c r="BH163" s="1880">
        <v>0.75069444444444444</v>
      </c>
      <c r="BI163" s="1879" t="s">
        <v>1049</v>
      </c>
      <c r="BJ163" s="1881">
        <v>250047</v>
      </c>
      <c r="BK163" s="1882">
        <v>0.247</v>
      </c>
      <c r="BL163" s="1619">
        <f t="shared" si="49"/>
        <v>44716</v>
      </c>
      <c r="BM163" s="1856">
        <f t="shared" si="59"/>
        <v>0.75069444444444444</v>
      </c>
      <c r="BN163" s="934">
        <f t="shared" si="50"/>
        <v>73.5</v>
      </c>
    </row>
    <row r="164" spans="1:66" ht="14.5">
      <c r="A164" s="1">
        <f t="shared" si="57"/>
        <v>44717</v>
      </c>
      <c r="B164" s="932">
        <f t="shared" si="51"/>
        <v>44717.217361111114</v>
      </c>
      <c r="C164" s="932">
        <f t="shared" si="52"/>
        <v>44717.265277777777</v>
      </c>
      <c r="D164" s="932">
        <f t="shared" si="53"/>
        <v>44717.876388888886</v>
      </c>
      <c r="E164" s="932">
        <f t="shared" si="54"/>
        <v>44717.924999999996</v>
      </c>
      <c r="F164" s="932">
        <f t="shared" si="55"/>
        <v>44717.481250000004</v>
      </c>
      <c r="G164" s="932">
        <f t="shared" si="56"/>
        <v>44717.057638888888</v>
      </c>
      <c r="H164" s="2">
        <f t="shared" si="58"/>
        <v>27</v>
      </c>
      <c r="I164" s="2">
        <v>74.711457885037447</v>
      </c>
      <c r="J164" s="1317">
        <v>22.624418373569075</v>
      </c>
      <c r="AP164" s="1855">
        <f t="shared" si="46"/>
        <v>44577</v>
      </c>
      <c r="AQ164" s="925" t="str">
        <f t="shared" si="47"/>
        <v/>
      </c>
      <c r="AR164" s="1856" t="str">
        <f t="shared" si="48"/>
        <v/>
      </c>
      <c r="AS164" s="927" t="s">
        <v>252</v>
      </c>
      <c r="AT164" s="1856" t="str">
        <f t="shared" si="60"/>
        <v/>
      </c>
      <c r="AU164" s="1856" t="str">
        <f t="shared" si="61"/>
        <v/>
      </c>
      <c r="AV164" s="1856" t="str">
        <f t="shared" si="62"/>
        <v/>
      </c>
      <c r="AW164" s="1856" t="str">
        <f t="shared" si="63"/>
        <v/>
      </c>
      <c r="AX164" s="1856" t="str">
        <f t="shared" si="64"/>
        <v/>
      </c>
      <c r="AY164" s="1856" t="str">
        <f t="shared" si="65"/>
        <v/>
      </c>
      <c r="BB164" s="1879">
        <v>5</v>
      </c>
      <c r="BC164" s="1880" t="s">
        <v>241</v>
      </c>
      <c r="BD164" s="1880">
        <v>5.6944444444444443E-2</v>
      </c>
      <c r="BE164" s="1880" t="s">
        <v>643</v>
      </c>
      <c r="BF164" s="1880">
        <v>0.48055555555555557</v>
      </c>
      <c r="BG164" s="1879" t="s">
        <v>644</v>
      </c>
      <c r="BH164" s="1880">
        <v>0.78263888888888899</v>
      </c>
      <c r="BI164" s="1879" t="s">
        <v>1050</v>
      </c>
      <c r="BJ164" s="1881">
        <v>247935</v>
      </c>
      <c r="BK164" s="1882">
        <v>0.33800000000000002</v>
      </c>
      <c r="BL164" s="1619">
        <f t="shared" si="49"/>
        <v>44717</v>
      </c>
      <c r="BM164" s="1856">
        <f t="shared" si="59"/>
        <v>0.78263888888888899</v>
      </c>
      <c r="BN164" s="934">
        <f t="shared" si="50"/>
        <v>69.5</v>
      </c>
    </row>
    <row r="165" spans="1:66" ht="14.5">
      <c r="A165" s="1">
        <f t="shared" si="57"/>
        <v>44718</v>
      </c>
      <c r="B165" s="932">
        <f t="shared" si="51"/>
        <v>44718.216666666667</v>
      </c>
      <c r="C165" s="932">
        <f t="shared" si="52"/>
        <v>44718.265277777777</v>
      </c>
      <c r="D165" s="932">
        <f t="shared" si="53"/>
        <v>44718.877083333333</v>
      </c>
      <c r="E165" s="932">
        <f t="shared" si="54"/>
        <v>44718.925694444442</v>
      </c>
      <c r="F165" s="932">
        <f t="shared" si="55"/>
        <v>44718.523611111108</v>
      </c>
      <c r="G165" s="932">
        <f t="shared" si="56"/>
        <v>44718.078472222223</v>
      </c>
      <c r="H165" s="2">
        <f t="shared" si="58"/>
        <v>36</v>
      </c>
      <c r="I165" s="2">
        <v>74.814662600346011</v>
      </c>
      <c r="J165" s="1317">
        <v>22.725925040306858</v>
      </c>
      <c r="AP165" s="1855">
        <f t="shared" ref="AP165:AP228" si="66">IF(ISNUMBER(AS165),AP164+1,AP164)</f>
        <v>44577</v>
      </c>
      <c r="AQ165" s="925" t="str">
        <f t="shared" ref="AQ165:AQ228" si="67">IF(NOT(ISNUMBER(FIND(":",AS165))),"",IF(ISNUMBER(FIND("Sunr",AS165)),"SR", IF(ISNUMBER(FIND("Suns",AS165)),"SS",IF(ISNUMBER(FIND("Moonr",AS165)),"MR",IF(ISNUMBER(FIND("Moons",AS165)),"MS",IF(ISNUMBER(FIND("Twi",AS165)),IF(HOUR(AR165)&lt;12,"BMNT","EENT")))))))</f>
        <v/>
      </c>
      <c r="AR165" s="1856" t="str">
        <f t="shared" si="48"/>
        <v/>
      </c>
      <c r="AT165" s="1856" t="str">
        <f t="shared" si="60"/>
        <v/>
      </c>
      <c r="AU165" s="1856" t="str">
        <f t="shared" si="61"/>
        <v/>
      </c>
      <c r="AV165" s="1856" t="str">
        <f t="shared" si="62"/>
        <v/>
      </c>
      <c r="AW165" s="1856" t="str">
        <f t="shared" si="63"/>
        <v/>
      </c>
      <c r="AX165" s="1856" t="str">
        <f t="shared" si="64"/>
        <v/>
      </c>
      <c r="AY165" s="1856" t="str">
        <f t="shared" si="65"/>
        <v/>
      </c>
      <c r="BB165" s="1879">
        <v>6</v>
      </c>
      <c r="BC165" s="1880" t="s">
        <v>241</v>
      </c>
      <c r="BD165" s="1880">
        <v>7.7777777777777779E-2</v>
      </c>
      <c r="BE165" s="1880" t="s">
        <v>952</v>
      </c>
      <c r="BF165" s="1880">
        <v>0.52361111111111114</v>
      </c>
      <c r="BG165" s="1879" t="s">
        <v>727</v>
      </c>
      <c r="BH165" s="1880">
        <v>0.81319444444444444</v>
      </c>
      <c r="BI165" s="1879" t="s">
        <v>1051</v>
      </c>
      <c r="BJ165" s="1881">
        <v>245154</v>
      </c>
      <c r="BK165" s="1882">
        <v>0.437</v>
      </c>
      <c r="BL165" s="1619">
        <f t="shared" si="49"/>
        <v>44718</v>
      </c>
      <c r="BM165" s="1856">
        <f t="shared" si="59"/>
        <v>0.81319444444444444</v>
      </c>
      <c r="BN165" s="934">
        <f t="shared" si="50"/>
        <v>64.599999999999994</v>
      </c>
    </row>
    <row r="166" spans="1:66" ht="14.5">
      <c r="A166" s="1">
        <f t="shared" si="57"/>
        <v>44719</v>
      </c>
      <c r="B166" s="932">
        <f t="shared" si="51"/>
        <v>44719.216666666667</v>
      </c>
      <c r="C166" s="932">
        <f t="shared" si="52"/>
        <v>44719.265277777777</v>
      </c>
      <c r="D166" s="932">
        <f t="shared" si="53"/>
        <v>44719.87777777778</v>
      </c>
      <c r="E166" s="932">
        <f t="shared" si="54"/>
        <v>44719.925694444442</v>
      </c>
      <c r="F166" s="932">
        <f t="shared" si="55"/>
        <v>44719.566666666666</v>
      </c>
      <c r="G166" s="932">
        <f t="shared" si="56"/>
        <v>44719.097222222226</v>
      </c>
      <c r="H166" s="2">
        <f t="shared" si="58"/>
        <v>46</v>
      </c>
      <c r="I166" s="2">
        <v>74.911188827086292</v>
      </c>
      <c r="J166" s="1317">
        <v>22.820782779177268</v>
      </c>
      <c r="AP166" s="1855">
        <f t="shared" si="66"/>
        <v>44577</v>
      </c>
      <c r="AQ166" s="925" t="str">
        <f t="shared" si="67"/>
        <v>BMNT</v>
      </c>
      <c r="AR166" s="1856">
        <f t="shared" si="48"/>
        <v>44577.289583333331</v>
      </c>
      <c r="AS166" s="927" t="s">
        <v>756</v>
      </c>
      <c r="AT166" s="1856" t="str">
        <f t="shared" si="60"/>
        <v/>
      </c>
      <c r="AU166" s="1856" t="str">
        <f t="shared" si="61"/>
        <v/>
      </c>
      <c r="AV166" s="1856" t="str">
        <f t="shared" si="62"/>
        <v/>
      </c>
      <c r="AW166" s="1856" t="str">
        <f t="shared" si="63"/>
        <v/>
      </c>
      <c r="AX166" s="1856" t="str">
        <f t="shared" si="64"/>
        <v/>
      </c>
      <c r="AY166" s="1856" t="str">
        <f t="shared" si="65"/>
        <v/>
      </c>
      <c r="BB166" s="1879" t="s">
        <v>1052</v>
      </c>
      <c r="BC166" s="1880" t="s">
        <v>241</v>
      </c>
      <c r="BD166" s="1880">
        <v>9.6527777777777768E-2</v>
      </c>
      <c r="BE166" s="1880" t="s">
        <v>567</v>
      </c>
      <c r="BF166" s="1880">
        <v>0.56666666666666665</v>
      </c>
      <c r="BG166" s="1879" t="s">
        <v>566</v>
      </c>
      <c r="BH166" s="1880">
        <v>0.84375</v>
      </c>
      <c r="BI166" s="1879" t="s">
        <v>1053</v>
      </c>
      <c r="BJ166" s="1881">
        <v>241787</v>
      </c>
      <c r="BK166" s="1882">
        <v>0.54200000000000004</v>
      </c>
      <c r="BL166" s="1619">
        <f t="shared" si="49"/>
        <v>44719</v>
      </c>
      <c r="BM166" s="1856">
        <f t="shared" si="59"/>
        <v>0.84375</v>
      </c>
      <c r="BN166" s="934">
        <f t="shared" si="50"/>
        <v>59.1</v>
      </c>
    </row>
    <row r="167" spans="1:66" ht="14.5">
      <c r="A167" s="1">
        <f t="shared" si="57"/>
        <v>44720</v>
      </c>
      <c r="B167" s="932">
        <f t="shared" si="51"/>
        <v>44720.215972222228</v>
      </c>
      <c r="C167" s="932">
        <f t="shared" si="52"/>
        <v>44720.26458333333</v>
      </c>
      <c r="D167" s="932">
        <f t="shared" si="53"/>
        <v>44720.87777777778</v>
      </c>
      <c r="E167" s="932">
        <f t="shared" si="54"/>
        <v>44720.926388888889</v>
      </c>
      <c r="F167" s="932">
        <f t="shared" si="55"/>
        <v>44720.61041666667</v>
      </c>
      <c r="G167" s="932">
        <f t="shared" si="56"/>
        <v>44720.114583333336</v>
      </c>
      <c r="H167" s="2">
        <f t="shared" si="58"/>
        <v>56.000000000000007</v>
      </c>
      <c r="I167" s="2">
        <v>75.000988737644661</v>
      </c>
      <c r="J167" s="1317">
        <v>22.908957408440763</v>
      </c>
      <c r="AP167" s="1855">
        <f t="shared" si="66"/>
        <v>44577</v>
      </c>
      <c r="AQ167" s="925" t="str">
        <f t="shared" si="67"/>
        <v>MS</v>
      </c>
      <c r="AR167" s="1856">
        <f t="shared" si="48"/>
        <v>44577.302083333328</v>
      </c>
      <c r="AS167" s="927" t="s">
        <v>1054</v>
      </c>
      <c r="AT167" s="1856" t="str">
        <f t="shared" si="60"/>
        <v/>
      </c>
      <c r="AU167" s="1856" t="str">
        <f t="shared" si="61"/>
        <v/>
      </c>
      <c r="AV167" s="1856" t="str">
        <f t="shared" si="62"/>
        <v/>
      </c>
      <c r="AW167" s="1856" t="str">
        <f t="shared" si="63"/>
        <v/>
      </c>
      <c r="AX167" s="1856" t="str">
        <f t="shared" si="64"/>
        <v/>
      </c>
      <c r="AY167" s="1856" t="str">
        <f t="shared" si="65"/>
        <v/>
      </c>
      <c r="BB167" s="1879">
        <v>8</v>
      </c>
      <c r="BC167" s="1880" t="s">
        <v>241</v>
      </c>
      <c r="BD167" s="1880">
        <v>0.11458333333333333</v>
      </c>
      <c r="BE167" s="1880" t="s">
        <v>740</v>
      </c>
      <c r="BF167" s="1880">
        <v>0.61041666666666672</v>
      </c>
      <c r="BG167" s="1879" t="s">
        <v>969</v>
      </c>
      <c r="BH167" s="1880">
        <v>0.87430555555555556</v>
      </c>
      <c r="BI167" s="1879" t="s">
        <v>1055</v>
      </c>
      <c r="BJ167" s="1881">
        <v>237989</v>
      </c>
      <c r="BK167" s="1882">
        <v>0.64700000000000002</v>
      </c>
      <c r="BL167" s="1619">
        <f t="shared" si="49"/>
        <v>44720</v>
      </c>
      <c r="BM167" s="1856">
        <f t="shared" si="59"/>
        <v>0.87430555555555556</v>
      </c>
      <c r="BN167" s="934">
        <f t="shared" si="50"/>
        <v>53</v>
      </c>
    </row>
    <row r="168" spans="1:66" ht="14.5">
      <c r="A168" s="1">
        <f t="shared" si="57"/>
        <v>44721</v>
      </c>
      <c r="B168" s="932">
        <f t="shared" si="51"/>
        <v>44721.215972222228</v>
      </c>
      <c r="C168" s="932">
        <f t="shared" si="52"/>
        <v>44721.26458333333</v>
      </c>
      <c r="D168" s="932">
        <f t="shared" si="53"/>
        <v>44721.878472222219</v>
      </c>
      <c r="E168" s="932">
        <f t="shared" si="54"/>
        <v>44721.927083333328</v>
      </c>
      <c r="F168" s="932">
        <f t="shared" si="55"/>
        <v>44721.65625</v>
      </c>
      <c r="G168" s="932">
        <f t="shared" si="56"/>
        <v>44721.131249999999</v>
      </c>
      <c r="H168" s="2">
        <f t="shared" si="58"/>
        <v>66</v>
      </c>
      <c r="I168" s="2">
        <v>75.08401729341422</v>
      </c>
      <c r="J168" s="1317">
        <v>22.990417224611964</v>
      </c>
      <c r="AP168" s="1855">
        <f t="shared" si="66"/>
        <v>44577</v>
      </c>
      <c r="AQ168" s="925" t="str">
        <f t="shared" si="67"/>
        <v>SR</v>
      </c>
      <c r="AR168" s="1856">
        <f t="shared" si="48"/>
        <v>44577.331944444442</v>
      </c>
      <c r="AS168" s="927" t="s">
        <v>1043</v>
      </c>
      <c r="AT168" s="1856" t="str">
        <f t="shared" si="60"/>
        <v/>
      </c>
      <c r="AU168" s="1856" t="str">
        <f t="shared" si="61"/>
        <v/>
      </c>
      <c r="AV168" s="1856" t="str">
        <f t="shared" si="62"/>
        <v/>
      </c>
      <c r="AW168" s="1856" t="str">
        <f t="shared" si="63"/>
        <v/>
      </c>
      <c r="AX168" s="1856" t="str">
        <f t="shared" si="64"/>
        <v/>
      </c>
      <c r="AY168" s="1856" t="str">
        <f t="shared" si="65"/>
        <v/>
      </c>
      <c r="BB168" s="1879">
        <v>9</v>
      </c>
      <c r="BC168" s="1880" t="s">
        <v>241</v>
      </c>
      <c r="BD168" s="1880">
        <v>0.13125000000000001</v>
      </c>
      <c r="BE168" s="1880" t="s">
        <v>946</v>
      </c>
      <c r="BF168" s="1880">
        <v>0.65555555555555556</v>
      </c>
      <c r="BG168" s="1879" t="s">
        <v>945</v>
      </c>
      <c r="BH168" s="1880">
        <v>0.90625</v>
      </c>
      <c r="BI168" s="1879" t="s">
        <v>1056</v>
      </c>
      <c r="BJ168" s="1881">
        <v>233993</v>
      </c>
      <c r="BK168" s="1882">
        <v>0.75</v>
      </c>
      <c r="BL168" s="1619">
        <f t="shared" si="49"/>
        <v>44721</v>
      </c>
      <c r="BM168" s="1856">
        <f t="shared" si="59"/>
        <v>0.90625</v>
      </c>
      <c r="BN168" s="934">
        <f t="shared" si="50"/>
        <v>46.6</v>
      </c>
    </row>
    <row r="169" spans="1:66" ht="14.5">
      <c r="A169" s="1">
        <f t="shared" si="57"/>
        <v>44722</v>
      </c>
      <c r="B169" s="932">
        <f t="shared" si="51"/>
        <v>44722.215972222228</v>
      </c>
      <c r="C169" s="932">
        <f t="shared" si="52"/>
        <v>44722.26458333333</v>
      </c>
      <c r="D169" s="932">
        <f t="shared" si="53"/>
        <v>44722.878472222219</v>
      </c>
      <c r="E169" s="932">
        <f t="shared" si="54"/>
        <v>44722.927083333328</v>
      </c>
      <c r="F169" s="932">
        <f t="shared" si="55"/>
        <v>44722.704166666663</v>
      </c>
      <c r="G169" s="932">
        <f t="shared" si="56"/>
        <v>44722.149305555555</v>
      </c>
      <c r="H169" s="2">
        <f t="shared" si="58"/>
        <v>76</v>
      </c>
      <c r="I169" s="2">
        <v>75.16023242153004</v>
      </c>
      <c r="J169" s="1317">
        <v>23.065133041766224</v>
      </c>
      <c r="AP169" s="1855">
        <f t="shared" si="66"/>
        <v>44577</v>
      </c>
      <c r="AQ169" s="925" t="str">
        <f t="shared" si="67"/>
        <v>MR</v>
      </c>
      <c r="AR169" s="1856">
        <f t="shared" ref="AR169:AR232" si="68">IF(NOT(ISNUMBER(FIND(":",AS169))),"",IF(ISNUMBER(FIND(" none",AS169)),"NONE",AP169+LEFT(RIGHT(AS169,5),2)/24+RIGHT(AS169,2)/1440))</f>
        <v>44577.690972222219</v>
      </c>
      <c r="AS169" s="927" t="s">
        <v>1057</v>
      </c>
      <c r="AT169" s="1856" t="str">
        <f t="shared" si="60"/>
        <v/>
      </c>
      <c r="AU169" s="1856" t="str">
        <f t="shared" si="61"/>
        <v/>
      </c>
      <c r="AV169" s="1856" t="str">
        <f t="shared" si="62"/>
        <v/>
      </c>
      <c r="AW169" s="1856" t="str">
        <f t="shared" si="63"/>
        <v/>
      </c>
      <c r="AX169" s="1856" t="str">
        <f t="shared" si="64"/>
        <v/>
      </c>
      <c r="AY169" s="1856" t="str">
        <f t="shared" si="65"/>
        <v/>
      </c>
      <c r="BB169" s="1879">
        <v>10</v>
      </c>
      <c r="BC169" s="1880" t="s">
        <v>241</v>
      </c>
      <c r="BD169" s="1880">
        <v>0.14930555555555555</v>
      </c>
      <c r="BE169" s="1880" t="s">
        <v>757</v>
      </c>
      <c r="BF169" s="1880">
        <v>0.70347222222222217</v>
      </c>
      <c r="BG169" s="1879" t="s">
        <v>768</v>
      </c>
      <c r="BH169" s="1880">
        <v>0.93958333333333333</v>
      </c>
      <c r="BI169" s="1879" t="s">
        <v>974</v>
      </c>
      <c r="BJ169" s="1881">
        <v>230097</v>
      </c>
      <c r="BK169" s="1882">
        <v>0.84299999999999997</v>
      </c>
      <c r="BL169" s="1619">
        <f t="shared" si="49"/>
        <v>44722</v>
      </c>
      <c r="BM169" s="1856">
        <f t="shared" si="59"/>
        <v>0.93958333333333333</v>
      </c>
      <c r="BN169" s="934">
        <f t="shared" si="50"/>
        <v>40.299999999999997</v>
      </c>
    </row>
    <row r="170" spans="1:66" ht="14.5">
      <c r="A170" s="1">
        <f t="shared" si="57"/>
        <v>44723</v>
      </c>
      <c r="B170" s="932">
        <f t="shared" si="51"/>
        <v>44723.215972222228</v>
      </c>
      <c r="C170" s="932">
        <f t="shared" si="52"/>
        <v>44723.26458333333</v>
      </c>
      <c r="D170" s="932">
        <f t="shared" si="53"/>
        <v>44723.879166666666</v>
      </c>
      <c r="E170" s="932">
        <f t="shared" si="54"/>
        <v>44723.927777777775</v>
      </c>
      <c r="F170" s="932">
        <f t="shared" si="55"/>
        <v>44723.754166666666</v>
      </c>
      <c r="G170" s="932">
        <f t="shared" si="56"/>
        <v>44723.169444444444</v>
      </c>
      <c r="H170" s="2">
        <f t="shared" si="58"/>
        <v>85</v>
      </c>
      <c r="I170" s="2">
        <v>75.229595187071865</v>
      </c>
      <c r="J170" s="1317">
        <v>23.133078228018825</v>
      </c>
      <c r="AP170" s="1855">
        <f t="shared" si="66"/>
        <v>44577</v>
      </c>
      <c r="AQ170" s="925" t="str">
        <f t="shared" si="67"/>
        <v>SS</v>
      </c>
      <c r="AR170" s="1856">
        <f t="shared" si="68"/>
        <v>44577.742361111115</v>
      </c>
      <c r="AS170" s="927" t="s">
        <v>1058</v>
      </c>
      <c r="AT170" s="1856" t="str">
        <f t="shared" si="60"/>
        <v/>
      </c>
      <c r="AU170" s="1856" t="str">
        <f t="shared" si="61"/>
        <v/>
      </c>
      <c r="AV170" s="1856" t="str">
        <f t="shared" si="62"/>
        <v/>
      </c>
      <c r="AW170" s="1856" t="str">
        <f t="shared" si="63"/>
        <v/>
      </c>
      <c r="AX170" s="1856" t="str">
        <f t="shared" si="64"/>
        <v/>
      </c>
      <c r="AY170" s="1856" t="str">
        <f t="shared" si="65"/>
        <v/>
      </c>
      <c r="BB170" s="1879">
        <v>11</v>
      </c>
      <c r="BC170" s="1880" t="s">
        <v>241</v>
      </c>
      <c r="BD170" s="1880">
        <v>0.16944444444444443</v>
      </c>
      <c r="BE170" s="1880" t="s">
        <v>769</v>
      </c>
      <c r="BF170" s="1880">
        <v>0.75347222222222221</v>
      </c>
      <c r="BG170" s="1879" t="s">
        <v>778</v>
      </c>
      <c r="BH170" s="1880">
        <v>0.97569444444444453</v>
      </c>
      <c r="BI170" s="1879" t="s">
        <v>885</v>
      </c>
      <c r="BJ170" s="1881">
        <v>226647</v>
      </c>
      <c r="BK170" s="1882">
        <v>0.92</v>
      </c>
      <c r="BL170" s="1619">
        <f t="shared" si="49"/>
        <v>44723</v>
      </c>
      <c r="BM170" s="1856">
        <f t="shared" si="59"/>
        <v>0.97569444444444453</v>
      </c>
      <c r="BN170" s="934">
        <f t="shared" si="50"/>
        <v>34.4</v>
      </c>
    </row>
    <row r="171" spans="1:66" ht="14.5">
      <c r="A171" s="1">
        <f t="shared" si="57"/>
        <v>44724</v>
      </c>
      <c r="B171" s="932">
        <f t="shared" si="51"/>
        <v>44724.215972222228</v>
      </c>
      <c r="C171" s="932">
        <f t="shared" si="52"/>
        <v>44724.26458333333</v>
      </c>
      <c r="D171" s="932">
        <f t="shared" si="53"/>
        <v>44724.879166666666</v>
      </c>
      <c r="E171" s="932">
        <f t="shared" si="54"/>
        <v>44724.928472222222</v>
      </c>
      <c r="F171" s="932">
        <f t="shared" si="55"/>
        <v>44724.807638888888</v>
      </c>
      <c r="G171" s="932">
        <f t="shared" si="56"/>
        <v>44724.193055555552</v>
      </c>
      <c r="H171" s="2">
        <f t="shared" si="58"/>
        <v>92</v>
      </c>
      <c r="I171" s="2">
        <v>75.292069958699997</v>
      </c>
      <c r="J171" s="1317">
        <v>23.194228739038792</v>
      </c>
      <c r="AP171" s="1855">
        <f t="shared" si="66"/>
        <v>44577</v>
      </c>
      <c r="AQ171" s="925" t="str">
        <f t="shared" si="67"/>
        <v>EENT</v>
      </c>
      <c r="AR171" s="1856">
        <f t="shared" si="68"/>
        <v>44577.784722222219</v>
      </c>
      <c r="AS171" s="927" t="s">
        <v>1059</v>
      </c>
      <c r="AT171" s="1856" t="str">
        <f t="shared" si="60"/>
        <v/>
      </c>
      <c r="AU171" s="1856" t="str">
        <f t="shared" si="61"/>
        <v/>
      </c>
      <c r="AV171" s="1856" t="str">
        <f t="shared" si="62"/>
        <v/>
      </c>
      <c r="AW171" s="1856" t="str">
        <f t="shared" si="63"/>
        <v/>
      </c>
      <c r="AX171" s="1856" t="str">
        <f t="shared" si="64"/>
        <v/>
      </c>
      <c r="AY171" s="1856" t="str">
        <f t="shared" si="65"/>
        <v/>
      </c>
      <c r="BB171" s="1879">
        <v>12</v>
      </c>
      <c r="BC171" s="1880" t="s">
        <v>241</v>
      </c>
      <c r="BD171" s="1880">
        <v>0.19236111111111112</v>
      </c>
      <c r="BE171" s="1880" t="s">
        <v>779</v>
      </c>
      <c r="BF171" s="1880">
        <v>0.80694444444444446</v>
      </c>
      <c r="BG171" s="1879" t="s">
        <v>706</v>
      </c>
      <c r="BH171" s="1880" t="s">
        <v>695</v>
      </c>
      <c r="BJ171" s="1881"/>
      <c r="BK171" s="1882"/>
      <c r="BL171" s="1619">
        <f t="shared" si="49"/>
        <v>44724</v>
      </c>
      <c r="BM171" s="1856" t="str">
        <f t="shared" si="59"/>
        <v>NA</v>
      </c>
      <c r="BN171" s="934" t="str">
        <f t="shared" si="50"/>
        <v>NA</v>
      </c>
    </row>
    <row r="172" spans="1:66" ht="14.5">
      <c r="A172" s="1">
        <f t="shared" si="57"/>
        <v>44725</v>
      </c>
      <c r="B172" s="932">
        <f t="shared" si="51"/>
        <v>44725.215972222228</v>
      </c>
      <c r="C172" s="932">
        <f t="shared" si="52"/>
        <v>44725.26458333333</v>
      </c>
      <c r="D172" s="932">
        <f t="shared" si="53"/>
        <v>44725.879861111112</v>
      </c>
      <c r="E172" s="932">
        <f t="shared" si="54"/>
        <v>44725.928472222222</v>
      </c>
      <c r="F172" s="932">
        <f t="shared" si="55"/>
        <v>44725.861805555556</v>
      </c>
      <c r="G172" s="932">
        <f t="shared" si="56"/>
        <v>44725.22152777778</v>
      </c>
      <c r="H172" s="2">
        <f t="shared" si="58"/>
        <v>98</v>
      </c>
      <c r="I172" s="2">
        <v>75.347624565669392</v>
      </c>
      <c r="J172" s="1317">
        <v>23.248563148461145</v>
      </c>
      <c r="AP172" s="1855">
        <f t="shared" si="66"/>
        <v>44578</v>
      </c>
      <c r="AQ172" s="925" t="str">
        <f t="shared" si="67"/>
        <v/>
      </c>
      <c r="AR172" s="1856" t="str">
        <f t="shared" si="68"/>
        <v/>
      </c>
      <c r="AS172" s="927">
        <v>17</v>
      </c>
      <c r="AT172" s="1856">
        <f t="shared" si="60"/>
        <v>44578.289583333331</v>
      </c>
      <c r="AU172" s="1856">
        <f t="shared" si="61"/>
        <v>44578.331944444442</v>
      </c>
      <c r="AV172" s="1856">
        <f t="shared" si="62"/>
        <v>44578.743055555555</v>
      </c>
      <c r="AW172" s="1856">
        <f t="shared" si="63"/>
        <v>44578.785416666666</v>
      </c>
      <c r="AX172" s="1856">
        <f t="shared" si="64"/>
        <v>44578.729861111111</v>
      </c>
      <c r="AY172" s="1856">
        <f t="shared" si="65"/>
        <v>44578.335416666669</v>
      </c>
      <c r="AZ172" s="1853">
        <v>0.99</v>
      </c>
      <c r="BB172" s="1879">
        <v>13</v>
      </c>
      <c r="BC172" s="1880" t="s">
        <v>241</v>
      </c>
      <c r="BD172" s="1880">
        <v>0.22083333333333333</v>
      </c>
      <c r="BE172" s="1879" t="s">
        <v>712</v>
      </c>
      <c r="BF172" s="1880">
        <v>0.86041666666666661</v>
      </c>
      <c r="BG172" s="1880" t="s">
        <v>713</v>
      </c>
      <c r="BH172" s="1880">
        <v>1.5972222222222224E-2</v>
      </c>
      <c r="BI172" s="1881" t="s">
        <v>742</v>
      </c>
      <c r="BJ172" s="1882">
        <v>223994</v>
      </c>
      <c r="BK172" s="1882">
        <v>0.97399999999999998</v>
      </c>
      <c r="BL172" s="1619">
        <f t="shared" si="49"/>
        <v>44725</v>
      </c>
      <c r="BM172" s="1856">
        <f t="shared" si="59"/>
        <v>1.5972222222222224E-2</v>
      </c>
      <c r="BN172" s="934">
        <f t="shared" si="50"/>
        <v>29.4</v>
      </c>
    </row>
    <row r="173" spans="1:66" ht="14.5">
      <c r="A173" s="1">
        <f t="shared" si="57"/>
        <v>44726</v>
      </c>
      <c r="B173" s="932">
        <f t="shared" si="51"/>
        <v>44726.215277777781</v>
      </c>
      <c r="C173" s="932">
        <f t="shared" si="52"/>
        <v>44726.26458333333</v>
      </c>
      <c r="D173" s="932">
        <f t="shared" si="53"/>
        <v>44726.879861111112</v>
      </c>
      <c r="E173" s="932">
        <f t="shared" si="54"/>
        <v>44726.929166666661</v>
      </c>
      <c r="F173" s="932">
        <f t="shared" si="55"/>
        <v>44726.913194444445</v>
      </c>
      <c r="G173" s="932">
        <f t="shared" si="56"/>
        <v>44726.256944444445</v>
      </c>
      <c r="H173" s="2">
        <f t="shared" si="58"/>
        <v>100</v>
      </c>
      <c r="I173" s="2">
        <v>75.396230444197812</v>
      </c>
      <c r="J173" s="1317">
        <v>23.296062675079799</v>
      </c>
      <c r="AP173" s="1855">
        <f t="shared" si="66"/>
        <v>44578</v>
      </c>
      <c r="AQ173" s="925" t="str">
        <f t="shared" si="67"/>
        <v/>
      </c>
      <c r="AR173" s="1856" t="str">
        <f t="shared" si="68"/>
        <v/>
      </c>
      <c r="AS173" s="927" t="s">
        <v>252</v>
      </c>
      <c r="AT173" s="1856" t="str">
        <f t="shared" si="60"/>
        <v/>
      </c>
      <c r="AU173" s="1856" t="str">
        <f t="shared" si="61"/>
        <v/>
      </c>
      <c r="AV173" s="1856" t="str">
        <f t="shared" si="62"/>
        <v/>
      </c>
      <c r="AW173" s="1856" t="str">
        <f t="shared" si="63"/>
        <v/>
      </c>
      <c r="AX173" s="1856" t="str">
        <f t="shared" si="64"/>
        <v/>
      </c>
      <c r="AY173" s="1856" t="str">
        <f t="shared" si="65"/>
        <v/>
      </c>
      <c r="BB173" s="1879" t="s">
        <v>1060</v>
      </c>
      <c r="BC173" s="1879" t="s">
        <v>241</v>
      </c>
      <c r="BD173" s="1880">
        <v>0.25625000000000003</v>
      </c>
      <c r="BE173" s="1879" t="s">
        <v>563</v>
      </c>
      <c r="BF173" s="1880">
        <v>0.91249999999999998</v>
      </c>
      <c r="BG173" s="1879" t="s">
        <v>882</v>
      </c>
      <c r="BH173" s="1880">
        <v>5.9722222222222225E-2</v>
      </c>
      <c r="BI173" s="1879" t="s">
        <v>1061</v>
      </c>
      <c r="BJ173" s="1881">
        <v>222435</v>
      </c>
      <c r="BK173" s="1882">
        <v>0.998</v>
      </c>
      <c r="BL173" s="1619">
        <f t="shared" si="49"/>
        <v>44726</v>
      </c>
      <c r="BM173" s="1856">
        <f t="shared" si="59"/>
        <v>5.9722222222222225E-2</v>
      </c>
      <c r="BN173" s="934">
        <f t="shared" si="50"/>
        <v>25.8</v>
      </c>
    </row>
    <row r="174" spans="1:66" ht="14.5">
      <c r="A174" s="1">
        <f t="shared" si="57"/>
        <v>44727</v>
      </c>
      <c r="B174" s="932">
        <f t="shared" si="51"/>
        <v>44727.215277777781</v>
      </c>
      <c r="C174" s="932">
        <f t="shared" si="52"/>
        <v>44727.26458333333</v>
      </c>
      <c r="D174" s="932">
        <f t="shared" si="53"/>
        <v>44727.879861111112</v>
      </c>
      <c r="E174" s="932">
        <f t="shared" si="54"/>
        <v>44727.929166666661</v>
      </c>
      <c r="F174" s="932">
        <f t="shared" si="55"/>
        <v>44727.958333333336</v>
      </c>
      <c r="G174" s="932">
        <f t="shared" si="56"/>
        <v>44727.300694444442</v>
      </c>
      <c r="H174" s="2">
        <f t="shared" si="58"/>
        <v>99</v>
      </c>
      <c r="I174" s="2">
        <v>75.437862771226094</v>
      </c>
      <c r="J174" s="1317">
        <v>23.336711206708785</v>
      </c>
      <c r="AP174" s="1855">
        <f t="shared" si="66"/>
        <v>44578</v>
      </c>
      <c r="AQ174" s="925" t="str">
        <f t="shared" si="67"/>
        <v/>
      </c>
      <c r="AR174" s="1856" t="str">
        <f t="shared" si="68"/>
        <v/>
      </c>
      <c r="AT174" s="1856" t="str">
        <f t="shared" si="60"/>
        <v/>
      </c>
      <c r="AU174" s="1856" t="str">
        <f t="shared" si="61"/>
        <v/>
      </c>
      <c r="AV174" s="1856" t="str">
        <f t="shared" si="62"/>
        <v/>
      </c>
      <c r="AW174" s="1856" t="str">
        <f t="shared" si="63"/>
        <v/>
      </c>
      <c r="AX174" s="1856" t="str">
        <f t="shared" si="64"/>
        <v/>
      </c>
      <c r="AY174" s="1856" t="str">
        <f t="shared" si="65"/>
        <v/>
      </c>
      <c r="BB174" s="1879">
        <v>15</v>
      </c>
      <c r="BC174" s="1879" t="s">
        <v>241</v>
      </c>
      <c r="BD174" s="1880">
        <v>0.29930555555555555</v>
      </c>
      <c r="BE174" s="1879" t="s">
        <v>936</v>
      </c>
      <c r="BF174" s="1880">
        <v>0.95833333333333337</v>
      </c>
      <c r="BG174" s="1879" t="s">
        <v>882</v>
      </c>
      <c r="BH174" s="1880">
        <v>0.10625</v>
      </c>
      <c r="BI174" s="1879" t="s">
        <v>1062</v>
      </c>
      <c r="BJ174" s="1881">
        <v>222152</v>
      </c>
      <c r="BK174" s="1882">
        <v>0.99</v>
      </c>
      <c r="BL174" s="1619">
        <f t="shared" si="49"/>
        <v>44727</v>
      </c>
      <c r="BM174" s="1856">
        <f t="shared" si="59"/>
        <v>0.10625</v>
      </c>
      <c r="BN174" s="934">
        <f t="shared" si="50"/>
        <v>24.3</v>
      </c>
    </row>
    <row r="175" spans="1:66" ht="14.5">
      <c r="A175" s="1">
        <f t="shared" si="57"/>
        <v>44728</v>
      </c>
      <c r="B175" s="932">
        <f t="shared" si="51"/>
        <v>44728.215277777781</v>
      </c>
      <c r="C175" s="932">
        <f t="shared" si="52"/>
        <v>44728.26458333333</v>
      </c>
      <c r="D175" s="932">
        <f t="shared" si="53"/>
        <v>44728.880555555559</v>
      </c>
      <c r="E175" s="932">
        <f t="shared" si="54"/>
        <v>44728.929861111108</v>
      </c>
      <c r="F175" s="932">
        <f t="shared" si="55"/>
        <v>44728.995833333334</v>
      </c>
      <c r="G175" s="932">
        <f t="shared" si="56"/>
        <v>44728.350000000006</v>
      </c>
      <c r="H175" s="2">
        <f t="shared" si="58"/>
        <v>95</v>
      </c>
      <c r="I175" s="2">
        <v>75.472500583720631</v>
      </c>
      <c r="J175" s="1317">
        <v>23.370495320615358</v>
      </c>
      <c r="AP175" s="1855">
        <f t="shared" si="66"/>
        <v>44578</v>
      </c>
      <c r="AQ175" s="925" t="str">
        <f t="shared" si="67"/>
        <v>BMNT</v>
      </c>
      <c r="AR175" s="1856">
        <f t="shared" si="68"/>
        <v>44578.289583333331</v>
      </c>
      <c r="AS175" s="927" t="s">
        <v>756</v>
      </c>
      <c r="AT175" s="1856" t="str">
        <f t="shared" si="60"/>
        <v/>
      </c>
      <c r="AU175" s="1856" t="str">
        <f t="shared" si="61"/>
        <v/>
      </c>
      <c r="AV175" s="1856" t="str">
        <f t="shared" si="62"/>
        <v/>
      </c>
      <c r="AW175" s="1856" t="str">
        <f t="shared" si="63"/>
        <v/>
      </c>
      <c r="AX175" s="1856" t="str">
        <f t="shared" si="64"/>
        <v/>
      </c>
      <c r="AY175" s="1856" t="str">
        <f t="shared" si="65"/>
        <v/>
      </c>
      <c r="BB175" s="1879">
        <v>16</v>
      </c>
      <c r="BC175" s="1879" t="s">
        <v>241</v>
      </c>
      <c r="BD175" s="1880">
        <v>0.34930555555555554</v>
      </c>
      <c r="BE175" s="1879" t="s">
        <v>563</v>
      </c>
      <c r="BF175" s="1880">
        <v>0.99583333333333324</v>
      </c>
      <c r="BG175" s="1879" t="s">
        <v>794</v>
      </c>
      <c r="BH175" s="1880">
        <v>0.15277777777777776</v>
      </c>
      <c r="BI175" s="1879" t="s">
        <v>799</v>
      </c>
      <c r="BJ175" s="1881">
        <v>223160</v>
      </c>
      <c r="BK175" s="1882">
        <v>0.94799999999999995</v>
      </c>
      <c r="BL175" s="1619">
        <f t="shared" si="49"/>
        <v>44728</v>
      </c>
      <c r="BM175" s="1856">
        <f t="shared" si="59"/>
        <v>0.15277777777777776</v>
      </c>
      <c r="BN175" s="934">
        <f t="shared" si="50"/>
        <v>25</v>
      </c>
    </row>
    <row r="176" spans="1:66" ht="14.5">
      <c r="A176" s="1">
        <f t="shared" si="57"/>
        <v>44729</v>
      </c>
      <c r="B176" s="932">
        <f t="shared" si="51"/>
        <v>44729.215277777781</v>
      </c>
      <c r="C176" s="932">
        <f t="shared" si="52"/>
        <v>44729.26458333333</v>
      </c>
      <c r="D176" s="932">
        <f t="shared" si="53"/>
        <v>44729.880555555559</v>
      </c>
      <c r="E176" s="932">
        <f t="shared" si="54"/>
        <v>44729.929861111108</v>
      </c>
      <c r="F176" s="932" t="str">
        <f t="shared" si="55"/>
        <v>NONE</v>
      </c>
      <c r="G176" s="932">
        <f t="shared" si="56"/>
        <v>44729.402083333334</v>
      </c>
      <c r="H176" s="2">
        <f t="shared" si="58"/>
        <v>89</v>
      </c>
      <c r="I176" s="2">
        <v>75.500126881814381</v>
      </c>
      <c r="J176" s="1317">
        <v>23.397404300439771</v>
      </c>
      <c r="AP176" s="1855">
        <f t="shared" si="66"/>
        <v>44578</v>
      </c>
      <c r="AQ176" s="925" t="str">
        <f t="shared" si="67"/>
        <v>SR</v>
      </c>
      <c r="AR176" s="1856">
        <f t="shared" si="68"/>
        <v>44578.331944444442</v>
      </c>
      <c r="AS176" s="927" t="s">
        <v>1043</v>
      </c>
      <c r="AT176" s="1856" t="str">
        <f t="shared" si="60"/>
        <v/>
      </c>
      <c r="AU176" s="1856" t="str">
        <f t="shared" si="61"/>
        <v/>
      </c>
      <c r="AV176" s="1856" t="str">
        <f t="shared" si="62"/>
        <v/>
      </c>
      <c r="AW176" s="1856" t="str">
        <f t="shared" si="63"/>
        <v/>
      </c>
      <c r="AX176" s="1856" t="str">
        <f t="shared" si="64"/>
        <v/>
      </c>
      <c r="AY176" s="1856" t="str">
        <f t="shared" si="65"/>
        <v/>
      </c>
      <c r="BB176" s="1879">
        <v>17</v>
      </c>
      <c r="BC176" s="1879" t="s">
        <v>241</v>
      </c>
      <c r="BD176" s="1880">
        <v>0.40138888888888885</v>
      </c>
      <c r="BE176" s="1879" t="s">
        <v>712</v>
      </c>
      <c r="BF176" s="1880" t="s">
        <v>241</v>
      </c>
      <c r="BG176" s="1880">
        <v>0.19652777777777777</v>
      </c>
      <c r="BH176" s="1880" t="s">
        <v>1063</v>
      </c>
      <c r="BI176" s="1881">
        <v>225303</v>
      </c>
      <c r="BJ176" s="1881">
        <v>0.878</v>
      </c>
      <c r="BK176" s="1882"/>
      <c r="BL176" s="1619">
        <f t="shared" si="49"/>
        <v>44729</v>
      </c>
      <c r="BM176" s="1856">
        <f t="shared" si="59"/>
        <v>0.19652777777777777</v>
      </c>
      <c r="BN176" s="934">
        <f t="shared" si="50"/>
        <v>27.8</v>
      </c>
    </row>
    <row r="177" spans="1:66" ht="14.5">
      <c r="A177" s="1">
        <f t="shared" si="57"/>
        <v>44730</v>
      </c>
      <c r="B177" s="932">
        <f t="shared" si="51"/>
        <v>44730.215972222228</v>
      </c>
      <c r="C177" s="932">
        <f t="shared" si="52"/>
        <v>44730.26458333333</v>
      </c>
      <c r="D177" s="932">
        <f t="shared" si="53"/>
        <v>44730.881249999999</v>
      </c>
      <c r="E177" s="932">
        <f t="shared" si="54"/>
        <v>44730.929861111108</v>
      </c>
      <c r="F177" s="932">
        <f t="shared" si="55"/>
        <v>44730.026388888888</v>
      </c>
      <c r="G177" s="932">
        <f t="shared" si="56"/>
        <v>44730.454166666663</v>
      </c>
      <c r="H177" s="2">
        <f t="shared" si="58"/>
        <v>81</v>
      </c>
      <c r="I177" s="2">
        <v>75.52072871427535</v>
      </c>
      <c r="J177" s="1317">
        <v>23.4174301495298</v>
      </c>
      <c r="AP177" s="1855">
        <f t="shared" si="66"/>
        <v>44578</v>
      </c>
      <c r="AQ177" s="925" t="str">
        <f t="shared" si="67"/>
        <v>MS</v>
      </c>
      <c r="AR177" s="1856">
        <f t="shared" si="68"/>
        <v>44578.335416666669</v>
      </c>
      <c r="AS177" s="927" t="s">
        <v>1064</v>
      </c>
      <c r="AT177" s="1856" t="str">
        <f t="shared" si="60"/>
        <v/>
      </c>
      <c r="AU177" s="1856" t="str">
        <f t="shared" si="61"/>
        <v/>
      </c>
      <c r="AV177" s="1856" t="str">
        <f t="shared" si="62"/>
        <v/>
      </c>
      <c r="AW177" s="1856" t="str">
        <f t="shared" si="63"/>
        <v/>
      </c>
      <c r="AX177" s="1856" t="str">
        <f t="shared" si="64"/>
        <v/>
      </c>
      <c r="AY177" s="1856" t="str">
        <f t="shared" si="65"/>
        <v/>
      </c>
      <c r="BB177" s="1879">
        <v>18</v>
      </c>
      <c r="BC177" s="1880">
        <v>2.5694444444444447E-2</v>
      </c>
      <c r="BD177" s="1880" t="s">
        <v>786</v>
      </c>
      <c r="BE177" s="1880">
        <v>0.45416666666666666</v>
      </c>
      <c r="BF177" s="1880" t="s">
        <v>779</v>
      </c>
      <c r="BG177" s="1879" t="s">
        <v>241</v>
      </c>
      <c r="BH177" s="1880">
        <v>0.23750000000000002</v>
      </c>
      <c r="BI177" s="1879" t="s">
        <v>1065</v>
      </c>
      <c r="BJ177" s="1881">
        <v>228302</v>
      </c>
      <c r="BK177" s="1882">
        <v>0.78700000000000003</v>
      </c>
      <c r="BL177" s="1619">
        <f t="shared" si="49"/>
        <v>44730</v>
      </c>
      <c r="BM177" s="1856">
        <f t="shared" si="59"/>
        <v>0.23750000000000002</v>
      </c>
      <c r="BN177" s="934">
        <f t="shared" si="50"/>
        <v>32.200000000000003</v>
      </c>
    </row>
    <row r="178" spans="1:66" ht="14.5">
      <c r="A178" s="1">
        <f t="shared" si="57"/>
        <v>44731</v>
      </c>
      <c r="B178" s="932">
        <f t="shared" si="51"/>
        <v>44731.215972222228</v>
      </c>
      <c r="C178" s="932">
        <f t="shared" si="52"/>
        <v>44731.26458333333</v>
      </c>
      <c r="D178" s="932">
        <f t="shared" si="53"/>
        <v>44731.881249999999</v>
      </c>
      <c r="E178" s="932">
        <f t="shared" si="54"/>
        <v>44731.930555555555</v>
      </c>
      <c r="F178" s="932">
        <f t="shared" si="55"/>
        <v>44731.050694444442</v>
      </c>
      <c r="G178" s="932">
        <f t="shared" si="56"/>
        <v>44731.504166666666</v>
      </c>
      <c r="H178" s="2">
        <f t="shared" si="58"/>
        <v>71</v>
      </c>
      <c r="I178" s="2">
        <v>75.534297245014031</v>
      </c>
      <c r="J178" s="1317">
        <v>23.430567600632425</v>
      </c>
      <c r="AP178" s="1855">
        <f t="shared" si="66"/>
        <v>44578</v>
      </c>
      <c r="AQ178" s="925" t="str">
        <f t="shared" si="67"/>
        <v>MR</v>
      </c>
      <c r="AR178" s="1856">
        <f t="shared" si="68"/>
        <v>44578.729861111111</v>
      </c>
      <c r="AS178" s="927" t="s">
        <v>1066</v>
      </c>
      <c r="AT178" s="1856" t="str">
        <f t="shared" si="60"/>
        <v/>
      </c>
      <c r="AU178" s="1856" t="str">
        <f t="shared" si="61"/>
        <v/>
      </c>
      <c r="AV178" s="1856" t="str">
        <f t="shared" si="62"/>
        <v/>
      </c>
      <c r="AW178" s="1856" t="str">
        <f t="shared" si="63"/>
        <v/>
      </c>
      <c r="AX178" s="1856" t="str">
        <f t="shared" si="64"/>
        <v/>
      </c>
      <c r="AY178" s="1856" t="str">
        <f t="shared" si="65"/>
        <v/>
      </c>
      <c r="BB178" s="1879">
        <v>19</v>
      </c>
      <c r="BC178" s="1880">
        <v>4.9999999999999996E-2</v>
      </c>
      <c r="BD178" s="1880" t="s">
        <v>940</v>
      </c>
      <c r="BE178" s="1880">
        <v>0.50347222222222221</v>
      </c>
      <c r="BF178" s="1880" t="s">
        <v>769</v>
      </c>
      <c r="BG178" s="1879" t="s">
        <v>241</v>
      </c>
      <c r="BH178" s="1880">
        <v>0.27430555555555552</v>
      </c>
      <c r="BI178" s="1879" t="s">
        <v>1067</v>
      </c>
      <c r="BJ178" s="1881">
        <v>231821</v>
      </c>
      <c r="BK178" s="1882">
        <v>0.68300000000000005</v>
      </c>
      <c r="BL178" s="1619">
        <f t="shared" si="49"/>
        <v>44731</v>
      </c>
      <c r="BM178" s="1856">
        <f t="shared" si="59"/>
        <v>0.27430555555555552</v>
      </c>
      <c r="BN178" s="934">
        <f t="shared" si="50"/>
        <v>37.700000000000003</v>
      </c>
    </row>
    <row r="179" spans="1:66" ht="14.5">
      <c r="A179" s="1">
        <f t="shared" si="57"/>
        <v>44732</v>
      </c>
      <c r="B179" s="932">
        <f t="shared" si="51"/>
        <v>44732.215972222228</v>
      </c>
      <c r="C179" s="932">
        <f t="shared" si="52"/>
        <v>44732.265277777777</v>
      </c>
      <c r="D179" s="932">
        <f t="shared" si="53"/>
        <v>44732.881249999999</v>
      </c>
      <c r="E179" s="932">
        <f t="shared" si="54"/>
        <v>44732.930555555555</v>
      </c>
      <c r="F179" s="932">
        <f t="shared" si="55"/>
        <v>44732.071527777778</v>
      </c>
      <c r="G179" s="932">
        <f t="shared" si="56"/>
        <v>44732.551388888889</v>
      </c>
      <c r="H179" s="2">
        <f t="shared" si="58"/>
        <v>60</v>
      </c>
      <c r="I179" s="2">
        <v>75.540827799601658</v>
      </c>
      <c r="J179" s="1317">
        <v>23.436814121899381</v>
      </c>
      <c r="AP179" s="1855">
        <f t="shared" si="66"/>
        <v>44578</v>
      </c>
      <c r="AQ179" s="925" t="str">
        <f t="shared" si="67"/>
        <v>SS</v>
      </c>
      <c r="AR179" s="1856">
        <f t="shared" si="68"/>
        <v>44578.743055555555</v>
      </c>
      <c r="AS179" s="927" t="s">
        <v>1068</v>
      </c>
      <c r="AT179" s="1856" t="str">
        <f t="shared" si="60"/>
        <v/>
      </c>
      <c r="AU179" s="1856" t="str">
        <f t="shared" si="61"/>
        <v/>
      </c>
      <c r="AV179" s="1856" t="str">
        <f t="shared" si="62"/>
        <v/>
      </c>
      <c r="AW179" s="1856" t="str">
        <f t="shared" si="63"/>
        <v/>
      </c>
      <c r="AX179" s="1856" t="str">
        <f t="shared" si="64"/>
        <v/>
      </c>
      <c r="AY179" s="1856" t="str">
        <f t="shared" si="65"/>
        <v/>
      </c>
      <c r="BB179" s="1879" t="s">
        <v>1069</v>
      </c>
      <c r="BC179" s="1880">
        <v>7.0833333333333331E-2</v>
      </c>
      <c r="BD179" s="1880" t="s">
        <v>768</v>
      </c>
      <c r="BE179" s="1880">
        <v>0.55069444444444449</v>
      </c>
      <c r="BF179" s="1880" t="s">
        <v>757</v>
      </c>
      <c r="BG179" s="1879" t="s">
        <v>241</v>
      </c>
      <c r="BH179" s="1880">
        <v>0.30763888888888891</v>
      </c>
      <c r="BI179" s="1879" t="s">
        <v>772</v>
      </c>
      <c r="BJ179" s="1881">
        <v>235535</v>
      </c>
      <c r="BK179" s="1882">
        <v>0.57199999999999995</v>
      </c>
      <c r="BL179" s="1619">
        <f t="shared" si="49"/>
        <v>44732</v>
      </c>
      <c r="BM179" s="1856">
        <f t="shared" si="59"/>
        <v>0.30763888888888891</v>
      </c>
      <c r="BN179" s="934">
        <f t="shared" si="50"/>
        <v>43.7</v>
      </c>
    </row>
    <row r="180" spans="1:66" ht="14.5">
      <c r="A180" s="1">
        <f t="shared" si="57"/>
        <v>44733</v>
      </c>
      <c r="B180" s="932">
        <f t="shared" si="51"/>
        <v>44733.215972222228</v>
      </c>
      <c r="C180" s="932">
        <f t="shared" si="52"/>
        <v>44733.265277777777</v>
      </c>
      <c r="D180" s="932">
        <f t="shared" si="53"/>
        <v>44733.881249999999</v>
      </c>
      <c r="E180" s="932">
        <f t="shared" si="54"/>
        <v>44733.930555555555</v>
      </c>
      <c r="F180" s="932">
        <f t="shared" si="55"/>
        <v>44733.089583333334</v>
      </c>
      <c r="G180" s="932">
        <f t="shared" si="56"/>
        <v>44733.59652777778</v>
      </c>
      <c r="H180" s="2">
        <f t="shared" si="58"/>
        <v>49</v>
      </c>
      <c r="I180" s="2">
        <v>75.540319891051908</v>
      </c>
      <c r="J180" s="1317">
        <v>23.436169919177324</v>
      </c>
      <c r="AP180" s="1855">
        <f t="shared" si="66"/>
        <v>44578</v>
      </c>
      <c r="AQ180" s="925" t="str">
        <f t="shared" si="67"/>
        <v>EENT</v>
      </c>
      <c r="AR180" s="1856">
        <f t="shared" si="68"/>
        <v>44578.785416666666</v>
      </c>
      <c r="AS180" s="927" t="s">
        <v>1070</v>
      </c>
      <c r="AT180" s="1856" t="str">
        <f t="shared" si="60"/>
        <v/>
      </c>
      <c r="AU180" s="1856" t="str">
        <f t="shared" si="61"/>
        <v/>
      </c>
      <c r="AV180" s="1856" t="str">
        <f t="shared" si="62"/>
        <v/>
      </c>
      <c r="AW180" s="1856" t="str">
        <f t="shared" si="63"/>
        <v/>
      </c>
      <c r="AX180" s="1856" t="str">
        <f t="shared" si="64"/>
        <v/>
      </c>
      <c r="AY180" s="1856" t="str">
        <f t="shared" si="65"/>
        <v/>
      </c>
      <c r="BB180" s="1879">
        <v>21</v>
      </c>
      <c r="BC180" s="1880">
        <v>8.8888888888888892E-2</v>
      </c>
      <c r="BD180" s="1880" t="s">
        <v>945</v>
      </c>
      <c r="BE180" s="1880">
        <v>0.59583333333333333</v>
      </c>
      <c r="BF180" s="1880" t="s">
        <v>946</v>
      </c>
      <c r="BG180" s="1879" t="s">
        <v>241</v>
      </c>
      <c r="BH180" s="1880">
        <v>0.33888888888888885</v>
      </c>
      <c r="BI180" s="1879" t="s">
        <v>1071</v>
      </c>
      <c r="BJ180" s="1881">
        <v>239169</v>
      </c>
      <c r="BK180" s="1882">
        <v>0.46200000000000002</v>
      </c>
      <c r="BL180" s="1619">
        <f t="shared" si="49"/>
        <v>44733</v>
      </c>
      <c r="BM180" s="1856">
        <f t="shared" si="59"/>
        <v>0.33888888888888885</v>
      </c>
      <c r="BN180" s="934">
        <f t="shared" si="50"/>
        <v>49.9</v>
      </c>
    </row>
    <row r="181" spans="1:66" ht="14.5">
      <c r="A181" s="1">
        <f t="shared" si="57"/>
        <v>44734</v>
      </c>
      <c r="B181" s="932">
        <f t="shared" si="51"/>
        <v>44734.215972222228</v>
      </c>
      <c r="C181" s="932">
        <f t="shared" si="52"/>
        <v>44734.265277777777</v>
      </c>
      <c r="D181" s="932">
        <f t="shared" si="53"/>
        <v>44734.881944444445</v>
      </c>
      <c r="E181" s="932">
        <f t="shared" si="54"/>
        <v>44734.930555555555</v>
      </c>
      <c r="F181" s="932">
        <f t="shared" si="55"/>
        <v>44734.106250000004</v>
      </c>
      <c r="G181" s="932">
        <f t="shared" si="56"/>
        <v>44734.63958333333</v>
      </c>
      <c r="H181" s="2">
        <f t="shared" si="58"/>
        <v>39</v>
      </c>
      <c r="I181" s="2">
        <v>75.532777224422105</v>
      </c>
      <c r="J181" s="1317">
        <v>23.428637934568432</v>
      </c>
      <c r="AP181" s="1855">
        <f t="shared" si="66"/>
        <v>44579</v>
      </c>
      <c r="AQ181" s="925" t="str">
        <f t="shared" si="67"/>
        <v/>
      </c>
      <c r="AR181" s="1856" t="str">
        <f t="shared" si="68"/>
        <v/>
      </c>
      <c r="AS181" s="927">
        <v>18</v>
      </c>
      <c r="AT181" s="1856">
        <f t="shared" si="60"/>
        <v>44579.289583333331</v>
      </c>
      <c r="AU181" s="1856">
        <f t="shared" si="61"/>
        <v>44579.331249999996</v>
      </c>
      <c r="AV181" s="1856">
        <f t="shared" si="62"/>
        <v>44579.743750000001</v>
      </c>
      <c r="AW181" s="1856">
        <f t="shared" si="63"/>
        <v>44579.786111111112</v>
      </c>
      <c r="AX181" s="1856">
        <f t="shared" si="64"/>
        <v>44579.772222222222</v>
      </c>
      <c r="AY181" s="1856">
        <f t="shared" si="65"/>
        <v>44579.364583333336</v>
      </c>
      <c r="AZ181" s="1853">
        <v>1</v>
      </c>
      <c r="BB181" s="1879">
        <v>22</v>
      </c>
      <c r="BC181" s="1880">
        <v>0.10555555555555556</v>
      </c>
      <c r="BD181" s="1880" t="s">
        <v>969</v>
      </c>
      <c r="BE181" s="1880">
        <v>0.63888888888888895</v>
      </c>
      <c r="BF181" s="1880" t="s">
        <v>740</v>
      </c>
      <c r="BG181" s="1879" t="s">
        <v>241</v>
      </c>
      <c r="BH181" s="1880">
        <v>0.36874999999999997</v>
      </c>
      <c r="BI181" s="1879" t="s">
        <v>949</v>
      </c>
      <c r="BJ181" s="1881">
        <v>242516</v>
      </c>
      <c r="BK181" s="1882">
        <v>0.35699999999999998</v>
      </c>
      <c r="BL181" s="1619">
        <f t="shared" si="49"/>
        <v>44734</v>
      </c>
      <c r="BM181" s="1856">
        <f t="shared" si="59"/>
        <v>0.36874999999999997</v>
      </c>
      <c r="BN181" s="934">
        <f t="shared" si="50"/>
        <v>55.9</v>
      </c>
    </row>
    <row r="182" spans="1:66" ht="14.5">
      <c r="A182" s="1">
        <f t="shared" si="57"/>
        <v>44735</v>
      </c>
      <c r="B182" s="932">
        <f t="shared" si="51"/>
        <v>44735.215972222228</v>
      </c>
      <c r="C182" s="932">
        <f t="shared" si="52"/>
        <v>44735.265277777777</v>
      </c>
      <c r="D182" s="932">
        <f t="shared" si="53"/>
        <v>44735.881944444445</v>
      </c>
      <c r="E182" s="932">
        <f t="shared" si="54"/>
        <v>44735.931249999994</v>
      </c>
      <c r="F182" s="932">
        <f t="shared" si="55"/>
        <v>44735.122916666667</v>
      </c>
      <c r="G182" s="932">
        <f t="shared" si="56"/>
        <v>44735.682638888888</v>
      </c>
      <c r="H182" s="2">
        <f t="shared" si="58"/>
        <v>28.999999999999996</v>
      </c>
      <c r="I182" s="2">
        <v>75.51820768010414</v>
      </c>
      <c r="J182" s="1317">
        <v>23.414223841262345</v>
      </c>
      <c r="AP182" s="1855">
        <f t="shared" si="66"/>
        <v>44579</v>
      </c>
      <c r="AQ182" s="925" t="str">
        <f t="shared" si="67"/>
        <v/>
      </c>
      <c r="AR182" s="1856" t="str">
        <f t="shared" si="68"/>
        <v/>
      </c>
      <c r="AS182" s="927" t="s">
        <v>252</v>
      </c>
      <c r="AT182" s="1856" t="str">
        <f t="shared" si="60"/>
        <v/>
      </c>
      <c r="AU182" s="1856" t="str">
        <f t="shared" si="61"/>
        <v/>
      </c>
      <c r="AV182" s="1856" t="str">
        <f t="shared" si="62"/>
        <v/>
      </c>
      <c r="AW182" s="1856" t="str">
        <f t="shared" si="63"/>
        <v/>
      </c>
      <c r="AX182" s="1856" t="str">
        <f t="shared" si="64"/>
        <v/>
      </c>
      <c r="AY182" s="1856" t="str">
        <f t="shared" si="65"/>
        <v/>
      </c>
      <c r="BB182" s="1879">
        <v>23</v>
      </c>
      <c r="BC182" s="1880">
        <v>0.12222222222222223</v>
      </c>
      <c r="BD182" s="1880" t="s">
        <v>566</v>
      </c>
      <c r="BE182" s="1880">
        <v>0.68194444444444446</v>
      </c>
      <c r="BF182" s="1880" t="s">
        <v>950</v>
      </c>
      <c r="BG182" s="1879" t="s">
        <v>241</v>
      </c>
      <c r="BH182" s="1880">
        <v>0.39861111111111108</v>
      </c>
      <c r="BI182" s="1879" t="s">
        <v>951</v>
      </c>
      <c r="BJ182" s="1881">
        <v>245442</v>
      </c>
      <c r="BK182" s="1882">
        <v>0.26100000000000001</v>
      </c>
      <c r="BL182" s="1619">
        <f t="shared" si="49"/>
        <v>44735</v>
      </c>
      <c r="BM182" s="1856">
        <f t="shared" si="59"/>
        <v>0.39861111111111108</v>
      </c>
      <c r="BN182" s="934">
        <f t="shared" si="50"/>
        <v>61.7</v>
      </c>
    </row>
    <row r="183" spans="1:66" ht="14.5">
      <c r="A183" s="1">
        <f t="shared" si="57"/>
        <v>44736</v>
      </c>
      <c r="B183" s="932">
        <f t="shared" si="51"/>
        <v>44736.216666666667</v>
      </c>
      <c r="C183" s="932">
        <f t="shared" si="52"/>
        <v>44736.265972222223</v>
      </c>
      <c r="D183" s="932">
        <f t="shared" si="53"/>
        <v>44736.881944444445</v>
      </c>
      <c r="E183" s="932">
        <f t="shared" si="54"/>
        <v>44736.931249999994</v>
      </c>
      <c r="F183" s="932">
        <f t="shared" si="55"/>
        <v>44736.140972222223</v>
      </c>
      <c r="G183" s="932">
        <f t="shared" si="56"/>
        <v>44736.725000000006</v>
      </c>
      <c r="H183" s="2">
        <f t="shared" si="58"/>
        <v>21</v>
      </c>
      <c r="I183" s="2">
        <v>75.496623275994565</v>
      </c>
      <c r="J183" s="1317">
        <v>23.392936034654657</v>
      </c>
      <c r="AP183" s="1855">
        <f t="shared" si="66"/>
        <v>44579</v>
      </c>
      <c r="AQ183" s="925" t="str">
        <f t="shared" si="67"/>
        <v/>
      </c>
      <c r="AR183" s="1856" t="str">
        <f t="shared" si="68"/>
        <v/>
      </c>
      <c r="AT183" s="1856" t="str">
        <f t="shared" si="60"/>
        <v/>
      </c>
      <c r="AU183" s="1856" t="str">
        <f t="shared" si="61"/>
        <v/>
      </c>
      <c r="AV183" s="1856" t="str">
        <f t="shared" si="62"/>
        <v/>
      </c>
      <c r="AW183" s="1856" t="str">
        <f t="shared" si="63"/>
        <v/>
      </c>
      <c r="AX183" s="1856" t="str">
        <f t="shared" si="64"/>
        <v/>
      </c>
      <c r="AY183" s="1856" t="str">
        <f t="shared" si="65"/>
        <v/>
      </c>
      <c r="BB183" s="1879">
        <v>24</v>
      </c>
      <c r="BC183" s="1880">
        <v>0.14027777777777778</v>
      </c>
      <c r="BD183" s="1880" t="s">
        <v>574</v>
      </c>
      <c r="BE183" s="1880">
        <v>0.72430555555555554</v>
      </c>
      <c r="BF183" s="1880" t="s">
        <v>952</v>
      </c>
      <c r="BG183" s="1879" t="s">
        <v>241</v>
      </c>
      <c r="BH183" s="1880">
        <v>0.4291666666666667</v>
      </c>
      <c r="BI183" s="1879" t="s">
        <v>1072</v>
      </c>
      <c r="BJ183" s="1881">
        <v>247874</v>
      </c>
      <c r="BK183" s="1882">
        <v>0.17699999999999999</v>
      </c>
      <c r="BL183" s="1619">
        <f t="shared" si="49"/>
        <v>44736</v>
      </c>
      <c r="BM183" s="1856">
        <f t="shared" si="59"/>
        <v>0.4291666666666667</v>
      </c>
      <c r="BN183" s="934">
        <f t="shared" si="50"/>
        <v>66.900000000000006</v>
      </c>
    </row>
    <row r="184" spans="1:66" ht="14.5">
      <c r="A184" s="1">
        <f t="shared" si="57"/>
        <v>44737</v>
      </c>
      <c r="B184" s="932">
        <f t="shared" si="51"/>
        <v>44737.216666666667</v>
      </c>
      <c r="C184" s="932">
        <f t="shared" si="52"/>
        <v>44737.265972222223</v>
      </c>
      <c r="D184" s="932">
        <f t="shared" si="53"/>
        <v>44737.881944444445</v>
      </c>
      <c r="E184" s="932">
        <f t="shared" si="54"/>
        <v>44737.931249999994</v>
      </c>
      <c r="F184" s="932">
        <f t="shared" si="55"/>
        <v>44737.160416666666</v>
      </c>
      <c r="G184" s="932">
        <f t="shared" si="56"/>
        <v>44737.767361111109</v>
      </c>
      <c r="H184" s="2">
        <f t="shared" si="58"/>
        <v>13</v>
      </c>
      <c r="I184" s="2">
        <v>75.468040109044367</v>
      </c>
      <c r="J184" s="1317">
        <v>23.364785619782367</v>
      </c>
      <c r="AP184" s="1855">
        <f t="shared" si="66"/>
        <v>44579</v>
      </c>
      <c r="AQ184" s="925" t="str">
        <f t="shared" si="67"/>
        <v>BMNT</v>
      </c>
      <c r="AR184" s="1856">
        <f t="shared" si="68"/>
        <v>44579.289583333331</v>
      </c>
      <c r="AS184" s="927" t="s">
        <v>756</v>
      </c>
      <c r="AT184" s="1856" t="str">
        <f t="shared" si="60"/>
        <v/>
      </c>
      <c r="AU184" s="1856" t="str">
        <f t="shared" si="61"/>
        <v/>
      </c>
      <c r="AV184" s="1856" t="str">
        <f t="shared" si="62"/>
        <v/>
      </c>
      <c r="AW184" s="1856" t="str">
        <f t="shared" si="63"/>
        <v/>
      </c>
      <c r="AX184" s="1856" t="str">
        <f t="shared" si="64"/>
        <v/>
      </c>
      <c r="AY184" s="1856" t="str">
        <f t="shared" si="65"/>
        <v/>
      </c>
      <c r="BB184" s="1879">
        <v>25</v>
      </c>
      <c r="BC184" s="1880">
        <v>0.15972222222222224</v>
      </c>
      <c r="BD184" s="1880" t="s">
        <v>581</v>
      </c>
      <c r="BE184" s="1880">
        <v>0.76666666666666661</v>
      </c>
      <c r="BF184" s="1880" t="s">
        <v>667</v>
      </c>
      <c r="BG184" s="1879" t="s">
        <v>241</v>
      </c>
      <c r="BH184" s="1880">
        <v>0.4597222222222222</v>
      </c>
      <c r="BI184" s="1879" t="s">
        <v>1073</v>
      </c>
      <c r="BJ184" s="1881">
        <v>249791</v>
      </c>
      <c r="BK184" s="1882">
        <v>0.107</v>
      </c>
      <c r="BL184" s="1619">
        <f t="shared" si="49"/>
        <v>44737</v>
      </c>
      <c r="BM184" s="1856">
        <f t="shared" si="59"/>
        <v>0.4597222222222222</v>
      </c>
      <c r="BN184" s="934">
        <f t="shared" si="50"/>
        <v>71.400000000000006</v>
      </c>
    </row>
    <row r="185" spans="1:66" ht="14.5">
      <c r="A185" s="1">
        <f t="shared" si="57"/>
        <v>44738</v>
      </c>
      <c r="B185" s="932">
        <f t="shared" si="51"/>
        <v>44738.216666666667</v>
      </c>
      <c r="C185" s="932">
        <f t="shared" si="52"/>
        <v>44738.265972222223</v>
      </c>
      <c r="D185" s="932">
        <f t="shared" si="53"/>
        <v>44738.881944444445</v>
      </c>
      <c r="E185" s="932">
        <f t="shared" si="54"/>
        <v>44738.931249999994</v>
      </c>
      <c r="F185" s="932">
        <f t="shared" si="55"/>
        <v>44738.181944444441</v>
      </c>
      <c r="G185" s="932">
        <f t="shared" si="56"/>
        <v>44738.809027777774</v>
      </c>
      <c r="H185" s="2">
        <f t="shared" si="58"/>
        <v>8</v>
      </c>
      <c r="I185" s="2">
        <v>75.432478276994715</v>
      </c>
      <c r="J185" s="1317">
        <v>23.329786395121236</v>
      </c>
      <c r="AP185" s="1855">
        <f t="shared" si="66"/>
        <v>44579</v>
      </c>
      <c r="AQ185" s="925" t="str">
        <f t="shared" si="67"/>
        <v>SR</v>
      </c>
      <c r="AR185" s="1856">
        <f t="shared" si="68"/>
        <v>44579.331249999996</v>
      </c>
      <c r="AS185" s="927" t="s">
        <v>1074</v>
      </c>
      <c r="AT185" s="1856" t="str">
        <f t="shared" si="60"/>
        <v/>
      </c>
      <c r="AU185" s="1856" t="str">
        <f t="shared" si="61"/>
        <v/>
      </c>
      <c r="AV185" s="1856" t="str">
        <f t="shared" si="62"/>
        <v/>
      </c>
      <c r="AW185" s="1856" t="str">
        <f t="shared" si="63"/>
        <v/>
      </c>
      <c r="AX185" s="1856" t="str">
        <f t="shared" si="64"/>
        <v/>
      </c>
      <c r="AY185" s="1856" t="str">
        <f t="shared" si="65"/>
        <v/>
      </c>
      <c r="BB185" s="1879">
        <v>26</v>
      </c>
      <c r="BC185" s="1880">
        <v>0.18194444444444444</v>
      </c>
      <c r="BD185" s="1880" t="s">
        <v>634</v>
      </c>
      <c r="BE185" s="1880">
        <v>0.80902777777777779</v>
      </c>
      <c r="BF185" s="1880" t="s">
        <v>677</v>
      </c>
      <c r="BG185" s="1879" t="s">
        <v>241</v>
      </c>
      <c r="BH185" s="1880">
        <v>0.49236111111111108</v>
      </c>
      <c r="BI185" s="1879" t="s">
        <v>669</v>
      </c>
      <c r="BJ185" s="1881">
        <v>251199</v>
      </c>
      <c r="BK185" s="1882">
        <v>5.3999999999999999E-2</v>
      </c>
      <c r="BL185" s="1619">
        <f t="shared" si="49"/>
        <v>44738</v>
      </c>
      <c r="BM185" s="1856">
        <f t="shared" si="59"/>
        <v>0.49236111111111108</v>
      </c>
      <c r="BN185" s="934">
        <f t="shared" si="50"/>
        <v>75</v>
      </c>
    </row>
    <row r="186" spans="1:66" ht="14.5">
      <c r="A186" s="1">
        <f t="shared" si="57"/>
        <v>44739</v>
      </c>
      <c r="B186" s="932">
        <f t="shared" si="51"/>
        <v>44739.217361111114</v>
      </c>
      <c r="C186" s="932">
        <f t="shared" si="52"/>
        <v>44739.265972222223</v>
      </c>
      <c r="D186" s="932">
        <f t="shared" si="53"/>
        <v>44739.881944444445</v>
      </c>
      <c r="E186" s="932">
        <f t="shared" si="54"/>
        <v>44739.931249999994</v>
      </c>
      <c r="F186" s="932">
        <f t="shared" si="55"/>
        <v>44739.207638888889</v>
      </c>
      <c r="G186" s="932">
        <f t="shared" si="56"/>
        <v>44739.850000000006</v>
      </c>
      <c r="H186" s="2">
        <f t="shared" si="58"/>
        <v>3</v>
      </c>
      <c r="I186" s="2">
        <v>75.389961781383079</v>
      </c>
      <c r="J186" s="1317">
        <v>23.287954832803873</v>
      </c>
      <c r="AP186" s="1855">
        <f t="shared" si="66"/>
        <v>44579</v>
      </c>
      <c r="AQ186" s="925" t="str">
        <f t="shared" si="67"/>
        <v>MS</v>
      </c>
      <c r="AR186" s="1856">
        <f t="shared" si="68"/>
        <v>44579.364583333336</v>
      </c>
      <c r="AS186" s="927" t="s">
        <v>1075</v>
      </c>
      <c r="AT186" s="1856" t="str">
        <f t="shared" si="60"/>
        <v/>
      </c>
      <c r="AU186" s="1856" t="str">
        <f t="shared" si="61"/>
        <v/>
      </c>
      <c r="AV186" s="1856" t="str">
        <f t="shared" si="62"/>
        <v/>
      </c>
      <c r="AW186" s="1856" t="str">
        <f t="shared" si="63"/>
        <v/>
      </c>
      <c r="AX186" s="1856" t="str">
        <f t="shared" si="64"/>
        <v/>
      </c>
      <c r="AY186" s="1856" t="str">
        <f t="shared" si="65"/>
        <v/>
      </c>
      <c r="BB186" s="1879">
        <v>27</v>
      </c>
      <c r="BC186" s="1880">
        <v>0.2076388888888889</v>
      </c>
      <c r="BD186" s="1880" t="s">
        <v>624</v>
      </c>
      <c r="BE186" s="1880">
        <v>0.84930555555555554</v>
      </c>
      <c r="BF186" s="1879" t="s">
        <v>694</v>
      </c>
      <c r="BG186" s="1880" t="s">
        <v>241</v>
      </c>
      <c r="BH186" s="1880">
        <v>0.52638888888888891</v>
      </c>
      <c r="BI186" s="1881" t="s">
        <v>610</v>
      </c>
      <c r="BJ186" s="1882">
        <v>252121</v>
      </c>
      <c r="BK186" s="1882">
        <v>1.9E-2</v>
      </c>
      <c r="BL186" s="1619">
        <f t="shared" si="49"/>
        <v>44739</v>
      </c>
      <c r="BM186" s="1856">
        <f t="shared" si="59"/>
        <v>0.52638888888888891</v>
      </c>
      <c r="BN186" s="934">
        <f t="shared" si="50"/>
        <v>77.5</v>
      </c>
    </row>
    <row r="187" spans="1:66" ht="14.5">
      <c r="A187" s="1">
        <f t="shared" si="57"/>
        <v>44740</v>
      </c>
      <c r="B187" s="932">
        <f t="shared" si="51"/>
        <v>44740.217361111114</v>
      </c>
      <c r="C187" s="932">
        <f t="shared" si="52"/>
        <v>44740.26666666667</v>
      </c>
      <c r="D187" s="932">
        <f t="shared" si="53"/>
        <v>44740.881944444445</v>
      </c>
      <c r="E187" s="932">
        <f t="shared" si="54"/>
        <v>44740.931249999994</v>
      </c>
      <c r="F187" s="932">
        <f t="shared" si="55"/>
        <v>44740.23819444445</v>
      </c>
      <c r="G187" s="932">
        <f t="shared" si="56"/>
        <v>44740.887499999997</v>
      </c>
      <c r="H187" s="2">
        <f t="shared" si="58"/>
        <v>1</v>
      </c>
      <c r="I187" s="2">
        <v>75.340518413164304</v>
      </c>
      <c r="J187" s="1317">
        <v>23.239310055331931</v>
      </c>
      <c r="AP187" s="1855">
        <f t="shared" si="66"/>
        <v>44579</v>
      </c>
      <c r="AQ187" s="925" t="str">
        <f t="shared" si="67"/>
        <v>SS</v>
      </c>
      <c r="AR187" s="1856">
        <f t="shared" si="68"/>
        <v>44579.743750000001</v>
      </c>
      <c r="AS187" s="927" t="s">
        <v>1076</v>
      </c>
      <c r="AT187" s="1856" t="str">
        <f t="shared" si="60"/>
        <v/>
      </c>
      <c r="AU187" s="1856" t="str">
        <f t="shared" si="61"/>
        <v/>
      </c>
      <c r="AV187" s="1856" t="str">
        <f t="shared" si="62"/>
        <v/>
      </c>
      <c r="AW187" s="1856" t="str">
        <f t="shared" si="63"/>
        <v/>
      </c>
      <c r="AX187" s="1856" t="str">
        <f t="shared" si="64"/>
        <v/>
      </c>
      <c r="AY187" s="1856" t="str">
        <f t="shared" si="65"/>
        <v/>
      </c>
      <c r="BB187" s="1879" t="s">
        <v>1077</v>
      </c>
      <c r="BC187" s="1880">
        <v>0.23750000000000002</v>
      </c>
      <c r="BD187" s="1879" t="s">
        <v>685</v>
      </c>
      <c r="BE187" s="1880">
        <v>0.88680555555555562</v>
      </c>
      <c r="BF187" s="1879" t="s">
        <v>960</v>
      </c>
      <c r="BG187" s="1879" t="s">
        <v>241</v>
      </c>
      <c r="BH187" s="1880">
        <v>0.56180555555555556</v>
      </c>
      <c r="BI187" s="1879" t="s">
        <v>958</v>
      </c>
      <c r="BJ187" s="1881">
        <v>252579</v>
      </c>
      <c r="BK187" s="1882">
        <v>2E-3</v>
      </c>
      <c r="BL187" s="1619">
        <f t="shared" si="49"/>
        <v>44740</v>
      </c>
      <c r="BM187" s="1856">
        <f t="shared" si="59"/>
        <v>0.56180555555555556</v>
      </c>
      <c r="BN187" s="934">
        <f t="shared" si="50"/>
        <v>78.7</v>
      </c>
    </row>
    <row r="188" spans="1:66" ht="14.5">
      <c r="A188" s="1">
        <f t="shared" si="57"/>
        <v>44741</v>
      </c>
      <c r="B188" s="932">
        <f t="shared" si="51"/>
        <v>44741.218055555561</v>
      </c>
      <c r="C188" s="932">
        <f t="shared" si="52"/>
        <v>44741.26666666667</v>
      </c>
      <c r="D188" s="932">
        <f t="shared" si="53"/>
        <v>44741.881944444445</v>
      </c>
      <c r="E188" s="932">
        <f t="shared" si="54"/>
        <v>44741.931249999994</v>
      </c>
      <c r="F188" s="932">
        <f t="shared" si="55"/>
        <v>44741.272222222222</v>
      </c>
      <c r="G188" s="932">
        <f t="shared" si="56"/>
        <v>44741.921527777777</v>
      </c>
      <c r="H188" s="2">
        <f t="shared" si="58"/>
        <v>0</v>
      </c>
      <c r="I188" s="2">
        <v>75.284179622510706</v>
      </c>
      <c r="J188" s="1317">
        <v>23.183873808868285</v>
      </c>
      <c r="AP188" s="1855">
        <f t="shared" si="66"/>
        <v>44579</v>
      </c>
      <c r="AQ188" s="925" t="str">
        <f t="shared" si="67"/>
        <v>MR</v>
      </c>
      <c r="AR188" s="1856">
        <f t="shared" si="68"/>
        <v>44579.772222222222</v>
      </c>
      <c r="AS188" s="927" t="s">
        <v>1078</v>
      </c>
      <c r="AT188" s="1856" t="str">
        <f t="shared" si="60"/>
        <v/>
      </c>
      <c r="AU188" s="1856" t="str">
        <f t="shared" si="61"/>
        <v/>
      </c>
      <c r="AV188" s="1856" t="str">
        <f t="shared" si="62"/>
        <v/>
      </c>
      <c r="AW188" s="1856" t="str">
        <f t="shared" si="63"/>
        <v/>
      </c>
      <c r="AX188" s="1856" t="str">
        <f t="shared" si="64"/>
        <v/>
      </c>
      <c r="AY188" s="1856" t="str">
        <f t="shared" si="65"/>
        <v/>
      </c>
      <c r="BB188" s="1879">
        <v>29</v>
      </c>
      <c r="BC188" s="1880">
        <v>0.27152777777777776</v>
      </c>
      <c r="BD188" s="1879" t="s">
        <v>907</v>
      </c>
      <c r="BE188" s="1880">
        <v>0.92013888888888884</v>
      </c>
      <c r="BF188" s="1879" t="s">
        <v>694</v>
      </c>
      <c r="BG188" s="1879" t="s">
        <v>241</v>
      </c>
      <c r="BH188" s="1880">
        <v>0.59652777777777777</v>
      </c>
      <c r="BI188" s="1879" t="s">
        <v>908</v>
      </c>
      <c r="BJ188" s="1881">
        <v>252582</v>
      </c>
      <c r="BK188" s="1882">
        <v>5.0000000000000001E-3</v>
      </c>
      <c r="BL188" s="1619">
        <f t="shared" si="49"/>
        <v>44741</v>
      </c>
      <c r="BM188" s="1856">
        <f t="shared" si="59"/>
        <v>0.59652777777777777</v>
      </c>
      <c r="BN188" s="934">
        <f t="shared" si="50"/>
        <v>78.599999999999994</v>
      </c>
    </row>
    <row r="189" spans="1:66" ht="14.5">
      <c r="A189" s="1">
        <f t="shared" si="57"/>
        <v>44742</v>
      </c>
      <c r="B189" s="932">
        <f t="shared" si="51"/>
        <v>44742.218055555561</v>
      </c>
      <c r="C189" s="932">
        <f t="shared" si="52"/>
        <v>44742.267361111109</v>
      </c>
      <c r="D189" s="932">
        <f t="shared" si="53"/>
        <v>44742.881944444445</v>
      </c>
      <c r="E189" s="932">
        <f t="shared" si="54"/>
        <v>44742.931249999994</v>
      </c>
      <c r="F189" s="932">
        <f t="shared" si="55"/>
        <v>44742.310416666667</v>
      </c>
      <c r="G189" s="932">
        <f t="shared" si="56"/>
        <v>44742.950694444444</v>
      </c>
      <c r="H189" s="2">
        <f t="shared" si="58"/>
        <v>1</v>
      </c>
      <c r="I189" s="2">
        <v>75.220980374546627</v>
      </c>
      <c r="J189" s="1317">
        <v>23.121670433209143</v>
      </c>
      <c r="AP189" s="1855">
        <f t="shared" si="66"/>
        <v>44579</v>
      </c>
      <c r="AQ189" s="925" t="str">
        <f t="shared" si="67"/>
        <v>EENT</v>
      </c>
      <c r="AR189" s="1856">
        <f t="shared" si="68"/>
        <v>44579.786111111112</v>
      </c>
      <c r="AS189" s="927" t="s">
        <v>1079</v>
      </c>
      <c r="AT189" s="1856" t="str">
        <f t="shared" si="60"/>
        <v/>
      </c>
      <c r="AU189" s="1856" t="str">
        <f t="shared" si="61"/>
        <v/>
      </c>
      <c r="AV189" s="1856" t="str">
        <f t="shared" si="62"/>
        <v/>
      </c>
      <c r="AW189" s="1856" t="str">
        <f t="shared" si="63"/>
        <v/>
      </c>
      <c r="AX189" s="1856" t="str">
        <f t="shared" si="64"/>
        <v/>
      </c>
      <c r="AY189" s="1856" t="str">
        <f t="shared" si="65"/>
        <v/>
      </c>
      <c r="BB189" s="1879">
        <v>30</v>
      </c>
      <c r="BC189" s="1880">
        <v>0.30972222222222223</v>
      </c>
      <c r="BD189" s="1879" t="s">
        <v>608</v>
      </c>
      <c r="BE189" s="1880">
        <v>0.94930555555555562</v>
      </c>
      <c r="BF189" s="1879" t="s">
        <v>600</v>
      </c>
      <c r="BG189" s="1879" t="s">
        <v>241</v>
      </c>
      <c r="BH189" s="1880">
        <v>0.63124999999999998</v>
      </c>
      <c r="BI189" s="1879" t="s">
        <v>678</v>
      </c>
      <c r="BJ189" s="1881">
        <v>252127</v>
      </c>
      <c r="BK189" s="1882">
        <v>2.7E-2</v>
      </c>
      <c r="BL189" s="1619">
        <f t="shared" si="49"/>
        <v>44742</v>
      </c>
      <c r="BM189" s="1856">
        <f t="shared" si="59"/>
        <v>0.63124999999999998</v>
      </c>
      <c r="BN189" s="934">
        <f t="shared" si="50"/>
        <v>77.2</v>
      </c>
    </row>
    <row r="190" spans="1:66" ht="14.5">
      <c r="A190" s="1">
        <f t="shared" si="57"/>
        <v>44743</v>
      </c>
      <c r="B190" s="932">
        <f t="shared" si="51"/>
        <v>44743.21875</v>
      </c>
      <c r="C190" s="932">
        <f t="shared" si="52"/>
        <v>44743.267361111109</v>
      </c>
      <c r="D190" s="932">
        <f t="shared" si="53"/>
        <v>44743.881944444445</v>
      </c>
      <c r="E190" s="932">
        <f t="shared" si="54"/>
        <v>44743.931249999994</v>
      </c>
      <c r="F190" s="932">
        <f t="shared" si="55"/>
        <v>44743.350694444445</v>
      </c>
      <c r="G190" s="932">
        <f t="shared" si="56"/>
        <v>44743.975694444445</v>
      </c>
      <c r="H190" s="2">
        <f t="shared" si="58"/>
        <v>4</v>
      </c>
      <c r="I190" s="2">
        <v>75.150958992915861</v>
      </c>
      <c r="J190" s="1317">
        <v>23.052726828545996</v>
      </c>
      <c r="AP190" s="1855">
        <f t="shared" si="66"/>
        <v>44580</v>
      </c>
      <c r="AQ190" s="925" t="str">
        <f t="shared" si="67"/>
        <v/>
      </c>
      <c r="AR190" s="1856" t="str">
        <f t="shared" si="68"/>
        <v/>
      </c>
      <c r="AS190" s="927">
        <v>19</v>
      </c>
      <c r="AT190" s="1856">
        <f t="shared" si="60"/>
        <v>44580.288888888892</v>
      </c>
      <c r="AU190" s="1856">
        <f t="shared" si="61"/>
        <v>44580.331249999996</v>
      </c>
      <c r="AV190" s="1856">
        <f t="shared" si="62"/>
        <v>44580.744444444448</v>
      </c>
      <c r="AW190" s="1856">
        <f t="shared" si="63"/>
        <v>44580.786805555559</v>
      </c>
      <c r="AX190" s="1856">
        <f t="shared" si="64"/>
        <v>44580.815972222219</v>
      </c>
      <c r="AY190" s="1856">
        <f t="shared" si="65"/>
        <v>44580.390277777777</v>
      </c>
      <c r="AZ190" s="1853">
        <v>0.98</v>
      </c>
      <c r="BB190" s="1879">
        <v>1</v>
      </c>
      <c r="BC190" s="1880">
        <v>0.35000000000000003</v>
      </c>
      <c r="BD190" s="1879" t="s">
        <v>854</v>
      </c>
      <c r="BE190" s="1880">
        <v>0.97499999999999998</v>
      </c>
      <c r="BF190" s="1879" t="s">
        <v>857</v>
      </c>
      <c r="BG190" s="1879" t="s">
        <v>241</v>
      </c>
      <c r="BH190" s="1880">
        <v>0.66527777777777775</v>
      </c>
      <c r="BI190" s="1879" t="s">
        <v>1080</v>
      </c>
      <c r="BJ190" s="1881">
        <v>251193</v>
      </c>
      <c r="BK190" s="1882">
        <v>6.7000000000000004E-2</v>
      </c>
      <c r="BL190" s="1619">
        <f t="shared" si="49"/>
        <v>44743</v>
      </c>
      <c r="BM190" s="1856">
        <f t="shared" si="59"/>
        <v>0.66527777777777775</v>
      </c>
      <c r="BN190" s="934">
        <f t="shared" si="50"/>
        <v>74.5</v>
      </c>
    </row>
    <row r="191" spans="1:66" ht="14.5">
      <c r="A191" s="1">
        <f t="shared" si="57"/>
        <v>44744</v>
      </c>
      <c r="B191" s="932">
        <f t="shared" si="51"/>
        <v>44744.21875</v>
      </c>
      <c r="C191" s="932">
        <f t="shared" si="52"/>
        <v>44744.268055555556</v>
      </c>
      <c r="D191" s="932">
        <f t="shared" si="53"/>
        <v>44744.881944444445</v>
      </c>
      <c r="E191" s="932">
        <f t="shared" si="54"/>
        <v>44744.930555555555</v>
      </c>
      <c r="F191" s="932">
        <f t="shared" si="55"/>
        <v>44744.393055555556</v>
      </c>
      <c r="G191" s="932">
        <f t="shared" si="56"/>
        <v>44744.997222222228</v>
      </c>
      <c r="H191" s="2">
        <f t="shared" si="58"/>
        <v>9</v>
      </c>
      <c r="I191" s="2">
        <v>75.074156993191679</v>
      </c>
      <c r="J191" s="1317">
        <v>22.977072419142903</v>
      </c>
      <c r="AP191" s="1855">
        <f t="shared" si="66"/>
        <v>44580</v>
      </c>
      <c r="AQ191" s="925" t="str">
        <f t="shared" si="67"/>
        <v/>
      </c>
      <c r="AR191" s="1856" t="str">
        <f t="shared" si="68"/>
        <v/>
      </c>
      <c r="AS191" s="927" t="s">
        <v>252</v>
      </c>
      <c r="AT191" s="1856" t="str">
        <f t="shared" si="60"/>
        <v/>
      </c>
      <c r="AU191" s="1856" t="str">
        <f t="shared" si="61"/>
        <v/>
      </c>
      <c r="AV191" s="1856" t="str">
        <f t="shared" si="62"/>
        <v/>
      </c>
      <c r="AW191" s="1856" t="str">
        <f t="shared" si="63"/>
        <v/>
      </c>
      <c r="AX191" s="1856" t="str">
        <f t="shared" si="64"/>
        <v/>
      </c>
      <c r="AY191" s="1856" t="str">
        <f t="shared" si="65"/>
        <v/>
      </c>
      <c r="BB191" s="1879">
        <v>2</v>
      </c>
      <c r="BC191" s="1880">
        <v>0.3923611111111111</v>
      </c>
      <c r="BD191" s="1879" t="s">
        <v>858</v>
      </c>
      <c r="BE191" s="1880">
        <v>0.99652777777777779</v>
      </c>
      <c r="BF191" s="1879" t="s">
        <v>1037</v>
      </c>
      <c r="BG191" s="1879" t="s">
        <v>241</v>
      </c>
      <c r="BH191" s="1880">
        <v>0.6972222222222223</v>
      </c>
      <c r="BI191" s="1879" t="s">
        <v>1081</v>
      </c>
      <c r="BJ191" s="1881">
        <v>249752</v>
      </c>
      <c r="BK191" s="1882">
        <v>0.125</v>
      </c>
      <c r="BL191" s="1619">
        <f t="shared" si="49"/>
        <v>44744</v>
      </c>
      <c r="BM191" s="1856">
        <f t="shared" si="59"/>
        <v>0.6972222222222223</v>
      </c>
      <c r="BN191" s="934">
        <f t="shared" si="50"/>
        <v>70.8</v>
      </c>
    </row>
    <row r="192" spans="1:66" ht="14.5">
      <c r="A192" s="1">
        <f t="shared" si="57"/>
        <v>44745</v>
      </c>
      <c r="B192" s="932">
        <f t="shared" si="51"/>
        <v>44745.219444444447</v>
      </c>
      <c r="C192" s="932">
        <f t="shared" si="52"/>
        <v>44745.268055555556</v>
      </c>
      <c r="D192" s="932">
        <f t="shared" si="53"/>
        <v>44745.881944444445</v>
      </c>
      <c r="E192" s="932">
        <f t="shared" si="54"/>
        <v>44745.930555555555</v>
      </c>
      <c r="F192" s="932">
        <f t="shared" si="55"/>
        <v>44745.435416666667</v>
      </c>
      <c r="G192" s="932" t="str">
        <f t="shared" si="56"/>
        <v>NONE</v>
      </c>
      <c r="H192" s="2">
        <f t="shared" si="58"/>
        <v>14.499999999999998</v>
      </c>
      <c r="I192" s="2">
        <v>74.990618908193298</v>
      </c>
      <c r="J192" s="1317">
        <v>22.894739114058879</v>
      </c>
      <c r="AP192" s="1855">
        <f t="shared" si="66"/>
        <v>44580</v>
      </c>
      <c r="AQ192" s="925" t="str">
        <f t="shared" si="67"/>
        <v/>
      </c>
      <c r="AR192" s="1856" t="str">
        <f t="shared" si="68"/>
        <v/>
      </c>
      <c r="AT192" s="1856" t="str">
        <f t="shared" si="60"/>
        <v/>
      </c>
      <c r="AU192" s="1856" t="str">
        <f t="shared" si="61"/>
        <v/>
      </c>
      <c r="AV192" s="1856" t="str">
        <f t="shared" si="62"/>
        <v/>
      </c>
      <c r="AW192" s="1856" t="str">
        <f t="shared" si="63"/>
        <v/>
      </c>
      <c r="AX192" s="1856" t="str">
        <f t="shared" si="64"/>
        <v/>
      </c>
      <c r="AY192" s="1856" t="str">
        <f t="shared" si="65"/>
        <v/>
      </c>
      <c r="BB192" s="1879">
        <v>3</v>
      </c>
      <c r="BC192" s="1880">
        <v>0.43472222222222223</v>
      </c>
      <c r="BD192" s="1879" t="s">
        <v>860</v>
      </c>
      <c r="BE192" s="1880" t="s">
        <v>241</v>
      </c>
      <c r="BF192" s="1879" t="s">
        <v>241</v>
      </c>
      <c r="BG192" s="1880">
        <v>0.7284722222222223</v>
      </c>
      <c r="BH192" s="1880" t="s">
        <v>1082</v>
      </c>
      <c r="BI192" s="1881">
        <v>247778</v>
      </c>
      <c r="BJ192" s="1881">
        <v>0.19900000000000001</v>
      </c>
      <c r="BK192" s="1882"/>
      <c r="BL192" s="1619">
        <f t="shared" si="49"/>
        <v>44745</v>
      </c>
      <c r="BM192" s="1856">
        <f t="shared" si="59"/>
        <v>0.7284722222222223</v>
      </c>
      <c r="BN192" s="934">
        <f t="shared" si="50"/>
        <v>66.2</v>
      </c>
    </row>
    <row r="193" spans="1:66" ht="14.5">
      <c r="A193" s="1">
        <f t="shared" si="57"/>
        <v>44746</v>
      </c>
      <c r="B193" s="932">
        <f t="shared" si="51"/>
        <v>44746.220138888893</v>
      </c>
      <c r="C193" s="932">
        <f t="shared" si="52"/>
        <v>44746.268750000003</v>
      </c>
      <c r="D193" s="932">
        <f t="shared" si="53"/>
        <v>44746.881944444445</v>
      </c>
      <c r="E193" s="932">
        <f t="shared" si="54"/>
        <v>44746.930555555555</v>
      </c>
      <c r="F193" s="932">
        <f t="shared" si="55"/>
        <v>44746.477777777778</v>
      </c>
      <c r="G193" s="932">
        <f t="shared" si="56"/>
        <v>44746.015972222223</v>
      </c>
      <c r="H193" s="2">
        <f t="shared" si="58"/>
        <v>22</v>
      </c>
      <c r="I193" s="2">
        <v>74.900392107304825</v>
      </c>
      <c r="J193" s="1317">
        <v>22.805761265062671</v>
      </c>
      <c r="AP193" s="1855">
        <f t="shared" si="66"/>
        <v>44580</v>
      </c>
      <c r="AQ193" s="925" t="str">
        <f t="shared" si="67"/>
        <v>BMNT</v>
      </c>
      <c r="AR193" s="1856">
        <f t="shared" si="68"/>
        <v>44580.288888888892</v>
      </c>
      <c r="AS193" s="927" t="s">
        <v>1083</v>
      </c>
      <c r="AT193" s="1856" t="str">
        <f t="shared" si="60"/>
        <v/>
      </c>
      <c r="AU193" s="1856" t="str">
        <f t="shared" si="61"/>
        <v/>
      </c>
      <c r="AV193" s="1856" t="str">
        <f t="shared" si="62"/>
        <v/>
      </c>
      <c r="AW193" s="1856" t="str">
        <f t="shared" si="63"/>
        <v/>
      </c>
      <c r="AX193" s="1856" t="str">
        <f t="shared" si="64"/>
        <v/>
      </c>
      <c r="AY193" s="1856" t="str">
        <f t="shared" si="65"/>
        <v/>
      </c>
      <c r="BB193" s="1879">
        <v>4</v>
      </c>
      <c r="BC193" s="1880" t="s">
        <v>241</v>
      </c>
      <c r="BD193" s="1880">
        <v>1.5277777777777777E-2</v>
      </c>
      <c r="BE193" s="1880" t="s">
        <v>900</v>
      </c>
      <c r="BF193" s="1880">
        <v>0.4770833333333333</v>
      </c>
      <c r="BG193" s="1879" t="s">
        <v>899</v>
      </c>
      <c r="BH193" s="1880">
        <v>0.7583333333333333</v>
      </c>
      <c r="BI193" s="1879" t="s">
        <v>1084</v>
      </c>
      <c r="BJ193" s="1881">
        <v>245268</v>
      </c>
      <c r="BK193" s="1882">
        <v>0.28599999999999998</v>
      </c>
      <c r="BL193" s="1619">
        <f t="shared" si="49"/>
        <v>44746</v>
      </c>
      <c r="BM193" s="1856">
        <f t="shared" si="59"/>
        <v>0.7583333333333333</v>
      </c>
      <c r="BN193" s="934">
        <f t="shared" si="50"/>
        <v>60.9</v>
      </c>
    </row>
    <row r="194" spans="1:66" ht="14.5">
      <c r="A194" s="1">
        <f t="shared" si="57"/>
        <v>44747</v>
      </c>
      <c r="B194" s="932">
        <f t="shared" si="51"/>
        <v>44747.220138888893</v>
      </c>
      <c r="C194" s="932">
        <f t="shared" si="52"/>
        <v>44747.268750000003</v>
      </c>
      <c r="D194" s="932">
        <f t="shared" si="53"/>
        <v>44747.881944444445</v>
      </c>
      <c r="E194" s="932">
        <f t="shared" si="54"/>
        <v>44747.930555555555</v>
      </c>
      <c r="F194" s="932">
        <f t="shared" si="55"/>
        <v>44747.520138888889</v>
      </c>
      <c r="G194" s="932">
        <f t="shared" si="56"/>
        <v>44747.033333333333</v>
      </c>
      <c r="H194" s="2">
        <f t="shared" si="58"/>
        <v>31</v>
      </c>
      <c r="I194" s="2">
        <v>74.803526611863106</v>
      </c>
      <c r="J194" s="1317">
        <v>22.710175621888531</v>
      </c>
      <c r="AP194" s="1855">
        <f t="shared" si="66"/>
        <v>44580</v>
      </c>
      <c r="AQ194" s="925" t="str">
        <f t="shared" si="67"/>
        <v>SR</v>
      </c>
      <c r="AR194" s="1856">
        <f t="shared" si="68"/>
        <v>44580.331249999996</v>
      </c>
      <c r="AS194" s="927" t="s">
        <v>1074</v>
      </c>
      <c r="AT194" s="1856" t="str">
        <f t="shared" si="60"/>
        <v/>
      </c>
      <c r="AU194" s="1856" t="str">
        <f t="shared" si="61"/>
        <v/>
      </c>
      <c r="AV194" s="1856" t="str">
        <f t="shared" si="62"/>
        <v/>
      </c>
      <c r="AW194" s="1856" t="str">
        <f t="shared" si="63"/>
        <v/>
      </c>
      <c r="AX194" s="1856" t="str">
        <f t="shared" si="64"/>
        <v/>
      </c>
      <c r="AY194" s="1856" t="str">
        <f t="shared" si="65"/>
        <v/>
      </c>
      <c r="BB194" s="1879">
        <v>5</v>
      </c>
      <c r="BC194" s="1880" t="s">
        <v>241</v>
      </c>
      <c r="BD194" s="1880">
        <v>3.2638888888888891E-2</v>
      </c>
      <c r="BE194" s="1880" t="s">
        <v>1034</v>
      </c>
      <c r="BF194" s="1880">
        <v>0.52013888888888882</v>
      </c>
      <c r="BG194" s="1879" t="s">
        <v>1033</v>
      </c>
      <c r="BH194" s="1880">
        <v>0.78819444444444453</v>
      </c>
      <c r="BI194" s="1879" t="s">
        <v>838</v>
      </c>
      <c r="BJ194" s="1881">
        <v>242251</v>
      </c>
      <c r="BK194" s="1882">
        <v>0.38400000000000001</v>
      </c>
      <c r="BL194" s="1619">
        <f t="shared" si="49"/>
        <v>44747</v>
      </c>
      <c r="BM194" s="1856">
        <f t="shared" si="59"/>
        <v>0.78819444444444453</v>
      </c>
      <c r="BN194" s="934">
        <f t="shared" si="50"/>
        <v>55.1</v>
      </c>
    </row>
    <row r="195" spans="1:66" ht="14.5">
      <c r="A195" s="1">
        <f t="shared" si="57"/>
        <v>44748</v>
      </c>
      <c r="B195" s="932">
        <f t="shared" si="51"/>
        <v>44748.220833333333</v>
      </c>
      <c r="C195" s="932">
        <f t="shared" si="52"/>
        <v>44748.269444444442</v>
      </c>
      <c r="D195" s="932">
        <f t="shared" si="53"/>
        <v>44748.881249999999</v>
      </c>
      <c r="E195" s="932">
        <f t="shared" si="54"/>
        <v>44748.929861111108</v>
      </c>
      <c r="F195" s="932">
        <f t="shared" si="55"/>
        <v>44748.563888888886</v>
      </c>
      <c r="G195" s="932">
        <f t="shared" si="56"/>
        <v>44748.049999999996</v>
      </c>
      <c r="H195" s="2">
        <f t="shared" si="58"/>
        <v>41</v>
      </c>
      <c r="I195" s="2">
        <v>74.700074908635003</v>
      </c>
      <c r="J195" s="1317">
        <v>22.608021284996074</v>
      </c>
      <c r="AP195" s="1855">
        <f t="shared" si="66"/>
        <v>44580</v>
      </c>
      <c r="AQ195" s="925" t="str">
        <f t="shared" si="67"/>
        <v>MS</v>
      </c>
      <c r="AR195" s="1856">
        <f t="shared" si="68"/>
        <v>44580.390277777777</v>
      </c>
      <c r="AS195" s="927" t="s">
        <v>1085</v>
      </c>
      <c r="AT195" s="1856" t="str">
        <f t="shared" si="60"/>
        <v/>
      </c>
      <c r="AU195" s="1856" t="str">
        <f t="shared" si="61"/>
        <v/>
      </c>
      <c r="AV195" s="1856" t="str">
        <f t="shared" si="62"/>
        <v/>
      </c>
      <c r="AW195" s="1856" t="str">
        <f t="shared" si="63"/>
        <v/>
      </c>
      <c r="AX195" s="1856" t="str">
        <f t="shared" si="64"/>
        <v/>
      </c>
      <c r="AY195" s="1856" t="str">
        <f t="shared" si="65"/>
        <v/>
      </c>
      <c r="BB195" s="1879" t="s">
        <v>1086</v>
      </c>
      <c r="BC195" s="1880" t="s">
        <v>241</v>
      </c>
      <c r="BD195" s="1880">
        <v>4.9999999999999996E-2</v>
      </c>
      <c r="BE195" s="1880" t="s">
        <v>631</v>
      </c>
      <c r="BF195" s="1880">
        <v>0.56319444444444444</v>
      </c>
      <c r="BG195" s="1879" t="s">
        <v>893</v>
      </c>
      <c r="BH195" s="1880">
        <v>0.81805555555555554</v>
      </c>
      <c r="BI195" s="1879" t="s">
        <v>1087</v>
      </c>
      <c r="BJ195" s="1881">
        <v>238811</v>
      </c>
      <c r="BK195" s="1882">
        <v>0.49</v>
      </c>
      <c r="BL195" s="1619">
        <f t="shared" ref="BL195:BL258" si="69">A195</f>
        <v>44748</v>
      </c>
      <c r="BM195" s="1856">
        <f t="shared" si="59"/>
        <v>0.81805555555555554</v>
      </c>
      <c r="BN195" s="934">
        <f t="shared" si="50"/>
        <v>49</v>
      </c>
    </row>
    <row r="196" spans="1:66" ht="14.5">
      <c r="A196" s="1">
        <f t="shared" si="57"/>
        <v>44749</v>
      </c>
      <c r="B196" s="932">
        <f t="shared" si="51"/>
        <v>44749.22152777778</v>
      </c>
      <c r="C196" s="932">
        <f t="shared" si="52"/>
        <v>44749.269444444442</v>
      </c>
      <c r="D196" s="932">
        <f t="shared" si="53"/>
        <v>44749.881249999999</v>
      </c>
      <c r="E196" s="932">
        <f t="shared" si="54"/>
        <v>44749.929861111108</v>
      </c>
      <c r="F196" s="932">
        <f t="shared" si="55"/>
        <v>44749.609027777777</v>
      </c>
      <c r="G196" s="932">
        <f t="shared" si="56"/>
        <v>44749.066666666666</v>
      </c>
      <c r="H196" s="2">
        <f t="shared" si="58"/>
        <v>51</v>
      </c>
      <c r="I196" s="2">
        <v>74.590091763308635</v>
      </c>
      <c r="J196" s="1317">
        <v>22.499339655999286</v>
      </c>
      <c r="AP196" s="1855">
        <f t="shared" si="66"/>
        <v>44580</v>
      </c>
      <c r="AQ196" s="925" t="str">
        <f t="shared" si="67"/>
        <v>SS</v>
      </c>
      <c r="AR196" s="1856">
        <f t="shared" si="68"/>
        <v>44580.744444444448</v>
      </c>
      <c r="AS196" s="927" t="s">
        <v>1088</v>
      </c>
      <c r="AT196" s="1856" t="str">
        <f t="shared" si="60"/>
        <v/>
      </c>
      <c r="AU196" s="1856" t="str">
        <f t="shared" si="61"/>
        <v/>
      </c>
      <c r="AV196" s="1856" t="str">
        <f t="shared" si="62"/>
        <v/>
      </c>
      <c r="AW196" s="1856" t="str">
        <f t="shared" si="63"/>
        <v/>
      </c>
      <c r="AX196" s="1856" t="str">
        <f t="shared" si="64"/>
        <v/>
      </c>
      <c r="AY196" s="1856" t="str">
        <f t="shared" si="65"/>
        <v/>
      </c>
      <c r="BB196" s="1879">
        <v>7</v>
      </c>
      <c r="BC196" s="1880" t="s">
        <v>241</v>
      </c>
      <c r="BD196" s="1880">
        <v>6.6666666666666666E-2</v>
      </c>
      <c r="BE196" s="1880" t="s">
        <v>890</v>
      </c>
      <c r="BF196" s="1880">
        <v>0.60833333333333328</v>
      </c>
      <c r="BG196" s="1879" t="s">
        <v>534</v>
      </c>
      <c r="BH196" s="1880">
        <v>0.85</v>
      </c>
      <c r="BI196" s="1879" t="s">
        <v>1089</v>
      </c>
      <c r="BJ196" s="1881">
        <v>235100</v>
      </c>
      <c r="BK196" s="1882">
        <v>0.6</v>
      </c>
      <c r="BL196" s="1619">
        <f t="shared" si="69"/>
        <v>44749</v>
      </c>
      <c r="BM196" s="1856">
        <f t="shared" si="59"/>
        <v>0.85</v>
      </c>
      <c r="BN196" s="934">
        <f t="shared" si="50"/>
        <v>42.8</v>
      </c>
    </row>
    <row r="197" spans="1:66" ht="14.5">
      <c r="A197" s="1">
        <f t="shared" si="57"/>
        <v>44750</v>
      </c>
      <c r="B197" s="932">
        <f t="shared" si="51"/>
        <v>44750.22152777778</v>
      </c>
      <c r="C197" s="932">
        <f t="shared" si="52"/>
        <v>44750.270138888889</v>
      </c>
      <c r="D197" s="932">
        <f t="shared" si="53"/>
        <v>44750.881249999999</v>
      </c>
      <c r="E197" s="932">
        <f t="shared" si="54"/>
        <v>44750.929166666661</v>
      </c>
      <c r="F197" s="932">
        <f t="shared" si="55"/>
        <v>44750.65625</v>
      </c>
      <c r="G197" s="932">
        <f t="shared" si="56"/>
        <v>44750.085416666669</v>
      </c>
      <c r="H197" s="2">
        <f t="shared" si="58"/>
        <v>62</v>
      </c>
      <c r="I197" s="2">
        <v>74.473634035812154</v>
      </c>
      <c r="J197" s="1317">
        <v>22.384174385939524</v>
      </c>
      <c r="AP197" s="1855">
        <f t="shared" si="66"/>
        <v>44580</v>
      </c>
      <c r="AQ197" s="925" t="str">
        <f t="shared" si="67"/>
        <v>EENT</v>
      </c>
      <c r="AR197" s="1856">
        <f t="shared" si="68"/>
        <v>44580.786805555559</v>
      </c>
      <c r="AS197" s="927" t="s">
        <v>1090</v>
      </c>
      <c r="AT197" s="1856" t="str">
        <f t="shared" si="60"/>
        <v/>
      </c>
      <c r="AU197" s="1856" t="str">
        <f t="shared" si="61"/>
        <v/>
      </c>
      <c r="AV197" s="1856" t="str">
        <f t="shared" si="62"/>
        <v/>
      </c>
      <c r="AW197" s="1856" t="str">
        <f t="shared" si="63"/>
        <v/>
      </c>
      <c r="AX197" s="1856" t="str">
        <f t="shared" si="64"/>
        <v/>
      </c>
      <c r="AY197" s="1856" t="str">
        <f t="shared" si="65"/>
        <v/>
      </c>
      <c r="BB197" s="1879">
        <v>8</v>
      </c>
      <c r="BC197" s="1880" t="s">
        <v>241</v>
      </c>
      <c r="BD197" s="1880">
        <v>8.4722222222222213E-2</v>
      </c>
      <c r="BE197" s="1880" t="s">
        <v>525</v>
      </c>
      <c r="BF197" s="1880">
        <v>0.65555555555555556</v>
      </c>
      <c r="BG197" s="1879" t="s">
        <v>1027</v>
      </c>
      <c r="BH197" s="1880">
        <v>0.88402777777777775</v>
      </c>
      <c r="BI197" s="1879" t="s">
        <v>1091</v>
      </c>
      <c r="BJ197" s="1881">
        <v>231340</v>
      </c>
      <c r="BK197" s="1882">
        <v>0.70899999999999996</v>
      </c>
      <c r="BL197" s="1619">
        <f t="shared" si="69"/>
        <v>44750</v>
      </c>
      <c r="BM197" s="1856">
        <f t="shared" si="59"/>
        <v>0.88402777777777775</v>
      </c>
      <c r="BN197" s="934">
        <f t="shared" ref="BN197:BN260" si="70">IF(ISNUMBER(FIND("(",BI197)),MID(BI197,2,4)*1,IF(BM197="NA","NA",MID(BH197,2,4)*1))</f>
        <v>36.9</v>
      </c>
    </row>
    <row r="198" spans="1:66" ht="14.5">
      <c r="A198" s="1">
        <f t="shared" si="57"/>
        <v>44751</v>
      </c>
      <c r="B198" s="932">
        <f t="shared" si="51"/>
        <v>44751.222222222226</v>
      </c>
      <c r="C198" s="932">
        <f t="shared" si="52"/>
        <v>44751.270138888889</v>
      </c>
      <c r="D198" s="932">
        <f t="shared" si="53"/>
        <v>44751.881249999999</v>
      </c>
      <c r="E198" s="932">
        <f t="shared" si="54"/>
        <v>44751.929166666661</v>
      </c>
      <c r="F198" s="932">
        <f t="shared" si="55"/>
        <v>44751.706944444442</v>
      </c>
      <c r="G198" s="932">
        <f t="shared" si="56"/>
        <v>44751.106250000004</v>
      </c>
      <c r="H198" s="2">
        <f t="shared" si="58"/>
        <v>73</v>
      </c>
      <c r="I198" s="2">
        <v>74.35076049912783</v>
      </c>
      <c r="J198" s="1317">
        <v>22.262571321579262</v>
      </c>
      <c r="AP198" s="1855">
        <f t="shared" si="66"/>
        <v>44580</v>
      </c>
      <c r="AQ198" s="925" t="str">
        <f t="shared" si="67"/>
        <v>MR</v>
      </c>
      <c r="AR198" s="1856">
        <f t="shared" si="68"/>
        <v>44580.815972222219</v>
      </c>
      <c r="AS198" s="927" t="s">
        <v>1092</v>
      </c>
      <c r="AT198" s="1856" t="str">
        <f t="shared" si="60"/>
        <v/>
      </c>
      <c r="AU198" s="1856" t="str">
        <f t="shared" si="61"/>
        <v/>
      </c>
      <c r="AV198" s="1856" t="str">
        <f t="shared" si="62"/>
        <v/>
      </c>
      <c r="AW198" s="1856" t="str">
        <f t="shared" si="63"/>
        <v/>
      </c>
      <c r="AX198" s="1856" t="str">
        <f t="shared" si="64"/>
        <v/>
      </c>
      <c r="AY198" s="1856" t="str">
        <f t="shared" si="65"/>
        <v/>
      </c>
      <c r="BB198" s="1879">
        <v>9</v>
      </c>
      <c r="BC198" s="1880" t="s">
        <v>241</v>
      </c>
      <c r="BD198" s="1880">
        <v>0.10555555555555556</v>
      </c>
      <c r="BE198" s="1880" t="s">
        <v>595</v>
      </c>
      <c r="BF198" s="1880">
        <v>0.70624999999999993</v>
      </c>
      <c r="BG198" s="1879" t="s">
        <v>749</v>
      </c>
      <c r="BH198" s="1880">
        <v>0.92083333333333339</v>
      </c>
      <c r="BI198" s="1879" t="s">
        <v>1021</v>
      </c>
      <c r="BJ198" s="1881">
        <v>227823</v>
      </c>
      <c r="BK198" s="1882">
        <v>0.81</v>
      </c>
      <c r="BL198" s="1619">
        <f t="shared" si="69"/>
        <v>44751</v>
      </c>
      <c r="BM198" s="1856">
        <f t="shared" si="59"/>
        <v>0.92083333333333339</v>
      </c>
      <c r="BN198" s="934">
        <f t="shared" si="70"/>
        <v>31.6</v>
      </c>
    </row>
    <row r="199" spans="1:66" ht="14.5">
      <c r="A199" s="1">
        <f t="shared" si="57"/>
        <v>44752</v>
      </c>
      <c r="B199" s="932">
        <f t="shared" si="51"/>
        <v>44752.222916666666</v>
      </c>
      <c r="C199" s="932">
        <f t="shared" si="52"/>
        <v>44752.270833333336</v>
      </c>
      <c r="D199" s="932">
        <f t="shared" si="53"/>
        <v>44752.880555555559</v>
      </c>
      <c r="E199" s="932">
        <f t="shared" si="54"/>
        <v>44752.929166666661</v>
      </c>
      <c r="F199" s="932">
        <f t="shared" si="55"/>
        <v>44752.759027777778</v>
      </c>
      <c r="G199" s="932">
        <f t="shared" si="56"/>
        <v>44752.131249999999</v>
      </c>
      <c r="H199" s="2">
        <f t="shared" si="58"/>
        <v>82</v>
      </c>
      <c r="I199" s="2">
        <v>74.221531663114476</v>
      </c>
      <c r="J199" s="1317">
        <v>22.134578449900651</v>
      </c>
      <c r="AP199" s="1855">
        <f t="shared" si="66"/>
        <v>44581</v>
      </c>
      <c r="AQ199" s="925" t="str">
        <f t="shared" si="67"/>
        <v/>
      </c>
      <c r="AR199" s="1856" t="str">
        <f t="shared" si="68"/>
        <v/>
      </c>
      <c r="AS199" s="927">
        <v>20</v>
      </c>
      <c r="AT199" s="1856">
        <f t="shared" si="60"/>
        <v>44581.288888888892</v>
      </c>
      <c r="AU199" s="1856">
        <f t="shared" si="61"/>
        <v>44581.330555555556</v>
      </c>
      <c r="AV199" s="1856">
        <f t="shared" si="62"/>
        <v>44581.745138888895</v>
      </c>
      <c r="AW199" s="1856">
        <f t="shared" si="63"/>
        <v>44581.787499999999</v>
      </c>
      <c r="AX199" s="1856">
        <f t="shared" si="64"/>
        <v>44581.859722222223</v>
      </c>
      <c r="AY199" s="1856">
        <f t="shared" si="65"/>
        <v>44581.411805555559</v>
      </c>
      <c r="AZ199" s="1853">
        <v>0.95</v>
      </c>
      <c r="BB199" s="1879">
        <v>10</v>
      </c>
      <c r="BC199" s="1880" t="s">
        <v>241</v>
      </c>
      <c r="BD199" s="1880">
        <v>0.13055555555555556</v>
      </c>
      <c r="BE199" s="1880" t="s">
        <v>587</v>
      </c>
      <c r="BF199" s="1880">
        <v>0.7583333333333333</v>
      </c>
      <c r="BG199" s="1879" t="s">
        <v>879</v>
      </c>
      <c r="BH199" s="1880">
        <v>0.96180555555555547</v>
      </c>
      <c r="BI199" s="1879" t="s">
        <v>880</v>
      </c>
      <c r="BJ199" s="1881">
        <v>224884</v>
      </c>
      <c r="BK199" s="1882">
        <v>0.89700000000000002</v>
      </c>
      <c r="BL199" s="1619">
        <f t="shared" si="69"/>
        <v>44752</v>
      </c>
      <c r="BM199" s="1856">
        <f t="shared" si="59"/>
        <v>0.96180555555555547</v>
      </c>
      <c r="BN199" s="934">
        <f t="shared" si="70"/>
        <v>27.4</v>
      </c>
    </row>
    <row r="200" spans="1:66" ht="14.5">
      <c r="A200" s="1">
        <f t="shared" si="57"/>
        <v>44753</v>
      </c>
      <c r="B200" s="932">
        <f t="shared" si="51"/>
        <v>44753.223611111112</v>
      </c>
      <c r="C200" s="932">
        <f t="shared" si="52"/>
        <v>44753.271527777775</v>
      </c>
      <c r="D200" s="932">
        <f t="shared" si="53"/>
        <v>44753.880555555559</v>
      </c>
      <c r="E200" s="932">
        <f t="shared" si="54"/>
        <v>44753.928472222222</v>
      </c>
      <c r="F200" s="932">
        <f t="shared" si="55"/>
        <v>44753.811805555553</v>
      </c>
      <c r="G200" s="932">
        <f t="shared" si="56"/>
        <v>44753.162499999999</v>
      </c>
      <c r="H200" s="2">
        <f t="shared" si="58"/>
        <v>90</v>
      </c>
      <c r="I200" s="2">
        <v>74.086009604673222</v>
      </c>
      <c r="J200" s="1317">
        <v>22.000245840990733</v>
      </c>
      <c r="AP200" s="1855">
        <f t="shared" si="66"/>
        <v>44581</v>
      </c>
      <c r="AQ200" s="925" t="str">
        <f t="shared" si="67"/>
        <v/>
      </c>
      <c r="AR200" s="1856" t="str">
        <f t="shared" si="68"/>
        <v/>
      </c>
      <c r="AS200" s="927" t="s">
        <v>252</v>
      </c>
      <c r="AT200" s="1856" t="str">
        <f t="shared" si="60"/>
        <v/>
      </c>
      <c r="AU200" s="1856" t="str">
        <f t="shared" si="61"/>
        <v/>
      </c>
      <c r="AV200" s="1856" t="str">
        <f t="shared" si="62"/>
        <v/>
      </c>
      <c r="AW200" s="1856" t="str">
        <f t="shared" si="63"/>
        <v/>
      </c>
      <c r="AX200" s="1856" t="str">
        <f t="shared" si="64"/>
        <v/>
      </c>
      <c r="AY200" s="1856" t="str">
        <f t="shared" si="65"/>
        <v/>
      </c>
      <c r="BB200" s="1879">
        <v>11</v>
      </c>
      <c r="BC200" s="1880" t="s">
        <v>241</v>
      </c>
      <c r="BD200" s="1880">
        <v>0.16180555555555556</v>
      </c>
      <c r="BE200" s="1880" t="s">
        <v>578</v>
      </c>
      <c r="BF200" s="1880">
        <v>0.81111111111111101</v>
      </c>
      <c r="BG200" s="1879" t="s">
        <v>571</v>
      </c>
      <c r="BH200" s="1880" t="s">
        <v>695</v>
      </c>
      <c r="BJ200" s="1881"/>
      <c r="BK200" s="1882"/>
      <c r="BL200" s="1619">
        <f t="shared" si="69"/>
        <v>44753</v>
      </c>
      <c r="BM200" s="1856" t="str">
        <f t="shared" si="59"/>
        <v>NA</v>
      </c>
      <c r="BN200" s="934" t="str">
        <f t="shared" si="70"/>
        <v>NA</v>
      </c>
    </row>
    <row r="201" spans="1:66" ht="14.5">
      <c r="A201" s="1">
        <f t="shared" si="57"/>
        <v>44754</v>
      </c>
      <c r="B201" s="932">
        <f t="shared" ref="B201:B264" si="71">INDEX(AT$28:AT$4574,MATCH($A201,$AP$28:$AP$4574,0))</f>
        <v>44754.223611111112</v>
      </c>
      <c r="C201" s="932">
        <f t="shared" ref="C201:C264" si="72">INDEX(AU$28:AU$4574,MATCH($A201,$AP$28:$AP$4574,0))</f>
        <v>44754.271527777775</v>
      </c>
      <c r="D201" s="932">
        <f t="shared" ref="D201:D264" si="73">INDEX(AV$28:AV$4574,MATCH($A201,$AP$28:$AP$4574,0))</f>
        <v>44754.880555555559</v>
      </c>
      <c r="E201" s="932">
        <f t="shared" ref="E201:E264" si="74">INDEX(AW$28:AW$4574,MATCH($A201,$AP$28:$AP$4574,0))</f>
        <v>44754.928472222222</v>
      </c>
      <c r="F201" s="932">
        <f t="shared" ref="F201:F264" si="75">INDEX(AX$28:AX$4574,MATCH($A201,$AP$28:$AP$4574,0))</f>
        <v>44754.86041666667</v>
      </c>
      <c r="G201" s="932">
        <f t="shared" ref="G201:G264" si="76">INDEX(AY$28:AY$4574,MATCH($A201,$AP$28:$AP$4574,0))</f>
        <v>44754.20208333333</v>
      </c>
      <c r="H201" s="2">
        <f t="shared" si="58"/>
        <v>96</v>
      </c>
      <c r="I201" s="2">
        <v>73.944257805418061</v>
      </c>
      <c r="J201" s="1317">
        <v>21.859625589506255</v>
      </c>
      <c r="AP201" s="1855">
        <f t="shared" si="66"/>
        <v>44581</v>
      </c>
      <c r="AQ201" s="925" t="str">
        <f t="shared" si="67"/>
        <v/>
      </c>
      <c r="AR201" s="1856" t="str">
        <f t="shared" si="68"/>
        <v/>
      </c>
      <c r="AT201" s="1856" t="str">
        <f t="shared" si="60"/>
        <v/>
      </c>
      <c r="AU201" s="1856" t="str">
        <f t="shared" si="61"/>
        <v/>
      </c>
      <c r="AV201" s="1856" t="str">
        <f t="shared" si="62"/>
        <v/>
      </c>
      <c r="AW201" s="1856" t="str">
        <f t="shared" si="63"/>
        <v/>
      </c>
      <c r="AX201" s="1856" t="str">
        <f t="shared" si="64"/>
        <v/>
      </c>
      <c r="AY201" s="1856" t="str">
        <f t="shared" si="65"/>
        <v/>
      </c>
      <c r="BB201" s="1879">
        <v>12</v>
      </c>
      <c r="BC201" s="1880" t="s">
        <v>241</v>
      </c>
      <c r="BD201" s="1880">
        <v>0.20069444444444443</v>
      </c>
      <c r="BE201" s="1880" t="s">
        <v>936</v>
      </c>
      <c r="BF201" s="1880">
        <v>0.85972222222222217</v>
      </c>
      <c r="BG201" s="1879" t="s">
        <v>882</v>
      </c>
      <c r="BH201" s="1880">
        <v>6.9444444444444441E-3</v>
      </c>
      <c r="BI201" s="1879" t="s">
        <v>883</v>
      </c>
      <c r="BJ201" s="1881">
        <v>222857</v>
      </c>
      <c r="BK201" s="1882">
        <v>0.96</v>
      </c>
      <c r="BL201" s="1619">
        <f t="shared" si="69"/>
        <v>44754</v>
      </c>
      <c r="BM201" s="1856">
        <f t="shared" si="59"/>
        <v>6.9444444444444441E-3</v>
      </c>
      <c r="BN201" s="934">
        <f t="shared" si="70"/>
        <v>24.8</v>
      </c>
    </row>
    <row r="202" spans="1:66" ht="14.5">
      <c r="A202" s="1">
        <f t="shared" ref="A202:A265" si="77">A201+1</f>
        <v>44755</v>
      </c>
      <c r="B202" s="932">
        <f t="shared" si="71"/>
        <v>44755.224305555559</v>
      </c>
      <c r="C202" s="932">
        <f t="shared" si="72"/>
        <v>44755.272222222222</v>
      </c>
      <c r="D202" s="932">
        <f t="shared" si="73"/>
        <v>44755.879861111112</v>
      </c>
      <c r="E202" s="932">
        <f t="shared" si="74"/>
        <v>44755.927777777775</v>
      </c>
      <c r="F202" s="932">
        <f t="shared" si="75"/>
        <v>44755.902777777781</v>
      </c>
      <c r="G202" s="932">
        <f t="shared" si="76"/>
        <v>44755.248611111114</v>
      </c>
      <c r="H202" s="2">
        <f t="shared" ref="H202:H265" si="78">INDEX(AZ$28:AZ$4574,MATCH($A202,$AP$28:$AP$4574,0))*100</f>
        <v>99</v>
      </c>
      <c r="I202" s="2">
        <v>73.796340997817367</v>
      </c>
      <c r="J202" s="1317">
        <v>21.712771754899261</v>
      </c>
      <c r="AP202" s="1855">
        <f t="shared" si="66"/>
        <v>44581</v>
      </c>
      <c r="AQ202" s="925" t="str">
        <f t="shared" si="67"/>
        <v>BMNT</v>
      </c>
      <c r="AR202" s="1856">
        <f t="shared" si="68"/>
        <v>44581.288888888892</v>
      </c>
      <c r="AS202" s="927" t="s">
        <v>1083</v>
      </c>
      <c r="AT202" s="1856" t="str">
        <f t="shared" si="60"/>
        <v/>
      </c>
      <c r="AU202" s="1856" t="str">
        <f t="shared" si="61"/>
        <v/>
      </c>
      <c r="AV202" s="1856" t="str">
        <f t="shared" si="62"/>
        <v/>
      </c>
      <c r="AW202" s="1856" t="str">
        <f t="shared" si="63"/>
        <v/>
      </c>
      <c r="AX202" s="1856" t="str">
        <f t="shared" si="64"/>
        <v/>
      </c>
      <c r="AY202" s="1856" t="str">
        <f t="shared" si="65"/>
        <v/>
      </c>
      <c r="BB202" s="1879" t="s">
        <v>1093</v>
      </c>
      <c r="BC202" s="1880" t="s">
        <v>241</v>
      </c>
      <c r="BD202" s="1880">
        <v>0.24722222222222223</v>
      </c>
      <c r="BE202" s="1880" t="s">
        <v>936</v>
      </c>
      <c r="BF202" s="1880">
        <v>0.90208333333333324</v>
      </c>
      <c r="BG202" s="1879" t="s">
        <v>562</v>
      </c>
      <c r="BH202" s="1880">
        <v>5.347222222222222E-2</v>
      </c>
      <c r="BI202" s="1879" t="s">
        <v>978</v>
      </c>
      <c r="BJ202" s="1881">
        <v>222009</v>
      </c>
      <c r="BK202" s="1882">
        <v>0.99399999999999999</v>
      </c>
      <c r="BL202" s="1619">
        <f t="shared" si="69"/>
        <v>44755</v>
      </c>
      <c r="BM202" s="1856">
        <f t="shared" ref="BM202:BM265" si="79">IF(ISNUMBER(FIND("(",BH202)),BG202,IF(ISNUMBER(FIND("Moon",BH202)),"NA",BH202))</f>
        <v>5.347222222222222E-2</v>
      </c>
      <c r="BN202" s="934">
        <f t="shared" si="70"/>
        <v>24.4</v>
      </c>
    </row>
    <row r="203" spans="1:66" ht="14.5">
      <c r="A203" s="1">
        <f t="shared" si="77"/>
        <v>44756</v>
      </c>
      <c r="B203" s="932">
        <f t="shared" si="71"/>
        <v>44756.225000000006</v>
      </c>
      <c r="C203" s="932">
        <f t="shared" si="72"/>
        <v>44756.272916666669</v>
      </c>
      <c r="D203" s="932">
        <f t="shared" si="73"/>
        <v>44756.879861111112</v>
      </c>
      <c r="E203" s="932">
        <f t="shared" si="74"/>
        <v>44756.927083333328</v>
      </c>
      <c r="F203" s="932">
        <f t="shared" si="75"/>
        <v>44756.936805555553</v>
      </c>
      <c r="G203" s="932">
        <f t="shared" si="76"/>
        <v>44756.300694444442</v>
      </c>
      <c r="H203" s="2">
        <f t="shared" si="78"/>
        <v>100</v>
      </c>
      <c r="I203" s="2">
        <v>73.642325020597042</v>
      </c>
      <c r="J203" s="1317">
        <v>21.559740300597422</v>
      </c>
      <c r="AP203" s="1855">
        <f t="shared" si="66"/>
        <v>44581</v>
      </c>
      <c r="AQ203" s="925" t="str">
        <f t="shared" si="67"/>
        <v>SR</v>
      </c>
      <c r="AR203" s="1856">
        <f t="shared" si="68"/>
        <v>44581.330555555556</v>
      </c>
      <c r="AS203" s="927" t="s">
        <v>1094</v>
      </c>
      <c r="AT203" s="1856" t="str">
        <f t="shared" si="60"/>
        <v/>
      </c>
      <c r="AU203" s="1856" t="str">
        <f t="shared" si="61"/>
        <v/>
      </c>
      <c r="AV203" s="1856" t="str">
        <f t="shared" si="62"/>
        <v/>
      </c>
      <c r="AW203" s="1856" t="str">
        <f t="shared" si="63"/>
        <v/>
      </c>
      <c r="AX203" s="1856" t="str">
        <f t="shared" si="64"/>
        <v/>
      </c>
      <c r="AY203" s="1856" t="str">
        <f t="shared" si="65"/>
        <v/>
      </c>
      <c r="BB203" s="1879">
        <v>14</v>
      </c>
      <c r="BC203" s="1880" t="s">
        <v>241</v>
      </c>
      <c r="BD203" s="1880">
        <v>0.3</v>
      </c>
      <c r="BE203" s="1879" t="s">
        <v>578</v>
      </c>
      <c r="BF203" s="1880">
        <v>0.93611111111111101</v>
      </c>
      <c r="BG203" s="1880" t="s">
        <v>552</v>
      </c>
      <c r="BH203" s="1880">
        <v>9.930555555555555E-2</v>
      </c>
      <c r="BI203" s="1881" t="s">
        <v>1095</v>
      </c>
      <c r="BJ203" s="1882">
        <v>222469</v>
      </c>
      <c r="BK203" s="1882">
        <v>0.995</v>
      </c>
      <c r="BL203" s="1619">
        <f t="shared" si="69"/>
        <v>44756</v>
      </c>
      <c r="BM203" s="1856">
        <f t="shared" si="79"/>
        <v>9.930555555555555E-2</v>
      </c>
      <c r="BN203" s="934">
        <f t="shared" si="70"/>
        <v>26.2</v>
      </c>
    </row>
    <row r="204" spans="1:66" ht="14.5">
      <c r="A204" s="1">
        <f t="shared" si="77"/>
        <v>44757</v>
      </c>
      <c r="B204" s="932">
        <f t="shared" si="71"/>
        <v>44757.225694444445</v>
      </c>
      <c r="C204" s="932">
        <f t="shared" si="72"/>
        <v>44757.272916666669</v>
      </c>
      <c r="D204" s="932">
        <f t="shared" si="73"/>
        <v>44757.879166666666</v>
      </c>
      <c r="E204" s="932">
        <f t="shared" si="74"/>
        <v>44757.927083333328</v>
      </c>
      <c r="F204" s="932">
        <f t="shared" si="75"/>
        <v>44757.964583333334</v>
      </c>
      <c r="G204" s="932">
        <f t="shared" si="76"/>
        <v>44757.354861111111</v>
      </c>
      <c r="H204" s="2">
        <f t="shared" si="78"/>
        <v>97</v>
      </c>
      <c r="I204" s="2">
        <v>73.482276684009605</v>
      </c>
      <c r="J204" s="1317">
        <v>21.400589032322863</v>
      </c>
      <c r="AP204" s="1855">
        <f t="shared" si="66"/>
        <v>44581</v>
      </c>
      <c r="AQ204" s="925" t="str">
        <f t="shared" si="67"/>
        <v>MS</v>
      </c>
      <c r="AR204" s="1856">
        <f t="shared" si="68"/>
        <v>44581.411805555559</v>
      </c>
      <c r="AS204" s="927" t="s">
        <v>1096</v>
      </c>
      <c r="AT204" s="1856" t="str">
        <f t="shared" si="60"/>
        <v/>
      </c>
      <c r="AU204" s="1856" t="str">
        <f t="shared" si="61"/>
        <v/>
      </c>
      <c r="AV204" s="1856" t="str">
        <f t="shared" si="62"/>
        <v/>
      </c>
      <c r="AW204" s="1856" t="str">
        <f t="shared" si="63"/>
        <v/>
      </c>
      <c r="AX204" s="1856" t="str">
        <f t="shared" si="64"/>
        <v/>
      </c>
      <c r="AY204" s="1856" t="str">
        <f t="shared" si="65"/>
        <v/>
      </c>
      <c r="BB204" s="1879">
        <v>15</v>
      </c>
      <c r="BC204" s="1879" t="s">
        <v>241</v>
      </c>
      <c r="BD204" s="1880">
        <v>0.35416666666666669</v>
      </c>
      <c r="BE204" s="1879" t="s">
        <v>931</v>
      </c>
      <c r="BF204" s="1880">
        <v>0.96388888888888891</v>
      </c>
      <c r="BG204" s="1879" t="s">
        <v>513</v>
      </c>
      <c r="BH204" s="1880">
        <v>0.14305555555555557</v>
      </c>
      <c r="BI204" s="1879" t="s">
        <v>1097</v>
      </c>
      <c r="BJ204" s="1881">
        <v>224194</v>
      </c>
      <c r="BK204" s="1882">
        <v>0.96299999999999997</v>
      </c>
      <c r="BL204" s="1619">
        <f t="shared" si="69"/>
        <v>44757</v>
      </c>
      <c r="BM204" s="1856">
        <f t="shared" si="79"/>
        <v>0.14305555555555557</v>
      </c>
      <c r="BN204" s="934">
        <f t="shared" si="70"/>
        <v>30</v>
      </c>
    </row>
    <row r="205" spans="1:66" ht="14.5">
      <c r="A205" s="1">
        <f t="shared" si="77"/>
        <v>44758</v>
      </c>
      <c r="B205" s="932">
        <f t="shared" si="71"/>
        <v>44758.226388888892</v>
      </c>
      <c r="C205" s="932">
        <f t="shared" si="72"/>
        <v>44758.273611111108</v>
      </c>
      <c r="D205" s="932">
        <f t="shared" si="73"/>
        <v>44758.879166666666</v>
      </c>
      <c r="E205" s="932">
        <f t="shared" si="74"/>
        <v>44758.926388888889</v>
      </c>
      <c r="F205" s="932">
        <f t="shared" si="75"/>
        <v>44758.987500000003</v>
      </c>
      <c r="G205" s="932">
        <f t="shared" si="76"/>
        <v>44758.407638888886</v>
      </c>
      <c r="H205" s="2">
        <f t="shared" si="78"/>
        <v>91</v>
      </c>
      <c r="I205" s="2">
        <v>73.316263645404845</v>
      </c>
      <c r="J205" s="1317">
        <v>21.235377535737658</v>
      </c>
      <c r="AP205" s="1855">
        <f t="shared" si="66"/>
        <v>44581</v>
      </c>
      <c r="AQ205" s="925" t="str">
        <f t="shared" si="67"/>
        <v>SS</v>
      </c>
      <c r="AR205" s="1856">
        <f t="shared" si="68"/>
        <v>44581.745138888895</v>
      </c>
      <c r="AS205" s="927" t="s">
        <v>1098</v>
      </c>
      <c r="AT205" s="1856" t="str">
        <f t="shared" si="60"/>
        <v/>
      </c>
      <c r="AU205" s="1856" t="str">
        <f t="shared" si="61"/>
        <v/>
      </c>
      <c r="AV205" s="1856" t="str">
        <f t="shared" si="62"/>
        <v/>
      </c>
      <c r="AW205" s="1856" t="str">
        <f t="shared" si="63"/>
        <v/>
      </c>
      <c r="AX205" s="1856" t="str">
        <f t="shared" si="64"/>
        <v/>
      </c>
      <c r="AY205" s="1856" t="str">
        <f t="shared" si="65"/>
        <v/>
      </c>
      <c r="BB205" s="1879">
        <v>16</v>
      </c>
      <c r="BC205" s="1879" t="s">
        <v>241</v>
      </c>
      <c r="BD205" s="1880">
        <v>0.4069444444444445</v>
      </c>
      <c r="BE205" s="1879" t="s">
        <v>514</v>
      </c>
      <c r="BF205" s="1880">
        <v>0.9868055555555556</v>
      </c>
      <c r="BG205" s="1879" t="s">
        <v>530</v>
      </c>
      <c r="BH205" s="1880">
        <v>0.18263888888888891</v>
      </c>
      <c r="BI205" s="1879" t="s">
        <v>1099</v>
      </c>
      <c r="BJ205" s="1881">
        <v>226976</v>
      </c>
      <c r="BK205" s="1882">
        <v>0.90200000000000002</v>
      </c>
      <c r="BL205" s="1619">
        <f t="shared" si="69"/>
        <v>44758</v>
      </c>
      <c r="BM205" s="1856">
        <f t="shared" si="79"/>
        <v>0.18263888888888891</v>
      </c>
      <c r="BN205" s="934">
        <f t="shared" si="70"/>
        <v>35.200000000000003</v>
      </c>
    </row>
    <row r="206" spans="1:66" ht="14.5">
      <c r="A206" s="1">
        <f t="shared" si="77"/>
        <v>44759</v>
      </c>
      <c r="B206" s="932">
        <f t="shared" si="71"/>
        <v>44759.227083333339</v>
      </c>
      <c r="C206" s="932">
        <f t="shared" si="72"/>
        <v>44759.274305555555</v>
      </c>
      <c r="D206" s="932">
        <f t="shared" si="73"/>
        <v>44759.878472222219</v>
      </c>
      <c r="E206" s="932">
        <f t="shared" si="74"/>
        <v>44759.925694444442</v>
      </c>
      <c r="F206" s="932" t="str">
        <f t="shared" si="75"/>
        <v>NONE</v>
      </c>
      <c r="G206" s="932">
        <f t="shared" si="76"/>
        <v>44759.457638888889</v>
      </c>
      <c r="H206" s="2">
        <f t="shared" si="78"/>
        <v>84</v>
      </c>
      <c r="I206" s="2">
        <v>73.144354295369354</v>
      </c>
      <c r="J206" s="1317">
        <v>21.064167113596636</v>
      </c>
      <c r="AP206" s="1855">
        <f t="shared" si="66"/>
        <v>44581</v>
      </c>
      <c r="AQ206" s="925" t="str">
        <f t="shared" si="67"/>
        <v>EENT</v>
      </c>
      <c r="AR206" s="1856">
        <f t="shared" si="68"/>
        <v>44581.787499999999</v>
      </c>
      <c r="AS206" s="927" t="s">
        <v>1100</v>
      </c>
      <c r="AT206" s="1856" t="str">
        <f t="shared" si="60"/>
        <v/>
      </c>
      <c r="AU206" s="1856" t="str">
        <f t="shared" si="61"/>
        <v/>
      </c>
      <c r="AV206" s="1856" t="str">
        <f t="shared" si="62"/>
        <v/>
      </c>
      <c r="AW206" s="1856" t="str">
        <f t="shared" si="63"/>
        <v/>
      </c>
      <c r="AX206" s="1856" t="str">
        <f t="shared" si="64"/>
        <v/>
      </c>
      <c r="AY206" s="1856" t="str">
        <f t="shared" si="65"/>
        <v/>
      </c>
      <c r="BB206" s="1879">
        <v>17</v>
      </c>
      <c r="BC206" s="1879" t="s">
        <v>241</v>
      </c>
      <c r="BD206" s="1880">
        <v>0.45694444444444443</v>
      </c>
      <c r="BE206" s="1879" t="s">
        <v>520</v>
      </c>
      <c r="BF206" s="1880" t="s">
        <v>241</v>
      </c>
      <c r="BG206" s="1880">
        <v>0.21805555555555556</v>
      </c>
      <c r="BH206" s="1880" t="s">
        <v>1101</v>
      </c>
      <c r="BI206" s="1881">
        <v>230504</v>
      </c>
      <c r="BJ206" s="1881">
        <v>0.82</v>
      </c>
      <c r="BK206" s="1882"/>
      <c r="BL206" s="1619">
        <f t="shared" si="69"/>
        <v>44759</v>
      </c>
      <c r="BM206" s="1856">
        <f t="shared" si="79"/>
        <v>0.21805555555555556</v>
      </c>
      <c r="BN206" s="934">
        <f t="shared" si="70"/>
        <v>41.2</v>
      </c>
    </row>
    <row r="207" spans="1:66" ht="14.5">
      <c r="A207" s="1">
        <f t="shared" si="77"/>
        <v>44760</v>
      </c>
      <c r="B207" s="932">
        <f t="shared" si="71"/>
        <v>44760.227777777778</v>
      </c>
      <c r="C207" s="932">
        <f t="shared" si="72"/>
        <v>44760.275000000001</v>
      </c>
      <c r="D207" s="932">
        <f t="shared" si="73"/>
        <v>44760.878472222219</v>
      </c>
      <c r="E207" s="932">
        <f t="shared" si="74"/>
        <v>44760.924999999996</v>
      </c>
      <c r="F207" s="932">
        <f t="shared" si="75"/>
        <v>44760.006944444445</v>
      </c>
      <c r="G207" s="932">
        <f t="shared" si="76"/>
        <v>44760.504861111112</v>
      </c>
      <c r="H207" s="2">
        <f t="shared" si="78"/>
        <v>74</v>
      </c>
      <c r="I207" s="2">
        <v>72.966617654557169</v>
      </c>
      <c r="J207" s="1317">
        <v>20.887020722588741</v>
      </c>
      <c r="AP207" s="1855">
        <f t="shared" si="66"/>
        <v>44581</v>
      </c>
      <c r="AQ207" s="925" t="str">
        <f t="shared" si="67"/>
        <v>MR</v>
      </c>
      <c r="AR207" s="1856">
        <f t="shared" si="68"/>
        <v>44581.859722222223</v>
      </c>
      <c r="AS207" s="927" t="s">
        <v>1102</v>
      </c>
      <c r="AT207" s="1856" t="str">
        <f t="shared" si="60"/>
        <v/>
      </c>
      <c r="AU207" s="1856" t="str">
        <f t="shared" si="61"/>
        <v/>
      </c>
      <c r="AV207" s="1856" t="str">
        <f t="shared" si="62"/>
        <v/>
      </c>
      <c r="AW207" s="1856" t="str">
        <f t="shared" si="63"/>
        <v/>
      </c>
      <c r="AX207" s="1856" t="str">
        <f t="shared" si="64"/>
        <v/>
      </c>
      <c r="AY207" s="1856" t="str">
        <f t="shared" si="65"/>
        <v/>
      </c>
      <c r="BB207" s="1879">
        <v>18</v>
      </c>
      <c r="BC207" s="1880">
        <v>6.2499999999999995E-3</v>
      </c>
      <c r="BD207" s="1880" t="s">
        <v>519</v>
      </c>
      <c r="BE207" s="1880">
        <v>0.50347222222222221</v>
      </c>
      <c r="BF207" s="1880" t="s">
        <v>511</v>
      </c>
      <c r="BG207" s="1879" t="s">
        <v>241</v>
      </c>
      <c r="BH207" s="1880">
        <v>0.25138888888888888</v>
      </c>
      <c r="BI207" s="1879" t="s">
        <v>1103</v>
      </c>
      <c r="BJ207" s="1881">
        <v>234426</v>
      </c>
      <c r="BK207" s="1882">
        <v>0.72299999999999998</v>
      </c>
      <c r="BL207" s="1619">
        <f t="shared" si="69"/>
        <v>44760</v>
      </c>
      <c r="BM207" s="1856">
        <f t="shared" si="79"/>
        <v>0.25138888888888888</v>
      </c>
      <c r="BN207" s="934">
        <f t="shared" si="70"/>
        <v>47.6</v>
      </c>
    </row>
    <row r="208" spans="1:66" ht="14.5">
      <c r="A208" s="1">
        <f t="shared" si="77"/>
        <v>44761</v>
      </c>
      <c r="B208" s="932">
        <f t="shared" si="71"/>
        <v>44761.228472222225</v>
      </c>
      <c r="C208" s="932">
        <f t="shared" si="72"/>
        <v>44761.275000000001</v>
      </c>
      <c r="D208" s="932">
        <f t="shared" si="73"/>
        <v>44761.87777777778</v>
      </c>
      <c r="E208" s="932">
        <f t="shared" si="74"/>
        <v>44761.924999999996</v>
      </c>
      <c r="F208" s="932">
        <f t="shared" si="75"/>
        <v>44761.025000000001</v>
      </c>
      <c r="G208" s="932">
        <f t="shared" si="76"/>
        <v>44761.549999999996</v>
      </c>
      <c r="H208" s="2">
        <f t="shared" si="78"/>
        <v>64</v>
      </c>
      <c r="I208" s="2">
        <v>72.783123281192928</v>
      </c>
      <c r="J208" s="1317">
        <v>20.704002910042377</v>
      </c>
      <c r="AP208" s="1855">
        <f t="shared" si="66"/>
        <v>44582</v>
      </c>
      <c r="AQ208" s="925" t="str">
        <f t="shared" si="67"/>
        <v/>
      </c>
      <c r="AR208" s="1856" t="str">
        <f t="shared" si="68"/>
        <v/>
      </c>
      <c r="AS208" s="927">
        <v>21</v>
      </c>
      <c r="AT208" s="1856">
        <f t="shared" si="60"/>
        <v>44582.288888888892</v>
      </c>
      <c r="AU208" s="1856">
        <f t="shared" si="61"/>
        <v>44582.330555555556</v>
      </c>
      <c r="AV208" s="1856">
        <f t="shared" si="62"/>
        <v>44582.745833333334</v>
      </c>
      <c r="AW208" s="1856">
        <f t="shared" si="63"/>
        <v>44582.787499999999</v>
      </c>
      <c r="AX208" s="1856">
        <f t="shared" si="64"/>
        <v>44582.90347222222</v>
      </c>
      <c r="AY208" s="1856">
        <f t="shared" si="65"/>
        <v>44582.431249999994</v>
      </c>
      <c r="AZ208" s="1853">
        <v>0.9</v>
      </c>
      <c r="BB208" s="1879">
        <v>19</v>
      </c>
      <c r="BC208" s="1880">
        <v>2.361111111111111E-2</v>
      </c>
      <c r="BD208" s="1880" t="s">
        <v>510</v>
      </c>
      <c r="BE208" s="1880">
        <v>0.54861111111111105</v>
      </c>
      <c r="BF208" s="1880" t="s">
        <v>504</v>
      </c>
      <c r="BG208" s="1879" t="s">
        <v>241</v>
      </c>
      <c r="BH208" s="1880">
        <v>0.28263888888888888</v>
      </c>
      <c r="BI208" s="1879" t="s">
        <v>1104</v>
      </c>
      <c r="BJ208" s="1881">
        <v>238401</v>
      </c>
      <c r="BK208" s="1882">
        <v>0.61899999999999999</v>
      </c>
      <c r="BL208" s="1619">
        <f t="shared" si="69"/>
        <v>44761</v>
      </c>
      <c r="BM208" s="1856">
        <f t="shared" si="79"/>
        <v>0.28263888888888888</v>
      </c>
      <c r="BN208" s="934">
        <f t="shared" si="70"/>
        <v>53.9</v>
      </c>
    </row>
    <row r="209" spans="1:66" ht="14.5">
      <c r="A209" s="1">
        <f t="shared" si="77"/>
        <v>44762</v>
      </c>
      <c r="B209" s="932">
        <f t="shared" si="71"/>
        <v>44762.229166666672</v>
      </c>
      <c r="C209" s="932">
        <f t="shared" si="72"/>
        <v>44762.275694444441</v>
      </c>
      <c r="D209" s="932">
        <f t="shared" si="73"/>
        <v>44762.877083333333</v>
      </c>
      <c r="E209" s="932">
        <f t="shared" si="74"/>
        <v>44762.924305555556</v>
      </c>
      <c r="F209" s="932">
        <f t="shared" si="75"/>
        <v>44762.042361111111</v>
      </c>
      <c r="G209" s="932">
        <f t="shared" si="76"/>
        <v>44762.59375</v>
      </c>
      <c r="H209" s="2">
        <f t="shared" si="78"/>
        <v>54</v>
      </c>
      <c r="I209" s="2">
        <v>72.593941189107525</v>
      </c>
      <c r="J209" s="1317">
        <v>20.515179750664611</v>
      </c>
      <c r="AP209" s="1855">
        <f t="shared" si="66"/>
        <v>44582</v>
      </c>
      <c r="AQ209" s="925" t="str">
        <f t="shared" si="67"/>
        <v/>
      </c>
      <c r="AR209" s="1856" t="str">
        <f t="shared" si="68"/>
        <v/>
      </c>
      <c r="AS209" s="927" t="s">
        <v>252</v>
      </c>
      <c r="AT209" s="1856" t="str">
        <f t="shared" si="60"/>
        <v/>
      </c>
      <c r="AU209" s="1856" t="str">
        <f t="shared" si="61"/>
        <v/>
      </c>
      <c r="AV209" s="1856" t="str">
        <f t="shared" si="62"/>
        <v/>
      </c>
      <c r="AW209" s="1856" t="str">
        <f t="shared" si="63"/>
        <v/>
      </c>
      <c r="AX209" s="1856" t="str">
        <f t="shared" si="64"/>
        <v/>
      </c>
      <c r="AY209" s="1856" t="str">
        <f t="shared" si="65"/>
        <v/>
      </c>
      <c r="BB209" s="1879" t="s">
        <v>1105</v>
      </c>
      <c r="BC209" s="1880">
        <v>4.0972222222222222E-2</v>
      </c>
      <c r="BD209" s="1880" t="s">
        <v>917</v>
      </c>
      <c r="BE209" s="1880">
        <v>0.59305555555555556</v>
      </c>
      <c r="BF209" s="1880" t="s">
        <v>916</v>
      </c>
      <c r="BG209" s="1879" t="s">
        <v>241</v>
      </c>
      <c r="BH209" s="1880">
        <v>0.31319444444444444</v>
      </c>
      <c r="BI209" s="1879" t="s">
        <v>1106</v>
      </c>
      <c r="BJ209" s="1881">
        <v>242145</v>
      </c>
      <c r="BK209" s="1882">
        <v>0.51300000000000001</v>
      </c>
      <c r="BL209" s="1619">
        <f t="shared" si="69"/>
        <v>44762</v>
      </c>
      <c r="BM209" s="1856">
        <f t="shared" si="79"/>
        <v>0.31319444444444444</v>
      </c>
      <c r="BN209" s="934">
        <f t="shared" si="70"/>
        <v>59.9</v>
      </c>
    </row>
    <row r="210" spans="1:66" ht="14.5">
      <c r="A210" s="1">
        <f t="shared" si="77"/>
        <v>44763</v>
      </c>
      <c r="B210" s="932">
        <f t="shared" si="71"/>
        <v>44763.229861111111</v>
      </c>
      <c r="C210" s="932">
        <f t="shared" si="72"/>
        <v>44763.276388888888</v>
      </c>
      <c r="D210" s="932">
        <f t="shared" si="73"/>
        <v>44763.877083333333</v>
      </c>
      <c r="E210" s="932">
        <f t="shared" si="74"/>
        <v>44763.923611111109</v>
      </c>
      <c r="F210" s="932">
        <f t="shared" si="75"/>
        <v>44763.05972222222</v>
      </c>
      <c r="G210" s="932">
        <f t="shared" si="76"/>
        <v>44763.636805555558</v>
      </c>
      <c r="H210" s="2">
        <f t="shared" si="78"/>
        <v>44</v>
      </c>
      <c r="I210" s="2">
        <v>72.399141776058599</v>
      </c>
      <c r="J210" s="1317">
        <v>20.320618783480043</v>
      </c>
      <c r="AP210" s="1855">
        <f t="shared" si="66"/>
        <v>44582</v>
      </c>
      <c r="AQ210" s="925" t="str">
        <f t="shared" si="67"/>
        <v/>
      </c>
      <c r="AR210" s="1856" t="str">
        <f t="shared" si="68"/>
        <v/>
      </c>
      <c r="AT210" s="1856" t="str">
        <f t="shared" si="60"/>
        <v/>
      </c>
      <c r="AU210" s="1856" t="str">
        <f t="shared" si="61"/>
        <v/>
      </c>
      <c r="AV210" s="1856" t="str">
        <f t="shared" si="62"/>
        <v/>
      </c>
      <c r="AW210" s="1856" t="str">
        <f t="shared" si="63"/>
        <v/>
      </c>
      <c r="AX210" s="1856" t="str">
        <f t="shared" si="64"/>
        <v/>
      </c>
      <c r="AY210" s="1856" t="str">
        <f t="shared" si="65"/>
        <v/>
      </c>
      <c r="BB210" s="1879">
        <v>21</v>
      </c>
      <c r="BC210" s="1880">
        <v>5.9027777777777783E-2</v>
      </c>
      <c r="BD210" s="1880" t="s">
        <v>843</v>
      </c>
      <c r="BE210" s="1880">
        <v>0.63611111111111118</v>
      </c>
      <c r="BF210" s="1880" t="s">
        <v>914</v>
      </c>
      <c r="BG210" s="1879" t="s">
        <v>241</v>
      </c>
      <c r="BH210" s="1880">
        <v>0.34375</v>
      </c>
      <c r="BI210" s="1879" t="s">
        <v>966</v>
      </c>
      <c r="BJ210" s="1881">
        <v>245439</v>
      </c>
      <c r="BK210" s="1882">
        <v>0.41</v>
      </c>
      <c r="BL210" s="1619">
        <f t="shared" si="69"/>
        <v>44763</v>
      </c>
      <c r="BM210" s="1856">
        <f t="shared" si="79"/>
        <v>0.34375</v>
      </c>
      <c r="BN210" s="934">
        <f t="shared" si="70"/>
        <v>65.400000000000006</v>
      </c>
    </row>
    <row r="211" spans="1:66" ht="14.5">
      <c r="A211" s="1">
        <f t="shared" si="77"/>
        <v>44764</v>
      </c>
      <c r="B211" s="932">
        <f t="shared" si="71"/>
        <v>44764.230555555558</v>
      </c>
      <c r="C211" s="932">
        <f t="shared" si="72"/>
        <v>44764.277083333334</v>
      </c>
      <c r="D211" s="932">
        <f t="shared" si="73"/>
        <v>44764.876388888886</v>
      </c>
      <c r="E211" s="932">
        <f t="shared" si="74"/>
        <v>44764.922916666663</v>
      </c>
      <c r="F211" s="932">
        <f t="shared" si="75"/>
        <v>44764.078472222223</v>
      </c>
      <c r="G211" s="932">
        <f t="shared" si="76"/>
        <v>44764.679861111108</v>
      </c>
      <c r="H211" s="2">
        <f t="shared" si="78"/>
        <v>34</v>
      </c>
      <c r="I211" s="2">
        <v>72.198795761995541</v>
      </c>
      <c r="J211" s="1317">
        <v>20.120388949127772</v>
      </c>
      <c r="AP211" s="1855">
        <f t="shared" si="66"/>
        <v>44582</v>
      </c>
      <c r="AQ211" s="925" t="str">
        <f t="shared" si="67"/>
        <v>BMNT</v>
      </c>
      <c r="AR211" s="1856">
        <f t="shared" si="68"/>
        <v>44582.288888888892</v>
      </c>
      <c r="AS211" s="927" t="s">
        <v>1083</v>
      </c>
      <c r="AT211" s="1856" t="str">
        <f t="shared" si="60"/>
        <v/>
      </c>
      <c r="AU211" s="1856" t="str">
        <f t="shared" si="61"/>
        <v/>
      </c>
      <c r="AV211" s="1856" t="str">
        <f t="shared" si="62"/>
        <v/>
      </c>
      <c r="AW211" s="1856" t="str">
        <f t="shared" si="63"/>
        <v/>
      </c>
      <c r="AX211" s="1856" t="str">
        <f t="shared" si="64"/>
        <v/>
      </c>
      <c r="AY211" s="1856" t="str">
        <f t="shared" si="65"/>
        <v/>
      </c>
      <c r="BB211" s="1879">
        <v>22</v>
      </c>
      <c r="BC211" s="1880">
        <v>7.7777777777777779E-2</v>
      </c>
      <c r="BD211" s="1880" t="s">
        <v>846</v>
      </c>
      <c r="BE211" s="1880">
        <v>0.67847222222222225</v>
      </c>
      <c r="BF211" s="1880" t="s">
        <v>582</v>
      </c>
      <c r="BG211" s="1879" t="s">
        <v>241</v>
      </c>
      <c r="BH211" s="1880">
        <v>0.375</v>
      </c>
      <c r="BI211" s="1879" t="s">
        <v>1107</v>
      </c>
      <c r="BJ211" s="1881">
        <v>248144</v>
      </c>
      <c r="BK211" s="1882">
        <v>0.312</v>
      </c>
      <c r="BL211" s="1619">
        <f t="shared" si="69"/>
        <v>44764</v>
      </c>
      <c r="BM211" s="1856">
        <f t="shared" si="79"/>
        <v>0.375</v>
      </c>
      <c r="BN211" s="934">
        <f t="shared" si="70"/>
        <v>70.2</v>
      </c>
    </row>
    <row r="212" spans="1:66" ht="14.5">
      <c r="A212" s="1">
        <f t="shared" si="77"/>
        <v>44765</v>
      </c>
      <c r="B212" s="932">
        <f t="shared" si="71"/>
        <v>44765.231250000004</v>
      </c>
      <c r="C212" s="932">
        <f t="shared" si="72"/>
        <v>44765.277083333334</v>
      </c>
      <c r="D212" s="932">
        <f t="shared" si="73"/>
        <v>44765.875694444447</v>
      </c>
      <c r="E212" s="932">
        <f t="shared" si="74"/>
        <v>44765.922222222223</v>
      </c>
      <c r="F212" s="932">
        <f t="shared" si="75"/>
        <v>44765.100000000006</v>
      </c>
      <c r="G212" s="932">
        <f t="shared" si="76"/>
        <v>44765.72152777778</v>
      </c>
      <c r="H212" s="2">
        <f t="shared" si="78"/>
        <v>25</v>
      </c>
      <c r="I212" s="2">
        <v>71.992974136856162</v>
      </c>
      <c r="J212" s="1317">
        <v>19.914560527672577</v>
      </c>
      <c r="AP212" s="1855">
        <f t="shared" si="66"/>
        <v>44582</v>
      </c>
      <c r="AQ212" s="925" t="str">
        <f t="shared" si="67"/>
        <v>SR</v>
      </c>
      <c r="AR212" s="1856">
        <f t="shared" si="68"/>
        <v>44582.330555555556</v>
      </c>
      <c r="AS212" s="927" t="s">
        <v>1094</v>
      </c>
      <c r="AT212" s="1856" t="str">
        <f t="shared" si="60"/>
        <v/>
      </c>
      <c r="AU212" s="1856" t="str">
        <f t="shared" si="61"/>
        <v/>
      </c>
      <c r="AV212" s="1856" t="str">
        <f t="shared" si="62"/>
        <v/>
      </c>
      <c r="AW212" s="1856" t="str">
        <f t="shared" si="63"/>
        <v/>
      </c>
      <c r="AX212" s="1856" t="str">
        <f t="shared" si="64"/>
        <v/>
      </c>
      <c r="AY212" s="1856" t="str">
        <f t="shared" si="65"/>
        <v/>
      </c>
      <c r="BB212" s="1879">
        <v>23</v>
      </c>
      <c r="BC212" s="1880">
        <v>9.930555555555555E-2</v>
      </c>
      <c r="BD212" s="1880" t="s">
        <v>590</v>
      </c>
      <c r="BE212" s="1880">
        <v>0.72083333333333333</v>
      </c>
      <c r="BF212" s="1880" t="s">
        <v>633</v>
      </c>
      <c r="BG212" s="1879" t="s">
        <v>241</v>
      </c>
      <c r="BH212" s="1880">
        <v>0.4069444444444445</v>
      </c>
      <c r="BI212" s="1879" t="s">
        <v>849</v>
      </c>
      <c r="BJ212" s="1881">
        <v>250188</v>
      </c>
      <c r="BK212" s="1882">
        <v>0.224</v>
      </c>
      <c r="BL212" s="1619">
        <f t="shared" si="69"/>
        <v>44765</v>
      </c>
      <c r="BM212" s="1856">
        <f t="shared" si="79"/>
        <v>0.4069444444444445</v>
      </c>
      <c r="BN212" s="934">
        <f t="shared" si="70"/>
        <v>74.099999999999994</v>
      </c>
    </row>
    <row r="213" spans="1:66" ht="14.5">
      <c r="A213" s="1">
        <f t="shared" si="77"/>
        <v>44766</v>
      </c>
      <c r="B213" s="932">
        <f t="shared" si="71"/>
        <v>44766.231944444444</v>
      </c>
      <c r="C213" s="932">
        <f t="shared" si="72"/>
        <v>44766.277777777781</v>
      </c>
      <c r="D213" s="932">
        <f t="shared" si="73"/>
        <v>44766.875694444447</v>
      </c>
      <c r="E213" s="932">
        <f t="shared" si="74"/>
        <v>44766.921527777777</v>
      </c>
      <c r="F213" s="932">
        <f t="shared" si="75"/>
        <v>44766.124305555561</v>
      </c>
      <c r="G213" s="932">
        <f t="shared" si="76"/>
        <v>44766.762499999997</v>
      </c>
      <c r="H213" s="2">
        <f t="shared" si="78"/>
        <v>18</v>
      </c>
      <c r="I213" s="2">
        <v>71.781748117409762</v>
      </c>
      <c r="J213" s="1317">
        <v>19.703205077071839</v>
      </c>
      <c r="AP213" s="1855">
        <f t="shared" si="66"/>
        <v>44582</v>
      </c>
      <c r="AQ213" s="925" t="str">
        <f t="shared" si="67"/>
        <v>MS</v>
      </c>
      <c r="AR213" s="1856">
        <f t="shared" si="68"/>
        <v>44582.431249999994</v>
      </c>
      <c r="AS213" s="927" t="s">
        <v>1108</v>
      </c>
      <c r="AT213" s="1856" t="str">
        <f t="shared" si="60"/>
        <v/>
      </c>
      <c r="AU213" s="1856" t="str">
        <f t="shared" si="61"/>
        <v/>
      </c>
      <c r="AV213" s="1856" t="str">
        <f t="shared" si="62"/>
        <v/>
      </c>
      <c r="AW213" s="1856" t="str">
        <f t="shared" si="63"/>
        <v/>
      </c>
      <c r="AX213" s="1856" t="str">
        <f t="shared" si="64"/>
        <v/>
      </c>
      <c r="AY213" s="1856" t="str">
        <f t="shared" si="65"/>
        <v/>
      </c>
      <c r="BB213" s="1879">
        <v>24</v>
      </c>
      <c r="BC213" s="1880">
        <v>0.12361111111111112</v>
      </c>
      <c r="BD213" s="1880" t="s">
        <v>599</v>
      </c>
      <c r="BE213" s="1880">
        <v>0.76180555555555562</v>
      </c>
      <c r="BF213" s="1880" t="s">
        <v>609</v>
      </c>
      <c r="BG213" s="1879" t="s">
        <v>241</v>
      </c>
      <c r="BH213" s="1880">
        <v>0.44097222222222227</v>
      </c>
      <c r="BI213" s="1879" t="s">
        <v>1109</v>
      </c>
      <c r="BJ213" s="1881">
        <v>251559</v>
      </c>
      <c r="BK213" s="1882">
        <v>0.14799999999999999</v>
      </c>
      <c r="BL213" s="1619">
        <f t="shared" si="69"/>
        <v>44766</v>
      </c>
      <c r="BM213" s="1856">
        <f t="shared" si="79"/>
        <v>0.44097222222222227</v>
      </c>
      <c r="BN213" s="934">
        <f t="shared" si="70"/>
        <v>76.900000000000006</v>
      </c>
    </row>
    <row r="214" spans="1:66" ht="14.5">
      <c r="A214" s="1">
        <f t="shared" si="77"/>
        <v>44767</v>
      </c>
      <c r="B214" s="932">
        <f t="shared" si="71"/>
        <v>44767.232638888891</v>
      </c>
      <c r="C214" s="932">
        <f t="shared" si="72"/>
        <v>44767.27847222222</v>
      </c>
      <c r="D214" s="932">
        <f t="shared" si="73"/>
        <v>44767.875</v>
      </c>
      <c r="E214" s="932">
        <f t="shared" si="74"/>
        <v>44767.92083333333</v>
      </c>
      <c r="F214" s="932">
        <f t="shared" si="75"/>
        <v>44767.152777777781</v>
      </c>
      <c r="G214" s="932">
        <f t="shared" si="76"/>
        <v>44767.800694444442</v>
      </c>
      <c r="H214" s="2">
        <f t="shared" si="78"/>
        <v>11</v>
      </c>
      <c r="I214" s="2">
        <v>71.565189112621667</v>
      </c>
      <c r="J214" s="1317">
        <v>19.486395372438981</v>
      </c>
      <c r="AP214" s="1855">
        <f t="shared" si="66"/>
        <v>44582</v>
      </c>
      <c r="AQ214" s="925" t="str">
        <f t="shared" si="67"/>
        <v>SS</v>
      </c>
      <c r="AR214" s="1856">
        <f t="shared" si="68"/>
        <v>44582.745833333334</v>
      </c>
      <c r="AS214" s="927" t="s">
        <v>1110</v>
      </c>
      <c r="AT214" s="1856" t="str">
        <f t="shared" si="60"/>
        <v/>
      </c>
      <c r="AU214" s="1856" t="str">
        <f t="shared" si="61"/>
        <v/>
      </c>
      <c r="AV214" s="1856" t="str">
        <f t="shared" si="62"/>
        <v/>
      </c>
      <c r="AW214" s="1856" t="str">
        <f t="shared" si="63"/>
        <v/>
      </c>
      <c r="AX214" s="1856" t="str">
        <f t="shared" si="64"/>
        <v/>
      </c>
      <c r="AY214" s="1856" t="str">
        <f t="shared" si="65"/>
        <v/>
      </c>
      <c r="BB214" s="1879">
        <v>25</v>
      </c>
      <c r="BC214" s="1880">
        <v>0.15208333333333332</v>
      </c>
      <c r="BD214" s="1880" t="s">
        <v>685</v>
      </c>
      <c r="BE214" s="1880">
        <v>0.80069444444444438</v>
      </c>
      <c r="BF214" s="1880" t="s">
        <v>960</v>
      </c>
      <c r="BG214" s="1879" t="s">
        <v>241</v>
      </c>
      <c r="BH214" s="1880">
        <v>0.47569444444444442</v>
      </c>
      <c r="BI214" s="1879" t="s">
        <v>1002</v>
      </c>
      <c r="BJ214" s="1881">
        <v>252288</v>
      </c>
      <c r="BK214" s="1882">
        <v>8.5999999999999993E-2</v>
      </c>
      <c r="BL214" s="1619">
        <f t="shared" si="69"/>
        <v>44767</v>
      </c>
      <c r="BM214" s="1856">
        <f t="shared" si="79"/>
        <v>0.47569444444444442</v>
      </c>
      <c r="BN214" s="934">
        <f t="shared" si="70"/>
        <v>78.5</v>
      </c>
    </row>
    <row r="215" spans="1:66" ht="14.5">
      <c r="A215" s="1">
        <f t="shared" si="77"/>
        <v>44768</v>
      </c>
      <c r="B215" s="932">
        <f t="shared" si="71"/>
        <v>44768.233333333337</v>
      </c>
      <c r="C215" s="932">
        <f t="shared" si="72"/>
        <v>44768.279166666667</v>
      </c>
      <c r="D215" s="932">
        <f t="shared" si="73"/>
        <v>44768.874305555561</v>
      </c>
      <c r="E215" s="932">
        <f t="shared" si="74"/>
        <v>44768.920138888883</v>
      </c>
      <c r="F215" s="932">
        <f t="shared" si="75"/>
        <v>44768.185416666667</v>
      </c>
      <c r="G215" s="932">
        <f t="shared" si="76"/>
        <v>44768.836111111115</v>
      </c>
      <c r="H215" s="2">
        <f t="shared" si="78"/>
        <v>6</v>
      </c>
      <c r="I215" s="2">
        <v>71.343368696974622</v>
      </c>
      <c r="J215" s="1317">
        <v>19.264205346236125</v>
      </c>
      <c r="AP215" s="1855">
        <f t="shared" si="66"/>
        <v>44582</v>
      </c>
      <c r="AQ215" s="925" t="str">
        <f t="shared" si="67"/>
        <v>EENT</v>
      </c>
      <c r="AR215" s="1856">
        <f t="shared" si="68"/>
        <v>44582.787499999999</v>
      </c>
      <c r="AS215" s="927" t="s">
        <v>1100</v>
      </c>
      <c r="AT215" s="1856" t="str">
        <f t="shared" si="60"/>
        <v/>
      </c>
      <c r="AU215" s="1856" t="str">
        <f t="shared" si="61"/>
        <v/>
      </c>
      <c r="AV215" s="1856" t="str">
        <f t="shared" si="62"/>
        <v/>
      </c>
      <c r="AW215" s="1856" t="str">
        <f t="shared" si="63"/>
        <v/>
      </c>
      <c r="AX215" s="1856" t="str">
        <f t="shared" si="64"/>
        <v/>
      </c>
      <c r="AY215" s="1856" t="str">
        <f t="shared" si="65"/>
        <v/>
      </c>
      <c r="BB215" s="1879">
        <v>26</v>
      </c>
      <c r="BC215" s="1880">
        <v>0.18541666666666667</v>
      </c>
      <c r="BD215" s="1880" t="s">
        <v>907</v>
      </c>
      <c r="BE215" s="1880">
        <v>0.8354166666666667</v>
      </c>
      <c r="BF215" s="1880" t="s">
        <v>960</v>
      </c>
      <c r="BG215" s="1879" t="s">
        <v>241</v>
      </c>
      <c r="BH215" s="1880">
        <v>0.51041666666666663</v>
      </c>
      <c r="BI215" s="1879" t="s">
        <v>1111</v>
      </c>
      <c r="BJ215" s="1881">
        <v>252432</v>
      </c>
      <c r="BK215" s="1882">
        <v>0.04</v>
      </c>
      <c r="BL215" s="1619">
        <f t="shared" si="69"/>
        <v>44768</v>
      </c>
      <c r="BM215" s="1856">
        <f t="shared" si="79"/>
        <v>0.51041666666666663</v>
      </c>
      <c r="BN215" s="934">
        <f t="shared" si="70"/>
        <v>78.8</v>
      </c>
    </row>
    <row r="216" spans="1:66" ht="14.5">
      <c r="A216" s="1">
        <f t="shared" si="77"/>
        <v>44769</v>
      </c>
      <c r="B216" s="932">
        <f t="shared" si="71"/>
        <v>44769.234027777777</v>
      </c>
      <c r="C216" s="932">
        <f t="shared" si="72"/>
        <v>44769.279861111114</v>
      </c>
      <c r="D216" s="932">
        <f t="shared" si="73"/>
        <v>44769.873611111114</v>
      </c>
      <c r="E216" s="932">
        <f t="shared" si="74"/>
        <v>44769.919444444444</v>
      </c>
      <c r="F216" s="932">
        <f t="shared" si="75"/>
        <v>44769.222916666666</v>
      </c>
      <c r="G216" s="932">
        <f t="shared" si="76"/>
        <v>44769.866666666669</v>
      </c>
      <c r="H216" s="2">
        <f t="shared" si="78"/>
        <v>2</v>
      </c>
      <c r="I216" s="2">
        <v>71.116358591155318</v>
      </c>
      <c r="J216" s="1317">
        <v>19.036710029516012</v>
      </c>
      <c r="AP216" s="1855">
        <f t="shared" si="66"/>
        <v>44582</v>
      </c>
      <c r="AQ216" s="925" t="str">
        <f t="shared" si="67"/>
        <v>MR</v>
      </c>
      <c r="AR216" s="1856">
        <f t="shared" si="68"/>
        <v>44582.90347222222</v>
      </c>
      <c r="AS216" s="927" t="s">
        <v>1112</v>
      </c>
      <c r="AT216" s="1856" t="str">
        <f t="shared" si="60"/>
        <v/>
      </c>
      <c r="AU216" s="1856" t="str">
        <f t="shared" si="61"/>
        <v/>
      </c>
      <c r="AV216" s="1856" t="str">
        <f t="shared" si="62"/>
        <v/>
      </c>
      <c r="AW216" s="1856" t="str">
        <f t="shared" si="63"/>
        <v/>
      </c>
      <c r="AX216" s="1856" t="str">
        <f t="shared" si="64"/>
        <v/>
      </c>
      <c r="AY216" s="1856" t="str">
        <f t="shared" si="65"/>
        <v/>
      </c>
      <c r="BB216" s="1879">
        <v>27</v>
      </c>
      <c r="BC216" s="1880">
        <v>0.22222222222222221</v>
      </c>
      <c r="BD216" s="1880" t="s">
        <v>685</v>
      </c>
      <c r="BE216" s="1880">
        <v>0.86597222222222225</v>
      </c>
      <c r="BF216" s="1880" t="s">
        <v>609</v>
      </c>
      <c r="BG216" s="1879" t="s">
        <v>241</v>
      </c>
      <c r="BH216" s="1880">
        <v>0.54583333333333328</v>
      </c>
      <c r="BI216" s="1879" t="s">
        <v>704</v>
      </c>
      <c r="BJ216" s="1881">
        <v>252063</v>
      </c>
      <c r="BK216" s="1882">
        <v>1.0999999999999999E-2</v>
      </c>
      <c r="BL216" s="1619">
        <f t="shared" si="69"/>
        <v>44769</v>
      </c>
      <c r="BM216" s="1856">
        <f t="shared" si="79"/>
        <v>0.54583333333333328</v>
      </c>
      <c r="BN216" s="934">
        <f t="shared" si="70"/>
        <v>77.8</v>
      </c>
    </row>
    <row r="217" spans="1:66" ht="14.5">
      <c r="A217" s="1">
        <f t="shared" si="77"/>
        <v>44770</v>
      </c>
      <c r="B217" s="932">
        <f t="shared" si="71"/>
        <v>44770.234722222223</v>
      </c>
      <c r="C217" s="932">
        <f t="shared" si="72"/>
        <v>44770.279861111114</v>
      </c>
      <c r="D217" s="932">
        <f t="shared" si="73"/>
        <v>44770.872916666667</v>
      </c>
      <c r="E217" s="932">
        <f t="shared" si="74"/>
        <v>44770.918749999997</v>
      </c>
      <c r="F217" s="932">
        <f t="shared" si="75"/>
        <v>44770.263194444444</v>
      </c>
      <c r="G217" s="932">
        <f t="shared" si="76"/>
        <v>44770.893055555556</v>
      </c>
      <c r="H217" s="2">
        <f t="shared" si="78"/>
        <v>1</v>
      </c>
      <c r="I217" s="2">
        <v>70.884230649504232</v>
      </c>
      <c r="J217" s="1317">
        <v>18.803985494331862</v>
      </c>
      <c r="AP217" s="1855">
        <f t="shared" si="66"/>
        <v>44583</v>
      </c>
      <c r="AQ217" s="925" t="str">
        <f t="shared" si="67"/>
        <v/>
      </c>
      <c r="AR217" s="1856" t="str">
        <f t="shared" si="68"/>
        <v/>
      </c>
      <c r="AS217" s="927">
        <v>22</v>
      </c>
      <c r="AT217" s="1856">
        <f t="shared" si="60"/>
        <v>44583.288194444445</v>
      </c>
      <c r="AU217" s="1856">
        <f t="shared" si="61"/>
        <v>44583.329861111109</v>
      </c>
      <c r="AV217" s="1856">
        <f t="shared" si="62"/>
        <v>44583.746527777781</v>
      </c>
      <c r="AW217" s="1856">
        <f t="shared" si="63"/>
        <v>44583.788194444445</v>
      </c>
      <c r="AX217" s="1856">
        <f t="shared" si="64"/>
        <v>44583.947916666664</v>
      </c>
      <c r="AY217" s="1856">
        <f t="shared" si="65"/>
        <v>44583.44930555555</v>
      </c>
      <c r="AZ217" s="1853">
        <v>0.83</v>
      </c>
      <c r="BB217" s="1879" t="s">
        <v>1113</v>
      </c>
      <c r="BC217" s="1880">
        <v>0.26250000000000001</v>
      </c>
      <c r="BD217" s="1880" t="s">
        <v>599</v>
      </c>
      <c r="BE217" s="1880">
        <v>0.89236111111111116</v>
      </c>
      <c r="BF217" s="1880" t="s">
        <v>591</v>
      </c>
      <c r="BG217" s="1879" t="s">
        <v>241</v>
      </c>
      <c r="BH217" s="1880">
        <v>0.57986111111111105</v>
      </c>
      <c r="BI217" s="1879" t="s">
        <v>1114</v>
      </c>
      <c r="BJ217" s="1881">
        <v>251247</v>
      </c>
      <c r="BK217" s="1882">
        <v>2E-3</v>
      </c>
      <c r="BL217" s="1619">
        <f t="shared" si="69"/>
        <v>44770</v>
      </c>
      <c r="BM217" s="1856">
        <f t="shared" si="79"/>
        <v>0.57986111111111105</v>
      </c>
      <c r="BN217" s="934">
        <f t="shared" si="70"/>
        <v>75.5</v>
      </c>
    </row>
    <row r="218" spans="1:66" ht="14.5">
      <c r="A218" s="1">
        <f t="shared" si="77"/>
        <v>44771</v>
      </c>
      <c r="B218" s="932">
        <f t="shared" si="71"/>
        <v>44771.23541666667</v>
      </c>
      <c r="C218" s="932">
        <f t="shared" si="72"/>
        <v>44771.280555555553</v>
      </c>
      <c r="D218" s="932">
        <f t="shared" si="73"/>
        <v>44771.872222222228</v>
      </c>
      <c r="E218" s="932">
        <f t="shared" si="74"/>
        <v>44771.91805555555</v>
      </c>
      <c r="F218" s="932">
        <f t="shared" si="75"/>
        <v>44771.305555555555</v>
      </c>
      <c r="G218" s="932">
        <f t="shared" si="76"/>
        <v>44771.915972222225</v>
      </c>
      <c r="H218" s="2">
        <f t="shared" si="78"/>
        <v>0</v>
      </c>
      <c r="I218" s="2">
        <v>70.647056853618338</v>
      </c>
      <c r="J218" s="1317">
        <v>18.566108797419371</v>
      </c>
      <c r="AP218" s="1855">
        <f t="shared" si="66"/>
        <v>44583</v>
      </c>
      <c r="AQ218" s="925" t="str">
        <f t="shared" si="67"/>
        <v/>
      </c>
      <c r="AR218" s="1856" t="str">
        <f t="shared" si="68"/>
        <v/>
      </c>
      <c r="AS218" s="927" t="s">
        <v>252</v>
      </c>
      <c r="AT218" s="1856" t="str">
        <f t="shared" si="60"/>
        <v/>
      </c>
      <c r="AU218" s="1856" t="str">
        <f t="shared" si="61"/>
        <v/>
      </c>
      <c r="AV218" s="1856" t="str">
        <f t="shared" si="62"/>
        <v/>
      </c>
      <c r="AW218" s="1856" t="str">
        <f t="shared" si="63"/>
        <v/>
      </c>
      <c r="AX218" s="1856" t="str">
        <f t="shared" si="64"/>
        <v/>
      </c>
      <c r="AY218" s="1856" t="str">
        <f t="shared" si="65"/>
        <v/>
      </c>
      <c r="BB218" s="1879">
        <v>29</v>
      </c>
      <c r="BC218" s="1880">
        <v>0.30416666666666664</v>
      </c>
      <c r="BD218" s="1880" t="s">
        <v>590</v>
      </c>
      <c r="BE218" s="1880">
        <v>0.9145833333333333</v>
      </c>
      <c r="BF218" s="1879" t="s">
        <v>902</v>
      </c>
      <c r="BG218" s="1880" t="s">
        <v>241</v>
      </c>
      <c r="BH218" s="1880">
        <v>0.61249999999999993</v>
      </c>
      <c r="BI218" s="1881" t="s">
        <v>1115</v>
      </c>
      <c r="BJ218" s="1882">
        <v>250037</v>
      </c>
      <c r="BK218" s="1882">
        <v>1.2E-2</v>
      </c>
      <c r="BL218" s="1619">
        <f t="shared" si="69"/>
        <v>44771</v>
      </c>
      <c r="BM218" s="1856">
        <f t="shared" si="79"/>
        <v>0.61249999999999993</v>
      </c>
      <c r="BN218" s="934">
        <f t="shared" si="70"/>
        <v>72</v>
      </c>
    </row>
    <row r="219" spans="1:66" ht="14.5">
      <c r="A219" s="1">
        <f t="shared" si="77"/>
        <v>44772</v>
      </c>
      <c r="B219" s="932">
        <f t="shared" si="71"/>
        <v>44772.236111111117</v>
      </c>
      <c r="C219" s="932">
        <f t="shared" si="72"/>
        <v>44772.28125</v>
      </c>
      <c r="D219" s="932">
        <f t="shared" si="73"/>
        <v>44772.872222222228</v>
      </c>
      <c r="E219" s="932">
        <f t="shared" si="74"/>
        <v>44772.917361111111</v>
      </c>
      <c r="F219" s="932">
        <f t="shared" si="75"/>
        <v>44772.347916666666</v>
      </c>
      <c r="G219" s="932">
        <f t="shared" si="76"/>
        <v>44772.935416666667</v>
      </c>
      <c r="H219" s="2">
        <f t="shared" si="78"/>
        <v>2</v>
      </c>
      <c r="I219" s="2">
        <v>70.404909311501839</v>
      </c>
      <c r="J219" s="1317">
        <v>18.32315792525154</v>
      </c>
      <c r="AP219" s="1855">
        <f t="shared" si="66"/>
        <v>44583</v>
      </c>
      <c r="AQ219" s="925" t="str">
        <f t="shared" si="67"/>
        <v/>
      </c>
      <c r="AR219" s="1856" t="str">
        <f t="shared" si="68"/>
        <v/>
      </c>
      <c r="AT219" s="1856" t="str">
        <f t="shared" si="60"/>
        <v/>
      </c>
      <c r="AU219" s="1856" t="str">
        <f t="shared" si="61"/>
        <v/>
      </c>
      <c r="AV219" s="1856" t="str">
        <f t="shared" si="62"/>
        <v/>
      </c>
      <c r="AW219" s="1856" t="str">
        <f t="shared" si="63"/>
        <v/>
      </c>
      <c r="AX219" s="1856" t="str">
        <f t="shared" si="64"/>
        <v/>
      </c>
      <c r="AY219" s="1856" t="str">
        <f t="shared" si="65"/>
        <v/>
      </c>
      <c r="BB219" s="1879">
        <v>30</v>
      </c>
      <c r="BC219" s="1880">
        <v>0.34722222222222227</v>
      </c>
      <c r="BD219" s="1879" t="s">
        <v>846</v>
      </c>
      <c r="BE219" s="1880">
        <v>0.93472222222222223</v>
      </c>
      <c r="BF219" s="1879" t="s">
        <v>1116</v>
      </c>
      <c r="BG219" s="1879" t="s">
        <v>241</v>
      </c>
      <c r="BH219" s="1880">
        <v>0.64444444444444449</v>
      </c>
      <c r="BI219" s="1879" t="s">
        <v>652</v>
      </c>
      <c r="BJ219" s="1881">
        <v>248467</v>
      </c>
      <c r="BK219" s="1882">
        <v>4.2000000000000003E-2</v>
      </c>
      <c r="BL219" s="1619">
        <f t="shared" si="69"/>
        <v>44772</v>
      </c>
      <c r="BM219" s="1856">
        <f t="shared" si="79"/>
        <v>0.64444444444444449</v>
      </c>
      <c r="BN219" s="934">
        <f t="shared" si="70"/>
        <v>67.599999999999994</v>
      </c>
    </row>
    <row r="220" spans="1:66" ht="14.5">
      <c r="A220" s="1">
        <f t="shared" si="77"/>
        <v>44773</v>
      </c>
      <c r="B220" s="932">
        <f t="shared" si="71"/>
        <v>44773.236805555556</v>
      </c>
      <c r="C220" s="932">
        <f t="shared" si="72"/>
        <v>44773.281944444447</v>
      </c>
      <c r="D220" s="932">
        <f t="shared" si="73"/>
        <v>44773.871527777781</v>
      </c>
      <c r="E220" s="932">
        <f t="shared" si="74"/>
        <v>44773.916666666664</v>
      </c>
      <c r="F220" s="932">
        <f t="shared" si="75"/>
        <v>44773.390277777777</v>
      </c>
      <c r="G220" s="932">
        <f t="shared" si="76"/>
        <v>44773.953472222223</v>
      </c>
      <c r="H220" s="2">
        <f t="shared" si="78"/>
        <v>6</v>
      </c>
      <c r="I220" s="2">
        <v>70.157860261671956</v>
      </c>
      <c r="J220" s="1317">
        <v>18.075211740559016</v>
      </c>
      <c r="AP220" s="1855">
        <f t="shared" si="66"/>
        <v>44583</v>
      </c>
      <c r="AQ220" s="925" t="str">
        <f t="shared" si="67"/>
        <v>BMNT</v>
      </c>
      <c r="AR220" s="1856">
        <f t="shared" si="68"/>
        <v>44583.288194444445</v>
      </c>
      <c r="AS220" s="927" t="s">
        <v>1117</v>
      </c>
      <c r="AT220" s="1856" t="str">
        <f t="shared" ref="AT220:AT283" si="80">IF(ISNUMBER(AS220),INDEX(AR221:AR231,MATCH($AT$27,AQ221:AQ231,0)),"")</f>
        <v/>
      </c>
      <c r="AU220" s="1856" t="str">
        <f t="shared" ref="AU220:AU283" si="81">IF(AT220="","",INDEX(AR221:AR231,MATCH($AU$27,AQ221:AQ231,0)))</f>
        <v/>
      </c>
      <c r="AV220" s="1856" t="str">
        <f t="shared" ref="AV220:AV283" si="82">IF(AT220="","",INDEX(AR221:AR231,MATCH($AV$27,AQ221:AQ231,0)))</f>
        <v/>
      </c>
      <c r="AW220" s="1856" t="str">
        <f t="shared" ref="AW220:AW283" si="83">IF(AT220="","",INDEX(AR221:AR231,MATCH($AW$27,AQ221:AQ231,0)))</f>
        <v/>
      </c>
      <c r="AX220" s="1856" t="str">
        <f t="shared" ref="AX220:AX283" si="84">IF(AT220="","",INDEX(AR221:AR231,MATCH($AX$27,AQ221:AQ231,0)))</f>
        <v/>
      </c>
      <c r="AY220" s="1856" t="str">
        <f t="shared" ref="AY220:AY283" si="85">IF(AT220="","",INDEX(AR221:AR231,MATCH($AY$27,AQ221:AQ231,0)))</f>
        <v/>
      </c>
      <c r="BB220" s="1879">
        <v>31</v>
      </c>
      <c r="BC220" s="1880">
        <v>0.38958333333333334</v>
      </c>
      <c r="BD220" s="1879" t="s">
        <v>995</v>
      </c>
      <c r="BE220" s="1880">
        <v>0.95277777777777783</v>
      </c>
      <c r="BF220" s="1879" t="s">
        <v>916</v>
      </c>
      <c r="BG220" s="1879" t="s">
        <v>241</v>
      </c>
      <c r="BH220" s="1880">
        <v>0.6743055555555556</v>
      </c>
      <c r="BI220" s="1879" t="s">
        <v>1118</v>
      </c>
      <c r="BJ220" s="1881">
        <v>246553</v>
      </c>
      <c r="BK220" s="1882">
        <v>9.0999999999999998E-2</v>
      </c>
      <c r="BL220" s="1619">
        <f t="shared" si="69"/>
        <v>44773</v>
      </c>
      <c r="BM220" s="1856">
        <f t="shared" si="79"/>
        <v>0.6743055555555556</v>
      </c>
      <c r="BN220" s="934">
        <f t="shared" si="70"/>
        <v>62.4</v>
      </c>
    </row>
    <row r="221" spans="1:66" ht="14.5">
      <c r="A221" s="1">
        <f t="shared" si="77"/>
        <v>44774</v>
      </c>
      <c r="B221" s="932">
        <f t="shared" si="71"/>
        <v>44774.237500000003</v>
      </c>
      <c r="C221" s="932">
        <f t="shared" si="72"/>
        <v>44774.282638888886</v>
      </c>
      <c r="D221" s="932">
        <f t="shared" si="73"/>
        <v>44774.870833333334</v>
      </c>
      <c r="E221" s="932">
        <f t="shared" si="74"/>
        <v>44774.915972222225</v>
      </c>
      <c r="F221" s="932">
        <f t="shared" si="75"/>
        <v>44774.433333333334</v>
      </c>
      <c r="G221" s="932">
        <f t="shared" si="76"/>
        <v>44774.970138888893</v>
      </c>
      <c r="H221" s="2">
        <f t="shared" si="78"/>
        <v>11</v>
      </c>
      <c r="I221" s="2">
        <v>69.905982081631933</v>
      </c>
      <c r="J221" s="1317">
        <v>17.822349930389876</v>
      </c>
      <c r="AP221" s="1855">
        <f t="shared" si="66"/>
        <v>44583</v>
      </c>
      <c r="AQ221" s="925" t="str">
        <f t="shared" si="67"/>
        <v>SR</v>
      </c>
      <c r="AR221" s="1856">
        <f t="shared" si="68"/>
        <v>44583.329861111109</v>
      </c>
      <c r="AS221" s="927" t="s">
        <v>1119</v>
      </c>
      <c r="AT221" s="1856" t="str">
        <f t="shared" si="80"/>
        <v/>
      </c>
      <c r="AU221" s="1856" t="str">
        <f t="shared" si="81"/>
        <v/>
      </c>
      <c r="AV221" s="1856" t="str">
        <f t="shared" si="82"/>
        <v/>
      </c>
      <c r="AW221" s="1856" t="str">
        <f t="shared" si="83"/>
        <v/>
      </c>
      <c r="AX221" s="1856" t="str">
        <f t="shared" si="84"/>
        <v/>
      </c>
      <c r="AY221" s="1856" t="str">
        <f t="shared" si="85"/>
        <v/>
      </c>
      <c r="BB221" s="1879">
        <v>1</v>
      </c>
      <c r="BC221" s="1880">
        <v>0.43263888888888885</v>
      </c>
      <c r="BD221" s="1879" t="s">
        <v>917</v>
      </c>
      <c r="BE221" s="1880">
        <v>0.96944444444444444</v>
      </c>
      <c r="BF221" s="1879" t="s">
        <v>504</v>
      </c>
      <c r="BG221" s="1879" t="s">
        <v>241</v>
      </c>
      <c r="BH221" s="1880">
        <v>0.70416666666666661</v>
      </c>
      <c r="BI221" s="1879" t="s">
        <v>1120</v>
      </c>
      <c r="BJ221" s="1881">
        <v>244304</v>
      </c>
      <c r="BK221" s="1882">
        <v>0.158</v>
      </c>
      <c r="BL221" s="1619">
        <f t="shared" si="69"/>
        <v>44774</v>
      </c>
      <c r="BM221" s="1856">
        <f t="shared" si="79"/>
        <v>0.70416666666666661</v>
      </c>
      <c r="BN221" s="934">
        <f t="shared" si="70"/>
        <v>56.8</v>
      </c>
    </row>
    <row r="222" spans="1:66" ht="14.5">
      <c r="A222" s="1">
        <f t="shared" si="77"/>
        <v>44775</v>
      </c>
      <c r="B222" s="932">
        <f t="shared" si="71"/>
        <v>44775.23819444445</v>
      </c>
      <c r="C222" s="932">
        <f t="shared" si="72"/>
        <v>44775.283333333333</v>
      </c>
      <c r="D222" s="932">
        <f t="shared" si="73"/>
        <v>44775.870138888895</v>
      </c>
      <c r="E222" s="932">
        <f t="shared" si="74"/>
        <v>44775.914583333331</v>
      </c>
      <c r="F222" s="932">
        <f t="shared" si="75"/>
        <v>44775.475694444445</v>
      </c>
      <c r="G222" s="932">
        <f t="shared" si="76"/>
        <v>44775.986805555556</v>
      </c>
      <c r="H222" s="2">
        <f t="shared" si="78"/>
        <v>18</v>
      </c>
      <c r="I222" s="2">
        <v>69.649347300168273</v>
      </c>
      <c r="J222" s="1317">
        <v>17.564652955798465</v>
      </c>
      <c r="AP222" s="1855">
        <f t="shared" si="66"/>
        <v>44583</v>
      </c>
      <c r="AQ222" s="925" t="str">
        <f t="shared" si="67"/>
        <v>MS</v>
      </c>
      <c r="AR222" s="1856">
        <f t="shared" si="68"/>
        <v>44583.44930555555</v>
      </c>
      <c r="AS222" s="927" t="s">
        <v>1121</v>
      </c>
      <c r="AT222" s="1856" t="str">
        <f t="shared" si="80"/>
        <v/>
      </c>
      <c r="AU222" s="1856" t="str">
        <f t="shared" si="81"/>
        <v/>
      </c>
      <c r="AV222" s="1856" t="str">
        <f t="shared" si="82"/>
        <v/>
      </c>
      <c r="AW222" s="1856" t="str">
        <f t="shared" si="83"/>
        <v/>
      </c>
      <c r="AX222" s="1856" t="str">
        <f t="shared" si="84"/>
        <v/>
      </c>
      <c r="AY222" s="1856" t="str">
        <f t="shared" si="85"/>
        <v/>
      </c>
      <c r="BB222" s="1879">
        <v>2</v>
      </c>
      <c r="BC222" s="1880">
        <v>0.47500000000000003</v>
      </c>
      <c r="BD222" s="1879" t="s">
        <v>510</v>
      </c>
      <c r="BE222" s="1880">
        <v>0.98611111111111116</v>
      </c>
      <c r="BF222" s="1879" t="s">
        <v>511</v>
      </c>
      <c r="BG222" s="1879" t="s">
        <v>241</v>
      </c>
      <c r="BH222" s="1880">
        <v>0.73402777777777783</v>
      </c>
      <c r="BI222" s="1879" t="s">
        <v>1122</v>
      </c>
      <c r="BJ222" s="1881">
        <v>241733</v>
      </c>
      <c r="BK222" s="1882">
        <v>0.24199999999999999</v>
      </c>
      <c r="BL222" s="1619">
        <f t="shared" si="69"/>
        <v>44775</v>
      </c>
      <c r="BM222" s="1856">
        <f t="shared" si="79"/>
        <v>0.73402777777777783</v>
      </c>
      <c r="BN222" s="934">
        <f t="shared" si="70"/>
        <v>50.8</v>
      </c>
    </row>
    <row r="223" spans="1:66" ht="14.5">
      <c r="A223" s="1">
        <f t="shared" si="77"/>
        <v>44776</v>
      </c>
      <c r="B223" s="932">
        <f t="shared" si="71"/>
        <v>44776.238888888889</v>
      </c>
      <c r="C223" s="932">
        <f t="shared" si="72"/>
        <v>44776.283333333333</v>
      </c>
      <c r="D223" s="932">
        <f t="shared" si="73"/>
        <v>44776.869444444448</v>
      </c>
      <c r="E223" s="932">
        <f t="shared" si="74"/>
        <v>44776.913888888892</v>
      </c>
      <c r="F223" s="932">
        <f t="shared" si="75"/>
        <v>44776.519444444442</v>
      </c>
      <c r="G223" s="932" t="str">
        <f t="shared" si="76"/>
        <v>NONE</v>
      </c>
      <c r="H223" s="2">
        <f t="shared" si="78"/>
        <v>27</v>
      </c>
      <c r="I223" s="2">
        <v>69.388028612921616</v>
      </c>
      <c r="J223" s="1317">
        <v>17.302202003212305</v>
      </c>
      <c r="AP223" s="1855">
        <f t="shared" si="66"/>
        <v>44583</v>
      </c>
      <c r="AQ223" s="925" t="str">
        <f t="shared" si="67"/>
        <v>SS</v>
      </c>
      <c r="AR223" s="1856">
        <f t="shared" si="68"/>
        <v>44583.746527777781</v>
      </c>
      <c r="AS223" s="927" t="s">
        <v>1123</v>
      </c>
      <c r="AT223" s="1856" t="str">
        <f t="shared" si="80"/>
        <v/>
      </c>
      <c r="AU223" s="1856" t="str">
        <f t="shared" si="81"/>
        <v/>
      </c>
      <c r="AV223" s="1856" t="str">
        <f t="shared" si="82"/>
        <v/>
      </c>
      <c r="AW223" s="1856" t="str">
        <f t="shared" si="83"/>
        <v/>
      </c>
      <c r="AX223" s="1856" t="str">
        <f t="shared" si="84"/>
        <v/>
      </c>
      <c r="AY223" s="1856" t="str">
        <f t="shared" si="85"/>
        <v/>
      </c>
      <c r="BB223" s="1879">
        <v>3</v>
      </c>
      <c r="BC223" s="1880">
        <v>0.51874999999999993</v>
      </c>
      <c r="BD223" s="1879" t="s">
        <v>519</v>
      </c>
      <c r="BE223" s="1880" t="s">
        <v>241</v>
      </c>
      <c r="BF223" s="1879" t="s">
        <v>241</v>
      </c>
      <c r="BG223" s="1880">
        <v>0.76388888888888884</v>
      </c>
      <c r="BH223" s="1880" t="s">
        <v>1124</v>
      </c>
      <c r="BI223" s="1881">
        <v>238873</v>
      </c>
      <c r="BJ223" s="1881">
        <v>0.33900000000000002</v>
      </c>
      <c r="BK223" s="1882"/>
      <c r="BL223" s="1619">
        <f t="shared" si="69"/>
        <v>44776</v>
      </c>
      <c r="BM223" s="1856">
        <f t="shared" si="79"/>
        <v>0.76388888888888884</v>
      </c>
      <c r="BN223" s="934">
        <f t="shared" si="70"/>
        <v>44.7</v>
      </c>
    </row>
    <row r="224" spans="1:66" ht="14.5">
      <c r="A224" s="1">
        <f t="shared" si="77"/>
        <v>44777</v>
      </c>
      <c r="B224" s="932">
        <f t="shared" si="71"/>
        <v>44777.239583333336</v>
      </c>
      <c r="C224" s="932">
        <f t="shared" si="72"/>
        <v>44777.28402777778</v>
      </c>
      <c r="D224" s="932">
        <f t="shared" si="73"/>
        <v>44777.868750000001</v>
      </c>
      <c r="E224" s="932">
        <f t="shared" si="74"/>
        <v>44777.913194444445</v>
      </c>
      <c r="F224" s="932">
        <f t="shared" si="75"/>
        <v>44777.565277777772</v>
      </c>
      <c r="G224" s="932">
        <f t="shared" si="76"/>
        <v>44777.003472222219</v>
      </c>
      <c r="H224" s="2">
        <f t="shared" si="78"/>
        <v>37</v>
      </c>
      <c r="I224" s="2">
        <v>69.122098900740255</v>
      </c>
      <c r="J224" s="1317">
        <v>17.035078937549823</v>
      </c>
      <c r="AP224" s="1855">
        <f t="shared" si="66"/>
        <v>44583</v>
      </c>
      <c r="AQ224" s="925" t="str">
        <f t="shared" si="67"/>
        <v>EENT</v>
      </c>
      <c r="AR224" s="1856">
        <f t="shared" si="68"/>
        <v>44583.788194444445</v>
      </c>
      <c r="AS224" s="927" t="s">
        <v>1125</v>
      </c>
      <c r="AT224" s="1856" t="str">
        <f t="shared" si="80"/>
        <v/>
      </c>
      <c r="AU224" s="1856" t="str">
        <f t="shared" si="81"/>
        <v/>
      </c>
      <c r="AV224" s="1856" t="str">
        <f t="shared" si="82"/>
        <v/>
      </c>
      <c r="AW224" s="1856" t="str">
        <f t="shared" si="83"/>
        <v/>
      </c>
      <c r="AX224" s="1856" t="str">
        <f t="shared" si="84"/>
        <v/>
      </c>
      <c r="AY224" s="1856" t="str">
        <f t="shared" si="85"/>
        <v/>
      </c>
      <c r="BB224" s="1879">
        <v>4</v>
      </c>
      <c r="BC224" s="1880" t="s">
        <v>241</v>
      </c>
      <c r="BD224" s="1880">
        <v>3.472222222222222E-3</v>
      </c>
      <c r="BE224" s="1880" t="s">
        <v>1126</v>
      </c>
      <c r="BF224" s="1880">
        <v>0.56458333333333333</v>
      </c>
      <c r="BG224" s="1879" t="s">
        <v>530</v>
      </c>
      <c r="BH224" s="1880">
        <v>0.79652777777777783</v>
      </c>
      <c r="BI224" s="1879" t="s">
        <v>1127</v>
      </c>
      <c r="BJ224" s="1881">
        <v>235801</v>
      </c>
      <c r="BK224" s="1882">
        <v>0.44700000000000001</v>
      </c>
      <c r="BL224" s="1619">
        <f t="shared" si="69"/>
        <v>44777</v>
      </c>
      <c r="BM224" s="1856">
        <f t="shared" si="79"/>
        <v>0.79652777777777783</v>
      </c>
      <c r="BN224" s="934">
        <f t="shared" si="70"/>
        <v>38.799999999999997</v>
      </c>
    </row>
    <row r="225" spans="1:66" ht="14.5">
      <c r="A225" s="1">
        <f t="shared" si="77"/>
        <v>44778</v>
      </c>
      <c r="B225" s="932">
        <f t="shared" si="71"/>
        <v>44778.240277777782</v>
      </c>
      <c r="C225" s="932">
        <f t="shared" si="72"/>
        <v>44778.284722222219</v>
      </c>
      <c r="D225" s="932">
        <f t="shared" si="73"/>
        <v>44778.868055555555</v>
      </c>
      <c r="E225" s="932">
        <f t="shared" si="74"/>
        <v>44778.912499999999</v>
      </c>
      <c r="F225" s="932">
        <f t="shared" si="75"/>
        <v>44778.61319444445</v>
      </c>
      <c r="G225" s="932">
        <f t="shared" si="76"/>
        <v>44778.022916666669</v>
      </c>
      <c r="H225" s="2">
        <f t="shared" si="78"/>
        <v>47</v>
      </c>
      <c r="I225" s="2">
        <v>68.851631250330612</v>
      </c>
      <c r="J225" s="1317">
        <v>16.763366257128098</v>
      </c>
      <c r="AP225" s="1855">
        <f t="shared" si="66"/>
        <v>44583</v>
      </c>
      <c r="AQ225" s="925" t="str">
        <f t="shared" si="67"/>
        <v>MR</v>
      </c>
      <c r="AR225" s="1856">
        <f t="shared" si="68"/>
        <v>44583.947916666664</v>
      </c>
      <c r="AS225" s="927" t="s">
        <v>1128</v>
      </c>
      <c r="AT225" s="1856" t="str">
        <f t="shared" si="80"/>
        <v/>
      </c>
      <c r="AU225" s="1856" t="str">
        <f t="shared" si="81"/>
        <v/>
      </c>
      <c r="AV225" s="1856" t="str">
        <f t="shared" si="82"/>
        <v/>
      </c>
      <c r="AW225" s="1856" t="str">
        <f t="shared" si="83"/>
        <v/>
      </c>
      <c r="AX225" s="1856" t="str">
        <f t="shared" si="84"/>
        <v/>
      </c>
      <c r="AY225" s="1856" t="str">
        <f t="shared" si="85"/>
        <v/>
      </c>
      <c r="BB225" s="1879" t="s">
        <v>1129</v>
      </c>
      <c r="BC225" s="1880" t="s">
        <v>241</v>
      </c>
      <c r="BD225" s="1880">
        <v>2.2222222222222223E-2</v>
      </c>
      <c r="BE225" s="1880" t="s">
        <v>531</v>
      </c>
      <c r="BF225" s="1880">
        <v>0.6118055555555556</v>
      </c>
      <c r="BG225" s="1879" t="s">
        <v>513</v>
      </c>
      <c r="BH225" s="1880">
        <v>0.83124999999999993</v>
      </c>
      <c r="BI225" s="1879" t="s">
        <v>1130</v>
      </c>
      <c r="BJ225" s="1881">
        <v>232645</v>
      </c>
      <c r="BK225" s="1882">
        <v>0.56000000000000005</v>
      </c>
      <c r="BL225" s="1619">
        <f t="shared" si="69"/>
        <v>44778</v>
      </c>
      <c r="BM225" s="1856">
        <f t="shared" si="79"/>
        <v>0.83124999999999993</v>
      </c>
      <c r="BN225" s="934">
        <f t="shared" si="70"/>
        <v>33.299999999999997</v>
      </c>
    </row>
    <row r="226" spans="1:66" ht="14.5">
      <c r="A226" s="1">
        <f t="shared" si="77"/>
        <v>44779</v>
      </c>
      <c r="B226" s="932">
        <f t="shared" si="71"/>
        <v>44779.240972222222</v>
      </c>
      <c r="C226" s="932">
        <f t="shared" si="72"/>
        <v>44779.285416666666</v>
      </c>
      <c r="D226" s="932">
        <f t="shared" si="73"/>
        <v>44779.867361111115</v>
      </c>
      <c r="E226" s="932">
        <f t="shared" si="74"/>
        <v>44779.911111111112</v>
      </c>
      <c r="F226" s="932">
        <f t="shared" si="75"/>
        <v>44779.663194444445</v>
      </c>
      <c r="G226" s="932">
        <f t="shared" si="76"/>
        <v>44779.045138888883</v>
      </c>
      <c r="H226" s="2">
        <f t="shared" si="78"/>
        <v>57.999999999999993</v>
      </c>
      <c r="I226" s="2">
        <v>68.576698976771553</v>
      </c>
      <c r="J226" s="1317">
        <v>16.487147050415071</v>
      </c>
      <c r="AP226" s="1855">
        <f t="shared" si="66"/>
        <v>44584</v>
      </c>
      <c r="AQ226" s="925" t="str">
        <f t="shared" si="67"/>
        <v/>
      </c>
      <c r="AR226" s="1856" t="str">
        <f t="shared" si="68"/>
        <v/>
      </c>
      <c r="AS226" s="927">
        <v>23</v>
      </c>
      <c r="AT226" s="1856">
        <f t="shared" si="80"/>
        <v>44584.288194444445</v>
      </c>
      <c r="AU226" s="1856">
        <f t="shared" si="81"/>
        <v>44584.329861111109</v>
      </c>
      <c r="AV226" s="1856">
        <f t="shared" si="82"/>
        <v>44584.747222222228</v>
      </c>
      <c r="AW226" s="1856">
        <f t="shared" si="83"/>
        <v>44584.788888888892</v>
      </c>
      <c r="AX226" s="1856">
        <f t="shared" si="84"/>
        <v>44584.992361111115</v>
      </c>
      <c r="AY226" s="1856">
        <f t="shared" si="85"/>
        <v>44584.467361111114</v>
      </c>
      <c r="AZ226" s="1853">
        <v>0.75</v>
      </c>
      <c r="BB226" s="1879">
        <v>6</v>
      </c>
      <c r="BC226" s="1880" t="s">
        <v>241</v>
      </c>
      <c r="BD226" s="1880">
        <v>4.5138888888888888E-2</v>
      </c>
      <c r="BE226" s="1880" t="s">
        <v>541</v>
      </c>
      <c r="BF226" s="1880">
        <v>0.66180555555555554</v>
      </c>
      <c r="BG226" s="1879" t="s">
        <v>982</v>
      </c>
      <c r="BH226" s="1880">
        <v>0.86944444444444446</v>
      </c>
      <c r="BI226" s="1879" t="s">
        <v>1131</v>
      </c>
      <c r="BJ226" s="1881">
        <v>229599</v>
      </c>
      <c r="BK226" s="1882">
        <v>0.67400000000000004</v>
      </c>
      <c r="BL226" s="1619">
        <f t="shared" si="69"/>
        <v>44779</v>
      </c>
      <c r="BM226" s="1856">
        <f t="shared" si="79"/>
        <v>0.86944444444444446</v>
      </c>
      <c r="BN226" s="934">
        <f t="shared" si="70"/>
        <v>28.8</v>
      </c>
    </row>
    <row r="227" spans="1:66" ht="14.5">
      <c r="A227" s="1">
        <f t="shared" si="77"/>
        <v>44780</v>
      </c>
      <c r="B227" s="932">
        <f t="shared" si="71"/>
        <v>44780.241666666669</v>
      </c>
      <c r="C227" s="932">
        <f t="shared" si="72"/>
        <v>44780.286111111112</v>
      </c>
      <c r="D227" s="932">
        <f t="shared" si="73"/>
        <v>44780.865972222222</v>
      </c>
      <c r="E227" s="932">
        <f t="shared" si="74"/>
        <v>44780.910416666666</v>
      </c>
      <c r="F227" s="932">
        <f t="shared" si="75"/>
        <v>44780.713888888895</v>
      </c>
      <c r="G227" s="932">
        <f t="shared" si="76"/>
        <v>44780.072916666664</v>
      </c>
      <c r="H227" s="2">
        <f t="shared" si="78"/>
        <v>69</v>
      </c>
      <c r="I227" s="2">
        <v>68.297375647472251</v>
      </c>
      <c r="J227" s="1317">
        <v>16.206504954650025</v>
      </c>
      <c r="AP227" s="1855">
        <f t="shared" si="66"/>
        <v>44584</v>
      </c>
      <c r="AQ227" s="925" t="str">
        <f t="shared" si="67"/>
        <v/>
      </c>
      <c r="AR227" s="1856" t="str">
        <f t="shared" si="68"/>
        <v/>
      </c>
      <c r="AS227" s="927" t="s">
        <v>252</v>
      </c>
      <c r="AT227" s="1856" t="str">
        <f t="shared" si="80"/>
        <v/>
      </c>
      <c r="AU227" s="1856" t="str">
        <f t="shared" si="81"/>
        <v/>
      </c>
      <c r="AV227" s="1856" t="str">
        <f t="shared" si="82"/>
        <v/>
      </c>
      <c r="AW227" s="1856" t="str">
        <f t="shared" si="83"/>
        <v/>
      </c>
      <c r="AX227" s="1856" t="str">
        <f t="shared" si="84"/>
        <v/>
      </c>
      <c r="AY227" s="1856" t="str">
        <f t="shared" si="85"/>
        <v/>
      </c>
      <c r="BB227" s="1879">
        <v>7</v>
      </c>
      <c r="BC227" s="1880" t="s">
        <v>241</v>
      </c>
      <c r="BD227" s="1880">
        <v>7.2222222222222229E-2</v>
      </c>
      <c r="BE227" s="1880" t="s">
        <v>553</v>
      </c>
      <c r="BF227" s="1880">
        <v>0.71319444444444446</v>
      </c>
      <c r="BG227" s="1879" t="s">
        <v>562</v>
      </c>
      <c r="BH227" s="1880">
        <v>0.91111111111111109</v>
      </c>
      <c r="BI227" s="1879" t="s">
        <v>729</v>
      </c>
      <c r="BJ227" s="1881">
        <v>226913</v>
      </c>
      <c r="BK227" s="1882">
        <v>0.78200000000000003</v>
      </c>
      <c r="BL227" s="1619">
        <f t="shared" si="69"/>
        <v>44780</v>
      </c>
      <c r="BM227" s="1856">
        <f t="shared" si="79"/>
        <v>0.91111111111111109</v>
      </c>
      <c r="BN227" s="934">
        <f t="shared" si="70"/>
        <v>25.6</v>
      </c>
    </row>
    <row r="228" spans="1:66" ht="14.5">
      <c r="A228" s="1">
        <f t="shared" si="77"/>
        <v>44781</v>
      </c>
      <c r="B228" s="932">
        <f t="shared" si="71"/>
        <v>44781.242361111115</v>
      </c>
      <c r="C228" s="932">
        <f t="shared" si="72"/>
        <v>44781.286805555559</v>
      </c>
      <c r="D228" s="932">
        <f t="shared" si="73"/>
        <v>44781.865277777782</v>
      </c>
      <c r="E228" s="932">
        <f t="shared" si="74"/>
        <v>44781.909722222219</v>
      </c>
      <c r="F228" s="932">
        <f t="shared" si="75"/>
        <v>44781.763194444444</v>
      </c>
      <c r="G228" s="932">
        <f t="shared" si="76"/>
        <v>44781.106944444444</v>
      </c>
      <c r="H228" s="2">
        <f t="shared" si="78"/>
        <v>79</v>
      </c>
      <c r="I228" s="2">
        <v>68.013735107207893</v>
      </c>
      <c r="J228" s="1317">
        <v>15.921524116373659</v>
      </c>
      <c r="AP228" s="1855">
        <f t="shared" si="66"/>
        <v>44584</v>
      </c>
      <c r="AQ228" s="925" t="str">
        <f t="shared" si="67"/>
        <v/>
      </c>
      <c r="AR228" s="1856" t="str">
        <f t="shared" si="68"/>
        <v/>
      </c>
      <c r="AT228" s="1856" t="str">
        <f t="shared" si="80"/>
        <v/>
      </c>
      <c r="AU228" s="1856" t="str">
        <f t="shared" si="81"/>
        <v/>
      </c>
      <c r="AV228" s="1856" t="str">
        <f t="shared" si="82"/>
        <v/>
      </c>
      <c r="AW228" s="1856" t="str">
        <f t="shared" si="83"/>
        <v/>
      </c>
      <c r="AX228" s="1856" t="str">
        <f t="shared" si="84"/>
        <v/>
      </c>
      <c r="AY228" s="1856" t="str">
        <f t="shared" si="85"/>
        <v/>
      </c>
      <c r="BB228" s="1879">
        <v>8</v>
      </c>
      <c r="BC228" s="1880" t="s">
        <v>241</v>
      </c>
      <c r="BD228" s="1880">
        <v>0.10625</v>
      </c>
      <c r="BE228" s="1880" t="s">
        <v>563</v>
      </c>
      <c r="BF228" s="1880">
        <v>0.76250000000000007</v>
      </c>
      <c r="BG228" s="1879" t="s">
        <v>882</v>
      </c>
      <c r="BH228" s="1880">
        <v>0.9555555555555556</v>
      </c>
      <c r="BI228" s="1879" t="s">
        <v>1132</v>
      </c>
      <c r="BJ228" s="1881">
        <v>224872</v>
      </c>
      <c r="BK228" s="1882">
        <v>0.875</v>
      </c>
      <c r="BL228" s="1619">
        <f t="shared" si="69"/>
        <v>44781</v>
      </c>
      <c r="BM228" s="1856">
        <f t="shared" si="79"/>
        <v>0.9555555555555556</v>
      </c>
      <c r="BN228" s="934">
        <f t="shared" si="70"/>
        <v>24.2</v>
      </c>
    </row>
    <row r="229" spans="1:66" ht="14.5">
      <c r="A229" s="1">
        <f t="shared" si="77"/>
        <v>44782</v>
      </c>
      <c r="B229" s="932">
        <f t="shared" si="71"/>
        <v>44782.243750000001</v>
      </c>
      <c r="C229" s="932">
        <f t="shared" si="72"/>
        <v>44782.287499999999</v>
      </c>
      <c r="D229" s="932">
        <f t="shared" si="73"/>
        <v>44782.864583333336</v>
      </c>
      <c r="E229" s="932">
        <f t="shared" si="74"/>
        <v>44782.908333333333</v>
      </c>
      <c r="F229" s="932">
        <f t="shared" si="75"/>
        <v>44782.807638888888</v>
      </c>
      <c r="G229" s="932">
        <f t="shared" si="76"/>
        <v>44782.149305555555</v>
      </c>
      <c r="H229" s="2">
        <f t="shared" si="78"/>
        <v>88</v>
      </c>
      <c r="I229" s="2">
        <v>67.725851503877806</v>
      </c>
      <c r="J229" s="1317">
        <v>15.632289153877293</v>
      </c>
      <c r="AP229" s="1855">
        <f t="shared" ref="AP229:AP292" si="86">IF(ISNUMBER(AS229),AP228+1,AP228)</f>
        <v>44584</v>
      </c>
      <c r="AQ229" s="925" t="str">
        <f t="shared" ref="AQ229:AQ292" si="87">IF(NOT(ISNUMBER(FIND(":",AS229))),"",IF(ISNUMBER(FIND("Sunr",AS229)),"SR", IF(ISNUMBER(FIND("Suns",AS229)),"SS",IF(ISNUMBER(FIND("Moonr",AS229)),"MR",IF(ISNUMBER(FIND("Moons",AS229)),"MS",IF(ISNUMBER(FIND("Twi",AS229)),IF(HOUR(AR229)&lt;12,"BMNT","EENT")))))))</f>
        <v>BMNT</v>
      </c>
      <c r="AR229" s="1856">
        <f t="shared" si="68"/>
        <v>44584.288194444445</v>
      </c>
      <c r="AS229" s="927" t="s">
        <v>1117</v>
      </c>
      <c r="AT229" s="1856" t="str">
        <f t="shared" si="80"/>
        <v/>
      </c>
      <c r="AU229" s="1856" t="str">
        <f t="shared" si="81"/>
        <v/>
      </c>
      <c r="AV229" s="1856" t="str">
        <f t="shared" si="82"/>
        <v/>
      </c>
      <c r="AW229" s="1856" t="str">
        <f t="shared" si="83"/>
        <v/>
      </c>
      <c r="AX229" s="1856" t="str">
        <f t="shared" si="84"/>
        <v/>
      </c>
      <c r="AY229" s="1856" t="str">
        <f t="shared" si="85"/>
        <v/>
      </c>
      <c r="BB229" s="1879">
        <v>9</v>
      </c>
      <c r="BC229" s="1880" t="s">
        <v>241</v>
      </c>
      <c r="BD229" s="1880">
        <v>0.14791666666666667</v>
      </c>
      <c r="BE229" s="1880" t="s">
        <v>936</v>
      </c>
      <c r="BF229" s="1880">
        <v>0.80694444444444446</v>
      </c>
      <c r="BG229" s="1879" t="s">
        <v>882</v>
      </c>
      <c r="BH229" s="1880" t="s">
        <v>695</v>
      </c>
      <c r="BJ229" s="1881"/>
      <c r="BK229" s="1882"/>
      <c r="BL229" s="1619">
        <f t="shared" si="69"/>
        <v>44782</v>
      </c>
      <c r="BM229" s="1856" t="str">
        <f t="shared" si="79"/>
        <v>NA</v>
      </c>
      <c r="BN229" s="934" t="str">
        <f t="shared" si="70"/>
        <v>NA</v>
      </c>
    </row>
    <row r="230" spans="1:66" ht="14.5">
      <c r="A230" s="1">
        <f t="shared" si="77"/>
        <v>44783</v>
      </c>
      <c r="B230" s="932">
        <f t="shared" si="71"/>
        <v>44783.244444444448</v>
      </c>
      <c r="C230" s="932">
        <f t="shared" si="72"/>
        <v>44783.288194444445</v>
      </c>
      <c r="D230" s="932">
        <f t="shared" si="73"/>
        <v>44783.863888888889</v>
      </c>
      <c r="E230" s="932">
        <f t="shared" si="74"/>
        <v>44783.907638888886</v>
      </c>
      <c r="F230" s="932">
        <f t="shared" si="75"/>
        <v>44783.845138888893</v>
      </c>
      <c r="G230" s="932">
        <f t="shared" si="76"/>
        <v>44783.197916666664</v>
      </c>
      <c r="H230" s="2">
        <f t="shared" si="78"/>
        <v>95</v>
      </c>
      <c r="I230" s="2">
        <v>67.433799314688258</v>
      </c>
      <c r="J230" s="1317">
        <v>15.33888512159883</v>
      </c>
      <c r="AP230" s="1855">
        <f t="shared" si="86"/>
        <v>44584</v>
      </c>
      <c r="AQ230" s="925" t="str">
        <f t="shared" si="87"/>
        <v>SR</v>
      </c>
      <c r="AR230" s="1856">
        <f t="shared" si="68"/>
        <v>44584.329861111109</v>
      </c>
      <c r="AS230" s="927" t="s">
        <v>1119</v>
      </c>
      <c r="AT230" s="1856" t="str">
        <f t="shared" si="80"/>
        <v/>
      </c>
      <c r="AU230" s="1856" t="str">
        <f t="shared" si="81"/>
        <v/>
      </c>
      <c r="AV230" s="1856" t="str">
        <f t="shared" si="82"/>
        <v/>
      </c>
      <c r="AW230" s="1856" t="str">
        <f t="shared" si="83"/>
        <v/>
      </c>
      <c r="AX230" s="1856" t="str">
        <f t="shared" si="84"/>
        <v/>
      </c>
      <c r="AY230" s="1856" t="str">
        <f t="shared" si="85"/>
        <v/>
      </c>
      <c r="BB230" s="1879">
        <v>10</v>
      </c>
      <c r="BC230" s="1880" t="s">
        <v>241</v>
      </c>
      <c r="BD230" s="1880">
        <v>0.19722222222222222</v>
      </c>
      <c r="BE230" s="1880" t="s">
        <v>563</v>
      </c>
      <c r="BF230" s="1880">
        <v>0.84444444444444444</v>
      </c>
      <c r="BG230" s="1879" t="s">
        <v>794</v>
      </c>
      <c r="BH230" s="1880">
        <v>1.3888888888888889E-3</v>
      </c>
      <c r="BI230" s="1879" t="s">
        <v>799</v>
      </c>
      <c r="BJ230" s="1881">
        <v>223744</v>
      </c>
      <c r="BK230" s="1882">
        <v>0.94499999999999995</v>
      </c>
      <c r="BL230" s="1619">
        <f t="shared" si="69"/>
        <v>44783</v>
      </c>
      <c r="BM230" s="1856">
        <f t="shared" si="79"/>
        <v>1.3888888888888889E-3</v>
      </c>
      <c r="BN230" s="934">
        <f t="shared" si="70"/>
        <v>25</v>
      </c>
    </row>
    <row r="231" spans="1:66" ht="14.5">
      <c r="A231" s="1">
        <f t="shared" si="77"/>
        <v>44784</v>
      </c>
      <c r="B231" s="932">
        <f t="shared" si="71"/>
        <v>44784.245138888895</v>
      </c>
      <c r="C231" s="932">
        <f t="shared" si="72"/>
        <v>44784.288194444445</v>
      </c>
      <c r="D231" s="932">
        <f t="shared" si="73"/>
        <v>44784.86319444445</v>
      </c>
      <c r="E231" s="932">
        <f t="shared" si="74"/>
        <v>44784.906944444447</v>
      </c>
      <c r="F231" s="932">
        <f t="shared" si="75"/>
        <v>44784.875694444447</v>
      </c>
      <c r="G231" s="932">
        <f t="shared" si="76"/>
        <v>44784.251388888886</v>
      </c>
      <c r="H231" s="2">
        <f t="shared" si="78"/>
        <v>99</v>
      </c>
      <c r="I231" s="2">
        <v>67.137653372469444</v>
      </c>
      <c r="J231" s="1317">
        <v>15.041397476463571</v>
      </c>
      <c r="AP231" s="1855">
        <f t="shared" si="86"/>
        <v>44584</v>
      </c>
      <c r="AQ231" s="925" t="str">
        <f t="shared" si="87"/>
        <v>MS</v>
      </c>
      <c r="AR231" s="1856">
        <f t="shared" si="68"/>
        <v>44584.467361111114</v>
      </c>
      <c r="AS231" s="927" t="s">
        <v>1133</v>
      </c>
      <c r="AT231" s="1856" t="str">
        <f t="shared" si="80"/>
        <v/>
      </c>
      <c r="AU231" s="1856" t="str">
        <f t="shared" si="81"/>
        <v/>
      </c>
      <c r="AV231" s="1856" t="str">
        <f t="shared" si="82"/>
        <v/>
      </c>
      <c r="AW231" s="1856" t="str">
        <f t="shared" si="83"/>
        <v/>
      </c>
      <c r="AX231" s="1856" t="str">
        <f t="shared" si="84"/>
        <v/>
      </c>
      <c r="AY231" s="1856" t="str">
        <f t="shared" si="85"/>
        <v/>
      </c>
      <c r="BB231" s="1879" t="s">
        <v>1134</v>
      </c>
      <c r="BC231" s="1880" t="s">
        <v>241</v>
      </c>
      <c r="BD231" s="1880">
        <v>0.25069444444444444</v>
      </c>
      <c r="BE231" s="1880" t="s">
        <v>712</v>
      </c>
      <c r="BF231" s="1880">
        <v>0.875</v>
      </c>
      <c r="BG231" s="1879" t="s">
        <v>786</v>
      </c>
      <c r="BH231" s="1880">
        <v>4.5833333333333337E-2</v>
      </c>
      <c r="BI231" s="1879" t="s">
        <v>1135</v>
      </c>
      <c r="BJ231" s="1881">
        <v>223720</v>
      </c>
      <c r="BK231" s="1882">
        <v>0.98699999999999999</v>
      </c>
      <c r="BL231" s="1619">
        <f t="shared" si="69"/>
        <v>44784</v>
      </c>
      <c r="BM231" s="1856">
        <f t="shared" si="79"/>
        <v>4.5833333333333337E-2</v>
      </c>
      <c r="BN231" s="934">
        <f t="shared" si="70"/>
        <v>27.9</v>
      </c>
    </row>
    <row r="232" spans="1:66" ht="14.5">
      <c r="A232" s="1">
        <f t="shared" si="77"/>
        <v>44785</v>
      </c>
      <c r="B232" s="932">
        <f t="shared" si="71"/>
        <v>44785.245833333334</v>
      </c>
      <c r="C232" s="932">
        <f t="shared" si="72"/>
        <v>44785.288888888892</v>
      </c>
      <c r="D232" s="932">
        <f t="shared" si="73"/>
        <v>44785.862500000003</v>
      </c>
      <c r="E232" s="932">
        <f t="shared" si="74"/>
        <v>44785.905555555553</v>
      </c>
      <c r="F232" s="932">
        <f t="shared" si="75"/>
        <v>44785.900694444441</v>
      </c>
      <c r="G232" s="932">
        <f t="shared" si="76"/>
        <v>44785.305555555555</v>
      </c>
      <c r="H232" s="2">
        <f t="shared" si="78"/>
        <v>100</v>
      </c>
      <c r="I232" s="2">
        <v>66.8374888918935</v>
      </c>
      <c r="J232" s="1317">
        <v>14.739912046186273</v>
      </c>
      <c r="AP232" s="1855">
        <f t="shared" si="86"/>
        <v>44584</v>
      </c>
      <c r="AQ232" s="925" t="str">
        <f t="shared" si="87"/>
        <v>SS</v>
      </c>
      <c r="AR232" s="1856">
        <f t="shared" si="68"/>
        <v>44584.747222222228</v>
      </c>
      <c r="AS232" s="927" t="s">
        <v>1136</v>
      </c>
      <c r="AT232" s="1856" t="str">
        <f t="shared" si="80"/>
        <v/>
      </c>
      <c r="AU232" s="1856" t="str">
        <f t="shared" si="81"/>
        <v/>
      </c>
      <c r="AV232" s="1856" t="str">
        <f t="shared" si="82"/>
        <v/>
      </c>
      <c r="AW232" s="1856" t="str">
        <f t="shared" si="83"/>
        <v/>
      </c>
      <c r="AX232" s="1856" t="str">
        <f t="shared" si="84"/>
        <v/>
      </c>
      <c r="AY232" s="1856" t="str">
        <f t="shared" si="85"/>
        <v/>
      </c>
      <c r="BB232" s="1879">
        <v>12</v>
      </c>
      <c r="BC232" s="1880" t="s">
        <v>241</v>
      </c>
      <c r="BD232" s="1880">
        <v>0.30486111111111108</v>
      </c>
      <c r="BE232" s="1880" t="s">
        <v>779</v>
      </c>
      <c r="BF232" s="1880">
        <v>0.9</v>
      </c>
      <c r="BG232" s="1879" t="s">
        <v>940</v>
      </c>
      <c r="BH232" s="1880">
        <v>8.7500000000000008E-2</v>
      </c>
      <c r="BI232" s="1879" t="s">
        <v>1137</v>
      </c>
      <c r="BJ232" s="1881">
        <v>224861</v>
      </c>
      <c r="BK232" s="1882">
        <v>0.998</v>
      </c>
      <c r="BL232" s="1619">
        <f t="shared" si="69"/>
        <v>44785</v>
      </c>
      <c r="BM232" s="1856">
        <f t="shared" si="79"/>
        <v>8.7500000000000008E-2</v>
      </c>
      <c r="BN232" s="934">
        <f t="shared" si="70"/>
        <v>32.5</v>
      </c>
    </row>
    <row r="233" spans="1:66" ht="14.5">
      <c r="A233" s="1">
        <f t="shared" si="77"/>
        <v>44786</v>
      </c>
      <c r="B233" s="932">
        <f t="shared" si="71"/>
        <v>44786.246527777781</v>
      </c>
      <c r="C233" s="932">
        <f t="shared" si="72"/>
        <v>44786.289583333331</v>
      </c>
      <c r="D233" s="932">
        <f t="shared" si="73"/>
        <v>44786.861805555556</v>
      </c>
      <c r="E233" s="932">
        <f t="shared" si="74"/>
        <v>44786.904861111114</v>
      </c>
      <c r="F233" s="932">
        <f t="shared" si="75"/>
        <v>44786.922222222223</v>
      </c>
      <c r="G233" s="932">
        <f t="shared" si="76"/>
        <v>44786.357638888891</v>
      </c>
      <c r="H233" s="2">
        <f t="shared" si="78"/>
        <v>98</v>
      </c>
      <c r="I233" s="2">
        <v>66.533381495361127</v>
      </c>
      <c r="J233" s="1317">
        <v>14.434514999517159</v>
      </c>
      <c r="AP233" s="1855">
        <f t="shared" si="86"/>
        <v>44584</v>
      </c>
      <c r="AQ233" s="925" t="str">
        <f t="shared" si="87"/>
        <v>EENT</v>
      </c>
      <c r="AR233" s="1856">
        <f t="shared" ref="AR233:AR296" si="88">IF(NOT(ISNUMBER(FIND(":",AS233))),"",IF(ISNUMBER(FIND(" none",AS233)),"NONE",AP233+LEFT(RIGHT(AS233,5),2)/24+RIGHT(AS233,2)/1440))</f>
        <v>44584.788888888892</v>
      </c>
      <c r="AS233" s="927" t="s">
        <v>1138</v>
      </c>
      <c r="AT233" s="1856" t="str">
        <f t="shared" si="80"/>
        <v/>
      </c>
      <c r="AU233" s="1856" t="str">
        <f t="shared" si="81"/>
        <v/>
      </c>
      <c r="AV233" s="1856" t="str">
        <f t="shared" si="82"/>
        <v/>
      </c>
      <c r="AW233" s="1856" t="str">
        <f t="shared" si="83"/>
        <v/>
      </c>
      <c r="AX233" s="1856" t="str">
        <f t="shared" si="84"/>
        <v/>
      </c>
      <c r="AY233" s="1856" t="str">
        <f t="shared" si="85"/>
        <v/>
      </c>
      <c r="BB233" s="1879">
        <v>13</v>
      </c>
      <c r="BC233" s="1880" t="s">
        <v>241</v>
      </c>
      <c r="BD233" s="1880">
        <v>0.35694444444444445</v>
      </c>
      <c r="BE233" s="1880" t="s">
        <v>760</v>
      </c>
      <c r="BF233" s="1880">
        <v>0.92152777777777783</v>
      </c>
      <c r="BG233" s="1879" t="s">
        <v>771</v>
      </c>
      <c r="BH233" s="1880">
        <v>0.12569444444444444</v>
      </c>
      <c r="BI233" s="1879" t="s">
        <v>1139</v>
      </c>
      <c r="BJ233" s="1881">
        <v>227080</v>
      </c>
      <c r="BK233" s="1882">
        <v>0.97699999999999998</v>
      </c>
      <c r="BL233" s="1619">
        <f t="shared" si="69"/>
        <v>44786</v>
      </c>
      <c r="BM233" s="1856">
        <f t="shared" si="79"/>
        <v>0.12569444444444444</v>
      </c>
      <c r="BN233" s="934">
        <f t="shared" si="70"/>
        <v>38.200000000000003</v>
      </c>
    </row>
    <row r="234" spans="1:66" ht="14.5">
      <c r="A234" s="1">
        <f t="shared" si="77"/>
        <v>44787</v>
      </c>
      <c r="B234" s="932">
        <f t="shared" si="71"/>
        <v>44787.247222222228</v>
      </c>
      <c r="C234" s="932">
        <f t="shared" si="72"/>
        <v>44787.290277777778</v>
      </c>
      <c r="D234" s="932">
        <f t="shared" si="73"/>
        <v>44787.86041666667</v>
      </c>
      <c r="E234" s="932">
        <f t="shared" si="74"/>
        <v>44787.90347222222</v>
      </c>
      <c r="F234" s="932">
        <f t="shared" si="75"/>
        <v>44787.940972222219</v>
      </c>
      <c r="G234" s="932">
        <f t="shared" si="76"/>
        <v>44787.407638888886</v>
      </c>
      <c r="H234" s="2">
        <f t="shared" si="78"/>
        <v>94</v>
      </c>
      <c r="I234" s="2">
        <v>66.225407238385088</v>
      </c>
      <c r="J234" s="1317">
        <v>14.125292818441062</v>
      </c>
      <c r="AP234" s="1855">
        <f t="shared" si="86"/>
        <v>44584</v>
      </c>
      <c r="AQ234" s="925" t="str">
        <f t="shared" si="87"/>
        <v>MR</v>
      </c>
      <c r="AR234" s="1856">
        <f t="shared" si="88"/>
        <v>44584.992361111115</v>
      </c>
      <c r="AS234" s="927" t="s">
        <v>1140</v>
      </c>
      <c r="AT234" s="1856" t="str">
        <f t="shared" si="80"/>
        <v/>
      </c>
      <c r="AU234" s="1856" t="str">
        <f t="shared" si="81"/>
        <v/>
      </c>
      <c r="AV234" s="1856" t="str">
        <f t="shared" si="82"/>
        <v/>
      </c>
      <c r="AW234" s="1856" t="str">
        <f t="shared" si="83"/>
        <v/>
      </c>
      <c r="AX234" s="1856" t="str">
        <f t="shared" si="84"/>
        <v/>
      </c>
      <c r="AY234" s="1856" t="str">
        <f t="shared" si="85"/>
        <v/>
      </c>
      <c r="BB234" s="1879">
        <v>14</v>
      </c>
      <c r="BC234" s="1880" t="s">
        <v>241</v>
      </c>
      <c r="BD234" s="1880">
        <v>0.4069444444444445</v>
      </c>
      <c r="BE234" s="1879" t="s">
        <v>1141</v>
      </c>
      <c r="BF234" s="1880">
        <v>0.94027777777777777</v>
      </c>
      <c r="BG234" s="1880" t="s">
        <v>544</v>
      </c>
      <c r="BH234" s="1880">
        <v>0.16041666666666668</v>
      </c>
      <c r="BI234" s="1881" t="s">
        <v>1124</v>
      </c>
      <c r="BJ234" s="1882">
        <v>230164</v>
      </c>
      <c r="BK234" s="1882">
        <v>0.92800000000000005</v>
      </c>
      <c r="BL234" s="1619">
        <f t="shared" si="69"/>
        <v>44787</v>
      </c>
      <c r="BM234" s="1856">
        <f t="shared" si="79"/>
        <v>0.16041666666666668</v>
      </c>
      <c r="BN234" s="934">
        <f t="shared" si="70"/>
        <v>44.7</v>
      </c>
    </row>
    <row r="235" spans="1:66" ht="14.5">
      <c r="A235" s="1">
        <f t="shared" si="77"/>
        <v>44788</v>
      </c>
      <c r="B235" s="932">
        <f t="shared" si="71"/>
        <v>44788.247916666667</v>
      </c>
      <c r="C235" s="932">
        <f t="shared" si="72"/>
        <v>44788.290972222225</v>
      </c>
      <c r="D235" s="932">
        <f t="shared" si="73"/>
        <v>44788.859722222223</v>
      </c>
      <c r="E235" s="932">
        <f t="shared" si="74"/>
        <v>44788.902777777781</v>
      </c>
      <c r="F235" s="932">
        <f t="shared" si="75"/>
        <v>44788.959027777782</v>
      </c>
      <c r="G235" s="932">
        <f t="shared" si="76"/>
        <v>44788.454861111109</v>
      </c>
      <c r="H235" s="2">
        <f t="shared" si="78"/>
        <v>87</v>
      </c>
      <c r="I235" s="2">
        <v>65.913642634295698</v>
      </c>
      <c r="J235" s="1317">
        <v>13.812332272303331</v>
      </c>
      <c r="AP235" s="1855">
        <f t="shared" si="86"/>
        <v>44585</v>
      </c>
      <c r="AQ235" s="925" t="str">
        <f t="shared" si="87"/>
        <v/>
      </c>
      <c r="AR235" s="1856" t="str">
        <f t="shared" si="88"/>
        <v/>
      </c>
      <c r="AS235" s="927">
        <v>24</v>
      </c>
      <c r="AT235" s="1856">
        <f t="shared" si="80"/>
        <v>44585.287499999999</v>
      </c>
      <c r="AU235" s="1856">
        <f t="shared" si="81"/>
        <v>44585.329166666663</v>
      </c>
      <c r="AV235" s="1856">
        <f t="shared" si="82"/>
        <v>44585.747916666667</v>
      </c>
      <c r="AW235" s="1856">
        <f t="shared" si="83"/>
        <v>44585.789583333331</v>
      </c>
      <c r="AX235" s="1856" t="str">
        <f t="shared" si="84"/>
        <v>NONE</v>
      </c>
      <c r="AY235" s="1856">
        <f t="shared" si="85"/>
        <v>44585.48541666667</v>
      </c>
      <c r="AZ235" s="1853">
        <v>0.65</v>
      </c>
      <c r="BB235" s="1879">
        <v>15</v>
      </c>
      <c r="BC235" s="1879" t="s">
        <v>241</v>
      </c>
      <c r="BD235" s="1880">
        <v>0.45416666666666666</v>
      </c>
      <c r="BE235" s="1879" t="s">
        <v>631</v>
      </c>
      <c r="BF235" s="1880">
        <v>0.95833333333333337</v>
      </c>
      <c r="BG235" s="1879" t="s">
        <v>1033</v>
      </c>
      <c r="BH235" s="1880">
        <v>0.19375000000000001</v>
      </c>
      <c r="BI235" s="1879" t="s">
        <v>1142</v>
      </c>
      <c r="BJ235" s="1881">
        <v>233814</v>
      </c>
      <c r="BK235" s="1882">
        <v>0.85699999999999998</v>
      </c>
      <c r="BL235" s="1619">
        <f t="shared" si="69"/>
        <v>44788</v>
      </c>
      <c r="BM235" s="1856">
        <f t="shared" si="79"/>
        <v>0.19375000000000001</v>
      </c>
      <c r="BN235" s="934">
        <f t="shared" si="70"/>
        <v>51.3</v>
      </c>
    </row>
    <row r="236" spans="1:66" ht="14.5">
      <c r="A236" s="1">
        <f t="shared" si="77"/>
        <v>44789</v>
      </c>
      <c r="B236" s="932">
        <f t="shared" si="71"/>
        <v>44789.248611111114</v>
      </c>
      <c r="C236" s="932">
        <f t="shared" si="72"/>
        <v>44789.291666666664</v>
      </c>
      <c r="D236" s="932">
        <f t="shared" si="73"/>
        <v>44789.859027777777</v>
      </c>
      <c r="E236" s="932">
        <f t="shared" si="74"/>
        <v>44789.901388888888</v>
      </c>
      <c r="F236" s="932">
        <f t="shared" si="75"/>
        <v>44789.977083333339</v>
      </c>
      <c r="G236" s="932">
        <f t="shared" si="76"/>
        <v>44789.500694444447</v>
      </c>
      <c r="H236" s="2">
        <f t="shared" si="78"/>
        <v>79</v>
      </c>
      <c r="I236" s="2">
        <v>65.59816467814332</v>
      </c>
      <c r="J236" s="1317">
        <v>13.495720393856292</v>
      </c>
      <c r="AP236" s="1855">
        <f t="shared" si="86"/>
        <v>44585</v>
      </c>
      <c r="AQ236" s="925" t="str">
        <f t="shared" si="87"/>
        <v/>
      </c>
      <c r="AR236" s="1856" t="str">
        <f t="shared" si="88"/>
        <v/>
      </c>
      <c r="AS236" s="927" t="s">
        <v>252</v>
      </c>
      <c r="AT236" s="1856" t="str">
        <f t="shared" si="80"/>
        <v/>
      </c>
      <c r="AU236" s="1856" t="str">
        <f t="shared" si="81"/>
        <v/>
      </c>
      <c r="AV236" s="1856" t="str">
        <f t="shared" si="82"/>
        <v/>
      </c>
      <c r="AW236" s="1856" t="str">
        <f t="shared" si="83"/>
        <v/>
      </c>
      <c r="AX236" s="1856" t="str">
        <f t="shared" si="84"/>
        <v/>
      </c>
      <c r="AY236" s="1856" t="str">
        <f t="shared" si="85"/>
        <v/>
      </c>
      <c r="BB236" s="1879">
        <v>16</v>
      </c>
      <c r="BC236" s="1879" t="s">
        <v>241</v>
      </c>
      <c r="BD236" s="1880">
        <v>0.5</v>
      </c>
      <c r="BE236" s="1879" t="s">
        <v>1034</v>
      </c>
      <c r="BF236" s="1880">
        <v>0.97569444444444453</v>
      </c>
      <c r="BG236" s="1879" t="s">
        <v>862</v>
      </c>
      <c r="BH236" s="1880">
        <v>0.22500000000000001</v>
      </c>
      <c r="BI236" s="1879" t="s">
        <v>1143</v>
      </c>
      <c r="BJ236" s="1881">
        <v>237698</v>
      </c>
      <c r="BK236" s="1882">
        <v>0.77100000000000002</v>
      </c>
      <c r="BL236" s="1619">
        <f t="shared" si="69"/>
        <v>44789</v>
      </c>
      <c r="BM236" s="1856">
        <f t="shared" si="79"/>
        <v>0.22500000000000001</v>
      </c>
      <c r="BN236" s="934">
        <f t="shared" si="70"/>
        <v>57.6</v>
      </c>
    </row>
    <row r="237" spans="1:66" ht="14.5">
      <c r="A237" s="1">
        <f t="shared" si="77"/>
        <v>44790</v>
      </c>
      <c r="B237" s="932">
        <f t="shared" si="71"/>
        <v>44790.249305555561</v>
      </c>
      <c r="C237" s="932">
        <f t="shared" si="72"/>
        <v>44790.292361111111</v>
      </c>
      <c r="D237" s="932">
        <f t="shared" si="73"/>
        <v>44790.858333333337</v>
      </c>
      <c r="E237" s="932">
        <f t="shared" si="74"/>
        <v>44790.900694444441</v>
      </c>
      <c r="F237" s="932">
        <f t="shared" si="75"/>
        <v>44790.995833333334</v>
      </c>
      <c r="G237" s="932">
        <f t="shared" si="76"/>
        <v>44790.54583333333</v>
      </c>
      <c r="H237" s="2">
        <f t="shared" si="78"/>
        <v>70</v>
      </c>
      <c r="I237" s="2">
        <v>65.279050869683587</v>
      </c>
      <c r="J237" s="1317">
        <v>13.175544457202108</v>
      </c>
      <c r="AP237" s="1855">
        <f t="shared" si="86"/>
        <v>44585</v>
      </c>
      <c r="AQ237" s="925" t="str">
        <f t="shared" si="87"/>
        <v/>
      </c>
      <c r="AR237" s="1856" t="str">
        <f t="shared" si="88"/>
        <v/>
      </c>
      <c r="AT237" s="1856" t="str">
        <f t="shared" si="80"/>
        <v/>
      </c>
      <c r="AU237" s="1856" t="str">
        <f t="shared" si="81"/>
        <v/>
      </c>
      <c r="AV237" s="1856" t="str">
        <f t="shared" si="82"/>
        <v/>
      </c>
      <c r="AW237" s="1856" t="str">
        <f t="shared" si="83"/>
        <v/>
      </c>
      <c r="AX237" s="1856" t="str">
        <f t="shared" si="84"/>
        <v/>
      </c>
      <c r="AY237" s="1856" t="str">
        <f t="shared" si="85"/>
        <v/>
      </c>
      <c r="BB237" s="1879">
        <v>17</v>
      </c>
      <c r="BC237" s="1879" t="s">
        <v>241</v>
      </c>
      <c r="BD237" s="1880">
        <v>0.5444444444444444</v>
      </c>
      <c r="BE237" s="1879" t="s">
        <v>900</v>
      </c>
      <c r="BF237" s="1880">
        <v>0.99444444444444446</v>
      </c>
      <c r="BG237" s="1879" t="s">
        <v>860</v>
      </c>
      <c r="BH237" s="1880">
        <v>0.25625000000000003</v>
      </c>
      <c r="BI237" s="1879" t="s">
        <v>1144</v>
      </c>
      <c r="BJ237" s="1881">
        <v>241493</v>
      </c>
      <c r="BK237" s="1882">
        <v>0.67500000000000004</v>
      </c>
      <c r="BL237" s="1619">
        <f t="shared" si="69"/>
        <v>44790</v>
      </c>
      <c r="BM237" s="1856">
        <f t="shared" si="79"/>
        <v>0.25625000000000003</v>
      </c>
      <c r="BN237" s="934">
        <f t="shared" si="70"/>
        <v>63.5</v>
      </c>
    </row>
    <row r="238" spans="1:66" ht="14.5">
      <c r="A238" s="1">
        <f t="shared" si="77"/>
        <v>44791</v>
      </c>
      <c r="B238" s="932">
        <f t="shared" si="71"/>
        <v>44791.25</v>
      </c>
      <c r="C238" s="932">
        <f t="shared" si="72"/>
        <v>44791.292361111111</v>
      </c>
      <c r="D238" s="932">
        <f t="shared" si="73"/>
        <v>44791.856944444444</v>
      </c>
      <c r="E238" s="932">
        <f t="shared" si="74"/>
        <v>44791.899305555555</v>
      </c>
      <c r="F238" s="932" t="str">
        <f t="shared" si="75"/>
        <v>NONE</v>
      </c>
      <c r="G238" s="932">
        <f t="shared" si="76"/>
        <v>44791.589583333334</v>
      </c>
      <c r="H238" s="2">
        <f t="shared" si="78"/>
        <v>60</v>
      </c>
      <c r="I238" s="2">
        <v>64.956379235352088</v>
      </c>
      <c r="J238" s="1317">
        <v>12.851891957603783</v>
      </c>
      <c r="AP238" s="1855">
        <f t="shared" si="86"/>
        <v>44585</v>
      </c>
      <c r="AQ238" s="925" t="str">
        <f t="shared" si="87"/>
        <v>BMNT</v>
      </c>
      <c r="AR238" s="1856">
        <f t="shared" si="88"/>
        <v>44585.287499999999</v>
      </c>
      <c r="AS238" s="927" t="s">
        <v>1145</v>
      </c>
      <c r="AT238" s="1856" t="str">
        <f t="shared" si="80"/>
        <v/>
      </c>
      <c r="AU238" s="1856" t="str">
        <f t="shared" si="81"/>
        <v/>
      </c>
      <c r="AV238" s="1856" t="str">
        <f t="shared" si="82"/>
        <v/>
      </c>
      <c r="AW238" s="1856" t="str">
        <f t="shared" si="83"/>
        <v/>
      </c>
      <c r="AX238" s="1856" t="str">
        <f t="shared" si="84"/>
        <v/>
      </c>
      <c r="AY238" s="1856" t="str">
        <f t="shared" si="85"/>
        <v/>
      </c>
      <c r="BB238" s="1879">
        <v>18</v>
      </c>
      <c r="BC238" s="1879" t="s">
        <v>241</v>
      </c>
      <c r="BD238" s="1880">
        <v>0.58819444444444446</v>
      </c>
      <c r="BE238" s="1879" t="s">
        <v>1037</v>
      </c>
      <c r="BF238" s="1880" t="s">
        <v>241</v>
      </c>
      <c r="BG238" s="1880">
        <v>0.28819444444444448</v>
      </c>
      <c r="BH238" s="1880" t="s">
        <v>1146</v>
      </c>
      <c r="BI238" s="1881">
        <v>244924</v>
      </c>
      <c r="BJ238" s="1881">
        <v>0.57399999999999995</v>
      </c>
      <c r="BK238" s="1882"/>
      <c r="BL238" s="1619">
        <f t="shared" si="69"/>
        <v>44791</v>
      </c>
      <c r="BM238" s="1856">
        <f t="shared" si="79"/>
        <v>0.28819444444444448</v>
      </c>
      <c r="BN238" s="934">
        <f t="shared" si="70"/>
        <v>68.7</v>
      </c>
    </row>
    <row r="239" spans="1:66" ht="14.5">
      <c r="A239" s="1">
        <f t="shared" si="77"/>
        <v>44792</v>
      </c>
      <c r="B239" s="932">
        <f t="shared" si="71"/>
        <v>44792.250694444447</v>
      </c>
      <c r="C239" s="932">
        <f t="shared" si="72"/>
        <v>44792.29305555555</v>
      </c>
      <c r="D239" s="932">
        <f t="shared" si="73"/>
        <v>44792.856250000004</v>
      </c>
      <c r="E239" s="932">
        <f t="shared" si="74"/>
        <v>44792.898611111108</v>
      </c>
      <c r="F239" s="932">
        <f t="shared" si="75"/>
        <v>44792.01666666667</v>
      </c>
      <c r="G239" s="932">
        <f t="shared" si="76"/>
        <v>44792.632638888892</v>
      </c>
      <c r="H239" s="2">
        <f t="shared" si="78"/>
        <v>50</v>
      </c>
      <c r="I239" s="2">
        <v>64.630228349167936</v>
      </c>
      <c r="J239" s="1317">
        <v>12.524850593142615</v>
      </c>
      <c r="AP239" s="1855">
        <f t="shared" si="86"/>
        <v>44585</v>
      </c>
      <c r="AQ239" s="925" t="str">
        <f t="shared" si="87"/>
        <v>SR</v>
      </c>
      <c r="AR239" s="1856">
        <f t="shared" si="88"/>
        <v>44585.329166666663</v>
      </c>
      <c r="AS239" s="927" t="s">
        <v>1147</v>
      </c>
      <c r="AT239" s="1856" t="str">
        <f t="shared" si="80"/>
        <v/>
      </c>
      <c r="AU239" s="1856" t="str">
        <f t="shared" si="81"/>
        <v/>
      </c>
      <c r="AV239" s="1856" t="str">
        <f t="shared" si="82"/>
        <v/>
      </c>
      <c r="AW239" s="1856" t="str">
        <f t="shared" si="83"/>
        <v/>
      </c>
      <c r="AX239" s="1856" t="str">
        <f t="shared" si="84"/>
        <v/>
      </c>
      <c r="AY239" s="1856" t="str">
        <f t="shared" si="85"/>
        <v/>
      </c>
      <c r="BB239" s="1879" t="s">
        <v>1148</v>
      </c>
      <c r="BC239" s="1880">
        <v>1.5277777777777777E-2</v>
      </c>
      <c r="BD239" s="1880" t="s">
        <v>858</v>
      </c>
      <c r="BE239" s="1880">
        <v>0.63194444444444442</v>
      </c>
      <c r="BF239" s="1880" t="s">
        <v>591</v>
      </c>
      <c r="BG239" s="1879" t="s">
        <v>241</v>
      </c>
      <c r="BH239" s="1880">
        <v>0.32083333333333336</v>
      </c>
      <c r="BI239" s="1879" t="s">
        <v>903</v>
      </c>
      <c r="BJ239" s="1881">
        <v>247780</v>
      </c>
      <c r="BK239" s="1882">
        <v>0.47199999999999998</v>
      </c>
      <c r="BL239" s="1619">
        <f t="shared" si="69"/>
        <v>44792</v>
      </c>
      <c r="BM239" s="1856">
        <f t="shared" si="79"/>
        <v>0.32083333333333336</v>
      </c>
      <c r="BN239" s="934">
        <f t="shared" si="70"/>
        <v>73</v>
      </c>
    </row>
    <row r="240" spans="1:66" ht="14.5">
      <c r="A240" s="1">
        <f t="shared" si="77"/>
        <v>44793</v>
      </c>
      <c r="B240" s="932">
        <f t="shared" si="71"/>
        <v>44793.251388888886</v>
      </c>
      <c r="C240" s="932">
        <f t="shared" si="72"/>
        <v>44793.293749999997</v>
      </c>
      <c r="D240" s="932">
        <f t="shared" si="73"/>
        <v>44793.855555555558</v>
      </c>
      <c r="E240" s="932">
        <f t="shared" si="74"/>
        <v>44793.897222222222</v>
      </c>
      <c r="F240" s="932">
        <f t="shared" si="75"/>
        <v>44793.039583333331</v>
      </c>
      <c r="G240" s="932">
        <f t="shared" si="76"/>
        <v>44793.674305555556</v>
      </c>
      <c r="H240" s="2">
        <f t="shared" si="78"/>
        <v>40</v>
      </c>
      <c r="I240" s="2">
        <v>64.30067735250914</v>
      </c>
      <c r="J240" s="1317">
        <v>12.194508248184523</v>
      </c>
      <c r="AP240" s="1855">
        <f t="shared" si="86"/>
        <v>44585</v>
      </c>
      <c r="AQ240" s="925" t="str">
        <f t="shared" si="87"/>
        <v>MS</v>
      </c>
      <c r="AR240" s="1856">
        <f t="shared" si="88"/>
        <v>44585.48541666667</v>
      </c>
      <c r="AS240" s="927" t="s">
        <v>1149</v>
      </c>
      <c r="AT240" s="1856" t="str">
        <f t="shared" si="80"/>
        <v/>
      </c>
      <c r="AU240" s="1856" t="str">
        <f t="shared" si="81"/>
        <v/>
      </c>
      <c r="AV240" s="1856" t="str">
        <f t="shared" si="82"/>
        <v/>
      </c>
      <c r="AW240" s="1856" t="str">
        <f t="shared" si="83"/>
        <v/>
      </c>
      <c r="AX240" s="1856" t="str">
        <f t="shared" si="84"/>
        <v/>
      </c>
      <c r="AY240" s="1856" t="str">
        <f t="shared" si="85"/>
        <v/>
      </c>
      <c r="BB240" s="1879">
        <v>20</v>
      </c>
      <c r="BC240" s="1880">
        <v>3.888888888888889E-2</v>
      </c>
      <c r="BD240" s="1880" t="s">
        <v>854</v>
      </c>
      <c r="BE240" s="1880">
        <v>0.67361111111111116</v>
      </c>
      <c r="BF240" s="1880" t="s">
        <v>600</v>
      </c>
      <c r="BG240" s="1879" t="s">
        <v>241</v>
      </c>
      <c r="BH240" s="1880">
        <v>0.35416666666666669</v>
      </c>
      <c r="BI240" s="1879" t="s">
        <v>601</v>
      </c>
      <c r="BJ240" s="1881">
        <v>249924</v>
      </c>
      <c r="BK240" s="1882">
        <v>0.374</v>
      </c>
      <c r="BL240" s="1619">
        <f t="shared" si="69"/>
        <v>44793</v>
      </c>
      <c r="BM240" s="1856">
        <f t="shared" si="79"/>
        <v>0.35416666666666669</v>
      </c>
      <c r="BN240" s="934">
        <f t="shared" si="70"/>
        <v>76.3</v>
      </c>
    </row>
    <row r="241" spans="1:66" ht="14.5">
      <c r="A241" s="1">
        <f t="shared" si="77"/>
        <v>44794</v>
      </c>
      <c r="B241" s="932">
        <f t="shared" si="71"/>
        <v>44794.252083333333</v>
      </c>
      <c r="C241" s="932">
        <f t="shared" si="72"/>
        <v>44794.294444444444</v>
      </c>
      <c r="D241" s="932">
        <f t="shared" si="73"/>
        <v>44794.854166666672</v>
      </c>
      <c r="E241" s="932">
        <f t="shared" si="74"/>
        <v>44794.896527777775</v>
      </c>
      <c r="F241" s="932">
        <f t="shared" si="75"/>
        <v>44794.067361111105</v>
      </c>
      <c r="G241" s="932">
        <f t="shared" si="76"/>
        <v>44794.713888888895</v>
      </c>
      <c r="H241" s="2">
        <f t="shared" si="78"/>
        <v>31</v>
      </c>
      <c r="I241" s="2">
        <v>63.967805972733387</v>
      </c>
      <c r="J241" s="1317">
        <v>11.86095297862639</v>
      </c>
      <c r="AP241" s="1855">
        <f t="shared" si="86"/>
        <v>44585</v>
      </c>
      <c r="AQ241" s="925" t="str">
        <f t="shared" si="87"/>
        <v>SS</v>
      </c>
      <c r="AR241" s="1856">
        <f t="shared" si="88"/>
        <v>44585.747916666667</v>
      </c>
      <c r="AS241" s="927" t="s">
        <v>1150</v>
      </c>
      <c r="AT241" s="1856" t="str">
        <f t="shared" si="80"/>
        <v/>
      </c>
      <c r="AU241" s="1856" t="str">
        <f t="shared" si="81"/>
        <v/>
      </c>
      <c r="AV241" s="1856" t="str">
        <f t="shared" si="82"/>
        <v/>
      </c>
      <c r="AW241" s="1856" t="str">
        <f t="shared" si="83"/>
        <v/>
      </c>
      <c r="AX241" s="1856" t="str">
        <f t="shared" si="84"/>
        <v/>
      </c>
      <c r="AY241" s="1856" t="str">
        <f t="shared" si="85"/>
        <v/>
      </c>
      <c r="BB241" s="1879">
        <v>21</v>
      </c>
      <c r="BC241" s="1880">
        <v>6.6666666666666666E-2</v>
      </c>
      <c r="BD241" s="1880" t="s">
        <v>685</v>
      </c>
      <c r="BE241" s="1880">
        <v>0.71319444444444446</v>
      </c>
      <c r="BF241" s="1880" t="s">
        <v>960</v>
      </c>
      <c r="BG241" s="1879" t="s">
        <v>241</v>
      </c>
      <c r="BH241" s="1880">
        <v>0.38819444444444445</v>
      </c>
      <c r="BI241" s="1879" t="s">
        <v>852</v>
      </c>
      <c r="BJ241" s="1881">
        <v>251290</v>
      </c>
      <c r="BK241" s="1882">
        <v>0.28199999999999997</v>
      </c>
      <c r="BL241" s="1619">
        <f t="shared" si="69"/>
        <v>44794</v>
      </c>
      <c r="BM241" s="1856">
        <f t="shared" si="79"/>
        <v>0.38819444444444445</v>
      </c>
      <c r="BN241" s="934">
        <f t="shared" si="70"/>
        <v>78.3</v>
      </c>
    </row>
    <row r="242" spans="1:66" ht="14.5">
      <c r="A242" s="1">
        <f t="shared" si="77"/>
        <v>44795</v>
      </c>
      <c r="B242" s="932">
        <f t="shared" si="71"/>
        <v>44795.25277777778</v>
      </c>
      <c r="C242" s="932">
        <f t="shared" si="72"/>
        <v>44795.295138888883</v>
      </c>
      <c r="D242" s="932">
        <f t="shared" si="73"/>
        <v>44795.853472222225</v>
      </c>
      <c r="E242" s="932">
        <f t="shared" si="74"/>
        <v>44795.895138888889</v>
      </c>
      <c r="F242" s="932">
        <f t="shared" si="75"/>
        <v>44795.098611111112</v>
      </c>
      <c r="G242" s="932">
        <f t="shared" si="76"/>
        <v>44795.75</v>
      </c>
      <c r="H242" s="2">
        <f t="shared" si="78"/>
        <v>23</v>
      </c>
      <c r="I242" s="2">
        <v>63.63169454061763</v>
      </c>
      <c r="J242" s="1317">
        <v>11.524272998876031</v>
      </c>
      <c r="AP242" s="1855">
        <f t="shared" si="86"/>
        <v>44585</v>
      </c>
      <c r="AQ242" s="925" t="str">
        <f t="shared" si="87"/>
        <v>EENT</v>
      </c>
      <c r="AR242" s="1856">
        <f t="shared" si="88"/>
        <v>44585.789583333331</v>
      </c>
      <c r="AS242" s="927" t="s">
        <v>1151</v>
      </c>
      <c r="AT242" s="1856" t="str">
        <f t="shared" si="80"/>
        <v/>
      </c>
      <c r="AU242" s="1856" t="str">
        <f t="shared" si="81"/>
        <v/>
      </c>
      <c r="AV242" s="1856" t="str">
        <f t="shared" si="82"/>
        <v/>
      </c>
      <c r="AW242" s="1856" t="str">
        <f t="shared" si="83"/>
        <v/>
      </c>
      <c r="AX242" s="1856" t="str">
        <f t="shared" si="84"/>
        <v/>
      </c>
      <c r="AY242" s="1856" t="str">
        <f t="shared" si="85"/>
        <v/>
      </c>
      <c r="BB242" s="1879">
        <v>22</v>
      </c>
      <c r="BC242" s="1880">
        <v>9.7916666666666666E-2</v>
      </c>
      <c r="BD242" s="1880" t="s">
        <v>907</v>
      </c>
      <c r="BE242" s="1880">
        <v>0.74930555555555556</v>
      </c>
      <c r="BF242" s="1880" t="s">
        <v>960</v>
      </c>
      <c r="BG242" s="1879" t="s">
        <v>241</v>
      </c>
      <c r="BH242" s="1880">
        <v>0.4236111111111111</v>
      </c>
      <c r="BI242" s="1879" t="s">
        <v>1152</v>
      </c>
      <c r="BJ242" s="1881">
        <v>251881</v>
      </c>
      <c r="BK242" s="1882">
        <v>0.19900000000000001</v>
      </c>
      <c r="BL242" s="1619">
        <f t="shared" si="69"/>
        <v>44795</v>
      </c>
      <c r="BM242" s="1856">
        <f t="shared" si="79"/>
        <v>0.4236111111111111</v>
      </c>
      <c r="BN242" s="934">
        <f t="shared" si="70"/>
        <v>79</v>
      </c>
    </row>
    <row r="243" spans="1:66" ht="14.5">
      <c r="A243" s="1">
        <f t="shared" si="77"/>
        <v>44796</v>
      </c>
      <c r="B243" s="932">
        <f t="shared" si="71"/>
        <v>44796.253472222219</v>
      </c>
      <c r="C243" s="932">
        <f t="shared" si="72"/>
        <v>44796.29583333333</v>
      </c>
      <c r="D243" s="932">
        <f t="shared" si="73"/>
        <v>44796.852083333339</v>
      </c>
      <c r="E243" s="932">
        <f t="shared" si="74"/>
        <v>44796.894444444442</v>
      </c>
      <c r="F243" s="932">
        <f t="shared" si="75"/>
        <v>44796.134722222225</v>
      </c>
      <c r="G243" s="932">
        <f t="shared" si="76"/>
        <v>44796.781944444447</v>
      </c>
      <c r="H243" s="2">
        <f t="shared" si="78"/>
        <v>15</v>
      </c>
      <c r="I243" s="2">
        <v>63.292424006627023</v>
      </c>
      <c r="J243" s="1317">
        <v>11.184556670540827</v>
      </c>
      <c r="AP243" s="1855">
        <f t="shared" si="86"/>
        <v>44585</v>
      </c>
      <c r="AQ243" s="925" t="str">
        <f t="shared" si="87"/>
        <v>MR</v>
      </c>
      <c r="AR243" s="1856" t="str">
        <f t="shared" si="88"/>
        <v>NONE</v>
      </c>
      <c r="AS243" s="927" t="s">
        <v>1153</v>
      </c>
      <c r="AT243" s="1856" t="str">
        <f t="shared" si="80"/>
        <v/>
      </c>
      <c r="AU243" s="1856" t="str">
        <f t="shared" si="81"/>
        <v/>
      </c>
      <c r="AV243" s="1856" t="str">
        <f t="shared" si="82"/>
        <v/>
      </c>
      <c r="AW243" s="1856" t="str">
        <f t="shared" si="83"/>
        <v/>
      </c>
      <c r="AX243" s="1856" t="str">
        <f t="shared" si="84"/>
        <v/>
      </c>
      <c r="AY243" s="1856" t="str">
        <f t="shared" si="85"/>
        <v/>
      </c>
      <c r="BB243" s="1879">
        <v>23</v>
      </c>
      <c r="BC243" s="1880">
        <v>0.13402777777777777</v>
      </c>
      <c r="BD243" s="1880" t="s">
        <v>907</v>
      </c>
      <c r="BE243" s="1880">
        <v>0.78125</v>
      </c>
      <c r="BF243" s="1880" t="s">
        <v>694</v>
      </c>
      <c r="BG243" s="1879" t="s">
        <v>241</v>
      </c>
      <c r="BH243" s="1880">
        <v>0.45902777777777781</v>
      </c>
      <c r="BI243" s="1879" t="s">
        <v>1046</v>
      </c>
      <c r="BJ243" s="1881">
        <v>251755</v>
      </c>
      <c r="BK243" s="1882">
        <v>0.127</v>
      </c>
      <c r="BL243" s="1619">
        <f t="shared" si="69"/>
        <v>44796</v>
      </c>
      <c r="BM243" s="1856">
        <f t="shared" si="79"/>
        <v>0.45902777777777781</v>
      </c>
      <c r="BN243" s="934">
        <f t="shared" si="70"/>
        <v>78.400000000000006</v>
      </c>
    </row>
    <row r="244" spans="1:66" ht="14.5">
      <c r="A244" s="1">
        <f t="shared" si="77"/>
        <v>44797</v>
      </c>
      <c r="B244" s="932">
        <f t="shared" si="71"/>
        <v>44797.254166666666</v>
      </c>
      <c r="C244" s="932">
        <f t="shared" si="72"/>
        <v>44797.296527777777</v>
      </c>
      <c r="D244" s="932">
        <f t="shared" si="73"/>
        <v>44797.851388888892</v>
      </c>
      <c r="E244" s="932">
        <f t="shared" si="74"/>
        <v>44797.893055555556</v>
      </c>
      <c r="F244" s="932">
        <f t="shared" si="75"/>
        <v>44797.173611111109</v>
      </c>
      <c r="G244" s="932">
        <f t="shared" si="76"/>
        <v>44797.80972222222</v>
      </c>
      <c r="H244" s="2">
        <f t="shared" si="78"/>
        <v>9</v>
      </c>
      <c r="I244" s="2">
        <v>62.950075956003197</v>
      </c>
      <c r="J244" s="1317">
        <v>10.841892492765</v>
      </c>
      <c r="AP244" s="1855">
        <f t="shared" si="86"/>
        <v>44586</v>
      </c>
      <c r="AQ244" s="925" t="str">
        <f t="shared" si="87"/>
        <v/>
      </c>
      <c r="AR244" s="1856" t="str">
        <f t="shared" si="88"/>
        <v/>
      </c>
      <c r="AS244" s="927">
        <v>25</v>
      </c>
      <c r="AT244" s="1856">
        <f t="shared" si="80"/>
        <v>44586.287499999999</v>
      </c>
      <c r="AU244" s="1856">
        <f t="shared" si="81"/>
        <v>44586.329166666663</v>
      </c>
      <c r="AV244" s="1856">
        <f t="shared" si="82"/>
        <v>44586.748611111114</v>
      </c>
      <c r="AW244" s="1856">
        <f t="shared" si="83"/>
        <v>44586.790277777778</v>
      </c>
      <c r="AX244" s="1856">
        <f t="shared" si="84"/>
        <v>44586.039583333331</v>
      </c>
      <c r="AY244" s="1856">
        <f t="shared" si="85"/>
        <v>44586.504861111112</v>
      </c>
      <c r="AZ244" s="1853">
        <v>0.54</v>
      </c>
      <c r="BB244" s="1879">
        <v>24</v>
      </c>
      <c r="BC244" s="1880">
        <v>0.17361111111111113</v>
      </c>
      <c r="BD244" s="1880" t="s">
        <v>608</v>
      </c>
      <c r="BE244" s="1880">
        <v>0.80902777777777779</v>
      </c>
      <c r="BF244" s="1880" t="s">
        <v>677</v>
      </c>
      <c r="BG244" s="1879" t="s">
        <v>241</v>
      </c>
      <c r="BH244" s="1880">
        <v>0.49374999999999997</v>
      </c>
      <c r="BI244" s="1879" t="s">
        <v>1048</v>
      </c>
      <c r="BJ244" s="1881">
        <v>251010</v>
      </c>
      <c r="BK244" s="1882">
        <v>6.9000000000000006E-2</v>
      </c>
      <c r="BL244" s="1619">
        <f t="shared" si="69"/>
        <v>44797</v>
      </c>
      <c r="BM244" s="1856">
        <f t="shared" si="79"/>
        <v>0.49374999999999997</v>
      </c>
      <c r="BN244" s="934">
        <f t="shared" si="70"/>
        <v>76.5</v>
      </c>
    </row>
    <row r="245" spans="1:66" ht="14.5">
      <c r="A245" s="1">
        <f t="shared" si="77"/>
        <v>44798</v>
      </c>
      <c r="B245" s="932">
        <f t="shared" si="71"/>
        <v>44798.254861111112</v>
      </c>
      <c r="C245" s="932">
        <f t="shared" si="72"/>
        <v>44798.296527777777</v>
      </c>
      <c r="D245" s="932">
        <f t="shared" si="73"/>
        <v>44798.850694444445</v>
      </c>
      <c r="E245" s="932">
        <f t="shared" si="74"/>
        <v>44798.892361111109</v>
      </c>
      <c r="F245" s="932">
        <f t="shared" si="75"/>
        <v>44798.215972222228</v>
      </c>
      <c r="G245" s="932">
        <f t="shared" si="76"/>
        <v>44798.834027777782</v>
      </c>
      <c r="H245" s="2">
        <f t="shared" si="78"/>
        <v>5</v>
      </c>
      <c r="I245" s="2">
        <v>62.604732622704184</v>
      </c>
      <c r="J245" s="1317">
        <v>10.496369094185555</v>
      </c>
      <c r="AP245" s="1855">
        <f t="shared" si="86"/>
        <v>44586</v>
      </c>
      <c r="AQ245" s="925" t="str">
        <f t="shared" si="87"/>
        <v/>
      </c>
      <c r="AR245" s="1856" t="str">
        <f t="shared" si="88"/>
        <v/>
      </c>
      <c r="AS245" s="927" t="s">
        <v>252</v>
      </c>
      <c r="AT245" s="1856" t="str">
        <f t="shared" si="80"/>
        <v/>
      </c>
      <c r="AU245" s="1856" t="str">
        <f t="shared" si="81"/>
        <v/>
      </c>
      <c r="AV245" s="1856" t="str">
        <f t="shared" si="82"/>
        <v/>
      </c>
      <c r="AW245" s="1856" t="str">
        <f t="shared" si="83"/>
        <v/>
      </c>
      <c r="AX245" s="1856" t="str">
        <f t="shared" si="84"/>
        <v/>
      </c>
      <c r="AY245" s="1856" t="str">
        <f t="shared" si="85"/>
        <v/>
      </c>
      <c r="BB245" s="1879">
        <v>25</v>
      </c>
      <c r="BC245" s="1880">
        <v>0.21527777777777779</v>
      </c>
      <c r="BD245" s="1880" t="s">
        <v>668</v>
      </c>
      <c r="BE245" s="1880">
        <v>0.83263888888888893</v>
      </c>
      <c r="BF245" s="1880" t="s">
        <v>643</v>
      </c>
      <c r="BG245" s="1879" t="s">
        <v>241</v>
      </c>
      <c r="BH245" s="1880">
        <v>0.52708333333333335</v>
      </c>
      <c r="BI245" s="1879" t="s">
        <v>1154</v>
      </c>
      <c r="BJ245" s="1881">
        <v>249765</v>
      </c>
      <c r="BK245" s="1882">
        <v>2.8000000000000001E-2</v>
      </c>
      <c r="BL245" s="1619">
        <f t="shared" si="69"/>
        <v>44798</v>
      </c>
      <c r="BM245" s="1856">
        <f t="shared" si="79"/>
        <v>0.52708333333333335</v>
      </c>
      <c r="BN245" s="934">
        <f t="shared" si="70"/>
        <v>73.3</v>
      </c>
    </row>
    <row r="246" spans="1:66" ht="14.5">
      <c r="A246" s="1">
        <f t="shared" si="77"/>
        <v>44799</v>
      </c>
      <c r="B246" s="932">
        <f t="shared" si="71"/>
        <v>44799.255555555559</v>
      </c>
      <c r="C246" s="932">
        <f t="shared" si="72"/>
        <v>44799.297222222223</v>
      </c>
      <c r="D246" s="932">
        <f t="shared" si="73"/>
        <v>44799.849305555559</v>
      </c>
      <c r="E246" s="932">
        <f t="shared" si="74"/>
        <v>44799.890972222223</v>
      </c>
      <c r="F246" s="932">
        <f t="shared" si="75"/>
        <v>44799.258333333331</v>
      </c>
      <c r="G246" s="932">
        <f t="shared" si="76"/>
        <v>44799.854861111111</v>
      </c>
      <c r="H246" s="2">
        <f t="shared" si="78"/>
        <v>2</v>
      </c>
      <c r="I246" s="2">
        <v>62.256476902214217</v>
      </c>
      <c r="J246" s="1317">
        <v>10.148075226452947</v>
      </c>
      <c r="AP246" s="1855">
        <f t="shared" si="86"/>
        <v>44586</v>
      </c>
      <c r="AQ246" s="925" t="str">
        <f t="shared" si="87"/>
        <v/>
      </c>
      <c r="AR246" s="1856" t="str">
        <f t="shared" si="88"/>
        <v/>
      </c>
      <c r="AT246" s="1856" t="str">
        <f t="shared" si="80"/>
        <v/>
      </c>
      <c r="AU246" s="1856" t="str">
        <f t="shared" si="81"/>
        <v/>
      </c>
      <c r="AV246" s="1856" t="str">
        <f t="shared" si="82"/>
        <v/>
      </c>
      <c r="AW246" s="1856" t="str">
        <f t="shared" si="83"/>
        <v/>
      </c>
      <c r="AX246" s="1856" t="str">
        <f t="shared" si="84"/>
        <v/>
      </c>
      <c r="AY246" s="1856" t="str">
        <f t="shared" si="85"/>
        <v/>
      </c>
      <c r="BB246" s="1879">
        <v>26</v>
      </c>
      <c r="BC246" s="1880">
        <v>0.25833333333333336</v>
      </c>
      <c r="BD246" s="1880" t="s">
        <v>644</v>
      </c>
      <c r="BE246" s="1880">
        <v>0.8534722222222223</v>
      </c>
      <c r="BF246" s="1880" t="s">
        <v>575</v>
      </c>
      <c r="BG246" s="1879" t="s">
        <v>241</v>
      </c>
      <c r="BH246" s="1880">
        <v>0.55902777777777779</v>
      </c>
      <c r="BI246" s="1879" t="s">
        <v>728</v>
      </c>
      <c r="BJ246" s="1881">
        <v>248146</v>
      </c>
      <c r="BK246" s="1882">
        <v>6.0000000000000001E-3</v>
      </c>
      <c r="BL246" s="1619">
        <f t="shared" si="69"/>
        <v>44799</v>
      </c>
      <c r="BM246" s="1856">
        <f t="shared" si="79"/>
        <v>0.55902777777777779</v>
      </c>
      <c r="BN246" s="934">
        <f t="shared" si="70"/>
        <v>69.099999999999994</v>
      </c>
    </row>
    <row r="247" spans="1:66" ht="14.5">
      <c r="A247" s="1">
        <f t="shared" si="77"/>
        <v>44800</v>
      </c>
      <c r="B247" s="932">
        <f t="shared" si="71"/>
        <v>44800.256249999999</v>
      </c>
      <c r="C247" s="932">
        <f t="shared" si="72"/>
        <v>44800.297916666663</v>
      </c>
      <c r="D247" s="932">
        <f t="shared" si="73"/>
        <v>44800.848611111112</v>
      </c>
      <c r="E247" s="932">
        <f t="shared" si="74"/>
        <v>44800.890277777777</v>
      </c>
      <c r="F247" s="932">
        <f t="shared" si="75"/>
        <v>44800.302083333328</v>
      </c>
      <c r="G247" s="932">
        <f t="shared" si="76"/>
        <v>44800.872916666667</v>
      </c>
      <c r="H247" s="2">
        <f t="shared" si="78"/>
        <v>0</v>
      </c>
      <c r="I247" s="2">
        <v>61.90539236326233</v>
      </c>
      <c r="J247" s="1317">
        <v>9.7970997592736992</v>
      </c>
      <c r="AP247" s="1855">
        <f t="shared" si="86"/>
        <v>44586</v>
      </c>
      <c r="AQ247" s="925" t="str">
        <f t="shared" si="87"/>
        <v>MR</v>
      </c>
      <c r="AR247" s="1856">
        <f t="shared" si="88"/>
        <v>44586.039583333331</v>
      </c>
      <c r="AS247" s="927" t="s">
        <v>1155</v>
      </c>
      <c r="AT247" s="1856" t="str">
        <f t="shared" si="80"/>
        <v/>
      </c>
      <c r="AU247" s="1856" t="str">
        <f t="shared" si="81"/>
        <v/>
      </c>
      <c r="AV247" s="1856" t="str">
        <f t="shared" si="82"/>
        <v/>
      </c>
      <c r="AW247" s="1856" t="str">
        <f t="shared" si="83"/>
        <v/>
      </c>
      <c r="AX247" s="1856" t="str">
        <f t="shared" si="84"/>
        <v/>
      </c>
      <c r="AY247" s="1856" t="str">
        <f t="shared" si="85"/>
        <v/>
      </c>
      <c r="BB247" s="1879" t="s">
        <v>1156</v>
      </c>
      <c r="BC247" s="1880">
        <v>0.30138888888888887</v>
      </c>
      <c r="BD247" s="1880" t="s">
        <v>727</v>
      </c>
      <c r="BE247" s="1880">
        <v>0.87222222222222223</v>
      </c>
      <c r="BF247" s="1880" t="s">
        <v>567</v>
      </c>
      <c r="BG247" s="1879" t="s">
        <v>241</v>
      </c>
      <c r="BH247" s="1880">
        <v>0.59027777777777779</v>
      </c>
      <c r="BI247" s="1879" t="s">
        <v>1157</v>
      </c>
      <c r="BJ247" s="1881">
        <v>246266</v>
      </c>
      <c r="BK247" s="1882">
        <v>3.0000000000000001E-3</v>
      </c>
      <c r="BL247" s="1619">
        <f t="shared" si="69"/>
        <v>44800</v>
      </c>
      <c r="BM247" s="1856">
        <f t="shared" si="79"/>
        <v>0.59027777777777779</v>
      </c>
      <c r="BN247" s="934">
        <f t="shared" si="70"/>
        <v>64.099999999999994</v>
      </c>
    </row>
    <row r="248" spans="1:66" ht="14.5">
      <c r="A248" s="1">
        <f t="shared" si="77"/>
        <v>44801</v>
      </c>
      <c r="B248" s="932">
        <f t="shared" si="71"/>
        <v>44801.257638888892</v>
      </c>
      <c r="C248" s="932">
        <f t="shared" si="72"/>
        <v>44801.298611111109</v>
      </c>
      <c r="D248" s="932">
        <f t="shared" si="73"/>
        <v>44801.847222222226</v>
      </c>
      <c r="E248" s="932">
        <f t="shared" si="74"/>
        <v>44801.888888888891</v>
      </c>
      <c r="F248" s="932">
        <f t="shared" si="75"/>
        <v>44801.345138888893</v>
      </c>
      <c r="G248" s="932">
        <f t="shared" si="76"/>
        <v>44801.890277777777</v>
      </c>
      <c r="H248" s="2">
        <f t="shared" si="78"/>
        <v>1</v>
      </c>
      <c r="I248" s="2">
        <v>61.551563258485039</v>
      </c>
      <c r="J248" s="1317">
        <v>9.4435316769216389</v>
      </c>
      <c r="AP248" s="1855">
        <f t="shared" si="86"/>
        <v>44586</v>
      </c>
      <c r="AQ248" s="925" t="str">
        <f t="shared" si="87"/>
        <v>BMNT</v>
      </c>
      <c r="AR248" s="1856">
        <f t="shared" si="88"/>
        <v>44586.287499999999</v>
      </c>
      <c r="AS248" s="927" t="s">
        <v>1145</v>
      </c>
      <c r="AT248" s="1856" t="str">
        <f t="shared" si="80"/>
        <v/>
      </c>
      <c r="AU248" s="1856" t="str">
        <f t="shared" si="81"/>
        <v/>
      </c>
      <c r="AV248" s="1856" t="str">
        <f t="shared" si="82"/>
        <v/>
      </c>
      <c r="AW248" s="1856" t="str">
        <f t="shared" si="83"/>
        <v/>
      </c>
      <c r="AX248" s="1856" t="str">
        <f t="shared" si="84"/>
        <v/>
      </c>
      <c r="AY248" s="1856" t="str">
        <f t="shared" si="85"/>
        <v/>
      </c>
      <c r="BB248" s="1879">
        <v>28</v>
      </c>
      <c r="BC248" s="1880">
        <v>0.3444444444444445</v>
      </c>
      <c r="BD248" s="1880" t="s">
        <v>566</v>
      </c>
      <c r="BE248" s="1880">
        <v>0.88888888888888884</v>
      </c>
      <c r="BF248" s="1880" t="s">
        <v>740</v>
      </c>
      <c r="BG248" s="1879" t="s">
        <v>241</v>
      </c>
      <c r="BH248" s="1880">
        <v>0.62013888888888891</v>
      </c>
      <c r="BI248" s="1879" t="s">
        <v>1158</v>
      </c>
      <c r="BJ248" s="1881">
        <v>244214</v>
      </c>
      <c r="BK248" s="1882">
        <v>2.1999999999999999E-2</v>
      </c>
      <c r="BL248" s="1619">
        <f t="shared" si="69"/>
        <v>44801</v>
      </c>
      <c r="BM248" s="1856">
        <f t="shared" si="79"/>
        <v>0.62013888888888891</v>
      </c>
      <c r="BN248" s="934">
        <f t="shared" si="70"/>
        <v>58.5</v>
      </c>
    </row>
    <row r="249" spans="1:66" ht="14.5">
      <c r="A249" s="1">
        <f t="shared" si="77"/>
        <v>44802</v>
      </c>
      <c r="B249" s="932">
        <f t="shared" si="71"/>
        <v>44802.258333333331</v>
      </c>
      <c r="C249" s="932">
        <f t="shared" si="72"/>
        <v>44802.299305555556</v>
      </c>
      <c r="D249" s="932">
        <f t="shared" si="73"/>
        <v>44802.84652777778</v>
      </c>
      <c r="E249" s="932">
        <f t="shared" si="74"/>
        <v>44802.887499999997</v>
      </c>
      <c r="F249" s="932">
        <f t="shared" si="75"/>
        <v>44802.388194444444</v>
      </c>
      <c r="G249" s="932">
        <f t="shared" si="76"/>
        <v>44802.906944444447</v>
      </c>
      <c r="H249" s="2">
        <f t="shared" si="78"/>
        <v>4</v>
      </c>
      <c r="I249" s="2">
        <v>61.195074534081371</v>
      </c>
      <c r="J249" s="1317">
        <v>9.0874600761723947</v>
      </c>
      <c r="AP249" s="1855">
        <f t="shared" si="86"/>
        <v>44586</v>
      </c>
      <c r="AQ249" s="925" t="str">
        <f t="shared" si="87"/>
        <v>SR</v>
      </c>
      <c r="AR249" s="1856">
        <f t="shared" si="88"/>
        <v>44586.329166666663</v>
      </c>
      <c r="AS249" s="927" t="s">
        <v>1147</v>
      </c>
      <c r="AT249" s="1856" t="str">
        <f t="shared" si="80"/>
        <v/>
      </c>
      <c r="AU249" s="1856" t="str">
        <f t="shared" si="81"/>
        <v/>
      </c>
      <c r="AV249" s="1856" t="str">
        <f t="shared" si="82"/>
        <v/>
      </c>
      <c r="AW249" s="1856" t="str">
        <f t="shared" si="83"/>
        <v/>
      </c>
      <c r="AX249" s="1856" t="str">
        <f t="shared" si="84"/>
        <v/>
      </c>
      <c r="AY249" s="1856" t="str">
        <f t="shared" si="85"/>
        <v/>
      </c>
      <c r="BB249" s="1879">
        <v>29</v>
      </c>
      <c r="BC249" s="1880">
        <v>0.38750000000000001</v>
      </c>
      <c r="BD249" s="1880" t="s">
        <v>671</v>
      </c>
      <c r="BE249" s="1880">
        <v>0.90555555555555556</v>
      </c>
      <c r="BF249" s="1879" t="s">
        <v>679</v>
      </c>
      <c r="BG249" s="1880" t="s">
        <v>241</v>
      </c>
      <c r="BH249" s="1880">
        <v>0.65</v>
      </c>
      <c r="BI249" s="1881" t="s">
        <v>1159</v>
      </c>
      <c r="BJ249" s="1882">
        <v>242053</v>
      </c>
      <c r="BK249" s="1882">
        <v>6.3E-2</v>
      </c>
      <c r="BL249" s="1619">
        <f t="shared" si="69"/>
        <v>44802</v>
      </c>
      <c r="BM249" s="1856">
        <f t="shared" si="79"/>
        <v>0.65</v>
      </c>
      <c r="BN249" s="934">
        <f t="shared" si="70"/>
        <v>52.5</v>
      </c>
    </row>
    <row r="250" spans="1:66" ht="14.5">
      <c r="A250" s="1">
        <f t="shared" si="77"/>
        <v>44803</v>
      </c>
      <c r="B250" s="932">
        <f t="shared" si="71"/>
        <v>44803.259027777778</v>
      </c>
      <c r="C250" s="932">
        <f t="shared" si="72"/>
        <v>44803.299999999996</v>
      </c>
      <c r="D250" s="932">
        <f t="shared" si="73"/>
        <v>44803.845833333333</v>
      </c>
      <c r="E250" s="932">
        <f t="shared" si="74"/>
        <v>44803.886805555558</v>
      </c>
      <c r="F250" s="932">
        <f t="shared" si="75"/>
        <v>44803.431944444441</v>
      </c>
      <c r="G250" s="932">
        <f t="shared" si="76"/>
        <v>44803.923611111109</v>
      </c>
      <c r="H250" s="2">
        <f t="shared" si="78"/>
        <v>8</v>
      </c>
      <c r="I250" s="2">
        <v>60.836011838503346</v>
      </c>
      <c r="J250" s="1317">
        <v>8.7289741656053614</v>
      </c>
      <c r="AP250" s="1855">
        <f t="shared" si="86"/>
        <v>44586</v>
      </c>
      <c r="AQ250" s="925" t="str">
        <f t="shared" si="87"/>
        <v>MS</v>
      </c>
      <c r="AR250" s="1856">
        <f t="shared" si="88"/>
        <v>44586.504861111112</v>
      </c>
      <c r="AS250" s="927" t="s">
        <v>1160</v>
      </c>
      <c r="AT250" s="1856" t="str">
        <f t="shared" si="80"/>
        <v/>
      </c>
      <c r="AU250" s="1856" t="str">
        <f t="shared" si="81"/>
        <v/>
      </c>
      <c r="AV250" s="1856" t="str">
        <f t="shared" si="82"/>
        <v/>
      </c>
      <c r="AW250" s="1856" t="str">
        <f t="shared" si="83"/>
        <v/>
      </c>
      <c r="AX250" s="1856" t="str">
        <f t="shared" si="84"/>
        <v/>
      </c>
      <c r="AY250" s="1856" t="str">
        <f t="shared" si="85"/>
        <v/>
      </c>
      <c r="BB250" s="1879">
        <v>30</v>
      </c>
      <c r="BC250" s="1880">
        <v>0.43124999999999997</v>
      </c>
      <c r="BD250" s="1879" t="s">
        <v>680</v>
      </c>
      <c r="BE250" s="1880">
        <v>0.92291666666666661</v>
      </c>
      <c r="BF250" s="1879" t="s">
        <v>757</v>
      </c>
      <c r="BG250" s="1879" t="s">
        <v>241</v>
      </c>
      <c r="BH250" s="1880">
        <v>0.67986111111111114</v>
      </c>
      <c r="BI250" s="1879" t="s">
        <v>1161</v>
      </c>
      <c r="BJ250" s="1881">
        <v>239825</v>
      </c>
      <c r="BK250" s="1882">
        <v>0.124</v>
      </c>
      <c r="BL250" s="1619">
        <f t="shared" si="69"/>
        <v>44803</v>
      </c>
      <c r="BM250" s="1856">
        <f t="shared" si="79"/>
        <v>0.67986111111111114</v>
      </c>
      <c r="BN250" s="934">
        <f t="shared" si="70"/>
        <v>46.3</v>
      </c>
    </row>
    <row r="251" spans="1:66" ht="14.5">
      <c r="A251" s="1">
        <f t="shared" si="77"/>
        <v>44804</v>
      </c>
      <c r="B251" s="932">
        <f t="shared" si="71"/>
        <v>44804.259722222225</v>
      </c>
      <c r="C251" s="932">
        <f t="shared" si="72"/>
        <v>44804.300694444442</v>
      </c>
      <c r="D251" s="932">
        <f t="shared" si="73"/>
        <v>44804.844444444447</v>
      </c>
      <c r="E251" s="932">
        <f t="shared" si="74"/>
        <v>44804.885416666664</v>
      </c>
      <c r="F251" s="932">
        <f t="shared" si="75"/>
        <v>44804.477083333339</v>
      </c>
      <c r="G251" s="932">
        <f t="shared" si="76"/>
        <v>44804.942361111105</v>
      </c>
      <c r="H251" s="2">
        <f t="shared" si="78"/>
        <v>15</v>
      </c>
      <c r="I251" s="2">
        <v>60.474461530234073</v>
      </c>
      <c r="J251" s="1317">
        <v>8.3681632662244958</v>
      </c>
      <c r="AP251" s="1855">
        <f t="shared" si="86"/>
        <v>44586</v>
      </c>
      <c r="AQ251" s="925" t="str">
        <f t="shared" si="87"/>
        <v>SS</v>
      </c>
      <c r="AR251" s="1856">
        <f t="shared" si="88"/>
        <v>44586.748611111114</v>
      </c>
      <c r="AS251" s="927" t="s">
        <v>1162</v>
      </c>
      <c r="AT251" s="1856" t="str">
        <f t="shared" si="80"/>
        <v/>
      </c>
      <c r="AU251" s="1856" t="str">
        <f t="shared" si="81"/>
        <v/>
      </c>
      <c r="AV251" s="1856" t="str">
        <f t="shared" si="82"/>
        <v/>
      </c>
      <c r="AW251" s="1856" t="str">
        <f t="shared" si="83"/>
        <v/>
      </c>
      <c r="AX251" s="1856" t="str">
        <f t="shared" si="84"/>
        <v/>
      </c>
      <c r="AY251" s="1856" t="str">
        <f t="shared" si="85"/>
        <v/>
      </c>
      <c r="BB251" s="1879">
        <v>31</v>
      </c>
      <c r="BC251" s="1880">
        <v>0.47638888888888892</v>
      </c>
      <c r="BD251" s="1879" t="s">
        <v>688</v>
      </c>
      <c r="BE251" s="1880">
        <v>0.94097222222222221</v>
      </c>
      <c r="BF251" s="1879" t="s">
        <v>769</v>
      </c>
      <c r="BG251" s="1879" t="s">
        <v>241</v>
      </c>
      <c r="BH251" s="1880">
        <v>0.71180555555555547</v>
      </c>
      <c r="BI251" s="1879" t="s">
        <v>974</v>
      </c>
      <c r="BJ251" s="1881">
        <v>237553</v>
      </c>
      <c r="BK251" s="1882">
        <v>0.20499999999999999</v>
      </c>
      <c r="BL251" s="1619">
        <f t="shared" si="69"/>
        <v>44804</v>
      </c>
      <c r="BM251" s="1856">
        <f t="shared" si="79"/>
        <v>0.71180555555555547</v>
      </c>
      <c r="BN251" s="934">
        <f t="shared" si="70"/>
        <v>40.299999999999997</v>
      </c>
    </row>
    <row r="252" spans="1:66" ht="14.5">
      <c r="A252" s="1">
        <f t="shared" si="77"/>
        <v>44805</v>
      </c>
      <c r="B252" s="932">
        <f t="shared" si="71"/>
        <v>44805.260416666664</v>
      </c>
      <c r="C252" s="932">
        <f t="shared" si="72"/>
        <v>44805.300694444442</v>
      </c>
      <c r="D252" s="932">
        <f t="shared" si="73"/>
        <v>44805.84375</v>
      </c>
      <c r="E252" s="932">
        <f t="shared" si="74"/>
        <v>44805.884722222225</v>
      </c>
      <c r="F252" s="932">
        <f t="shared" si="75"/>
        <v>44805.524305555555</v>
      </c>
      <c r="G252" s="932">
        <f t="shared" si="76"/>
        <v>44805.963194444448</v>
      </c>
      <c r="H252" s="2">
        <f t="shared" si="78"/>
        <v>23</v>
      </c>
      <c r="I252" s="2">
        <v>60.110510684699541</v>
      </c>
      <c r="J252" s="1317">
        <v>8.0051168133412229</v>
      </c>
      <c r="AP252" s="1855">
        <f t="shared" si="86"/>
        <v>44586</v>
      </c>
      <c r="AQ252" s="925" t="str">
        <f t="shared" si="87"/>
        <v>EENT</v>
      </c>
      <c r="AR252" s="1856">
        <f t="shared" si="88"/>
        <v>44586.790277777778</v>
      </c>
      <c r="AS252" s="927" t="s">
        <v>1163</v>
      </c>
      <c r="AT252" s="1856" t="str">
        <f t="shared" si="80"/>
        <v/>
      </c>
      <c r="AU252" s="1856" t="str">
        <f t="shared" si="81"/>
        <v/>
      </c>
      <c r="AV252" s="1856" t="str">
        <f t="shared" si="82"/>
        <v/>
      </c>
      <c r="AW252" s="1856" t="str">
        <f t="shared" si="83"/>
        <v/>
      </c>
      <c r="AX252" s="1856" t="str">
        <f t="shared" si="84"/>
        <v/>
      </c>
      <c r="AY252" s="1856" t="str">
        <f t="shared" si="85"/>
        <v/>
      </c>
      <c r="BB252" s="1879">
        <v>1</v>
      </c>
      <c r="BC252" s="1880">
        <v>0.5229166666666667</v>
      </c>
      <c r="BD252" s="1879" t="s">
        <v>778</v>
      </c>
      <c r="BE252" s="1880">
        <v>0.96180555555555547</v>
      </c>
      <c r="BF252" s="1879" t="s">
        <v>779</v>
      </c>
      <c r="BG252" s="1879" t="s">
        <v>241</v>
      </c>
      <c r="BH252" s="1880">
        <v>0.74513888888888891</v>
      </c>
      <c r="BI252" s="1879" t="s">
        <v>1164</v>
      </c>
      <c r="BJ252" s="1881">
        <v>235267</v>
      </c>
      <c r="BK252" s="1882">
        <v>0.30199999999999999</v>
      </c>
      <c r="BL252" s="1619">
        <f t="shared" si="69"/>
        <v>44805</v>
      </c>
      <c r="BM252" s="1856">
        <f t="shared" si="79"/>
        <v>0.74513888888888891</v>
      </c>
      <c r="BN252" s="934">
        <f t="shared" si="70"/>
        <v>34.700000000000003</v>
      </c>
    </row>
    <row r="253" spans="1:66" ht="14.5">
      <c r="A253" s="1">
        <f t="shared" si="77"/>
        <v>44806</v>
      </c>
      <c r="B253" s="932">
        <f t="shared" si="71"/>
        <v>44806.260416666664</v>
      </c>
      <c r="C253" s="932">
        <f t="shared" si="72"/>
        <v>44806.301388888889</v>
      </c>
      <c r="D253" s="932">
        <f t="shared" si="73"/>
        <v>44806.842361111114</v>
      </c>
      <c r="E253" s="932">
        <f t="shared" si="74"/>
        <v>44806.883333333331</v>
      </c>
      <c r="F253" s="932">
        <f t="shared" si="75"/>
        <v>44806.572916666664</v>
      </c>
      <c r="G253" s="932">
        <f t="shared" si="76"/>
        <v>44806.98819444445</v>
      </c>
      <c r="H253" s="2">
        <f t="shared" si="78"/>
        <v>33</v>
      </c>
      <c r="I253" s="2">
        <v>59.744247100372078</v>
      </c>
      <c r="J253" s="1317">
        <v>7.639924359674378</v>
      </c>
      <c r="AP253" s="1855">
        <f t="shared" si="86"/>
        <v>44587</v>
      </c>
      <c r="AQ253" s="925" t="str">
        <f t="shared" si="87"/>
        <v/>
      </c>
      <c r="AR253" s="1856" t="str">
        <f t="shared" si="88"/>
        <v/>
      </c>
      <c r="AS253" s="927">
        <v>26</v>
      </c>
      <c r="AT253" s="1856">
        <f t="shared" si="80"/>
        <v>44587.286805555559</v>
      </c>
      <c r="AU253" s="1856">
        <f t="shared" si="81"/>
        <v>44587.328472222223</v>
      </c>
      <c r="AV253" s="1856">
        <f t="shared" si="82"/>
        <v>44587.75</v>
      </c>
      <c r="AW253" s="1856">
        <f t="shared" si="83"/>
        <v>44587.790972222225</v>
      </c>
      <c r="AX253" s="1856">
        <f t="shared" si="84"/>
        <v>44587.088194444448</v>
      </c>
      <c r="AY253" s="1856">
        <f t="shared" si="85"/>
        <v>44587.527777777781</v>
      </c>
      <c r="AZ253" s="1853">
        <v>0.43</v>
      </c>
      <c r="BB253" s="1879">
        <v>2</v>
      </c>
      <c r="BC253" s="1880">
        <v>0.57152777777777775</v>
      </c>
      <c r="BD253" s="1879" t="s">
        <v>786</v>
      </c>
      <c r="BE253" s="1880">
        <v>0.9868055555555556</v>
      </c>
      <c r="BF253" s="1879" t="s">
        <v>712</v>
      </c>
      <c r="BG253" s="1879" t="s">
        <v>241</v>
      </c>
      <c r="BH253" s="1880">
        <v>0.78125</v>
      </c>
      <c r="BI253" s="1879" t="s">
        <v>1165</v>
      </c>
      <c r="BJ253" s="1881">
        <v>233012</v>
      </c>
      <c r="BK253" s="1882">
        <v>0.41099999999999998</v>
      </c>
      <c r="BL253" s="1619">
        <f t="shared" si="69"/>
        <v>44806</v>
      </c>
      <c r="BM253" s="1856">
        <f t="shared" si="79"/>
        <v>0.78125</v>
      </c>
      <c r="BN253" s="934">
        <f t="shared" si="70"/>
        <v>29.9</v>
      </c>
    </row>
    <row r="254" spans="1:66" ht="14.5">
      <c r="A254" s="1">
        <f t="shared" si="77"/>
        <v>44807</v>
      </c>
      <c r="B254" s="932">
        <f t="shared" si="71"/>
        <v>44807.261111111111</v>
      </c>
      <c r="C254" s="932">
        <f t="shared" si="72"/>
        <v>44807.302083333328</v>
      </c>
      <c r="D254" s="932">
        <f t="shared" si="73"/>
        <v>44807.841666666667</v>
      </c>
      <c r="E254" s="932">
        <f t="shared" si="74"/>
        <v>44807.881944444445</v>
      </c>
      <c r="F254" s="932">
        <f t="shared" si="75"/>
        <v>44807.622222222228</v>
      </c>
      <c r="G254" s="932" t="str">
        <f t="shared" si="76"/>
        <v>NONE</v>
      </c>
      <c r="H254" s="2">
        <f t="shared" si="78"/>
        <v>44</v>
      </c>
      <c r="I254" s="2">
        <v>59.375759304100093</v>
      </c>
      <c r="J254" s="1317">
        <v>7.2726755795991833</v>
      </c>
      <c r="AP254" s="1855">
        <f t="shared" si="86"/>
        <v>44587</v>
      </c>
      <c r="AQ254" s="925" t="str">
        <f t="shared" si="87"/>
        <v/>
      </c>
      <c r="AR254" s="1856" t="str">
        <f t="shared" si="88"/>
        <v/>
      </c>
      <c r="AS254" s="927" t="s">
        <v>252</v>
      </c>
      <c r="AT254" s="1856" t="str">
        <f t="shared" si="80"/>
        <v/>
      </c>
      <c r="AU254" s="1856" t="str">
        <f t="shared" si="81"/>
        <v/>
      </c>
      <c r="AV254" s="1856" t="str">
        <f t="shared" si="82"/>
        <v/>
      </c>
      <c r="AW254" s="1856" t="str">
        <f t="shared" si="83"/>
        <v/>
      </c>
      <c r="AX254" s="1856" t="str">
        <f t="shared" si="84"/>
        <v/>
      </c>
      <c r="AY254" s="1856" t="str">
        <f t="shared" si="85"/>
        <v/>
      </c>
      <c r="BB254" s="1879" t="s">
        <v>1166</v>
      </c>
      <c r="BC254" s="1880">
        <v>0.62152777777777779</v>
      </c>
      <c r="BD254" s="1879" t="s">
        <v>713</v>
      </c>
      <c r="BE254" s="1880" t="s">
        <v>241</v>
      </c>
      <c r="BF254" s="1879" t="s">
        <v>241</v>
      </c>
      <c r="BG254" s="1880">
        <v>0.8208333333333333</v>
      </c>
      <c r="BH254" s="1880" t="s">
        <v>884</v>
      </c>
      <c r="BI254" s="1881">
        <v>230875</v>
      </c>
      <c r="BJ254" s="1881">
        <v>0.52800000000000002</v>
      </c>
      <c r="BK254" s="1882"/>
      <c r="BL254" s="1619">
        <f t="shared" si="69"/>
        <v>44807</v>
      </c>
      <c r="BM254" s="1856">
        <f t="shared" si="79"/>
        <v>0.8208333333333333</v>
      </c>
      <c r="BN254" s="934">
        <f t="shared" si="70"/>
        <v>26.3</v>
      </c>
    </row>
    <row r="255" spans="1:66" ht="14.5">
      <c r="A255" s="1">
        <f t="shared" si="77"/>
        <v>44808</v>
      </c>
      <c r="B255" s="932">
        <f t="shared" si="71"/>
        <v>44808.261805555558</v>
      </c>
      <c r="C255" s="932">
        <f t="shared" si="72"/>
        <v>44808.302777777775</v>
      </c>
      <c r="D255" s="932">
        <f t="shared" si="73"/>
        <v>44808.840277777781</v>
      </c>
      <c r="E255" s="932">
        <f t="shared" si="74"/>
        <v>44808.881249999999</v>
      </c>
      <c r="F255" s="932">
        <f t="shared" si="75"/>
        <v>44808.671527777777</v>
      </c>
      <c r="G255" s="932">
        <f t="shared" si="76"/>
        <v>44808.018750000003</v>
      </c>
      <c r="H255" s="2">
        <f t="shared" si="78"/>
        <v>55.000000000000007</v>
      </c>
      <c r="I255" s="2">
        <v>59.005136555723723</v>
      </c>
      <c r="J255" s="1317">
        <v>6.9034602745042264</v>
      </c>
      <c r="AP255" s="1855">
        <f t="shared" si="86"/>
        <v>44587</v>
      </c>
      <c r="AQ255" s="925" t="str">
        <f t="shared" si="87"/>
        <v/>
      </c>
      <c r="AR255" s="1856" t="str">
        <f t="shared" si="88"/>
        <v/>
      </c>
      <c r="AT255" s="1856" t="str">
        <f t="shared" si="80"/>
        <v/>
      </c>
      <c r="AU255" s="1856" t="str">
        <f t="shared" si="81"/>
        <v/>
      </c>
      <c r="AV255" s="1856" t="str">
        <f t="shared" si="82"/>
        <v/>
      </c>
      <c r="AW255" s="1856" t="str">
        <f t="shared" si="83"/>
        <v/>
      </c>
      <c r="AX255" s="1856" t="str">
        <f t="shared" si="84"/>
        <v/>
      </c>
      <c r="AY255" s="1856" t="str">
        <f t="shared" si="85"/>
        <v/>
      </c>
      <c r="BB255" s="1879">
        <v>4</v>
      </c>
      <c r="BC255" s="1880" t="s">
        <v>241</v>
      </c>
      <c r="BD255" s="1880">
        <v>1.8055555555555557E-2</v>
      </c>
      <c r="BE255" s="1880" t="s">
        <v>721</v>
      </c>
      <c r="BF255" s="1880">
        <v>0.67013888888888884</v>
      </c>
      <c r="BG255" s="1879" t="s">
        <v>882</v>
      </c>
      <c r="BH255" s="1880">
        <v>0.86319444444444438</v>
      </c>
      <c r="BI255" s="1879" t="s">
        <v>1062</v>
      </c>
      <c r="BJ255" s="1881">
        <v>228984</v>
      </c>
      <c r="BK255" s="1882">
        <v>0.64500000000000002</v>
      </c>
      <c r="BL255" s="1619">
        <f t="shared" si="69"/>
        <v>44808</v>
      </c>
      <c r="BM255" s="1856">
        <f t="shared" si="79"/>
        <v>0.86319444444444438</v>
      </c>
      <c r="BN255" s="934">
        <f t="shared" si="70"/>
        <v>24.3</v>
      </c>
    </row>
    <row r="256" spans="1:66" ht="14.5">
      <c r="A256" s="1">
        <f t="shared" si="77"/>
        <v>44809</v>
      </c>
      <c r="B256" s="932">
        <f t="shared" si="71"/>
        <v>44809.262499999997</v>
      </c>
      <c r="C256" s="932">
        <f t="shared" si="72"/>
        <v>44809.303472222222</v>
      </c>
      <c r="D256" s="932">
        <f t="shared" si="73"/>
        <v>44809.839583333334</v>
      </c>
      <c r="E256" s="932">
        <f t="shared" si="74"/>
        <v>44809.879861111112</v>
      </c>
      <c r="F256" s="932">
        <f t="shared" si="75"/>
        <v>44809.715972222228</v>
      </c>
      <c r="G256" s="932">
        <f t="shared" si="76"/>
        <v>44809.056249999994</v>
      </c>
      <c r="H256" s="2">
        <f t="shared" si="78"/>
        <v>66</v>
      </c>
      <c r="I256" s="2">
        <v>58.632468852010767</v>
      </c>
      <c r="J256" s="1317">
        <v>6.5323683791922909</v>
      </c>
      <c r="AP256" s="1855">
        <f t="shared" si="86"/>
        <v>44587</v>
      </c>
      <c r="AQ256" s="925" t="str">
        <f t="shared" si="87"/>
        <v>MR</v>
      </c>
      <c r="AR256" s="1856">
        <f t="shared" si="88"/>
        <v>44587.088194444448</v>
      </c>
      <c r="AS256" s="927" t="s">
        <v>1167</v>
      </c>
      <c r="AT256" s="1856" t="str">
        <f t="shared" si="80"/>
        <v/>
      </c>
      <c r="AU256" s="1856" t="str">
        <f t="shared" si="81"/>
        <v/>
      </c>
      <c r="AV256" s="1856" t="str">
        <f t="shared" si="82"/>
        <v/>
      </c>
      <c r="AW256" s="1856" t="str">
        <f t="shared" si="83"/>
        <v/>
      </c>
      <c r="AX256" s="1856" t="str">
        <f t="shared" si="84"/>
        <v/>
      </c>
      <c r="AY256" s="1856" t="str">
        <f t="shared" si="85"/>
        <v/>
      </c>
      <c r="BB256" s="1879">
        <v>5</v>
      </c>
      <c r="BC256" s="1880" t="s">
        <v>241</v>
      </c>
      <c r="BD256" s="1880">
        <v>5.5555555555555552E-2</v>
      </c>
      <c r="BE256" s="1880" t="s">
        <v>936</v>
      </c>
      <c r="BF256" s="1880">
        <v>0.71527777777777779</v>
      </c>
      <c r="BG256" s="1879" t="s">
        <v>882</v>
      </c>
      <c r="BH256" s="1880">
        <v>0.90763888888888899</v>
      </c>
      <c r="BI256" s="1879" t="s">
        <v>1132</v>
      </c>
      <c r="BJ256" s="1881">
        <v>227511</v>
      </c>
      <c r="BK256" s="1882">
        <v>0.75600000000000001</v>
      </c>
      <c r="BL256" s="1619">
        <f t="shared" si="69"/>
        <v>44809</v>
      </c>
      <c r="BM256" s="1856">
        <f t="shared" si="79"/>
        <v>0.90763888888888899</v>
      </c>
      <c r="BN256" s="934">
        <f t="shared" si="70"/>
        <v>24.2</v>
      </c>
    </row>
    <row r="257" spans="1:66" ht="14.5">
      <c r="A257" s="1">
        <f t="shared" si="77"/>
        <v>44810</v>
      </c>
      <c r="B257" s="932">
        <f t="shared" si="71"/>
        <v>44810.263194444444</v>
      </c>
      <c r="C257" s="932">
        <f t="shared" si="72"/>
        <v>44810.304166666661</v>
      </c>
      <c r="D257" s="932">
        <f t="shared" si="73"/>
        <v>44810.838194444448</v>
      </c>
      <c r="E257" s="932">
        <f t="shared" si="74"/>
        <v>44810.878472222219</v>
      </c>
      <c r="F257" s="932">
        <f t="shared" si="75"/>
        <v>44810.754861111112</v>
      </c>
      <c r="G257" s="932">
        <f t="shared" si="76"/>
        <v>44810.101388888892</v>
      </c>
      <c r="H257" s="2">
        <f t="shared" si="78"/>
        <v>77</v>
      </c>
      <c r="I257" s="2">
        <v>58.257846929958674</v>
      </c>
      <c r="J257" s="1317">
        <v>6.1594899692758602</v>
      </c>
      <c r="AP257" s="1855">
        <f t="shared" si="86"/>
        <v>44587</v>
      </c>
      <c r="AQ257" s="925" t="str">
        <f t="shared" si="87"/>
        <v>BMNT</v>
      </c>
      <c r="AR257" s="1856">
        <f t="shared" si="88"/>
        <v>44587.286805555559</v>
      </c>
      <c r="AS257" s="927" t="s">
        <v>1168</v>
      </c>
      <c r="AT257" s="1856" t="str">
        <f t="shared" si="80"/>
        <v/>
      </c>
      <c r="AU257" s="1856" t="str">
        <f t="shared" si="81"/>
        <v/>
      </c>
      <c r="AV257" s="1856" t="str">
        <f t="shared" si="82"/>
        <v/>
      </c>
      <c r="AW257" s="1856" t="str">
        <f t="shared" si="83"/>
        <v/>
      </c>
      <c r="AX257" s="1856" t="str">
        <f t="shared" si="84"/>
        <v/>
      </c>
      <c r="AY257" s="1856" t="str">
        <f t="shared" si="85"/>
        <v/>
      </c>
      <c r="BB257" s="1879">
        <v>6</v>
      </c>
      <c r="BC257" s="1880" t="s">
        <v>241</v>
      </c>
      <c r="BD257" s="1880">
        <v>0.10069444444444443</v>
      </c>
      <c r="BE257" s="1880" t="s">
        <v>936</v>
      </c>
      <c r="BF257" s="1880">
        <v>0.75416666666666676</v>
      </c>
      <c r="BG257" s="1879" t="s">
        <v>562</v>
      </c>
      <c r="BH257" s="1880">
        <v>0.95138888888888884</v>
      </c>
      <c r="BI257" s="1879" t="s">
        <v>1095</v>
      </c>
      <c r="BJ257" s="1881">
        <v>226644</v>
      </c>
      <c r="BK257" s="1882">
        <v>0.85299999999999998</v>
      </c>
      <c r="BL257" s="1619">
        <f t="shared" si="69"/>
        <v>44810</v>
      </c>
      <c r="BM257" s="1856">
        <f t="shared" si="79"/>
        <v>0.95138888888888884</v>
      </c>
      <c r="BN257" s="934">
        <f t="shared" si="70"/>
        <v>26.2</v>
      </c>
    </row>
    <row r="258" spans="1:66" ht="14.5">
      <c r="A258" s="1">
        <f t="shared" si="77"/>
        <v>44811</v>
      </c>
      <c r="B258" s="932">
        <f t="shared" si="71"/>
        <v>44811.263888888891</v>
      </c>
      <c r="C258" s="932">
        <f t="shared" si="72"/>
        <v>44811.304861111108</v>
      </c>
      <c r="D258" s="932">
        <f t="shared" si="73"/>
        <v>44811.837500000001</v>
      </c>
      <c r="E258" s="932">
        <f t="shared" si="74"/>
        <v>44811.87777777778</v>
      </c>
      <c r="F258" s="932">
        <f t="shared" si="75"/>
        <v>44811.787499999999</v>
      </c>
      <c r="G258" s="932">
        <f t="shared" si="76"/>
        <v>44811.151388888888</v>
      </c>
      <c r="H258" s="2">
        <f t="shared" si="78"/>
        <v>86</v>
      </c>
      <c r="I258" s="2">
        <v>57.881362269492783</v>
      </c>
      <c r="J258" s="1317">
        <v>5.7849152695059303</v>
      </c>
      <c r="AP258" s="1855">
        <f t="shared" si="86"/>
        <v>44587</v>
      </c>
      <c r="AQ258" s="925" t="str">
        <f t="shared" si="87"/>
        <v>SR</v>
      </c>
      <c r="AR258" s="1856">
        <f t="shared" si="88"/>
        <v>44587.328472222223</v>
      </c>
      <c r="AS258" s="927" t="s">
        <v>1169</v>
      </c>
      <c r="AT258" s="1856" t="str">
        <f t="shared" si="80"/>
        <v/>
      </c>
      <c r="AU258" s="1856" t="str">
        <f t="shared" si="81"/>
        <v/>
      </c>
      <c r="AV258" s="1856" t="str">
        <f t="shared" si="82"/>
        <v/>
      </c>
      <c r="AW258" s="1856" t="str">
        <f t="shared" si="83"/>
        <v/>
      </c>
      <c r="AX258" s="1856" t="str">
        <f t="shared" si="84"/>
        <v/>
      </c>
      <c r="AY258" s="1856" t="str">
        <f t="shared" si="85"/>
        <v/>
      </c>
      <c r="BB258" s="1879">
        <v>7</v>
      </c>
      <c r="BC258" s="1880" t="s">
        <v>241</v>
      </c>
      <c r="BD258" s="1880">
        <v>0.15138888888888888</v>
      </c>
      <c r="BE258" s="1880" t="s">
        <v>578</v>
      </c>
      <c r="BF258" s="1880">
        <v>0.78680555555555554</v>
      </c>
      <c r="BG258" s="1879" t="s">
        <v>552</v>
      </c>
      <c r="BH258" s="1880">
        <v>0.99305555555555547</v>
      </c>
      <c r="BI258" s="1879" t="s">
        <v>1097</v>
      </c>
      <c r="BJ258" s="1881">
        <v>226548</v>
      </c>
      <c r="BK258" s="1882">
        <v>0.92900000000000005</v>
      </c>
      <c r="BL258" s="1619">
        <f t="shared" si="69"/>
        <v>44811</v>
      </c>
      <c r="BM258" s="1856">
        <f t="shared" si="79"/>
        <v>0.99305555555555547</v>
      </c>
      <c r="BN258" s="934">
        <f t="shared" si="70"/>
        <v>30</v>
      </c>
    </row>
    <row r="259" spans="1:66" ht="14.5">
      <c r="A259" s="1">
        <f t="shared" si="77"/>
        <v>44812</v>
      </c>
      <c r="B259" s="932">
        <f t="shared" si="71"/>
        <v>44812.26458333333</v>
      </c>
      <c r="C259" s="932">
        <f t="shared" si="72"/>
        <v>44812.304861111108</v>
      </c>
      <c r="D259" s="932">
        <f t="shared" si="73"/>
        <v>44812.836111111115</v>
      </c>
      <c r="E259" s="932">
        <f t="shared" si="74"/>
        <v>44812.876388888886</v>
      </c>
      <c r="F259" s="932">
        <f t="shared" si="75"/>
        <v>44812.813888888886</v>
      </c>
      <c r="G259" s="932">
        <f t="shared" si="76"/>
        <v>44812.204166666663</v>
      </c>
      <c r="H259" s="2">
        <f t="shared" si="78"/>
        <v>93</v>
      </c>
      <c r="I259" s="2">
        <v>57.503107095596931</v>
      </c>
      <c r="J259" s="1317">
        <v>5.4087346629839139</v>
      </c>
      <c r="AP259" s="1855">
        <f t="shared" si="86"/>
        <v>44587</v>
      </c>
      <c r="AQ259" s="925" t="str">
        <f t="shared" si="87"/>
        <v>MS</v>
      </c>
      <c r="AR259" s="1856">
        <f t="shared" si="88"/>
        <v>44587.527777777781</v>
      </c>
      <c r="AS259" s="927" t="s">
        <v>1170</v>
      </c>
      <c r="AT259" s="1856" t="str">
        <f t="shared" si="80"/>
        <v/>
      </c>
      <c r="AU259" s="1856" t="str">
        <f t="shared" si="81"/>
        <v/>
      </c>
      <c r="AV259" s="1856" t="str">
        <f t="shared" si="82"/>
        <v/>
      </c>
      <c r="AW259" s="1856" t="str">
        <f t="shared" si="83"/>
        <v/>
      </c>
      <c r="AX259" s="1856" t="str">
        <f t="shared" si="84"/>
        <v/>
      </c>
      <c r="AY259" s="1856" t="str">
        <f t="shared" si="85"/>
        <v/>
      </c>
      <c r="BB259" s="1879">
        <v>8</v>
      </c>
      <c r="BC259" s="1880" t="s">
        <v>241</v>
      </c>
      <c r="BD259" s="1880">
        <v>0.20416666666666669</v>
      </c>
      <c r="BE259" s="1880" t="s">
        <v>931</v>
      </c>
      <c r="BF259" s="1880">
        <v>0.81319444444444444</v>
      </c>
      <c r="BG259" s="1879" t="s">
        <v>513</v>
      </c>
      <c r="BH259" s="1880" t="s">
        <v>695</v>
      </c>
      <c r="BJ259" s="1881"/>
      <c r="BK259" s="1882"/>
      <c r="BL259" s="1619">
        <f t="shared" ref="BL259:BL322" si="89">A259</f>
        <v>44812</v>
      </c>
      <c r="BM259" s="1856" t="str">
        <f t="shared" si="79"/>
        <v>NA</v>
      </c>
      <c r="BN259" s="934" t="str">
        <f t="shared" si="70"/>
        <v>NA</v>
      </c>
    </row>
    <row r="260" spans="1:66" ht="14.5">
      <c r="A260" s="1">
        <f t="shared" si="77"/>
        <v>44813</v>
      </c>
      <c r="B260" s="932">
        <f t="shared" si="71"/>
        <v>44813.265277777777</v>
      </c>
      <c r="C260" s="932">
        <f t="shared" si="72"/>
        <v>44813.305555555555</v>
      </c>
      <c r="D260" s="932">
        <f t="shared" si="73"/>
        <v>44813.834722222222</v>
      </c>
      <c r="E260" s="932">
        <f t="shared" si="74"/>
        <v>44813.875</v>
      </c>
      <c r="F260" s="932">
        <f t="shared" si="75"/>
        <v>44813.836805555555</v>
      </c>
      <c r="G260" s="932">
        <f t="shared" si="76"/>
        <v>44813.256944444445</v>
      </c>
      <c r="H260" s="2">
        <f t="shared" si="78"/>
        <v>98</v>
      </c>
      <c r="I260" s="2">
        <v>57.123174379897272</v>
      </c>
      <c r="J260" s="1317">
        <v>5.0310387011953477</v>
      </c>
      <c r="AP260" s="1855">
        <f t="shared" si="86"/>
        <v>44587</v>
      </c>
      <c r="AQ260" s="925" t="str">
        <f t="shared" si="87"/>
        <v>SS</v>
      </c>
      <c r="AR260" s="1856">
        <f t="shared" si="88"/>
        <v>44587.75</v>
      </c>
      <c r="AS260" s="927" t="s">
        <v>1171</v>
      </c>
      <c r="AT260" s="1856" t="str">
        <f t="shared" si="80"/>
        <v/>
      </c>
      <c r="AU260" s="1856" t="str">
        <f t="shared" si="81"/>
        <v/>
      </c>
      <c r="AV260" s="1856" t="str">
        <f t="shared" si="82"/>
        <v/>
      </c>
      <c r="AW260" s="1856" t="str">
        <f t="shared" si="83"/>
        <v/>
      </c>
      <c r="AX260" s="1856" t="str">
        <f t="shared" si="84"/>
        <v/>
      </c>
      <c r="AY260" s="1856" t="str">
        <f t="shared" si="85"/>
        <v/>
      </c>
      <c r="BB260" s="1879">
        <v>9</v>
      </c>
      <c r="BC260" s="1880" t="s">
        <v>241</v>
      </c>
      <c r="BD260" s="1880">
        <v>0.25694444444444448</v>
      </c>
      <c r="BE260" s="1880" t="s">
        <v>514</v>
      </c>
      <c r="BF260" s="1880">
        <v>0.83611111111111114</v>
      </c>
      <c r="BG260" s="1879" t="s">
        <v>530</v>
      </c>
      <c r="BH260" s="1880">
        <v>3.1944444444444449E-2</v>
      </c>
      <c r="BI260" s="1879" t="s">
        <v>1172</v>
      </c>
      <c r="BJ260" s="1881">
        <v>227327</v>
      </c>
      <c r="BK260" s="1882">
        <v>0.97799999999999998</v>
      </c>
      <c r="BL260" s="1619">
        <f t="shared" si="89"/>
        <v>44813</v>
      </c>
      <c r="BM260" s="1856">
        <f t="shared" si="79"/>
        <v>3.1944444444444449E-2</v>
      </c>
      <c r="BN260" s="934">
        <f t="shared" si="70"/>
        <v>35.299999999999997</v>
      </c>
    </row>
    <row r="261" spans="1:66" ht="14.5">
      <c r="A261" s="1">
        <f t="shared" si="77"/>
        <v>44814</v>
      </c>
      <c r="B261" s="932">
        <f t="shared" si="71"/>
        <v>44814.265972222223</v>
      </c>
      <c r="C261" s="932">
        <f t="shared" si="72"/>
        <v>44814.306249999994</v>
      </c>
      <c r="D261" s="932">
        <f t="shared" si="73"/>
        <v>44814.834027777782</v>
      </c>
      <c r="E261" s="932">
        <f t="shared" si="74"/>
        <v>44814.874305555561</v>
      </c>
      <c r="F261" s="932">
        <f t="shared" si="75"/>
        <v>44814.856250000004</v>
      </c>
      <c r="G261" s="932">
        <f t="shared" si="76"/>
        <v>44814.307638888888</v>
      </c>
      <c r="H261" s="2">
        <f t="shared" si="78"/>
        <v>100</v>
      </c>
      <c r="I261" s="2">
        <v>56.741657841723224</v>
      </c>
      <c r="J261" s="1317">
        <v>4.6519181148126565</v>
      </c>
      <c r="AP261" s="1855">
        <f t="shared" si="86"/>
        <v>44587</v>
      </c>
      <c r="AQ261" s="925" t="str">
        <f t="shared" si="87"/>
        <v>EENT</v>
      </c>
      <c r="AR261" s="1856">
        <f t="shared" si="88"/>
        <v>44587.790972222225</v>
      </c>
      <c r="AS261" s="927" t="s">
        <v>1173</v>
      </c>
      <c r="AT261" s="1856" t="str">
        <f t="shared" si="80"/>
        <v/>
      </c>
      <c r="AU261" s="1856" t="str">
        <f t="shared" si="81"/>
        <v/>
      </c>
      <c r="AV261" s="1856" t="str">
        <f t="shared" si="82"/>
        <v/>
      </c>
      <c r="AW261" s="1856" t="str">
        <f t="shared" si="83"/>
        <v/>
      </c>
      <c r="AX261" s="1856" t="str">
        <f t="shared" si="84"/>
        <v/>
      </c>
      <c r="AY261" s="1856" t="str">
        <f t="shared" si="85"/>
        <v/>
      </c>
      <c r="BB261" s="1879" t="s">
        <v>1174</v>
      </c>
      <c r="BC261" s="1880" t="s">
        <v>241</v>
      </c>
      <c r="BD261" s="1880">
        <v>0.30763888888888891</v>
      </c>
      <c r="BE261" s="1880" t="s">
        <v>520</v>
      </c>
      <c r="BF261" s="1880">
        <v>0.85555555555555562</v>
      </c>
      <c r="BG261" s="1879" t="s">
        <v>1175</v>
      </c>
      <c r="BH261" s="1880">
        <v>6.805555555555555E-2</v>
      </c>
      <c r="BI261" s="1879" t="s">
        <v>1176</v>
      </c>
      <c r="BJ261" s="1881">
        <v>228991</v>
      </c>
      <c r="BK261" s="1882">
        <v>0.998</v>
      </c>
      <c r="BL261" s="1619">
        <f t="shared" si="89"/>
        <v>44814</v>
      </c>
      <c r="BM261" s="1856">
        <f t="shared" si="79"/>
        <v>6.805555555555555E-2</v>
      </c>
      <c r="BN261" s="934">
        <f t="shared" ref="BN261:BN324" si="90">IF(ISNUMBER(FIND("(",BI261)),MID(BI261,2,4)*1,IF(BM261="NA","NA",MID(BH261,2,4)*1))</f>
        <v>41.5</v>
      </c>
    </row>
    <row r="262" spans="1:66" ht="14.5">
      <c r="A262" s="1">
        <f t="shared" si="77"/>
        <v>44815</v>
      </c>
      <c r="B262" s="932">
        <f t="shared" si="71"/>
        <v>44815.26666666667</v>
      </c>
      <c r="C262" s="932">
        <f t="shared" si="72"/>
        <v>44815.306944444441</v>
      </c>
      <c r="D262" s="932">
        <f t="shared" si="73"/>
        <v>44815.832638888889</v>
      </c>
      <c r="E262" s="932">
        <f t="shared" si="74"/>
        <v>44815.872916666667</v>
      </c>
      <c r="F262" s="932">
        <f t="shared" si="75"/>
        <v>44815.875</v>
      </c>
      <c r="G262" s="932">
        <f t="shared" si="76"/>
        <v>44815.356250000004</v>
      </c>
      <c r="H262" s="2">
        <f t="shared" si="78"/>
        <v>99</v>
      </c>
      <c r="I262" s="2">
        <v>56.358651948656785</v>
      </c>
      <c r="J262" s="1317">
        <v>4.2714638252078245</v>
      </c>
      <c r="AP262" s="1855">
        <f t="shared" si="86"/>
        <v>44588</v>
      </c>
      <c r="AQ262" s="925" t="str">
        <f t="shared" si="87"/>
        <v/>
      </c>
      <c r="AR262" s="1856" t="str">
        <f t="shared" si="88"/>
        <v/>
      </c>
      <c r="AS262" s="927">
        <v>27</v>
      </c>
      <c r="AT262" s="1856">
        <f t="shared" si="80"/>
        <v>44588.286805555559</v>
      </c>
      <c r="AU262" s="1856">
        <f t="shared" si="81"/>
        <v>44588.327777777777</v>
      </c>
      <c r="AV262" s="1856">
        <f t="shared" si="82"/>
        <v>44588.750694444447</v>
      </c>
      <c r="AW262" s="1856">
        <f t="shared" si="83"/>
        <v>44588.791666666664</v>
      </c>
      <c r="AX262" s="1856">
        <f t="shared" si="84"/>
        <v>44588.138194444444</v>
      </c>
      <c r="AY262" s="1856">
        <f t="shared" si="85"/>
        <v>44588.555555555555</v>
      </c>
      <c r="AZ262" s="1853">
        <v>0.32</v>
      </c>
      <c r="BB262" s="1879">
        <v>11</v>
      </c>
      <c r="BC262" s="1880" t="s">
        <v>241</v>
      </c>
      <c r="BD262" s="1880">
        <v>0.35625000000000001</v>
      </c>
      <c r="BE262" s="1880" t="s">
        <v>1177</v>
      </c>
      <c r="BF262" s="1880">
        <v>0.87361111111111101</v>
      </c>
      <c r="BG262" s="1879" t="s">
        <v>1178</v>
      </c>
      <c r="BH262" s="1880">
        <v>0.10208333333333335</v>
      </c>
      <c r="BI262" s="1879" t="s">
        <v>867</v>
      </c>
      <c r="BJ262" s="1881">
        <v>231448</v>
      </c>
      <c r="BK262" s="1882">
        <v>0.98899999999999999</v>
      </c>
      <c r="BL262" s="1619">
        <f t="shared" si="89"/>
        <v>44815</v>
      </c>
      <c r="BM262" s="1856">
        <f t="shared" si="79"/>
        <v>0.10208333333333335</v>
      </c>
      <c r="BN262" s="934">
        <f t="shared" si="90"/>
        <v>48.1</v>
      </c>
    </row>
    <row r="263" spans="1:66" ht="14.5">
      <c r="A263" s="1">
        <f t="shared" si="77"/>
        <v>44816</v>
      </c>
      <c r="B263" s="932">
        <f t="shared" si="71"/>
        <v>44816.267361111109</v>
      </c>
      <c r="C263" s="932">
        <f t="shared" si="72"/>
        <v>44816.307638888888</v>
      </c>
      <c r="D263" s="932">
        <f t="shared" si="73"/>
        <v>44816.831944444442</v>
      </c>
      <c r="E263" s="932">
        <f t="shared" si="74"/>
        <v>44816.871527777781</v>
      </c>
      <c r="F263" s="932">
        <f t="shared" si="75"/>
        <v>44816.893055555556</v>
      </c>
      <c r="G263" s="932">
        <f t="shared" si="76"/>
        <v>44816.40347222222</v>
      </c>
      <c r="H263" s="2">
        <f t="shared" si="78"/>
        <v>96</v>
      </c>
      <c r="I263" s="2">
        <v>55.97425191658381</v>
      </c>
      <c r="J263" s="1317">
        <v>3.8897669566225281</v>
      </c>
      <c r="AP263" s="1855">
        <f t="shared" si="86"/>
        <v>44588</v>
      </c>
      <c r="AQ263" s="925" t="str">
        <f t="shared" si="87"/>
        <v/>
      </c>
      <c r="AR263" s="1856" t="str">
        <f t="shared" si="88"/>
        <v/>
      </c>
      <c r="AS263" s="927" t="s">
        <v>252</v>
      </c>
      <c r="AT263" s="1856" t="str">
        <f t="shared" si="80"/>
        <v/>
      </c>
      <c r="AU263" s="1856" t="str">
        <f t="shared" si="81"/>
        <v/>
      </c>
      <c r="AV263" s="1856" t="str">
        <f t="shared" si="82"/>
        <v/>
      </c>
      <c r="AW263" s="1856" t="str">
        <f t="shared" si="83"/>
        <v/>
      </c>
      <c r="AX263" s="1856" t="str">
        <f t="shared" si="84"/>
        <v/>
      </c>
      <c r="AY263" s="1856" t="str">
        <f t="shared" si="85"/>
        <v/>
      </c>
      <c r="BB263" s="1879">
        <v>12</v>
      </c>
      <c r="BC263" s="1880" t="s">
        <v>241</v>
      </c>
      <c r="BD263" s="1880">
        <v>0.40347222222222223</v>
      </c>
      <c r="BE263" s="1880" t="s">
        <v>670</v>
      </c>
      <c r="BF263" s="1880">
        <v>0.89166666666666661</v>
      </c>
      <c r="BG263" s="1879" t="s">
        <v>661</v>
      </c>
      <c r="BH263" s="1880">
        <v>0.13472222222222222</v>
      </c>
      <c r="BI263" s="1879" t="s">
        <v>1179</v>
      </c>
      <c r="BJ263" s="1881">
        <v>234510</v>
      </c>
      <c r="BK263" s="1882">
        <v>0.95399999999999996</v>
      </c>
      <c r="BL263" s="1619">
        <f t="shared" si="89"/>
        <v>44816</v>
      </c>
      <c r="BM263" s="1856">
        <f t="shared" si="79"/>
        <v>0.13472222222222222</v>
      </c>
      <c r="BN263" s="934">
        <f t="shared" si="90"/>
        <v>54.7</v>
      </c>
    </row>
    <row r="264" spans="1:66" ht="14.5">
      <c r="A264" s="1">
        <f t="shared" si="77"/>
        <v>44817</v>
      </c>
      <c r="B264" s="932">
        <f t="shared" si="71"/>
        <v>44817.268055555556</v>
      </c>
      <c r="C264" s="932">
        <f t="shared" si="72"/>
        <v>44817.308333333334</v>
      </c>
      <c r="D264" s="932">
        <f t="shared" si="73"/>
        <v>44817.830555555556</v>
      </c>
      <c r="E264" s="932">
        <f t="shared" si="74"/>
        <v>44817.870833333334</v>
      </c>
      <c r="F264" s="932">
        <f t="shared" si="75"/>
        <v>44817.911805555559</v>
      </c>
      <c r="G264" s="932">
        <f t="shared" si="76"/>
        <v>44817.45</v>
      </c>
      <c r="H264" s="2">
        <f t="shared" si="78"/>
        <v>91</v>
      </c>
      <c r="I264" s="2">
        <v>55.588553709241744</v>
      </c>
      <c r="J264" s="1317">
        <v>3.5069188489314014</v>
      </c>
      <c r="AP264" s="1855">
        <f t="shared" si="86"/>
        <v>44588</v>
      </c>
      <c r="AQ264" s="925" t="str">
        <f t="shared" si="87"/>
        <v/>
      </c>
      <c r="AR264" s="1856" t="str">
        <f t="shared" si="88"/>
        <v/>
      </c>
      <c r="AT264" s="1856" t="str">
        <f t="shared" si="80"/>
        <v/>
      </c>
      <c r="AU264" s="1856" t="str">
        <f t="shared" si="81"/>
        <v/>
      </c>
      <c r="AV264" s="1856" t="str">
        <f t="shared" si="82"/>
        <v/>
      </c>
      <c r="AW264" s="1856" t="str">
        <f t="shared" si="83"/>
        <v/>
      </c>
      <c r="AX264" s="1856" t="str">
        <f t="shared" si="84"/>
        <v/>
      </c>
      <c r="AY264" s="1856" t="str">
        <f t="shared" si="85"/>
        <v/>
      </c>
      <c r="BB264" s="1879">
        <v>13</v>
      </c>
      <c r="BC264" s="1880" t="s">
        <v>241</v>
      </c>
      <c r="BD264" s="1880">
        <v>0.44930555555555557</v>
      </c>
      <c r="BE264" s="1879" t="s">
        <v>567</v>
      </c>
      <c r="BF264" s="1880">
        <v>0.91041666666666676</v>
      </c>
      <c r="BG264" s="1880" t="s">
        <v>574</v>
      </c>
      <c r="BH264" s="1880">
        <v>0.16666666666666666</v>
      </c>
      <c r="BI264" s="1881" t="s">
        <v>1180</v>
      </c>
      <c r="BJ264" s="1882">
        <v>237922</v>
      </c>
      <c r="BK264" s="1882">
        <v>0.89700000000000002</v>
      </c>
      <c r="BL264" s="1619">
        <f t="shared" si="89"/>
        <v>44817</v>
      </c>
      <c r="BM264" s="1856">
        <f t="shared" si="79"/>
        <v>0.16666666666666666</v>
      </c>
      <c r="BN264" s="934">
        <f t="shared" si="90"/>
        <v>61</v>
      </c>
    </row>
    <row r="265" spans="1:66" ht="14.5">
      <c r="A265" s="1">
        <f t="shared" si="77"/>
        <v>44818</v>
      </c>
      <c r="B265" s="932">
        <f t="shared" ref="B265:B328" si="91">INDEX(AT$28:AT$4574,MATCH($A265,$AP$28:$AP$4574,0))</f>
        <v>44818.268750000003</v>
      </c>
      <c r="C265" s="932">
        <f t="shared" ref="C265:C328" si="92">INDEX(AU$28:AU$4574,MATCH($A265,$AP$28:$AP$4574,0))</f>
        <v>44818.308333333334</v>
      </c>
      <c r="D265" s="932">
        <f t="shared" ref="D265:D328" si="93">INDEX(AV$28:AV$4574,MATCH($A265,$AP$28:$AP$4574,0))</f>
        <v>44818.829861111109</v>
      </c>
      <c r="E265" s="932">
        <f t="shared" ref="E265:E328" si="94">INDEX(AW$28:AW$4574,MATCH($A265,$AP$28:$AP$4574,0))</f>
        <v>44818.869444444448</v>
      </c>
      <c r="F265" s="932">
        <f t="shared" ref="F265:F328" si="95">INDEX(AX$28:AX$4574,MATCH($A265,$AP$28:$AP$4574,0))</f>
        <v>44818.931944444441</v>
      </c>
      <c r="G265" s="932">
        <f t="shared" ref="G265:G328" si="96">INDEX(AY$28:AY$4574,MATCH($A265,$AP$28:$AP$4574,0))</f>
        <v>44818.495833333334</v>
      </c>
      <c r="H265" s="2">
        <f t="shared" si="78"/>
        <v>84</v>
      </c>
      <c r="I265" s="2">
        <v>55.201654037264504</v>
      </c>
      <c r="J265" s="1317">
        <v>3.1230110709454353</v>
      </c>
      <c r="AP265" s="1855">
        <f t="shared" si="86"/>
        <v>44588</v>
      </c>
      <c r="AQ265" s="925" t="str">
        <f t="shared" si="87"/>
        <v>MR</v>
      </c>
      <c r="AR265" s="1856">
        <f t="shared" si="88"/>
        <v>44588.138194444444</v>
      </c>
      <c r="AS265" s="927" t="s">
        <v>1181</v>
      </c>
      <c r="AT265" s="1856" t="str">
        <f t="shared" si="80"/>
        <v/>
      </c>
      <c r="AU265" s="1856" t="str">
        <f t="shared" si="81"/>
        <v/>
      </c>
      <c r="AV265" s="1856" t="str">
        <f t="shared" si="82"/>
        <v/>
      </c>
      <c r="AW265" s="1856" t="str">
        <f t="shared" si="83"/>
        <v/>
      </c>
      <c r="AX265" s="1856" t="str">
        <f t="shared" si="84"/>
        <v/>
      </c>
      <c r="AY265" s="1856" t="str">
        <f t="shared" si="85"/>
        <v/>
      </c>
      <c r="BB265" s="1879">
        <v>14</v>
      </c>
      <c r="BC265" s="1879" t="s">
        <v>241</v>
      </c>
      <c r="BD265" s="1880">
        <v>0.49444444444444446</v>
      </c>
      <c r="BE265" s="1879" t="s">
        <v>952</v>
      </c>
      <c r="BF265" s="1880">
        <v>0.93055555555555547</v>
      </c>
      <c r="BG265" s="1879" t="s">
        <v>644</v>
      </c>
      <c r="BH265" s="1880">
        <v>0.1986111111111111</v>
      </c>
      <c r="BI265" s="1879" t="s">
        <v>1182</v>
      </c>
      <c r="BJ265" s="1881">
        <v>241398</v>
      </c>
      <c r="BK265" s="1882">
        <v>0.82299999999999995</v>
      </c>
      <c r="BL265" s="1619">
        <f t="shared" si="89"/>
        <v>44818</v>
      </c>
      <c r="BM265" s="1856">
        <f t="shared" si="79"/>
        <v>0.1986111111111111</v>
      </c>
      <c r="BN265" s="934">
        <f t="shared" si="90"/>
        <v>66.7</v>
      </c>
    </row>
    <row r="266" spans="1:66" ht="14.5">
      <c r="A266" s="1">
        <f t="shared" ref="A266:A329" si="97">A265+1</f>
        <v>44819</v>
      </c>
      <c r="B266" s="932">
        <f t="shared" si="91"/>
        <v>44819.269444444442</v>
      </c>
      <c r="C266" s="932">
        <f t="shared" si="92"/>
        <v>44819.309027777774</v>
      </c>
      <c r="D266" s="932">
        <f t="shared" si="93"/>
        <v>44819.828472222223</v>
      </c>
      <c r="E266" s="932">
        <f t="shared" si="94"/>
        <v>44819.868750000001</v>
      </c>
      <c r="F266" s="932">
        <f t="shared" si="95"/>
        <v>44819.954166666663</v>
      </c>
      <c r="G266" s="932">
        <f t="shared" si="96"/>
        <v>44819.540277777778</v>
      </c>
      <c r="H266" s="2">
        <f t="shared" ref="H266:H329" si="98">INDEX(AZ$28:AZ$4574,MATCH($A266,$AP$28:$AP$4574,0))*100</f>
        <v>75</v>
      </c>
      <c r="I266" s="2">
        <v>54.813650356720686</v>
      </c>
      <c r="J266" s="1317">
        <v>2.7381354342038451</v>
      </c>
      <c r="AP266" s="1855">
        <f t="shared" si="86"/>
        <v>44588</v>
      </c>
      <c r="AQ266" s="925" t="str">
        <f t="shared" si="87"/>
        <v>BMNT</v>
      </c>
      <c r="AR266" s="1856">
        <f t="shared" si="88"/>
        <v>44588.286805555559</v>
      </c>
      <c r="AS266" s="927" t="s">
        <v>1168</v>
      </c>
      <c r="AT266" s="1856" t="str">
        <f t="shared" si="80"/>
        <v/>
      </c>
      <c r="AU266" s="1856" t="str">
        <f t="shared" si="81"/>
        <v/>
      </c>
      <c r="AV266" s="1856" t="str">
        <f t="shared" si="82"/>
        <v/>
      </c>
      <c r="AW266" s="1856" t="str">
        <f t="shared" si="83"/>
        <v/>
      </c>
      <c r="AX266" s="1856" t="str">
        <f t="shared" si="84"/>
        <v/>
      </c>
      <c r="AY266" s="1856" t="str">
        <f t="shared" si="85"/>
        <v/>
      </c>
      <c r="BB266" s="1879">
        <v>15</v>
      </c>
      <c r="BC266" s="1879" t="s">
        <v>241</v>
      </c>
      <c r="BD266" s="1880">
        <v>0.5395833333333333</v>
      </c>
      <c r="BE266" s="1879" t="s">
        <v>667</v>
      </c>
      <c r="BF266" s="1880">
        <v>0.95347222222222217</v>
      </c>
      <c r="BG266" s="1879" t="s">
        <v>668</v>
      </c>
      <c r="BH266" s="1880">
        <v>0.23194444444444443</v>
      </c>
      <c r="BI266" s="1879" t="s">
        <v>954</v>
      </c>
      <c r="BJ266" s="1881">
        <v>244655</v>
      </c>
      <c r="BK266" s="1882">
        <v>0.73599999999999999</v>
      </c>
      <c r="BL266" s="1619">
        <f t="shared" si="89"/>
        <v>44819</v>
      </c>
      <c r="BM266" s="1856">
        <f t="shared" ref="BM266:BM329" si="99">IF(ISNUMBER(FIND("(",BH266)),BG266,IF(ISNUMBER(FIND("Moon",BH266)),"NA",BH266))</f>
        <v>0.23194444444444443</v>
      </c>
      <c r="BN266" s="934">
        <f t="shared" si="90"/>
        <v>71.599999999999994</v>
      </c>
    </row>
    <row r="267" spans="1:66" ht="14.5">
      <c r="A267" s="1">
        <f t="shared" si="97"/>
        <v>44820</v>
      </c>
      <c r="B267" s="932">
        <f t="shared" si="91"/>
        <v>44820.270138888889</v>
      </c>
      <c r="C267" s="932">
        <f t="shared" si="92"/>
        <v>44820.30972222222</v>
      </c>
      <c r="D267" s="932">
        <f t="shared" si="93"/>
        <v>44820.827777777777</v>
      </c>
      <c r="E267" s="932">
        <f t="shared" si="94"/>
        <v>44820.867361111115</v>
      </c>
      <c r="F267" s="932">
        <f t="shared" si="95"/>
        <v>44820.980555555558</v>
      </c>
      <c r="G267" s="932">
        <f t="shared" si="96"/>
        <v>44820.583333333336</v>
      </c>
      <c r="H267" s="2">
        <f t="shared" si="98"/>
        <v>66</v>
      </c>
      <c r="I267" s="2">
        <v>54.424640867113318</v>
      </c>
      <c r="J267" s="1317">
        <v>2.352384007180373</v>
      </c>
      <c r="AP267" s="1855">
        <f t="shared" si="86"/>
        <v>44588</v>
      </c>
      <c r="AQ267" s="925" t="str">
        <f t="shared" si="87"/>
        <v>SR</v>
      </c>
      <c r="AR267" s="1856">
        <f t="shared" si="88"/>
        <v>44588.327777777777</v>
      </c>
      <c r="AS267" s="927" t="s">
        <v>1183</v>
      </c>
      <c r="AT267" s="1856" t="str">
        <f t="shared" si="80"/>
        <v/>
      </c>
      <c r="AU267" s="1856" t="str">
        <f t="shared" si="81"/>
        <v/>
      </c>
      <c r="AV267" s="1856" t="str">
        <f t="shared" si="82"/>
        <v/>
      </c>
      <c r="AW267" s="1856" t="str">
        <f t="shared" si="83"/>
        <v/>
      </c>
      <c r="AX267" s="1856" t="str">
        <f t="shared" si="84"/>
        <v/>
      </c>
      <c r="AY267" s="1856" t="str">
        <f t="shared" si="85"/>
        <v/>
      </c>
      <c r="BB267" s="1879">
        <v>16</v>
      </c>
      <c r="BC267" s="1879" t="s">
        <v>241</v>
      </c>
      <c r="BD267" s="1880">
        <v>0.58263888888888882</v>
      </c>
      <c r="BE267" s="1879" t="s">
        <v>677</v>
      </c>
      <c r="BF267" s="1880">
        <v>0.97916666666666663</v>
      </c>
      <c r="BG267" s="1879" t="s">
        <v>608</v>
      </c>
      <c r="BH267" s="1880">
        <v>0.26527777777777778</v>
      </c>
      <c r="BI267" s="1879" t="s">
        <v>1184</v>
      </c>
      <c r="BJ267" s="1881">
        <v>247442</v>
      </c>
      <c r="BK267" s="1882">
        <v>0.64200000000000002</v>
      </c>
      <c r="BL267" s="1619">
        <f t="shared" si="89"/>
        <v>44820</v>
      </c>
      <c r="BM267" s="1856">
        <f t="shared" si="99"/>
        <v>0.26527777777777778</v>
      </c>
      <c r="BN267" s="934">
        <f t="shared" si="90"/>
        <v>75.3</v>
      </c>
    </row>
    <row r="268" spans="1:66" ht="14.5">
      <c r="A268" s="1">
        <f t="shared" si="97"/>
        <v>44821</v>
      </c>
      <c r="B268" s="932">
        <f t="shared" si="91"/>
        <v>44821.270833333336</v>
      </c>
      <c r="C268" s="932">
        <f t="shared" si="92"/>
        <v>44821.310416666667</v>
      </c>
      <c r="D268" s="932">
        <f t="shared" si="93"/>
        <v>44821.826388888883</v>
      </c>
      <c r="E268" s="932">
        <f t="shared" si="94"/>
        <v>44821.865972222222</v>
      </c>
      <c r="F268" s="932" t="str">
        <f t="shared" si="95"/>
        <v>NONE</v>
      </c>
      <c r="G268" s="932">
        <f t="shared" si="96"/>
        <v>44821.625</v>
      </c>
      <c r="H268" s="2">
        <f t="shared" si="98"/>
        <v>56.999999999999993</v>
      </c>
      <c r="I268" s="2">
        <v>54.034724508836945</v>
      </c>
      <c r="J268" s="1317">
        <v>1.9658491298632814</v>
      </c>
      <c r="AP268" s="1855">
        <f t="shared" si="86"/>
        <v>44588</v>
      </c>
      <c r="AQ268" s="925" t="str">
        <f t="shared" si="87"/>
        <v>MS</v>
      </c>
      <c r="AR268" s="1856">
        <f t="shared" si="88"/>
        <v>44588.555555555555</v>
      </c>
      <c r="AS268" s="927" t="s">
        <v>1185</v>
      </c>
      <c r="AT268" s="1856" t="str">
        <f t="shared" si="80"/>
        <v/>
      </c>
      <c r="AU268" s="1856" t="str">
        <f t="shared" si="81"/>
        <v/>
      </c>
      <c r="AV268" s="1856" t="str">
        <f t="shared" si="82"/>
        <v/>
      </c>
      <c r="AW268" s="1856" t="str">
        <f t="shared" si="83"/>
        <v/>
      </c>
      <c r="AX268" s="1856" t="str">
        <f t="shared" si="84"/>
        <v/>
      </c>
      <c r="AY268" s="1856" t="str">
        <f t="shared" si="85"/>
        <v/>
      </c>
      <c r="BB268" s="1879" t="s">
        <v>1186</v>
      </c>
      <c r="BC268" s="1879" t="s">
        <v>241</v>
      </c>
      <c r="BD268" s="1880">
        <v>0.62430555555555556</v>
      </c>
      <c r="BE268" s="1879" t="s">
        <v>694</v>
      </c>
      <c r="BF268" s="1880" t="s">
        <v>241</v>
      </c>
      <c r="BG268" s="1880">
        <v>0.3</v>
      </c>
      <c r="BH268" s="1880" t="s">
        <v>910</v>
      </c>
      <c r="BI268" s="1881">
        <v>249564</v>
      </c>
      <c r="BJ268" s="1881">
        <v>0.54400000000000004</v>
      </c>
      <c r="BK268" s="1882"/>
      <c r="BL268" s="1619">
        <f t="shared" si="89"/>
        <v>44821</v>
      </c>
      <c r="BM268" s="1856">
        <f t="shared" si="99"/>
        <v>0.3</v>
      </c>
      <c r="BN268" s="934">
        <f t="shared" si="90"/>
        <v>77.900000000000006</v>
      </c>
    </row>
    <row r="269" spans="1:66" ht="14.5">
      <c r="A269" s="1">
        <f t="shared" si="97"/>
        <v>44822</v>
      </c>
      <c r="B269" s="932">
        <f t="shared" si="91"/>
        <v>44822.271527777775</v>
      </c>
      <c r="C269" s="932">
        <f t="shared" si="92"/>
        <v>44822.311111111107</v>
      </c>
      <c r="D269" s="932">
        <f t="shared" si="93"/>
        <v>44822.824999999997</v>
      </c>
      <c r="E269" s="932">
        <f t="shared" si="94"/>
        <v>44822.865277777782</v>
      </c>
      <c r="F269" s="932">
        <f t="shared" si="95"/>
        <v>44822.010416666664</v>
      </c>
      <c r="G269" s="932">
        <f t="shared" si="96"/>
        <v>44822.662499999999</v>
      </c>
      <c r="H269" s="2">
        <f t="shared" si="98"/>
        <v>47</v>
      </c>
      <c r="I269" s="2">
        <v>53.644000960054299</v>
      </c>
      <c r="J269" s="1317">
        <v>1.5786234286391014</v>
      </c>
      <c r="AP269" s="1855">
        <f t="shared" si="86"/>
        <v>44588</v>
      </c>
      <c r="AQ269" s="925" t="str">
        <f t="shared" si="87"/>
        <v>SS</v>
      </c>
      <c r="AR269" s="1856">
        <f t="shared" si="88"/>
        <v>44588.750694444447</v>
      </c>
      <c r="AS269" s="927" t="s">
        <v>1187</v>
      </c>
      <c r="AT269" s="1856" t="str">
        <f t="shared" si="80"/>
        <v/>
      </c>
      <c r="AU269" s="1856" t="str">
        <f t="shared" si="81"/>
        <v/>
      </c>
      <c r="AV269" s="1856" t="str">
        <f t="shared" si="82"/>
        <v/>
      </c>
      <c r="AW269" s="1856" t="str">
        <f t="shared" si="83"/>
        <v/>
      </c>
      <c r="AX269" s="1856" t="str">
        <f t="shared" si="84"/>
        <v/>
      </c>
      <c r="AY269" s="1856" t="str">
        <f t="shared" si="85"/>
        <v/>
      </c>
      <c r="BB269" s="1879">
        <v>18</v>
      </c>
      <c r="BC269" s="1880">
        <v>9.7222222222222224E-3</v>
      </c>
      <c r="BD269" s="1880" t="s">
        <v>907</v>
      </c>
      <c r="BE269" s="1880">
        <v>0.66180555555555554</v>
      </c>
      <c r="BF269" s="1880" t="s">
        <v>960</v>
      </c>
      <c r="BG269" s="1879" t="s">
        <v>241</v>
      </c>
      <c r="BH269" s="1880">
        <v>0.3354166666666667</v>
      </c>
      <c r="BI269" s="1879" t="s">
        <v>1188</v>
      </c>
      <c r="BJ269" s="1881">
        <v>250894</v>
      </c>
      <c r="BK269" s="1882">
        <v>0.44500000000000001</v>
      </c>
      <c r="BL269" s="1619">
        <f t="shared" si="89"/>
        <v>44822</v>
      </c>
      <c r="BM269" s="1856">
        <f t="shared" si="99"/>
        <v>0.3354166666666667</v>
      </c>
      <c r="BN269" s="934">
        <f t="shared" si="90"/>
        <v>79.099999999999994</v>
      </c>
    </row>
    <row r="270" spans="1:66" ht="14.5">
      <c r="A270" s="1">
        <f t="shared" si="97"/>
        <v>44823</v>
      </c>
      <c r="B270" s="932">
        <f t="shared" si="91"/>
        <v>44823.272222222222</v>
      </c>
      <c r="C270" s="932">
        <f t="shared" si="92"/>
        <v>44823.311805555553</v>
      </c>
      <c r="D270" s="932">
        <f t="shared" si="93"/>
        <v>44823.82430555555</v>
      </c>
      <c r="E270" s="932">
        <f t="shared" si="94"/>
        <v>44823.863888888889</v>
      </c>
      <c r="F270" s="932">
        <f t="shared" si="95"/>
        <v>44823.045138888883</v>
      </c>
      <c r="G270" s="932">
        <f t="shared" si="96"/>
        <v>44823.696527777778</v>
      </c>
      <c r="H270" s="2">
        <f t="shared" si="98"/>
        <v>38</v>
      </c>
      <c r="I270" s="2">
        <v>53.252570632962239</v>
      </c>
      <c r="J270" s="1317">
        <v>1.1907998314232946</v>
      </c>
      <c r="AP270" s="1855">
        <f t="shared" si="86"/>
        <v>44588</v>
      </c>
      <c r="AQ270" s="925" t="str">
        <f t="shared" si="87"/>
        <v>EENT</v>
      </c>
      <c r="AR270" s="1856">
        <f t="shared" si="88"/>
        <v>44588.791666666664</v>
      </c>
      <c r="AS270" s="927" t="s">
        <v>1189</v>
      </c>
      <c r="AT270" s="1856" t="str">
        <f t="shared" si="80"/>
        <v/>
      </c>
      <c r="AU270" s="1856" t="str">
        <f t="shared" si="81"/>
        <v/>
      </c>
      <c r="AV270" s="1856" t="str">
        <f t="shared" si="82"/>
        <v/>
      </c>
      <c r="AW270" s="1856" t="str">
        <f t="shared" si="83"/>
        <v/>
      </c>
      <c r="AX270" s="1856" t="str">
        <f t="shared" si="84"/>
        <v/>
      </c>
      <c r="AY270" s="1856" t="str">
        <f t="shared" si="85"/>
        <v/>
      </c>
      <c r="BB270" s="1879">
        <v>19</v>
      </c>
      <c r="BC270" s="1880">
        <v>4.4444444444444446E-2</v>
      </c>
      <c r="BD270" s="1880" t="s">
        <v>907</v>
      </c>
      <c r="BE270" s="1880">
        <v>0.6958333333333333</v>
      </c>
      <c r="BF270" s="1880" t="s">
        <v>960</v>
      </c>
      <c r="BG270" s="1879" t="s">
        <v>241</v>
      </c>
      <c r="BH270" s="1880">
        <v>0.37083333333333335</v>
      </c>
      <c r="BI270" s="1879" t="s">
        <v>1152</v>
      </c>
      <c r="BJ270" s="1881">
        <v>251377</v>
      </c>
      <c r="BK270" s="1882">
        <v>0.35</v>
      </c>
      <c r="BL270" s="1619">
        <f t="shared" si="89"/>
        <v>44823</v>
      </c>
      <c r="BM270" s="1856">
        <f t="shared" si="99"/>
        <v>0.37083333333333335</v>
      </c>
      <c r="BN270" s="934">
        <f t="shared" si="90"/>
        <v>79</v>
      </c>
    </row>
    <row r="271" spans="1:66" ht="14.5">
      <c r="A271" s="1">
        <f t="shared" si="97"/>
        <v>44824</v>
      </c>
      <c r="B271" s="932">
        <f t="shared" si="91"/>
        <v>44824.272916666669</v>
      </c>
      <c r="C271" s="932">
        <f t="shared" si="92"/>
        <v>44824.3125</v>
      </c>
      <c r="D271" s="932">
        <f t="shared" si="93"/>
        <v>44824.822916666664</v>
      </c>
      <c r="E271" s="932">
        <f t="shared" si="94"/>
        <v>44824.862500000003</v>
      </c>
      <c r="F271" s="932">
        <f t="shared" si="95"/>
        <v>44824.083333333336</v>
      </c>
      <c r="G271" s="932">
        <f t="shared" si="96"/>
        <v>44824.725694444445</v>
      </c>
      <c r="H271" s="2">
        <f t="shared" si="98"/>
        <v>28.999999999999996</v>
      </c>
      <c r="I271" s="2">
        <v>52.860534669413582</v>
      </c>
      <c r="J271" s="1317">
        <v>0.8024715829810396</v>
      </c>
      <c r="AP271" s="1855">
        <f t="shared" si="86"/>
        <v>44589</v>
      </c>
      <c r="AQ271" s="925" t="str">
        <f t="shared" si="87"/>
        <v/>
      </c>
      <c r="AR271" s="1856" t="str">
        <f t="shared" si="88"/>
        <v/>
      </c>
      <c r="AS271" s="927">
        <v>28</v>
      </c>
      <c r="AT271" s="1856">
        <f t="shared" si="80"/>
        <v>44589.286111111112</v>
      </c>
      <c r="AU271" s="1856">
        <f t="shared" si="81"/>
        <v>44589.327777777777</v>
      </c>
      <c r="AV271" s="1856">
        <f t="shared" si="82"/>
        <v>44589.751388888886</v>
      </c>
      <c r="AW271" s="1856">
        <f t="shared" si="83"/>
        <v>44589.792361111111</v>
      </c>
      <c r="AX271" s="1856">
        <f t="shared" si="84"/>
        <v>44589.190277777772</v>
      </c>
      <c r="AY271" s="1856">
        <f t="shared" si="85"/>
        <v>44589.588888888895</v>
      </c>
      <c r="AZ271" s="1853">
        <v>0.22</v>
      </c>
      <c r="BB271" s="1879">
        <v>20</v>
      </c>
      <c r="BC271" s="1880">
        <v>8.2638888888888887E-2</v>
      </c>
      <c r="BD271" s="1880" t="s">
        <v>685</v>
      </c>
      <c r="BE271" s="1880">
        <v>0.72499999999999998</v>
      </c>
      <c r="BF271" s="1880" t="s">
        <v>600</v>
      </c>
      <c r="BG271" s="1879" t="s">
        <v>241</v>
      </c>
      <c r="BH271" s="1880">
        <v>0.4055555555555555</v>
      </c>
      <c r="BI271" s="1879" t="s">
        <v>610</v>
      </c>
      <c r="BJ271" s="1881">
        <v>251033</v>
      </c>
      <c r="BK271" s="1882">
        <v>0.26</v>
      </c>
      <c r="BL271" s="1619">
        <f t="shared" si="89"/>
        <v>44824</v>
      </c>
      <c r="BM271" s="1856">
        <f t="shared" si="99"/>
        <v>0.4055555555555555</v>
      </c>
      <c r="BN271" s="934">
        <f t="shared" si="90"/>
        <v>77.5</v>
      </c>
    </row>
    <row r="272" spans="1:66" ht="14.5">
      <c r="A272" s="1">
        <f t="shared" si="97"/>
        <v>44825</v>
      </c>
      <c r="B272" s="932">
        <f t="shared" si="91"/>
        <v>44825.272916666669</v>
      </c>
      <c r="C272" s="932">
        <f t="shared" si="92"/>
        <v>44825.3125</v>
      </c>
      <c r="D272" s="932">
        <f t="shared" si="93"/>
        <v>44825.822222222218</v>
      </c>
      <c r="E272" s="932">
        <f t="shared" si="94"/>
        <v>44825.861805555556</v>
      </c>
      <c r="F272" s="932">
        <f t="shared" si="95"/>
        <v>44825.124305555561</v>
      </c>
      <c r="G272" s="932">
        <f t="shared" si="96"/>
        <v>44825.750694444447</v>
      </c>
      <c r="H272" s="2">
        <f t="shared" si="98"/>
        <v>21</v>
      </c>
      <c r="I272" s="2">
        <v>52.467994935848012</v>
      </c>
      <c r="J272" s="1317">
        <v>0.41373226037294947</v>
      </c>
      <c r="AP272" s="1855">
        <f t="shared" si="86"/>
        <v>44589</v>
      </c>
      <c r="AQ272" s="925" t="str">
        <f t="shared" si="87"/>
        <v/>
      </c>
      <c r="AR272" s="1856" t="str">
        <f t="shared" si="88"/>
        <v/>
      </c>
      <c r="AS272" s="927" t="s">
        <v>252</v>
      </c>
      <c r="AT272" s="1856" t="str">
        <f t="shared" si="80"/>
        <v/>
      </c>
      <c r="AU272" s="1856" t="str">
        <f t="shared" si="81"/>
        <v/>
      </c>
      <c r="AV272" s="1856" t="str">
        <f t="shared" si="82"/>
        <v/>
      </c>
      <c r="AW272" s="1856" t="str">
        <f t="shared" si="83"/>
        <v/>
      </c>
      <c r="AX272" s="1856" t="str">
        <f t="shared" si="84"/>
        <v/>
      </c>
      <c r="AY272" s="1856" t="str">
        <f t="shared" si="85"/>
        <v/>
      </c>
      <c r="BB272" s="1879">
        <v>21</v>
      </c>
      <c r="BC272" s="1880">
        <v>0.12361111111111112</v>
      </c>
      <c r="BD272" s="1880" t="s">
        <v>599</v>
      </c>
      <c r="BE272" s="1880">
        <v>0.75</v>
      </c>
      <c r="BF272" s="1880" t="s">
        <v>857</v>
      </c>
      <c r="BG272" s="1879" t="s">
        <v>241</v>
      </c>
      <c r="BH272" s="1880">
        <v>0.43958333333333338</v>
      </c>
      <c r="BI272" s="1879" t="s">
        <v>1190</v>
      </c>
      <c r="BJ272" s="1881">
        <v>249946</v>
      </c>
      <c r="BK272" s="1882">
        <v>0.17799999999999999</v>
      </c>
      <c r="BL272" s="1619">
        <f t="shared" si="89"/>
        <v>44825</v>
      </c>
      <c r="BM272" s="1856">
        <f t="shared" si="99"/>
        <v>0.43958333333333338</v>
      </c>
      <c r="BN272" s="934">
        <f t="shared" si="90"/>
        <v>74.8</v>
      </c>
    </row>
    <row r="273" spans="1:66" ht="14.5">
      <c r="A273" s="1">
        <f t="shared" si="97"/>
        <v>44826</v>
      </c>
      <c r="B273" s="932">
        <f t="shared" si="91"/>
        <v>44826.273611111108</v>
      </c>
      <c r="C273" s="932">
        <f t="shared" si="92"/>
        <v>44826.313194444439</v>
      </c>
      <c r="D273" s="932">
        <f t="shared" si="93"/>
        <v>44826.820833333331</v>
      </c>
      <c r="E273" s="932">
        <f t="shared" si="94"/>
        <v>44826.86041666667</v>
      </c>
      <c r="F273" s="932">
        <f t="shared" si="95"/>
        <v>44826.166666666664</v>
      </c>
      <c r="G273" s="932">
        <f t="shared" si="96"/>
        <v>44826.772222222222</v>
      </c>
      <c r="H273" s="2">
        <f t="shared" si="98"/>
        <v>14.000000000000002</v>
      </c>
      <c r="I273" s="2">
        <v>52.075054017488753</v>
      </c>
      <c r="J273" s="1317">
        <v>2.4675788466050928E-2</v>
      </c>
      <c r="AP273" s="1855">
        <f t="shared" si="86"/>
        <v>44589</v>
      </c>
      <c r="AQ273" s="925" t="str">
        <f t="shared" si="87"/>
        <v/>
      </c>
      <c r="AR273" s="1856" t="str">
        <f t="shared" si="88"/>
        <v/>
      </c>
      <c r="AT273" s="1856" t="str">
        <f t="shared" si="80"/>
        <v/>
      </c>
      <c r="AU273" s="1856" t="str">
        <f t="shared" si="81"/>
        <v/>
      </c>
      <c r="AV273" s="1856" t="str">
        <f t="shared" si="82"/>
        <v/>
      </c>
      <c r="AW273" s="1856" t="str">
        <f t="shared" si="83"/>
        <v/>
      </c>
      <c r="AX273" s="1856" t="str">
        <f t="shared" si="84"/>
        <v/>
      </c>
      <c r="AY273" s="1856" t="str">
        <f t="shared" si="85"/>
        <v/>
      </c>
      <c r="BB273" s="1879">
        <v>22</v>
      </c>
      <c r="BC273" s="1880">
        <v>0.16666666666666666</v>
      </c>
      <c r="BD273" s="1880" t="s">
        <v>858</v>
      </c>
      <c r="BE273" s="1880">
        <v>0.7715277777777777</v>
      </c>
      <c r="BF273" s="1880" t="s">
        <v>1037</v>
      </c>
      <c r="BG273" s="1879" t="s">
        <v>241</v>
      </c>
      <c r="BH273" s="1880">
        <v>0.47222222222222227</v>
      </c>
      <c r="BI273" s="1879" t="s">
        <v>1191</v>
      </c>
      <c r="BJ273" s="1881">
        <v>248252</v>
      </c>
      <c r="BK273" s="1882">
        <v>0.109</v>
      </c>
      <c r="BL273" s="1619">
        <f t="shared" si="89"/>
        <v>44826</v>
      </c>
      <c r="BM273" s="1856">
        <f t="shared" si="99"/>
        <v>0.47222222222222227</v>
      </c>
      <c r="BN273" s="934">
        <f t="shared" si="90"/>
        <v>71</v>
      </c>
    </row>
    <row r="274" spans="1:66" ht="14.5">
      <c r="A274" s="1">
        <f t="shared" si="97"/>
        <v>44827</v>
      </c>
      <c r="B274" s="932">
        <f t="shared" si="91"/>
        <v>44827.274305555555</v>
      </c>
      <c r="C274" s="932">
        <f t="shared" si="92"/>
        <v>44827.313888888886</v>
      </c>
      <c r="D274" s="932">
        <f t="shared" si="93"/>
        <v>44827.820138888885</v>
      </c>
      <c r="E274" s="932">
        <f t="shared" si="94"/>
        <v>44827.859722222223</v>
      </c>
      <c r="F274" s="932">
        <f t="shared" si="95"/>
        <v>44827.210416666669</v>
      </c>
      <c r="G274" s="932">
        <f t="shared" si="96"/>
        <v>44827.791666666664</v>
      </c>
      <c r="H274" s="2">
        <f t="shared" si="98"/>
        <v>8</v>
      </c>
      <c r="I274" s="2">
        <v>51.681815211760266</v>
      </c>
      <c r="J274" s="1317">
        <v>-0.36460354454740346</v>
      </c>
      <c r="AP274" s="1855">
        <f t="shared" si="86"/>
        <v>44589</v>
      </c>
      <c r="AQ274" s="925" t="str">
        <f t="shared" si="87"/>
        <v>MR</v>
      </c>
      <c r="AR274" s="1856">
        <f t="shared" si="88"/>
        <v>44589.190277777772</v>
      </c>
      <c r="AS274" s="927" t="s">
        <v>1192</v>
      </c>
      <c r="AT274" s="1856" t="str">
        <f t="shared" si="80"/>
        <v/>
      </c>
      <c r="AU274" s="1856" t="str">
        <f t="shared" si="81"/>
        <v/>
      </c>
      <c r="AV274" s="1856" t="str">
        <f t="shared" si="82"/>
        <v/>
      </c>
      <c r="AW274" s="1856" t="str">
        <f t="shared" si="83"/>
        <v/>
      </c>
      <c r="AX274" s="1856" t="str">
        <f t="shared" si="84"/>
        <v/>
      </c>
      <c r="AY274" s="1856" t="str">
        <f t="shared" si="85"/>
        <v/>
      </c>
      <c r="BB274" s="1879">
        <v>23</v>
      </c>
      <c r="BC274" s="1880">
        <v>0.20972222222222223</v>
      </c>
      <c r="BD274" s="1880" t="s">
        <v>860</v>
      </c>
      <c r="BE274" s="1880">
        <v>0.79027777777777775</v>
      </c>
      <c r="BF274" s="1880" t="s">
        <v>650</v>
      </c>
      <c r="BG274" s="1879" t="s">
        <v>241</v>
      </c>
      <c r="BH274" s="1880">
        <v>0.50347222222222221</v>
      </c>
      <c r="BI274" s="1879" t="s">
        <v>1082</v>
      </c>
      <c r="BJ274" s="1881">
        <v>246120</v>
      </c>
      <c r="BK274" s="1882">
        <v>5.3999999999999999E-2</v>
      </c>
      <c r="BL274" s="1619">
        <f t="shared" si="89"/>
        <v>44827</v>
      </c>
      <c r="BM274" s="1856">
        <f t="shared" si="99"/>
        <v>0.50347222222222221</v>
      </c>
      <c r="BN274" s="934">
        <f t="shared" si="90"/>
        <v>66.2</v>
      </c>
    </row>
    <row r="275" spans="1:66" ht="14.5">
      <c r="A275" s="1">
        <f t="shared" si="97"/>
        <v>44828</v>
      </c>
      <c r="B275" s="932">
        <f t="shared" si="91"/>
        <v>44828.275000000001</v>
      </c>
      <c r="C275" s="932">
        <f t="shared" si="92"/>
        <v>44828.314583333333</v>
      </c>
      <c r="D275" s="932">
        <f t="shared" si="93"/>
        <v>44828.818749999999</v>
      </c>
      <c r="E275" s="932">
        <f t="shared" si="94"/>
        <v>44828.858333333337</v>
      </c>
      <c r="F275" s="932">
        <f t="shared" si="95"/>
        <v>44828.253472222219</v>
      </c>
      <c r="G275" s="932">
        <f t="shared" si="96"/>
        <v>44828.809027777774</v>
      </c>
      <c r="H275" s="2">
        <f t="shared" si="98"/>
        <v>3</v>
      </c>
      <c r="I275" s="2">
        <v>51.288382520867124</v>
      </c>
      <c r="J275" s="1317">
        <v>-0.75401107169446879</v>
      </c>
      <c r="AP275" s="1855">
        <f t="shared" si="86"/>
        <v>44589</v>
      </c>
      <c r="AQ275" s="925" t="str">
        <f t="shared" si="87"/>
        <v>BMNT</v>
      </c>
      <c r="AR275" s="1856">
        <f t="shared" si="88"/>
        <v>44589.286111111112</v>
      </c>
      <c r="AS275" s="927" t="s">
        <v>1193</v>
      </c>
      <c r="AT275" s="1856" t="str">
        <f t="shared" si="80"/>
        <v/>
      </c>
      <c r="AU275" s="1856" t="str">
        <f t="shared" si="81"/>
        <v/>
      </c>
      <c r="AV275" s="1856" t="str">
        <f t="shared" si="82"/>
        <v/>
      </c>
      <c r="AW275" s="1856" t="str">
        <f t="shared" si="83"/>
        <v/>
      </c>
      <c r="AX275" s="1856" t="str">
        <f t="shared" si="84"/>
        <v/>
      </c>
      <c r="AY275" s="1856" t="str">
        <f t="shared" si="85"/>
        <v/>
      </c>
      <c r="BB275" s="1879">
        <v>24</v>
      </c>
      <c r="BC275" s="1880">
        <v>0.25277777777777777</v>
      </c>
      <c r="BD275" s="1880" t="s">
        <v>862</v>
      </c>
      <c r="BE275" s="1880">
        <v>0.80833333333333324</v>
      </c>
      <c r="BF275" s="1880" t="s">
        <v>640</v>
      </c>
      <c r="BG275" s="1879" t="s">
        <v>241</v>
      </c>
      <c r="BH275" s="1880">
        <v>0.53402777777777777</v>
      </c>
      <c r="BI275" s="1879" t="s">
        <v>1194</v>
      </c>
      <c r="BJ275" s="1881">
        <v>243734</v>
      </c>
      <c r="BK275" s="1882">
        <v>1.7000000000000001E-2</v>
      </c>
      <c r="BL275" s="1619">
        <f t="shared" si="89"/>
        <v>44828</v>
      </c>
      <c r="BM275" s="1856">
        <f t="shared" si="99"/>
        <v>0.53402777777777777</v>
      </c>
      <c r="BN275" s="934">
        <f t="shared" si="90"/>
        <v>60.7</v>
      </c>
    </row>
    <row r="276" spans="1:66" ht="14.5">
      <c r="A276" s="1">
        <f t="shared" si="97"/>
        <v>44829</v>
      </c>
      <c r="B276" s="932">
        <f t="shared" si="91"/>
        <v>44829.275694444441</v>
      </c>
      <c r="C276" s="932">
        <f t="shared" si="92"/>
        <v>44829.315277777772</v>
      </c>
      <c r="D276" s="932">
        <f t="shared" si="93"/>
        <v>44829.818055555552</v>
      </c>
      <c r="E276" s="932">
        <f t="shared" si="94"/>
        <v>44829.856944444444</v>
      </c>
      <c r="F276" s="932">
        <f t="shared" si="95"/>
        <v>44829.297222222223</v>
      </c>
      <c r="G276" s="932">
        <f t="shared" si="96"/>
        <v>44829.825694444444</v>
      </c>
      <c r="H276" s="2">
        <f t="shared" si="98"/>
        <v>1</v>
      </c>
      <c r="I276" s="2">
        <v>50.894860643484535</v>
      </c>
      <c r="J276" s="1317">
        <v>-1.1434517318884185</v>
      </c>
      <c r="AP276" s="1855">
        <f t="shared" si="86"/>
        <v>44589</v>
      </c>
      <c r="AQ276" s="925" t="str">
        <f t="shared" si="87"/>
        <v>SR</v>
      </c>
      <c r="AR276" s="1856">
        <f t="shared" si="88"/>
        <v>44589.327777777777</v>
      </c>
      <c r="AS276" s="927" t="s">
        <v>1183</v>
      </c>
      <c r="AT276" s="1856" t="str">
        <f t="shared" si="80"/>
        <v/>
      </c>
      <c r="AU276" s="1856" t="str">
        <f t="shared" si="81"/>
        <v/>
      </c>
      <c r="AV276" s="1856" t="str">
        <f t="shared" si="82"/>
        <v/>
      </c>
      <c r="AW276" s="1856" t="str">
        <f t="shared" si="83"/>
        <v/>
      </c>
      <c r="AX276" s="1856" t="str">
        <f t="shared" si="84"/>
        <v/>
      </c>
      <c r="AY276" s="1856" t="str">
        <f t="shared" si="85"/>
        <v/>
      </c>
      <c r="BB276" s="1879" t="s">
        <v>1195</v>
      </c>
      <c r="BC276" s="1880">
        <v>0.29652777777777778</v>
      </c>
      <c r="BD276" s="1880" t="s">
        <v>1033</v>
      </c>
      <c r="BE276" s="1880">
        <v>0.82500000000000007</v>
      </c>
      <c r="BF276" s="1880" t="s">
        <v>631</v>
      </c>
      <c r="BG276" s="1879" t="s">
        <v>241</v>
      </c>
      <c r="BH276" s="1880">
        <v>0.56458333333333333</v>
      </c>
      <c r="BI276" s="1879" t="s">
        <v>1179</v>
      </c>
      <c r="BJ276" s="1881">
        <v>241271</v>
      </c>
      <c r="BK276" s="1882">
        <v>1E-3</v>
      </c>
      <c r="BL276" s="1619">
        <f t="shared" si="89"/>
        <v>44829</v>
      </c>
      <c r="BM276" s="1856">
        <f t="shared" si="99"/>
        <v>0.56458333333333333</v>
      </c>
      <c r="BN276" s="934">
        <f t="shared" si="90"/>
        <v>54.7</v>
      </c>
    </row>
    <row r="277" spans="1:66" ht="14.5">
      <c r="A277" s="1">
        <f t="shared" si="97"/>
        <v>44830</v>
      </c>
      <c r="B277" s="932">
        <f t="shared" si="91"/>
        <v>44830.276388888888</v>
      </c>
      <c r="C277" s="932">
        <f t="shared" si="92"/>
        <v>44830.315972222219</v>
      </c>
      <c r="D277" s="932">
        <f t="shared" si="93"/>
        <v>44830.816666666666</v>
      </c>
      <c r="E277" s="932">
        <f t="shared" si="94"/>
        <v>44830.856250000004</v>
      </c>
      <c r="F277" s="932">
        <f t="shared" si="95"/>
        <v>44830.341666666667</v>
      </c>
      <c r="G277" s="932">
        <f t="shared" si="96"/>
        <v>44830.843055555561</v>
      </c>
      <c r="H277" s="2">
        <f t="shared" si="98"/>
        <v>0</v>
      </c>
      <c r="I277" s="2">
        <v>50.501354965506145</v>
      </c>
      <c r="J277" s="1317">
        <v>-1.5328300547814973</v>
      </c>
      <c r="AP277" s="1855">
        <f t="shared" si="86"/>
        <v>44589</v>
      </c>
      <c r="AQ277" s="925" t="str">
        <f t="shared" si="87"/>
        <v>MS</v>
      </c>
      <c r="AR277" s="1856">
        <f t="shared" si="88"/>
        <v>44589.588888888895</v>
      </c>
      <c r="AS277" s="927" t="s">
        <v>1196</v>
      </c>
      <c r="AT277" s="1856" t="str">
        <f t="shared" si="80"/>
        <v/>
      </c>
      <c r="AU277" s="1856" t="str">
        <f t="shared" si="81"/>
        <v/>
      </c>
      <c r="AV277" s="1856" t="str">
        <f t="shared" si="82"/>
        <v/>
      </c>
      <c r="AW277" s="1856" t="str">
        <f t="shared" si="83"/>
        <v/>
      </c>
      <c r="AX277" s="1856" t="str">
        <f t="shared" si="84"/>
        <v/>
      </c>
      <c r="AY277" s="1856" t="str">
        <f t="shared" si="85"/>
        <v/>
      </c>
      <c r="BB277" s="1879">
        <v>26</v>
      </c>
      <c r="BC277" s="1880">
        <v>0.34097222222222223</v>
      </c>
      <c r="BD277" s="1880" t="s">
        <v>544</v>
      </c>
      <c r="BE277" s="1880">
        <v>0.84166666666666667</v>
      </c>
      <c r="BF277" s="1880" t="s">
        <v>535</v>
      </c>
      <c r="BG277" s="1879" t="s">
        <v>241</v>
      </c>
      <c r="BH277" s="1880">
        <v>0.59513888888888888</v>
      </c>
      <c r="BI277" s="1879" t="s">
        <v>1197</v>
      </c>
      <c r="BJ277" s="1881">
        <v>238886</v>
      </c>
      <c r="BK277" s="1882">
        <v>8.9999999999999993E-3</v>
      </c>
      <c r="BL277" s="1619">
        <f t="shared" si="89"/>
        <v>44830</v>
      </c>
      <c r="BM277" s="1856">
        <f t="shared" si="99"/>
        <v>0.59513888888888888</v>
      </c>
      <c r="BN277" s="934">
        <f t="shared" si="90"/>
        <v>48.4</v>
      </c>
    </row>
    <row r="278" spans="1:66" ht="14.5">
      <c r="A278" s="1">
        <f t="shared" si="97"/>
        <v>44831</v>
      </c>
      <c r="B278" s="932">
        <f t="shared" si="91"/>
        <v>44831.277083333334</v>
      </c>
      <c r="C278" s="932">
        <f t="shared" si="92"/>
        <v>44831.316666666666</v>
      </c>
      <c r="D278" s="932">
        <f t="shared" si="93"/>
        <v>44831.815277777772</v>
      </c>
      <c r="E278" s="932">
        <f t="shared" si="94"/>
        <v>44831.854861111111</v>
      </c>
      <c r="F278" s="932">
        <f t="shared" si="95"/>
        <v>44831.387499999997</v>
      </c>
      <c r="G278" s="932">
        <f t="shared" si="96"/>
        <v>44831.861111111117</v>
      </c>
      <c r="H278" s="2">
        <f t="shared" si="98"/>
        <v>2</v>
      </c>
      <c r="I278" s="2">
        <v>50.107971549786804</v>
      </c>
      <c r="J278" s="1317">
        <v>-1.9220501458744856</v>
      </c>
      <c r="AP278" s="1855">
        <f t="shared" si="86"/>
        <v>44589</v>
      </c>
      <c r="AQ278" s="925" t="str">
        <f t="shared" si="87"/>
        <v>SS</v>
      </c>
      <c r="AR278" s="1856">
        <f t="shared" si="88"/>
        <v>44589.751388888886</v>
      </c>
      <c r="AS278" s="927" t="s">
        <v>1198</v>
      </c>
      <c r="AT278" s="1856" t="str">
        <f t="shared" si="80"/>
        <v/>
      </c>
      <c r="AU278" s="1856" t="str">
        <f t="shared" si="81"/>
        <v/>
      </c>
      <c r="AV278" s="1856" t="str">
        <f t="shared" si="82"/>
        <v/>
      </c>
      <c r="AW278" s="1856" t="str">
        <f t="shared" si="83"/>
        <v/>
      </c>
      <c r="AX278" s="1856" t="str">
        <f t="shared" si="84"/>
        <v/>
      </c>
      <c r="AY278" s="1856" t="str">
        <f t="shared" si="85"/>
        <v/>
      </c>
      <c r="BB278" s="1879">
        <v>27</v>
      </c>
      <c r="BC278" s="1880">
        <v>0.38680555555555557</v>
      </c>
      <c r="BD278" s="1880" t="s">
        <v>866</v>
      </c>
      <c r="BE278" s="1880">
        <v>0.85972222222222217</v>
      </c>
      <c r="BF278" s="1880" t="s">
        <v>869</v>
      </c>
      <c r="BG278" s="1879" t="s">
        <v>241</v>
      </c>
      <c r="BH278" s="1880">
        <v>0.62638888888888888</v>
      </c>
      <c r="BI278" s="1879" t="s">
        <v>1199</v>
      </c>
      <c r="BJ278" s="1881">
        <v>236694</v>
      </c>
      <c r="BK278" s="1882">
        <v>0.04</v>
      </c>
      <c r="BL278" s="1619">
        <f t="shared" si="89"/>
        <v>44831</v>
      </c>
      <c r="BM278" s="1856">
        <f t="shared" si="99"/>
        <v>0.62638888888888888</v>
      </c>
      <c r="BN278" s="934">
        <f t="shared" si="90"/>
        <v>42.1</v>
      </c>
    </row>
    <row r="279" spans="1:66" ht="14.5">
      <c r="A279" s="1">
        <f t="shared" si="97"/>
        <v>44832</v>
      </c>
      <c r="B279" s="932">
        <f t="shared" si="91"/>
        <v>44832.277777777781</v>
      </c>
      <c r="C279" s="932">
        <f t="shared" si="92"/>
        <v>44832.316666666666</v>
      </c>
      <c r="D279" s="932">
        <f t="shared" si="93"/>
        <v>44832.814583333333</v>
      </c>
      <c r="E279" s="932">
        <f t="shared" si="94"/>
        <v>44832.854166666672</v>
      </c>
      <c r="F279" s="932">
        <f t="shared" si="95"/>
        <v>44832.434027777774</v>
      </c>
      <c r="G279" s="932">
        <f t="shared" si="96"/>
        <v>44832.881249999999</v>
      </c>
      <c r="H279" s="2">
        <f t="shared" si="98"/>
        <v>6</v>
      </c>
      <c r="I279" s="2">
        <v>49.714817124828897</v>
      </c>
      <c r="J279" s="1317">
        <v>-2.3110156719442738</v>
      </c>
      <c r="AP279" s="1855">
        <f t="shared" si="86"/>
        <v>44589</v>
      </c>
      <c r="AQ279" s="925" t="str">
        <f t="shared" si="87"/>
        <v>EENT</v>
      </c>
      <c r="AR279" s="1856">
        <f t="shared" si="88"/>
        <v>44589.792361111111</v>
      </c>
      <c r="AS279" s="927" t="s">
        <v>1200</v>
      </c>
      <c r="AT279" s="1856" t="str">
        <f t="shared" si="80"/>
        <v/>
      </c>
      <c r="AU279" s="1856" t="str">
        <f t="shared" si="81"/>
        <v/>
      </c>
      <c r="AV279" s="1856" t="str">
        <f t="shared" si="82"/>
        <v/>
      </c>
      <c r="AW279" s="1856" t="str">
        <f t="shared" si="83"/>
        <v/>
      </c>
      <c r="AX279" s="1856" t="str">
        <f t="shared" si="84"/>
        <v/>
      </c>
      <c r="AY279" s="1856" t="str">
        <f t="shared" si="85"/>
        <v/>
      </c>
      <c r="BB279" s="1879">
        <v>28</v>
      </c>
      <c r="BC279" s="1880">
        <v>0.43333333333333335</v>
      </c>
      <c r="BD279" s="1880" t="s">
        <v>759</v>
      </c>
      <c r="BE279" s="1880">
        <v>0.87986111111111109</v>
      </c>
      <c r="BF279" s="1879" t="s">
        <v>872</v>
      </c>
      <c r="BG279" s="1880" t="s">
        <v>241</v>
      </c>
      <c r="BH279" s="1880">
        <v>0.65972222222222221</v>
      </c>
      <c r="BI279" s="1881" t="s">
        <v>873</v>
      </c>
      <c r="BJ279" s="1882">
        <v>234766</v>
      </c>
      <c r="BK279" s="1882">
        <v>9.6000000000000002E-2</v>
      </c>
      <c r="BL279" s="1619">
        <f t="shared" si="89"/>
        <v>44832</v>
      </c>
      <c r="BM279" s="1856">
        <f t="shared" si="99"/>
        <v>0.65972222222222221</v>
      </c>
      <c r="BN279" s="934">
        <f t="shared" si="90"/>
        <v>36.200000000000003</v>
      </c>
    </row>
    <row r="280" spans="1:66" ht="14.5">
      <c r="A280" s="1">
        <f t="shared" si="97"/>
        <v>44833</v>
      </c>
      <c r="B280" s="932">
        <f t="shared" si="91"/>
        <v>44833.27847222222</v>
      </c>
      <c r="C280" s="932">
        <f t="shared" si="92"/>
        <v>44833.317361111105</v>
      </c>
      <c r="D280" s="932">
        <f t="shared" si="93"/>
        <v>44833.813194444439</v>
      </c>
      <c r="E280" s="932">
        <f t="shared" si="94"/>
        <v>44833.852777777778</v>
      </c>
      <c r="F280" s="932">
        <f t="shared" si="95"/>
        <v>44833.483333333337</v>
      </c>
      <c r="G280" s="932">
        <f t="shared" si="96"/>
        <v>44833.904861111114</v>
      </c>
      <c r="H280" s="2">
        <f t="shared" si="98"/>
        <v>12</v>
      </c>
      <c r="I280" s="2">
        <v>49.321999072346763</v>
      </c>
      <c r="J280" s="1317">
        <v>-2.6996298468654927</v>
      </c>
      <c r="AP280" s="1855">
        <f t="shared" si="86"/>
        <v>44590</v>
      </c>
      <c r="AQ280" s="925" t="str">
        <f t="shared" si="87"/>
        <v/>
      </c>
      <c r="AR280" s="1856" t="str">
        <f t="shared" si="88"/>
        <v/>
      </c>
      <c r="AS280" s="927">
        <v>29</v>
      </c>
      <c r="AT280" s="1856">
        <f t="shared" si="80"/>
        <v>44590.285416666666</v>
      </c>
      <c r="AU280" s="1856">
        <f t="shared" si="81"/>
        <v>44590.32708333333</v>
      </c>
      <c r="AV280" s="1856">
        <f t="shared" si="82"/>
        <v>44590.752083333333</v>
      </c>
      <c r="AW280" s="1856">
        <f t="shared" si="83"/>
        <v>44590.79305555555</v>
      </c>
      <c r="AX280" s="1856">
        <f t="shared" si="84"/>
        <v>44590.239583333336</v>
      </c>
      <c r="AY280" s="1856">
        <f t="shared" si="85"/>
        <v>44590.629861111112</v>
      </c>
      <c r="AZ280" s="1853">
        <v>0.13</v>
      </c>
      <c r="BB280" s="1879">
        <v>29</v>
      </c>
      <c r="BC280" s="1880">
        <v>0.4826388888888889</v>
      </c>
      <c r="BD280" s="1879" t="s">
        <v>876</v>
      </c>
      <c r="BE280" s="1880">
        <v>0.90416666666666667</v>
      </c>
      <c r="BF280" s="1879" t="s">
        <v>587</v>
      </c>
      <c r="BG280" s="1879" t="s">
        <v>241</v>
      </c>
      <c r="BH280" s="1880">
        <v>0.6958333333333333</v>
      </c>
      <c r="BI280" s="1879" t="s">
        <v>1201</v>
      </c>
      <c r="BJ280" s="1881">
        <v>233132</v>
      </c>
      <c r="BK280" s="1882">
        <v>0.17299999999999999</v>
      </c>
      <c r="BL280" s="1619">
        <f t="shared" si="89"/>
        <v>44833</v>
      </c>
      <c r="BM280" s="1856">
        <f t="shared" si="99"/>
        <v>0.6958333333333333</v>
      </c>
      <c r="BN280" s="934">
        <f t="shared" si="90"/>
        <v>31.1</v>
      </c>
    </row>
    <row r="281" spans="1:66" ht="14.5">
      <c r="A281" s="1">
        <f t="shared" si="97"/>
        <v>44834</v>
      </c>
      <c r="B281" s="932">
        <f t="shared" si="91"/>
        <v>44834.279166666667</v>
      </c>
      <c r="C281" s="932">
        <f t="shared" si="92"/>
        <v>44834.318055555552</v>
      </c>
      <c r="D281" s="932">
        <f t="shared" si="93"/>
        <v>44834.8125</v>
      </c>
      <c r="E281" s="932">
        <f t="shared" si="94"/>
        <v>44834.851388888892</v>
      </c>
      <c r="F281" s="932">
        <f t="shared" si="95"/>
        <v>44834.533333333333</v>
      </c>
      <c r="G281" s="932">
        <f t="shared" si="96"/>
        <v>44834.934027777774</v>
      </c>
      <c r="H281" s="2">
        <f t="shared" si="98"/>
        <v>20</v>
      </c>
      <c r="I281" s="2">
        <v>48.929625413663324</v>
      </c>
      <c r="J281" s="1317">
        <v>-3.0877954178851934</v>
      </c>
      <c r="AP281" s="1855">
        <f t="shared" si="86"/>
        <v>44590</v>
      </c>
      <c r="AQ281" s="925" t="str">
        <f t="shared" si="87"/>
        <v/>
      </c>
      <c r="AR281" s="1856" t="str">
        <f t="shared" si="88"/>
        <v/>
      </c>
      <c r="AS281" s="927" t="s">
        <v>252</v>
      </c>
      <c r="AT281" s="1856" t="str">
        <f t="shared" si="80"/>
        <v/>
      </c>
      <c r="AU281" s="1856" t="str">
        <f t="shared" si="81"/>
        <v/>
      </c>
      <c r="AV281" s="1856" t="str">
        <f t="shared" si="82"/>
        <v/>
      </c>
      <c r="AW281" s="1856" t="str">
        <f t="shared" si="83"/>
        <v/>
      </c>
      <c r="AX281" s="1856" t="str">
        <f t="shared" si="84"/>
        <v/>
      </c>
      <c r="AY281" s="1856" t="str">
        <f t="shared" si="85"/>
        <v/>
      </c>
      <c r="BB281" s="1879">
        <v>30</v>
      </c>
      <c r="BC281" s="1880">
        <v>0.53263888888888888</v>
      </c>
      <c r="BD281" s="1879" t="s">
        <v>794</v>
      </c>
      <c r="BE281" s="1880">
        <v>0.93263888888888891</v>
      </c>
      <c r="BF281" s="1879" t="s">
        <v>578</v>
      </c>
      <c r="BG281" s="1879" t="s">
        <v>241</v>
      </c>
      <c r="BH281" s="1880">
        <v>0.73472222222222217</v>
      </c>
      <c r="BI281" s="1879" t="s">
        <v>981</v>
      </c>
      <c r="BJ281" s="1881">
        <v>231796</v>
      </c>
      <c r="BK281" s="1882">
        <v>0.27</v>
      </c>
      <c r="BL281" s="1619">
        <f t="shared" si="89"/>
        <v>44834</v>
      </c>
      <c r="BM281" s="1856">
        <f t="shared" si="99"/>
        <v>0.73472222222222217</v>
      </c>
      <c r="BN281" s="934">
        <f t="shared" si="90"/>
        <v>27</v>
      </c>
    </row>
    <row r="282" spans="1:66" ht="14.5">
      <c r="A282" s="1">
        <f t="shared" si="97"/>
        <v>44835</v>
      </c>
      <c r="B282" s="932">
        <f t="shared" si="91"/>
        <v>44835.279166666667</v>
      </c>
      <c r="C282" s="932">
        <f t="shared" si="92"/>
        <v>44835.318749999999</v>
      </c>
      <c r="D282" s="932">
        <f t="shared" si="93"/>
        <v>44835.811111111107</v>
      </c>
      <c r="E282" s="932">
        <f t="shared" si="94"/>
        <v>44835.850694444445</v>
      </c>
      <c r="F282" s="932">
        <f t="shared" si="95"/>
        <v>44835.582638888889</v>
      </c>
      <c r="G282" s="932">
        <f t="shared" si="96"/>
        <v>44835.96875</v>
      </c>
      <c r="H282" s="2">
        <f t="shared" si="98"/>
        <v>30</v>
      </c>
      <c r="I282" s="2">
        <v>48.537804794871299</v>
      </c>
      <c r="J282" s="1317">
        <v>-3.4754146524336309</v>
      </c>
      <c r="AP282" s="1855">
        <f t="shared" si="86"/>
        <v>44590</v>
      </c>
      <c r="AQ282" s="925" t="str">
        <f t="shared" si="87"/>
        <v/>
      </c>
      <c r="AR282" s="1856" t="str">
        <f t="shared" si="88"/>
        <v/>
      </c>
      <c r="AT282" s="1856" t="str">
        <f t="shared" si="80"/>
        <v/>
      </c>
      <c r="AU282" s="1856" t="str">
        <f t="shared" si="81"/>
        <v/>
      </c>
      <c r="AV282" s="1856" t="str">
        <f t="shared" si="82"/>
        <v/>
      </c>
      <c r="AW282" s="1856" t="str">
        <f t="shared" si="83"/>
        <v/>
      </c>
      <c r="AX282" s="1856" t="str">
        <f t="shared" si="84"/>
        <v/>
      </c>
      <c r="AY282" s="1856" t="str">
        <f t="shared" si="85"/>
        <v/>
      </c>
      <c r="BB282" s="1879">
        <v>1</v>
      </c>
      <c r="BC282" s="1880">
        <v>0.58194444444444449</v>
      </c>
      <c r="BD282" s="1879" t="s">
        <v>571</v>
      </c>
      <c r="BE282" s="1880">
        <v>0.96805555555555556</v>
      </c>
      <c r="BF282" s="1879" t="s">
        <v>936</v>
      </c>
      <c r="BG282" s="1879" t="s">
        <v>241</v>
      </c>
      <c r="BH282" s="1880">
        <v>0.77569444444444446</v>
      </c>
      <c r="BI282" s="1879" t="s">
        <v>937</v>
      </c>
      <c r="BJ282" s="1881">
        <v>230750</v>
      </c>
      <c r="BK282" s="1882">
        <v>0.38</v>
      </c>
      <c r="BL282" s="1619">
        <f t="shared" si="89"/>
        <v>44835</v>
      </c>
      <c r="BM282" s="1856">
        <f t="shared" si="99"/>
        <v>0.77569444444444446</v>
      </c>
      <c r="BN282" s="934">
        <f t="shared" si="90"/>
        <v>24.5</v>
      </c>
    </row>
    <row r="283" spans="1:66" ht="14.5">
      <c r="A283" s="1">
        <f t="shared" si="97"/>
        <v>44836</v>
      </c>
      <c r="B283" s="932">
        <f t="shared" si="91"/>
        <v>44836.279861111114</v>
      </c>
      <c r="C283" s="932">
        <f t="shared" si="92"/>
        <v>44836.319444444445</v>
      </c>
      <c r="D283" s="932">
        <f t="shared" si="93"/>
        <v>44836.810416666667</v>
      </c>
      <c r="E283" s="932">
        <f t="shared" si="94"/>
        <v>44836.849305555559</v>
      </c>
      <c r="F283" s="932">
        <f t="shared" si="95"/>
        <v>44836.628472222219</v>
      </c>
      <c r="G283" s="932" t="str">
        <f t="shared" si="96"/>
        <v>NONE</v>
      </c>
      <c r="H283" s="2">
        <f t="shared" si="98"/>
        <v>41</v>
      </c>
      <c r="I283" s="2">
        <v>48.146646470711921</v>
      </c>
      <c r="J283" s="1317">
        <v>-3.8623893255371131</v>
      </c>
      <c r="AP283" s="1855">
        <f t="shared" si="86"/>
        <v>44590</v>
      </c>
      <c r="AQ283" s="925" t="str">
        <f t="shared" si="87"/>
        <v>MR</v>
      </c>
      <c r="AR283" s="1856">
        <f t="shared" si="88"/>
        <v>44590.239583333336</v>
      </c>
      <c r="AS283" s="927" t="s">
        <v>1202</v>
      </c>
      <c r="AT283" s="1856" t="str">
        <f t="shared" si="80"/>
        <v/>
      </c>
      <c r="AU283" s="1856" t="str">
        <f t="shared" si="81"/>
        <v/>
      </c>
      <c r="AV283" s="1856" t="str">
        <f t="shared" si="82"/>
        <v/>
      </c>
      <c r="AW283" s="1856" t="str">
        <f t="shared" si="83"/>
        <v/>
      </c>
      <c r="AX283" s="1856" t="str">
        <f t="shared" si="84"/>
        <v/>
      </c>
      <c r="AY283" s="1856" t="str">
        <f t="shared" si="85"/>
        <v/>
      </c>
      <c r="BB283" s="1879" t="s">
        <v>1203</v>
      </c>
      <c r="BC283" s="1880">
        <v>0.62777777777777777</v>
      </c>
      <c r="BD283" s="1879" t="s">
        <v>1204</v>
      </c>
      <c r="BE283" s="1880" t="s">
        <v>241</v>
      </c>
      <c r="BF283" s="1879" t="s">
        <v>241</v>
      </c>
      <c r="BG283" s="1880">
        <v>0.81874999999999998</v>
      </c>
      <c r="BH283" s="1880" t="s">
        <v>1205</v>
      </c>
      <c r="BI283" s="1881">
        <v>229999</v>
      </c>
      <c r="BJ283" s="1881">
        <v>0.498</v>
      </c>
      <c r="BK283" s="1882"/>
      <c r="BL283" s="1619">
        <f t="shared" si="89"/>
        <v>44836</v>
      </c>
      <c r="BM283" s="1856">
        <f t="shared" si="99"/>
        <v>0.81874999999999998</v>
      </c>
      <c r="BN283" s="934">
        <f t="shared" si="90"/>
        <v>23.9</v>
      </c>
    </row>
    <row r="284" spans="1:66" ht="14.5">
      <c r="A284" s="1">
        <f t="shared" si="97"/>
        <v>44837</v>
      </c>
      <c r="B284" s="932">
        <f t="shared" si="91"/>
        <v>44837.280555555553</v>
      </c>
      <c r="C284" s="932">
        <f t="shared" si="92"/>
        <v>44837.320138888885</v>
      </c>
      <c r="D284" s="932">
        <f t="shared" si="93"/>
        <v>44837.809027777774</v>
      </c>
      <c r="E284" s="932">
        <f t="shared" si="94"/>
        <v>44837.848611111112</v>
      </c>
      <c r="F284" s="932">
        <f t="shared" si="95"/>
        <v>44837.668749999997</v>
      </c>
      <c r="G284" s="932">
        <f t="shared" si="96"/>
        <v>44837.011111111111</v>
      </c>
      <c r="H284" s="2">
        <f t="shared" si="98"/>
        <v>53</v>
      </c>
      <c r="I284" s="2">
        <v>47.756260287123368</v>
      </c>
      <c r="J284" s="1317">
        <v>-4.2486207079039717</v>
      </c>
      <c r="AP284" s="1855">
        <f t="shared" si="86"/>
        <v>44590</v>
      </c>
      <c r="AQ284" s="925" t="str">
        <f t="shared" si="87"/>
        <v>BMNT</v>
      </c>
      <c r="AR284" s="1856">
        <f t="shared" si="88"/>
        <v>44590.285416666666</v>
      </c>
      <c r="AS284" s="927" t="s">
        <v>1206</v>
      </c>
      <c r="AT284" s="1856" t="str">
        <f t="shared" ref="AT284:AT347" si="100">IF(ISNUMBER(AS284),INDEX(AR285:AR295,MATCH($AT$27,AQ285:AQ295,0)),"")</f>
        <v/>
      </c>
      <c r="AU284" s="1856" t="str">
        <f t="shared" ref="AU284:AU347" si="101">IF(AT284="","",INDEX(AR285:AR295,MATCH($AU$27,AQ285:AQ295,0)))</f>
        <v/>
      </c>
      <c r="AV284" s="1856" t="str">
        <f t="shared" ref="AV284:AV347" si="102">IF(AT284="","",INDEX(AR285:AR295,MATCH($AV$27,AQ285:AQ295,0)))</f>
        <v/>
      </c>
      <c r="AW284" s="1856" t="str">
        <f t="shared" ref="AW284:AW347" si="103">IF(AT284="","",INDEX(AR285:AR295,MATCH($AW$27,AQ285:AQ295,0)))</f>
        <v/>
      </c>
      <c r="AX284" s="1856" t="str">
        <f t="shared" ref="AX284:AX347" si="104">IF(AT284="","",INDEX(AR285:AR295,MATCH($AX$27,AQ285:AQ295,0)))</f>
        <v/>
      </c>
      <c r="AY284" s="1856" t="str">
        <f t="shared" ref="AY284:AY347" si="105">IF(AT284="","",INDEX(AR285:AR295,MATCH($AY$27,AQ285:AQ295,0)))</f>
        <v/>
      </c>
      <c r="BB284" s="1879">
        <v>3</v>
      </c>
      <c r="BC284" s="1880" t="s">
        <v>241</v>
      </c>
      <c r="BD284" s="1880">
        <v>1.0416666666666666E-2</v>
      </c>
      <c r="BE284" s="1880" t="s">
        <v>1207</v>
      </c>
      <c r="BF284" s="1880">
        <v>0.66805555555555562</v>
      </c>
      <c r="BG284" s="1879" t="s">
        <v>882</v>
      </c>
      <c r="BH284" s="1880">
        <v>0.8618055555555556</v>
      </c>
      <c r="BI284" s="1879" t="s">
        <v>881</v>
      </c>
      <c r="BJ284" s="1881">
        <v>229569</v>
      </c>
      <c r="BK284" s="1882">
        <v>0.61699999999999999</v>
      </c>
      <c r="BL284" s="1619">
        <f t="shared" si="89"/>
        <v>44837</v>
      </c>
      <c r="BM284" s="1856">
        <f t="shared" si="99"/>
        <v>0.8618055555555556</v>
      </c>
      <c r="BN284" s="934">
        <f t="shared" si="90"/>
        <v>25.2</v>
      </c>
    </row>
    <row r="285" spans="1:66" ht="14.5">
      <c r="A285" s="1">
        <f t="shared" si="97"/>
        <v>44838</v>
      </c>
      <c r="B285" s="932">
        <f t="shared" si="91"/>
        <v>44838.28125</v>
      </c>
      <c r="C285" s="932">
        <f t="shared" si="92"/>
        <v>44838.320833333331</v>
      </c>
      <c r="D285" s="932">
        <f t="shared" si="93"/>
        <v>44838.808333333334</v>
      </c>
      <c r="E285" s="932">
        <f t="shared" si="94"/>
        <v>44838.847222222226</v>
      </c>
      <c r="F285" s="932">
        <f t="shared" si="95"/>
        <v>44838.70208333333</v>
      </c>
      <c r="G285" s="932">
        <f t="shared" si="96"/>
        <v>44838.058333333334</v>
      </c>
      <c r="H285" s="2">
        <f t="shared" si="98"/>
        <v>64</v>
      </c>
      <c r="I285" s="2">
        <v>47.366756662401798</v>
      </c>
      <c r="J285" s="1317">
        <v>-4.6340095547677622</v>
      </c>
      <c r="AP285" s="1855">
        <f t="shared" si="86"/>
        <v>44590</v>
      </c>
      <c r="AQ285" s="925" t="str">
        <f t="shared" si="87"/>
        <v>SR</v>
      </c>
      <c r="AR285" s="1856">
        <f t="shared" si="88"/>
        <v>44590.32708333333</v>
      </c>
      <c r="AS285" s="927" t="s">
        <v>1208</v>
      </c>
      <c r="AT285" s="1856" t="str">
        <f t="shared" si="100"/>
        <v/>
      </c>
      <c r="AU285" s="1856" t="str">
        <f t="shared" si="101"/>
        <v/>
      </c>
      <c r="AV285" s="1856" t="str">
        <f t="shared" si="102"/>
        <v/>
      </c>
      <c r="AW285" s="1856" t="str">
        <f t="shared" si="103"/>
        <v/>
      </c>
      <c r="AX285" s="1856" t="str">
        <f t="shared" si="104"/>
        <v/>
      </c>
      <c r="AY285" s="1856" t="str">
        <f t="shared" si="105"/>
        <v/>
      </c>
      <c r="BB285" s="1879">
        <v>4</v>
      </c>
      <c r="BC285" s="1880" t="s">
        <v>241</v>
      </c>
      <c r="BD285" s="1880">
        <v>5.8333333333333327E-2</v>
      </c>
      <c r="BE285" s="1880" t="s">
        <v>721</v>
      </c>
      <c r="BF285" s="1880">
        <v>0.70138888888888884</v>
      </c>
      <c r="BG285" s="1879" t="s">
        <v>794</v>
      </c>
      <c r="BH285" s="1880">
        <v>0.90347222222222223</v>
      </c>
      <c r="BI285" s="1879" t="s">
        <v>1209</v>
      </c>
      <c r="BJ285" s="1881">
        <v>229517</v>
      </c>
      <c r="BK285" s="1882">
        <v>0.73</v>
      </c>
      <c r="BL285" s="1619">
        <f t="shared" si="89"/>
        <v>44838</v>
      </c>
      <c r="BM285" s="1856">
        <f t="shared" si="99"/>
        <v>0.90347222222222223</v>
      </c>
      <c r="BN285" s="934">
        <f t="shared" si="90"/>
        <v>28.3</v>
      </c>
    </row>
    <row r="286" spans="1:66" ht="14.5">
      <c r="A286" s="1">
        <f t="shared" si="97"/>
        <v>44839</v>
      </c>
      <c r="B286" s="932">
        <f t="shared" si="91"/>
        <v>44839.281944444447</v>
      </c>
      <c r="C286" s="932">
        <f t="shared" si="92"/>
        <v>44839.321527777778</v>
      </c>
      <c r="D286" s="932">
        <f t="shared" si="93"/>
        <v>44839.806944444441</v>
      </c>
      <c r="E286" s="932">
        <f t="shared" si="94"/>
        <v>44839.84652777778</v>
      </c>
      <c r="F286" s="932">
        <f t="shared" si="95"/>
        <v>44839.729861111111</v>
      </c>
      <c r="G286" s="932">
        <f t="shared" si="96"/>
        <v>44839.109027777777</v>
      </c>
      <c r="H286" s="2">
        <f t="shared" si="98"/>
        <v>74</v>
      </c>
      <c r="I286" s="2">
        <v>46.978246566935901</v>
      </c>
      <c r="J286" s="1317">
        <v>-5.0184560955597544</v>
      </c>
      <c r="AP286" s="1855">
        <f t="shared" si="86"/>
        <v>44590</v>
      </c>
      <c r="AQ286" s="925" t="str">
        <f t="shared" si="87"/>
        <v>MS</v>
      </c>
      <c r="AR286" s="1856">
        <f t="shared" si="88"/>
        <v>44590.629861111112</v>
      </c>
      <c r="AS286" s="927" t="s">
        <v>1210</v>
      </c>
      <c r="AT286" s="1856" t="str">
        <f t="shared" si="100"/>
        <v/>
      </c>
      <c r="AU286" s="1856" t="str">
        <f t="shared" si="101"/>
        <v/>
      </c>
      <c r="AV286" s="1856" t="str">
        <f t="shared" si="102"/>
        <v/>
      </c>
      <c r="AW286" s="1856" t="str">
        <f t="shared" si="103"/>
        <v/>
      </c>
      <c r="AX286" s="1856" t="str">
        <f t="shared" si="104"/>
        <v/>
      </c>
      <c r="AY286" s="1856" t="str">
        <f t="shared" si="105"/>
        <v/>
      </c>
      <c r="BB286" s="1879">
        <v>5</v>
      </c>
      <c r="BC286" s="1880" t="s">
        <v>241</v>
      </c>
      <c r="BD286" s="1880">
        <v>0.10902777777777778</v>
      </c>
      <c r="BE286" s="1880" t="s">
        <v>712</v>
      </c>
      <c r="BF286" s="1880">
        <v>0.72916666666666663</v>
      </c>
      <c r="BG286" s="1879" t="s">
        <v>876</v>
      </c>
      <c r="BH286" s="1880">
        <v>0.94236111111111109</v>
      </c>
      <c r="BI286" s="1879" t="s">
        <v>1211</v>
      </c>
      <c r="BJ286" s="1881">
        <v>229910</v>
      </c>
      <c r="BK286" s="1882">
        <v>0.82799999999999996</v>
      </c>
      <c r="BL286" s="1619">
        <f t="shared" si="89"/>
        <v>44839</v>
      </c>
      <c r="BM286" s="1856">
        <f t="shared" si="99"/>
        <v>0.94236111111111109</v>
      </c>
      <c r="BN286" s="934">
        <f t="shared" si="90"/>
        <v>33</v>
      </c>
    </row>
    <row r="287" spans="1:66" ht="14.5">
      <c r="A287" s="1">
        <f t="shared" si="97"/>
        <v>44840</v>
      </c>
      <c r="B287" s="932">
        <f t="shared" si="91"/>
        <v>44840.282638888886</v>
      </c>
      <c r="C287" s="932">
        <f t="shared" si="92"/>
        <v>44840.322222222218</v>
      </c>
      <c r="D287" s="932">
        <f t="shared" si="93"/>
        <v>44840.806249999994</v>
      </c>
      <c r="E287" s="932">
        <f t="shared" si="94"/>
        <v>44840.845138888893</v>
      </c>
      <c r="F287" s="932">
        <f t="shared" si="95"/>
        <v>44840.75277777778</v>
      </c>
      <c r="G287" s="932">
        <f t="shared" si="96"/>
        <v>44840.160416666666</v>
      </c>
      <c r="H287" s="2">
        <f t="shared" si="98"/>
        <v>84</v>
      </c>
      <c r="I287" s="2">
        <v>46.59084150147558</v>
      </c>
      <c r="J287" s="1317">
        <v>-5.4018600244883332</v>
      </c>
      <c r="AP287" s="1855">
        <f t="shared" si="86"/>
        <v>44590</v>
      </c>
      <c r="AQ287" s="925" t="str">
        <f t="shared" si="87"/>
        <v>SS</v>
      </c>
      <c r="AR287" s="1856">
        <f t="shared" si="88"/>
        <v>44590.752083333333</v>
      </c>
      <c r="AS287" s="927" t="s">
        <v>1212</v>
      </c>
      <c r="AT287" s="1856" t="str">
        <f t="shared" si="100"/>
        <v/>
      </c>
      <c r="AU287" s="1856" t="str">
        <f t="shared" si="101"/>
        <v/>
      </c>
      <c r="AV287" s="1856" t="str">
        <f t="shared" si="102"/>
        <v/>
      </c>
      <c r="AW287" s="1856" t="str">
        <f t="shared" si="103"/>
        <v/>
      </c>
      <c r="AX287" s="1856" t="str">
        <f t="shared" si="104"/>
        <v/>
      </c>
      <c r="AY287" s="1856" t="str">
        <f t="shared" si="105"/>
        <v/>
      </c>
      <c r="BB287" s="1879">
        <v>6</v>
      </c>
      <c r="BC287" s="1880" t="s">
        <v>241</v>
      </c>
      <c r="BD287" s="1880">
        <v>0.16041666666666668</v>
      </c>
      <c r="BE287" s="1880" t="s">
        <v>750</v>
      </c>
      <c r="BF287" s="1880">
        <v>0.75208333333333333</v>
      </c>
      <c r="BG287" s="1879" t="s">
        <v>759</v>
      </c>
      <c r="BH287" s="1880">
        <v>0.9784722222222223</v>
      </c>
      <c r="BI287" s="1879" t="s">
        <v>1213</v>
      </c>
      <c r="BJ287" s="1881">
        <v>230818</v>
      </c>
      <c r="BK287" s="1882">
        <v>0.90800000000000003</v>
      </c>
      <c r="BL287" s="1619">
        <f t="shared" si="89"/>
        <v>44840</v>
      </c>
      <c r="BM287" s="1856">
        <f t="shared" si="99"/>
        <v>0.9784722222222223</v>
      </c>
      <c r="BN287" s="934">
        <f t="shared" si="90"/>
        <v>38.700000000000003</v>
      </c>
    </row>
    <row r="288" spans="1:66" ht="18" customHeight="1">
      <c r="A288" s="1">
        <f t="shared" si="97"/>
        <v>44841</v>
      </c>
      <c r="B288" s="932">
        <f t="shared" si="91"/>
        <v>44841.283333333333</v>
      </c>
      <c r="C288" s="932">
        <f t="shared" si="92"/>
        <v>44841.322222222218</v>
      </c>
      <c r="D288" s="932">
        <f t="shared" si="93"/>
        <v>44841.804861111108</v>
      </c>
      <c r="E288" s="932">
        <f t="shared" si="94"/>
        <v>44841.844444444447</v>
      </c>
      <c r="F288" s="932">
        <f t="shared" si="95"/>
        <v>44841.772916666669</v>
      </c>
      <c r="G288" s="932">
        <f t="shared" si="96"/>
        <v>44841.210416666669</v>
      </c>
      <c r="H288" s="2">
        <f t="shared" si="98"/>
        <v>91</v>
      </c>
      <c r="I288" s="2">
        <v>46.204653473893501</v>
      </c>
      <c r="J288" s="1317">
        <v>-5.7841204921106719</v>
      </c>
      <c r="AP288" s="1855">
        <f t="shared" si="86"/>
        <v>44590</v>
      </c>
      <c r="AQ288" s="925" t="str">
        <f t="shared" si="87"/>
        <v>EENT</v>
      </c>
      <c r="AR288" s="1856">
        <f t="shared" si="88"/>
        <v>44590.79305555555</v>
      </c>
      <c r="AS288" s="927" t="s">
        <v>1214</v>
      </c>
      <c r="AT288" s="1856" t="str">
        <f t="shared" si="100"/>
        <v/>
      </c>
      <c r="AU288" s="1856" t="str">
        <f t="shared" si="101"/>
        <v/>
      </c>
      <c r="AV288" s="1856" t="str">
        <f t="shared" si="102"/>
        <v/>
      </c>
      <c r="AW288" s="1856" t="str">
        <f t="shared" si="103"/>
        <v/>
      </c>
      <c r="AX288" s="1856" t="str">
        <f t="shared" si="104"/>
        <v/>
      </c>
      <c r="AY288" s="1856" t="str">
        <f t="shared" si="105"/>
        <v/>
      </c>
      <c r="BB288" s="1879">
        <v>7</v>
      </c>
      <c r="BC288" s="1880" t="s">
        <v>241</v>
      </c>
      <c r="BD288" s="1880">
        <v>0.21041666666666667</v>
      </c>
      <c r="BE288" s="1880" t="s">
        <v>869</v>
      </c>
      <c r="BF288" s="1880">
        <v>0.77222222222222225</v>
      </c>
      <c r="BG288" s="1879" t="s">
        <v>866</v>
      </c>
      <c r="BH288" s="1880" t="s">
        <v>695</v>
      </c>
      <c r="BJ288" s="1881"/>
      <c r="BK288" s="1882"/>
      <c r="BL288" s="1619">
        <f t="shared" si="89"/>
        <v>44841</v>
      </c>
      <c r="BM288" s="1856" t="str">
        <f t="shared" si="99"/>
        <v>NA</v>
      </c>
      <c r="BN288" s="934" t="str">
        <f t="shared" si="90"/>
        <v>NA</v>
      </c>
    </row>
    <row r="289" spans="1:66" ht="14.5">
      <c r="A289" s="1">
        <f t="shared" si="97"/>
        <v>44842</v>
      </c>
      <c r="B289" s="932">
        <f t="shared" si="91"/>
        <v>44842.28402777778</v>
      </c>
      <c r="C289" s="932">
        <f t="shared" si="92"/>
        <v>44842.322916666664</v>
      </c>
      <c r="D289" s="932">
        <f t="shared" si="93"/>
        <v>44842.804166666661</v>
      </c>
      <c r="E289" s="932">
        <f t="shared" si="94"/>
        <v>44842.843055555561</v>
      </c>
      <c r="F289" s="932">
        <f t="shared" si="95"/>
        <v>44842.790972222225</v>
      </c>
      <c r="G289" s="932">
        <f t="shared" si="96"/>
        <v>44842.259027777778</v>
      </c>
      <c r="H289" s="2">
        <f t="shared" si="98"/>
        <v>97</v>
      </c>
      <c r="I289" s="2">
        <v>45.819794974414023</v>
      </c>
      <c r="J289" s="1317">
        <v>-6.1651360979734964</v>
      </c>
      <c r="AP289" s="1855">
        <f t="shared" si="86"/>
        <v>44591</v>
      </c>
      <c r="AQ289" s="925" t="str">
        <f t="shared" si="87"/>
        <v/>
      </c>
      <c r="AR289" s="1856" t="str">
        <f t="shared" si="88"/>
        <v/>
      </c>
      <c r="AS289" s="927">
        <v>30</v>
      </c>
      <c r="AT289" s="1856">
        <f t="shared" si="100"/>
        <v>44591.285416666666</v>
      </c>
      <c r="AU289" s="1856">
        <f t="shared" si="101"/>
        <v>44591.326388888883</v>
      </c>
      <c r="AV289" s="1856">
        <f t="shared" si="102"/>
        <v>44591.75277777778</v>
      </c>
      <c r="AW289" s="1856">
        <f t="shared" si="103"/>
        <v>44591.793749999997</v>
      </c>
      <c r="AX289" s="1856">
        <f t="shared" si="104"/>
        <v>44591.284722222219</v>
      </c>
      <c r="AY289" s="1856">
        <f t="shared" si="105"/>
        <v>44591.677083333328</v>
      </c>
      <c r="AZ289" s="1853">
        <v>0.06</v>
      </c>
      <c r="BB289" s="1879">
        <v>8</v>
      </c>
      <c r="BC289" s="1880" t="s">
        <v>241</v>
      </c>
      <c r="BD289" s="1880">
        <v>0.2590277777777778</v>
      </c>
      <c r="BE289" s="1880" t="s">
        <v>535</v>
      </c>
      <c r="BF289" s="1880">
        <v>0.79027777777777775</v>
      </c>
      <c r="BG289" s="1879" t="s">
        <v>544</v>
      </c>
      <c r="BH289" s="1880">
        <v>1.2499999999999999E-2</v>
      </c>
      <c r="BI289" s="1879" t="s">
        <v>1215</v>
      </c>
      <c r="BJ289" s="1881">
        <v>232276</v>
      </c>
      <c r="BK289" s="1882">
        <v>0.96399999999999997</v>
      </c>
      <c r="BL289" s="1619">
        <f t="shared" si="89"/>
        <v>44842</v>
      </c>
      <c r="BM289" s="1856">
        <f t="shared" si="99"/>
        <v>1.2499999999999999E-2</v>
      </c>
      <c r="BN289" s="934">
        <f t="shared" si="90"/>
        <v>45.1</v>
      </c>
    </row>
    <row r="290" spans="1:66" ht="14.5">
      <c r="A290" s="1">
        <f t="shared" si="97"/>
        <v>44843</v>
      </c>
      <c r="B290" s="932">
        <f t="shared" si="91"/>
        <v>44843.284722222219</v>
      </c>
      <c r="C290" s="932">
        <f t="shared" si="92"/>
        <v>44843.323611111111</v>
      </c>
      <c r="D290" s="932">
        <f t="shared" si="93"/>
        <v>44843.802777777775</v>
      </c>
      <c r="E290" s="932">
        <f t="shared" si="94"/>
        <v>44843.842361111114</v>
      </c>
      <c r="F290" s="932">
        <f t="shared" si="95"/>
        <v>44843.809027777774</v>
      </c>
      <c r="G290" s="932">
        <f t="shared" si="96"/>
        <v>44843.306944444441</v>
      </c>
      <c r="H290" s="2">
        <f t="shared" si="98"/>
        <v>99</v>
      </c>
      <c r="I290" s="2">
        <v>45.436378949277845</v>
      </c>
      <c r="J290" s="1317">
        <v>-6.5448048844116382</v>
      </c>
      <c r="AP290" s="1855">
        <f t="shared" si="86"/>
        <v>44591</v>
      </c>
      <c r="AQ290" s="925" t="str">
        <f t="shared" si="87"/>
        <v/>
      </c>
      <c r="AR290" s="1856" t="str">
        <f t="shared" si="88"/>
        <v/>
      </c>
      <c r="AS290" s="927" t="s">
        <v>252</v>
      </c>
      <c r="AT290" s="1856" t="str">
        <f t="shared" si="100"/>
        <v/>
      </c>
      <c r="AU290" s="1856" t="str">
        <f t="shared" si="101"/>
        <v/>
      </c>
      <c r="AV290" s="1856" t="str">
        <f t="shared" si="102"/>
        <v/>
      </c>
      <c r="AW290" s="1856" t="str">
        <f t="shared" si="103"/>
        <v/>
      </c>
      <c r="AX290" s="1856" t="str">
        <f t="shared" si="104"/>
        <v/>
      </c>
      <c r="AY290" s="1856" t="str">
        <f t="shared" si="105"/>
        <v/>
      </c>
      <c r="BB290" s="1879" t="s">
        <v>1216</v>
      </c>
      <c r="BC290" s="1880" t="s">
        <v>241</v>
      </c>
      <c r="BD290" s="1880">
        <v>0.30624999999999997</v>
      </c>
      <c r="BE290" s="1880" t="s">
        <v>631</v>
      </c>
      <c r="BF290" s="1880">
        <v>0.80833333333333324</v>
      </c>
      <c r="BG290" s="1879" t="s">
        <v>1033</v>
      </c>
      <c r="BH290" s="1880">
        <v>4.5138888888888888E-2</v>
      </c>
      <c r="BI290" s="1879" t="s">
        <v>1032</v>
      </c>
      <c r="BJ290" s="1881">
        <v>234274</v>
      </c>
      <c r="BK290" s="1882">
        <v>0.99399999999999999</v>
      </c>
      <c r="BL290" s="1619">
        <f t="shared" si="89"/>
        <v>44843</v>
      </c>
      <c r="BM290" s="1856">
        <f t="shared" si="99"/>
        <v>4.5138888888888888E-2</v>
      </c>
      <c r="BN290" s="934">
        <f t="shared" si="90"/>
        <v>51.7</v>
      </c>
    </row>
    <row r="291" spans="1:66" ht="14.5">
      <c r="A291" s="1">
        <f t="shared" si="97"/>
        <v>44844</v>
      </c>
      <c r="B291" s="932">
        <f t="shared" si="91"/>
        <v>44844.284722222219</v>
      </c>
      <c r="C291" s="932">
        <f t="shared" si="92"/>
        <v>44844.32430555555</v>
      </c>
      <c r="D291" s="932">
        <f t="shared" si="93"/>
        <v>44844.802083333328</v>
      </c>
      <c r="E291" s="932">
        <f t="shared" si="94"/>
        <v>44844.840972222228</v>
      </c>
      <c r="F291" s="932">
        <f t="shared" si="95"/>
        <v>44844.82708333333</v>
      </c>
      <c r="G291" s="932">
        <f t="shared" si="96"/>
        <v>44844.353472222225</v>
      </c>
      <c r="H291" s="2">
        <f t="shared" si="98"/>
        <v>100</v>
      </c>
      <c r="I291" s="2">
        <v>45.054518772824743</v>
      </c>
      <c r="J291" s="1317">
        <v>-6.9230243315871816</v>
      </c>
      <c r="AP291" s="1855">
        <f t="shared" si="86"/>
        <v>44591</v>
      </c>
      <c r="AQ291" s="925" t="str">
        <f t="shared" si="87"/>
        <v/>
      </c>
      <c r="AR291" s="1856" t="str">
        <f t="shared" si="88"/>
        <v/>
      </c>
      <c r="AT291" s="1856" t="str">
        <f t="shared" si="100"/>
        <v/>
      </c>
      <c r="AU291" s="1856" t="str">
        <f t="shared" si="101"/>
        <v/>
      </c>
      <c r="AV291" s="1856" t="str">
        <f t="shared" si="102"/>
        <v/>
      </c>
      <c r="AW291" s="1856" t="str">
        <f t="shared" si="103"/>
        <v/>
      </c>
      <c r="AX291" s="1856" t="str">
        <f t="shared" si="104"/>
        <v/>
      </c>
      <c r="AY291" s="1856" t="str">
        <f t="shared" si="105"/>
        <v/>
      </c>
      <c r="BB291" s="1879">
        <v>10</v>
      </c>
      <c r="BC291" s="1880" t="s">
        <v>241</v>
      </c>
      <c r="BD291" s="1880">
        <v>0.3527777777777778</v>
      </c>
      <c r="BE291" s="1880" t="s">
        <v>1034</v>
      </c>
      <c r="BF291" s="1880">
        <v>0.82638888888888884</v>
      </c>
      <c r="BG291" s="1879" t="s">
        <v>899</v>
      </c>
      <c r="BH291" s="1880">
        <v>7.7083333333333337E-2</v>
      </c>
      <c r="BI291" s="1879" t="s">
        <v>1217</v>
      </c>
      <c r="BJ291" s="1881">
        <v>236733</v>
      </c>
      <c r="BK291" s="1882">
        <v>0.998</v>
      </c>
      <c r="BL291" s="1619">
        <f t="shared" si="89"/>
        <v>44844</v>
      </c>
      <c r="BM291" s="1856">
        <f t="shared" si="99"/>
        <v>7.7083333333333337E-2</v>
      </c>
      <c r="BN291" s="934">
        <f t="shared" si="90"/>
        <v>58.2</v>
      </c>
    </row>
    <row r="292" spans="1:66" ht="14.5">
      <c r="A292" s="1">
        <f t="shared" si="97"/>
        <v>44845</v>
      </c>
      <c r="B292" s="932">
        <f t="shared" si="91"/>
        <v>44845.285416666666</v>
      </c>
      <c r="C292" s="932">
        <f t="shared" si="92"/>
        <v>44845.324999999997</v>
      </c>
      <c r="D292" s="932">
        <f t="shared" si="93"/>
        <v>44845.800694444442</v>
      </c>
      <c r="E292" s="932">
        <f t="shared" si="94"/>
        <v>44845.840277777781</v>
      </c>
      <c r="F292" s="932">
        <f t="shared" si="95"/>
        <v>44845.84652777778</v>
      </c>
      <c r="G292" s="932">
        <f t="shared" si="96"/>
        <v>44845.399305555555</v>
      </c>
      <c r="H292" s="2">
        <f t="shared" si="98"/>
        <v>98</v>
      </c>
      <c r="I292" s="2">
        <v>44.674328217981866</v>
      </c>
      <c r="J292" s="1317">
        <v>-7.2996913538535244</v>
      </c>
      <c r="AP292" s="1855">
        <f t="shared" si="86"/>
        <v>44591</v>
      </c>
      <c r="AQ292" s="925" t="str">
        <f t="shared" si="87"/>
        <v>MR</v>
      </c>
      <c r="AR292" s="1856">
        <f t="shared" si="88"/>
        <v>44591.284722222219</v>
      </c>
      <c r="AS292" s="927" t="s">
        <v>1218</v>
      </c>
      <c r="AT292" s="1856" t="str">
        <f t="shared" si="100"/>
        <v/>
      </c>
      <c r="AU292" s="1856" t="str">
        <f t="shared" si="101"/>
        <v/>
      </c>
      <c r="AV292" s="1856" t="str">
        <f t="shared" si="102"/>
        <v/>
      </c>
      <c r="AW292" s="1856" t="str">
        <f t="shared" si="103"/>
        <v/>
      </c>
      <c r="AX292" s="1856" t="str">
        <f t="shared" si="104"/>
        <v/>
      </c>
      <c r="AY292" s="1856" t="str">
        <f t="shared" si="105"/>
        <v/>
      </c>
      <c r="BB292" s="1879">
        <v>11</v>
      </c>
      <c r="BC292" s="1880" t="s">
        <v>241</v>
      </c>
      <c r="BD292" s="1880">
        <v>0.39861111111111108</v>
      </c>
      <c r="BE292" s="1880" t="s">
        <v>1116</v>
      </c>
      <c r="BF292" s="1880">
        <v>0.84583333333333333</v>
      </c>
      <c r="BG292" s="1879" t="s">
        <v>997</v>
      </c>
      <c r="BH292" s="1880">
        <v>0.10902777777777778</v>
      </c>
      <c r="BI292" s="1879" t="s">
        <v>1219</v>
      </c>
      <c r="BJ292" s="1881">
        <v>239513</v>
      </c>
      <c r="BK292" s="1882">
        <v>0.97699999999999998</v>
      </c>
      <c r="BL292" s="1619">
        <f t="shared" si="89"/>
        <v>44845</v>
      </c>
      <c r="BM292" s="1856">
        <f t="shared" si="99"/>
        <v>0.10902777777777778</v>
      </c>
      <c r="BN292" s="934">
        <f t="shared" si="90"/>
        <v>64.3</v>
      </c>
    </row>
    <row r="293" spans="1:66" ht="14.5">
      <c r="A293" s="1">
        <f t="shared" si="97"/>
        <v>44846</v>
      </c>
      <c r="B293" s="932">
        <f t="shared" si="91"/>
        <v>44846.286111111112</v>
      </c>
      <c r="C293" s="932">
        <f t="shared" si="92"/>
        <v>44846.325694444444</v>
      </c>
      <c r="D293" s="932">
        <f t="shared" si="93"/>
        <v>44846.799999999996</v>
      </c>
      <c r="E293" s="932">
        <f t="shared" si="94"/>
        <v>44846.839583333334</v>
      </c>
      <c r="F293" s="932">
        <f t="shared" si="95"/>
        <v>44846.868055555555</v>
      </c>
      <c r="G293" s="932">
        <f t="shared" si="96"/>
        <v>44846.445138888885</v>
      </c>
      <c r="H293" s="2">
        <f t="shared" si="98"/>
        <v>94</v>
      </c>
      <c r="I293" s="2">
        <v>44.295921425137017</v>
      </c>
      <c r="J293" s="1317">
        <v>-7.6747022975438943</v>
      </c>
      <c r="AP293" s="1855">
        <f t="shared" ref="AP293:AP356" si="106">IF(ISNUMBER(AS293),AP292+1,AP292)</f>
        <v>44591</v>
      </c>
      <c r="AQ293" s="925" t="str">
        <f t="shared" ref="AQ293:AQ356" si="107">IF(NOT(ISNUMBER(FIND(":",AS293))),"",IF(ISNUMBER(FIND("Sunr",AS293)),"SR", IF(ISNUMBER(FIND("Suns",AS293)),"SS",IF(ISNUMBER(FIND("Moonr",AS293)),"MR",IF(ISNUMBER(FIND("Moons",AS293)),"MS",IF(ISNUMBER(FIND("Twi",AS293)),IF(HOUR(AR293)&lt;12,"BMNT","EENT")))))))</f>
        <v>BMNT</v>
      </c>
      <c r="AR293" s="1856">
        <f t="shared" si="88"/>
        <v>44591.285416666666</v>
      </c>
      <c r="AS293" s="927" t="s">
        <v>1206</v>
      </c>
      <c r="AT293" s="1856" t="str">
        <f t="shared" si="100"/>
        <v/>
      </c>
      <c r="AU293" s="1856" t="str">
        <f t="shared" si="101"/>
        <v/>
      </c>
      <c r="AV293" s="1856" t="str">
        <f t="shared" si="102"/>
        <v/>
      </c>
      <c r="AW293" s="1856" t="str">
        <f t="shared" si="103"/>
        <v/>
      </c>
      <c r="AX293" s="1856" t="str">
        <f t="shared" si="104"/>
        <v/>
      </c>
      <c r="AY293" s="1856" t="str">
        <f t="shared" si="105"/>
        <v/>
      </c>
      <c r="BB293" s="1879">
        <v>12</v>
      </c>
      <c r="BC293" s="1880" t="s">
        <v>241</v>
      </c>
      <c r="BD293" s="1880">
        <v>0.44444444444444442</v>
      </c>
      <c r="BE293" s="1879" t="s">
        <v>902</v>
      </c>
      <c r="BF293" s="1880">
        <v>0.86736111111111114</v>
      </c>
      <c r="BG293" s="1880" t="s">
        <v>590</v>
      </c>
      <c r="BH293" s="1880">
        <v>0.14166666666666666</v>
      </c>
      <c r="BI293" s="1881" t="s">
        <v>1220</v>
      </c>
      <c r="BJ293" s="1882">
        <v>242419</v>
      </c>
      <c r="BK293" s="1882">
        <v>0.93500000000000005</v>
      </c>
      <c r="BL293" s="1619">
        <f t="shared" si="89"/>
        <v>44846</v>
      </c>
      <c r="BM293" s="1856">
        <f t="shared" si="99"/>
        <v>0.14166666666666666</v>
      </c>
      <c r="BN293" s="934">
        <f t="shared" si="90"/>
        <v>69.599999999999994</v>
      </c>
    </row>
    <row r="294" spans="1:66" ht="14.5">
      <c r="A294" s="1">
        <f t="shared" si="97"/>
        <v>44847</v>
      </c>
      <c r="B294" s="932">
        <f t="shared" si="91"/>
        <v>44847.286805555559</v>
      </c>
      <c r="C294" s="932">
        <f t="shared" si="92"/>
        <v>44847.326388888883</v>
      </c>
      <c r="D294" s="932">
        <f t="shared" si="93"/>
        <v>44847.798611111109</v>
      </c>
      <c r="E294" s="932">
        <f t="shared" si="94"/>
        <v>44847.838194444448</v>
      </c>
      <c r="F294" s="932">
        <f t="shared" si="95"/>
        <v>44847.893055555556</v>
      </c>
      <c r="G294" s="932">
        <f t="shared" si="96"/>
        <v>44847.490277777782</v>
      </c>
      <c r="H294" s="2">
        <f t="shared" si="98"/>
        <v>88</v>
      </c>
      <c r="I294" s="2">
        <v>43.919412869411836</v>
      </c>
      <c r="J294" s="1317">
        <v>-8.047952940256728</v>
      </c>
      <c r="AP294" s="1855">
        <f t="shared" si="106"/>
        <v>44591</v>
      </c>
      <c r="AQ294" s="925" t="str">
        <f t="shared" si="107"/>
        <v>SR</v>
      </c>
      <c r="AR294" s="1856">
        <f t="shared" si="88"/>
        <v>44591.326388888883</v>
      </c>
      <c r="AS294" s="927" t="s">
        <v>1221</v>
      </c>
      <c r="AT294" s="1856" t="str">
        <f t="shared" si="100"/>
        <v/>
      </c>
      <c r="AU294" s="1856" t="str">
        <f t="shared" si="101"/>
        <v/>
      </c>
      <c r="AV294" s="1856" t="str">
        <f t="shared" si="102"/>
        <v/>
      </c>
      <c r="AW294" s="1856" t="str">
        <f t="shared" si="103"/>
        <v/>
      </c>
      <c r="AX294" s="1856" t="str">
        <f t="shared" si="104"/>
        <v/>
      </c>
      <c r="AY294" s="1856" t="str">
        <f t="shared" si="105"/>
        <v/>
      </c>
      <c r="BB294" s="1879">
        <v>13</v>
      </c>
      <c r="BC294" s="1879" t="s">
        <v>241</v>
      </c>
      <c r="BD294" s="1880">
        <v>0.48958333333333331</v>
      </c>
      <c r="BE294" s="1879" t="s">
        <v>633</v>
      </c>
      <c r="BF294" s="1880">
        <v>0.89236111111111116</v>
      </c>
      <c r="BG294" s="1879" t="s">
        <v>599</v>
      </c>
      <c r="BH294" s="1880">
        <v>0.17500000000000002</v>
      </c>
      <c r="BI294" s="1879" t="s">
        <v>1000</v>
      </c>
      <c r="BJ294" s="1881">
        <v>245226</v>
      </c>
      <c r="BK294" s="1882">
        <v>0.874</v>
      </c>
      <c r="BL294" s="1619">
        <f t="shared" si="89"/>
        <v>44847</v>
      </c>
      <c r="BM294" s="1856">
        <f t="shared" si="99"/>
        <v>0.17500000000000002</v>
      </c>
      <c r="BN294" s="934">
        <f t="shared" si="90"/>
        <v>73.900000000000006</v>
      </c>
    </row>
    <row r="295" spans="1:66" ht="14.5">
      <c r="A295" s="1">
        <f t="shared" si="97"/>
        <v>44848</v>
      </c>
      <c r="B295" s="932">
        <f t="shared" si="91"/>
        <v>44848.287499999999</v>
      </c>
      <c r="C295" s="932">
        <f t="shared" si="92"/>
        <v>44848.32708333333</v>
      </c>
      <c r="D295" s="932">
        <f t="shared" si="93"/>
        <v>44848.797916666663</v>
      </c>
      <c r="E295" s="932">
        <f t="shared" si="94"/>
        <v>44848.837500000001</v>
      </c>
      <c r="F295" s="932">
        <f t="shared" si="95"/>
        <v>44848.922222222223</v>
      </c>
      <c r="G295" s="932">
        <f t="shared" si="96"/>
        <v>44848.533333333333</v>
      </c>
      <c r="H295" s="2">
        <f t="shared" si="98"/>
        <v>81</v>
      </c>
      <c r="I295" s="2">
        <v>43.54491732631638</v>
      </c>
      <c r="J295" s="1317">
        <v>-8.4193384917494409</v>
      </c>
      <c r="AP295" s="1855">
        <f t="shared" si="106"/>
        <v>44591</v>
      </c>
      <c r="AQ295" s="925" t="str">
        <f t="shared" si="107"/>
        <v>MS</v>
      </c>
      <c r="AR295" s="1856">
        <f t="shared" si="88"/>
        <v>44591.677083333328</v>
      </c>
      <c r="AS295" s="927" t="s">
        <v>1222</v>
      </c>
      <c r="AT295" s="1856" t="str">
        <f t="shared" si="100"/>
        <v/>
      </c>
      <c r="AU295" s="1856" t="str">
        <f t="shared" si="101"/>
        <v/>
      </c>
      <c r="AV295" s="1856" t="str">
        <f t="shared" si="102"/>
        <v/>
      </c>
      <c r="AW295" s="1856" t="str">
        <f t="shared" si="103"/>
        <v/>
      </c>
      <c r="AX295" s="1856" t="str">
        <f t="shared" si="104"/>
        <v/>
      </c>
      <c r="AY295" s="1856" t="str">
        <f t="shared" si="105"/>
        <v/>
      </c>
      <c r="BB295" s="1879">
        <v>14</v>
      </c>
      <c r="BC295" s="1879" t="s">
        <v>241</v>
      </c>
      <c r="BD295" s="1880">
        <v>0.53263888888888888</v>
      </c>
      <c r="BE295" s="1879" t="s">
        <v>694</v>
      </c>
      <c r="BF295" s="1880">
        <v>0.92083333333333339</v>
      </c>
      <c r="BG295" s="1879" t="s">
        <v>685</v>
      </c>
      <c r="BH295" s="1880">
        <v>0.20972222222222223</v>
      </c>
      <c r="BI295" s="1879" t="s">
        <v>1223</v>
      </c>
      <c r="BJ295" s="1881">
        <v>247701</v>
      </c>
      <c r="BK295" s="1882">
        <v>0.79900000000000004</v>
      </c>
      <c r="BL295" s="1619">
        <f t="shared" si="89"/>
        <v>44848</v>
      </c>
      <c r="BM295" s="1856">
        <f t="shared" si="99"/>
        <v>0.20972222222222223</v>
      </c>
      <c r="BN295" s="934">
        <f t="shared" si="90"/>
        <v>77.099999999999994</v>
      </c>
    </row>
    <row r="296" spans="1:66" ht="14.5">
      <c r="A296" s="1">
        <f t="shared" si="97"/>
        <v>44849</v>
      </c>
      <c r="B296" s="932">
        <f t="shared" si="91"/>
        <v>44849.288194444445</v>
      </c>
      <c r="C296" s="932">
        <f t="shared" si="92"/>
        <v>44849.327777777777</v>
      </c>
      <c r="D296" s="932">
        <f t="shared" si="93"/>
        <v>44849.797222222223</v>
      </c>
      <c r="E296" s="932">
        <f t="shared" si="94"/>
        <v>44849.836111111115</v>
      </c>
      <c r="F296" s="932">
        <f t="shared" si="95"/>
        <v>44849.954861111109</v>
      </c>
      <c r="G296" s="932">
        <f t="shared" si="96"/>
        <v>44849.572916666664</v>
      </c>
      <c r="H296" s="2">
        <f t="shared" si="98"/>
        <v>73</v>
      </c>
      <c r="I296" s="2">
        <v>43.172549835814294</v>
      </c>
      <c r="J296" s="1317">
        <v>-8.7887535965131978</v>
      </c>
      <c r="AP296" s="1855">
        <f t="shared" si="106"/>
        <v>44591</v>
      </c>
      <c r="AQ296" s="925" t="str">
        <f t="shared" si="107"/>
        <v>SS</v>
      </c>
      <c r="AR296" s="1856">
        <f t="shared" si="88"/>
        <v>44591.75277777778</v>
      </c>
      <c r="AS296" s="927" t="s">
        <v>1224</v>
      </c>
      <c r="AT296" s="1856" t="str">
        <f t="shared" si="100"/>
        <v/>
      </c>
      <c r="AU296" s="1856" t="str">
        <f t="shared" si="101"/>
        <v/>
      </c>
      <c r="AV296" s="1856" t="str">
        <f t="shared" si="102"/>
        <v/>
      </c>
      <c r="AW296" s="1856" t="str">
        <f t="shared" si="103"/>
        <v/>
      </c>
      <c r="AX296" s="1856" t="str">
        <f t="shared" si="104"/>
        <v/>
      </c>
      <c r="AY296" s="1856" t="str">
        <f t="shared" si="105"/>
        <v/>
      </c>
      <c r="BB296" s="1879">
        <v>15</v>
      </c>
      <c r="BC296" s="1879" t="s">
        <v>241</v>
      </c>
      <c r="BD296" s="1880">
        <v>0.57222222222222219</v>
      </c>
      <c r="BE296" s="1879" t="s">
        <v>960</v>
      </c>
      <c r="BF296" s="1880">
        <v>0.95416666666666661</v>
      </c>
      <c r="BG296" s="1879" t="s">
        <v>1225</v>
      </c>
      <c r="BH296" s="1880">
        <v>0.24583333333333335</v>
      </c>
      <c r="BI296" s="1879" t="s">
        <v>1152</v>
      </c>
      <c r="BJ296" s="1881">
        <v>249632</v>
      </c>
      <c r="BK296" s="1882">
        <v>0.71299999999999997</v>
      </c>
      <c r="BL296" s="1619">
        <f t="shared" si="89"/>
        <v>44849</v>
      </c>
      <c r="BM296" s="1856">
        <f t="shared" si="99"/>
        <v>0.24583333333333335</v>
      </c>
      <c r="BN296" s="934">
        <f t="shared" si="90"/>
        <v>79</v>
      </c>
    </row>
    <row r="297" spans="1:66" ht="14.5">
      <c r="A297" s="1">
        <f t="shared" si="97"/>
        <v>44850</v>
      </c>
      <c r="B297" s="932">
        <f t="shared" si="91"/>
        <v>44850.288888888892</v>
      </c>
      <c r="C297" s="932">
        <f t="shared" si="92"/>
        <v>44850.328472222223</v>
      </c>
      <c r="D297" s="932">
        <f t="shared" si="93"/>
        <v>44850.79583333333</v>
      </c>
      <c r="E297" s="932">
        <f t="shared" si="94"/>
        <v>44850.835416666669</v>
      </c>
      <c r="F297" s="932">
        <f t="shared" si="95"/>
        <v>44850.992361111115</v>
      </c>
      <c r="G297" s="932">
        <f t="shared" si="96"/>
        <v>44850.609027777777</v>
      </c>
      <c r="H297" s="2">
        <f t="shared" si="98"/>
        <v>64</v>
      </c>
      <c r="I297" s="2">
        <v>42.802425664791535</v>
      </c>
      <c r="J297" s="1317">
        <v>-9.1560923381430808</v>
      </c>
      <c r="AP297" s="1855">
        <f t="shared" si="106"/>
        <v>44591</v>
      </c>
      <c r="AQ297" s="925" t="str">
        <f t="shared" si="107"/>
        <v>EENT</v>
      </c>
      <c r="AR297" s="1856">
        <f t="shared" ref="AR297:AR360" si="108">IF(NOT(ISNUMBER(FIND(":",AS297))),"",IF(ISNUMBER(FIND(" none",AS297)),"NONE",AP297+LEFT(RIGHT(AS297,5),2)/24+RIGHT(AS297,2)/1440))</f>
        <v>44591.793749999997</v>
      </c>
      <c r="AS297" s="927" t="s">
        <v>1226</v>
      </c>
      <c r="AT297" s="1856" t="str">
        <f t="shared" si="100"/>
        <v/>
      </c>
      <c r="AU297" s="1856" t="str">
        <f t="shared" si="101"/>
        <v/>
      </c>
      <c r="AV297" s="1856" t="str">
        <f t="shared" si="102"/>
        <v/>
      </c>
      <c r="AW297" s="1856" t="str">
        <f t="shared" si="103"/>
        <v/>
      </c>
      <c r="AX297" s="1856" t="str">
        <f t="shared" si="104"/>
        <v/>
      </c>
      <c r="AY297" s="1856" t="str">
        <f t="shared" si="105"/>
        <v/>
      </c>
      <c r="BB297" s="1879">
        <v>16</v>
      </c>
      <c r="BC297" s="1879" t="s">
        <v>241</v>
      </c>
      <c r="BD297" s="1880">
        <v>0.60763888888888895</v>
      </c>
      <c r="BE297" s="1879" t="s">
        <v>960</v>
      </c>
      <c r="BF297" s="1880">
        <v>0.99097222222222225</v>
      </c>
      <c r="BG297" s="1879" t="s">
        <v>907</v>
      </c>
      <c r="BH297" s="1880">
        <v>0.28125</v>
      </c>
      <c r="BI297" s="1879" t="s">
        <v>1227</v>
      </c>
      <c r="BJ297" s="1881">
        <v>250848</v>
      </c>
      <c r="BK297" s="1882">
        <v>0.62</v>
      </c>
      <c r="BL297" s="1619">
        <f t="shared" si="89"/>
        <v>44850</v>
      </c>
      <c r="BM297" s="1856">
        <f t="shared" si="99"/>
        <v>0.28125</v>
      </c>
      <c r="BN297" s="934">
        <f t="shared" si="90"/>
        <v>79.400000000000006</v>
      </c>
    </row>
    <row r="298" spans="1:66" ht="14.5">
      <c r="A298" s="1">
        <f t="shared" si="97"/>
        <v>44851</v>
      </c>
      <c r="B298" s="932">
        <f t="shared" si="91"/>
        <v>44851.289583333331</v>
      </c>
      <c r="C298" s="932">
        <f t="shared" si="92"/>
        <v>44851.329166666663</v>
      </c>
      <c r="D298" s="932">
        <f t="shared" si="93"/>
        <v>44851.795138888883</v>
      </c>
      <c r="E298" s="932">
        <f t="shared" si="94"/>
        <v>44851.834722222222</v>
      </c>
      <c r="F298" s="932" t="str">
        <f t="shared" si="95"/>
        <v>NONE</v>
      </c>
      <c r="G298" s="932">
        <f t="shared" si="96"/>
        <v>44851.63958333333</v>
      </c>
      <c r="H298" s="2">
        <f t="shared" si="98"/>
        <v>55.000000000000007</v>
      </c>
      <c r="I298" s="2">
        <v>42.434660267968823</v>
      </c>
      <c r="J298" s="1317">
        <v>-9.5212482455780982</v>
      </c>
      <c r="AP298" s="1855">
        <f t="shared" si="106"/>
        <v>44592</v>
      </c>
      <c r="AQ298" s="925" t="str">
        <f t="shared" si="107"/>
        <v/>
      </c>
      <c r="AR298" s="1856" t="str">
        <f t="shared" si="108"/>
        <v/>
      </c>
      <c r="AS298" s="927">
        <v>31</v>
      </c>
      <c r="AT298" s="1856">
        <f t="shared" si="100"/>
        <v>44592.284722222219</v>
      </c>
      <c r="AU298" s="1856">
        <f t="shared" si="101"/>
        <v>44592.325694444444</v>
      </c>
      <c r="AV298" s="1856">
        <f t="shared" si="102"/>
        <v>44592.753472222219</v>
      </c>
      <c r="AW298" s="1856">
        <f t="shared" si="103"/>
        <v>44592.794444444444</v>
      </c>
      <c r="AX298" s="1856">
        <f t="shared" si="104"/>
        <v>44592.322916666664</v>
      </c>
      <c r="AY298" s="1856">
        <f t="shared" si="105"/>
        <v>44592.728472222225</v>
      </c>
      <c r="AZ298" s="1853">
        <v>0.02</v>
      </c>
      <c r="BB298" s="1879" t="s">
        <v>1228</v>
      </c>
      <c r="BC298" s="1879" t="s">
        <v>241</v>
      </c>
      <c r="BD298" s="1880">
        <v>0.63888888888888895</v>
      </c>
      <c r="BE298" s="1879" t="s">
        <v>694</v>
      </c>
      <c r="BF298" s="1880" t="s">
        <v>241</v>
      </c>
      <c r="BG298" s="1880">
        <v>0.31666666666666665</v>
      </c>
      <c r="BH298" s="1880" t="s">
        <v>1002</v>
      </c>
      <c r="BI298" s="1881">
        <v>251237</v>
      </c>
      <c r="BJ298" s="1881">
        <v>0.52400000000000002</v>
      </c>
      <c r="BK298" s="1882"/>
      <c r="BL298" s="1619">
        <f t="shared" si="89"/>
        <v>44851</v>
      </c>
      <c r="BM298" s="1856">
        <f t="shared" si="99"/>
        <v>0.31666666666666665</v>
      </c>
      <c r="BN298" s="934">
        <f t="shared" si="90"/>
        <v>78.5</v>
      </c>
    </row>
    <row r="299" spans="1:66" ht="14.5">
      <c r="A299" s="1">
        <f t="shared" si="97"/>
        <v>44852</v>
      </c>
      <c r="B299" s="932">
        <f t="shared" si="91"/>
        <v>44852.290277777778</v>
      </c>
      <c r="C299" s="932">
        <f t="shared" si="92"/>
        <v>44852.329861111109</v>
      </c>
      <c r="D299" s="932">
        <f t="shared" si="93"/>
        <v>44852.793749999997</v>
      </c>
      <c r="E299" s="932">
        <f t="shared" si="94"/>
        <v>44852.833333333336</v>
      </c>
      <c r="F299" s="932">
        <f t="shared" si="95"/>
        <v>44852.031944444447</v>
      </c>
      <c r="G299" s="932">
        <f t="shared" si="96"/>
        <v>44852.665972222225</v>
      </c>
      <c r="H299" s="2">
        <f t="shared" si="98"/>
        <v>45</v>
      </c>
      <c r="I299" s="2">
        <v>42.069369247264632</v>
      </c>
      <c r="J299" s="1317">
        <v>-9.8841143013249617</v>
      </c>
      <c r="AP299" s="1855">
        <f t="shared" si="106"/>
        <v>44592</v>
      </c>
      <c r="AQ299" s="925" t="str">
        <f t="shared" si="107"/>
        <v/>
      </c>
      <c r="AR299" s="1856" t="str">
        <f t="shared" si="108"/>
        <v/>
      </c>
      <c r="AS299" s="927" t="s">
        <v>252</v>
      </c>
      <c r="AT299" s="1856" t="str">
        <f t="shared" si="100"/>
        <v/>
      </c>
      <c r="AU299" s="1856" t="str">
        <f t="shared" si="101"/>
        <v/>
      </c>
      <c r="AV299" s="1856" t="str">
        <f t="shared" si="102"/>
        <v/>
      </c>
      <c r="AW299" s="1856" t="str">
        <f t="shared" si="103"/>
        <v/>
      </c>
      <c r="AX299" s="1856" t="str">
        <f t="shared" si="104"/>
        <v/>
      </c>
      <c r="AY299" s="1856" t="str">
        <f t="shared" si="105"/>
        <v/>
      </c>
      <c r="BB299" s="1879">
        <v>18</v>
      </c>
      <c r="BC299" s="1880">
        <v>3.125E-2</v>
      </c>
      <c r="BD299" s="1880" t="s">
        <v>624</v>
      </c>
      <c r="BE299" s="1880">
        <v>0.66527777777777775</v>
      </c>
      <c r="BF299" s="1880" t="s">
        <v>633</v>
      </c>
      <c r="BG299" s="1879" t="s">
        <v>241</v>
      </c>
      <c r="BH299" s="1880">
        <v>0.35069444444444442</v>
      </c>
      <c r="BI299" s="1879" t="s">
        <v>1229</v>
      </c>
      <c r="BJ299" s="1881">
        <v>250757</v>
      </c>
      <c r="BK299" s="1882">
        <v>0.42599999999999999</v>
      </c>
      <c r="BL299" s="1619">
        <f t="shared" si="89"/>
        <v>44852</v>
      </c>
      <c r="BM299" s="1856">
        <f t="shared" si="99"/>
        <v>0.35069444444444442</v>
      </c>
      <c r="BN299" s="934">
        <f t="shared" si="90"/>
        <v>76.2</v>
      </c>
    </row>
    <row r="300" spans="1:66" ht="14.5">
      <c r="A300" s="1">
        <f t="shared" si="97"/>
        <v>44853</v>
      </c>
      <c r="B300" s="932">
        <f t="shared" si="91"/>
        <v>44853.290972222225</v>
      </c>
      <c r="C300" s="932">
        <f t="shared" si="92"/>
        <v>44853.330555555556</v>
      </c>
      <c r="D300" s="932">
        <f t="shared" si="93"/>
        <v>44853.79305555555</v>
      </c>
      <c r="E300" s="932">
        <f t="shared" si="94"/>
        <v>44853.832638888889</v>
      </c>
      <c r="F300" s="932">
        <f t="shared" si="95"/>
        <v>44853.073611111111</v>
      </c>
      <c r="G300" s="932">
        <f t="shared" si="96"/>
        <v>44853.688888888886</v>
      </c>
      <c r="H300" s="2">
        <f t="shared" si="98"/>
        <v>36</v>
      </c>
      <c r="I300" s="2">
        <v>41.706668309653374</v>
      </c>
      <c r="J300" s="1317">
        <v>-10.244582951746587</v>
      </c>
      <c r="AP300" s="1855">
        <f t="shared" si="106"/>
        <v>44592</v>
      </c>
      <c r="AQ300" s="925" t="str">
        <f t="shared" si="107"/>
        <v/>
      </c>
      <c r="AR300" s="1856" t="str">
        <f t="shared" si="108"/>
        <v/>
      </c>
      <c r="AT300" s="1856" t="str">
        <f t="shared" si="100"/>
        <v/>
      </c>
      <c r="AU300" s="1856" t="str">
        <f t="shared" si="101"/>
        <v/>
      </c>
      <c r="AV300" s="1856" t="str">
        <f t="shared" si="102"/>
        <v/>
      </c>
      <c r="AW300" s="1856" t="str">
        <f t="shared" si="103"/>
        <v/>
      </c>
      <c r="AX300" s="1856" t="str">
        <f t="shared" si="104"/>
        <v/>
      </c>
      <c r="AY300" s="1856" t="str">
        <f t="shared" si="105"/>
        <v/>
      </c>
      <c r="BB300" s="1879">
        <v>19</v>
      </c>
      <c r="BC300" s="1880">
        <v>7.3611111111111113E-2</v>
      </c>
      <c r="BD300" s="1880" t="s">
        <v>634</v>
      </c>
      <c r="BE300" s="1880">
        <v>0.68819444444444444</v>
      </c>
      <c r="BF300" s="1880" t="s">
        <v>582</v>
      </c>
      <c r="BG300" s="1879" t="s">
        <v>241</v>
      </c>
      <c r="BH300" s="1880">
        <v>0.3840277777777778</v>
      </c>
      <c r="BI300" s="1879" t="s">
        <v>1230</v>
      </c>
      <c r="BJ300" s="1881">
        <v>249441</v>
      </c>
      <c r="BK300" s="1882">
        <v>0.33</v>
      </c>
      <c r="BL300" s="1619">
        <f t="shared" si="89"/>
        <v>44853</v>
      </c>
      <c r="BM300" s="1856">
        <f t="shared" si="99"/>
        <v>0.3840277777777778</v>
      </c>
      <c r="BN300" s="934">
        <f t="shared" si="90"/>
        <v>72.8</v>
      </c>
    </row>
    <row r="301" spans="1:66" ht="14.5">
      <c r="A301" s="1">
        <f t="shared" si="97"/>
        <v>44854</v>
      </c>
      <c r="B301" s="932">
        <f t="shared" si="91"/>
        <v>44854.291666666664</v>
      </c>
      <c r="C301" s="932">
        <f t="shared" si="92"/>
        <v>44854.331249999996</v>
      </c>
      <c r="D301" s="932">
        <f t="shared" si="93"/>
        <v>44854.792361111111</v>
      </c>
      <c r="E301" s="932">
        <f t="shared" si="94"/>
        <v>44854.831944444442</v>
      </c>
      <c r="F301" s="932">
        <f t="shared" si="95"/>
        <v>44854.116666666669</v>
      </c>
      <c r="G301" s="932">
        <f t="shared" si="96"/>
        <v>44854.709027777782</v>
      </c>
      <c r="H301" s="2">
        <f t="shared" si="98"/>
        <v>27</v>
      </c>
      <c r="I301" s="2">
        <v>41.346673223544634</v>
      </c>
      <c r="J301" s="1317">
        <v>-10.602546119521257</v>
      </c>
      <c r="AP301" s="1855">
        <f t="shared" si="106"/>
        <v>44592</v>
      </c>
      <c r="AQ301" s="925" t="str">
        <f t="shared" si="107"/>
        <v>BMNT</v>
      </c>
      <c r="AR301" s="1856">
        <f t="shared" si="108"/>
        <v>44592.284722222219</v>
      </c>
      <c r="AS301" s="927" t="s">
        <v>1231</v>
      </c>
      <c r="AT301" s="1856" t="str">
        <f t="shared" si="100"/>
        <v/>
      </c>
      <c r="AU301" s="1856" t="str">
        <f t="shared" si="101"/>
        <v/>
      </c>
      <c r="AV301" s="1856" t="str">
        <f t="shared" si="102"/>
        <v/>
      </c>
      <c r="AW301" s="1856" t="str">
        <f t="shared" si="103"/>
        <v/>
      </c>
      <c r="AX301" s="1856" t="str">
        <f t="shared" si="104"/>
        <v/>
      </c>
      <c r="AY301" s="1856" t="str">
        <f t="shared" si="105"/>
        <v/>
      </c>
      <c r="BB301" s="1879">
        <v>20</v>
      </c>
      <c r="BC301" s="1880">
        <v>0.11597222222222221</v>
      </c>
      <c r="BD301" s="1880" t="s">
        <v>581</v>
      </c>
      <c r="BE301" s="1880">
        <v>0.70763888888888893</v>
      </c>
      <c r="BF301" s="1880" t="s">
        <v>914</v>
      </c>
      <c r="BG301" s="1879" t="s">
        <v>241</v>
      </c>
      <c r="BH301" s="1880">
        <v>0.4152777777777778</v>
      </c>
      <c r="BI301" s="1879" t="s">
        <v>1232</v>
      </c>
      <c r="BJ301" s="1881">
        <v>247391</v>
      </c>
      <c r="BK301" s="1882">
        <v>0.24</v>
      </c>
      <c r="BL301" s="1619">
        <f t="shared" si="89"/>
        <v>44854</v>
      </c>
      <c r="BM301" s="1856">
        <f t="shared" si="99"/>
        <v>0.4152777777777778</v>
      </c>
      <c r="BN301" s="934">
        <f t="shared" si="90"/>
        <v>68.400000000000006</v>
      </c>
    </row>
    <row r="302" spans="1:66" ht="14.5">
      <c r="A302" s="1">
        <f t="shared" si="97"/>
        <v>44855</v>
      </c>
      <c r="B302" s="932">
        <f t="shared" si="91"/>
        <v>44855.291666666664</v>
      </c>
      <c r="C302" s="932">
        <f t="shared" si="92"/>
        <v>44855.331944444442</v>
      </c>
      <c r="D302" s="932">
        <f t="shared" si="93"/>
        <v>44855.790972222225</v>
      </c>
      <c r="E302" s="932">
        <f t="shared" si="94"/>
        <v>44855.831249999996</v>
      </c>
      <c r="F302" s="932">
        <f t="shared" si="95"/>
        <v>44855.159722222219</v>
      </c>
      <c r="G302" s="932">
        <f t="shared" si="96"/>
        <v>44855.727083333339</v>
      </c>
      <c r="H302" s="2">
        <f t="shared" si="98"/>
        <v>19</v>
      </c>
      <c r="I302" s="2">
        <v>40.989499773724667</v>
      </c>
      <c r="J302" s="1317">
        <v>-10.957895218366136</v>
      </c>
      <c r="AP302" s="1855">
        <f t="shared" si="106"/>
        <v>44592</v>
      </c>
      <c r="AQ302" s="925" t="str">
        <f t="shared" si="107"/>
        <v>MR</v>
      </c>
      <c r="AR302" s="1856">
        <f t="shared" si="108"/>
        <v>44592.322916666664</v>
      </c>
      <c r="AS302" s="927" t="s">
        <v>1233</v>
      </c>
      <c r="AT302" s="1856" t="str">
        <f t="shared" si="100"/>
        <v/>
      </c>
      <c r="AU302" s="1856" t="str">
        <f t="shared" si="101"/>
        <v/>
      </c>
      <c r="AV302" s="1856" t="str">
        <f t="shared" si="102"/>
        <v/>
      </c>
      <c r="AW302" s="1856" t="str">
        <f t="shared" si="103"/>
        <v/>
      </c>
      <c r="AX302" s="1856" t="str">
        <f t="shared" si="104"/>
        <v/>
      </c>
      <c r="AY302" s="1856" t="str">
        <f t="shared" si="105"/>
        <v/>
      </c>
      <c r="BB302" s="1879">
        <v>21</v>
      </c>
      <c r="BC302" s="1880">
        <v>0.15902777777777777</v>
      </c>
      <c r="BD302" s="1880" t="s">
        <v>574</v>
      </c>
      <c r="BE302" s="1880">
        <v>0.72569444444444453</v>
      </c>
      <c r="BF302" s="1880" t="s">
        <v>842</v>
      </c>
      <c r="BG302" s="1879" t="s">
        <v>241</v>
      </c>
      <c r="BH302" s="1880">
        <v>0.4458333333333333</v>
      </c>
      <c r="BI302" s="1879" t="s">
        <v>1234</v>
      </c>
      <c r="BJ302" s="1881">
        <v>244774</v>
      </c>
      <c r="BK302" s="1882">
        <v>0.159</v>
      </c>
      <c r="BL302" s="1619">
        <f t="shared" si="89"/>
        <v>44855</v>
      </c>
      <c r="BM302" s="1856">
        <f t="shared" si="99"/>
        <v>0.4458333333333333</v>
      </c>
      <c r="BN302" s="934">
        <f t="shared" si="90"/>
        <v>63.2</v>
      </c>
    </row>
    <row r="303" spans="1:66" ht="14.5">
      <c r="A303" s="1">
        <f t="shared" si="97"/>
        <v>44856</v>
      </c>
      <c r="B303" s="932">
        <f t="shared" si="91"/>
        <v>44856.292361111111</v>
      </c>
      <c r="C303" s="932">
        <f t="shared" si="92"/>
        <v>44856.332638888889</v>
      </c>
      <c r="D303" s="932">
        <f t="shared" si="93"/>
        <v>44856.790277777778</v>
      </c>
      <c r="E303" s="932">
        <f t="shared" si="94"/>
        <v>44856.829861111109</v>
      </c>
      <c r="F303" s="932">
        <f t="shared" si="95"/>
        <v>44856.202777777777</v>
      </c>
      <c r="G303" s="932">
        <f t="shared" si="96"/>
        <v>44856.743750000001</v>
      </c>
      <c r="H303" s="2">
        <f t="shared" si="98"/>
        <v>12</v>
      </c>
      <c r="I303" s="2">
        <v>40.635263714906962</v>
      </c>
      <c r="J303" s="1317">
        <v>-11.310521170117658</v>
      </c>
      <c r="AP303" s="1855">
        <f t="shared" si="106"/>
        <v>44592</v>
      </c>
      <c r="AQ303" s="925" t="str">
        <f t="shared" si="107"/>
        <v>SR</v>
      </c>
      <c r="AR303" s="1856">
        <f t="shared" si="108"/>
        <v>44592.325694444444</v>
      </c>
      <c r="AS303" s="927" t="s">
        <v>1235</v>
      </c>
      <c r="AT303" s="1856" t="str">
        <f t="shared" si="100"/>
        <v/>
      </c>
      <c r="AU303" s="1856" t="str">
        <f t="shared" si="101"/>
        <v/>
      </c>
      <c r="AV303" s="1856" t="str">
        <f t="shared" si="102"/>
        <v/>
      </c>
      <c r="AW303" s="1856" t="str">
        <f t="shared" si="103"/>
        <v/>
      </c>
      <c r="AX303" s="1856" t="str">
        <f t="shared" si="104"/>
        <v/>
      </c>
      <c r="AY303" s="1856" t="str">
        <f t="shared" si="105"/>
        <v/>
      </c>
      <c r="BB303" s="1879">
        <v>22</v>
      </c>
      <c r="BC303" s="1880">
        <v>0.20277777777777781</v>
      </c>
      <c r="BD303" s="1880" t="s">
        <v>1236</v>
      </c>
      <c r="BE303" s="1880">
        <v>0.74305555555555547</v>
      </c>
      <c r="BF303" s="1880" t="s">
        <v>504</v>
      </c>
      <c r="BG303" s="1879" t="s">
        <v>241</v>
      </c>
      <c r="BH303" s="1880">
        <v>0.47638888888888892</v>
      </c>
      <c r="BI303" s="1879" t="s">
        <v>632</v>
      </c>
      <c r="BJ303" s="1881">
        <v>241802</v>
      </c>
      <c r="BK303" s="1882">
        <v>0.09</v>
      </c>
      <c r="BL303" s="1619">
        <f t="shared" si="89"/>
        <v>44856</v>
      </c>
      <c r="BM303" s="1856">
        <f t="shared" si="99"/>
        <v>0.47638888888888892</v>
      </c>
      <c r="BN303" s="934">
        <f t="shared" si="90"/>
        <v>57.4</v>
      </c>
    </row>
    <row r="304" spans="1:66" ht="14.5">
      <c r="A304" s="1">
        <f t="shared" si="97"/>
        <v>44857</v>
      </c>
      <c r="B304" s="932">
        <f t="shared" si="91"/>
        <v>44857.29305555555</v>
      </c>
      <c r="C304" s="932">
        <f t="shared" si="92"/>
        <v>44857.333333333336</v>
      </c>
      <c r="D304" s="932">
        <f t="shared" si="93"/>
        <v>44857.789583333331</v>
      </c>
      <c r="E304" s="932">
        <f t="shared" si="94"/>
        <v>44857.829166666663</v>
      </c>
      <c r="F304" s="932">
        <f t="shared" si="95"/>
        <v>44857.247222222228</v>
      </c>
      <c r="G304" s="932">
        <f t="shared" si="96"/>
        <v>44857.760416666664</v>
      </c>
      <c r="H304" s="2">
        <f t="shared" si="98"/>
        <v>6</v>
      </c>
      <c r="I304" s="2">
        <v>40.284080723929243</v>
      </c>
      <c r="J304" s="1317">
        <v>-11.660314424272872</v>
      </c>
      <c r="AP304" s="1855">
        <f t="shared" si="106"/>
        <v>44592</v>
      </c>
      <c r="AQ304" s="925" t="str">
        <f t="shared" si="107"/>
        <v>MS</v>
      </c>
      <c r="AR304" s="1856">
        <f t="shared" si="108"/>
        <v>44592.728472222225</v>
      </c>
      <c r="AS304" s="927" t="s">
        <v>831</v>
      </c>
      <c r="AT304" s="1856" t="str">
        <f t="shared" si="100"/>
        <v/>
      </c>
      <c r="AU304" s="1856" t="str">
        <f t="shared" si="101"/>
        <v/>
      </c>
      <c r="AV304" s="1856" t="str">
        <f t="shared" si="102"/>
        <v/>
      </c>
      <c r="AW304" s="1856" t="str">
        <f t="shared" si="103"/>
        <v/>
      </c>
      <c r="AX304" s="1856" t="str">
        <f t="shared" si="104"/>
        <v/>
      </c>
      <c r="AY304" s="1856" t="str">
        <f t="shared" si="105"/>
        <v/>
      </c>
      <c r="BB304" s="1879">
        <v>23</v>
      </c>
      <c r="BC304" s="1880">
        <v>0.24652777777777779</v>
      </c>
      <c r="BD304" s="1880" t="s">
        <v>510</v>
      </c>
      <c r="BE304" s="1880">
        <v>0.7597222222222223</v>
      </c>
      <c r="BF304" s="1880" t="s">
        <v>511</v>
      </c>
      <c r="BG304" s="1879" t="s">
        <v>241</v>
      </c>
      <c r="BH304" s="1880">
        <v>0.50694444444444442</v>
      </c>
      <c r="BI304" s="1879" t="s">
        <v>1237</v>
      </c>
      <c r="BJ304" s="1881">
        <v>238719</v>
      </c>
      <c r="BK304" s="1882">
        <v>3.7999999999999999E-2</v>
      </c>
      <c r="BL304" s="1619">
        <f t="shared" si="89"/>
        <v>44857</v>
      </c>
      <c r="BM304" s="1856">
        <f t="shared" si="99"/>
        <v>0.50694444444444442</v>
      </c>
      <c r="BN304" s="934">
        <f t="shared" si="90"/>
        <v>51.1</v>
      </c>
    </row>
    <row r="305" spans="1:66" ht="14.5">
      <c r="A305" s="1">
        <f t="shared" si="97"/>
        <v>44858</v>
      </c>
      <c r="B305" s="932">
        <f t="shared" si="91"/>
        <v>44858.293749999997</v>
      </c>
      <c r="C305" s="932">
        <f t="shared" si="92"/>
        <v>44858.334027777782</v>
      </c>
      <c r="D305" s="932">
        <f t="shared" si="93"/>
        <v>44858.788194444445</v>
      </c>
      <c r="E305" s="932">
        <f t="shared" si="94"/>
        <v>44858.828472222223</v>
      </c>
      <c r="F305" s="932">
        <f t="shared" si="95"/>
        <v>44858.292361111111</v>
      </c>
      <c r="G305" s="932">
        <f t="shared" si="96"/>
        <v>44858.77847222222</v>
      </c>
      <c r="H305" s="2">
        <f t="shared" si="98"/>
        <v>2</v>
      </c>
      <c r="I305" s="2">
        <v>39.936066350661676</v>
      </c>
      <c r="J305" s="1317">
        <v>-12.00716498007098</v>
      </c>
      <c r="AP305" s="1855">
        <f t="shared" si="106"/>
        <v>44592</v>
      </c>
      <c r="AQ305" s="925" t="str">
        <f t="shared" si="107"/>
        <v>SS</v>
      </c>
      <c r="AR305" s="1856">
        <f t="shared" si="108"/>
        <v>44592.753472222219</v>
      </c>
      <c r="AS305" s="927" t="s">
        <v>1238</v>
      </c>
      <c r="AT305" s="1856" t="str">
        <f t="shared" si="100"/>
        <v/>
      </c>
      <c r="AU305" s="1856" t="str">
        <f t="shared" si="101"/>
        <v/>
      </c>
      <c r="AV305" s="1856" t="str">
        <f t="shared" si="102"/>
        <v/>
      </c>
      <c r="AW305" s="1856" t="str">
        <f t="shared" si="103"/>
        <v/>
      </c>
      <c r="AX305" s="1856" t="str">
        <f t="shared" si="104"/>
        <v/>
      </c>
      <c r="AY305" s="1856" t="str">
        <f t="shared" si="105"/>
        <v/>
      </c>
      <c r="BB305" s="1879">
        <v>24</v>
      </c>
      <c r="BC305" s="1880">
        <v>0.29236111111111113</v>
      </c>
      <c r="BD305" s="1880" t="s">
        <v>519</v>
      </c>
      <c r="BE305" s="1880">
        <v>0.77708333333333324</v>
      </c>
      <c r="BF305" s="1880" t="s">
        <v>1126</v>
      </c>
      <c r="BG305" s="1879" t="s">
        <v>241</v>
      </c>
      <c r="BH305" s="1880">
        <v>0.53819444444444442</v>
      </c>
      <c r="BI305" s="1879" t="s">
        <v>1124</v>
      </c>
      <c r="BJ305" s="1881">
        <v>235775</v>
      </c>
      <c r="BK305" s="1882">
        <v>7.0000000000000001E-3</v>
      </c>
      <c r="BL305" s="1619">
        <f t="shared" si="89"/>
        <v>44858</v>
      </c>
      <c r="BM305" s="1856">
        <f t="shared" si="99"/>
        <v>0.53819444444444442</v>
      </c>
      <c r="BN305" s="934">
        <f t="shared" si="90"/>
        <v>44.7</v>
      </c>
    </row>
    <row r="306" spans="1:66" ht="14.5">
      <c r="A306" s="1">
        <f t="shared" si="97"/>
        <v>44859</v>
      </c>
      <c r="B306" s="932">
        <f t="shared" si="91"/>
        <v>44859.294444444444</v>
      </c>
      <c r="C306" s="932">
        <f t="shared" si="92"/>
        <v>44859.334722222222</v>
      </c>
      <c r="D306" s="932">
        <f t="shared" si="93"/>
        <v>44859.787499999999</v>
      </c>
      <c r="E306" s="932">
        <f t="shared" si="94"/>
        <v>44859.827777777777</v>
      </c>
      <c r="F306" s="932">
        <f t="shared" si="95"/>
        <v>44859.339583333334</v>
      </c>
      <c r="G306" s="932">
        <f t="shared" si="96"/>
        <v>44859.797916666663</v>
      </c>
      <c r="H306" s="2">
        <f t="shared" si="98"/>
        <v>0</v>
      </c>
      <c r="I306" s="2">
        <v>39.591335967659418</v>
      </c>
      <c r="J306" s="1317">
        <v>-12.350962411225826</v>
      </c>
      <c r="AP306" s="1855">
        <f t="shared" si="106"/>
        <v>44592</v>
      </c>
      <c r="AQ306" s="925" t="str">
        <f t="shared" si="107"/>
        <v>EENT</v>
      </c>
      <c r="AR306" s="1856">
        <f t="shared" si="108"/>
        <v>44592.794444444444</v>
      </c>
      <c r="AS306" s="927" t="s">
        <v>1239</v>
      </c>
      <c r="AT306" s="1856" t="str">
        <f t="shared" si="100"/>
        <v/>
      </c>
      <c r="AU306" s="1856" t="str">
        <f t="shared" si="101"/>
        <v/>
      </c>
      <c r="AV306" s="1856" t="str">
        <f t="shared" si="102"/>
        <v/>
      </c>
      <c r="AW306" s="1856" t="str">
        <f t="shared" si="103"/>
        <v/>
      </c>
      <c r="AX306" s="1856" t="str">
        <f t="shared" si="104"/>
        <v/>
      </c>
      <c r="AY306" s="1856" t="str">
        <f t="shared" si="105"/>
        <v/>
      </c>
      <c r="BB306" s="1879" t="s">
        <v>1240</v>
      </c>
      <c r="BC306" s="1880">
        <v>0.33958333333333335</v>
      </c>
      <c r="BD306" s="1880" t="s">
        <v>530</v>
      </c>
      <c r="BE306" s="1880">
        <v>0.79652777777777783</v>
      </c>
      <c r="BF306" s="1880" t="s">
        <v>531</v>
      </c>
      <c r="BG306" s="1879" t="s">
        <v>241</v>
      </c>
      <c r="BH306" s="1880">
        <v>0.57152777777777775</v>
      </c>
      <c r="BI306" s="1879" t="s">
        <v>1241</v>
      </c>
      <c r="BJ306" s="1881">
        <v>233193</v>
      </c>
      <c r="BK306" s="1882">
        <v>1E-3</v>
      </c>
      <c r="BL306" s="1619">
        <f t="shared" si="89"/>
        <v>44859</v>
      </c>
      <c r="BM306" s="1856">
        <f t="shared" si="99"/>
        <v>0.57152777777777775</v>
      </c>
      <c r="BN306" s="934">
        <f t="shared" si="90"/>
        <v>38.5</v>
      </c>
    </row>
    <row r="307" spans="1:66" ht="14.5">
      <c r="A307" s="1">
        <f t="shared" si="97"/>
        <v>44860</v>
      </c>
      <c r="B307" s="932">
        <f t="shared" si="91"/>
        <v>44860.295138888883</v>
      </c>
      <c r="C307" s="932">
        <f t="shared" si="92"/>
        <v>44860.335416666669</v>
      </c>
      <c r="D307" s="932">
        <f t="shared" si="93"/>
        <v>44860.786805555559</v>
      </c>
      <c r="E307" s="932">
        <f t="shared" si="94"/>
        <v>44860.82708333333</v>
      </c>
      <c r="F307" s="932">
        <f t="shared" si="95"/>
        <v>44860.388888888891</v>
      </c>
      <c r="G307" s="932">
        <f t="shared" si="96"/>
        <v>44860.820833333331</v>
      </c>
      <c r="H307" s="2">
        <f t="shared" si="98"/>
        <v>1</v>
      </c>
      <c r="I307" s="2">
        <v>39.250004718628269</v>
      </c>
      <c r="J307" s="1317">
        <v>-12.691595893385188</v>
      </c>
      <c r="AP307" s="1855">
        <f t="shared" si="106"/>
        <v>44593</v>
      </c>
      <c r="AQ307" s="925" t="str">
        <f t="shared" si="107"/>
        <v/>
      </c>
      <c r="AR307" s="1856" t="str">
        <f t="shared" si="108"/>
        <v/>
      </c>
      <c r="AS307" s="927">
        <v>1</v>
      </c>
      <c r="AT307" s="1856">
        <f t="shared" si="100"/>
        <v>44593.28402777778</v>
      </c>
      <c r="AU307" s="1856">
        <f t="shared" si="101"/>
        <v>44593.324999999997</v>
      </c>
      <c r="AV307" s="1856">
        <f t="shared" si="102"/>
        <v>44593.754166666666</v>
      </c>
      <c r="AW307" s="1856">
        <f t="shared" si="103"/>
        <v>44593.795138888883</v>
      </c>
      <c r="AX307" s="1856">
        <f t="shared" si="104"/>
        <v>44593.354166666672</v>
      </c>
      <c r="AY307" s="1856">
        <f t="shared" si="105"/>
        <v>44593.780555555553</v>
      </c>
      <c r="AZ307" s="1853">
        <v>0</v>
      </c>
      <c r="BB307" s="1879">
        <v>26</v>
      </c>
      <c r="BC307" s="1880">
        <v>0.3888888888888889</v>
      </c>
      <c r="BD307" s="1880" t="s">
        <v>513</v>
      </c>
      <c r="BE307" s="1880">
        <v>0.81944444444444453</v>
      </c>
      <c r="BF307" s="1880" t="s">
        <v>541</v>
      </c>
      <c r="BG307" s="1879" t="s">
        <v>241</v>
      </c>
      <c r="BH307" s="1880">
        <v>0.6069444444444444</v>
      </c>
      <c r="BI307" s="1879" t="s">
        <v>1242</v>
      </c>
      <c r="BJ307" s="1881">
        <v>231147</v>
      </c>
      <c r="BK307" s="1882">
        <v>2.1999999999999999E-2</v>
      </c>
      <c r="BL307" s="1619">
        <f t="shared" si="89"/>
        <v>44860</v>
      </c>
      <c r="BM307" s="1856">
        <f t="shared" si="99"/>
        <v>0.6069444444444444</v>
      </c>
      <c r="BN307" s="934">
        <f t="shared" si="90"/>
        <v>32.799999999999997</v>
      </c>
    </row>
    <row r="308" spans="1:66" ht="14.5">
      <c r="A308" s="1">
        <f t="shared" si="97"/>
        <v>44861</v>
      </c>
      <c r="B308" s="932">
        <f t="shared" si="91"/>
        <v>44861.29583333333</v>
      </c>
      <c r="C308" s="932">
        <f t="shared" si="92"/>
        <v>44861.336111111115</v>
      </c>
      <c r="D308" s="932">
        <f t="shared" si="93"/>
        <v>44861.786111111112</v>
      </c>
      <c r="E308" s="932">
        <f t="shared" si="94"/>
        <v>44861.825694444444</v>
      </c>
      <c r="F308" s="932">
        <f t="shared" si="95"/>
        <v>44861.440277777772</v>
      </c>
      <c r="G308" s="932">
        <f t="shared" si="96"/>
        <v>44861.847916666666</v>
      </c>
      <c r="H308" s="2">
        <f t="shared" si="98"/>
        <v>4</v>
      </c>
      <c r="I308" s="2">
        <v>38.91218746574939</v>
      </c>
      <c r="J308" s="1317">
        <v>-13.028954234413963</v>
      </c>
      <c r="AP308" s="1855">
        <f t="shared" si="106"/>
        <v>44593</v>
      </c>
      <c r="AQ308" s="925" t="str">
        <f t="shared" si="107"/>
        <v/>
      </c>
      <c r="AR308" s="1856" t="str">
        <f t="shared" si="108"/>
        <v/>
      </c>
      <c r="AS308" s="927" t="s">
        <v>252</v>
      </c>
      <c r="AT308" s="1856" t="str">
        <f t="shared" si="100"/>
        <v/>
      </c>
      <c r="AU308" s="1856" t="str">
        <f t="shared" si="101"/>
        <v/>
      </c>
      <c r="AV308" s="1856" t="str">
        <f t="shared" si="102"/>
        <v/>
      </c>
      <c r="AW308" s="1856" t="str">
        <f t="shared" si="103"/>
        <v/>
      </c>
      <c r="AX308" s="1856" t="str">
        <f t="shared" si="104"/>
        <v/>
      </c>
      <c r="AY308" s="1856" t="str">
        <f t="shared" si="105"/>
        <v/>
      </c>
      <c r="BB308" s="1879">
        <v>27</v>
      </c>
      <c r="BC308" s="1880">
        <v>0.44027777777777777</v>
      </c>
      <c r="BD308" s="1880" t="s">
        <v>552</v>
      </c>
      <c r="BE308" s="1880">
        <v>0.84722222222222221</v>
      </c>
      <c r="BF308" s="1880" t="s">
        <v>735</v>
      </c>
      <c r="BG308" s="1879" t="s">
        <v>241</v>
      </c>
      <c r="BH308" s="1880">
        <v>0.64583333333333337</v>
      </c>
      <c r="BI308" s="1879" t="s">
        <v>938</v>
      </c>
      <c r="BJ308" s="1881">
        <v>229740</v>
      </c>
      <c r="BK308" s="1882">
        <v>7.0999999999999994E-2</v>
      </c>
      <c r="BL308" s="1619">
        <f t="shared" si="89"/>
        <v>44861</v>
      </c>
      <c r="BM308" s="1856">
        <f t="shared" si="99"/>
        <v>0.64583333333333337</v>
      </c>
      <c r="BN308" s="934">
        <f t="shared" si="90"/>
        <v>28.2</v>
      </c>
    </row>
    <row r="309" spans="1:66" ht="14.5">
      <c r="A309" s="1">
        <f t="shared" si="97"/>
        <v>44862</v>
      </c>
      <c r="B309" s="932">
        <f t="shared" si="91"/>
        <v>44862.296527777777</v>
      </c>
      <c r="C309" s="932">
        <f t="shared" si="92"/>
        <v>44862.336805555555</v>
      </c>
      <c r="D309" s="932">
        <f t="shared" si="93"/>
        <v>44862.785416666666</v>
      </c>
      <c r="E309" s="932">
        <f t="shared" si="94"/>
        <v>44862.824999999997</v>
      </c>
      <c r="F309" s="932">
        <f t="shared" si="95"/>
        <v>44862.491666666669</v>
      </c>
      <c r="G309" s="932">
        <f t="shared" si="96"/>
        <v>44862.881944444445</v>
      </c>
      <c r="H309" s="2">
        <f t="shared" si="98"/>
        <v>10</v>
      </c>
      <c r="I309" s="2">
        <v>38.57799873592424</v>
      </c>
      <c r="J309" s="1317">
        <v>-13.362925907580635</v>
      </c>
      <c r="AP309" s="1855">
        <f t="shared" si="106"/>
        <v>44593</v>
      </c>
      <c r="AQ309" s="925" t="str">
        <f t="shared" si="107"/>
        <v/>
      </c>
      <c r="AR309" s="1856" t="str">
        <f t="shared" si="108"/>
        <v/>
      </c>
      <c r="AT309" s="1856" t="str">
        <f t="shared" si="100"/>
        <v/>
      </c>
      <c r="AU309" s="1856" t="str">
        <f t="shared" si="101"/>
        <v/>
      </c>
      <c r="AV309" s="1856" t="str">
        <f t="shared" si="102"/>
        <v/>
      </c>
      <c r="AW309" s="1856" t="str">
        <f t="shared" si="103"/>
        <v/>
      </c>
      <c r="AX309" s="1856" t="str">
        <f t="shared" si="104"/>
        <v/>
      </c>
      <c r="AY309" s="1856" t="str">
        <f t="shared" si="105"/>
        <v/>
      </c>
      <c r="BB309" s="1879">
        <v>28</v>
      </c>
      <c r="BC309" s="1880">
        <v>0.4909722222222222</v>
      </c>
      <c r="BD309" s="1880" t="s">
        <v>571</v>
      </c>
      <c r="BE309" s="1880">
        <v>0.88124999999999998</v>
      </c>
      <c r="BF309" s="1879" t="s">
        <v>936</v>
      </c>
      <c r="BG309" s="1880" t="s">
        <v>241</v>
      </c>
      <c r="BH309" s="1880">
        <v>0.6875</v>
      </c>
      <c r="BI309" s="1881" t="s">
        <v>799</v>
      </c>
      <c r="BJ309" s="1882">
        <v>228995</v>
      </c>
      <c r="BK309" s="1882">
        <v>0.14499999999999999</v>
      </c>
      <c r="BL309" s="1619">
        <f t="shared" si="89"/>
        <v>44862</v>
      </c>
      <c r="BM309" s="1856">
        <f t="shared" si="99"/>
        <v>0.6875</v>
      </c>
      <c r="BN309" s="934">
        <f t="shared" si="90"/>
        <v>25</v>
      </c>
    </row>
    <row r="310" spans="1:66" ht="14.5">
      <c r="A310" s="1">
        <f t="shared" si="97"/>
        <v>44863</v>
      </c>
      <c r="B310" s="932">
        <f t="shared" si="91"/>
        <v>44863.297222222223</v>
      </c>
      <c r="C310" s="932">
        <f t="shared" si="92"/>
        <v>44863.337500000001</v>
      </c>
      <c r="D310" s="932">
        <f t="shared" si="93"/>
        <v>44863.78402777778</v>
      </c>
      <c r="E310" s="932">
        <f t="shared" si="94"/>
        <v>44863.82430555555</v>
      </c>
      <c r="F310" s="932">
        <f t="shared" si="95"/>
        <v>44863.539583333331</v>
      </c>
      <c r="G310" s="932">
        <f t="shared" si="96"/>
        <v>44863.922222222223</v>
      </c>
      <c r="H310" s="2">
        <f t="shared" si="98"/>
        <v>18</v>
      </c>
      <c r="I310" s="2">
        <v>38.247552665989268</v>
      </c>
      <c r="J310" s="1317">
        <v>-13.693399087735198</v>
      </c>
      <c r="AP310" s="1855">
        <f t="shared" si="106"/>
        <v>44593</v>
      </c>
      <c r="AQ310" s="925" t="str">
        <f t="shared" si="107"/>
        <v>BMNT</v>
      </c>
      <c r="AR310" s="1856">
        <f t="shared" si="108"/>
        <v>44593.28402777778</v>
      </c>
      <c r="AS310" s="927" t="s">
        <v>1243</v>
      </c>
      <c r="AT310" s="1856" t="str">
        <f t="shared" si="100"/>
        <v/>
      </c>
      <c r="AU310" s="1856" t="str">
        <f t="shared" si="101"/>
        <v/>
      </c>
      <c r="AV310" s="1856" t="str">
        <f t="shared" si="102"/>
        <v/>
      </c>
      <c r="AW310" s="1856" t="str">
        <f t="shared" si="103"/>
        <v/>
      </c>
      <c r="AX310" s="1856" t="str">
        <f t="shared" si="104"/>
        <v/>
      </c>
      <c r="AY310" s="1856" t="str">
        <f t="shared" si="105"/>
        <v/>
      </c>
      <c r="BB310" s="1879">
        <v>29</v>
      </c>
      <c r="BC310" s="1880">
        <v>0.5395833333333333</v>
      </c>
      <c r="BD310" s="1879" t="s">
        <v>1204</v>
      </c>
      <c r="BE310" s="1880">
        <v>0.92222222222222217</v>
      </c>
      <c r="BF310" s="1879" t="s">
        <v>1207</v>
      </c>
      <c r="BG310" s="1879" t="s">
        <v>241</v>
      </c>
      <c r="BH310" s="1880">
        <v>0.73125000000000007</v>
      </c>
      <c r="BI310" s="1879" t="s">
        <v>1244</v>
      </c>
      <c r="BJ310" s="1881">
        <v>228866</v>
      </c>
      <c r="BK310" s="1882">
        <v>0.24</v>
      </c>
      <c r="BL310" s="1619">
        <f t="shared" si="89"/>
        <v>44863</v>
      </c>
      <c r="BM310" s="1856">
        <f t="shared" si="99"/>
        <v>0.73125000000000007</v>
      </c>
      <c r="BN310" s="934">
        <f t="shared" si="90"/>
        <v>23.8</v>
      </c>
    </row>
    <row r="311" spans="1:66" ht="14.5">
      <c r="A311" s="1">
        <f t="shared" si="97"/>
        <v>44864</v>
      </c>
      <c r="B311" s="932">
        <f t="shared" si="91"/>
        <v>44864.297916666663</v>
      </c>
      <c r="C311" s="932">
        <f t="shared" si="92"/>
        <v>44864.338194444448</v>
      </c>
      <c r="D311" s="932">
        <f t="shared" si="93"/>
        <v>44864.783333333333</v>
      </c>
      <c r="E311" s="932">
        <f t="shared" si="94"/>
        <v>44864.823611111111</v>
      </c>
      <c r="F311" s="932">
        <f t="shared" si="95"/>
        <v>44864.582638888889</v>
      </c>
      <c r="G311" s="932">
        <f t="shared" si="96"/>
        <v>44864.969444444447</v>
      </c>
      <c r="H311" s="2">
        <f t="shared" si="98"/>
        <v>27</v>
      </c>
      <c r="I311" s="2">
        <v>37.920962946964977</v>
      </c>
      <c r="J311" s="1317">
        <v>-14.020261690546484</v>
      </c>
      <c r="AP311" s="1855">
        <f t="shared" si="106"/>
        <v>44593</v>
      </c>
      <c r="AQ311" s="925" t="str">
        <f t="shared" si="107"/>
        <v>SR</v>
      </c>
      <c r="AR311" s="1856">
        <f t="shared" si="108"/>
        <v>44593.324999999997</v>
      </c>
      <c r="AS311" s="927" t="s">
        <v>1245</v>
      </c>
      <c r="AT311" s="1856" t="str">
        <f t="shared" si="100"/>
        <v/>
      </c>
      <c r="AU311" s="1856" t="str">
        <f t="shared" si="101"/>
        <v/>
      </c>
      <c r="AV311" s="1856" t="str">
        <f t="shared" si="102"/>
        <v/>
      </c>
      <c r="AW311" s="1856" t="str">
        <f t="shared" si="103"/>
        <v/>
      </c>
      <c r="AX311" s="1856" t="str">
        <f t="shared" si="104"/>
        <v/>
      </c>
      <c r="AY311" s="1856" t="str">
        <f t="shared" si="105"/>
        <v/>
      </c>
      <c r="BB311" s="1879">
        <v>30</v>
      </c>
      <c r="BC311" s="1880">
        <v>0.58263888888888882</v>
      </c>
      <c r="BD311" s="1879" t="s">
        <v>882</v>
      </c>
      <c r="BE311" s="1880">
        <v>0.96875</v>
      </c>
      <c r="BF311" s="1879" t="s">
        <v>563</v>
      </c>
      <c r="BG311" s="1879" t="s">
        <v>241</v>
      </c>
      <c r="BH311" s="1880">
        <v>0.77430555555555547</v>
      </c>
      <c r="BI311" s="1879" t="s">
        <v>937</v>
      </c>
      <c r="BJ311" s="1881">
        <v>229256</v>
      </c>
      <c r="BK311" s="1882">
        <v>0.35</v>
      </c>
      <c r="BL311" s="1619">
        <f t="shared" si="89"/>
        <v>44864</v>
      </c>
      <c r="BM311" s="1856">
        <f t="shared" si="99"/>
        <v>0.77430555555555547</v>
      </c>
      <c r="BN311" s="934">
        <f t="shared" si="90"/>
        <v>24.5</v>
      </c>
    </row>
    <row r="312" spans="1:66" ht="14.5">
      <c r="A312" s="1">
        <f t="shared" si="97"/>
        <v>44865</v>
      </c>
      <c r="B312" s="932">
        <f t="shared" si="91"/>
        <v>44865.298611111109</v>
      </c>
      <c r="C312" s="932">
        <f t="shared" si="92"/>
        <v>44865.338888888895</v>
      </c>
      <c r="D312" s="932">
        <f t="shared" si="93"/>
        <v>44865.782638888886</v>
      </c>
      <c r="E312" s="932">
        <f t="shared" si="94"/>
        <v>44865.822916666664</v>
      </c>
      <c r="F312" s="932">
        <f t="shared" si="95"/>
        <v>44865.618055555555</v>
      </c>
      <c r="G312" s="932" t="str">
        <f t="shared" si="96"/>
        <v>NONE</v>
      </c>
      <c r="H312" s="2">
        <f t="shared" si="98"/>
        <v>38</v>
      </c>
      <c r="I312" s="2">
        <v>37.598342767382974</v>
      </c>
      <c r="J312" s="1317">
        <v>-14.34340141488263</v>
      </c>
      <c r="AP312" s="1855">
        <f t="shared" si="106"/>
        <v>44593</v>
      </c>
      <c r="AQ312" s="925" t="str">
        <f t="shared" si="107"/>
        <v>MR</v>
      </c>
      <c r="AR312" s="1856">
        <f t="shared" si="108"/>
        <v>44593.354166666672</v>
      </c>
      <c r="AS312" s="927" t="s">
        <v>1246</v>
      </c>
      <c r="AT312" s="1856" t="str">
        <f t="shared" si="100"/>
        <v/>
      </c>
      <c r="AU312" s="1856" t="str">
        <f t="shared" si="101"/>
        <v/>
      </c>
      <c r="AV312" s="1856" t="str">
        <f t="shared" si="102"/>
        <v/>
      </c>
      <c r="AW312" s="1856" t="str">
        <f t="shared" si="103"/>
        <v/>
      </c>
      <c r="AX312" s="1856" t="str">
        <f t="shared" si="104"/>
        <v/>
      </c>
      <c r="AY312" s="1856" t="str">
        <f t="shared" si="105"/>
        <v/>
      </c>
      <c r="BB312" s="1879">
        <v>31</v>
      </c>
      <c r="BC312" s="1880">
        <v>0.61805555555555558</v>
      </c>
      <c r="BD312" s="1879" t="s">
        <v>713</v>
      </c>
      <c r="BE312" s="1880" t="s">
        <v>241</v>
      </c>
      <c r="BF312" s="1879" t="s">
        <v>241</v>
      </c>
      <c r="BG312" s="1880">
        <v>0.81666666666666676</v>
      </c>
      <c r="BH312" s="1880" t="s">
        <v>1247</v>
      </c>
      <c r="BI312" s="1881">
        <v>230054</v>
      </c>
      <c r="BJ312" s="1881">
        <v>0.46800000000000003</v>
      </c>
      <c r="BK312" s="1882"/>
      <c r="BL312" s="1619">
        <f t="shared" si="89"/>
        <v>44865</v>
      </c>
      <c r="BM312" s="1856">
        <f t="shared" si="99"/>
        <v>0.81666666666666676</v>
      </c>
      <c r="BN312" s="934">
        <f t="shared" si="90"/>
        <v>27.1</v>
      </c>
    </row>
    <row r="313" spans="1:66" ht="14.5">
      <c r="A313" s="1">
        <f t="shared" si="97"/>
        <v>44866</v>
      </c>
      <c r="B313" s="932">
        <f t="shared" si="91"/>
        <v>44866.299305555556</v>
      </c>
      <c r="C313" s="932">
        <f t="shared" si="92"/>
        <v>44866.339583333334</v>
      </c>
      <c r="D313" s="932">
        <f t="shared" si="93"/>
        <v>44866.781944444447</v>
      </c>
      <c r="E313" s="932">
        <f t="shared" si="94"/>
        <v>44866.822222222218</v>
      </c>
      <c r="F313" s="932">
        <f t="shared" si="95"/>
        <v>44866.647222222222</v>
      </c>
      <c r="G313" s="932">
        <f t="shared" si="96"/>
        <v>44866.019444444442</v>
      </c>
      <c r="H313" s="2">
        <f t="shared" si="98"/>
        <v>50</v>
      </c>
      <c r="I313" s="2">
        <v>37.279804755754427</v>
      </c>
      <c r="J313" s="1317">
        <v>-14.662705788391305</v>
      </c>
      <c r="AP313" s="1855">
        <f t="shared" si="106"/>
        <v>44593</v>
      </c>
      <c r="AQ313" s="925" t="str">
        <f t="shared" si="107"/>
        <v>SS</v>
      </c>
      <c r="AR313" s="1856">
        <f t="shared" si="108"/>
        <v>44593.754166666666</v>
      </c>
      <c r="AS313" s="927" t="s">
        <v>1248</v>
      </c>
      <c r="AT313" s="1856" t="str">
        <f t="shared" si="100"/>
        <v/>
      </c>
      <c r="AU313" s="1856" t="str">
        <f t="shared" si="101"/>
        <v/>
      </c>
      <c r="AV313" s="1856" t="str">
        <f t="shared" si="102"/>
        <v/>
      </c>
      <c r="AW313" s="1856" t="str">
        <f t="shared" si="103"/>
        <v/>
      </c>
      <c r="AX313" s="1856" t="str">
        <f t="shared" si="104"/>
        <v/>
      </c>
      <c r="AY313" s="1856" t="str">
        <f t="shared" si="105"/>
        <v/>
      </c>
      <c r="BB313" s="1879">
        <v>1</v>
      </c>
      <c r="BC313" s="1880" t="s">
        <v>241</v>
      </c>
      <c r="BD313" s="1880">
        <v>1.8749999999999999E-2</v>
      </c>
      <c r="BE313" s="1880" t="s">
        <v>553</v>
      </c>
      <c r="BF313" s="1880">
        <v>0.64722222222222225</v>
      </c>
      <c r="BG313" s="1879" t="s">
        <v>706</v>
      </c>
      <c r="BH313" s="1880">
        <v>0.85555555555555562</v>
      </c>
      <c r="BI313" s="1879" t="s">
        <v>1249</v>
      </c>
      <c r="BJ313" s="1881">
        <v>231160</v>
      </c>
      <c r="BK313" s="1882">
        <v>0.58599999999999997</v>
      </c>
      <c r="BL313" s="1619">
        <f t="shared" si="89"/>
        <v>44866</v>
      </c>
      <c r="BM313" s="1856">
        <f t="shared" si="99"/>
        <v>0.85555555555555562</v>
      </c>
      <c r="BN313" s="934">
        <f t="shared" si="90"/>
        <v>31.3</v>
      </c>
    </row>
    <row r="314" spans="1:66" ht="14.5">
      <c r="A314" s="1">
        <f t="shared" si="97"/>
        <v>44867</v>
      </c>
      <c r="B314" s="932">
        <f t="shared" si="91"/>
        <v>44867.299999999996</v>
      </c>
      <c r="C314" s="932">
        <f t="shared" si="92"/>
        <v>44867.340277777781</v>
      </c>
      <c r="D314" s="932">
        <f t="shared" si="93"/>
        <v>44867.78125</v>
      </c>
      <c r="E314" s="932">
        <f t="shared" si="94"/>
        <v>44867.821527777778</v>
      </c>
      <c r="F314" s="932">
        <f t="shared" si="95"/>
        <v>44867.671527777777</v>
      </c>
      <c r="G314" s="932">
        <f t="shared" si="96"/>
        <v>44867.070138888885</v>
      </c>
      <c r="H314" s="2">
        <f t="shared" si="98"/>
        <v>61</v>
      </c>
      <c r="I314" s="2">
        <v>36.965460922221489</v>
      </c>
      <c r="J314" s="1317">
        <v>-14.97806221635094</v>
      </c>
      <c r="AP314" s="1855">
        <f t="shared" si="106"/>
        <v>44593</v>
      </c>
      <c r="AQ314" s="925" t="str">
        <f t="shared" si="107"/>
        <v>MS</v>
      </c>
      <c r="AR314" s="1856">
        <f t="shared" si="108"/>
        <v>44593.780555555553</v>
      </c>
      <c r="AS314" s="927" t="s">
        <v>1250</v>
      </c>
      <c r="AT314" s="1856" t="str">
        <f t="shared" si="100"/>
        <v/>
      </c>
      <c r="AU314" s="1856" t="str">
        <f t="shared" si="101"/>
        <v/>
      </c>
      <c r="AV314" s="1856" t="str">
        <f t="shared" si="102"/>
        <v/>
      </c>
      <c r="AW314" s="1856" t="str">
        <f t="shared" si="103"/>
        <v/>
      </c>
      <c r="AX314" s="1856" t="str">
        <f t="shared" si="104"/>
        <v/>
      </c>
      <c r="AY314" s="1856" t="str">
        <f t="shared" si="105"/>
        <v/>
      </c>
      <c r="BB314" s="1879">
        <v>2</v>
      </c>
      <c r="BC314" s="1880" t="s">
        <v>241</v>
      </c>
      <c r="BD314" s="1880">
        <v>7.013888888888889E-2</v>
      </c>
      <c r="BE314" s="1880" t="s">
        <v>705</v>
      </c>
      <c r="BF314" s="1880">
        <v>0.67083333333333339</v>
      </c>
      <c r="BG314" s="1879" t="s">
        <v>778</v>
      </c>
      <c r="BH314" s="1880">
        <v>0.89236111111111116</v>
      </c>
      <c r="BI314" s="1879" t="s">
        <v>1251</v>
      </c>
      <c r="BJ314" s="1881">
        <v>232509</v>
      </c>
      <c r="BK314" s="1882">
        <v>0.69799999999999995</v>
      </c>
      <c r="BL314" s="1619">
        <f t="shared" si="89"/>
        <v>44867</v>
      </c>
      <c r="BM314" s="1856">
        <f t="shared" si="99"/>
        <v>0.89236111111111116</v>
      </c>
      <c r="BN314" s="934">
        <f t="shared" si="90"/>
        <v>36.6</v>
      </c>
    </row>
    <row r="315" spans="1:66" ht="14.5">
      <c r="A315" s="1">
        <f t="shared" si="97"/>
        <v>44868</v>
      </c>
      <c r="B315" s="932">
        <f t="shared" si="91"/>
        <v>44868.300694444442</v>
      </c>
      <c r="C315" s="932">
        <f t="shared" si="92"/>
        <v>44868.340972222228</v>
      </c>
      <c r="D315" s="932">
        <f t="shared" si="93"/>
        <v>44868.780555555553</v>
      </c>
      <c r="E315" s="932">
        <f t="shared" si="94"/>
        <v>44868.820833333331</v>
      </c>
      <c r="F315" s="932">
        <f t="shared" si="95"/>
        <v>44868.691666666666</v>
      </c>
      <c r="G315" s="932">
        <f t="shared" si="96"/>
        <v>44868.119444444448</v>
      </c>
      <c r="H315" s="2">
        <f t="shared" si="98"/>
        <v>71</v>
      </c>
      <c r="I315" s="2">
        <v>36.65542259945515</v>
      </c>
      <c r="J315" s="1317">
        <v>-15.28935803383267</v>
      </c>
      <c r="AP315" s="1855">
        <f t="shared" si="106"/>
        <v>44593</v>
      </c>
      <c r="AQ315" s="925" t="str">
        <f t="shared" si="107"/>
        <v>EENT</v>
      </c>
      <c r="AR315" s="1856">
        <f t="shared" si="108"/>
        <v>44593.795138888883</v>
      </c>
      <c r="AS315" s="927" t="s">
        <v>1252</v>
      </c>
      <c r="AT315" s="1856" t="str">
        <f t="shared" si="100"/>
        <v/>
      </c>
      <c r="AU315" s="1856" t="str">
        <f t="shared" si="101"/>
        <v/>
      </c>
      <c r="AV315" s="1856" t="str">
        <f t="shared" si="102"/>
        <v/>
      </c>
      <c r="AW315" s="1856" t="str">
        <f t="shared" si="103"/>
        <v/>
      </c>
      <c r="AX315" s="1856" t="str">
        <f t="shared" si="104"/>
        <v/>
      </c>
      <c r="AY315" s="1856" t="str">
        <f t="shared" si="105"/>
        <v/>
      </c>
      <c r="BB315" s="1879">
        <v>3</v>
      </c>
      <c r="BC315" s="1880" t="s">
        <v>241</v>
      </c>
      <c r="BD315" s="1880">
        <v>0.11944444444444445</v>
      </c>
      <c r="BE315" s="1880" t="s">
        <v>696</v>
      </c>
      <c r="BF315" s="1880">
        <v>0.69097222222222221</v>
      </c>
      <c r="BG315" s="1879" t="s">
        <v>688</v>
      </c>
      <c r="BH315" s="1880">
        <v>0.92569444444444438</v>
      </c>
      <c r="BI315" s="1879" t="s">
        <v>1253</v>
      </c>
      <c r="BJ315" s="1881">
        <v>234068</v>
      </c>
      <c r="BK315" s="1882">
        <v>0.79700000000000004</v>
      </c>
      <c r="BL315" s="1619">
        <f t="shared" si="89"/>
        <v>44868</v>
      </c>
      <c r="BM315" s="1856">
        <f t="shared" si="99"/>
        <v>0.92569444444444438</v>
      </c>
      <c r="BN315" s="934">
        <f t="shared" si="90"/>
        <v>42.7</v>
      </c>
    </row>
    <row r="316" spans="1:66" ht="14.5">
      <c r="A316" s="1">
        <f t="shared" si="97"/>
        <v>44869</v>
      </c>
      <c r="B316" s="932">
        <f t="shared" si="91"/>
        <v>44869.301388888889</v>
      </c>
      <c r="C316" s="932">
        <f t="shared" si="92"/>
        <v>44869.341666666667</v>
      </c>
      <c r="D316" s="932">
        <f t="shared" si="93"/>
        <v>44869.779861111114</v>
      </c>
      <c r="E316" s="932">
        <f t="shared" si="94"/>
        <v>44869.820138888885</v>
      </c>
      <c r="F316" s="932">
        <f t="shared" si="95"/>
        <v>44869.709722222222</v>
      </c>
      <c r="G316" s="932">
        <f t="shared" si="96"/>
        <v>44869.167361111111</v>
      </c>
      <c r="H316" s="2">
        <f t="shared" si="98"/>
        <v>81</v>
      </c>
      <c r="I316" s="2">
        <v>36.34980038283036</v>
      </c>
      <c r="J316" s="1317">
        <v>-15.596480561235603</v>
      </c>
      <c r="AP316" s="1855">
        <f t="shared" si="106"/>
        <v>44594</v>
      </c>
      <c r="AQ316" s="925" t="str">
        <f t="shared" si="107"/>
        <v/>
      </c>
      <c r="AR316" s="1856" t="str">
        <f t="shared" si="108"/>
        <v/>
      </c>
      <c r="AS316" s="927">
        <v>2</v>
      </c>
      <c r="AT316" s="1856">
        <f t="shared" si="100"/>
        <v>44594.283333333333</v>
      </c>
      <c r="AU316" s="1856">
        <f t="shared" si="101"/>
        <v>44594.324999999997</v>
      </c>
      <c r="AV316" s="1856">
        <f t="shared" si="102"/>
        <v>44594.754861111112</v>
      </c>
      <c r="AW316" s="1856">
        <f t="shared" si="103"/>
        <v>44594.79583333333</v>
      </c>
      <c r="AX316" s="1856">
        <f t="shared" si="104"/>
        <v>44594.379861111112</v>
      </c>
      <c r="AY316" s="1856">
        <f t="shared" si="105"/>
        <v>44594.831249999996</v>
      </c>
      <c r="AZ316" s="1853">
        <v>0.02</v>
      </c>
      <c r="BB316" s="1879">
        <v>4</v>
      </c>
      <c r="BC316" s="1880" t="s">
        <v>241</v>
      </c>
      <c r="BD316" s="1880">
        <v>0.1673611111111111</v>
      </c>
      <c r="BE316" s="1880" t="s">
        <v>687</v>
      </c>
      <c r="BF316" s="1880">
        <v>0.7090277777777777</v>
      </c>
      <c r="BG316" s="1879" t="s">
        <v>680</v>
      </c>
      <c r="BH316" s="1880">
        <v>0.95833333333333337</v>
      </c>
      <c r="BI316" s="1879" t="s">
        <v>1254</v>
      </c>
      <c r="BJ316" s="1881">
        <v>235829</v>
      </c>
      <c r="BK316" s="1882">
        <v>0.88</v>
      </c>
      <c r="BL316" s="1619">
        <f t="shared" si="89"/>
        <v>44869</v>
      </c>
      <c r="BM316" s="1856">
        <f t="shared" si="99"/>
        <v>0.95833333333333337</v>
      </c>
      <c r="BN316" s="934">
        <f t="shared" si="90"/>
        <v>49.2</v>
      </c>
    </row>
    <row r="317" spans="1:66" ht="14.5">
      <c r="A317" s="1">
        <f t="shared" si="97"/>
        <v>44870</v>
      </c>
      <c r="B317" s="932">
        <f t="shared" si="91"/>
        <v>44870.302083333328</v>
      </c>
      <c r="C317" s="932">
        <f t="shared" si="92"/>
        <v>44870.342361111114</v>
      </c>
      <c r="D317" s="932">
        <f t="shared" si="93"/>
        <v>44870.779166666667</v>
      </c>
      <c r="E317" s="932">
        <f t="shared" si="94"/>
        <v>44870.819444444445</v>
      </c>
      <c r="F317" s="932">
        <f t="shared" si="95"/>
        <v>44870.727083333339</v>
      </c>
      <c r="G317" s="932">
        <f t="shared" si="96"/>
        <v>44870.213888888895</v>
      </c>
      <c r="H317" s="2">
        <f t="shared" si="98"/>
        <v>89</v>
      </c>
      <c r="I317" s="2">
        <v>36.048704069936612</v>
      </c>
      <c r="J317" s="1317">
        <v>-15.89931716321937</v>
      </c>
      <c r="AP317" s="1855">
        <f t="shared" si="106"/>
        <v>44594</v>
      </c>
      <c r="AQ317" s="925" t="str">
        <f t="shared" si="107"/>
        <v/>
      </c>
      <c r="AR317" s="1856" t="str">
        <f t="shared" si="108"/>
        <v/>
      </c>
      <c r="AS317" s="927" t="s">
        <v>252</v>
      </c>
      <c r="AT317" s="1856" t="str">
        <f t="shared" si="100"/>
        <v/>
      </c>
      <c r="AU317" s="1856" t="str">
        <f t="shared" si="101"/>
        <v/>
      </c>
      <c r="AV317" s="1856" t="str">
        <f t="shared" si="102"/>
        <v/>
      </c>
      <c r="AW317" s="1856" t="str">
        <f t="shared" si="103"/>
        <v/>
      </c>
      <c r="AX317" s="1856" t="str">
        <f t="shared" si="104"/>
        <v/>
      </c>
      <c r="AY317" s="1856" t="str">
        <f t="shared" si="105"/>
        <v/>
      </c>
      <c r="BB317" s="1879">
        <v>5</v>
      </c>
      <c r="BC317" s="1880" t="s">
        <v>241</v>
      </c>
      <c r="BD317" s="1880">
        <v>0.21388888888888891</v>
      </c>
      <c r="BE317" s="1880" t="s">
        <v>679</v>
      </c>
      <c r="BF317" s="1880">
        <v>0.72638888888888886</v>
      </c>
      <c r="BG317" s="1879" t="s">
        <v>671</v>
      </c>
      <c r="BH317" s="1880">
        <v>0.98958333333333337</v>
      </c>
      <c r="BI317" s="1879" t="s">
        <v>1255</v>
      </c>
      <c r="BJ317" s="1881">
        <v>237790</v>
      </c>
      <c r="BK317" s="1882">
        <v>0.94299999999999995</v>
      </c>
      <c r="BL317" s="1619">
        <f t="shared" si="89"/>
        <v>44870</v>
      </c>
      <c r="BM317" s="1856">
        <f t="shared" si="99"/>
        <v>0.98958333333333337</v>
      </c>
      <c r="BN317" s="934">
        <f t="shared" si="90"/>
        <v>55.6</v>
      </c>
    </row>
    <row r="318" spans="1:66" ht="14.5">
      <c r="A318" s="1">
        <f t="shared" si="97"/>
        <v>44871</v>
      </c>
      <c r="B318" s="932">
        <f t="shared" si="91"/>
        <v>44871.260416666664</v>
      </c>
      <c r="C318" s="932">
        <f t="shared" si="92"/>
        <v>44871.301388888889</v>
      </c>
      <c r="D318" s="932">
        <f t="shared" si="93"/>
        <v>44871.736805555556</v>
      </c>
      <c r="E318" s="932">
        <f t="shared" si="94"/>
        <v>44871.777083333334</v>
      </c>
      <c r="F318" s="932">
        <f t="shared" si="95"/>
        <v>44871.702777777777</v>
      </c>
      <c r="G318" s="932">
        <f t="shared" si="96"/>
        <v>44871.218055555561</v>
      </c>
      <c r="H318" s="2">
        <f t="shared" si="98"/>
        <v>95</v>
      </c>
      <c r="I318" s="2">
        <v>35.752242599458867</v>
      </c>
      <c r="J318" s="1317">
        <v>-16.197755311069866</v>
      </c>
      <c r="AP318" s="1855">
        <f t="shared" si="106"/>
        <v>44594</v>
      </c>
      <c r="AQ318" s="925" t="str">
        <f t="shared" si="107"/>
        <v/>
      </c>
      <c r="AR318" s="1856" t="str">
        <f t="shared" si="108"/>
        <v/>
      </c>
      <c r="AT318" s="1856" t="str">
        <f t="shared" si="100"/>
        <v/>
      </c>
      <c r="AU318" s="1856" t="str">
        <f t="shared" si="101"/>
        <v/>
      </c>
      <c r="AV318" s="1856" t="str">
        <f t="shared" si="102"/>
        <v/>
      </c>
      <c r="AW318" s="1856" t="str">
        <f t="shared" si="103"/>
        <v/>
      </c>
      <c r="AX318" s="1856" t="str">
        <f t="shared" si="104"/>
        <v/>
      </c>
      <c r="AY318" s="1856" t="str">
        <f t="shared" si="105"/>
        <v/>
      </c>
      <c r="BB318" s="1879">
        <v>6</v>
      </c>
      <c r="BC318" s="1880" t="s">
        <v>241</v>
      </c>
      <c r="BD318" s="1880">
        <v>0.21805555555555556</v>
      </c>
      <c r="BE318" s="1880" t="s">
        <v>740</v>
      </c>
      <c r="BF318" s="1880">
        <v>0.70208333333333339</v>
      </c>
      <c r="BG318" s="1879" t="s">
        <v>566</v>
      </c>
      <c r="BH318" s="1880">
        <v>0.97916666666666663</v>
      </c>
      <c r="BI318" s="1879" t="s">
        <v>568</v>
      </c>
      <c r="BJ318" s="1881">
        <v>239931</v>
      </c>
      <c r="BK318" s="1882">
        <v>0.98299999999999998</v>
      </c>
      <c r="BL318" s="1619">
        <f t="shared" si="89"/>
        <v>44871</v>
      </c>
      <c r="BM318" s="1856">
        <f t="shared" si="99"/>
        <v>0.97916666666666663</v>
      </c>
      <c r="BN318" s="934">
        <f t="shared" si="90"/>
        <v>61.8</v>
      </c>
    </row>
    <row r="319" spans="1:66" ht="14.5">
      <c r="A319" s="1">
        <f t="shared" si="97"/>
        <v>44872</v>
      </c>
      <c r="B319" s="932">
        <f t="shared" si="91"/>
        <v>44872.261111111111</v>
      </c>
      <c r="C319" s="932">
        <f t="shared" si="92"/>
        <v>44872.302083333328</v>
      </c>
      <c r="D319" s="932">
        <f t="shared" si="93"/>
        <v>44872.736111111117</v>
      </c>
      <c r="E319" s="932">
        <f t="shared" si="94"/>
        <v>44872.777083333334</v>
      </c>
      <c r="F319" s="932">
        <f t="shared" si="95"/>
        <v>44872.72152777778</v>
      </c>
      <c r="G319" s="932">
        <f t="shared" si="96"/>
        <v>44872.263888888891</v>
      </c>
      <c r="H319" s="2">
        <f t="shared" si="98"/>
        <v>98</v>
      </c>
      <c r="I319" s="2">
        <v>35.460523989470985</v>
      </c>
      <c r="J319" s="1317">
        <v>-16.491682648513102</v>
      </c>
      <c r="AP319" s="1855">
        <f t="shared" si="106"/>
        <v>44594</v>
      </c>
      <c r="AQ319" s="925" t="str">
        <f t="shared" si="107"/>
        <v>BMNT</v>
      </c>
      <c r="AR319" s="1856">
        <f t="shared" si="108"/>
        <v>44594.283333333333</v>
      </c>
      <c r="AS319" s="927" t="s">
        <v>1256</v>
      </c>
      <c r="AT319" s="1856" t="str">
        <f t="shared" si="100"/>
        <v/>
      </c>
      <c r="AU319" s="1856" t="str">
        <f t="shared" si="101"/>
        <v/>
      </c>
      <c r="AV319" s="1856" t="str">
        <f t="shared" si="102"/>
        <v/>
      </c>
      <c r="AW319" s="1856" t="str">
        <f t="shared" si="103"/>
        <v/>
      </c>
      <c r="AX319" s="1856" t="str">
        <f t="shared" si="104"/>
        <v/>
      </c>
      <c r="AY319" s="1856" t="str">
        <f t="shared" si="105"/>
        <v/>
      </c>
      <c r="BB319" s="1879">
        <v>7</v>
      </c>
      <c r="BC319" s="1880" t="s">
        <v>241</v>
      </c>
      <c r="BD319" s="1880">
        <v>0.26319444444444445</v>
      </c>
      <c r="BE319" s="1880" t="s">
        <v>950</v>
      </c>
      <c r="BF319" s="1880">
        <v>0.72083333333333333</v>
      </c>
      <c r="BG319" s="1879" t="s">
        <v>727</v>
      </c>
      <c r="BH319" s="1880" t="s">
        <v>695</v>
      </c>
      <c r="BJ319" s="1881"/>
      <c r="BK319" s="1882"/>
      <c r="BL319" s="1619">
        <f t="shared" si="89"/>
        <v>44872</v>
      </c>
      <c r="BM319" s="1856" t="str">
        <f t="shared" si="99"/>
        <v>NA</v>
      </c>
      <c r="BN319" s="934" t="str">
        <f t="shared" si="90"/>
        <v>NA</v>
      </c>
    </row>
    <row r="320" spans="1:66" ht="14.5">
      <c r="A320" s="1">
        <f t="shared" si="97"/>
        <v>44873</v>
      </c>
      <c r="B320" s="932">
        <f t="shared" si="91"/>
        <v>44873.261805555558</v>
      </c>
      <c r="C320" s="932">
        <f t="shared" si="92"/>
        <v>44873.302777777775</v>
      </c>
      <c r="D320" s="932">
        <f t="shared" si="93"/>
        <v>44873.73541666667</v>
      </c>
      <c r="E320" s="932">
        <f t="shared" si="94"/>
        <v>44873.776388888888</v>
      </c>
      <c r="F320" s="932">
        <f t="shared" si="95"/>
        <v>44873.741666666669</v>
      </c>
      <c r="G320" s="932">
        <f t="shared" si="96"/>
        <v>44873.309027777774</v>
      </c>
      <c r="H320" s="2">
        <f t="shared" si="98"/>
        <v>100</v>
      </c>
      <c r="I320" s="2">
        <v>35.173655275180522</v>
      </c>
      <c r="J320" s="1317">
        <v>-16.780987060982515</v>
      </c>
      <c r="AP320" s="1855">
        <f t="shared" si="106"/>
        <v>44594</v>
      </c>
      <c r="AQ320" s="925" t="str">
        <f t="shared" si="107"/>
        <v>SR</v>
      </c>
      <c r="AR320" s="1856">
        <f t="shared" si="108"/>
        <v>44594.324999999997</v>
      </c>
      <c r="AS320" s="927" t="s">
        <v>1245</v>
      </c>
      <c r="AT320" s="1856" t="str">
        <f t="shared" si="100"/>
        <v/>
      </c>
      <c r="AU320" s="1856" t="str">
        <f t="shared" si="101"/>
        <v/>
      </c>
      <c r="AV320" s="1856" t="str">
        <f t="shared" si="102"/>
        <v/>
      </c>
      <c r="AW320" s="1856" t="str">
        <f t="shared" si="103"/>
        <v/>
      </c>
      <c r="AX320" s="1856" t="str">
        <f t="shared" si="104"/>
        <v/>
      </c>
      <c r="AY320" s="1856" t="str">
        <f t="shared" si="105"/>
        <v/>
      </c>
      <c r="BB320" s="1879" t="s">
        <v>1257</v>
      </c>
      <c r="BC320" s="1880" t="s">
        <v>241</v>
      </c>
      <c r="BD320" s="1880">
        <v>0.30833333333333335</v>
      </c>
      <c r="BE320" s="1880" t="s">
        <v>658</v>
      </c>
      <c r="BF320" s="1880">
        <v>0.74097222222222225</v>
      </c>
      <c r="BG320" s="1879" t="s">
        <v>644</v>
      </c>
      <c r="BH320" s="1880">
        <v>1.1111111111111112E-2</v>
      </c>
      <c r="BI320" s="1879" t="s">
        <v>1258</v>
      </c>
      <c r="BJ320" s="1881">
        <v>242205</v>
      </c>
      <c r="BK320" s="1882">
        <v>0.999</v>
      </c>
      <c r="BL320" s="1619">
        <f t="shared" si="89"/>
        <v>44873</v>
      </c>
      <c r="BM320" s="1856">
        <f t="shared" si="99"/>
        <v>1.1111111111111112E-2</v>
      </c>
      <c r="BN320" s="934">
        <f t="shared" si="90"/>
        <v>67.400000000000006</v>
      </c>
    </row>
    <row r="321" spans="1:66" ht="14.5">
      <c r="A321" s="1">
        <f t="shared" si="97"/>
        <v>44874</v>
      </c>
      <c r="B321" s="932">
        <f t="shared" si="91"/>
        <v>44874.262499999997</v>
      </c>
      <c r="C321" s="932">
        <f t="shared" si="92"/>
        <v>44874.303472222222</v>
      </c>
      <c r="D321" s="932">
        <f t="shared" si="93"/>
        <v>44874.734722222223</v>
      </c>
      <c r="E321" s="932">
        <f t="shared" si="94"/>
        <v>44874.775694444441</v>
      </c>
      <c r="F321" s="932">
        <f t="shared" si="95"/>
        <v>44874.765277777777</v>
      </c>
      <c r="G321" s="932">
        <f t="shared" si="96"/>
        <v>44874.354166666672</v>
      </c>
      <c r="H321" s="2">
        <f t="shared" si="98"/>
        <v>99</v>
      </c>
      <c r="I321" s="2">
        <v>34.891742446152293</v>
      </c>
      <c r="J321" s="1317">
        <v>-17.065556748341923</v>
      </c>
      <c r="AP321" s="1855">
        <f t="shared" si="106"/>
        <v>44594</v>
      </c>
      <c r="AQ321" s="925" t="str">
        <f t="shared" si="107"/>
        <v>MR</v>
      </c>
      <c r="AR321" s="1856">
        <f t="shared" si="108"/>
        <v>44594.379861111112</v>
      </c>
      <c r="AS321" s="927" t="s">
        <v>1259</v>
      </c>
      <c r="AT321" s="1856" t="str">
        <f t="shared" si="100"/>
        <v/>
      </c>
      <c r="AU321" s="1856" t="str">
        <f t="shared" si="101"/>
        <v/>
      </c>
      <c r="AV321" s="1856" t="str">
        <f t="shared" si="102"/>
        <v/>
      </c>
      <c r="AW321" s="1856" t="str">
        <f t="shared" si="103"/>
        <v/>
      </c>
      <c r="AX321" s="1856" t="str">
        <f t="shared" si="104"/>
        <v/>
      </c>
      <c r="AY321" s="1856" t="str">
        <f t="shared" si="105"/>
        <v/>
      </c>
      <c r="BB321" s="1879">
        <v>9</v>
      </c>
      <c r="BC321" s="1880" t="s">
        <v>241</v>
      </c>
      <c r="BD321" s="1880">
        <v>0.35347222222222219</v>
      </c>
      <c r="BE321" s="1880" t="s">
        <v>857</v>
      </c>
      <c r="BF321" s="1880">
        <v>0.76458333333333339</v>
      </c>
      <c r="BG321" s="1879" t="s">
        <v>854</v>
      </c>
      <c r="BH321" s="1880">
        <v>4.4444444444444446E-2</v>
      </c>
      <c r="BI321" s="1879" t="s">
        <v>1009</v>
      </c>
      <c r="BJ321" s="1881">
        <v>244524</v>
      </c>
      <c r="BK321" s="1882">
        <v>0.99299999999999999</v>
      </c>
      <c r="BL321" s="1619">
        <f t="shared" si="89"/>
        <v>44874</v>
      </c>
      <c r="BM321" s="1856">
        <f t="shared" si="99"/>
        <v>4.4444444444444446E-2</v>
      </c>
      <c r="BN321" s="934">
        <f t="shared" si="90"/>
        <v>72.2</v>
      </c>
    </row>
    <row r="322" spans="1:66" ht="14.5">
      <c r="A322" s="1">
        <f t="shared" si="97"/>
        <v>44875</v>
      </c>
      <c r="B322" s="932">
        <f t="shared" si="91"/>
        <v>44875.263194444444</v>
      </c>
      <c r="C322" s="932">
        <f t="shared" si="92"/>
        <v>44875.304166666661</v>
      </c>
      <c r="D322" s="932">
        <f t="shared" si="93"/>
        <v>44875.734027777777</v>
      </c>
      <c r="E322" s="932">
        <f t="shared" si="94"/>
        <v>44875.775000000001</v>
      </c>
      <c r="F322" s="932">
        <f t="shared" si="95"/>
        <v>44875.792361111111</v>
      </c>
      <c r="G322" s="932">
        <f t="shared" si="96"/>
        <v>44875.398611111108</v>
      </c>
      <c r="H322" s="2">
        <f t="shared" si="98"/>
        <v>97</v>
      </c>
      <c r="I322" s="2">
        <v>34.614890383054053</v>
      </c>
      <c r="J322" s="1317">
        <v>-17.345280301035544</v>
      </c>
      <c r="AP322" s="1855">
        <f t="shared" si="106"/>
        <v>44594</v>
      </c>
      <c r="AQ322" s="925" t="str">
        <f t="shared" si="107"/>
        <v>SS</v>
      </c>
      <c r="AR322" s="1856">
        <f t="shared" si="108"/>
        <v>44594.754861111112</v>
      </c>
      <c r="AS322" s="927" t="s">
        <v>1260</v>
      </c>
      <c r="AT322" s="1856" t="str">
        <f t="shared" si="100"/>
        <v/>
      </c>
      <c r="AU322" s="1856" t="str">
        <f t="shared" si="101"/>
        <v/>
      </c>
      <c r="AV322" s="1856" t="str">
        <f t="shared" si="102"/>
        <v/>
      </c>
      <c r="AW322" s="1856" t="str">
        <f t="shared" si="103"/>
        <v/>
      </c>
      <c r="AX322" s="1856" t="str">
        <f t="shared" si="104"/>
        <v/>
      </c>
      <c r="AY322" s="1856" t="str">
        <f t="shared" si="105"/>
        <v/>
      </c>
      <c r="BB322" s="1879">
        <v>10</v>
      </c>
      <c r="BC322" s="1880" t="s">
        <v>241</v>
      </c>
      <c r="BD322" s="1880">
        <v>0.3979166666666667</v>
      </c>
      <c r="BE322" s="1880" t="s">
        <v>600</v>
      </c>
      <c r="BF322" s="1880">
        <v>0.79166666666666663</v>
      </c>
      <c r="BG322" s="1879" t="s">
        <v>608</v>
      </c>
      <c r="BH322" s="1880">
        <v>7.8472222222222221E-2</v>
      </c>
      <c r="BI322" s="1879" t="s">
        <v>1042</v>
      </c>
      <c r="BJ322" s="1881">
        <v>246758</v>
      </c>
      <c r="BK322" s="1882">
        <v>0.96599999999999997</v>
      </c>
      <c r="BL322" s="1619">
        <f t="shared" si="89"/>
        <v>44875</v>
      </c>
      <c r="BM322" s="1856">
        <f t="shared" si="99"/>
        <v>7.8472222222222221E-2</v>
      </c>
      <c r="BN322" s="934">
        <f t="shared" si="90"/>
        <v>75.900000000000006</v>
      </c>
    </row>
    <row r="323" spans="1:66" ht="14.5">
      <c r="A323" s="1">
        <f t="shared" si="97"/>
        <v>44876</v>
      </c>
      <c r="B323" s="932">
        <f t="shared" si="91"/>
        <v>44876.263888888891</v>
      </c>
      <c r="C323" s="932">
        <f t="shared" si="92"/>
        <v>44876.305555555555</v>
      </c>
      <c r="D323" s="932">
        <f t="shared" si="93"/>
        <v>44876.733333333337</v>
      </c>
      <c r="E323" s="932">
        <f t="shared" si="94"/>
        <v>44876.774305555555</v>
      </c>
      <c r="F323" s="932">
        <f t="shared" si="95"/>
        <v>44876.82430555555</v>
      </c>
      <c r="G323" s="932">
        <f t="shared" si="96"/>
        <v>44876.440277777772</v>
      </c>
      <c r="H323" s="2">
        <f t="shared" si="98"/>
        <v>93</v>
      </c>
      <c r="I323" s="2">
        <v>34.343202793942943</v>
      </c>
      <c r="J323" s="1317">
        <v>-17.620046779646042</v>
      </c>
      <c r="AP323" s="1855">
        <f t="shared" si="106"/>
        <v>44594</v>
      </c>
      <c r="AQ323" s="925" t="str">
        <f t="shared" si="107"/>
        <v>EENT</v>
      </c>
      <c r="AR323" s="1856">
        <f t="shared" si="108"/>
        <v>44594.79583333333</v>
      </c>
      <c r="AS323" s="927" t="s">
        <v>1261</v>
      </c>
      <c r="AT323" s="1856" t="str">
        <f t="shared" si="100"/>
        <v/>
      </c>
      <c r="AU323" s="1856" t="str">
        <f t="shared" si="101"/>
        <v/>
      </c>
      <c r="AV323" s="1856" t="str">
        <f t="shared" si="102"/>
        <v/>
      </c>
      <c r="AW323" s="1856" t="str">
        <f t="shared" si="103"/>
        <v/>
      </c>
      <c r="AX323" s="1856" t="str">
        <f t="shared" si="104"/>
        <v/>
      </c>
      <c r="AY323" s="1856" t="str">
        <f t="shared" si="105"/>
        <v/>
      </c>
      <c r="BB323" s="1879">
        <v>11</v>
      </c>
      <c r="BC323" s="1880" t="s">
        <v>241</v>
      </c>
      <c r="BD323" s="1880">
        <v>0.43958333333333338</v>
      </c>
      <c r="BE323" s="1879" t="s">
        <v>960</v>
      </c>
      <c r="BF323" s="1880">
        <v>0.82361111111111107</v>
      </c>
      <c r="BG323" s="1880" t="s">
        <v>907</v>
      </c>
      <c r="BH323" s="1880">
        <v>0.11388888888888889</v>
      </c>
      <c r="BI323" s="1881" t="s">
        <v>1046</v>
      </c>
      <c r="BJ323" s="1882">
        <v>248750</v>
      </c>
      <c r="BK323" s="1882">
        <v>0.92</v>
      </c>
      <c r="BL323" s="1619">
        <f t="shared" ref="BL323:BL381" si="109">A323</f>
        <v>44876</v>
      </c>
      <c r="BM323" s="1856">
        <f t="shared" si="99"/>
        <v>0.11388888888888889</v>
      </c>
      <c r="BN323" s="934">
        <f t="shared" si="90"/>
        <v>78.400000000000006</v>
      </c>
    </row>
    <row r="324" spans="1:66" ht="14.5">
      <c r="A324" s="1">
        <f t="shared" si="97"/>
        <v>44877</v>
      </c>
      <c r="B324" s="932">
        <f t="shared" si="91"/>
        <v>44877.26458333333</v>
      </c>
      <c r="C324" s="932">
        <f t="shared" si="92"/>
        <v>44877.306249999994</v>
      </c>
      <c r="D324" s="932">
        <f t="shared" si="93"/>
        <v>44877.732638888891</v>
      </c>
      <c r="E324" s="932">
        <f t="shared" si="94"/>
        <v>44877.774305555555</v>
      </c>
      <c r="F324" s="932">
        <f t="shared" si="95"/>
        <v>44877.859722222223</v>
      </c>
      <c r="G324" s="932">
        <f t="shared" si="96"/>
        <v>44877.478472222225</v>
      </c>
      <c r="H324" s="2">
        <f t="shared" si="98"/>
        <v>87</v>
      </c>
      <c r="I324" s="2">
        <v>34.076782150129603</v>
      </c>
      <c r="J324" s="1317">
        <v>-17.889745797807169</v>
      </c>
      <c r="AP324" s="1855">
        <f t="shared" si="106"/>
        <v>44594</v>
      </c>
      <c r="AQ324" s="925" t="str">
        <f t="shared" si="107"/>
        <v>MS</v>
      </c>
      <c r="AR324" s="1856">
        <f t="shared" si="108"/>
        <v>44594.831249999996</v>
      </c>
      <c r="AS324" s="927" t="s">
        <v>878</v>
      </c>
      <c r="AT324" s="1856" t="str">
        <f t="shared" si="100"/>
        <v/>
      </c>
      <c r="AU324" s="1856" t="str">
        <f t="shared" si="101"/>
        <v/>
      </c>
      <c r="AV324" s="1856" t="str">
        <f t="shared" si="102"/>
        <v/>
      </c>
      <c r="AW324" s="1856" t="str">
        <f t="shared" si="103"/>
        <v/>
      </c>
      <c r="AX324" s="1856" t="str">
        <f t="shared" si="104"/>
        <v/>
      </c>
      <c r="AY324" s="1856" t="str">
        <f t="shared" si="105"/>
        <v/>
      </c>
      <c r="BB324" s="1879">
        <v>12</v>
      </c>
      <c r="BC324" s="1879" t="s">
        <v>241</v>
      </c>
      <c r="BD324" s="1880">
        <v>0.4770833333333333</v>
      </c>
      <c r="BE324" s="1879" t="s">
        <v>1262</v>
      </c>
      <c r="BF324" s="1880">
        <v>0.85902777777777783</v>
      </c>
      <c r="BG324" s="1879" t="s">
        <v>1225</v>
      </c>
      <c r="BH324" s="1880">
        <v>0.15</v>
      </c>
      <c r="BI324" s="1879" t="s">
        <v>1227</v>
      </c>
      <c r="BJ324" s="1881">
        <v>250327</v>
      </c>
      <c r="BK324" s="1882">
        <v>0.85799999999999998</v>
      </c>
      <c r="BL324" s="1619">
        <f t="shared" si="109"/>
        <v>44877</v>
      </c>
      <c r="BM324" s="1856">
        <f t="shared" si="99"/>
        <v>0.15</v>
      </c>
      <c r="BN324" s="934">
        <f t="shared" si="90"/>
        <v>79.400000000000006</v>
      </c>
    </row>
    <row r="325" spans="1:66" ht="14.5">
      <c r="A325" s="1">
        <f t="shared" si="97"/>
        <v>44878</v>
      </c>
      <c r="B325" s="932">
        <f t="shared" si="91"/>
        <v>44878.265277777777</v>
      </c>
      <c r="C325" s="932">
        <f t="shared" si="92"/>
        <v>44878.306944444441</v>
      </c>
      <c r="D325" s="932">
        <f t="shared" si="93"/>
        <v>44878.731944444444</v>
      </c>
      <c r="E325" s="932">
        <f t="shared" si="94"/>
        <v>44878.773611111108</v>
      </c>
      <c r="F325" s="932">
        <f t="shared" si="95"/>
        <v>44878.898611111108</v>
      </c>
      <c r="G325" s="932">
        <f t="shared" si="96"/>
        <v>44878.511111111111</v>
      </c>
      <c r="H325" s="2">
        <f t="shared" si="98"/>
        <v>80</v>
      </c>
      <c r="I325" s="2">
        <v>33.815729621647343</v>
      </c>
      <c r="J325" s="1317">
        <v>-18.154267608411811</v>
      </c>
      <c r="AP325" s="1855">
        <f t="shared" si="106"/>
        <v>44595</v>
      </c>
      <c r="AQ325" s="925" t="str">
        <f t="shared" si="107"/>
        <v/>
      </c>
      <c r="AR325" s="1856" t="str">
        <f t="shared" si="108"/>
        <v/>
      </c>
      <c r="AS325" s="927">
        <v>3</v>
      </c>
      <c r="AT325" s="1856">
        <f t="shared" si="100"/>
        <v>44595.283333333333</v>
      </c>
      <c r="AU325" s="1856">
        <f t="shared" si="101"/>
        <v>44595.32430555555</v>
      </c>
      <c r="AV325" s="1856">
        <f t="shared" si="102"/>
        <v>44595.755555555559</v>
      </c>
      <c r="AW325" s="1856">
        <f t="shared" si="103"/>
        <v>44595.796527777777</v>
      </c>
      <c r="AX325" s="1856">
        <f t="shared" si="104"/>
        <v>44595.401388888888</v>
      </c>
      <c r="AY325" s="1856">
        <f t="shared" si="105"/>
        <v>44595.879166666666</v>
      </c>
      <c r="AZ325" s="1853">
        <v>0.05</v>
      </c>
      <c r="BB325" s="1879">
        <v>13</v>
      </c>
      <c r="BC325" s="1879" t="s">
        <v>241</v>
      </c>
      <c r="BD325" s="1880">
        <v>0.51041666666666663</v>
      </c>
      <c r="BE325" s="1879" t="s">
        <v>960</v>
      </c>
      <c r="BF325" s="1880">
        <v>0.8979166666666667</v>
      </c>
      <c r="BG325" s="1879" t="s">
        <v>685</v>
      </c>
      <c r="BH325" s="1880">
        <v>0.18611111111111112</v>
      </c>
      <c r="BI325" s="1879" t="s">
        <v>1152</v>
      </c>
      <c r="BJ325" s="1881">
        <v>251322</v>
      </c>
      <c r="BK325" s="1882">
        <v>0.78300000000000003</v>
      </c>
      <c r="BL325" s="1619">
        <f t="shared" si="109"/>
        <v>44878</v>
      </c>
      <c r="BM325" s="1856">
        <f t="shared" si="99"/>
        <v>0.18611111111111112</v>
      </c>
      <c r="BN325" s="934">
        <f t="shared" ref="BN325:BN381" si="110">IF(ISNUMBER(FIND("(",BI325)),MID(BI325,2,4)*1,IF(BM325="NA","NA",MID(BH325,2,4)*1))</f>
        <v>79</v>
      </c>
    </row>
    <row r="326" spans="1:66" ht="14.5">
      <c r="A326" s="1">
        <f t="shared" si="97"/>
        <v>44879</v>
      </c>
      <c r="B326" s="932">
        <f t="shared" si="91"/>
        <v>44879.265972222223</v>
      </c>
      <c r="C326" s="932">
        <f t="shared" si="92"/>
        <v>44879.307638888888</v>
      </c>
      <c r="D326" s="932">
        <f t="shared" si="93"/>
        <v>44879.731944444444</v>
      </c>
      <c r="E326" s="932">
        <f t="shared" si="94"/>
        <v>44879.772916666669</v>
      </c>
      <c r="F326" s="932">
        <f t="shared" si="95"/>
        <v>44879.939583333333</v>
      </c>
      <c r="G326" s="932">
        <f t="shared" si="96"/>
        <v>44879.539583333331</v>
      </c>
      <c r="H326" s="2">
        <f t="shared" si="98"/>
        <v>72</v>
      </c>
      <c r="I326" s="2">
        <v>33.560145012348897</v>
      </c>
      <c r="J326" s="1317">
        <v>-18.413503193044296</v>
      </c>
      <c r="AP326" s="1855">
        <f t="shared" si="106"/>
        <v>44595</v>
      </c>
      <c r="AQ326" s="925" t="str">
        <f t="shared" si="107"/>
        <v/>
      </c>
      <c r="AR326" s="1856" t="str">
        <f t="shared" si="108"/>
        <v/>
      </c>
      <c r="AS326" s="927" t="s">
        <v>252</v>
      </c>
      <c r="AT326" s="1856" t="str">
        <f t="shared" si="100"/>
        <v/>
      </c>
      <c r="AU326" s="1856" t="str">
        <f t="shared" si="101"/>
        <v/>
      </c>
      <c r="AV326" s="1856" t="str">
        <f t="shared" si="102"/>
        <v/>
      </c>
      <c r="AW326" s="1856" t="str">
        <f t="shared" si="103"/>
        <v/>
      </c>
      <c r="AX326" s="1856" t="str">
        <f t="shared" si="104"/>
        <v/>
      </c>
      <c r="AY326" s="1856" t="str">
        <f t="shared" si="105"/>
        <v/>
      </c>
      <c r="BB326" s="1879">
        <v>14</v>
      </c>
      <c r="BC326" s="1879" t="s">
        <v>241</v>
      </c>
      <c r="BD326" s="1880">
        <v>0.53888888888888886</v>
      </c>
      <c r="BE326" s="1879" t="s">
        <v>600</v>
      </c>
      <c r="BF326" s="1880">
        <v>0.93888888888888899</v>
      </c>
      <c r="BG326" s="1879" t="s">
        <v>854</v>
      </c>
      <c r="BH326" s="1880">
        <v>0.22083333333333333</v>
      </c>
      <c r="BI326" s="1879" t="s">
        <v>617</v>
      </c>
      <c r="BJ326" s="1881">
        <v>251598</v>
      </c>
      <c r="BK326" s="1882">
        <v>0.69799999999999995</v>
      </c>
      <c r="BL326" s="1619">
        <f t="shared" si="109"/>
        <v>44879</v>
      </c>
      <c r="BM326" s="1856">
        <f t="shared" si="99"/>
        <v>0.22083333333333333</v>
      </c>
      <c r="BN326" s="934">
        <f t="shared" si="110"/>
        <v>77.3</v>
      </c>
    </row>
    <row r="327" spans="1:66" ht="14.5">
      <c r="A327" s="1">
        <f t="shared" si="97"/>
        <v>44880</v>
      </c>
      <c r="B327" s="932">
        <f t="shared" si="91"/>
        <v>44880.26666666667</v>
      </c>
      <c r="C327" s="932">
        <f t="shared" si="92"/>
        <v>44880.308333333334</v>
      </c>
      <c r="D327" s="932">
        <f t="shared" si="93"/>
        <v>44880.731250000004</v>
      </c>
      <c r="E327" s="932">
        <f t="shared" si="94"/>
        <v>44880.772916666669</v>
      </c>
      <c r="F327" s="932">
        <f t="shared" si="95"/>
        <v>44880.981944444444</v>
      </c>
      <c r="G327" s="932">
        <f t="shared" si="96"/>
        <v>44880.563194444439</v>
      </c>
      <c r="H327" s="2">
        <f t="shared" si="98"/>
        <v>63</v>
      </c>
      <c r="I327" s="2">
        <v>33.3101266946639</v>
      </c>
      <c r="J327" s="1317">
        <v>-18.667344354539662</v>
      </c>
      <c r="AP327" s="1855">
        <f t="shared" si="106"/>
        <v>44595</v>
      </c>
      <c r="AQ327" s="925" t="str">
        <f t="shared" si="107"/>
        <v/>
      </c>
      <c r="AR327" s="1856" t="str">
        <f t="shared" si="108"/>
        <v/>
      </c>
      <c r="AT327" s="1856" t="str">
        <f t="shared" si="100"/>
        <v/>
      </c>
      <c r="AU327" s="1856" t="str">
        <f t="shared" si="101"/>
        <v/>
      </c>
      <c r="AV327" s="1856" t="str">
        <f t="shared" si="102"/>
        <v/>
      </c>
      <c r="AW327" s="1856" t="str">
        <f t="shared" si="103"/>
        <v/>
      </c>
      <c r="AX327" s="1856" t="str">
        <f t="shared" si="104"/>
        <v/>
      </c>
      <c r="AY327" s="1856" t="str">
        <f t="shared" si="105"/>
        <v/>
      </c>
      <c r="BB327" s="1879">
        <v>15</v>
      </c>
      <c r="BC327" s="1879" t="s">
        <v>241</v>
      </c>
      <c r="BD327" s="1880">
        <v>0.5625</v>
      </c>
      <c r="BE327" s="1879" t="s">
        <v>857</v>
      </c>
      <c r="BF327" s="1880">
        <v>0.98125000000000007</v>
      </c>
      <c r="BG327" s="1879" t="s">
        <v>964</v>
      </c>
      <c r="BH327" s="1880">
        <v>0.25347222222222221</v>
      </c>
      <c r="BI327" s="1879" t="s">
        <v>855</v>
      </c>
      <c r="BJ327" s="1881">
        <v>251063</v>
      </c>
      <c r="BK327" s="1882">
        <v>0.60499999999999998</v>
      </c>
      <c r="BL327" s="1619">
        <f t="shared" si="109"/>
        <v>44880</v>
      </c>
      <c r="BM327" s="1856">
        <f t="shared" si="99"/>
        <v>0.25347222222222221</v>
      </c>
      <c r="BN327" s="934">
        <f t="shared" si="110"/>
        <v>74.400000000000006</v>
      </c>
    </row>
    <row r="328" spans="1:66" ht="14.5">
      <c r="A328" s="1">
        <f t="shared" si="97"/>
        <v>44881</v>
      </c>
      <c r="B328" s="932">
        <f t="shared" si="91"/>
        <v>44881.267361111109</v>
      </c>
      <c r="C328" s="932">
        <f t="shared" si="92"/>
        <v>44881.309027777774</v>
      </c>
      <c r="D328" s="932">
        <f t="shared" si="93"/>
        <v>44881.730555555558</v>
      </c>
      <c r="E328" s="932">
        <f t="shared" si="94"/>
        <v>44881.772222222222</v>
      </c>
      <c r="F328" s="932" t="str">
        <f t="shared" si="95"/>
        <v>NONE</v>
      </c>
      <c r="G328" s="932">
        <f t="shared" si="96"/>
        <v>44881.584027777782</v>
      </c>
      <c r="H328" s="2">
        <f t="shared" si="98"/>
        <v>54</v>
      </c>
      <c r="I328" s="2">
        <v>33.065771544042569</v>
      </c>
      <c r="J328" s="1317">
        <v>-18.915683812564239</v>
      </c>
      <c r="AP328" s="1855">
        <f t="shared" si="106"/>
        <v>44595</v>
      </c>
      <c r="AQ328" s="925" t="str">
        <f t="shared" si="107"/>
        <v>BMNT</v>
      </c>
      <c r="AR328" s="1856">
        <f t="shared" si="108"/>
        <v>44595.283333333333</v>
      </c>
      <c r="AS328" s="927" t="s">
        <v>1256</v>
      </c>
      <c r="AT328" s="1856" t="str">
        <f t="shared" si="100"/>
        <v/>
      </c>
      <c r="AU328" s="1856" t="str">
        <f t="shared" si="101"/>
        <v/>
      </c>
      <c r="AV328" s="1856" t="str">
        <f t="shared" si="102"/>
        <v/>
      </c>
      <c r="AW328" s="1856" t="str">
        <f t="shared" si="103"/>
        <v/>
      </c>
      <c r="AX328" s="1856" t="str">
        <f t="shared" si="104"/>
        <v/>
      </c>
      <c r="AY328" s="1856" t="str">
        <f t="shared" si="105"/>
        <v/>
      </c>
      <c r="BB328" s="1879" t="s">
        <v>1263</v>
      </c>
      <c r="BC328" s="1879" t="s">
        <v>241</v>
      </c>
      <c r="BD328" s="1880">
        <v>0.58333333333333337</v>
      </c>
      <c r="BE328" s="1879" t="s">
        <v>658</v>
      </c>
      <c r="BF328" s="1880" t="s">
        <v>241</v>
      </c>
      <c r="BG328" s="1880">
        <v>0.28541666666666665</v>
      </c>
      <c r="BH328" s="1880" t="s">
        <v>1264</v>
      </c>
      <c r="BI328" s="1881">
        <v>249685</v>
      </c>
      <c r="BJ328" s="1881">
        <v>0.50800000000000001</v>
      </c>
      <c r="BK328" s="1882"/>
      <c r="BL328" s="1619">
        <f t="shared" si="109"/>
        <v>44881</v>
      </c>
      <c r="BM328" s="1856">
        <f t="shared" si="99"/>
        <v>0.28541666666666665</v>
      </c>
      <c r="BN328" s="934">
        <f t="shared" si="110"/>
        <v>70.400000000000006</v>
      </c>
    </row>
    <row r="329" spans="1:66" ht="14.5">
      <c r="A329" s="1">
        <f t="shared" si="97"/>
        <v>44882</v>
      </c>
      <c r="B329" s="932">
        <f t="shared" ref="B329:B381" si="111">INDEX(AT$28:AT$4574,MATCH($A329,$AP$28:$AP$4574,0))</f>
        <v>44882.268055555556</v>
      </c>
      <c r="C329" s="932">
        <f t="shared" ref="C329:C381" si="112">INDEX(AU$28:AU$4574,MATCH($A329,$AP$28:$AP$4574,0))</f>
        <v>44882.30972222222</v>
      </c>
      <c r="D329" s="932">
        <f t="shared" ref="D329:D381" si="113">INDEX(AV$28:AV$4574,MATCH($A329,$AP$28:$AP$4574,0))</f>
        <v>44882.729861111111</v>
      </c>
      <c r="E329" s="932">
        <f t="shared" ref="E329:E381" si="114">INDEX(AW$28:AW$4574,MATCH($A329,$AP$28:$AP$4574,0))</f>
        <v>44882.771527777775</v>
      </c>
      <c r="F329" s="932">
        <f t="shared" ref="F329:F381" si="115">INDEX(AX$28:AX$4574,MATCH($A329,$AP$28:$AP$4574,0))</f>
        <v>44882.024305555555</v>
      </c>
      <c r="G329" s="932">
        <f t="shared" ref="G329:G381" si="116">INDEX(AY$28:AY$4574,MATCH($A329,$AP$28:$AP$4574,0))</f>
        <v>44882.602083333339</v>
      </c>
      <c r="H329" s="2">
        <f t="shared" si="98"/>
        <v>44</v>
      </c>
      <c r="I329" s="2">
        <v>32.827174873119411</v>
      </c>
      <c r="J329" s="1317">
        <v>-19.158415302087455</v>
      </c>
      <c r="AP329" s="1855">
        <f t="shared" si="106"/>
        <v>44595</v>
      </c>
      <c r="AQ329" s="925" t="str">
        <f t="shared" si="107"/>
        <v>SR</v>
      </c>
      <c r="AR329" s="1856">
        <f t="shared" si="108"/>
        <v>44595.32430555555</v>
      </c>
      <c r="AS329" s="927" t="s">
        <v>1265</v>
      </c>
      <c r="AT329" s="1856" t="str">
        <f t="shared" si="100"/>
        <v/>
      </c>
      <c r="AU329" s="1856" t="str">
        <f t="shared" si="101"/>
        <v/>
      </c>
      <c r="AV329" s="1856" t="str">
        <f t="shared" si="102"/>
        <v/>
      </c>
      <c r="AW329" s="1856" t="str">
        <f t="shared" si="103"/>
        <v/>
      </c>
      <c r="AX329" s="1856" t="str">
        <f t="shared" si="104"/>
        <v/>
      </c>
      <c r="AY329" s="1856" t="str">
        <f t="shared" si="105"/>
        <v/>
      </c>
      <c r="BB329" s="1879">
        <v>17</v>
      </c>
      <c r="BC329" s="1880">
        <v>2.361111111111111E-2</v>
      </c>
      <c r="BD329" s="1880" t="s">
        <v>651</v>
      </c>
      <c r="BE329" s="1880">
        <v>0.60138888888888886</v>
      </c>
      <c r="BF329" s="1880" t="s">
        <v>650</v>
      </c>
      <c r="BG329" s="1879" t="s">
        <v>241</v>
      </c>
      <c r="BH329" s="1880">
        <v>0.31597222222222221</v>
      </c>
      <c r="BI329" s="1879" t="s">
        <v>1266</v>
      </c>
      <c r="BJ329" s="1881">
        <v>247501</v>
      </c>
      <c r="BK329" s="1882">
        <v>0.40899999999999997</v>
      </c>
      <c r="BL329" s="1619">
        <f t="shared" si="109"/>
        <v>44882</v>
      </c>
      <c r="BM329" s="1856">
        <f t="shared" si="99"/>
        <v>0.31597222222222221</v>
      </c>
      <c r="BN329" s="934">
        <f t="shared" si="110"/>
        <v>65.599999999999994</v>
      </c>
    </row>
    <row r="330" spans="1:66" ht="14.5">
      <c r="A330" s="1">
        <f t="shared" ref="A330:A377" si="117">A329+1</f>
        <v>44883</v>
      </c>
      <c r="B330" s="932">
        <f t="shared" si="111"/>
        <v>44883.268750000003</v>
      </c>
      <c r="C330" s="932">
        <f t="shared" si="112"/>
        <v>44883.310416666667</v>
      </c>
      <c r="D330" s="932">
        <f t="shared" si="113"/>
        <v>44883.729861111111</v>
      </c>
      <c r="E330" s="932">
        <f t="shared" si="114"/>
        <v>44883.771527777775</v>
      </c>
      <c r="F330" s="932">
        <f t="shared" si="115"/>
        <v>44883.066666666666</v>
      </c>
      <c r="G330" s="932">
        <f t="shared" si="116"/>
        <v>44883.618750000001</v>
      </c>
      <c r="H330" s="2">
        <f t="shared" ref="H330:H381" si="118">INDEX(AZ$28:AZ$4574,MATCH($A330,$AP$28:$AP$4574,0))*100</f>
        <v>34</v>
      </c>
      <c r="I330" s="2">
        <v>32.5944303656267</v>
      </c>
      <c r="J330" s="1317">
        <v>-19.395433674604174</v>
      </c>
      <c r="AP330" s="1855">
        <f t="shared" si="106"/>
        <v>44595</v>
      </c>
      <c r="AQ330" s="925" t="str">
        <f t="shared" si="107"/>
        <v>MR</v>
      </c>
      <c r="AR330" s="1856">
        <f t="shared" si="108"/>
        <v>44595.401388888888</v>
      </c>
      <c r="AS330" s="927" t="s">
        <v>1267</v>
      </c>
      <c r="AT330" s="1856" t="str">
        <f t="shared" si="100"/>
        <v/>
      </c>
      <c r="AU330" s="1856" t="str">
        <f t="shared" si="101"/>
        <v/>
      </c>
      <c r="AV330" s="1856" t="str">
        <f t="shared" si="102"/>
        <v/>
      </c>
      <c r="AW330" s="1856" t="str">
        <f t="shared" si="103"/>
        <v/>
      </c>
      <c r="AX330" s="1856" t="str">
        <f t="shared" si="104"/>
        <v/>
      </c>
      <c r="AY330" s="1856" t="str">
        <f t="shared" si="105"/>
        <v/>
      </c>
      <c r="BB330" s="1879">
        <v>18</v>
      </c>
      <c r="BC330" s="1880">
        <v>6.5972222222222224E-2</v>
      </c>
      <c r="BD330" s="1880" t="s">
        <v>862</v>
      </c>
      <c r="BE330" s="1880">
        <v>0.61805555555555558</v>
      </c>
      <c r="BF330" s="1880" t="s">
        <v>640</v>
      </c>
      <c r="BG330" s="1879" t="s">
        <v>241</v>
      </c>
      <c r="BH330" s="1880">
        <v>0.34583333333333338</v>
      </c>
      <c r="BI330" s="1879" t="s">
        <v>1268</v>
      </c>
      <c r="BJ330" s="1881">
        <v>244620</v>
      </c>
      <c r="BK330" s="1882">
        <v>0.311</v>
      </c>
      <c r="BL330" s="1619">
        <f t="shared" si="109"/>
        <v>44883</v>
      </c>
      <c r="BM330" s="1856">
        <f t="shared" ref="BM330:BM381" si="119">IF(ISNUMBER(FIND("(",BH330)),BG330,IF(ISNUMBER(FIND("Moon",BH330)),"NA",BH330))</f>
        <v>0.34583333333333338</v>
      </c>
      <c r="BN330" s="934">
        <f t="shared" si="110"/>
        <v>60.1</v>
      </c>
    </row>
    <row r="331" spans="1:66" ht="14.5">
      <c r="A331" s="1">
        <f t="shared" si="117"/>
        <v>44884</v>
      </c>
      <c r="B331" s="932">
        <f t="shared" si="111"/>
        <v>44884.269444444442</v>
      </c>
      <c r="C331" s="932">
        <f t="shared" si="112"/>
        <v>44884.311111111107</v>
      </c>
      <c r="D331" s="932">
        <f t="shared" si="113"/>
        <v>44884.729166666672</v>
      </c>
      <c r="E331" s="932">
        <f t="shared" si="114"/>
        <v>44884.770833333336</v>
      </c>
      <c r="F331" s="932">
        <f t="shared" si="115"/>
        <v>44884.109722222223</v>
      </c>
      <c r="G331" s="932">
        <f t="shared" si="116"/>
        <v>44884.635416666664</v>
      </c>
      <c r="H331" s="2">
        <f t="shared" si="118"/>
        <v>25</v>
      </c>
      <c r="I331" s="2">
        <v>32.367630010097862</v>
      </c>
      <c r="J331" s="1317">
        <v>-19.626635001941096</v>
      </c>
      <c r="AP331" s="1855">
        <f t="shared" si="106"/>
        <v>44595</v>
      </c>
      <c r="AQ331" s="925" t="str">
        <f t="shared" si="107"/>
        <v>SS</v>
      </c>
      <c r="AR331" s="1856">
        <f t="shared" si="108"/>
        <v>44595.755555555559</v>
      </c>
      <c r="AS331" s="927" t="s">
        <v>1269</v>
      </c>
      <c r="AT331" s="1856" t="str">
        <f t="shared" si="100"/>
        <v/>
      </c>
      <c r="AU331" s="1856" t="str">
        <f t="shared" si="101"/>
        <v/>
      </c>
      <c r="AV331" s="1856" t="str">
        <f t="shared" si="102"/>
        <v/>
      </c>
      <c r="AW331" s="1856" t="str">
        <f t="shared" si="103"/>
        <v/>
      </c>
      <c r="AX331" s="1856" t="str">
        <f t="shared" si="104"/>
        <v/>
      </c>
      <c r="AY331" s="1856" t="str">
        <f t="shared" si="105"/>
        <v/>
      </c>
      <c r="BB331" s="1879">
        <v>19</v>
      </c>
      <c r="BC331" s="1880">
        <v>0.10902777777777778</v>
      </c>
      <c r="BD331" s="1880" t="s">
        <v>556</v>
      </c>
      <c r="BE331" s="1880">
        <v>0.63472222222222219</v>
      </c>
      <c r="BF331" s="1880" t="s">
        <v>545</v>
      </c>
      <c r="BG331" s="1879" t="s">
        <v>241</v>
      </c>
      <c r="BH331" s="1880">
        <v>0.3756944444444445</v>
      </c>
      <c r="BI331" s="1879" t="s">
        <v>1270</v>
      </c>
      <c r="BJ331" s="1881">
        <v>241225</v>
      </c>
      <c r="BK331" s="1882">
        <v>0.219</v>
      </c>
      <c r="BL331" s="1619">
        <f t="shared" si="109"/>
        <v>44884</v>
      </c>
      <c r="BM331" s="1856">
        <f t="shared" si="119"/>
        <v>0.3756944444444445</v>
      </c>
      <c r="BN331" s="934">
        <f t="shared" si="110"/>
        <v>54.1</v>
      </c>
    </row>
    <row r="332" spans="1:66" ht="14.5">
      <c r="A332" s="1">
        <f t="shared" si="117"/>
        <v>44885</v>
      </c>
      <c r="B332" s="932">
        <f t="shared" si="111"/>
        <v>44885.270138888889</v>
      </c>
      <c r="C332" s="932">
        <f t="shared" si="112"/>
        <v>44885.311805555553</v>
      </c>
      <c r="D332" s="932">
        <f t="shared" si="113"/>
        <v>44885.729166666672</v>
      </c>
      <c r="E332" s="932">
        <f t="shared" si="114"/>
        <v>44885.770833333336</v>
      </c>
      <c r="F332" s="932">
        <f t="shared" si="115"/>
        <v>44885.15347222222</v>
      </c>
      <c r="G332" s="932">
        <f t="shared" si="116"/>
        <v>44885.652083333334</v>
      </c>
      <c r="H332" s="2">
        <f t="shared" si="118"/>
        <v>17</v>
      </c>
      <c r="I332" s="2">
        <v>32.146864033398622</v>
      </c>
      <c r="J332" s="1317">
        <v>-19.851916682469248</v>
      </c>
      <c r="AP332" s="1855">
        <f t="shared" si="106"/>
        <v>44595</v>
      </c>
      <c r="AQ332" s="925" t="str">
        <f t="shared" si="107"/>
        <v>EENT</v>
      </c>
      <c r="AR332" s="1856">
        <f t="shared" si="108"/>
        <v>44595.796527777777</v>
      </c>
      <c r="AS332" s="927" t="s">
        <v>1271</v>
      </c>
      <c r="AT332" s="1856" t="str">
        <f t="shared" si="100"/>
        <v/>
      </c>
      <c r="AU332" s="1856" t="str">
        <f t="shared" si="101"/>
        <v/>
      </c>
      <c r="AV332" s="1856" t="str">
        <f t="shared" si="102"/>
        <v/>
      </c>
      <c r="AW332" s="1856" t="str">
        <f t="shared" si="103"/>
        <v/>
      </c>
      <c r="AX332" s="1856" t="str">
        <f t="shared" si="104"/>
        <v/>
      </c>
      <c r="AY332" s="1856" t="str">
        <f t="shared" si="105"/>
        <v/>
      </c>
      <c r="BB332" s="1879">
        <v>20</v>
      </c>
      <c r="BC332" s="1880">
        <v>0.15347222222222223</v>
      </c>
      <c r="BD332" s="1880" t="s">
        <v>1272</v>
      </c>
      <c r="BE332" s="1880">
        <v>0.65138888888888891</v>
      </c>
      <c r="BF332" s="1880" t="s">
        <v>1141</v>
      </c>
      <c r="BG332" s="1879" t="s">
        <v>241</v>
      </c>
      <c r="BH332" s="1880">
        <v>0.4055555555555555</v>
      </c>
      <c r="BI332" s="1879" t="s">
        <v>1273</v>
      </c>
      <c r="BJ332" s="1881">
        <v>237565</v>
      </c>
      <c r="BK332" s="1882">
        <v>0.13600000000000001</v>
      </c>
      <c r="BL332" s="1619">
        <f t="shared" si="109"/>
        <v>44885</v>
      </c>
      <c r="BM332" s="1856">
        <f t="shared" si="119"/>
        <v>0.4055555555555555</v>
      </c>
      <c r="BN332" s="934">
        <f t="shared" si="110"/>
        <v>47.8</v>
      </c>
    </row>
    <row r="333" spans="1:66" ht="14.5">
      <c r="A333" s="1">
        <f t="shared" si="117"/>
        <v>44886</v>
      </c>
      <c r="B333" s="932">
        <f t="shared" si="111"/>
        <v>44886.270833333336</v>
      </c>
      <c r="C333" s="932">
        <f t="shared" si="112"/>
        <v>44886.3125</v>
      </c>
      <c r="D333" s="932">
        <f t="shared" si="113"/>
        <v>44886.728472222225</v>
      </c>
      <c r="E333" s="932">
        <f t="shared" si="114"/>
        <v>44886.770138888889</v>
      </c>
      <c r="F333" s="932">
        <f t="shared" si="115"/>
        <v>44886.19930555555</v>
      </c>
      <c r="G333" s="932">
        <f t="shared" si="116"/>
        <v>44886.67083333333</v>
      </c>
      <c r="H333" s="2">
        <f t="shared" si="118"/>
        <v>10</v>
      </c>
      <c r="I333" s="2">
        <v>31.932220834135158</v>
      </c>
      <c r="J333" s="1317">
        <v>-20.071177549519199</v>
      </c>
      <c r="AP333" s="1855">
        <f t="shared" si="106"/>
        <v>44595</v>
      </c>
      <c r="AQ333" s="925" t="str">
        <f t="shared" si="107"/>
        <v>MS</v>
      </c>
      <c r="AR333" s="1856">
        <f t="shared" si="108"/>
        <v>44595.879166666666</v>
      </c>
      <c r="AS333" s="927" t="s">
        <v>1274</v>
      </c>
      <c r="AT333" s="1856" t="str">
        <f t="shared" si="100"/>
        <v/>
      </c>
      <c r="AU333" s="1856" t="str">
        <f t="shared" si="101"/>
        <v/>
      </c>
      <c r="AV333" s="1856" t="str">
        <f t="shared" si="102"/>
        <v/>
      </c>
      <c r="AW333" s="1856" t="str">
        <f t="shared" si="103"/>
        <v/>
      </c>
      <c r="AX333" s="1856" t="str">
        <f t="shared" si="104"/>
        <v/>
      </c>
      <c r="AY333" s="1856" t="str">
        <f t="shared" si="105"/>
        <v/>
      </c>
      <c r="BB333" s="1879">
        <v>21</v>
      </c>
      <c r="BC333" s="1880">
        <v>0.19930555555555554</v>
      </c>
      <c r="BD333" s="1880" t="s">
        <v>771</v>
      </c>
      <c r="BE333" s="1880">
        <v>0.67013888888888884</v>
      </c>
      <c r="BF333" s="1880" t="s">
        <v>869</v>
      </c>
      <c r="BG333" s="1879" t="s">
        <v>241</v>
      </c>
      <c r="BH333" s="1880">
        <v>0.4381944444444445</v>
      </c>
      <c r="BI333" s="1879" t="s">
        <v>1176</v>
      </c>
      <c r="BJ333" s="1881">
        <v>233934</v>
      </c>
      <c r="BK333" s="1882">
        <v>6.9000000000000006E-2</v>
      </c>
      <c r="BL333" s="1619">
        <f t="shared" si="109"/>
        <v>44886</v>
      </c>
      <c r="BM333" s="1856">
        <f t="shared" si="119"/>
        <v>0.4381944444444445</v>
      </c>
      <c r="BN333" s="934">
        <f t="shared" si="110"/>
        <v>41.5</v>
      </c>
    </row>
    <row r="334" spans="1:66" ht="14.5">
      <c r="A334" s="1">
        <f t="shared" si="117"/>
        <v>44887</v>
      </c>
      <c r="B334" s="932">
        <f t="shared" si="111"/>
        <v>44887.271527777775</v>
      </c>
      <c r="C334" s="932">
        <f t="shared" si="112"/>
        <v>44887.313194444439</v>
      </c>
      <c r="D334" s="932">
        <f t="shared" si="113"/>
        <v>44887.727777777778</v>
      </c>
      <c r="E334" s="932">
        <f t="shared" si="114"/>
        <v>44887.770138888889</v>
      </c>
      <c r="F334" s="932">
        <f t="shared" si="115"/>
        <v>44887.247916666667</v>
      </c>
      <c r="G334" s="932">
        <f t="shared" si="116"/>
        <v>44887.692361111105</v>
      </c>
      <c r="H334" s="2">
        <f t="shared" si="118"/>
        <v>4</v>
      </c>
      <c r="I334" s="2">
        <v>31.723786915988892</v>
      </c>
      <c r="J334" s="1317">
        <v>-20.284317981783484</v>
      </c>
      <c r="AP334" s="1855">
        <f t="shared" si="106"/>
        <v>44596</v>
      </c>
      <c r="AQ334" s="925" t="str">
        <f t="shared" si="107"/>
        <v/>
      </c>
      <c r="AR334" s="1856" t="str">
        <f t="shared" si="108"/>
        <v/>
      </c>
      <c r="AS334" s="927">
        <v>4</v>
      </c>
      <c r="AT334" s="1856">
        <f t="shared" si="100"/>
        <v>44596.282638888886</v>
      </c>
      <c r="AU334" s="1856">
        <f t="shared" si="101"/>
        <v>44596.323611111111</v>
      </c>
      <c r="AV334" s="1856">
        <f t="shared" si="102"/>
        <v>44596.756944444445</v>
      </c>
      <c r="AW334" s="1856">
        <f t="shared" si="103"/>
        <v>44596.797222222223</v>
      </c>
      <c r="AX334" s="1856">
        <f t="shared" si="104"/>
        <v>44596.420138888883</v>
      </c>
      <c r="AY334" s="1856">
        <f t="shared" si="105"/>
        <v>44596.924305555556</v>
      </c>
      <c r="AZ334" s="1853">
        <v>0.11</v>
      </c>
      <c r="BB334" s="1879">
        <v>22</v>
      </c>
      <c r="BC334" s="1880">
        <v>0.24791666666666667</v>
      </c>
      <c r="BD334" s="1880" t="s">
        <v>940</v>
      </c>
      <c r="BE334" s="1880">
        <v>0.69166666666666676</v>
      </c>
      <c r="BF334" s="1880" t="s">
        <v>750</v>
      </c>
      <c r="BG334" s="1879" t="s">
        <v>241</v>
      </c>
      <c r="BH334" s="1880">
        <v>0.47291666666666665</v>
      </c>
      <c r="BI334" s="1879" t="s">
        <v>515</v>
      </c>
      <c r="BJ334" s="1881">
        <v>230649</v>
      </c>
      <c r="BK334" s="1882">
        <v>2.1999999999999999E-2</v>
      </c>
      <c r="BL334" s="1619">
        <f t="shared" si="109"/>
        <v>44887</v>
      </c>
      <c r="BM334" s="1856">
        <f t="shared" si="119"/>
        <v>0.47291666666666665</v>
      </c>
      <c r="BN334" s="934">
        <f t="shared" si="110"/>
        <v>35.5</v>
      </c>
    </row>
    <row r="335" spans="1:66" ht="14.5">
      <c r="A335" s="1">
        <f t="shared" si="117"/>
        <v>44888</v>
      </c>
      <c r="B335" s="932">
        <f t="shared" si="111"/>
        <v>44888.272222222222</v>
      </c>
      <c r="C335" s="932">
        <f t="shared" si="112"/>
        <v>44888.313888888886</v>
      </c>
      <c r="D335" s="932">
        <f t="shared" si="113"/>
        <v>44888.727777777778</v>
      </c>
      <c r="E335" s="932">
        <f t="shared" si="114"/>
        <v>44888.770138888889</v>
      </c>
      <c r="F335" s="932">
        <f t="shared" si="115"/>
        <v>44888.299305555556</v>
      </c>
      <c r="G335" s="932">
        <f t="shared" si="116"/>
        <v>44888.718055555561</v>
      </c>
      <c r="H335" s="2">
        <f t="shared" si="118"/>
        <v>1</v>
      </c>
      <c r="I335" s="2">
        <v>31.521646821037102</v>
      </c>
      <c r="J335" s="1317">
        <v>-20.491240015468115</v>
      </c>
      <c r="AP335" s="1855">
        <f t="shared" si="106"/>
        <v>44596</v>
      </c>
      <c r="AQ335" s="925" t="str">
        <f t="shared" si="107"/>
        <v/>
      </c>
      <c r="AR335" s="1856" t="str">
        <f t="shared" si="108"/>
        <v/>
      </c>
      <c r="AS335" s="927" t="s">
        <v>252</v>
      </c>
      <c r="AT335" s="1856" t="str">
        <f t="shared" si="100"/>
        <v/>
      </c>
      <c r="AU335" s="1856" t="str">
        <f t="shared" si="101"/>
        <v/>
      </c>
      <c r="AV335" s="1856" t="str">
        <f t="shared" si="102"/>
        <v/>
      </c>
      <c r="AW335" s="1856" t="str">
        <f t="shared" si="103"/>
        <v/>
      </c>
      <c r="AX335" s="1856" t="str">
        <f t="shared" si="104"/>
        <v/>
      </c>
      <c r="AY335" s="1856" t="str">
        <f t="shared" si="105"/>
        <v/>
      </c>
      <c r="BB335" s="1879" t="s">
        <v>1275</v>
      </c>
      <c r="BC335" s="1880">
        <v>0.29930555555555555</v>
      </c>
      <c r="BD335" s="1880" t="s">
        <v>786</v>
      </c>
      <c r="BE335" s="1880">
        <v>0.71736111111111101</v>
      </c>
      <c r="BF335" s="1880" t="s">
        <v>787</v>
      </c>
      <c r="BG335" s="1879" t="s">
        <v>241</v>
      </c>
      <c r="BH335" s="1880">
        <v>0.51041666666666663</v>
      </c>
      <c r="BI335" s="1879" t="s">
        <v>1276</v>
      </c>
      <c r="BJ335" s="1881">
        <v>228006</v>
      </c>
      <c r="BK335" s="1882">
        <v>1E-3</v>
      </c>
      <c r="BL335" s="1619">
        <f t="shared" si="109"/>
        <v>44888</v>
      </c>
      <c r="BM335" s="1856">
        <f t="shared" si="119"/>
        <v>0.51041666666666663</v>
      </c>
      <c r="BN335" s="934">
        <f t="shared" si="110"/>
        <v>30.2</v>
      </c>
    </row>
    <row r="336" spans="1:66" ht="14.5">
      <c r="A336" s="1">
        <f t="shared" si="117"/>
        <v>44889</v>
      </c>
      <c r="B336" s="932">
        <f t="shared" si="111"/>
        <v>44889.272916666669</v>
      </c>
      <c r="C336" s="932">
        <f t="shared" si="112"/>
        <v>44889.314583333333</v>
      </c>
      <c r="D336" s="932">
        <f t="shared" si="113"/>
        <v>44889.727083333339</v>
      </c>
      <c r="E336" s="932">
        <f t="shared" si="114"/>
        <v>44889.769444444442</v>
      </c>
      <c r="F336" s="932">
        <f t="shared" si="115"/>
        <v>44889.352083333339</v>
      </c>
      <c r="G336" s="932">
        <f t="shared" si="116"/>
        <v>44889.749305555561</v>
      </c>
      <c r="H336" s="2">
        <f t="shared" si="118"/>
        <v>0</v>
      </c>
      <c r="I336" s="2">
        <v>31.325883063129154</v>
      </c>
      <c r="J336" s="1317">
        <v>-20.691847457935175</v>
      </c>
      <c r="AP336" s="1855">
        <f t="shared" si="106"/>
        <v>44596</v>
      </c>
      <c r="AQ336" s="925" t="str">
        <f t="shared" si="107"/>
        <v/>
      </c>
      <c r="AR336" s="1856" t="str">
        <f t="shared" si="108"/>
        <v/>
      </c>
      <c r="AT336" s="1856" t="str">
        <f t="shared" si="100"/>
        <v/>
      </c>
      <c r="AU336" s="1856" t="str">
        <f t="shared" si="101"/>
        <v/>
      </c>
      <c r="AV336" s="1856" t="str">
        <f t="shared" si="102"/>
        <v/>
      </c>
      <c r="AW336" s="1856" t="str">
        <f t="shared" si="103"/>
        <v/>
      </c>
      <c r="AX336" s="1856" t="str">
        <f t="shared" si="104"/>
        <v/>
      </c>
      <c r="AY336" s="1856" t="str">
        <f t="shared" si="105"/>
        <v/>
      </c>
      <c r="BB336" s="1879">
        <v>24</v>
      </c>
      <c r="BC336" s="1880">
        <v>0.3520833333333333</v>
      </c>
      <c r="BD336" s="1880" t="s">
        <v>713</v>
      </c>
      <c r="BE336" s="1880">
        <v>0.74861111111111101</v>
      </c>
      <c r="BF336" s="1880" t="s">
        <v>721</v>
      </c>
      <c r="BG336" s="1879" t="s">
        <v>241</v>
      </c>
      <c r="BH336" s="1880">
        <v>0.55208333333333337</v>
      </c>
      <c r="BI336" s="1879" t="s">
        <v>1095</v>
      </c>
      <c r="BJ336" s="1881">
        <v>226241</v>
      </c>
      <c r="BK336" s="1882">
        <v>0.01</v>
      </c>
      <c r="BL336" s="1619">
        <f t="shared" si="109"/>
        <v>44889</v>
      </c>
      <c r="BM336" s="1856">
        <f t="shared" si="119"/>
        <v>0.55208333333333337</v>
      </c>
      <c r="BN336" s="934">
        <f t="shared" si="110"/>
        <v>26.2</v>
      </c>
    </row>
    <row r="337" spans="1:66" ht="14.5">
      <c r="A337" s="1">
        <f t="shared" si="117"/>
        <v>44890</v>
      </c>
      <c r="B337" s="932">
        <f t="shared" si="111"/>
        <v>44890.272916666669</v>
      </c>
      <c r="C337" s="932">
        <f t="shared" si="112"/>
        <v>44890.315277777772</v>
      </c>
      <c r="D337" s="932">
        <f t="shared" si="113"/>
        <v>44890.727083333339</v>
      </c>
      <c r="E337" s="932">
        <f t="shared" si="114"/>
        <v>44890.769444444442</v>
      </c>
      <c r="F337" s="932">
        <f t="shared" si="115"/>
        <v>44890.40347222222</v>
      </c>
      <c r="G337" s="932">
        <f t="shared" si="116"/>
        <v>44890.788888888892</v>
      </c>
      <c r="H337" s="2">
        <f t="shared" si="118"/>
        <v>2</v>
      </c>
      <c r="I337" s="2">
        <v>31.136576061387572</v>
      </c>
      <c r="J337" s="1317">
        <v>-20.886046002568321</v>
      </c>
      <c r="AP337" s="1855">
        <f t="shared" si="106"/>
        <v>44596</v>
      </c>
      <c r="AQ337" s="925" t="str">
        <f t="shared" si="107"/>
        <v>BMNT</v>
      </c>
      <c r="AR337" s="1856">
        <f t="shared" si="108"/>
        <v>44596.282638888886</v>
      </c>
      <c r="AS337" s="927" t="s">
        <v>1277</v>
      </c>
      <c r="AT337" s="1856" t="str">
        <f t="shared" si="100"/>
        <v/>
      </c>
      <c r="AU337" s="1856" t="str">
        <f t="shared" si="101"/>
        <v/>
      </c>
      <c r="AV337" s="1856" t="str">
        <f t="shared" si="102"/>
        <v/>
      </c>
      <c r="AW337" s="1856" t="str">
        <f t="shared" si="103"/>
        <v/>
      </c>
      <c r="AX337" s="1856" t="str">
        <f t="shared" si="104"/>
        <v/>
      </c>
      <c r="AY337" s="1856" t="str">
        <f t="shared" si="105"/>
        <v/>
      </c>
      <c r="BB337" s="1879">
        <v>25</v>
      </c>
      <c r="BC337" s="1880">
        <v>0.40347222222222223</v>
      </c>
      <c r="BD337" s="1880" t="s">
        <v>882</v>
      </c>
      <c r="BE337" s="1880">
        <v>0.78819444444444453</v>
      </c>
      <c r="BF337" s="1880" t="s">
        <v>1207</v>
      </c>
      <c r="BG337" s="1879" t="s">
        <v>241</v>
      </c>
      <c r="BH337" s="1880">
        <v>0.59652777777777777</v>
      </c>
      <c r="BI337" s="1879" t="s">
        <v>1278</v>
      </c>
      <c r="BJ337" s="1881">
        <v>225480</v>
      </c>
      <c r="BK337" s="1882">
        <v>4.9000000000000002E-2</v>
      </c>
      <c r="BL337" s="1619">
        <f t="shared" si="109"/>
        <v>44890</v>
      </c>
      <c r="BM337" s="1856">
        <f t="shared" si="119"/>
        <v>0.59652777777777777</v>
      </c>
      <c r="BN337" s="934">
        <f t="shared" si="110"/>
        <v>24.1</v>
      </c>
    </row>
    <row r="338" spans="1:66" ht="14.5">
      <c r="A338" s="1">
        <f t="shared" si="117"/>
        <v>44891</v>
      </c>
      <c r="B338" s="932">
        <f t="shared" si="111"/>
        <v>44891.273611111108</v>
      </c>
      <c r="C338" s="932">
        <f t="shared" si="112"/>
        <v>44891.315972222219</v>
      </c>
      <c r="D338" s="932">
        <f t="shared" si="113"/>
        <v>44891.727083333339</v>
      </c>
      <c r="E338" s="932">
        <f t="shared" si="114"/>
        <v>44891.769444444442</v>
      </c>
      <c r="F338" s="932">
        <f t="shared" si="115"/>
        <v>44891.450694444444</v>
      </c>
      <c r="G338" s="932">
        <f t="shared" si="116"/>
        <v>44891.834722222222</v>
      </c>
      <c r="H338" s="2">
        <f t="shared" si="118"/>
        <v>7.0000000000000009</v>
      </c>
      <c r="I338" s="2">
        <v>30.953804073920384</v>
      </c>
      <c r="J338" s="1317">
        <v>-21.07374334456766</v>
      </c>
      <c r="AP338" s="1855">
        <f t="shared" si="106"/>
        <v>44596</v>
      </c>
      <c r="AQ338" s="925" t="str">
        <f t="shared" si="107"/>
        <v>SR</v>
      </c>
      <c r="AR338" s="1856">
        <f t="shared" si="108"/>
        <v>44596.323611111111</v>
      </c>
      <c r="AS338" s="927" t="s">
        <v>1279</v>
      </c>
      <c r="AT338" s="1856" t="str">
        <f t="shared" si="100"/>
        <v/>
      </c>
      <c r="AU338" s="1856" t="str">
        <f t="shared" si="101"/>
        <v/>
      </c>
      <c r="AV338" s="1856" t="str">
        <f t="shared" si="102"/>
        <v/>
      </c>
      <c r="AW338" s="1856" t="str">
        <f t="shared" si="103"/>
        <v/>
      </c>
      <c r="AX338" s="1856" t="str">
        <f t="shared" si="104"/>
        <v/>
      </c>
      <c r="AY338" s="1856" t="str">
        <f t="shared" si="105"/>
        <v/>
      </c>
      <c r="BB338" s="1879">
        <v>26</v>
      </c>
      <c r="BC338" s="1880">
        <v>0.45069444444444445</v>
      </c>
      <c r="BD338" s="1880" t="s">
        <v>1204</v>
      </c>
      <c r="BE338" s="1880">
        <v>0.83472222222222225</v>
      </c>
      <c r="BF338" s="1880" t="s">
        <v>936</v>
      </c>
      <c r="BG338" s="1879" t="s">
        <v>241</v>
      </c>
      <c r="BH338" s="1880">
        <v>0.64166666666666672</v>
      </c>
      <c r="BI338" s="1879" t="s">
        <v>1280</v>
      </c>
      <c r="BJ338" s="1881">
        <v>225723</v>
      </c>
      <c r="BK338" s="1882">
        <v>0.11700000000000001</v>
      </c>
      <c r="BL338" s="1619">
        <f t="shared" si="109"/>
        <v>44891</v>
      </c>
      <c r="BM338" s="1856">
        <f t="shared" si="119"/>
        <v>0.64166666666666672</v>
      </c>
      <c r="BN338" s="934">
        <f t="shared" si="110"/>
        <v>24</v>
      </c>
    </row>
    <row r="339" spans="1:66" ht="14.5">
      <c r="A339" s="1">
        <f t="shared" si="117"/>
        <v>44892</v>
      </c>
      <c r="B339" s="932">
        <f t="shared" si="111"/>
        <v>44892.274305555555</v>
      </c>
      <c r="C339" s="932">
        <f t="shared" si="112"/>
        <v>44892.316666666666</v>
      </c>
      <c r="D339" s="932">
        <f t="shared" si="113"/>
        <v>44892.726388888892</v>
      </c>
      <c r="E339" s="932">
        <f t="shared" si="114"/>
        <v>44892.768750000003</v>
      </c>
      <c r="F339" s="932">
        <f t="shared" si="115"/>
        <v>44892.490277777782</v>
      </c>
      <c r="G339" s="932">
        <f t="shared" si="116"/>
        <v>44892.886111111111</v>
      </c>
      <c r="H339" s="2">
        <f t="shared" si="118"/>
        <v>15</v>
      </c>
      <c r="I339" s="2">
        <v>30.777643131836669</v>
      </c>
      <c r="J339" s="1317">
        <v>-21.254849297368075</v>
      </c>
      <c r="AP339" s="1855">
        <f t="shared" si="106"/>
        <v>44596</v>
      </c>
      <c r="AQ339" s="925" t="str">
        <f t="shared" si="107"/>
        <v>MR</v>
      </c>
      <c r="AR339" s="1856">
        <f t="shared" si="108"/>
        <v>44596.420138888883</v>
      </c>
      <c r="AS339" s="927" t="s">
        <v>1281</v>
      </c>
      <c r="AT339" s="1856" t="str">
        <f t="shared" si="100"/>
        <v/>
      </c>
      <c r="AU339" s="1856" t="str">
        <f t="shared" si="101"/>
        <v/>
      </c>
      <c r="AV339" s="1856" t="str">
        <f t="shared" si="102"/>
        <v/>
      </c>
      <c r="AW339" s="1856" t="str">
        <f t="shared" si="103"/>
        <v/>
      </c>
      <c r="AX339" s="1856" t="str">
        <f t="shared" si="104"/>
        <v/>
      </c>
      <c r="AY339" s="1856" t="str">
        <f t="shared" si="105"/>
        <v/>
      </c>
      <c r="BB339" s="1879">
        <v>27</v>
      </c>
      <c r="BC339" s="1880">
        <v>0.48958333333333331</v>
      </c>
      <c r="BD339" s="1880" t="s">
        <v>571</v>
      </c>
      <c r="BE339" s="1880">
        <v>0.88541666666666663</v>
      </c>
      <c r="BF339" s="1879" t="s">
        <v>578</v>
      </c>
      <c r="BG339" s="1880" t="s">
        <v>241</v>
      </c>
      <c r="BH339" s="1880">
        <v>0.68611111111111101</v>
      </c>
      <c r="BI339" s="1881" t="s">
        <v>977</v>
      </c>
      <c r="BJ339" s="1882">
        <v>226845</v>
      </c>
      <c r="BK339" s="1882">
        <v>0.20799999999999999</v>
      </c>
      <c r="BL339" s="1619">
        <f t="shared" si="109"/>
        <v>44892</v>
      </c>
      <c r="BM339" s="1856">
        <f t="shared" si="119"/>
        <v>0.68611111111111101</v>
      </c>
      <c r="BN339" s="934">
        <f t="shared" si="110"/>
        <v>26</v>
      </c>
    </row>
    <row r="340" spans="1:66" ht="14.5">
      <c r="A340" s="1">
        <f t="shared" si="117"/>
        <v>44893</v>
      </c>
      <c r="B340" s="932">
        <f t="shared" si="111"/>
        <v>44893.275000000001</v>
      </c>
      <c r="C340" s="932">
        <f t="shared" si="112"/>
        <v>44893.317361111105</v>
      </c>
      <c r="D340" s="932">
        <f t="shared" si="113"/>
        <v>44893.726388888892</v>
      </c>
      <c r="E340" s="932">
        <f t="shared" si="114"/>
        <v>44893.768750000003</v>
      </c>
      <c r="F340" s="932">
        <f t="shared" si="115"/>
        <v>44893.522222222222</v>
      </c>
      <c r="G340" s="932">
        <f t="shared" si="116"/>
        <v>44893.938194444439</v>
      </c>
      <c r="H340" s="2">
        <f t="shared" si="118"/>
        <v>24</v>
      </c>
      <c r="I340" s="2">
        <v>30.608166973667235</v>
      </c>
      <c r="J340" s="1317">
        <v>-21.429275909358399</v>
      </c>
      <c r="AP340" s="1855">
        <f t="shared" si="106"/>
        <v>44596</v>
      </c>
      <c r="AQ340" s="925" t="str">
        <f t="shared" si="107"/>
        <v>SS</v>
      </c>
      <c r="AR340" s="1856">
        <f t="shared" si="108"/>
        <v>44596.756944444445</v>
      </c>
      <c r="AS340" s="927" t="s">
        <v>1282</v>
      </c>
      <c r="AT340" s="1856" t="str">
        <f t="shared" si="100"/>
        <v/>
      </c>
      <c r="AU340" s="1856" t="str">
        <f t="shared" si="101"/>
        <v/>
      </c>
      <c r="AV340" s="1856" t="str">
        <f t="shared" si="102"/>
        <v/>
      </c>
      <c r="AW340" s="1856" t="str">
        <f t="shared" si="103"/>
        <v/>
      </c>
      <c r="AX340" s="1856" t="str">
        <f t="shared" si="104"/>
        <v/>
      </c>
      <c r="AY340" s="1856" t="str">
        <f t="shared" si="105"/>
        <v/>
      </c>
      <c r="BB340" s="1879">
        <v>28</v>
      </c>
      <c r="BC340" s="1880">
        <v>0.52152777777777781</v>
      </c>
      <c r="BD340" s="1879" t="s">
        <v>552</v>
      </c>
      <c r="BE340" s="1880">
        <v>0.9375</v>
      </c>
      <c r="BF340" s="1879" t="s">
        <v>931</v>
      </c>
      <c r="BG340" s="1879" t="s">
        <v>241</v>
      </c>
      <c r="BH340" s="1880">
        <v>0.7270833333333333</v>
      </c>
      <c r="BI340" s="1879" t="s">
        <v>1165</v>
      </c>
      <c r="BJ340" s="1881">
        <v>228641</v>
      </c>
      <c r="BK340" s="1882">
        <v>0.315</v>
      </c>
      <c r="BL340" s="1619">
        <f t="shared" si="109"/>
        <v>44893</v>
      </c>
      <c r="BM340" s="1856">
        <f t="shared" si="119"/>
        <v>0.7270833333333333</v>
      </c>
      <c r="BN340" s="934">
        <f t="shared" si="110"/>
        <v>29.9</v>
      </c>
    </row>
    <row r="341" spans="1:66" ht="14.5">
      <c r="A341" s="1">
        <f t="shared" si="117"/>
        <v>44894</v>
      </c>
      <c r="B341" s="932">
        <f t="shared" si="111"/>
        <v>44894.275694444441</v>
      </c>
      <c r="C341" s="932">
        <f t="shared" si="112"/>
        <v>44894.318055555552</v>
      </c>
      <c r="D341" s="932">
        <f t="shared" si="113"/>
        <v>44894.726388888892</v>
      </c>
      <c r="E341" s="932">
        <f t="shared" si="114"/>
        <v>44894.768750000003</v>
      </c>
      <c r="F341" s="932">
        <f t="shared" si="115"/>
        <v>44894.547916666663</v>
      </c>
      <c r="G341" s="932">
        <f t="shared" si="116"/>
        <v>44894.988888888889</v>
      </c>
      <c r="H341" s="2">
        <f t="shared" si="118"/>
        <v>35</v>
      </c>
      <c r="I341" s="2">
        <v>30.445446980300201</v>
      </c>
      <c r="J341" s="1317">
        <v>-21.596937580566717</v>
      </c>
      <c r="AP341" s="1855">
        <f t="shared" si="106"/>
        <v>44596</v>
      </c>
      <c r="AQ341" s="925" t="str">
        <f t="shared" si="107"/>
        <v>EENT</v>
      </c>
      <c r="AR341" s="1856">
        <f t="shared" si="108"/>
        <v>44596.797222222223</v>
      </c>
      <c r="AS341" s="927" t="s">
        <v>1283</v>
      </c>
      <c r="AT341" s="1856" t="str">
        <f t="shared" si="100"/>
        <v/>
      </c>
      <c r="AU341" s="1856" t="str">
        <f t="shared" si="101"/>
        <v/>
      </c>
      <c r="AV341" s="1856" t="str">
        <f t="shared" si="102"/>
        <v/>
      </c>
      <c r="AW341" s="1856" t="str">
        <f t="shared" si="103"/>
        <v/>
      </c>
      <c r="AX341" s="1856" t="str">
        <f t="shared" si="104"/>
        <v/>
      </c>
      <c r="AY341" s="1856" t="str">
        <f t="shared" si="105"/>
        <v/>
      </c>
      <c r="BB341" s="1879">
        <v>29</v>
      </c>
      <c r="BC341" s="1880">
        <v>0.54722222222222217</v>
      </c>
      <c r="BD341" s="1879" t="s">
        <v>594</v>
      </c>
      <c r="BE341" s="1880">
        <v>0.98819444444444438</v>
      </c>
      <c r="BF341" s="1879" t="s">
        <v>514</v>
      </c>
      <c r="BG341" s="1879" t="s">
        <v>241</v>
      </c>
      <c r="BH341" s="1880">
        <v>0.76527777777777783</v>
      </c>
      <c r="BI341" s="1879" t="s">
        <v>1284</v>
      </c>
      <c r="BJ341" s="1881">
        <v>230880</v>
      </c>
      <c r="BK341" s="1882">
        <v>0.43</v>
      </c>
      <c r="BL341" s="1619">
        <f t="shared" si="109"/>
        <v>44894</v>
      </c>
      <c r="BM341" s="1856">
        <f t="shared" si="119"/>
        <v>0.76527777777777783</v>
      </c>
      <c r="BN341" s="934">
        <f t="shared" si="110"/>
        <v>35</v>
      </c>
    </row>
    <row r="342" spans="1:66" ht="14.5">
      <c r="A342" s="1">
        <f t="shared" si="117"/>
        <v>44895</v>
      </c>
      <c r="B342" s="932">
        <f t="shared" si="111"/>
        <v>44895.276388888888</v>
      </c>
      <c r="C342" s="932">
        <f t="shared" si="112"/>
        <v>44895.318749999999</v>
      </c>
      <c r="D342" s="932">
        <f t="shared" si="113"/>
        <v>44895.725694444445</v>
      </c>
      <c r="E342" s="932">
        <f t="shared" si="114"/>
        <v>44895.768750000003</v>
      </c>
      <c r="F342" s="932">
        <f t="shared" si="115"/>
        <v>44895.569444444445</v>
      </c>
      <c r="G342" s="932" t="str">
        <f t="shared" si="116"/>
        <v>NONE</v>
      </c>
      <c r="H342" s="2">
        <f t="shared" si="118"/>
        <v>46</v>
      </c>
      <c r="I342" s="2">
        <v>30.2895521105557</v>
      </c>
      <c r="J342" s="1317">
        <v>-21.757751178959108</v>
      </c>
      <c r="AP342" s="1855">
        <f t="shared" si="106"/>
        <v>44596</v>
      </c>
      <c r="AQ342" s="925" t="str">
        <f t="shared" si="107"/>
        <v>MS</v>
      </c>
      <c r="AR342" s="1856">
        <f t="shared" si="108"/>
        <v>44596.924305555556</v>
      </c>
      <c r="AS342" s="927" t="s">
        <v>1285</v>
      </c>
      <c r="AT342" s="1856" t="str">
        <f t="shared" si="100"/>
        <v/>
      </c>
      <c r="AU342" s="1856" t="str">
        <f t="shared" si="101"/>
        <v/>
      </c>
      <c r="AV342" s="1856" t="str">
        <f t="shared" si="102"/>
        <v/>
      </c>
      <c r="AW342" s="1856" t="str">
        <f t="shared" si="103"/>
        <v/>
      </c>
      <c r="AX342" s="1856" t="str">
        <f t="shared" si="104"/>
        <v/>
      </c>
      <c r="AY342" s="1856" t="str">
        <f t="shared" si="105"/>
        <v/>
      </c>
      <c r="BB342" s="1879" t="s">
        <v>1286</v>
      </c>
      <c r="BC342" s="1880">
        <v>0.56874999999999998</v>
      </c>
      <c r="BD342" s="1879" t="s">
        <v>530</v>
      </c>
      <c r="BE342" s="1880" t="s">
        <v>241</v>
      </c>
      <c r="BF342" s="1879" t="s">
        <v>241</v>
      </c>
      <c r="BG342" s="1880">
        <v>0.79999999999999993</v>
      </c>
      <c r="BH342" s="1880" t="s">
        <v>1287</v>
      </c>
      <c r="BI342" s="1881">
        <v>233348</v>
      </c>
      <c r="BJ342" s="1881">
        <v>0.54600000000000004</v>
      </c>
      <c r="BK342" s="1882"/>
      <c r="BL342" s="1619">
        <f t="shared" si="109"/>
        <v>44895</v>
      </c>
      <c r="BM342" s="1856">
        <f t="shared" si="119"/>
        <v>0.79999999999999993</v>
      </c>
      <c r="BN342" s="934">
        <f t="shared" si="110"/>
        <v>40.9</v>
      </c>
    </row>
    <row r="343" spans="1:66" ht="14.5">
      <c r="A343" s="1">
        <f t="shared" si="117"/>
        <v>44896</v>
      </c>
      <c r="B343" s="932">
        <f t="shared" si="111"/>
        <v>44896.277083333334</v>
      </c>
      <c r="C343" s="932">
        <f t="shared" si="112"/>
        <v>44896.319444444445</v>
      </c>
      <c r="D343" s="932">
        <f t="shared" si="113"/>
        <v>44896.725694444445</v>
      </c>
      <c r="E343" s="932">
        <f t="shared" si="114"/>
        <v>44896.768055555556</v>
      </c>
      <c r="F343" s="932">
        <f t="shared" si="115"/>
        <v>44896.588194444448</v>
      </c>
      <c r="G343" s="932">
        <f t="shared" si="116"/>
        <v>44896.037499999999</v>
      </c>
      <c r="H343" s="2">
        <f t="shared" si="118"/>
        <v>56.999999999999993</v>
      </c>
      <c r="I343" s="2">
        <v>30.140548837525955</v>
      </c>
      <c r="J343" s="1317">
        <v>-21.911636155995012</v>
      </c>
      <c r="AP343" s="1855">
        <f t="shared" si="106"/>
        <v>44597</v>
      </c>
      <c r="AQ343" s="925" t="str">
        <f t="shared" si="107"/>
        <v/>
      </c>
      <c r="AR343" s="1856" t="str">
        <f t="shared" si="108"/>
        <v/>
      </c>
      <c r="AS343" s="927">
        <v>5</v>
      </c>
      <c r="AT343" s="1856">
        <f t="shared" si="100"/>
        <v>44597.281944444447</v>
      </c>
      <c r="AU343" s="1856">
        <f t="shared" si="101"/>
        <v>44597.322916666664</v>
      </c>
      <c r="AV343" s="1856">
        <f t="shared" si="102"/>
        <v>44597.757638888892</v>
      </c>
      <c r="AW343" s="1856">
        <f t="shared" si="103"/>
        <v>44597.797916666663</v>
      </c>
      <c r="AX343" s="1856">
        <f t="shared" si="104"/>
        <v>44597.438194444439</v>
      </c>
      <c r="AY343" s="1856">
        <f t="shared" si="105"/>
        <v>44597.968055555561</v>
      </c>
      <c r="AZ343" s="1853">
        <v>0.19</v>
      </c>
      <c r="BB343" s="1879">
        <v>1</v>
      </c>
      <c r="BC343" s="1880" t="s">
        <v>241</v>
      </c>
      <c r="BD343" s="1880">
        <v>3.6805555555555557E-2</v>
      </c>
      <c r="BE343" s="1880" t="s">
        <v>1016</v>
      </c>
      <c r="BF343" s="1880">
        <v>0.58750000000000002</v>
      </c>
      <c r="BG343" s="1879" t="s">
        <v>519</v>
      </c>
      <c r="BH343" s="1880">
        <v>0.83194444444444438</v>
      </c>
      <c r="BI343" s="1879" t="s">
        <v>1288</v>
      </c>
      <c r="BJ343" s="1881">
        <v>235882</v>
      </c>
      <c r="BK343" s="1882">
        <v>0.65600000000000003</v>
      </c>
      <c r="BL343" s="1619">
        <f t="shared" si="109"/>
        <v>44896</v>
      </c>
      <c r="BM343" s="1856">
        <f t="shared" si="119"/>
        <v>0.83194444444444438</v>
      </c>
      <c r="BN343" s="934">
        <f t="shared" si="110"/>
        <v>47.2</v>
      </c>
    </row>
    <row r="344" spans="1:66" ht="14.5">
      <c r="A344" s="1">
        <f t="shared" si="117"/>
        <v>44897</v>
      </c>
      <c r="B344" s="932">
        <f t="shared" si="111"/>
        <v>44897.277777777781</v>
      </c>
      <c r="C344" s="932">
        <f t="shared" si="112"/>
        <v>44897.320138888885</v>
      </c>
      <c r="D344" s="932">
        <f t="shared" si="113"/>
        <v>44897.725694444445</v>
      </c>
      <c r="E344" s="932">
        <f t="shared" si="114"/>
        <v>44897.768055555556</v>
      </c>
      <c r="F344" s="932">
        <f t="shared" si="115"/>
        <v>44897.605555555558</v>
      </c>
      <c r="G344" s="932">
        <f t="shared" si="116"/>
        <v>44897.084027777782</v>
      </c>
      <c r="H344" s="2">
        <f t="shared" si="118"/>
        <v>67</v>
      </c>
      <c r="I344" s="2">
        <v>29.99850108582547</v>
      </c>
      <c r="J344" s="1317">
        <v>-22.058514661062617</v>
      </c>
      <c r="AP344" s="1855">
        <f t="shared" si="106"/>
        <v>44597</v>
      </c>
      <c r="AQ344" s="925" t="str">
        <f t="shared" si="107"/>
        <v/>
      </c>
      <c r="AR344" s="1856" t="str">
        <f t="shared" si="108"/>
        <v/>
      </c>
      <c r="AS344" s="927" t="s">
        <v>252</v>
      </c>
      <c r="AT344" s="1856" t="str">
        <f t="shared" si="100"/>
        <v/>
      </c>
      <c r="AU344" s="1856" t="str">
        <f t="shared" si="101"/>
        <v/>
      </c>
      <c r="AV344" s="1856" t="str">
        <f t="shared" si="102"/>
        <v/>
      </c>
      <c r="AW344" s="1856" t="str">
        <f t="shared" si="103"/>
        <v/>
      </c>
      <c r="AX344" s="1856" t="str">
        <f t="shared" si="104"/>
        <v/>
      </c>
      <c r="AY344" s="1856" t="str">
        <f t="shared" si="105"/>
        <v/>
      </c>
      <c r="BB344" s="1879">
        <v>2</v>
      </c>
      <c r="BC344" s="1880" t="s">
        <v>241</v>
      </c>
      <c r="BD344" s="1880">
        <v>8.3333333333333329E-2</v>
      </c>
      <c r="BE344" s="1880" t="s">
        <v>923</v>
      </c>
      <c r="BF344" s="1880">
        <v>0.60486111111111118</v>
      </c>
      <c r="BG344" s="1879" t="s">
        <v>510</v>
      </c>
      <c r="BH344" s="1880">
        <v>0.86319444444444438</v>
      </c>
      <c r="BI344" s="1879" t="s">
        <v>992</v>
      </c>
      <c r="BJ344" s="1881">
        <v>238372</v>
      </c>
      <c r="BK344" s="1882">
        <v>0.75700000000000001</v>
      </c>
      <c r="BL344" s="1619">
        <f t="shared" si="109"/>
        <v>44897</v>
      </c>
      <c r="BM344" s="1856">
        <f t="shared" si="119"/>
        <v>0.86319444444444438</v>
      </c>
      <c r="BN344" s="934">
        <f t="shared" si="110"/>
        <v>53.6</v>
      </c>
    </row>
    <row r="345" spans="1:66" ht="14.5">
      <c r="A345" s="1">
        <f t="shared" si="117"/>
        <v>44898</v>
      </c>
      <c r="B345" s="932">
        <f t="shared" si="111"/>
        <v>44898.27847222222</v>
      </c>
      <c r="C345" s="932">
        <f t="shared" si="112"/>
        <v>44898.320833333331</v>
      </c>
      <c r="D345" s="932">
        <f t="shared" si="113"/>
        <v>44898.725694444445</v>
      </c>
      <c r="E345" s="932">
        <f t="shared" si="114"/>
        <v>44898.768055555556</v>
      </c>
      <c r="F345" s="932">
        <f t="shared" si="115"/>
        <v>44898.622916666667</v>
      </c>
      <c r="G345" s="932">
        <f t="shared" si="116"/>
        <v>44898.129166666666</v>
      </c>
      <c r="H345" s="2">
        <f t="shared" si="118"/>
        <v>77</v>
      </c>
      <c r="I345" s="2">
        <v>29.863470169895326</v>
      </c>
      <c r="J345" s="1317">
        <v>-22.198311654420152</v>
      </c>
      <c r="AP345" s="1855">
        <f t="shared" si="106"/>
        <v>44597</v>
      </c>
      <c r="AQ345" s="925" t="str">
        <f t="shared" si="107"/>
        <v/>
      </c>
      <c r="AR345" s="1856" t="str">
        <f t="shared" si="108"/>
        <v/>
      </c>
      <c r="AT345" s="1856" t="str">
        <f t="shared" si="100"/>
        <v/>
      </c>
      <c r="AU345" s="1856" t="str">
        <f t="shared" si="101"/>
        <v/>
      </c>
      <c r="AV345" s="1856" t="str">
        <f t="shared" si="102"/>
        <v/>
      </c>
      <c r="AW345" s="1856" t="str">
        <f t="shared" si="103"/>
        <v/>
      </c>
      <c r="AX345" s="1856" t="str">
        <f t="shared" si="104"/>
        <v/>
      </c>
      <c r="AY345" s="1856" t="str">
        <f t="shared" si="105"/>
        <v/>
      </c>
      <c r="BB345" s="1879">
        <v>3</v>
      </c>
      <c r="BC345" s="1880" t="s">
        <v>241</v>
      </c>
      <c r="BD345" s="1880">
        <v>0.12847222222222224</v>
      </c>
      <c r="BE345" s="1880" t="s">
        <v>504</v>
      </c>
      <c r="BF345" s="1880">
        <v>0.62152777777777779</v>
      </c>
      <c r="BG345" s="1879" t="s">
        <v>917</v>
      </c>
      <c r="BH345" s="1880">
        <v>0.89374999999999993</v>
      </c>
      <c r="BI345" s="1879" t="s">
        <v>1289</v>
      </c>
      <c r="BJ345" s="1881">
        <v>240756</v>
      </c>
      <c r="BK345" s="1882">
        <v>0.84299999999999997</v>
      </c>
      <c r="BL345" s="1619">
        <f t="shared" si="109"/>
        <v>44898</v>
      </c>
      <c r="BM345" s="1856">
        <f t="shared" si="119"/>
        <v>0.89374999999999993</v>
      </c>
      <c r="BN345" s="934">
        <f t="shared" si="110"/>
        <v>59.8</v>
      </c>
    </row>
    <row r="346" spans="1:66" ht="14.5">
      <c r="A346" s="1">
        <f t="shared" si="117"/>
        <v>44899</v>
      </c>
      <c r="B346" s="932">
        <f t="shared" si="111"/>
        <v>44899.27847222222</v>
      </c>
      <c r="C346" s="932">
        <f t="shared" si="112"/>
        <v>44899.321527777778</v>
      </c>
      <c r="D346" s="932">
        <f t="shared" si="113"/>
        <v>44899.725694444445</v>
      </c>
      <c r="E346" s="932">
        <f t="shared" si="114"/>
        <v>44899.768055555556</v>
      </c>
      <c r="F346" s="932">
        <f t="shared" si="115"/>
        <v>44899.640277777777</v>
      </c>
      <c r="G346" s="932">
        <f t="shared" si="116"/>
        <v>44899.173611111109</v>
      </c>
      <c r="H346" s="2">
        <f t="shared" si="118"/>
        <v>85</v>
      </c>
      <c r="I346" s="2">
        <v>29.735514733523697</v>
      </c>
      <c r="J346" s="1317">
        <v>-22.330955018251327</v>
      </c>
      <c r="AP346" s="1855">
        <f t="shared" si="106"/>
        <v>44597</v>
      </c>
      <c r="AQ346" s="925" t="str">
        <f t="shared" si="107"/>
        <v>BMNT</v>
      </c>
      <c r="AR346" s="1856">
        <f t="shared" si="108"/>
        <v>44597.281944444447</v>
      </c>
      <c r="AS346" s="927" t="s">
        <v>1290</v>
      </c>
      <c r="AT346" s="1856" t="str">
        <f t="shared" si="100"/>
        <v/>
      </c>
      <c r="AU346" s="1856" t="str">
        <f t="shared" si="101"/>
        <v/>
      </c>
      <c r="AV346" s="1856" t="str">
        <f t="shared" si="102"/>
        <v/>
      </c>
      <c r="AW346" s="1856" t="str">
        <f t="shared" si="103"/>
        <v/>
      </c>
      <c r="AX346" s="1856" t="str">
        <f t="shared" si="104"/>
        <v/>
      </c>
      <c r="AY346" s="1856" t="str">
        <f t="shared" si="105"/>
        <v/>
      </c>
      <c r="BB346" s="1879">
        <v>4</v>
      </c>
      <c r="BC346" s="1880" t="s">
        <v>241</v>
      </c>
      <c r="BD346" s="1880">
        <v>0.17291666666666669</v>
      </c>
      <c r="BE346" s="1880" t="s">
        <v>916</v>
      </c>
      <c r="BF346" s="1880">
        <v>0.63958333333333328</v>
      </c>
      <c r="BG346" s="1879" t="s">
        <v>843</v>
      </c>
      <c r="BH346" s="1880">
        <v>0.92499999999999993</v>
      </c>
      <c r="BI346" s="1879" t="s">
        <v>1266</v>
      </c>
      <c r="BJ346" s="1881">
        <v>243008</v>
      </c>
      <c r="BK346" s="1882">
        <v>0.91200000000000003</v>
      </c>
      <c r="BL346" s="1619">
        <f t="shared" si="109"/>
        <v>44899</v>
      </c>
      <c r="BM346" s="1856">
        <f t="shared" si="119"/>
        <v>0.92499999999999993</v>
      </c>
      <c r="BN346" s="934">
        <f t="shared" si="110"/>
        <v>65.599999999999994</v>
      </c>
    </row>
    <row r="347" spans="1:66" ht="14.5">
      <c r="A347" s="1">
        <f t="shared" si="117"/>
        <v>44900</v>
      </c>
      <c r="B347" s="932">
        <f t="shared" si="111"/>
        <v>44900.279166666667</v>
      </c>
      <c r="C347" s="932">
        <f t="shared" si="112"/>
        <v>44900.322222222218</v>
      </c>
      <c r="D347" s="932">
        <f t="shared" si="113"/>
        <v>44900.725000000006</v>
      </c>
      <c r="E347" s="932">
        <f t="shared" si="114"/>
        <v>44900.768055555556</v>
      </c>
      <c r="F347" s="932">
        <f t="shared" si="115"/>
        <v>44900.659722222219</v>
      </c>
      <c r="G347" s="932">
        <f t="shared" si="116"/>
        <v>44900.21875</v>
      </c>
      <c r="H347" s="2">
        <f t="shared" si="118"/>
        <v>92</v>
      </c>
      <c r="I347" s="2">
        <v>29.614690690740083</v>
      </c>
      <c r="J347" s="1317">
        <v>-22.456375665451418</v>
      </c>
      <c r="AP347" s="1855">
        <f t="shared" si="106"/>
        <v>44597</v>
      </c>
      <c r="AQ347" s="925" t="str">
        <f t="shared" si="107"/>
        <v>SR</v>
      </c>
      <c r="AR347" s="1856">
        <f t="shared" si="108"/>
        <v>44597.322916666664</v>
      </c>
      <c r="AS347" s="927" t="s">
        <v>1291</v>
      </c>
      <c r="AT347" s="1856" t="str">
        <f t="shared" si="100"/>
        <v/>
      </c>
      <c r="AU347" s="1856" t="str">
        <f t="shared" si="101"/>
        <v/>
      </c>
      <c r="AV347" s="1856" t="str">
        <f t="shared" si="102"/>
        <v/>
      </c>
      <c r="AW347" s="1856" t="str">
        <f t="shared" si="103"/>
        <v/>
      </c>
      <c r="AX347" s="1856" t="str">
        <f t="shared" si="104"/>
        <v/>
      </c>
      <c r="AY347" s="1856" t="str">
        <f t="shared" si="105"/>
        <v/>
      </c>
      <c r="BB347" s="1879">
        <v>5</v>
      </c>
      <c r="BC347" s="1880" t="s">
        <v>241</v>
      </c>
      <c r="BD347" s="1880">
        <v>0.21805555555555556</v>
      </c>
      <c r="BE347" s="1880" t="s">
        <v>914</v>
      </c>
      <c r="BF347" s="1880">
        <v>0.65902777777777777</v>
      </c>
      <c r="BG347" s="1879" t="s">
        <v>846</v>
      </c>
      <c r="BH347" s="1880">
        <v>0.95694444444444438</v>
      </c>
      <c r="BI347" s="1879" t="s">
        <v>583</v>
      </c>
      <c r="BJ347" s="1881">
        <v>245113</v>
      </c>
      <c r="BK347" s="1882">
        <v>0.96099999999999997</v>
      </c>
      <c r="BL347" s="1619">
        <f t="shared" si="109"/>
        <v>44900</v>
      </c>
      <c r="BM347" s="1856">
        <f t="shared" si="119"/>
        <v>0.95694444444444438</v>
      </c>
      <c r="BN347" s="934">
        <f t="shared" si="110"/>
        <v>70.599999999999994</v>
      </c>
    </row>
    <row r="348" spans="1:66" ht="14.5">
      <c r="A348" s="1">
        <f t="shared" si="117"/>
        <v>44901</v>
      </c>
      <c r="B348" s="932">
        <f t="shared" si="111"/>
        <v>44901.279861111114</v>
      </c>
      <c r="C348" s="932">
        <f t="shared" si="112"/>
        <v>44901.322916666664</v>
      </c>
      <c r="D348" s="932">
        <f t="shared" si="113"/>
        <v>44901.725000000006</v>
      </c>
      <c r="E348" s="932">
        <f t="shared" si="114"/>
        <v>44901.768055555556</v>
      </c>
      <c r="F348" s="932">
        <f t="shared" si="115"/>
        <v>44901.681249999994</v>
      </c>
      <c r="G348" s="932">
        <f t="shared" si="116"/>
        <v>44901.263194444444</v>
      </c>
      <c r="H348" s="2">
        <f t="shared" si="118"/>
        <v>96</v>
      </c>
      <c r="I348" s="2">
        <v>29.5010511682603</v>
      </c>
      <c r="J348" s="1317">
        <v>-22.574507645745637</v>
      </c>
      <c r="AP348" s="1855">
        <f t="shared" si="106"/>
        <v>44597</v>
      </c>
      <c r="AQ348" s="925" t="str">
        <f t="shared" si="107"/>
        <v>MR</v>
      </c>
      <c r="AR348" s="1856">
        <f t="shared" si="108"/>
        <v>44597.438194444439</v>
      </c>
      <c r="AS348" s="927" t="s">
        <v>1292</v>
      </c>
      <c r="AT348" s="1856" t="str">
        <f t="shared" ref="AT348:AT411" si="120">IF(ISNUMBER(AS348),INDEX(AR349:AR359,MATCH($AT$27,AQ349:AQ359,0)),"")</f>
        <v/>
      </c>
      <c r="AU348" s="1856" t="str">
        <f t="shared" ref="AU348:AU411" si="121">IF(AT348="","",INDEX(AR349:AR359,MATCH($AU$27,AQ349:AQ359,0)))</f>
        <v/>
      </c>
      <c r="AV348" s="1856" t="str">
        <f t="shared" ref="AV348:AV411" si="122">IF(AT348="","",INDEX(AR349:AR359,MATCH($AV$27,AQ349:AQ359,0)))</f>
        <v/>
      </c>
      <c r="AW348" s="1856" t="str">
        <f t="shared" ref="AW348:AW411" si="123">IF(AT348="","",INDEX(AR349:AR359,MATCH($AW$27,AQ349:AQ359,0)))</f>
        <v/>
      </c>
      <c r="AX348" s="1856" t="str">
        <f t="shared" ref="AX348:AX411" si="124">IF(AT348="","",INDEX(AR349:AR359,MATCH($AX$27,AQ349:AQ359,0)))</f>
        <v/>
      </c>
      <c r="AY348" s="1856" t="str">
        <f t="shared" ref="AY348:AY411" si="125">IF(AT348="","",INDEX(AR349:AR359,MATCH($AY$27,AQ349:AQ359,0)))</f>
        <v/>
      </c>
      <c r="BB348" s="1879">
        <v>6</v>
      </c>
      <c r="BC348" s="1880" t="s">
        <v>241</v>
      </c>
      <c r="BD348" s="1880">
        <v>0.26250000000000001</v>
      </c>
      <c r="BE348" s="1880" t="s">
        <v>643</v>
      </c>
      <c r="BF348" s="1880">
        <v>0.68055555555555547</v>
      </c>
      <c r="BG348" s="1879" t="s">
        <v>634</v>
      </c>
      <c r="BH348" s="1880">
        <v>0.99097222222222225</v>
      </c>
      <c r="BI348" s="1879" t="s">
        <v>1293</v>
      </c>
      <c r="BJ348" s="1881">
        <v>247054</v>
      </c>
      <c r="BK348" s="1882">
        <v>0.99099999999999999</v>
      </c>
      <c r="BL348" s="1619">
        <f t="shared" si="109"/>
        <v>44901</v>
      </c>
      <c r="BM348" s="1856">
        <f t="shared" si="119"/>
        <v>0.99097222222222225</v>
      </c>
      <c r="BN348" s="934">
        <f t="shared" si="110"/>
        <v>74.7</v>
      </c>
    </row>
    <row r="349" spans="1:66" ht="14.5">
      <c r="A349" s="1">
        <f t="shared" si="117"/>
        <v>44902</v>
      </c>
      <c r="B349" s="932">
        <f t="shared" si="111"/>
        <v>44902.280555555553</v>
      </c>
      <c r="C349" s="932">
        <f t="shared" si="112"/>
        <v>44902.323611111111</v>
      </c>
      <c r="D349" s="932">
        <f t="shared" si="113"/>
        <v>44902.725000000006</v>
      </c>
      <c r="E349" s="932">
        <f t="shared" si="114"/>
        <v>44902.768055555556</v>
      </c>
      <c r="F349" s="932">
        <f t="shared" si="115"/>
        <v>44902.706944444442</v>
      </c>
      <c r="G349" s="932">
        <f t="shared" si="116"/>
        <v>44902.307638888888</v>
      </c>
      <c r="H349" s="2">
        <f t="shared" si="118"/>
        <v>99</v>
      </c>
      <c r="I349" s="2">
        <v>29.394646449653841</v>
      </c>
      <c r="J349" s="1317">
        <v>-22.685288248751267</v>
      </c>
      <c r="AP349" s="1855">
        <f t="shared" si="106"/>
        <v>44597</v>
      </c>
      <c r="AQ349" s="925" t="str">
        <f t="shared" si="107"/>
        <v>SS</v>
      </c>
      <c r="AR349" s="1856">
        <f t="shared" si="108"/>
        <v>44597.757638888892</v>
      </c>
      <c r="AS349" s="927" t="s">
        <v>1294</v>
      </c>
      <c r="AT349" s="1856" t="str">
        <f t="shared" si="120"/>
        <v/>
      </c>
      <c r="AU349" s="1856" t="str">
        <f t="shared" si="121"/>
        <v/>
      </c>
      <c r="AV349" s="1856" t="str">
        <f t="shared" si="122"/>
        <v/>
      </c>
      <c r="AW349" s="1856" t="str">
        <f t="shared" si="123"/>
        <v/>
      </c>
      <c r="AX349" s="1856" t="str">
        <f t="shared" si="124"/>
        <v/>
      </c>
      <c r="AY349" s="1856" t="str">
        <f t="shared" si="125"/>
        <v/>
      </c>
      <c r="BB349" s="1879" t="s">
        <v>1295</v>
      </c>
      <c r="BC349" s="1880" t="s">
        <v>241</v>
      </c>
      <c r="BD349" s="1880">
        <v>0.30624999999999997</v>
      </c>
      <c r="BE349" s="1880" t="s">
        <v>677</v>
      </c>
      <c r="BF349" s="1880">
        <v>0.70624999999999993</v>
      </c>
      <c r="BG349" s="1879" t="s">
        <v>624</v>
      </c>
      <c r="BH349" s="1880" t="s">
        <v>695</v>
      </c>
      <c r="BJ349" s="1881"/>
      <c r="BK349" s="1882"/>
      <c r="BL349" s="1619">
        <f t="shared" si="109"/>
        <v>44902</v>
      </c>
      <c r="BM349" s="1856" t="str">
        <f t="shared" si="119"/>
        <v>NA</v>
      </c>
      <c r="BN349" s="934" t="str">
        <f t="shared" si="110"/>
        <v>NA</v>
      </c>
    </row>
    <row r="350" spans="1:66" ht="14.5">
      <c r="A350" s="1">
        <f t="shared" si="117"/>
        <v>44903</v>
      </c>
      <c r="B350" s="932">
        <f t="shared" si="111"/>
        <v>44903.28125</v>
      </c>
      <c r="C350" s="932">
        <f t="shared" si="112"/>
        <v>44903.32430555555</v>
      </c>
      <c r="D350" s="932">
        <f t="shared" si="113"/>
        <v>44903.725000000006</v>
      </c>
      <c r="E350" s="932">
        <f t="shared" si="114"/>
        <v>44903.768055555556</v>
      </c>
      <c r="F350" s="932">
        <f t="shared" si="115"/>
        <v>44903.736805555556</v>
      </c>
      <c r="G350" s="932">
        <f t="shared" si="116"/>
        <v>44903.350000000006</v>
      </c>
      <c r="H350" s="2">
        <f t="shared" si="118"/>
        <v>100</v>
      </c>
      <c r="I350" s="2">
        <v>29.295523921414926</v>
      </c>
      <c r="J350" s="1317">
        <v>-22.788658103593143</v>
      </c>
      <c r="AP350" s="1855">
        <f t="shared" si="106"/>
        <v>44597</v>
      </c>
      <c r="AQ350" s="925" t="str">
        <f t="shared" si="107"/>
        <v>EENT</v>
      </c>
      <c r="AR350" s="1856">
        <f t="shared" si="108"/>
        <v>44597.797916666663</v>
      </c>
      <c r="AS350" s="927" t="s">
        <v>1296</v>
      </c>
      <c r="AT350" s="1856" t="str">
        <f t="shared" si="120"/>
        <v/>
      </c>
      <c r="AU350" s="1856" t="str">
        <f t="shared" si="121"/>
        <v/>
      </c>
      <c r="AV350" s="1856" t="str">
        <f t="shared" si="122"/>
        <v/>
      </c>
      <c r="AW350" s="1856" t="str">
        <f t="shared" si="123"/>
        <v/>
      </c>
      <c r="AX350" s="1856" t="str">
        <f t="shared" si="124"/>
        <v/>
      </c>
      <c r="AY350" s="1856" t="str">
        <f t="shared" si="125"/>
        <v/>
      </c>
      <c r="BB350" s="1879">
        <v>8</v>
      </c>
      <c r="BC350" s="1880" t="s">
        <v>241</v>
      </c>
      <c r="BD350" s="1880">
        <v>0.34930555555555554</v>
      </c>
      <c r="BE350" s="1880" t="s">
        <v>694</v>
      </c>
      <c r="BF350" s="1880">
        <v>0.73611111111111116</v>
      </c>
      <c r="BG350" s="1879" t="s">
        <v>907</v>
      </c>
      <c r="BH350" s="1880">
        <v>2.5694444444444447E-2</v>
      </c>
      <c r="BI350" s="1879" t="s">
        <v>957</v>
      </c>
      <c r="BJ350" s="1881">
        <v>248794</v>
      </c>
      <c r="BK350" s="1882">
        <v>0.999</v>
      </c>
      <c r="BL350" s="1619">
        <f t="shared" si="109"/>
        <v>44903</v>
      </c>
      <c r="BM350" s="1856">
        <f t="shared" si="119"/>
        <v>2.5694444444444447E-2</v>
      </c>
      <c r="BN350" s="934">
        <f t="shared" si="110"/>
        <v>77.599999999999994</v>
      </c>
    </row>
    <row r="351" spans="1:66" ht="14.5">
      <c r="A351" s="1">
        <f t="shared" si="117"/>
        <v>44904</v>
      </c>
      <c r="B351" s="932">
        <f t="shared" si="111"/>
        <v>44904.28125</v>
      </c>
      <c r="C351" s="932">
        <f t="shared" si="112"/>
        <v>44904.32430555555</v>
      </c>
      <c r="D351" s="932">
        <f t="shared" si="113"/>
        <v>44904.725000000006</v>
      </c>
      <c r="E351" s="932">
        <f t="shared" si="114"/>
        <v>44904.768055555556</v>
      </c>
      <c r="F351" s="932">
        <f t="shared" si="115"/>
        <v>44904.770833333336</v>
      </c>
      <c r="G351" s="932">
        <f t="shared" si="116"/>
        <v>44904.38958333333</v>
      </c>
      <c r="H351" s="2">
        <f t="shared" si="118"/>
        <v>99</v>
      </c>
      <c r="I351" s="2">
        <v>29.203728021119534</v>
      </c>
      <c r="J351" s="1317">
        <v>-22.8845612746873</v>
      </c>
      <c r="AP351" s="1855">
        <f t="shared" si="106"/>
        <v>44597</v>
      </c>
      <c r="AQ351" s="925" t="str">
        <f t="shared" si="107"/>
        <v>MS</v>
      </c>
      <c r="AR351" s="1856">
        <f t="shared" si="108"/>
        <v>44597.968055555561</v>
      </c>
      <c r="AS351" s="927" t="s">
        <v>1297</v>
      </c>
      <c r="AT351" s="1856" t="str">
        <f t="shared" si="120"/>
        <v/>
      </c>
      <c r="AU351" s="1856" t="str">
        <f t="shared" si="121"/>
        <v/>
      </c>
      <c r="AV351" s="1856" t="str">
        <f t="shared" si="122"/>
        <v/>
      </c>
      <c r="AW351" s="1856" t="str">
        <f t="shared" si="123"/>
        <v/>
      </c>
      <c r="AX351" s="1856" t="str">
        <f t="shared" si="124"/>
        <v/>
      </c>
      <c r="AY351" s="1856" t="str">
        <f t="shared" si="125"/>
        <v/>
      </c>
      <c r="BB351" s="1879">
        <v>9</v>
      </c>
      <c r="BC351" s="1880" t="s">
        <v>241</v>
      </c>
      <c r="BD351" s="1880">
        <v>0.38819444444444445</v>
      </c>
      <c r="BE351" s="1880" t="s">
        <v>1262</v>
      </c>
      <c r="BF351" s="1880">
        <v>0.77013888888888893</v>
      </c>
      <c r="BG351" s="1879" t="s">
        <v>1225</v>
      </c>
      <c r="BH351" s="1880">
        <v>6.1111111111111116E-2</v>
      </c>
      <c r="BI351" s="1879" t="s">
        <v>1188</v>
      </c>
      <c r="BJ351" s="1881">
        <v>250272</v>
      </c>
      <c r="BK351" s="1882">
        <v>0.98799999999999999</v>
      </c>
      <c r="BL351" s="1619">
        <f t="shared" si="109"/>
        <v>44904</v>
      </c>
      <c r="BM351" s="1856">
        <f t="shared" si="119"/>
        <v>6.1111111111111116E-2</v>
      </c>
      <c r="BN351" s="934">
        <f t="shared" si="110"/>
        <v>79.099999999999994</v>
      </c>
    </row>
    <row r="352" spans="1:66" ht="14.5">
      <c r="A352" s="1">
        <f t="shared" si="117"/>
        <v>44905</v>
      </c>
      <c r="B352" s="932">
        <f t="shared" si="111"/>
        <v>44905.281944444447</v>
      </c>
      <c r="C352" s="932">
        <f t="shared" si="112"/>
        <v>44905.324999999997</v>
      </c>
      <c r="D352" s="932">
        <f t="shared" si="113"/>
        <v>44905.725694444445</v>
      </c>
      <c r="E352" s="932">
        <f t="shared" si="114"/>
        <v>44905.768750000003</v>
      </c>
      <c r="F352" s="932">
        <f t="shared" si="115"/>
        <v>44905.809027777774</v>
      </c>
      <c r="G352" s="932">
        <f t="shared" si="116"/>
        <v>44905.424305555556</v>
      </c>
      <c r="H352" s="2">
        <f t="shared" si="118"/>
        <v>96</v>
      </c>
      <c r="I352" s="2">
        <v>29.119300187851348</v>
      </c>
      <c r="J352" s="1317">
        <v>-22.972945353317009</v>
      </c>
      <c r="AP352" s="1855">
        <f t="shared" si="106"/>
        <v>44598</v>
      </c>
      <c r="AQ352" s="925" t="str">
        <f t="shared" si="107"/>
        <v/>
      </c>
      <c r="AR352" s="1856" t="str">
        <f t="shared" si="108"/>
        <v/>
      </c>
      <c r="AS352" s="927">
        <v>6</v>
      </c>
      <c r="AT352" s="1856">
        <f t="shared" si="120"/>
        <v>44598.28125</v>
      </c>
      <c r="AU352" s="1856">
        <f t="shared" si="121"/>
        <v>44598.322222222218</v>
      </c>
      <c r="AV352" s="1856">
        <f t="shared" si="122"/>
        <v>44598.758333333331</v>
      </c>
      <c r="AW352" s="1856">
        <f t="shared" si="123"/>
        <v>44598.798611111109</v>
      </c>
      <c r="AX352" s="1856">
        <f t="shared" si="124"/>
        <v>44598.455555555556</v>
      </c>
      <c r="AY352" s="1856" t="str">
        <f t="shared" si="125"/>
        <v>NONE</v>
      </c>
      <c r="AZ352" s="1853">
        <v>0.28000000000000003</v>
      </c>
      <c r="BB352" s="1879">
        <v>10</v>
      </c>
      <c r="BC352" s="1880" t="s">
        <v>241</v>
      </c>
      <c r="BD352" s="1880">
        <v>0.4236111111111111</v>
      </c>
      <c r="BE352" s="1879" t="s">
        <v>960</v>
      </c>
      <c r="BF352" s="1880">
        <v>0.80833333333333324</v>
      </c>
      <c r="BG352" s="1880" t="s">
        <v>907</v>
      </c>
      <c r="BH352" s="1880">
        <v>9.7222222222222224E-2</v>
      </c>
      <c r="BI352" s="1881" t="s">
        <v>1298</v>
      </c>
      <c r="BJ352" s="1882">
        <v>251397</v>
      </c>
      <c r="BK352" s="1882">
        <v>0.95699999999999996</v>
      </c>
      <c r="BL352" s="1619">
        <f t="shared" si="109"/>
        <v>44905</v>
      </c>
      <c r="BM352" s="1856">
        <f t="shared" si="119"/>
        <v>9.7222222222222224E-2</v>
      </c>
      <c r="BN352" s="934">
        <f t="shared" si="110"/>
        <v>79.3</v>
      </c>
    </row>
    <row r="353" spans="1:66" ht="14.5">
      <c r="A353" s="1">
        <f t="shared" si="117"/>
        <v>44906</v>
      </c>
      <c r="B353" s="932">
        <f t="shared" si="111"/>
        <v>44906.282638888886</v>
      </c>
      <c r="C353" s="932">
        <f t="shared" si="112"/>
        <v>44906.325694444444</v>
      </c>
      <c r="D353" s="932">
        <f t="shared" si="113"/>
        <v>44906.725694444445</v>
      </c>
      <c r="E353" s="932">
        <f t="shared" si="114"/>
        <v>44906.768750000003</v>
      </c>
      <c r="F353" s="932">
        <f t="shared" si="115"/>
        <v>44906.849305555559</v>
      </c>
      <c r="G353" s="932">
        <f t="shared" si="116"/>
        <v>44906.454166666663</v>
      </c>
      <c r="H353" s="2">
        <f t="shared" si="118"/>
        <v>92</v>
      </c>
      <c r="I353" s="2">
        <v>29.042278815080302</v>
      </c>
      <c r="J353" s="1317">
        <v>-23.053761544632984</v>
      </c>
      <c r="AP353" s="1855">
        <f t="shared" si="106"/>
        <v>44598</v>
      </c>
      <c r="AQ353" s="925" t="str">
        <f t="shared" si="107"/>
        <v/>
      </c>
      <c r="AR353" s="1856" t="str">
        <f t="shared" si="108"/>
        <v/>
      </c>
      <c r="AS353" s="927" t="s">
        <v>252</v>
      </c>
      <c r="AT353" s="1856" t="str">
        <f t="shared" si="120"/>
        <v/>
      </c>
      <c r="AU353" s="1856" t="str">
        <f t="shared" si="121"/>
        <v/>
      </c>
      <c r="AV353" s="1856" t="str">
        <f t="shared" si="122"/>
        <v/>
      </c>
      <c r="AW353" s="1856" t="str">
        <f t="shared" si="123"/>
        <v/>
      </c>
      <c r="AX353" s="1856" t="str">
        <f t="shared" si="124"/>
        <v/>
      </c>
      <c r="AY353" s="1856" t="str">
        <f t="shared" si="125"/>
        <v/>
      </c>
      <c r="BB353" s="1879">
        <v>11</v>
      </c>
      <c r="BC353" s="1879" t="s">
        <v>241</v>
      </c>
      <c r="BD353" s="1880">
        <v>0.45347222222222222</v>
      </c>
      <c r="BE353" s="1879" t="s">
        <v>609</v>
      </c>
      <c r="BF353" s="1880">
        <v>0.84861111111111109</v>
      </c>
      <c r="BG353" s="1879" t="s">
        <v>624</v>
      </c>
      <c r="BH353" s="1880">
        <v>0.13263888888888889</v>
      </c>
      <c r="BI353" s="1879" t="s">
        <v>905</v>
      </c>
      <c r="BJ353" s="1881">
        <v>252062</v>
      </c>
      <c r="BK353" s="1882">
        <v>0.90900000000000003</v>
      </c>
      <c r="BL353" s="1619">
        <f t="shared" si="109"/>
        <v>44906</v>
      </c>
      <c r="BM353" s="1856">
        <f t="shared" si="119"/>
        <v>0.13263888888888889</v>
      </c>
      <c r="BN353" s="934">
        <f t="shared" si="110"/>
        <v>78</v>
      </c>
    </row>
    <row r="354" spans="1:66" ht="14.5">
      <c r="A354" s="1">
        <f t="shared" si="117"/>
        <v>44907</v>
      </c>
      <c r="B354" s="932">
        <f t="shared" si="111"/>
        <v>44907.283333333333</v>
      </c>
      <c r="C354" s="932">
        <f t="shared" si="112"/>
        <v>44907.326388888883</v>
      </c>
      <c r="D354" s="932">
        <f t="shared" si="113"/>
        <v>44907.725694444445</v>
      </c>
      <c r="E354" s="932">
        <f t="shared" si="114"/>
        <v>44907.768750000003</v>
      </c>
      <c r="F354" s="932">
        <f t="shared" si="115"/>
        <v>44907.890972222223</v>
      </c>
      <c r="G354" s="932">
        <f t="shared" si="116"/>
        <v>44907.479166666672</v>
      </c>
      <c r="H354" s="2">
        <f t="shared" si="118"/>
        <v>86</v>
      </c>
      <c r="I354" s="2">
        <v>28.972699206173179</v>
      </c>
      <c r="J354" s="1317">
        <v>-23.126964749724859</v>
      </c>
      <c r="AP354" s="1855">
        <f t="shared" si="106"/>
        <v>44598</v>
      </c>
      <c r="AQ354" s="925" t="str">
        <f t="shared" si="107"/>
        <v/>
      </c>
      <c r="AR354" s="1856" t="str">
        <f t="shared" si="108"/>
        <v/>
      </c>
      <c r="AT354" s="1856" t="str">
        <f t="shared" si="120"/>
        <v/>
      </c>
      <c r="AU354" s="1856" t="str">
        <f t="shared" si="121"/>
        <v/>
      </c>
      <c r="AV354" s="1856" t="str">
        <f t="shared" si="122"/>
        <v/>
      </c>
      <c r="AW354" s="1856" t="str">
        <f t="shared" si="123"/>
        <v/>
      </c>
      <c r="AX354" s="1856" t="str">
        <f t="shared" si="124"/>
        <v/>
      </c>
      <c r="AY354" s="1856" t="str">
        <f t="shared" si="125"/>
        <v/>
      </c>
      <c r="BB354" s="1879">
        <v>12</v>
      </c>
      <c r="BC354" s="1879" t="s">
        <v>241</v>
      </c>
      <c r="BD354" s="1880">
        <v>0.47847222222222219</v>
      </c>
      <c r="BE354" s="1879" t="s">
        <v>591</v>
      </c>
      <c r="BF354" s="1880">
        <v>0.89027777777777783</v>
      </c>
      <c r="BG354" s="1879" t="s">
        <v>590</v>
      </c>
      <c r="BH354" s="1880">
        <v>0.16666666666666666</v>
      </c>
      <c r="BI354" s="1879" t="s">
        <v>1114</v>
      </c>
      <c r="BJ354" s="1881">
        <v>252157</v>
      </c>
      <c r="BK354" s="1882">
        <v>0.84599999999999997</v>
      </c>
      <c r="BL354" s="1619">
        <f t="shared" si="109"/>
        <v>44907</v>
      </c>
      <c r="BM354" s="1856">
        <f t="shared" si="119"/>
        <v>0.16666666666666666</v>
      </c>
      <c r="BN354" s="934">
        <f t="shared" si="110"/>
        <v>75.5</v>
      </c>
    </row>
    <row r="355" spans="1:66" ht="14.5">
      <c r="A355" s="1">
        <f t="shared" si="117"/>
        <v>44908</v>
      </c>
      <c r="B355" s="932">
        <f t="shared" si="111"/>
        <v>44908.283333333333</v>
      </c>
      <c r="C355" s="932">
        <f t="shared" si="112"/>
        <v>44908.32708333333</v>
      </c>
      <c r="D355" s="932">
        <f t="shared" si="113"/>
        <v>44908.725694444445</v>
      </c>
      <c r="E355" s="932">
        <f t="shared" si="114"/>
        <v>44908.768750000003</v>
      </c>
      <c r="F355" s="932">
        <f t="shared" si="115"/>
        <v>44908.932638888888</v>
      </c>
      <c r="G355" s="932">
        <f t="shared" si="116"/>
        <v>44908.500694444447</v>
      </c>
      <c r="H355" s="2">
        <f t="shared" si="118"/>
        <v>79</v>
      </c>
      <c r="I355" s="2">
        <v>28.910593532714163</v>
      </c>
      <c r="J355" s="1317">
        <v>-23.192513642423343</v>
      </c>
      <c r="AP355" s="1855">
        <f t="shared" si="106"/>
        <v>44598</v>
      </c>
      <c r="AQ355" s="925" t="str">
        <f t="shared" si="107"/>
        <v>BMNT</v>
      </c>
      <c r="AR355" s="1856">
        <f t="shared" si="108"/>
        <v>44598.28125</v>
      </c>
      <c r="AS355" s="927" t="s">
        <v>1299</v>
      </c>
      <c r="AT355" s="1856" t="str">
        <f t="shared" si="120"/>
        <v/>
      </c>
      <c r="AU355" s="1856" t="str">
        <f t="shared" si="121"/>
        <v/>
      </c>
      <c r="AV355" s="1856" t="str">
        <f t="shared" si="122"/>
        <v/>
      </c>
      <c r="AW355" s="1856" t="str">
        <f t="shared" si="123"/>
        <v/>
      </c>
      <c r="AX355" s="1856" t="str">
        <f t="shared" si="124"/>
        <v/>
      </c>
      <c r="AY355" s="1856" t="str">
        <f t="shared" si="125"/>
        <v/>
      </c>
      <c r="BB355" s="1879">
        <v>13</v>
      </c>
      <c r="BC355" s="1879" t="s">
        <v>241</v>
      </c>
      <c r="BD355" s="1880">
        <v>0.5</v>
      </c>
      <c r="BE355" s="1879" t="s">
        <v>902</v>
      </c>
      <c r="BF355" s="1880">
        <v>0.93263888888888891</v>
      </c>
      <c r="BG355" s="1879" t="s">
        <v>846</v>
      </c>
      <c r="BH355" s="1880">
        <v>0.1986111111111111</v>
      </c>
      <c r="BI355" s="1879" t="s">
        <v>1115</v>
      </c>
      <c r="BJ355" s="1881">
        <v>251581</v>
      </c>
      <c r="BK355" s="1882">
        <v>0.77</v>
      </c>
      <c r="BL355" s="1619">
        <f t="shared" si="109"/>
        <v>44908</v>
      </c>
      <c r="BM355" s="1856">
        <f t="shared" si="119"/>
        <v>0.1986111111111111</v>
      </c>
      <c r="BN355" s="934">
        <f t="shared" si="110"/>
        <v>72</v>
      </c>
    </row>
    <row r="356" spans="1:66" ht="14.5">
      <c r="A356" s="1">
        <f t="shared" si="117"/>
        <v>44909</v>
      </c>
      <c r="B356" s="932">
        <f t="shared" si="111"/>
        <v>44909.28402777778</v>
      </c>
      <c r="C356" s="932">
        <f t="shared" si="112"/>
        <v>44909.32708333333</v>
      </c>
      <c r="D356" s="932">
        <f t="shared" si="113"/>
        <v>44909.725694444445</v>
      </c>
      <c r="E356" s="932">
        <f t="shared" si="114"/>
        <v>44909.768750000003</v>
      </c>
      <c r="F356" s="932">
        <f t="shared" si="115"/>
        <v>44909.974305555559</v>
      </c>
      <c r="G356" s="932">
        <f t="shared" si="116"/>
        <v>44909.519444444442</v>
      </c>
      <c r="H356" s="2">
        <f t="shared" si="118"/>
        <v>70</v>
      </c>
      <c r="I356" s="2">
        <v>28.8559907958061</v>
      </c>
      <c r="J356" s="1317">
        <v>-23.250370740511809</v>
      </c>
      <c r="AP356" s="1855">
        <f t="shared" si="106"/>
        <v>44598</v>
      </c>
      <c r="AQ356" s="925" t="str">
        <f t="shared" si="107"/>
        <v>SR</v>
      </c>
      <c r="AR356" s="1856">
        <f t="shared" si="108"/>
        <v>44598.322222222218</v>
      </c>
      <c r="AS356" s="927" t="s">
        <v>1300</v>
      </c>
      <c r="AT356" s="1856" t="str">
        <f t="shared" si="120"/>
        <v/>
      </c>
      <c r="AU356" s="1856" t="str">
        <f t="shared" si="121"/>
        <v/>
      </c>
      <c r="AV356" s="1856" t="str">
        <f t="shared" si="122"/>
        <v/>
      </c>
      <c r="AW356" s="1856" t="str">
        <f t="shared" si="123"/>
        <v/>
      </c>
      <c r="AX356" s="1856" t="str">
        <f t="shared" si="124"/>
        <v/>
      </c>
      <c r="AY356" s="1856" t="str">
        <f t="shared" si="125"/>
        <v/>
      </c>
      <c r="BB356" s="1879">
        <v>14</v>
      </c>
      <c r="BC356" s="1879" t="s">
        <v>241</v>
      </c>
      <c r="BD356" s="1880">
        <v>0.51944444444444449</v>
      </c>
      <c r="BE356" s="1879" t="s">
        <v>1116</v>
      </c>
      <c r="BF356" s="1880">
        <v>0.97430555555555554</v>
      </c>
      <c r="BG356" s="1879" t="s">
        <v>995</v>
      </c>
      <c r="BH356" s="1880">
        <v>0.22916666666666666</v>
      </c>
      <c r="BI356" s="1879" t="s">
        <v>1301</v>
      </c>
      <c r="BJ356" s="1881">
        <v>250265</v>
      </c>
      <c r="BK356" s="1882">
        <v>0.68400000000000005</v>
      </c>
      <c r="BL356" s="1619">
        <f t="shared" si="109"/>
        <v>44909</v>
      </c>
      <c r="BM356" s="1856">
        <f t="shared" si="119"/>
        <v>0.22916666666666666</v>
      </c>
      <c r="BN356" s="934">
        <f t="shared" si="110"/>
        <v>67.5</v>
      </c>
    </row>
    <row r="357" spans="1:66" ht="14.5">
      <c r="A357" s="1">
        <f t="shared" si="117"/>
        <v>44910</v>
      </c>
      <c r="B357" s="932">
        <f t="shared" si="111"/>
        <v>44910.284722222219</v>
      </c>
      <c r="C357" s="932">
        <f t="shared" si="112"/>
        <v>44910.327777777777</v>
      </c>
      <c r="D357" s="932">
        <f t="shared" si="113"/>
        <v>44910.725694444445</v>
      </c>
      <c r="E357" s="932">
        <f t="shared" si="114"/>
        <v>44910.769444444442</v>
      </c>
      <c r="F357" s="932" t="str">
        <f t="shared" si="115"/>
        <v>NONE</v>
      </c>
      <c r="G357" s="932">
        <f t="shared" si="116"/>
        <v>44910.536805555559</v>
      </c>
      <c r="H357" s="2">
        <f t="shared" si="118"/>
        <v>61</v>
      </c>
      <c r="I357" s="2">
        <v>28.808916790515095</v>
      </c>
      <c r="J357" s="1317">
        <v>-23.300502471045981</v>
      </c>
      <c r="AP357" s="1855">
        <f t="shared" ref="AP357:AP420" si="126">IF(ISNUMBER(AS357),AP356+1,AP356)</f>
        <v>44598</v>
      </c>
      <c r="AQ357" s="925" t="str">
        <f t="shared" ref="AQ357:AQ420" si="127">IF(NOT(ISNUMBER(FIND(":",AS357))),"",IF(ISNUMBER(FIND("Sunr",AS357)),"SR", IF(ISNUMBER(FIND("Suns",AS357)),"SS",IF(ISNUMBER(FIND("Moonr",AS357)),"MR",IF(ISNUMBER(FIND("Moons",AS357)),"MS",IF(ISNUMBER(FIND("Twi",AS357)),IF(HOUR(AR357)&lt;12,"BMNT","EENT")))))))</f>
        <v>MR</v>
      </c>
      <c r="AR357" s="1856">
        <f t="shared" si="108"/>
        <v>44598.455555555556</v>
      </c>
      <c r="AS357" s="927" t="s">
        <v>1302</v>
      </c>
      <c r="AT357" s="1856" t="str">
        <f t="shared" si="120"/>
        <v/>
      </c>
      <c r="AU357" s="1856" t="str">
        <f t="shared" si="121"/>
        <v/>
      </c>
      <c r="AV357" s="1856" t="str">
        <f t="shared" si="122"/>
        <v/>
      </c>
      <c r="AW357" s="1856" t="str">
        <f t="shared" si="123"/>
        <v/>
      </c>
      <c r="AX357" s="1856" t="str">
        <f t="shared" si="124"/>
        <v/>
      </c>
      <c r="AY357" s="1856" t="str">
        <f t="shared" si="125"/>
        <v/>
      </c>
      <c r="BB357" s="1879">
        <v>15</v>
      </c>
      <c r="BC357" s="1879" t="s">
        <v>241</v>
      </c>
      <c r="BD357" s="1880">
        <v>0.53611111111111109</v>
      </c>
      <c r="BE357" s="1879" t="s">
        <v>916</v>
      </c>
      <c r="BF357" s="1880" t="s">
        <v>241</v>
      </c>
      <c r="BG357" s="1880">
        <v>0.25833333333333336</v>
      </c>
      <c r="BH357" s="1880" t="s">
        <v>1118</v>
      </c>
      <c r="BI357" s="1881">
        <v>248184</v>
      </c>
      <c r="BJ357" s="1881">
        <v>0.58899999999999997</v>
      </c>
      <c r="BK357" s="1882"/>
      <c r="BL357" s="1619">
        <f t="shared" si="109"/>
        <v>44910</v>
      </c>
      <c r="BM357" s="1856">
        <f t="shared" si="119"/>
        <v>0.25833333333333336</v>
      </c>
      <c r="BN357" s="934">
        <f t="shared" si="110"/>
        <v>62.4</v>
      </c>
    </row>
    <row r="358" spans="1:66" ht="14.5">
      <c r="A358" s="1">
        <f t="shared" si="117"/>
        <v>44911</v>
      </c>
      <c r="B358" s="932">
        <f t="shared" si="111"/>
        <v>44911.284722222219</v>
      </c>
      <c r="C358" s="932">
        <f t="shared" si="112"/>
        <v>44911.328472222223</v>
      </c>
      <c r="D358" s="932">
        <f t="shared" si="113"/>
        <v>44911.726388888892</v>
      </c>
      <c r="E358" s="932">
        <f t="shared" si="114"/>
        <v>44911.769444444442</v>
      </c>
      <c r="F358" s="932">
        <f t="shared" si="115"/>
        <v>44911.015972222223</v>
      </c>
      <c r="G358" s="932">
        <f t="shared" si="116"/>
        <v>44911.552777777775</v>
      </c>
      <c r="H358" s="2">
        <f t="shared" si="118"/>
        <v>52</v>
      </c>
      <c r="I358" s="2">
        <v>28.769394073614077</v>
      </c>
      <c r="J358" s="1317">
        <v>-23.342879229501602</v>
      </c>
      <c r="AP358" s="1855">
        <f t="shared" si="126"/>
        <v>44598</v>
      </c>
      <c r="AQ358" s="925" t="str">
        <f t="shared" si="127"/>
        <v>SS</v>
      </c>
      <c r="AR358" s="1856">
        <f t="shared" si="108"/>
        <v>44598.758333333331</v>
      </c>
      <c r="AS358" s="927" t="s">
        <v>1303</v>
      </c>
      <c r="AT358" s="1856" t="str">
        <f t="shared" si="120"/>
        <v/>
      </c>
      <c r="AU358" s="1856" t="str">
        <f t="shared" si="121"/>
        <v/>
      </c>
      <c r="AV358" s="1856" t="str">
        <f t="shared" si="122"/>
        <v/>
      </c>
      <c r="AW358" s="1856" t="str">
        <f t="shared" si="123"/>
        <v/>
      </c>
      <c r="AX358" s="1856" t="str">
        <f t="shared" si="124"/>
        <v/>
      </c>
      <c r="AY358" s="1856" t="str">
        <f t="shared" si="125"/>
        <v/>
      </c>
      <c r="BB358" s="1879" t="s">
        <v>1304</v>
      </c>
      <c r="BC358" s="1880">
        <v>1.5972222222222224E-2</v>
      </c>
      <c r="BD358" s="1880" t="s">
        <v>917</v>
      </c>
      <c r="BE358" s="1880">
        <v>0.55208333333333337</v>
      </c>
      <c r="BF358" s="1880" t="s">
        <v>920</v>
      </c>
      <c r="BG358" s="1879" t="s">
        <v>241</v>
      </c>
      <c r="BH358" s="1880">
        <v>0.28750000000000003</v>
      </c>
      <c r="BI358" s="1879" t="s">
        <v>922</v>
      </c>
      <c r="BJ358" s="1881">
        <v>245372</v>
      </c>
      <c r="BK358" s="1882">
        <v>0.48899999999999999</v>
      </c>
      <c r="BL358" s="1619">
        <f t="shared" si="109"/>
        <v>44911</v>
      </c>
      <c r="BM358" s="1856">
        <f t="shared" si="119"/>
        <v>0.28750000000000003</v>
      </c>
      <c r="BN358" s="934">
        <f t="shared" si="110"/>
        <v>56.7</v>
      </c>
    </row>
    <row r="359" spans="1:66" ht="14.5">
      <c r="A359" s="1">
        <f t="shared" si="117"/>
        <v>44912</v>
      </c>
      <c r="B359" s="932">
        <f t="shared" si="111"/>
        <v>44912.285416666666</v>
      </c>
      <c r="C359" s="932">
        <f t="shared" si="112"/>
        <v>44912.328472222223</v>
      </c>
      <c r="D359" s="932">
        <f t="shared" si="113"/>
        <v>44912.726388888892</v>
      </c>
      <c r="E359" s="932">
        <f t="shared" si="114"/>
        <v>44912.769444444442</v>
      </c>
      <c r="F359" s="932">
        <f t="shared" si="115"/>
        <v>44912.058333333334</v>
      </c>
      <c r="G359" s="932">
        <f t="shared" si="116"/>
        <v>44912.568749999999</v>
      </c>
      <c r="H359" s="2">
        <f t="shared" si="118"/>
        <v>42</v>
      </c>
      <c r="I359" s="2">
        <v>28.737441934768494</v>
      </c>
      <c r="J359" s="1317">
        <v>-23.3774754324943</v>
      </c>
      <c r="AP359" s="1855">
        <f t="shared" si="126"/>
        <v>44598</v>
      </c>
      <c r="AQ359" s="925" t="str">
        <f t="shared" si="127"/>
        <v>EENT</v>
      </c>
      <c r="AR359" s="1856">
        <f t="shared" si="108"/>
        <v>44598.798611111109</v>
      </c>
      <c r="AS359" s="927" t="s">
        <v>1305</v>
      </c>
      <c r="AT359" s="1856" t="str">
        <f t="shared" si="120"/>
        <v/>
      </c>
      <c r="AU359" s="1856" t="str">
        <f t="shared" si="121"/>
        <v/>
      </c>
      <c r="AV359" s="1856" t="str">
        <f t="shared" si="122"/>
        <v/>
      </c>
      <c r="AW359" s="1856" t="str">
        <f t="shared" si="123"/>
        <v/>
      </c>
      <c r="AX359" s="1856" t="str">
        <f t="shared" si="124"/>
        <v/>
      </c>
      <c r="AY359" s="1856" t="str">
        <f t="shared" si="125"/>
        <v/>
      </c>
      <c r="BB359" s="1879">
        <v>17</v>
      </c>
      <c r="BC359" s="1880">
        <v>5.8333333333333327E-2</v>
      </c>
      <c r="BD359" s="1880" t="s">
        <v>510</v>
      </c>
      <c r="BE359" s="1880">
        <v>0.56805555555555554</v>
      </c>
      <c r="BF359" s="1880" t="s">
        <v>511</v>
      </c>
      <c r="BG359" s="1879" t="s">
        <v>241</v>
      </c>
      <c r="BH359" s="1880">
        <v>0.31666666666666665</v>
      </c>
      <c r="BI359" s="1879" t="s">
        <v>1306</v>
      </c>
      <c r="BJ359" s="1881">
        <v>241935</v>
      </c>
      <c r="BK359" s="1882">
        <v>0.38600000000000001</v>
      </c>
      <c r="BL359" s="1619">
        <f t="shared" si="109"/>
        <v>44912</v>
      </c>
      <c r="BM359" s="1856">
        <f t="shared" si="119"/>
        <v>0.31666666666666665</v>
      </c>
      <c r="BN359" s="934">
        <f t="shared" si="110"/>
        <v>50.7</v>
      </c>
    </row>
    <row r="360" spans="1:66" ht="14.5">
      <c r="A360" s="1">
        <f t="shared" si="117"/>
        <v>44913</v>
      </c>
      <c r="B360" s="932">
        <f t="shared" si="111"/>
        <v>44913.285416666666</v>
      </c>
      <c r="C360" s="932">
        <f t="shared" si="112"/>
        <v>44913.329166666663</v>
      </c>
      <c r="D360" s="932">
        <f t="shared" si="113"/>
        <v>44913.726388888892</v>
      </c>
      <c r="E360" s="932">
        <f t="shared" si="114"/>
        <v>44913.770138888889</v>
      </c>
      <c r="F360" s="932">
        <f t="shared" si="115"/>
        <v>44913.102083333339</v>
      </c>
      <c r="G360" s="932">
        <f t="shared" si="116"/>
        <v>44913.585416666669</v>
      </c>
      <c r="H360" s="2">
        <f t="shared" si="118"/>
        <v>32</v>
      </c>
      <c r="I360" s="2">
        <v>28.713076371295404</v>
      </c>
      <c r="J360" s="1317">
        <v>-23.404269563843265</v>
      </c>
      <c r="M360" s="937"/>
      <c r="AP360" s="1855">
        <f t="shared" si="126"/>
        <v>44598</v>
      </c>
      <c r="AQ360" s="925" t="str">
        <f t="shared" si="127"/>
        <v>MS</v>
      </c>
      <c r="AR360" s="1856" t="str">
        <f t="shared" si="108"/>
        <v>NONE</v>
      </c>
      <c r="AS360" s="927" t="s">
        <v>948</v>
      </c>
      <c r="AT360" s="1856" t="str">
        <f t="shared" si="120"/>
        <v/>
      </c>
      <c r="AU360" s="1856" t="str">
        <f t="shared" si="121"/>
        <v/>
      </c>
      <c r="AV360" s="1856" t="str">
        <f t="shared" si="122"/>
        <v/>
      </c>
      <c r="AW360" s="1856" t="str">
        <f t="shared" si="123"/>
        <v/>
      </c>
      <c r="AX360" s="1856" t="str">
        <f t="shared" si="124"/>
        <v/>
      </c>
      <c r="AY360" s="1856" t="str">
        <f t="shared" si="125"/>
        <v/>
      </c>
      <c r="BB360" s="1879">
        <v>18</v>
      </c>
      <c r="BC360" s="1880">
        <v>0.10208333333333335</v>
      </c>
      <c r="BD360" s="1880" t="s">
        <v>519</v>
      </c>
      <c r="BE360" s="1880">
        <v>0.5854166666666667</v>
      </c>
      <c r="BF360" s="1880" t="s">
        <v>520</v>
      </c>
      <c r="BG360" s="1879" t="s">
        <v>241</v>
      </c>
      <c r="BH360" s="1880">
        <v>0.34652777777777777</v>
      </c>
      <c r="BI360" s="1879" t="s">
        <v>1307</v>
      </c>
      <c r="BJ360" s="1881">
        <v>238059</v>
      </c>
      <c r="BK360" s="1882">
        <v>0.28499999999999998</v>
      </c>
      <c r="BL360" s="1619">
        <f t="shared" si="109"/>
        <v>44913</v>
      </c>
      <c r="BM360" s="1856">
        <f t="shared" si="119"/>
        <v>0.34652777777777777</v>
      </c>
      <c r="BN360" s="934">
        <f t="shared" si="110"/>
        <v>44.5</v>
      </c>
    </row>
    <row r="361" spans="1:66" ht="14.5">
      <c r="A361" s="1">
        <f t="shared" si="117"/>
        <v>44914</v>
      </c>
      <c r="B361" s="932">
        <f t="shared" si="111"/>
        <v>44914.286111111112</v>
      </c>
      <c r="C361" s="932">
        <f t="shared" si="112"/>
        <v>44914.329861111109</v>
      </c>
      <c r="D361" s="932">
        <f t="shared" si="113"/>
        <v>44914.727083333339</v>
      </c>
      <c r="E361" s="932">
        <f t="shared" si="114"/>
        <v>44914.770138888889</v>
      </c>
      <c r="F361" s="932">
        <f t="shared" si="115"/>
        <v>44914.148611111108</v>
      </c>
      <c r="G361" s="932">
        <f t="shared" si="116"/>
        <v>44914.604861111111</v>
      </c>
      <c r="H361" s="2">
        <f t="shared" si="118"/>
        <v>22</v>
      </c>
      <c r="I361" s="2">
        <v>28.696310066613641</v>
      </c>
      <c r="J361" s="1317">
        <v>-23.423244213777078</v>
      </c>
      <c r="AP361" s="1855">
        <f t="shared" si="126"/>
        <v>44599</v>
      </c>
      <c r="AQ361" s="925" t="str">
        <f t="shared" si="127"/>
        <v/>
      </c>
      <c r="AR361" s="1856" t="str">
        <f t="shared" ref="AR361:AR424" si="128">IF(NOT(ISNUMBER(FIND(":",AS361))),"",IF(ISNUMBER(FIND(" none",AS361)),"NONE",AP361+LEFT(RIGHT(AS361,5),2)/24+RIGHT(AS361,2)/1440))</f>
        <v/>
      </c>
      <c r="AS361" s="927">
        <v>7</v>
      </c>
      <c r="AT361" s="1856">
        <f t="shared" si="120"/>
        <v>44599.280555555553</v>
      </c>
      <c r="AU361" s="1856">
        <f t="shared" si="121"/>
        <v>44599.321527777778</v>
      </c>
      <c r="AV361" s="1856">
        <f t="shared" si="122"/>
        <v>44599.759027777778</v>
      </c>
      <c r="AW361" s="1856">
        <f t="shared" si="123"/>
        <v>44599.799305555556</v>
      </c>
      <c r="AX361" s="1856">
        <f t="shared" si="124"/>
        <v>44599.472916666666</v>
      </c>
      <c r="AY361" s="1856">
        <f t="shared" si="125"/>
        <v>44599.011111111111</v>
      </c>
      <c r="AZ361" s="1853">
        <v>0.37</v>
      </c>
      <c r="BB361" s="1879">
        <v>19</v>
      </c>
      <c r="BC361" s="1880">
        <v>0.14791666666666667</v>
      </c>
      <c r="BD361" s="1880" t="s">
        <v>530</v>
      </c>
      <c r="BE361" s="1880">
        <v>0.60486111111111118</v>
      </c>
      <c r="BF361" s="1880" t="s">
        <v>531</v>
      </c>
      <c r="BG361" s="1879" t="s">
        <v>241</v>
      </c>
      <c r="BH361" s="1880">
        <v>0.37916666666666665</v>
      </c>
      <c r="BI361" s="1879" t="s">
        <v>532</v>
      </c>
      <c r="BJ361" s="1881">
        <v>234006</v>
      </c>
      <c r="BK361" s="1882">
        <v>0.191</v>
      </c>
      <c r="BL361" s="1619">
        <f t="shared" si="109"/>
        <v>44914</v>
      </c>
      <c r="BM361" s="1856">
        <f t="shared" si="119"/>
        <v>0.37916666666666665</v>
      </c>
      <c r="BN361" s="934">
        <f t="shared" si="110"/>
        <v>38.4</v>
      </c>
    </row>
    <row r="362" spans="1:66" ht="14.5">
      <c r="A362" s="1">
        <f t="shared" si="117"/>
        <v>44915</v>
      </c>
      <c r="B362" s="932">
        <f t="shared" si="111"/>
        <v>44915.286805555559</v>
      </c>
      <c r="C362" s="932">
        <f t="shared" si="112"/>
        <v>44915.329861111109</v>
      </c>
      <c r="D362" s="932">
        <f t="shared" si="113"/>
        <v>44915.727083333339</v>
      </c>
      <c r="E362" s="932">
        <f t="shared" si="114"/>
        <v>44915.770833333336</v>
      </c>
      <c r="F362" s="932">
        <f t="shared" si="115"/>
        <v>44915.197916666664</v>
      </c>
      <c r="G362" s="932">
        <f t="shared" si="116"/>
        <v>44915.62777777778</v>
      </c>
      <c r="H362" s="2">
        <f t="shared" si="118"/>
        <v>14.000000000000002</v>
      </c>
      <c r="I362" s="2">
        <v>28.687152372487621</v>
      </c>
      <c r="J362" s="1317">
        <v>-23.434386111110165</v>
      </c>
      <c r="AP362" s="1855">
        <f t="shared" si="126"/>
        <v>44599</v>
      </c>
      <c r="AQ362" s="925" t="str">
        <f t="shared" si="127"/>
        <v/>
      </c>
      <c r="AR362" s="1856" t="str">
        <f t="shared" si="128"/>
        <v/>
      </c>
      <c r="AS362" s="927" t="s">
        <v>252</v>
      </c>
      <c r="AT362" s="1856" t="str">
        <f t="shared" si="120"/>
        <v/>
      </c>
      <c r="AU362" s="1856" t="str">
        <f t="shared" si="121"/>
        <v/>
      </c>
      <c r="AV362" s="1856" t="str">
        <f t="shared" si="122"/>
        <v/>
      </c>
      <c r="AW362" s="1856" t="str">
        <f t="shared" si="123"/>
        <v/>
      </c>
      <c r="AX362" s="1856" t="str">
        <f t="shared" si="124"/>
        <v/>
      </c>
      <c r="AY362" s="1856" t="str">
        <f t="shared" si="125"/>
        <v/>
      </c>
      <c r="BB362" s="1879">
        <v>20</v>
      </c>
      <c r="BC362" s="1880">
        <v>0.19652777777777777</v>
      </c>
      <c r="BD362" s="1880" t="s">
        <v>513</v>
      </c>
      <c r="BE362" s="1880">
        <v>0.62777777777777777</v>
      </c>
      <c r="BF362" s="1880" t="s">
        <v>541</v>
      </c>
      <c r="BG362" s="1879" t="s">
        <v>241</v>
      </c>
      <c r="BH362" s="1880">
        <v>0.4145833333333333</v>
      </c>
      <c r="BI362" s="1879" t="s">
        <v>1242</v>
      </c>
      <c r="BJ362" s="1881">
        <v>230104</v>
      </c>
      <c r="BK362" s="1882">
        <v>0.108</v>
      </c>
      <c r="BL362" s="1619">
        <f t="shared" si="109"/>
        <v>44915</v>
      </c>
      <c r="BM362" s="1856">
        <f t="shared" si="119"/>
        <v>0.4145833333333333</v>
      </c>
      <c r="BN362" s="934">
        <f t="shared" si="110"/>
        <v>32.799999999999997</v>
      </c>
    </row>
    <row r="363" spans="1:66" ht="14.5">
      <c r="A363" s="1">
        <f t="shared" si="117"/>
        <v>44916</v>
      </c>
      <c r="B363" s="932">
        <f t="shared" si="111"/>
        <v>44916.286805555559</v>
      </c>
      <c r="C363" s="932">
        <f t="shared" si="112"/>
        <v>44916.330555555556</v>
      </c>
      <c r="D363" s="932">
        <f t="shared" si="113"/>
        <v>44916.727777777778</v>
      </c>
      <c r="E363" s="932">
        <f t="shared" si="114"/>
        <v>44916.770833333336</v>
      </c>
      <c r="F363" s="932">
        <f t="shared" si="115"/>
        <v>44916.249305555561</v>
      </c>
      <c r="G363" s="932">
        <f t="shared" si="116"/>
        <v>44916.656944444447</v>
      </c>
      <c r="H363" s="2">
        <f t="shared" si="118"/>
        <v>7.0000000000000009</v>
      </c>
      <c r="I363" s="2">
        <v>28.685609295150506</v>
      </c>
      <c r="J363" s="1317">
        <v>-23.437686148249753</v>
      </c>
      <c r="AP363" s="1855">
        <f t="shared" si="126"/>
        <v>44599</v>
      </c>
      <c r="AQ363" s="925" t="str">
        <f t="shared" si="127"/>
        <v/>
      </c>
      <c r="AR363" s="1856" t="str">
        <f t="shared" si="128"/>
        <v/>
      </c>
      <c r="AT363" s="1856" t="str">
        <f t="shared" si="120"/>
        <v/>
      </c>
      <c r="AU363" s="1856" t="str">
        <f t="shared" si="121"/>
        <v/>
      </c>
      <c r="AV363" s="1856" t="str">
        <f t="shared" si="122"/>
        <v/>
      </c>
      <c r="AW363" s="1856" t="str">
        <f t="shared" si="123"/>
        <v/>
      </c>
      <c r="AX363" s="1856" t="str">
        <f t="shared" si="124"/>
        <v/>
      </c>
      <c r="AY363" s="1856" t="str">
        <f t="shared" si="125"/>
        <v/>
      </c>
      <c r="BB363" s="1879">
        <v>21</v>
      </c>
      <c r="BC363" s="1880">
        <v>0.24861111111111112</v>
      </c>
      <c r="BD363" s="1880" t="s">
        <v>552</v>
      </c>
      <c r="BE363" s="1880">
        <v>0.65555555555555556</v>
      </c>
      <c r="BF363" s="1880" t="s">
        <v>735</v>
      </c>
      <c r="BG363" s="1879" t="s">
        <v>241</v>
      </c>
      <c r="BH363" s="1880">
        <v>0.45416666666666666</v>
      </c>
      <c r="BI363" s="1879" t="s">
        <v>934</v>
      </c>
      <c r="BJ363" s="1881">
        <v>226719</v>
      </c>
      <c r="BK363" s="1882">
        <v>4.4999999999999998E-2</v>
      </c>
      <c r="BL363" s="1619">
        <f t="shared" si="109"/>
        <v>44916</v>
      </c>
      <c r="BM363" s="1856">
        <f t="shared" si="119"/>
        <v>0.45416666666666666</v>
      </c>
      <c r="BN363" s="934">
        <f t="shared" si="110"/>
        <v>28.1</v>
      </c>
    </row>
    <row r="364" spans="1:66" ht="14.5">
      <c r="A364" s="1">
        <f t="shared" si="117"/>
        <v>44917</v>
      </c>
      <c r="B364" s="932">
        <f t="shared" si="111"/>
        <v>44917.287499999999</v>
      </c>
      <c r="C364" s="932">
        <f t="shared" si="112"/>
        <v>44917.330555555556</v>
      </c>
      <c r="D364" s="932">
        <f t="shared" si="113"/>
        <v>44917.727777777778</v>
      </c>
      <c r="E364" s="932">
        <f t="shared" si="114"/>
        <v>44917.771527777775</v>
      </c>
      <c r="F364" s="932">
        <f t="shared" si="115"/>
        <v>44917.302083333328</v>
      </c>
      <c r="G364" s="932">
        <f t="shared" si="116"/>
        <v>44917.692361111105</v>
      </c>
      <c r="H364" s="2">
        <f t="shared" si="118"/>
        <v>2</v>
      </c>
      <c r="I364" s="2">
        <v>28.691683485376281</v>
      </c>
      <c r="J364" s="1317">
        <v>-23.433139398924318</v>
      </c>
      <c r="AP364" s="1855">
        <f t="shared" si="126"/>
        <v>44599</v>
      </c>
      <c r="AQ364" s="925" t="str">
        <f t="shared" si="127"/>
        <v>MS</v>
      </c>
      <c r="AR364" s="1856">
        <f t="shared" si="128"/>
        <v>44599.011111111111</v>
      </c>
      <c r="AS364" s="927" t="s">
        <v>1308</v>
      </c>
      <c r="AT364" s="1856" t="str">
        <f t="shared" si="120"/>
        <v/>
      </c>
      <c r="AU364" s="1856" t="str">
        <f t="shared" si="121"/>
        <v/>
      </c>
      <c r="AV364" s="1856" t="str">
        <f t="shared" si="122"/>
        <v/>
      </c>
      <c r="AW364" s="1856" t="str">
        <f t="shared" si="123"/>
        <v/>
      </c>
      <c r="AX364" s="1856" t="str">
        <f t="shared" si="124"/>
        <v/>
      </c>
      <c r="AY364" s="1856" t="str">
        <f t="shared" si="125"/>
        <v/>
      </c>
      <c r="BB364" s="1879">
        <v>22</v>
      </c>
      <c r="BC364" s="1880">
        <v>0.30138888888888887</v>
      </c>
      <c r="BD364" s="1880" t="s">
        <v>571</v>
      </c>
      <c r="BE364" s="1880">
        <v>0.69166666666666676</v>
      </c>
      <c r="BF364" s="1880" t="s">
        <v>936</v>
      </c>
      <c r="BG364" s="1879" t="s">
        <v>241</v>
      </c>
      <c r="BH364" s="1880">
        <v>0.49791666666666662</v>
      </c>
      <c r="BI364" s="1879" t="s">
        <v>572</v>
      </c>
      <c r="BJ364" s="1881">
        <v>224203</v>
      </c>
      <c r="BK364" s="1882">
        <v>8.9999999999999993E-3</v>
      </c>
      <c r="BL364" s="1619">
        <f t="shared" si="109"/>
        <v>44917</v>
      </c>
      <c r="BM364" s="1856">
        <f t="shared" si="119"/>
        <v>0.49791666666666662</v>
      </c>
      <c r="BN364" s="934">
        <f t="shared" si="110"/>
        <v>24.9</v>
      </c>
    </row>
    <row r="365" spans="1:66" ht="14.5">
      <c r="A365" s="1">
        <f t="shared" si="117"/>
        <v>44918</v>
      </c>
      <c r="B365" s="932">
        <f t="shared" si="111"/>
        <v>44918.287499999999</v>
      </c>
      <c r="C365" s="932">
        <f t="shared" si="112"/>
        <v>44918.331249999996</v>
      </c>
      <c r="D365" s="932">
        <f t="shared" si="113"/>
        <v>44918.728472222225</v>
      </c>
      <c r="E365" s="932">
        <f t="shared" si="114"/>
        <v>44918.771527777775</v>
      </c>
      <c r="F365" s="932">
        <f t="shared" si="115"/>
        <v>44918.352777777778</v>
      </c>
      <c r="G365" s="932">
        <f t="shared" si="116"/>
        <v>44918.736805555556</v>
      </c>
      <c r="H365" s="2">
        <f t="shared" si="118"/>
        <v>0</v>
      </c>
      <c r="I365" s="2">
        <v>28.70537423255152</v>
      </c>
      <c r="J365" s="1317">
        <v>-23.420745128558323</v>
      </c>
      <c r="AP365" s="1855">
        <f t="shared" si="126"/>
        <v>44599</v>
      </c>
      <c r="AQ365" s="925" t="str">
        <f t="shared" si="127"/>
        <v>BMNT</v>
      </c>
      <c r="AR365" s="1856">
        <f t="shared" si="128"/>
        <v>44599.280555555553</v>
      </c>
      <c r="AS365" s="927" t="s">
        <v>1309</v>
      </c>
      <c r="AT365" s="1856" t="str">
        <f t="shared" si="120"/>
        <v/>
      </c>
      <c r="AU365" s="1856" t="str">
        <f t="shared" si="121"/>
        <v/>
      </c>
      <c r="AV365" s="1856" t="str">
        <f t="shared" si="122"/>
        <v/>
      </c>
      <c r="AW365" s="1856" t="str">
        <f t="shared" si="123"/>
        <v/>
      </c>
      <c r="AX365" s="1856" t="str">
        <f t="shared" si="124"/>
        <v/>
      </c>
      <c r="AY365" s="1856" t="str">
        <f t="shared" si="125"/>
        <v/>
      </c>
      <c r="BB365" s="1879" t="s">
        <v>1310</v>
      </c>
      <c r="BC365" s="1880">
        <v>0.3520833333333333</v>
      </c>
      <c r="BD365" s="1880" t="s">
        <v>1204</v>
      </c>
      <c r="BE365" s="1880">
        <v>0.73611111111111116</v>
      </c>
      <c r="BF365" s="1880" t="s">
        <v>1207</v>
      </c>
      <c r="BG365" s="1879" t="s">
        <v>241</v>
      </c>
      <c r="BH365" s="1880">
        <v>0.54375000000000007</v>
      </c>
      <c r="BI365" s="1879" t="s">
        <v>1244</v>
      </c>
      <c r="BJ365" s="1881">
        <v>222831</v>
      </c>
      <c r="BK365" s="1882">
        <v>3.0000000000000001E-3</v>
      </c>
      <c r="BL365" s="1619">
        <f t="shared" si="109"/>
        <v>44918</v>
      </c>
      <c r="BM365" s="1856">
        <f t="shared" si="119"/>
        <v>0.54375000000000007</v>
      </c>
      <c r="BN365" s="934">
        <f t="shared" si="110"/>
        <v>23.8</v>
      </c>
    </row>
    <row r="366" spans="1:66" ht="14.5">
      <c r="A366" s="1">
        <f t="shared" si="117"/>
        <v>44919</v>
      </c>
      <c r="B366" s="932">
        <f t="shared" si="111"/>
        <v>44919.288194444445</v>
      </c>
      <c r="C366" s="932">
        <f t="shared" si="112"/>
        <v>44919.331249999996</v>
      </c>
      <c r="D366" s="932">
        <f t="shared" si="113"/>
        <v>44919.728472222225</v>
      </c>
      <c r="E366" s="932">
        <f t="shared" si="114"/>
        <v>44919.772222222222</v>
      </c>
      <c r="F366" s="932">
        <f t="shared" si="115"/>
        <v>44919.397222222222</v>
      </c>
      <c r="G366" s="932">
        <f t="shared" si="116"/>
        <v>44919.787499999999</v>
      </c>
      <c r="H366" s="2">
        <f t="shared" si="118"/>
        <v>1</v>
      </c>
      <c r="I366" s="2">
        <v>28.726677462778976</v>
      </c>
      <c r="J366" s="1317">
        <v>-23.400506797251094</v>
      </c>
      <c r="AP366" s="1855">
        <f t="shared" si="126"/>
        <v>44599</v>
      </c>
      <c r="AQ366" s="925" t="str">
        <f t="shared" si="127"/>
        <v>SR</v>
      </c>
      <c r="AR366" s="1856">
        <f t="shared" si="128"/>
        <v>44599.321527777778</v>
      </c>
      <c r="AS366" s="927" t="s">
        <v>1311</v>
      </c>
      <c r="AT366" s="1856" t="str">
        <f t="shared" si="120"/>
        <v/>
      </c>
      <c r="AU366" s="1856" t="str">
        <f t="shared" si="121"/>
        <v/>
      </c>
      <c r="AV366" s="1856" t="str">
        <f t="shared" si="122"/>
        <v/>
      </c>
      <c r="AW366" s="1856" t="str">
        <f t="shared" si="123"/>
        <v/>
      </c>
      <c r="AX366" s="1856" t="str">
        <f t="shared" si="124"/>
        <v/>
      </c>
      <c r="AY366" s="1856" t="str">
        <f t="shared" si="125"/>
        <v/>
      </c>
      <c r="BB366" s="1879">
        <v>24</v>
      </c>
      <c r="BC366" s="1880">
        <v>0.39652777777777781</v>
      </c>
      <c r="BD366" s="1880" t="s">
        <v>882</v>
      </c>
      <c r="BE366" s="1880">
        <v>0.78680555555555554</v>
      </c>
      <c r="BF366" s="1880" t="s">
        <v>563</v>
      </c>
      <c r="BG366" s="1879" t="s">
        <v>241</v>
      </c>
      <c r="BH366" s="1880">
        <v>0.59027777777777779</v>
      </c>
      <c r="BI366" s="1879" t="s">
        <v>572</v>
      </c>
      <c r="BJ366" s="1881">
        <v>222735</v>
      </c>
      <c r="BK366" s="1882">
        <v>0.03</v>
      </c>
      <c r="BL366" s="1619">
        <f t="shared" si="109"/>
        <v>44919</v>
      </c>
      <c r="BM366" s="1856">
        <f t="shared" si="119"/>
        <v>0.59027777777777779</v>
      </c>
      <c r="BN366" s="934">
        <f t="shared" si="110"/>
        <v>24.9</v>
      </c>
    </row>
    <row r="367" spans="1:66" ht="14.5">
      <c r="A367" s="1">
        <f t="shared" si="117"/>
        <v>44920</v>
      </c>
      <c r="B367" s="932">
        <f t="shared" si="111"/>
        <v>44920.288194444445</v>
      </c>
      <c r="C367" s="932">
        <f t="shared" si="112"/>
        <v>44920.331249999996</v>
      </c>
      <c r="D367" s="932">
        <f t="shared" si="113"/>
        <v>44920.729166666672</v>
      </c>
      <c r="E367" s="932">
        <f t="shared" si="114"/>
        <v>44920.772222222222</v>
      </c>
      <c r="F367" s="932">
        <f t="shared" si="115"/>
        <v>44920.434027777774</v>
      </c>
      <c r="G367" s="932">
        <f t="shared" si="116"/>
        <v>44920.840972222228</v>
      </c>
      <c r="H367" s="2">
        <f t="shared" si="118"/>
        <v>5</v>
      </c>
      <c r="I367" s="2">
        <v>28.755585741026866</v>
      </c>
      <c r="J367" s="1317">
        <v>-23.372432055352004</v>
      </c>
      <c r="AP367" s="1855">
        <f t="shared" si="126"/>
        <v>44599</v>
      </c>
      <c r="AQ367" s="925" t="str">
        <f t="shared" si="127"/>
        <v>MR</v>
      </c>
      <c r="AR367" s="1856">
        <f t="shared" si="128"/>
        <v>44599.472916666666</v>
      </c>
      <c r="AS367" s="927" t="s">
        <v>1312</v>
      </c>
      <c r="AT367" s="1856" t="str">
        <f t="shared" si="120"/>
        <v/>
      </c>
      <c r="AU367" s="1856" t="str">
        <f t="shared" si="121"/>
        <v/>
      </c>
      <c r="AV367" s="1856" t="str">
        <f t="shared" si="122"/>
        <v/>
      </c>
      <c r="AW367" s="1856" t="str">
        <f t="shared" si="123"/>
        <v/>
      </c>
      <c r="AX367" s="1856" t="str">
        <f t="shared" si="124"/>
        <v/>
      </c>
      <c r="AY367" s="1856" t="str">
        <f t="shared" si="125"/>
        <v/>
      </c>
      <c r="BB367" s="1879">
        <v>25</v>
      </c>
      <c r="BC367" s="1880">
        <v>0.43333333333333335</v>
      </c>
      <c r="BD367" s="1880" t="s">
        <v>794</v>
      </c>
      <c r="BE367" s="1880">
        <v>0.84097222222222223</v>
      </c>
      <c r="BF367" s="1880" t="s">
        <v>712</v>
      </c>
      <c r="BG367" s="1879" t="s">
        <v>241</v>
      </c>
      <c r="BH367" s="1880">
        <v>0.63472222222222219</v>
      </c>
      <c r="BI367" s="1879" t="s">
        <v>934</v>
      </c>
      <c r="BJ367" s="1881">
        <v>223874</v>
      </c>
      <c r="BK367" s="1882">
        <v>8.7999999999999995E-2</v>
      </c>
      <c r="BL367" s="1619">
        <f t="shared" si="109"/>
        <v>44920</v>
      </c>
      <c r="BM367" s="1856">
        <f t="shared" si="119"/>
        <v>0.63472222222222219</v>
      </c>
      <c r="BN367" s="934">
        <f t="shared" si="110"/>
        <v>28.1</v>
      </c>
    </row>
    <row r="368" spans="1:66" ht="14.5">
      <c r="A368" s="1">
        <f t="shared" si="117"/>
        <v>44921</v>
      </c>
      <c r="B368" s="932">
        <f t="shared" si="111"/>
        <v>44921.288194444445</v>
      </c>
      <c r="C368" s="932">
        <f t="shared" si="112"/>
        <v>44921.331944444442</v>
      </c>
      <c r="D368" s="932">
        <f t="shared" si="113"/>
        <v>44921.729166666672</v>
      </c>
      <c r="E368" s="932">
        <f t="shared" si="114"/>
        <v>44921.772916666669</v>
      </c>
      <c r="F368" s="932">
        <f t="shared" si="115"/>
        <v>44921.463194444448</v>
      </c>
      <c r="G368" s="932">
        <f t="shared" si="116"/>
        <v>44921.895138888889</v>
      </c>
      <c r="H368" s="2">
        <f t="shared" si="118"/>
        <v>12</v>
      </c>
      <c r="I368" s="2">
        <v>28.792088277318438</v>
      </c>
      <c r="J368" s="1317">
        <v>-23.33653273165697</v>
      </c>
      <c r="AP368" s="1855">
        <f t="shared" si="126"/>
        <v>44599</v>
      </c>
      <c r="AQ368" s="925" t="str">
        <f t="shared" si="127"/>
        <v>SS</v>
      </c>
      <c r="AR368" s="1856">
        <f t="shared" si="128"/>
        <v>44599.759027777778</v>
      </c>
      <c r="AS368" s="927" t="s">
        <v>1313</v>
      </c>
      <c r="AT368" s="1856" t="str">
        <f t="shared" si="120"/>
        <v/>
      </c>
      <c r="AU368" s="1856" t="str">
        <f t="shared" si="121"/>
        <v/>
      </c>
      <c r="AV368" s="1856" t="str">
        <f t="shared" si="122"/>
        <v/>
      </c>
      <c r="AW368" s="1856" t="str">
        <f t="shared" si="123"/>
        <v/>
      </c>
      <c r="AX368" s="1856" t="str">
        <f t="shared" si="124"/>
        <v/>
      </c>
      <c r="AY368" s="1856" t="str">
        <f t="shared" si="125"/>
        <v/>
      </c>
      <c r="BB368" s="1879">
        <v>26</v>
      </c>
      <c r="BC368" s="1880">
        <v>0.46249999999999997</v>
      </c>
      <c r="BD368" s="1880" t="s">
        <v>876</v>
      </c>
      <c r="BE368" s="1880">
        <v>0.89444444444444438</v>
      </c>
      <c r="BF368" s="1879" t="s">
        <v>750</v>
      </c>
      <c r="BG368" s="1880" t="s">
        <v>241</v>
      </c>
      <c r="BH368" s="1880">
        <v>0.67569444444444438</v>
      </c>
      <c r="BI368" s="1881" t="s">
        <v>1211</v>
      </c>
      <c r="BJ368" s="1882">
        <v>226047</v>
      </c>
      <c r="BK368" s="1882">
        <v>0.17100000000000001</v>
      </c>
      <c r="BL368" s="1619">
        <f t="shared" si="109"/>
        <v>44921</v>
      </c>
      <c r="BM368" s="1856">
        <f t="shared" si="119"/>
        <v>0.67569444444444438</v>
      </c>
      <c r="BN368" s="934">
        <f t="shared" si="110"/>
        <v>33</v>
      </c>
    </row>
    <row r="369" spans="1:66" ht="14.5">
      <c r="A369" s="1">
        <f t="shared" si="117"/>
        <v>44922</v>
      </c>
      <c r="B369" s="932">
        <f t="shared" si="111"/>
        <v>44922.288888888892</v>
      </c>
      <c r="C369" s="932">
        <f t="shared" si="112"/>
        <v>44922.331944444442</v>
      </c>
      <c r="D369" s="932">
        <f t="shared" si="113"/>
        <v>44922.729861111111</v>
      </c>
      <c r="E369" s="932">
        <f t="shared" si="114"/>
        <v>44922.772916666669</v>
      </c>
      <c r="F369" s="932">
        <f t="shared" si="115"/>
        <v>44922.486805555556</v>
      </c>
      <c r="G369" s="932">
        <f t="shared" si="116"/>
        <v>44922.945833333331</v>
      </c>
      <c r="H369" s="2">
        <f t="shared" si="118"/>
        <v>20</v>
      </c>
      <c r="I369" s="2">
        <v>28.836170936936217</v>
      </c>
      <c r="J369" s="1317">
        <v>-23.292824814287318</v>
      </c>
      <c r="AP369" s="1855">
        <f t="shared" si="126"/>
        <v>44599</v>
      </c>
      <c r="AQ369" s="925" t="str">
        <f t="shared" si="127"/>
        <v>EENT</v>
      </c>
      <c r="AR369" s="1856">
        <f t="shared" si="128"/>
        <v>44599.799305555556</v>
      </c>
      <c r="AS369" s="927" t="s">
        <v>1314</v>
      </c>
      <c r="AT369" s="1856" t="str">
        <f t="shared" si="120"/>
        <v/>
      </c>
      <c r="AU369" s="1856" t="str">
        <f t="shared" si="121"/>
        <v/>
      </c>
      <c r="AV369" s="1856" t="str">
        <f t="shared" si="122"/>
        <v/>
      </c>
      <c r="AW369" s="1856" t="str">
        <f t="shared" si="123"/>
        <v/>
      </c>
      <c r="AX369" s="1856" t="str">
        <f t="shared" si="124"/>
        <v/>
      </c>
      <c r="AY369" s="1856" t="str">
        <f t="shared" si="125"/>
        <v/>
      </c>
      <c r="BB369" s="1879">
        <v>27</v>
      </c>
      <c r="BC369" s="1880">
        <v>0.4861111111111111</v>
      </c>
      <c r="BD369" s="1879" t="s">
        <v>759</v>
      </c>
      <c r="BE369" s="1880">
        <v>0.9458333333333333</v>
      </c>
      <c r="BF369" s="1879" t="s">
        <v>869</v>
      </c>
      <c r="BG369" s="1879" t="s">
        <v>241</v>
      </c>
      <c r="BH369" s="1880">
        <v>0.71250000000000002</v>
      </c>
      <c r="BI369" s="1879" t="s">
        <v>1315</v>
      </c>
      <c r="BJ369" s="1881">
        <v>228961</v>
      </c>
      <c r="BK369" s="1882">
        <v>0.27200000000000002</v>
      </c>
      <c r="BL369" s="1619">
        <f t="shared" si="109"/>
        <v>44922</v>
      </c>
      <c r="BM369" s="1856">
        <f t="shared" si="119"/>
        <v>0.71250000000000002</v>
      </c>
      <c r="BN369" s="934">
        <f t="shared" si="110"/>
        <v>38.9</v>
      </c>
    </row>
    <row r="370" spans="1:66" ht="14.5">
      <c r="A370" s="1">
        <f t="shared" si="117"/>
        <v>44923</v>
      </c>
      <c r="B370" s="932">
        <f t="shared" si="111"/>
        <v>44923.288888888892</v>
      </c>
      <c r="C370" s="932">
        <f t="shared" si="112"/>
        <v>44923.332638888889</v>
      </c>
      <c r="D370" s="932">
        <f t="shared" si="113"/>
        <v>44923.730555555558</v>
      </c>
      <c r="E370" s="932">
        <f t="shared" si="114"/>
        <v>44923.773611111108</v>
      </c>
      <c r="F370" s="932">
        <f t="shared" si="115"/>
        <v>44923.506944444445</v>
      </c>
      <c r="G370" s="932">
        <f t="shared" si="116"/>
        <v>44923.994444444448</v>
      </c>
      <c r="H370" s="2">
        <f t="shared" si="118"/>
        <v>30</v>
      </c>
      <c r="I370" s="2">
        <v>28.887816254599503</v>
      </c>
      <c r="J370" s="1317">
        <v>-23.241328424341372</v>
      </c>
      <c r="AP370" s="1855">
        <f t="shared" si="126"/>
        <v>44600</v>
      </c>
      <c r="AQ370" s="925" t="str">
        <f t="shared" si="127"/>
        <v/>
      </c>
      <c r="AR370" s="1856" t="str">
        <f t="shared" si="128"/>
        <v/>
      </c>
      <c r="AS370" s="927">
        <v>8</v>
      </c>
      <c r="AT370" s="1856">
        <f t="shared" si="120"/>
        <v>44600.279861111114</v>
      </c>
      <c r="AU370" s="1856">
        <f t="shared" si="121"/>
        <v>44600.320833333331</v>
      </c>
      <c r="AV370" s="1856">
        <f t="shared" si="122"/>
        <v>44600.759722222225</v>
      </c>
      <c r="AW370" s="1856">
        <f t="shared" si="123"/>
        <v>44600.799999999996</v>
      </c>
      <c r="AX370" s="1856">
        <f t="shared" si="124"/>
        <v>44600.492361111115</v>
      </c>
      <c r="AY370" s="1856">
        <f t="shared" si="125"/>
        <v>44600.052777777775</v>
      </c>
      <c r="AZ370" s="1853">
        <v>0.46</v>
      </c>
      <c r="BB370" s="1879">
        <v>28</v>
      </c>
      <c r="BC370" s="1880">
        <v>0.50624999999999998</v>
      </c>
      <c r="BD370" s="1879" t="s">
        <v>866</v>
      </c>
      <c r="BE370" s="1880">
        <v>0.99375000000000002</v>
      </c>
      <c r="BF370" s="1879" t="s">
        <v>535</v>
      </c>
      <c r="BG370" s="1879" t="s">
        <v>241</v>
      </c>
      <c r="BH370" s="1880">
        <v>0.74652777777777779</v>
      </c>
      <c r="BI370" s="1879" t="s">
        <v>1316</v>
      </c>
      <c r="BJ370" s="1881">
        <v>232297</v>
      </c>
      <c r="BK370" s="1882">
        <v>0.38200000000000001</v>
      </c>
      <c r="BL370" s="1619">
        <f t="shared" si="109"/>
        <v>44923</v>
      </c>
      <c r="BM370" s="1856">
        <f t="shared" si="119"/>
        <v>0.74652777777777779</v>
      </c>
      <c r="BN370" s="934">
        <f t="shared" si="110"/>
        <v>45.3</v>
      </c>
    </row>
    <row r="371" spans="1:66" ht="14.5">
      <c r="A371" s="1">
        <f t="shared" si="117"/>
        <v>44924</v>
      </c>
      <c r="B371" s="932">
        <f t="shared" si="111"/>
        <v>44924.288888888892</v>
      </c>
      <c r="C371" s="932">
        <f t="shared" si="112"/>
        <v>44924.332638888889</v>
      </c>
      <c r="D371" s="932">
        <f t="shared" si="113"/>
        <v>44924.730555555558</v>
      </c>
      <c r="E371" s="932">
        <f t="shared" si="114"/>
        <v>44924.774305555555</v>
      </c>
      <c r="F371" s="932">
        <f t="shared" si="115"/>
        <v>44924.525694444441</v>
      </c>
      <c r="G371" s="932" t="str">
        <f t="shared" si="116"/>
        <v>NONE</v>
      </c>
      <c r="H371" s="2">
        <f t="shared" si="118"/>
        <v>41</v>
      </c>
      <c r="I371" s="2">
        <v>28.947003452551993</v>
      </c>
      <c r="J371" s="1317">
        <v>-23.182067782446278</v>
      </c>
      <c r="AP371" s="1855">
        <f t="shared" si="126"/>
        <v>44600</v>
      </c>
      <c r="AQ371" s="925" t="str">
        <f t="shared" si="127"/>
        <v/>
      </c>
      <c r="AR371" s="1856" t="str">
        <f t="shared" si="128"/>
        <v/>
      </c>
      <c r="AS371" s="927" t="s">
        <v>252</v>
      </c>
      <c r="AT371" s="1856" t="str">
        <f t="shared" si="120"/>
        <v/>
      </c>
      <c r="AU371" s="1856" t="str">
        <f t="shared" si="121"/>
        <v/>
      </c>
      <c r="AV371" s="1856" t="str">
        <f t="shared" si="122"/>
        <v/>
      </c>
      <c r="AW371" s="1856" t="str">
        <f t="shared" si="123"/>
        <v/>
      </c>
      <c r="AX371" s="1856" t="str">
        <f t="shared" si="124"/>
        <v/>
      </c>
      <c r="AY371" s="1856" t="str">
        <f t="shared" si="125"/>
        <v/>
      </c>
      <c r="BB371" s="1879" t="s">
        <v>1317</v>
      </c>
      <c r="BC371" s="1880">
        <v>0.52430555555555558</v>
      </c>
      <c r="BD371" s="1879" t="s">
        <v>544</v>
      </c>
      <c r="BE371" s="1880" t="s">
        <v>241</v>
      </c>
      <c r="BF371" s="1879" t="s">
        <v>241</v>
      </c>
      <c r="BG371" s="1880">
        <v>0.77847222222222223</v>
      </c>
      <c r="BH371" s="1880" t="s">
        <v>1318</v>
      </c>
      <c r="BI371" s="1881">
        <v>235759</v>
      </c>
      <c r="BJ371" s="1881">
        <v>0.49399999999999999</v>
      </c>
      <c r="BK371" s="1882"/>
      <c r="BL371" s="1619">
        <f t="shared" si="109"/>
        <v>44924</v>
      </c>
      <c r="BM371" s="1856">
        <f t="shared" si="119"/>
        <v>0.77847222222222223</v>
      </c>
      <c r="BN371" s="934">
        <f t="shared" si="110"/>
        <v>51.8</v>
      </c>
    </row>
    <row r="372" spans="1:66" ht="14.5">
      <c r="A372" s="1">
        <f t="shared" si="117"/>
        <v>44925</v>
      </c>
      <c r="B372" s="932">
        <f t="shared" si="111"/>
        <v>44925.289583333331</v>
      </c>
      <c r="C372" s="932">
        <f t="shared" si="112"/>
        <v>44925.332638888889</v>
      </c>
      <c r="D372" s="932">
        <f t="shared" si="113"/>
        <v>44925.731250000004</v>
      </c>
      <c r="E372" s="932">
        <f t="shared" si="114"/>
        <v>44925.774305555555</v>
      </c>
      <c r="F372" s="932">
        <f t="shared" si="115"/>
        <v>44925.542361111111</v>
      </c>
      <c r="G372" s="932">
        <f t="shared" si="116"/>
        <v>44925.040972222225</v>
      </c>
      <c r="H372" s="2">
        <f t="shared" si="118"/>
        <v>52</v>
      </c>
      <c r="I372" s="2">
        <v>29.01370846248221</v>
      </c>
      <c r="J372" s="1317">
        <v>-23.115071168364469</v>
      </c>
      <c r="AP372" s="1855">
        <f t="shared" si="126"/>
        <v>44600</v>
      </c>
      <c r="AQ372" s="925" t="str">
        <f t="shared" si="127"/>
        <v/>
      </c>
      <c r="AR372" s="1856" t="str">
        <f t="shared" si="128"/>
        <v/>
      </c>
      <c r="AT372" s="1856" t="str">
        <f t="shared" si="120"/>
        <v/>
      </c>
      <c r="AU372" s="1856" t="str">
        <f t="shared" si="121"/>
        <v/>
      </c>
      <c r="AV372" s="1856" t="str">
        <f t="shared" si="122"/>
        <v/>
      </c>
      <c r="AW372" s="1856" t="str">
        <f t="shared" si="123"/>
        <v/>
      </c>
      <c r="AX372" s="1856" t="str">
        <f t="shared" si="124"/>
        <v/>
      </c>
      <c r="AY372" s="1856" t="str">
        <f t="shared" si="125"/>
        <v/>
      </c>
      <c r="BB372" s="1879">
        <v>30</v>
      </c>
      <c r="BC372" s="1880" t="s">
        <v>241</v>
      </c>
      <c r="BD372" s="1880">
        <v>4.027777777777778E-2</v>
      </c>
      <c r="BE372" s="1880" t="s">
        <v>631</v>
      </c>
      <c r="BF372" s="1880">
        <v>0.54166666666666663</v>
      </c>
      <c r="BG372" s="1879" t="s">
        <v>1033</v>
      </c>
      <c r="BH372" s="1880">
        <v>0.80972222222222223</v>
      </c>
      <c r="BI372" s="1879" t="s">
        <v>1319</v>
      </c>
      <c r="BJ372" s="1881">
        <v>239113</v>
      </c>
      <c r="BK372" s="1882">
        <v>0.60299999999999998</v>
      </c>
      <c r="BL372" s="1619">
        <f t="shared" si="109"/>
        <v>44925</v>
      </c>
      <c r="BM372" s="1856">
        <f t="shared" si="119"/>
        <v>0.80972222222222223</v>
      </c>
      <c r="BN372" s="934">
        <f t="shared" si="110"/>
        <v>58.1</v>
      </c>
    </row>
    <row r="373" spans="1:66" ht="14.5">
      <c r="A373" s="1">
        <f t="shared" si="117"/>
        <v>44926</v>
      </c>
      <c r="B373" s="932">
        <f t="shared" si="111"/>
        <v>44926.289583333331</v>
      </c>
      <c r="C373" s="932">
        <f t="shared" si="112"/>
        <v>44926.332638888889</v>
      </c>
      <c r="D373" s="932">
        <f t="shared" si="113"/>
        <v>44926.731944444444</v>
      </c>
      <c r="E373" s="932">
        <f t="shared" si="114"/>
        <v>44926.775000000001</v>
      </c>
      <c r="F373" s="932">
        <f t="shared" si="115"/>
        <v>44926.55972222222</v>
      </c>
      <c r="G373" s="932">
        <f t="shared" si="116"/>
        <v>44926.086111111115</v>
      </c>
      <c r="H373" s="2">
        <f t="shared" si="118"/>
        <v>62</v>
      </c>
      <c r="I373" s="2">
        <v>29.087903951180166</v>
      </c>
      <c r="J373" s="1317">
        <v>-23.040370873843131</v>
      </c>
      <c r="AP373" s="1855">
        <f t="shared" si="126"/>
        <v>44600</v>
      </c>
      <c r="AQ373" s="925" t="str">
        <f t="shared" si="127"/>
        <v>MS</v>
      </c>
      <c r="AR373" s="1856">
        <f t="shared" si="128"/>
        <v>44600.052777777775</v>
      </c>
      <c r="AS373" s="927" t="s">
        <v>1320</v>
      </c>
      <c r="AT373" s="1856" t="str">
        <f t="shared" si="120"/>
        <v/>
      </c>
      <c r="AU373" s="1856" t="str">
        <f t="shared" si="121"/>
        <v/>
      </c>
      <c r="AV373" s="1856" t="str">
        <f t="shared" si="122"/>
        <v/>
      </c>
      <c r="AW373" s="1856" t="str">
        <f t="shared" si="123"/>
        <v/>
      </c>
      <c r="AX373" s="1856" t="str">
        <f t="shared" si="124"/>
        <v/>
      </c>
      <c r="AY373" s="1856" t="str">
        <f t="shared" si="125"/>
        <v/>
      </c>
      <c r="BB373" s="1879">
        <v>31</v>
      </c>
      <c r="BC373" s="1880" t="s">
        <v>241</v>
      </c>
      <c r="BD373" s="1880">
        <v>8.5416666666666655E-2</v>
      </c>
      <c r="BE373" s="1880" t="s">
        <v>1034</v>
      </c>
      <c r="BF373" s="1880">
        <v>0.55902777777777779</v>
      </c>
      <c r="BG373" s="1879" t="s">
        <v>899</v>
      </c>
      <c r="BH373" s="1880">
        <v>0.84097222222222223</v>
      </c>
      <c r="BI373" s="1879" t="s">
        <v>653</v>
      </c>
      <c r="BJ373" s="1881">
        <v>242193</v>
      </c>
      <c r="BK373" s="1882">
        <v>0.70399999999999996</v>
      </c>
      <c r="BL373" s="1619">
        <f t="shared" si="109"/>
        <v>44926</v>
      </c>
      <c r="BM373" s="1856">
        <f t="shared" si="119"/>
        <v>0.84097222222222223</v>
      </c>
      <c r="BN373" s="934">
        <f t="shared" si="110"/>
        <v>64</v>
      </c>
    </row>
    <row r="374" spans="1:66" ht="14.5">
      <c r="A374" s="1576">
        <f t="shared" si="117"/>
        <v>44927</v>
      </c>
      <c r="B374" s="932">
        <f t="shared" si="111"/>
        <v>44927.289583333331</v>
      </c>
      <c r="C374" s="932">
        <f t="shared" si="112"/>
        <v>44927.333333333336</v>
      </c>
      <c r="D374" s="932">
        <f t="shared" si="113"/>
        <v>44927.732638888891</v>
      </c>
      <c r="E374" s="932">
        <f t="shared" si="114"/>
        <v>44927.775694444441</v>
      </c>
      <c r="F374" s="932">
        <f t="shared" si="115"/>
        <v>44927.578472222223</v>
      </c>
      <c r="G374" s="932">
        <f t="shared" si="116"/>
        <v>44927.130555555559</v>
      </c>
      <c r="H374" s="2">
        <f t="shared" si="118"/>
        <v>72</v>
      </c>
      <c r="I374" s="2">
        <v>29.169559349821892</v>
      </c>
      <c r="J374" s="1317">
        <v>-22.95800314891931</v>
      </c>
      <c r="AP374" s="1855">
        <f t="shared" si="126"/>
        <v>44600</v>
      </c>
      <c r="AQ374" s="925" t="str">
        <f t="shared" si="127"/>
        <v>BMNT</v>
      </c>
      <c r="AR374" s="1856">
        <f t="shared" si="128"/>
        <v>44600.279861111114</v>
      </c>
      <c r="AS374" s="927" t="s">
        <v>1321</v>
      </c>
      <c r="AT374" s="1856" t="str">
        <f t="shared" si="120"/>
        <v/>
      </c>
      <c r="AU374" s="1856" t="str">
        <f t="shared" si="121"/>
        <v/>
      </c>
      <c r="AV374" s="1856" t="str">
        <f t="shared" si="122"/>
        <v/>
      </c>
      <c r="AW374" s="1856" t="str">
        <f t="shared" si="123"/>
        <v/>
      </c>
      <c r="AX374" s="1856" t="str">
        <f t="shared" si="124"/>
        <v/>
      </c>
      <c r="AY374" s="1856" t="str">
        <f t="shared" si="125"/>
        <v/>
      </c>
      <c r="BB374" s="1879">
        <v>1</v>
      </c>
      <c r="BC374" s="1880" t="s">
        <v>241</v>
      </c>
      <c r="BD374" s="1880">
        <v>0.12986111111111112</v>
      </c>
      <c r="BE374" s="1880" t="s">
        <v>1116</v>
      </c>
      <c r="BF374" s="1880">
        <v>0.57777777777777783</v>
      </c>
      <c r="BG374" s="1879" t="s">
        <v>860</v>
      </c>
      <c r="BH374" s="1880">
        <v>0.87222222222222223</v>
      </c>
      <c r="BI374" s="1879" t="s">
        <v>1322</v>
      </c>
      <c r="BJ374" s="1881">
        <v>244903</v>
      </c>
      <c r="BK374" s="1882">
        <v>0.79400000000000004</v>
      </c>
      <c r="BL374" s="1619">
        <f t="shared" si="109"/>
        <v>44927</v>
      </c>
      <c r="BM374" s="1856">
        <f t="shared" si="119"/>
        <v>0.87222222222222223</v>
      </c>
      <c r="BN374" s="934">
        <f t="shared" si="110"/>
        <v>69.2</v>
      </c>
    </row>
    <row r="375" spans="1:66" ht="14.5">
      <c r="A375" s="287">
        <f t="shared" si="117"/>
        <v>44928</v>
      </c>
      <c r="B375" s="938">
        <f t="shared" si="111"/>
        <v>44928.290277777778</v>
      </c>
      <c r="C375" s="938">
        <f t="shared" si="112"/>
        <v>44928.333333333336</v>
      </c>
      <c r="D375" s="938">
        <f t="shared" si="113"/>
        <v>44928.732638888891</v>
      </c>
      <c r="E375" s="938">
        <f t="shared" si="114"/>
        <v>44928.776388888888</v>
      </c>
      <c r="F375" s="938">
        <f t="shared" si="115"/>
        <v>44928.599305555559</v>
      </c>
      <c r="G375" s="938">
        <f t="shared" si="116"/>
        <v>44928.174999999996</v>
      </c>
      <c r="H375" s="288">
        <f t="shared" si="118"/>
        <v>80</v>
      </c>
      <c r="I375" s="288">
        <v>29.167442699694163</v>
      </c>
      <c r="J375" s="1317">
        <v>-22.936657362989727</v>
      </c>
      <c r="AP375" s="1855">
        <f t="shared" si="126"/>
        <v>44600</v>
      </c>
      <c r="AQ375" s="925" t="str">
        <f t="shared" si="127"/>
        <v>SR</v>
      </c>
      <c r="AR375" s="1856">
        <f t="shared" si="128"/>
        <v>44600.320833333331</v>
      </c>
      <c r="AS375" s="927" t="s">
        <v>1323</v>
      </c>
      <c r="AT375" s="1856" t="str">
        <f t="shared" si="120"/>
        <v/>
      </c>
      <c r="AU375" s="1856" t="str">
        <f t="shared" si="121"/>
        <v/>
      </c>
      <c r="AV375" s="1856" t="str">
        <f t="shared" si="122"/>
        <v/>
      </c>
      <c r="AW375" s="1856" t="str">
        <f t="shared" si="123"/>
        <v/>
      </c>
      <c r="AX375" s="1856" t="str">
        <f t="shared" si="124"/>
        <v/>
      </c>
      <c r="AY375" s="1856" t="str">
        <f t="shared" si="125"/>
        <v/>
      </c>
      <c r="BB375" s="1879">
        <v>2</v>
      </c>
      <c r="BC375" s="1880" t="s">
        <v>241</v>
      </c>
      <c r="BD375" s="1880">
        <v>0.17430555555555557</v>
      </c>
      <c r="BE375" s="1880" t="s">
        <v>902</v>
      </c>
      <c r="BF375" s="1880">
        <v>0.59861111111111109</v>
      </c>
      <c r="BG375" s="1879" t="s">
        <v>858</v>
      </c>
      <c r="BH375" s="1880">
        <v>0.90486111111111101</v>
      </c>
      <c r="BI375" s="1879" t="s">
        <v>1324</v>
      </c>
      <c r="BJ375" s="1881">
        <v>247200</v>
      </c>
      <c r="BK375" s="1882">
        <v>0.86899999999999999</v>
      </c>
      <c r="BL375" s="1619">
        <f t="shared" si="109"/>
        <v>44928</v>
      </c>
      <c r="BM375" s="1856">
        <f t="shared" si="119"/>
        <v>0.90486111111111101</v>
      </c>
      <c r="BN375" s="934">
        <f t="shared" si="110"/>
        <v>73.599999999999994</v>
      </c>
    </row>
    <row r="376" spans="1:66" ht="14.5">
      <c r="A376" s="1">
        <f t="shared" si="117"/>
        <v>44929</v>
      </c>
      <c r="B376" s="932">
        <f t="shared" si="111"/>
        <v>44929.290277777778</v>
      </c>
      <c r="C376" s="932">
        <f t="shared" si="112"/>
        <v>44929.333333333336</v>
      </c>
      <c r="D376" s="932">
        <f t="shared" si="113"/>
        <v>44929.733333333337</v>
      </c>
      <c r="E376" s="932">
        <f t="shared" si="114"/>
        <v>44929.776388888888</v>
      </c>
      <c r="F376" s="932">
        <f t="shared" si="115"/>
        <v>44929.623611111114</v>
      </c>
      <c r="G376" s="932">
        <f t="shared" si="116"/>
        <v>44929.21875</v>
      </c>
      <c r="H376" s="2">
        <f t="shared" si="118"/>
        <v>88</v>
      </c>
      <c r="I376" s="2">
        <v>29.255680536115808</v>
      </c>
      <c r="J376" s="1317">
        <v>-22.845064519722747</v>
      </c>
      <c r="AP376" s="1855">
        <f t="shared" si="126"/>
        <v>44600</v>
      </c>
      <c r="AQ376" s="925" t="str">
        <f t="shared" si="127"/>
        <v>MR</v>
      </c>
      <c r="AR376" s="1856">
        <f t="shared" si="128"/>
        <v>44600.492361111115</v>
      </c>
      <c r="AS376" s="927" t="s">
        <v>1325</v>
      </c>
      <c r="AT376" s="1856" t="str">
        <f t="shared" si="120"/>
        <v/>
      </c>
      <c r="AU376" s="1856" t="str">
        <f t="shared" si="121"/>
        <v/>
      </c>
      <c r="AV376" s="1856" t="str">
        <f t="shared" si="122"/>
        <v/>
      </c>
      <c r="AW376" s="1856" t="str">
        <f t="shared" si="123"/>
        <v/>
      </c>
      <c r="AX376" s="1856" t="str">
        <f t="shared" si="124"/>
        <v/>
      </c>
      <c r="AY376" s="1856" t="str">
        <f t="shared" si="125"/>
        <v/>
      </c>
      <c r="BB376" s="1879">
        <v>3</v>
      </c>
      <c r="BC376" s="1880" t="s">
        <v>241</v>
      </c>
      <c r="BD376" s="1880">
        <v>0.21805555555555556</v>
      </c>
      <c r="BE376" s="1880" t="s">
        <v>591</v>
      </c>
      <c r="BF376" s="1880">
        <v>0.62291666666666667</v>
      </c>
      <c r="BG376" s="1879" t="s">
        <v>599</v>
      </c>
      <c r="BH376" s="1880">
        <v>0.93888888888888899</v>
      </c>
      <c r="BI376" s="1879" t="s">
        <v>1001</v>
      </c>
      <c r="BJ376" s="1881">
        <v>249076</v>
      </c>
      <c r="BK376" s="1882">
        <v>0.92900000000000005</v>
      </c>
      <c r="BL376" s="1619">
        <f t="shared" si="109"/>
        <v>44929</v>
      </c>
      <c r="BM376" s="1856">
        <f t="shared" si="119"/>
        <v>0.93888888888888899</v>
      </c>
      <c r="BN376" s="934">
        <f t="shared" si="110"/>
        <v>76.8</v>
      </c>
    </row>
    <row r="377" spans="1:66" ht="14.5">
      <c r="A377" s="287">
        <f t="shared" si="117"/>
        <v>44930</v>
      </c>
      <c r="B377" s="938">
        <f t="shared" si="111"/>
        <v>44930.290277777778</v>
      </c>
      <c r="C377" s="938">
        <f t="shared" si="112"/>
        <v>44930.333333333336</v>
      </c>
      <c r="D377" s="938">
        <f t="shared" si="113"/>
        <v>44930.734027777777</v>
      </c>
      <c r="E377" s="938">
        <f t="shared" si="114"/>
        <v>44930.777083333334</v>
      </c>
      <c r="F377" s="938">
        <f t="shared" si="115"/>
        <v>44930.651388888888</v>
      </c>
      <c r="G377" s="938">
        <f t="shared" si="116"/>
        <v>44930.261805555558</v>
      </c>
      <c r="H377" s="288">
        <f t="shared" si="118"/>
        <v>93</v>
      </c>
      <c r="I377" s="288">
        <v>29.351317971517837</v>
      </c>
      <c r="J377" s="1317">
        <v>-22.745899344449597</v>
      </c>
      <c r="AP377" s="1855">
        <f t="shared" si="126"/>
        <v>44600</v>
      </c>
      <c r="AQ377" s="925" t="str">
        <f t="shared" si="127"/>
        <v>SS</v>
      </c>
      <c r="AR377" s="1856">
        <f t="shared" si="128"/>
        <v>44600.759722222225</v>
      </c>
      <c r="AS377" s="927" t="s">
        <v>1326</v>
      </c>
      <c r="AT377" s="1856" t="str">
        <f t="shared" si="120"/>
        <v/>
      </c>
      <c r="AU377" s="1856" t="str">
        <f t="shared" si="121"/>
        <v/>
      </c>
      <c r="AV377" s="1856" t="str">
        <f t="shared" si="122"/>
        <v/>
      </c>
      <c r="AW377" s="1856" t="str">
        <f t="shared" si="123"/>
        <v/>
      </c>
      <c r="AX377" s="1856" t="str">
        <f t="shared" si="124"/>
        <v/>
      </c>
      <c r="AY377" s="1856" t="str">
        <f t="shared" si="125"/>
        <v/>
      </c>
      <c r="BB377" s="1879">
        <v>4</v>
      </c>
      <c r="BC377" s="1880" t="s">
        <v>241</v>
      </c>
      <c r="BD377" s="1880">
        <v>0.26041666666666669</v>
      </c>
      <c r="BE377" s="1880" t="s">
        <v>609</v>
      </c>
      <c r="BF377" s="1880">
        <v>0.65069444444444446</v>
      </c>
      <c r="BG377" s="1879" t="s">
        <v>685</v>
      </c>
      <c r="BH377" s="1880">
        <v>0.97430555555555554</v>
      </c>
      <c r="BI377" s="1879" t="s">
        <v>1111</v>
      </c>
      <c r="BJ377" s="1881">
        <v>250545</v>
      </c>
      <c r="BK377" s="1882">
        <v>0.97099999999999997</v>
      </c>
      <c r="BL377" s="1619">
        <f t="shared" si="109"/>
        <v>44930</v>
      </c>
      <c r="BM377" s="1856">
        <f t="shared" si="119"/>
        <v>0.97430555555555554</v>
      </c>
      <c r="BN377" s="934">
        <f t="shared" si="110"/>
        <v>78.8</v>
      </c>
    </row>
    <row r="378" spans="1:66" ht="14.5">
      <c r="A378" s="1">
        <f>A377+1</f>
        <v>44931</v>
      </c>
      <c r="B378" s="932">
        <f t="shared" si="111"/>
        <v>44931.290277777778</v>
      </c>
      <c r="C378" s="932">
        <f t="shared" si="112"/>
        <v>44931.333333333336</v>
      </c>
      <c r="D378" s="932">
        <f t="shared" si="113"/>
        <v>44931.734722222223</v>
      </c>
      <c r="E378" s="932">
        <f t="shared" si="114"/>
        <v>44931.777777777781</v>
      </c>
      <c r="F378" s="932">
        <f t="shared" si="115"/>
        <v>44931.684027777774</v>
      </c>
      <c r="G378" s="932">
        <f t="shared" si="116"/>
        <v>44931.301388888889</v>
      </c>
      <c r="H378" s="2">
        <f t="shared" si="118"/>
        <v>97</v>
      </c>
      <c r="I378" s="2">
        <v>29.454315992379435</v>
      </c>
      <c r="J378" s="1317">
        <v>-22.639210373916107</v>
      </c>
      <c r="AP378" s="1855">
        <f t="shared" si="126"/>
        <v>44600</v>
      </c>
      <c r="AQ378" s="925" t="str">
        <f t="shared" si="127"/>
        <v>EENT</v>
      </c>
      <c r="AR378" s="1856">
        <f t="shared" si="128"/>
        <v>44600.799999999996</v>
      </c>
      <c r="AS378" s="927" t="s">
        <v>1327</v>
      </c>
      <c r="AT378" s="1856" t="str">
        <f t="shared" si="120"/>
        <v/>
      </c>
      <c r="AU378" s="1856" t="str">
        <f t="shared" si="121"/>
        <v/>
      </c>
      <c r="AV378" s="1856" t="str">
        <f t="shared" si="122"/>
        <v/>
      </c>
      <c r="AW378" s="1856" t="str">
        <f t="shared" si="123"/>
        <v/>
      </c>
      <c r="AX378" s="1856" t="str">
        <f t="shared" si="124"/>
        <v/>
      </c>
      <c r="AY378" s="1856" t="str">
        <f t="shared" si="125"/>
        <v/>
      </c>
      <c r="BB378" s="1879">
        <v>5</v>
      </c>
      <c r="BC378" s="1880" t="s">
        <v>241</v>
      </c>
      <c r="BD378" s="1880">
        <v>0.30069444444444443</v>
      </c>
      <c r="BE378" s="1880" t="s">
        <v>960</v>
      </c>
      <c r="BF378" s="1880">
        <v>0.68333333333333324</v>
      </c>
      <c r="BG378" s="1879" t="s">
        <v>1225</v>
      </c>
      <c r="BH378" s="1880" t="s">
        <v>695</v>
      </c>
      <c r="BJ378" s="1881"/>
      <c r="BK378" s="1882"/>
      <c r="BL378" s="1619">
        <f t="shared" si="109"/>
        <v>44931</v>
      </c>
      <c r="BM378" s="1856" t="str">
        <f t="shared" si="119"/>
        <v>NA</v>
      </c>
      <c r="BN378" s="934" t="str">
        <f t="shared" si="110"/>
        <v>NA</v>
      </c>
    </row>
    <row r="379" spans="1:66" ht="14.5">
      <c r="A379" s="287">
        <f>A378+1</f>
        <v>44932</v>
      </c>
      <c r="B379" s="938">
        <f t="shared" si="111"/>
        <v>44932.290277777778</v>
      </c>
      <c r="C379" s="938">
        <f t="shared" si="112"/>
        <v>44932.333333333336</v>
      </c>
      <c r="D379" s="938">
        <f t="shared" si="113"/>
        <v>44932.73541666667</v>
      </c>
      <c r="E379" s="938">
        <f t="shared" si="114"/>
        <v>44932.77847222222</v>
      </c>
      <c r="F379" s="938">
        <f t="shared" si="115"/>
        <v>44932.720833333333</v>
      </c>
      <c r="G379" s="938">
        <f t="shared" si="116"/>
        <v>44932.338194444448</v>
      </c>
      <c r="H379" s="288">
        <f t="shared" si="118"/>
        <v>99</v>
      </c>
      <c r="I379" s="288">
        <v>29.564632495858351</v>
      </c>
      <c r="J379" s="1317">
        <v>-22.525049810073689</v>
      </c>
      <c r="AP379" s="1855">
        <f t="shared" si="126"/>
        <v>44601</v>
      </c>
      <c r="AQ379" s="925" t="str">
        <f t="shared" si="127"/>
        <v/>
      </c>
      <c r="AR379" s="1856" t="str">
        <f t="shared" si="128"/>
        <v/>
      </c>
      <c r="AS379" s="927">
        <v>9</v>
      </c>
      <c r="AT379" s="1856">
        <f t="shared" si="120"/>
        <v>44601.279861111114</v>
      </c>
      <c r="AU379" s="1856">
        <f t="shared" si="121"/>
        <v>44601.320138888885</v>
      </c>
      <c r="AV379" s="1856">
        <f t="shared" si="122"/>
        <v>44601.760416666664</v>
      </c>
      <c r="AW379" s="1856">
        <f t="shared" si="123"/>
        <v>44601.800694444442</v>
      </c>
      <c r="AX379" s="1856">
        <f t="shared" si="124"/>
        <v>44601.513888888891</v>
      </c>
      <c r="AY379" s="1856">
        <f t="shared" si="125"/>
        <v>44601.094444444447</v>
      </c>
      <c r="AZ379" s="1853">
        <v>0.56000000000000005</v>
      </c>
      <c r="BB379" s="1879" t="s">
        <v>1328</v>
      </c>
      <c r="BC379" s="1880" t="s">
        <v>241</v>
      </c>
      <c r="BD379" s="1880">
        <v>0.33680555555555558</v>
      </c>
      <c r="BE379" s="1880" t="s">
        <v>960</v>
      </c>
      <c r="BF379" s="1880">
        <v>0.72013888888888899</v>
      </c>
      <c r="BG379" s="1879" t="s">
        <v>907</v>
      </c>
      <c r="BH379" s="1880">
        <v>1.0416666666666666E-2</v>
      </c>
      <c r="BI379" s="1879" t="s">
        <v>1227</v>
      </c>
      <c r="BJ379" s="1881">
        <v>251619</v>
      </c>
      <c r="BK379" s="1882">
        <v>0.99399999999999999</v>
      </c>
      <c r="BL379" s="1619">
        <f t="shared" si="109"/>
        <v>44932</v>
      </c>
      <c r="BM379" s="1856">
        <f t="shared" si="119"/>
        <v>1.0416666666666666E-2</v>
      </c>
      <c r="BN379" s="934">
        <f t="shared" si="110"/>
        <v>79.400000000000006</v>
      </c>
    </row>
    <row r="380" spans="1:66" ht="14.5">
      <c r="A380" s="1">
        <f>A379+1</f>
        <v>44933</v>
      </c>
      <c r="B380" s="932">
        <f t="shared" si="111"/>
        <v>44933.290277777778</v>
      </c>
      <c r="C380" s="932">
        <f t="shared" si="112"/>
        <v>44933.333333333336</v>
      </c>
      <c r="D380" s="932">
        <f t="shared" si="113"/>
        <v>44933.736111111117</v>
      </c>
      <c r="E380" s="932">
        <f t="shared" si="114"/>
        <v>44933.77847222222</v>
      </c>
      <c r="F380" s="932">
        <f t="shared" si="115"/>
        <v>44933.761111111111</v>
      </c>
      <c r="G380" s="932">
        <f t="shared" si="116"/>
        <v>44933.369444444448</v>
      </c>
      <c r="H380" s="2">
        <f t="shared" si="118"/>
        <v>100</v>
      </c>
      <c r="I380" s="2">
        <v>29.682222334547561</v>
      </c>
      <c r="J380" s="1317">
        <v>-22.403473436725211</v>
      </c>
      <c r="AP380" s="1855">
        <f t="shared" si="126"/>
        <v>44601</v>
      </c>
      <c r="AQ380" s="925" t="str">
        <f t="shared" si="127"/>
        <v/>
      </c>
      <c r="AR380" s="1856" t="str">
        <f t="shared" si="128"/>
        <v/>
      </c>
      <c r="AS380" s="927" t="s">
        <v>252</v>
      </c>
      <c r="AT380" s="1856" t="str">
        <f t="shared" si="120"/>
        <v/>
      </c>
      <c r="AU380" s="1856" t="str">
        <f t="shared" si="121"/>
        <v/>
      </c>
      <c r="AV380" s="1856" t="str">
        <f t="shared" si="122"/>
        <v/>
      </c>
      <c r="AW380" s="1856" t="str">
        <f t="shared" si="123"/>
        <v/>
      </c>
      <c r="AX380" s="1856" t="str">
        <f t="shared" si="124"/>
        <v/>
      </c>
      <c r="AY380" s="1856" t="str">
        <f t="shared" si="125"/>
        <v/>
      </c>
      <c r="BB380" s="1879">
        <v>7</v>
      </c>
      <c r="BC380" s="1880" t="s">
        <v>241</v>
      </c>
      <c r="BD380" s="1880">
        <v>0.36874999999999997</v>
      </c>
      <c r="BE380" s="1880" t="s">
        <v>694</v>
      </c>
      <c r="BF380" s="1880">
        <v>0.76041666666666663</v>
      </c>
      <c r="BG380" s="1879" t="s">
        <v>608</v>
      </c>
      <c r="BH380" s="1880">
        <v>4.5833333333333337E-2</v>
      </c>
      <c r="BI380" s="1879" t="s">
        <v>1002</v>
      </c>
      <c r="BJ380" s="1881">
        <v>252296</v>
      </c>
      <c r="BK380" s="1882">
        <v>0.998</v>
      </c>
      <c r="BL380" s="1619">
        <f t="shared" si="109"/>
        <v>44933</v>
      </c>
      <c r="BM380" s="1856">
        <f t="shared" si="119"/>
        <v>4.5833333333333337E-2</v>
      </c>
      <c r="BN380" s="934">
        <f t="shared" si="110"/>
        <v>78.5</v>
      </c>
    </row>
    <row r="381" spans="1:66" ht="14.5">
      <c r="A381" s="287">
        <f>A380+1</f>
        <v>44934</v>
      </c>
      <c r="B381" s="938">
        <f t="shared" si="111"/>
        <v>44934.290277777778</v>
      </c>
      <c r="C381" s="938">
        <f t="shared" si="112"/>
        <v>44934.333333333336</v>
      </c>
      <c r="D381" s="938">
        <f t="shared" si="113"/>
        <v>44934.736805555556</v>
      </c>
      <c r="E381" s="938">
        <f t="shared" si="114"/>
        <v>44934.779166666667</v>
      </c>
      <c r="F381" s="938">
        <f t="shared" si="115"/>
        <v>44934.802083333328</v>
      </c>
      <c r="G381" s="938">
        <f t="shared" si="116"/>
        <v>44934.395833333336</v>
      </c>
      <c r="H381" s="288">
        <f t="shared" si="118"/>
        <v>98</v>
      </c>
      <c r="I381" s="288">
        <v>29.807037363890643</v>
      </c>
      <c r="J381" s="1317">
        <v>-22.274540531489176</v>
      </c>
      <c r="AP381" s="1855">
        <f t="shared" si="126"/>
        <v>44601</v>
      </c>
      <c r="AQ381" s="925" t="str">
        <f t="shared" si="127"/>
        <v/>
      </c>
      <c r="AR381" s="1856" t="str">
        <f t="shared" si="128"/>
        <v/>
      </c>
      <c r="AT381" s="1856" t="str">
        <f t="shared" si="120"/>
        <v/>
      </c>
      <c r="AU381" s="1856" t="str">
        <f t="shared" si="121"/>
        <v/>
      </c>
      <c r="AV381" s="1856" t="str">
        <f t="shared" si="122"/>
        <v/>
      </c>
      <c r="AW381" s="1856" t="str">
        <f t="shared" si="123"/>
        <v/>
      </c>
      <c r="AX381" s="1856" t="str">
        <f t="shared" si="124"/>
        <v/>
      </c>
      <c r="AY381" s="1856" t="str">
        <f t="shared" si="125"/>
        <v/>
      </c>
      <c r="BB381" s="1879">
        <v>8</v>
      </c>
      <c r="BC381" s="1880" t="s">
        <v>241</v>
      </c>
      <c r="BD381" s="1880">
        <v>0.39513888888888887</v>
      </c>
      <c r="BE381" s="1879" t="s">
        <v>633</v>
      </c>
      <c r="BF381" s="1880">
        <v>0.80138888888888893</v>
      </c>
      <c r="BG381" s="1880" t="s">
        <v>668</v>
      </c>
      <c r="BH381" s="1880">
        <v>7.9861111111111105E-2</v>
      </c>
      <c r="BI381" s="1881" t="s">
        <v>1329</v>
      </c>
      <c r="BJ381" s="1882">
        <v>252559</v>
      </c>
      <c r="BK381" s="1882">
        <v>0.98299999999999998</v>
      </c>
      <c r="BL381" s="1619">
        <f t="shared" si="109"/>
        <v>44934</v>
      </c>
      <c r="BM381" s="1856">
        <f t="shared" si="119"/>
        <v>7.9861111111111105E-2</v>
      </c>
      <c r="BN381" s="934">
        <f t="shared" si="110"/>
        <v>76.400000000000006</v>
      </c>
    </row>
    <row r="382" spans="1:66">
      <c r="AP382" s="1855">
        <f t="shared" si="126"/>
        <v>44601</v>
      </c>
      <c r="AQ382" s="925" t="str">
        <f t="shared" si="127"/>
        <v>MS</v>
      </c>
      <c r="AR382" s="1856">
        <f t="shared" si="128"/>
        <v>44601.094444444447</v>
      </c>
      <c r="AS382" s="927" t="s">
        <v>1330</v>
      </c>
      <c r="AT382" s="1856" t="str">
        <f t="shared" si="120"/>
        <v/>
      </c>
      <c r="AU382" s="1856" t="str">
        <f t="shared" si="121"/>
        <v/>
      </c>
      <c r="AV382" s="1856" t="str">
        <f t="shared" si="122"/>
        <v/>
      </c>
      <c r="AW382" s="1856" t="str">
        <f t="shared" si="123"/>
        <v/>
      </c>
      <c r="AX382" s="1856" t="str">
        <f t="shared" si="124"/>
        <v/>
      </c>
      <c r="AY382" s="1856" t="str">
        <f t="shared" si="125"/>
        <v/>
      </c>
    </row>
    <row r="383" spans="1:66">
      <c r="AP383" s="1855">
        <f t="shared" si="126"/>
        <v>44601</v>
      </c>
      <c r="AQ383" s="925" t="str">
        <f t="shared" si="127"/>
        <v>BMNT</v>
      </c>
      <c r="AR383" s="1856">
        <f t="shared" si="128"/>
        <v>44601.279861111114</v>
      </c>
      <c r="AS383" s="927" t="s">
        <v>1321</v>
      </c>
      <c r="AT383" s="1856" t="str">
        <f t="shared" si="120"/>
        <v/>
      </c>
      <c r="AU383" s="1856" t="str">
        <f t="shared" si="121"/>
        <v/>
      </c>
      <c r="AV383" s="1856" t="str">
        <f t="shared" si="122"/>
        <v/>
      </c>
      <c r="AW383" s="1856" t="str">
        <f t="shared" si="123"/>
        <v/>
      </c>
      <c r="AX383" s="1856" t="str">
        <f t="shared" si="124"/>
        <v/>
      </c>
      <c r="AY383" s="1856" t="str">
        <f t="shared" si="125"/>
        <v/>
      </c>
    </row>
    <row r="384" spans="1:66">
      <c r="AP384" s="1855">
        <f t="shared" si="126"/>
        <v>44601</v>
      </c>
      <c r="AQ384" s="925" t="str">
        <f t="shared" si="127"/>
        <v>SR</v>
      </c>
      <c r="AR384" s="1856">
        <f t="shared" si="128"/>
        <v>44601.320138888885</v>
      </c>
      <c r="AS384" s="927" t="s">
        <v>1331</v>
      </c>
      <c r="AT384" s="1856" t="str">
        <f t="shared" si="120"/>
        <v/>
      </c>
      <c r="AU384" s="1856" t="str">
        <f t="shared" si="121"/>
        <v/>
      </c>
      <c r="AV384" s="1856" t="str">
        <f t="shared" si="122"/>
        <v/>
      </c>
      <c r="AW384" s="1856" t="str">
        <f t="shared" si="123"/>
        <v/>
      </c>
      <c r="AX384" s="1856" t="str">
        <f t="shared" si="124"/>
        <v/>
      </c>
      <c r="AY384" s="1856" t="str">
        <f t="shared" si="125"/>
        <v/>
      </c>
    </row>
    <row r="385" spans="42:52">
      <c r="AP385" s="1855">
        <f t="shared" si="126"/>
        <v>44601</v>
      </c>
      <c r="AQ385" s="925" t="str">
        <f t="shared" si="127"/>
        <v>MR</v>
      </c>
      <c r="AR385" s="1856">
        <f t="shared" si="128"/>
        <v>44601.513888888891</v>
      </c>
      <c r="AS385" s="927" t="s">
        <v>1332</v>
      </c>
      <c r="AT385" s="1856" t="str">
        <f t="shared" si="120"/>
        <v/>
      </c>
      <c r="AU385" s="1856" t="str">
        <f t="shared" si="121"/>
        <v/>
      </c>
      <c r="AV385" s="1856" t="str">
        <f t="shared" si="122"/>
        <v/>
      </c>
      <c r="AW385" s="1856" t="str">
        <f t="shared" si="123"/>
        <v/>
      </c>
      <c r="AX385" s="1856" t="str">
        <f t="shared" si="124"/>
        <v/>
      </c>
      <c r="AY385" s="1856" t="str">
        <f t="shared" si="125"/>
        <v/>
      </c>
    </row>
    <row r="386" spans="42:52">
      <c r="AP386" s="1855">
        <f t="shared" si="126"/>
        <v>44601</v>
      </c>
      <c r="AQ386" s="925" t="str">
        <f t="shared" si="127"/>
        <v>SS</v>
      </c>
      <c r="AR386" s="1856">
        <f t="shared" si="128"/>
        <v>44601.760416666664</v>
      </c>
      <c r="AS386" s="927" t="s">
        <v>1333</v>
      </c>
      <c r="AT386" s="1856" t="str">
        <f t="shared" si="120"/>
        <v/>
      </c>
      <c r="AU386" s="1856" t="str">
        <f t="shared" si="121"/>
        <v/>
      </c>
      <c r="AV386" s="1856" t="str">
        <f t="shared" si="122"/>
        <v/>
      </c>
      <c r="AW386" s="1856" t="str">
        <f t="shared" si="123"/>
        <v/>
      </c>
      <c r="AX386" s="1856" t="str">
        <f t="shared" si="124"/>
        <v/>
      </c>
      <c r="AY386" s="1856" t="str">
        <f t="shared" si="125"/>
        <v/>
      </c>
    </row>
    <row r="387" spans="42:52">
      <c r="AP387" s="1855">
        <f t="shared" si="126"/>
        <v>44601</v>
      </c>
      <c r="AQ387" s="925" t="str">
        <f t="shared" si="127"/>
        <v>EENT</v>
      </c>
      <c r="AR387" s="1856">
        <f t="shared" si="128"/>
        <v>44601.800694444442</v>
      </c>
      <c r="AS387" s="927" t="s">
        <v>1334</v>
      </c>
      <c r="AT387" s="1856" t="str">
        <f t="shared" si="120"/>
        <v/>
      </c>
      <c r="AU387" s="1856" t="str">
        <f t="shared" si="121"/>
        <v/>
      </c>
      <c r="AV387" s="1856" t="str">
        <f t="shared" si="122"/>
        <v/>
      </c>
      <c r="AW387" s="1856" t="str">
        <f t="shared" si="123"/>
        <v/>
      </c>
      <c r="AX387" s="1856" t="str">
        <f t="shared" si="124"/>
        <v/>
      </c>
      <c r="AY387" s="1856" t="str">
        <f t="shared" si="125"/>
        <v/>
      </c>
    </row>
    <row r="388" spans="42:52">
      <c r="AP388" s="1855">
        <f t="shared" si="126"/>
        <v>44602</v>
      </c>
      <c r="AQ388" s="925" t="str">
        <f t="shared" si="127"/>
        <v/>
      </c>
      <c r="AR388" s="1856" t="str">
        <f t="shared" si="128"/>
        <v/>
      </c>
      <c r="AS388" s="927">
        <v>10</v>
      </c>
      <c r="AT388" s="1856">
        <f t="shared" si="120"/>
        <v>44602.279166666667</v>
      </c>
      <c r="AU388" s="1856">
        <f t="shared" si="121"/>
        <v>44602.319444444445</v>
      </c>
      <c r="AV388" s="1856">
        <f t="shared" si="122"/>
        <v>44602.761111111111</v>
      </c>
      <c r="AW388" s="1856">
        <f t="shared" si="123"/>
        <v>44602.802083333328</v>
      </c>
      <c r="AX388" s="1856">
        <f t="shared" si="124"/>
        <v>44602.538888888892</v>
      </c>
      <c r="AY388" s="1856">
        <f t="shared" si="125"/>
        <v>44602.136111111111</v>
      </c>
      <c r="AZ388" s="1853">
        <v>0.65</v>
      </c>
    </row>
    <row r="389" spans="42:52">
      <c r="AP389" s="1855">
        <f t="shared" si="126"/>
        <v>44602</v>
      </c>
      <c r="AQ389" s="925" t="str">
        <f t="shared" si="127"/>
        <v/>
      </c>
      <c r="AR389" s="1856" t="str">
        <f t="shared" si="128"/>
        <v/>
      </c>
      <c r="AS389" s="927" t="s">
        <v>252</v>
      </c>
      <c r="AT389" s="1856" t="str">
        <f t="shared" si="120"/>
        <v/>
      </c>
      <c r="AU389" s="1856" t="str">
        <f t="shared" si="121"/>
        <v/>
      </c>
      <c r="AV389" s="1856" t="str">
        <f t="shared" si="122"/>
        <v/>
      </c>
      <c r="AW389" s="1856" t="str">
        <f t="shared" si="123"/>
        <v/>
      </c>
      <c r="AX389" s="1856" t="str">
        <f t="shared" si="124"/>
        <v/>
      </c>
      <c r="AY389" s="1856" t="str">
        <f t="shared" si="125"/>
        <v/>
      </c>
    </row>
    <row r="390" spans="42:52">
      <c r="AP390" s="1855">
        <f t="shared" si="126"/>
        <v>44602</v>
      </c>
      <c r="AQ390" s="925" t="str">
        <f t="shared" si="127"/>
        <v/>
      </c>
      <c r="AR390" s="1856" t="str">
        <f t="shared" si="128"/>
        <v/>
      </c>
      <c r="AT390" s="1856" t="str">
        <f t="shared" si="120"/>
        <v/>
      </c>
      <c r="AU390" s="1856" t="str">
        <f t="shared" si="121"/>
        <v/>
      </c>
      <c r="AV390" s="1856" t="str">
        <f t="shared" si="122"/>
        <v/>
      </c>
      <c r="AW390" s="1856" t="str">
        <f t="shared" si="123"/>
        <v/>
      </c>
      <c r="AX390" s="1856" t="str">
        <f t="shared" si="124"/>
        <v/>
      </c>
      <c r="AY390" s="1856" t="str">
        <f t="shared" si="125"/>
        <v/>
      </c>
    </row>
    <row r="391" spans="42:52">
      <c r="AP391" s="1855">
        <f t="shared" si="126"/>
        <v>44602</v>
      </c>
      <c r="AQ391" s="925" t="str">
        <f t="shared" si="127"/>
        <v>MS</v>
      </c>
      <c r="AR391" s="1856">
        <f t="shared" si="128"/>
        <v>44602.136111111111</v>
      </c>
      <c r="AS391" s="927" t="s">
        <v>1335</v>
      </c>
      <c r="AT391" s="1856" t="str">
        <f t="shared" si="120"/>
        <v/>
      </c>
      <c r="AU391" s="1856" t="str">
        <f t="shared" si="121"/>
        <v/>
      </c>
      <c r="AV391" s="1856" t="str">
        <f t="shared" si="122"/>
        <v/>
      </c>
      <c r="AW391" s="1856" t="str">
        <f t="shared" si="123"/>
        <v/>
      </c>
      <c r="AX391" s="1856" t="str">
        <f t="shared" si="124"/>
        <v/>
      </c>
      <c r="AY391" s="1856" t="str">
        <f t="shared" si="125"/>
        <v/>
      </c>
    </row>
    <row r="392" spans="42:52">
      <c r="AP392" s="1855">
        <f t="shared" si="126"/>
        <v>44602</v>
      </c>
      <c r="AQ392" s="925" t="str">
        <f t="shared" si="127"/>
        <v>BMNT</v>
      </c>
      <c r="AR392" s="1856">
        <f t="shared" si="128"/>
        <v>44602.279166666667</v>
      </c>
      <c r="AS392" s="927" t="s">
        <v>1336</v>
      </c>
      <c r="AT392" s="1856" t="str">
        <f t="shared" si="120"/>
        <v/>
      </c>
      <c r="AU392" s="1856" t="str">
        <f t="shared" si="121"/>
        <v/>
      </c>
      <c r="AV392" s="1856" t="str">
        <f t="shared" si="122"/>
        <v/>
      </c>
      <c r="AW392" s="1856" t="str">
        <f t="shared" si="123"/>
        <v/>
      </c>
      <c r="AX392" s="1856" t="str">
        <f t="shared" si="124"/>
        <v/>
      </c>
      <c r="AY392" s="1856" t="str">
        <f t="shared" si="125"/>
        <v/>
      </c>
    </row>
    <row r="393" spans="42:52">
      <c r="AP393" s="1855">
        <f t="shared" si="126"/>
        <v>44602</v>
      </c>
      <c r="AQ393" s="925" t="str">
        <f t="shared" si="127"/>
        <v>SR</v>
      </c>
      <c r="AR393" s="1856">
        <f t="shared" si="128"/>
        <v>44602.319444444445</v>
      </c>
      <c r="AS393" s="927" t="s">
        <v>1337</v>
      </c>
      <c r="AT393" s="1856" t="str">
        <f t="shared" si="120"/>
        <v/>
      </c>
      <c r="AU393" s="1856" t="str">
        <f t="shared" si="121"/>
        <v/>
      </c>
      <c r="AV393" s="1856" t="str">
        <f t="shared" si="122"/>
        <v/>
      </c>
      <c r="AW393" s="1856" t="str">
        <f t="shared" si="123"/>
        <v/>
      </c>
      <c r="AX393" s="1856" t="str">
        <f t="shared" si="124"/>
        <v/>
      </c>
      <c r="AY393" s="1856" t="str">
        <f t="shared" si="125"/>
        <v/>
      </c>
    </row>
    <row r="394" spans="42:52">
      <c r="AP394" s="1855">
        <f t="shared" si="126"/>
        <v>44602</v>
      </c>
      <c r="AQ394" s="925" t="str">
        <f t="shared" si="127"/>
        <v>MR</v>
      </c>
      <c r="AR394" s="1856">
        <f t="shared" si="128"/>
        <v>44602.538888888892</v>
      </c>
      <c r="AS394" s="927" t="s">
        <v>1338</v>
      </c>
      <c r="AT394" s="1856" t="str">
        <f t="shared" si="120"/>
        <v/>
      </c>
      <c r="AU394" s="1856" t="str">
        <f t="shared" si="121"/>
        <v/>
      </c>
      <c r="AV394" s="1856" t="str">
        <f t="shared" si="122"/>
        <v/>
      </c>
      <c r="AW394" s="1856" t="str">
        <f t="shared" si="123"/>
        <v/>
      </c>
      <c r="AX394" s="1856" t="str">
        <f t="shared" si="124"/>
        <v/>
      </c>
      <c r="AY394" s="1856" t="str">
        <f t="shared" si="125"/>
        <v/>
      </c>
    </row>
    <row r="395" spans="42:52">
      <c r="AP395" s="1855">
        <f t="shared" si="126"/>
        <v>44602</v>
      </c>
      <c r="AQ395" s="925" t="str">
        <f t="shared" si="127"/>
        <v>SS</v>
      </c>
      <c r="AR395" s="1856">
        <f t="shared" si="128"/>
        <v>44602.761111111111</v>
      </c>
      <c r="AS395" s="927" t="s">
        <v>1339</v>
      </c>
      <c r="AT395" s="1856" t="str">
        <f t="shared" si="120"/>
        <v/>
      </c>
      <c r="AU395" s="1856" t="str">
        <f t="shared" si="121"/>
        <v/>
      </c>
      <c r="AV395" s="1856" t="str">
        <f t="shared" si="122"/>
        <v/>
      </c>
      <c r="AW395" s="1856" t="str">
        <f t="shared" si="123"/>
        <v/>
      </c>
      <c r="AX395" s="1856" t="str">
        <f t="shared" si="124"/>
        <v/>
      </c>
      <c r="AY395" s="1856" t="str">
        <f t="shared" si="125"/>
        <v/>
      </c>
    </row>
    <row r="396" spans="42:52">
      <c r="AP396" s="1855">
        <f t="shared" si="126"/>
        <v>44602</v>
      </c>
      <c r="AQ396" s="925" t="str">
        <f t="shared" si="127"/>
        <v>EENT</v>
      </c>
      <c r="AR396" s="1856">
        <f t="shared" si="128"/>
        <v>44602.802083333328</v>
      </c>
      <c r="AS396" s="927" t="s">
        <v>1340</v>
      </c>
      <c r="AT396" s="1856" t="str">
        <f t="shared" si="120"/>
        <v/>
      </c>
      <c r="AU396" s="1856" t="str">
        <f t="shared" si="121"/>
        <v/>
      </c>
      <c r="AV396" s="1856" t="str">
        <f t="shared" si="122"/>
        <v/>
      </c>
      <c r="AW396" s="1856" t="str">
        <f t="shared" si="123"/>
        <v/>
      </c>
      <c r="AX396" s="1856" t="str">
        <f t="shared" si="124"/>
        <v/>
      </c>
      <c r="AY396" s="1856" t="str">
        <f t="shared" si="125"/>
        <v/>
      </c>
    </row>
    <row r="397" spans="42:52">
      <c r="AP397" s="1855">
        <f t="shared" si="126"/>
        <v>44603</v>
      </c>
      <c r="AQ397" s="925" t="str">
        <f t="shared" si="127"/>
        <v/>
      </c>
      <c r="AR397" s="1856" t="str">
        <f t="shared" si="128"/>
        <v/>
      </c>
      <c r="AS397" s="927">
        <v>11</v>
      </c>
      <c r="AT397" s="1856">
        <f t="shared" si="120"/>
        <v>44603.27847222222</v>
      </c>
      <c r="AU397" s="1856">
        <f t="shared" si="121"/>
        <v>44603.318749999999</v>
      </c>
      <c r="AV397" s="1856">
        <f t="shared" si="122"/>
        <v>44603.761805555558</v>
      </c>
      <c r="AW397" s="1856">
        <f t="shared" si="123"/>
        <v>44603.802777777775</v>
      </c>
      <c r="AX397" s="1856">
        <f t="shared" si="124"/>
        <v>44603.568055555552</v>
      </c>
      <c r="AY397" s="1856">
        <f t="shared" si="125"/>
        <v>44603.175694444442</v>
      </c>
      <c r="AZ397" s="1853">
        <v>0.74</v>
      </c>
    </row>
    <row r="398" spans="42:52">
      <c r="AP398" s="1855">
        <f t="shared" si="126"/>
        <v>44603</v>
      </c>
      <c r="AQ398" s="925" t="str">
        <f t="shared" si="127"/>
        <v/>
      </c>
      <c r="AR398" s="1856" t="str">
        <f t="shared" si="128"/>
        <v/>
      </c>
      <c r="AS398" s="927" t="s">
        <v>252</v>
      </c>
      <c r="AT398" s="1856" t="str">
        <f t="shared" si="120"/>
        <v/>
      </c>
      <c r="AU398" s="1856" t="str">
        <f t="shared" si="121"/>
        <v/>
      </c>
      <c r="AV398" s="1856" t="str">
        <f t="shared" si="122"/>
        <v/>
      </c>
      <c r="AW398" s="1856" t="str">
        <f t="shared" si="123"/>
        <v/>
      </c>
      <c r="AX398" s="1856" t="str">
        <f t="shared" si="124"/>
        <v/>
      </c>
      <c r="AY398" s="1856" t="str">
        <f t="shared" si="125"/>
        <v/>
      </c>
    </row>
    <row r="399" spans="42:52">
      <c r="AP399" s="1855">
        <f t="shared" si="126"/>
        <v>44603</v>
      </c>
      <c r="AQ399" s="925" t="str">
        <f t="shared" si="127"/>
        <v/>
      </c>
      <c r="AR399" s="1856" t="str">
        <f t="shared" si="128"/>
        <v/>
      </c>
      <c r="AT399" s="1856" t="str">
        <f t="shared" si="120"/>
        <v/>
      </c>
      <c r="AU399" s="1856" t="str">
        <f t="shared" si="121"/>
        <v/>
      </c>
      <c r="AV399" s="1856" t="str">
        <f t="shared" si="122"/>
        <v/>
      </c>
      <c r="AW399" s="1856" t="str">
        <f t="shared" si="123"/>
        <v/>
      </c>
      <c r="AX399" s="1856" t="str">
        <f t="shared" si="124"/>
        <v/>
      </c>
      <c r="AY399" s="1856" t="str">
        <f t="shared" si="125"/>
        <v/>
      </c>
    </row>
    <row r="400" spans="42:52">
      <c r="AP400" s="1855">
        <f t="shared" si="126"/>
        <v>44603</v>
      </c>
      <c r="AQ400" s="925" t="str">
        <f t="shared" si="127"/>
        <v>MS</v>
      </c>
      <c r="AR400" s="1856">
        <f t="shared" si="128"/>
        <v>44603.175694444442</v>
      </c>
      <c r="AS400" s="927" t="s">
        <v>1341</v>
      </c>
      <c r="AT400" s="1856" t="str">
        <f t="shared" si="120"/>
        <v/>
      </c>
      <c r="AU400" s="1856" t="str">
        <f t="shared" si="121"/>
        <v/>
      </c>
      <c r="AV400" s="1856" t="str">
        <f t="shared" si="122"/>
        <v/>
      </c>
      <c r="AW400" s="1856" t="str">
        <f t="shared" si="123"/>
        <v/>
      </c>
      <c r="AX400" s="1856" t="str">
        <f t="shared" si="124"/>
        <v/>
      </c>
      <c r="AY400" s="1856" t="str">
        <f t="shared" si="125"/>
        <v/>
      </c>
    </row>
    <row r="401" spans="42:52">
      <c r="AP401" s="1855">
        <f t="shared" si="126"/>
        <v>44603</v>
      </c>
      <c r="AQ401" s="925" t="str">
        <f t="shared" si="127"/>
        <v>BMNT</v>
      </c>
      <c r="AR401" s="1856">
        <f t="shared" si="128"/>
        <v>44603.27847222222</v>
      </c>
      <c r="AS401" s="927" t="s">
        <v>1342</v>
      </c>
      <c r="AT401" s="1856" t="str">
        <f t="shared" si="120"/>
        <v/>
      </c>
      <c r="AU401" s="1856" t="str">
        <f t="shared" si="121"/>
        <v/>
      </c>
      <c r="AV401" s="1856" t="str">
        <f t="shared" si="122"/>
        <v/>
      </c>
      <c r="AW401" s="1856" t="str">
        <f t="shared" si="123"/>
        <v/>
      </c>
      <c r="AX401" s="1856" t="str">
        <f t="shared" si="124"/>
        <v/>
      </c>
      <c r="AY401" s="1856" t="str">
        <f t="shared" si="125"/>
        <v/>
      </c>
    </row>
    <row r="402" spans="42:52">
      <c r="AP402" s="1855">
        <f t="shared" si="126"/>
        <v>44603</v>
      </c>
      <c r="AQ402" s="925" t="str">
        <f t="shared" si="127"/>
        <v>SR</v>
      </c>
      <c r="AR402" s="1856">
        <f t="shared" si="128"/>
        <v>44603.318749999999</v>
      </c>
      <c r="AS402" s="927" t="s">
        <v>1343</v>
      </c>
      <c r="AT402" s="1856" t="str">
        <f t="shared" si="120"/>
        <v/>
      </c>
      <c r="AU402" s="1856" t="str">
        <f t="shared" si="121"/>
        <v/>
      </c>
      <c r="AV402" s="1856" t="str">
        <f t="shared" si="122"/>
        <v/>
      </c>
      <c r="AW402" s="1856" t="str">
        <f t="shared" si="123"/>
        <v/>
      </c>
      <c r="AX402" s="1856" t="str">
        <f t="shared" si="124"/>
        <v/>
      </c>
      <c r="AY402" s="1856" t="str">
        <f t="shared" si="125"/>
        <v/>
      </c>
    </row>
    <row r="403" spans="42:52">
      <c r="AP403" s="1855">
        <f t="shared" si="126"/>
        <v>44603</v>
      </c>
      <c r="AQ403" s="925" t="str">
        <f t="shared" si="127"/>
        <v>MR</v>
      </c>
      <c r="AR403" s="1856">
        <f t="shared" si="128"/>
        <v>44603.568055555552</v>
      </c>
      <c r="AS403" s="927" t="s">
        <v>1344</v>
      </c>
      <c r="AT403" s="1856" t="str">
        <f t="shared" si="120"/>
        <v/>
      </c>
      <c r="AU403" s="1856" t="str">
        <f t="shared" si="121"/>
        <v/>
      </c>
      <c r="AV403" s="1856" t="str">
        <f t="shared" si="122"/>
        <v/>
      </c>
      <c r="AW403" s="1856" t="str">
        <f t="shared" si="123"/>
        <v/>
      </c>
      <c r="AX403" s="1856" t="str">
        <f t="shared" si="124"/>
        <v/>
      </c>
      <c r="AY403" s="1856" t="str">
        <f t="shared" si="125"/>
        <v/>
      </c>
    </row>
    <row r="404" spans="42:52">
      <c r="AP404" s="1855">
        <f t="shared" si="126"/>
        <v>44603</v>
      </c>
      <c r="AQ404" s="925" t="str">
        <f t="shared" si="127"/>
        <v>SS</v>
      </c>
      <c r="AR404" s="1856">
        <f t="shared" si="128"/>
        <v>44603.761805555558</v>
      </c>
      <c r="AS404" s="927" t="s">
        <v>1345</v>
      </c>
      <c r="AT404" s="1856" t="str">
        <f t="shared" si="120"/>
        <v/>
      </c>
      <c r="AU404" s="1856" t="str">
        <f t="shared" si="121"/>
        <v/>
      </c>
      <c r="AV404" s="1856" t="str">
        <f t="shared" si="122"/>
        <v/>
      </c>
      <c r="AW404" s="1856" t="str">
        <f t="shared" si="123"/>
        <v/>
      </c>
      <c r="AX404" s="1856" t="str">
        <f t="shared" si="124"/>
        <v/>
      </c>
      <c r="AY404" s="1856" t="str">
        <f t="shared" si="125"/>
        <v/>
      </c>
    </row>
    <row r="405" spans="42:52">
      <c r="AP405" s="1855">
        <f t="shared" si="126"/>
        <v>44603</v>
      </c>
      <c r="AQ405" s="925" t="str">
        <f t="shared" si="127"/>
        <v>EENT</v>
      </c>
      <c r="AR405" s="1856">
        <f t="shared" si="128"/>
        <v>44603.802777777775</v>
      </c>
      <c r="AS405" s="927" t="s">
        <v>1346</v>
      </c>
      <c r="AT405" s="1856" t="str">
        <f t="shared" si="120"/>
        <v/>
      </c>
      <c r="AU405" s="1856" t="str">
        <f t="shared" si="121"/>
        <v/>
      </c>
      <c r="AV405" s="1856" t="str">
        <f t="shared" si="122"/>
        <v/>
      </c>
      <c r="AW405" s="1856" t="str">
        <f t="shared" si="123"/>
        <v/>
      </c>
      <c r="AX405" s="1856" t="str">
        <f t="shared" si="124"/>
        <v/>
      </c>
      <c r="AY405" s="1856" t="str">
        <f t="shared" si="125"/>
        <v/>
      </c>
    </row>
    <row r="406" spans="42:52">
      <c r="AP406" s="1855">
        <f t="shared" si="126"/>
        <v>44604</v>
      </c>
      <c r="AQ406" s="925" t="str">
        <f t="shared" si="127"/>
        <v/>
      </c>
      <c r="AR406" s="1856" t="str">
        <f t="shared" si="128"/>
        <v/>
      </c>
      <c r="AS406" s="927">
        <v>12</v>
      </c>
      <c r="AT406" s="1856">
        <f t="shared" si="120"/>
        <v>44604.277777777781</v>
      </c>
      <c r="AU406" s="1856">
        <f t="shared" si="121"/>
        <v>44604.318055555552</v>
      </c>
      <c r="AV406" s="1856">
        <f t="shared" si="122"/>
        <v>44604.762499999997</v>
      </c>
      <c r="AW406" s="1856">
        <f t="shared" si="123"/>
        <v>44604.803472222222</v>
      </c>
      <c r="AX406" s="1856">
        <f t="shared" si="124"/>
        <v>44604.602083333339</v>
      </c>
      <c r="AY406" s="1856">
        <f t="shared" si="125"/>
        <v>44604.213888888895</v>
      </c>
      <c r="AZ406" s="1853">
        <v>0.82</v>
      </c>
    </row>
    <row r="407" spans="42:52">
      <c r="AP407" s="1855">
        <f t="shared" si="126"/>
        <v>44604</v>
      </c>
      <c r="AQ407" s="925" t="str">
        <f t="shared" si="127"/>
        <v/>
      </c>
      <c r="AR407" s="1856" t="str">
        <f t="shared" si="128"/>
        <v/>
      </c>
      <c r="AS407" s="927" t="s">
        <v>252</v>
      </c>
      <c r="AT407" s="1856" t="str">
        <f t="shared" si="120"/>
        <v/>
      </c>
      <c r="AU407" s="1856" t="str">
        <f t="shared" si="121"/>
        <v/>
      </c>
      <c r="AV407" s="1856" t="str">
        <f t="shared" si="122"/>
        <v/>
      </c>
      <c r="AW407" s="1856" t="str">
        <f t="shared" si="123"/>
        <v/>
      </c>
      <c r="AX407" s="1856" t="str">
        <f t="shared" si="124"/>
        <v/>
      </c>
      <c r="AY407" s="1856" t="str">
        <f t="shared" si="125"/>
        <v/>
      </c>
    </row>
    <row r="408" spans="42:52">
      <c r="AP408" s="1855">
        <f t="shared" si="126"/>
        <v>44604</v>
      </c>
      <c r="AQ408" s="925" t="str">
        <f t="shared" si="127"/>
        <v/>
      </c>
      <c r="AR408" s="1856" t="str">
        <f t="shared" si="128"/>
        <v/>
      </c>
      <c r="AT408" s="1856" t="str">
        <f t="shared" si="120"/>
        <v/>
      </c>
      <c r="AU408" s="1856" t="str">
        <f t="shared" si="121"/>
        <v/>
      </c>
      <c r="AV408" s="1856" t="str">
        <f t="shared" si="122"/>
        <v/>
      </c>
      <c r="AW408" s="1856" t="str">
        <f t="shared" si="123"/>
        <v/>
      </c>
      <c r="AX408" s="1856" t="str">
        <f t="shared" si="124"/>
        <v/>
      </c>
      <c r="AY408" s="1856" t="str">
        <f t="shared" si="125"/>
        <v/>
      </c>
    </row>
    <row r="409" spans="42:52">
      <c r="AP409" s="1855">
        <f t="shared" si="126"/>
        <v>44604</v>
      </c>
      <c r="AQ409" s="925" t="str">
        <f t="shared" si="127"/>
        <v>MS</v>
      </c>
      <c r="AR409" s="1856">
        <f t="shared" si="128"/>
        <v>44604.213888888895</v>
      </c>
      <c r="AS409" s="927" t="s">
        <v>1347</v>
      </c>
      <c r="AT409" s="1856" t="str">
        <f t="shared" si="120"/>
        <v/>
      </c>
      <c r="AU409" s="1856" t="str">
        <f t="shared" si="121"/>
        <v/>
      </c>
      <c r="AV409" s="1856" t="str">
        <f t="shared" si="122"/>
        <v/>
      </c>
      <c r="AW409" s="1856" t="str">
        <f t="shared" si="123"/>
        <v/>
      </c>
      <c r="AX409" s="1856" t="str">
        <f t="shared" si="124"/>
        <v/>
      </c>
      <c r="AY409" s="1856" t="str">
        <f t="shared" si="125"/>
        <v/>
      </c>
    </row>
    <row r="410" spans="42:52">
      <c r="AP410" s="1855">
        <f t="shared" si="126"/>
        <v>44604</v>
      </c>
      <c r="AQ410" s="925" t="str">
        <f t="shared" si="127"/>
        <v>BMNT</v>
      </c>
      <c r="AR410" s="1856">
        <f t="shared" si="128"/>
        <v>44604.277777777781</v>
      </c>
      <c r="AS410" s="927" t="s">
        <v>1348</v>
      </c>
      <c r="AT410" s="1856" t="str">
        <f t="shared" si="120"/>
        <v/>
      </c>
      <c r="AU410" s="1856" t="str">
        <f t="shared" si="121"/>
        <v/>
      </c>
      <c r="AV410" s="1856" t="str">
        <f t="shared" si="122"/>
        <v/>
      </c>
      <c r="AW410" s="1856" t="str">
        <f t="shared" si="123"/>
        <v/>
      </c>
      <c r="AX410" s="1856" t="str">
        <f t="shared" si="124"/>
        <v/>
      </c>
      <c r="AY410" s="1856" t="str">
        <f t="shared" si="125"/>
        <v/>
      </c>
    </row>
    <row r="411" spans="42:52">
      <c r="AP411" s="1855">
        <f t="shared" si="126"/>
        <v>44604</v>
      </c>
      <c r="AQ411" s="925" t="str">
        <f t="shared" si="127"/>
        <v>SR</v>
      </c>
      <c r="AR411" s="1856">
        <f t="shared" si="128"/>
        <v>44604.318055555552</v>
      </c>
      <c r="AS411" s="927" t="s">
        <v>1349</v>
      </c>
      <c r="AT411" s="1856" t="str">
        <f t="shared" si="120"/>
        <v/>
      </c>
      <c r="AU411" s="1856" t="str">
        <f t="shared" si="121"/>
        <v/>
      </c>
      <c r="AV411" s="1856" t="str">
        <f t="shared" si="122"/>
        <v/>
      </c>
      <c r="AW411" s="1856" t="str">
        <f t="shared" si="123"/>
        <v/>
      </c>
      <c r="AX411" s="1856" t="str">
        <f t="shared" si="124"/>
        <v/>
      </c>
      <c r="AY411" s="1856" t="str">
        <f t="shared" si="125"/>
        <v/>
      </c>
    </row>
    <row r="412" spans="42:52">
      <c r="AP412" s="1855">
        <f t="shared" si="126"/>
        <v>44604</v>
      </c>
      <c r="AQ412" s="925" t="str">
        <f t="shared" si="127"/>
        <v>MR</v>
      </c>
      <c r="AR412" s="1856">
        <f t="shared" si="128"/>
        <v>44604.602083333339</v>
      </c>
      <c r="AS412" s="927" t="s">
        <v>1350</v>
      </c>
      <c r="AT412" s="1856" t="str">
        <f t="shared" ref="AT412:AT475" si="129">IF(ISNUMBER(AS412),INDEX(AR413:AR423,MATCH($AT$27,AQ413:AQ423,0)),"")</f>
        <v/>
      </c>
      <c r="AU412" s="1856" t="str">
        <f t="shared" ref="AU412:AU475" si="130">IF(AT412="","",INDEX(AR413:AR423,MATCH($AU$27,AQ413:AQ423,0)))</f>
        <v/>
      </c>
      <c r="AV412" s="1856" t="str">
        <f t="shared" ref="AV412:AV475" si="131">IF(AT412="","",INDEX(AR413:AR423,MATCH($AV$27,AQ413:AQ423,0)))</f>
        <v/>
      </c>
      <c r="AW412" s="1856" t="str">
        <f t="shared" ref="AW412:AW475" si="132">IF(AT412="","",INDEX(AR413:AR423,MATCH($AW$27,AQ413:AQ423,0)))</f>
        <v/>
      </c>
      <c r="AX412" s="1856" t="str">
        <f t="shared" ref="AX412:AX475" si="133">IF(AT412="","",INDEX(AR413:AR423,MATCH($AX$27,AQ413:AQ423,0)))</f>
        <v/>
      </c>
      <c r="AY412" s="1856" t="str">
        <f t="shared" ref="AY412:AY475" si="134">IF(AT412="","",INDEX(AR413:AR423,MATCH($AY$27,AQ413:AQ423,0)))</f>
        <v/>
      </c>
    </row>
    <row r="413" spans="42:52">
      <c r="AP413" s="1855">
        <f t="shared" si="126"/>
        <v>44604</v>
      </c>
      <c r="AQ413" s="925" t="str">
        <f t="shared" si="127"/>
        <v>SS</v>
      </c>
      <c r="AR413" s="1856">
        <f t="shared" si="128"/>
        <v>44604.762499999997</v>
      </c>
      <c r="AS413" s="927" t="s">
        <v>1351</v>
      </c>
      <c r="AT413" s="1856" t="str">
        <f t="shared" si="129"/>
        <v/>
      </c>
      <c r="AU413" s="1856" t="str">
        <f t="shared" si="130"/>
        <v/>
      </c>
      <c r="AV413" s="1856" t="str">
        <f t="shared" si="131"/>
        <v/>
      </c>
      <c r="AW413" s="1856" t="str">
        <f t="shared" si="132"/>
        <v/>
      </c>
      <c r="AX413" s="1856" t="str">
        <f t="shared" si="133"/>
        <v/>
      </c>
      <c r="AY413" s="1856" t="str">
        <f t="shared" si="134"/>
        <v/>
      </c>
    </row>
    <row r="414" spans="42:52">
      <c r="AP414" s="1855">
        <f t="shared" si="126"/>
        <v>44604</v>
      </c>
      <c r="AQ414" s="925" t="str">
        <f t="shared" si="127"/>
        <v>EENT</v>
      </c>
      <c r="AR414" s="1856">
        <f t="shared" si="128"/>
        <v>44604.803472222222</v>
      </c>
      <c r="AS414" s="927" t="s">
        <v>1352</v>
      </c>
      <c r="AT414" s="1856" t="str">
        <f t="shared" si="129"/>
        <v/>
      </c>
      <c r="AU414" s="1856" t="str">
        <f t="shared" si="130"/>
        <v/>
      </c>
      <c r="AV414" s="1856" t="str">
        <f t="shared" si="131"/>
        <v/>
      </c>
      <c r="AW414" s="1856" t="str">
        <f t="shared" si="132"/>
        <v/>
      </c>
      <c r="AX414" s="1856" t="str">
        <f t="shared" si="133"/>
        <v/>
      </c>
      <c r="AY414" s="1856" t="str">
        <f t="shared" si="134"/>
        <v/>
      </c>
    </row>
    <row r="415" spans="42:52">
      <c r="AP415" s="1855">
        <f t="shared" si="126"/>
        <v>44605</v>
      </c>
      <c r="AQ415" s="925" t="str">
        <f t="shared" si="127"/>
        <v/>
      </c>
      <c r="AR415" s="1856" t="str">
        <f t="shared" si="128"/>
        <v/>
      </c>
      <c r="AS415" s="927">
        <v>13</v>
      </c>
      <c r="AT415" s="1856">
        <f t="shared" si="129"/>
        <v>44605.277083333334</v>
      </c>
      <c r="AU415" s="1856">
        <f t="shared" si="130"/>
        <v>44605.316666666666</v>
      </c>
      <c r="AV415" s="1856">
        <f t="shared" si="131"/>
        <v>44605.763888888891</v>
      </c>
      <c r="AW415" s="1856">
        <f t="shared" si="132"/>
        <v>44605.804166666661</v>
      </c>
      <c r="AX415" s="1856">
        <f t="shared" si="133"/>
        <v>44605.640277777777</v>
      </c>
      <c r="AY415" s="1856">
        <f t="shared" si="134"/>
        <v>44605.248611111114</v>
      </c>
      <c r="AZ415" s="1853">
        <v>0.88</v>
      </c>
    </row>
    <row r="416" spans="42:52">
      <c r="AP416" s="1855">
        <f t="shared" si="126"/>
        <v>44605</v>
      </c>
      <c r="AQ416" s="925" t="str">
        <f t="shared" si="127"/>
        <v/>
      </c>
      <c r="AR416" s="1856" t="str">
        <f t="shared" si="128"/>
        <v/>
      </c>
      <c r="AS416" s="927" t="s">
        <v>252</v>
      </c>
      <c r="AT416" s="1856" t="str">
        <f t="shared" si="129"/>
        <v/>
      </c>
      <c r="AU416" s="1856" t="str">
        <f t="shared" si="130"/>
        <v/>
      </c>
      <c r="AV416" s="1856" t="str">
        <f t="shared" si="131"/>
        <v/>
      </c>
      <c r="AW416" s="1856" t="str">
        <f t="shared" si="132"/>
        <v/>
      </c>
      <c r="AX416" s="1856" t="str">
        <f t="shared" si="133"/>
        <v/>
      </c>
      <c r="AY416" s="1856" t="str">
        <f t="shared" si="134"/>
        <v/>
      </c>
    </row>
    <row r="417" spans="42:52">
      <c r="AP417" s="1855">
        <f t="shared" si="126"/>
        <v>44605</v>
      </c>
      <c r="AQ417" s="925" t="str">
        <f t="shared" si="127"/>
        <v/>
      </c>
      <c r="AR417" s="1856" t="str">
        <f t="shared" si="128"/>
        <v/>
      </c>
      <c r="AT417" s="1856" t="str">
        <f t="shared" si="129"/>
        <v/>
      </c>
      <c r="AU417" s="1856" t="str">
        <f t="shared" si="130"/>
        <v/>
      </c>
      <c r="AV417" s="1856" t="str">
        <f t="shared" si="131"/>
        <v/>
      </c>
      <c r="AW417" s="1856" t="str">
        <f t="shared" si="132"/>
        <v/>
      </c>
      <c r="AX417" s="1856" t="str">
        <f t="shared" si="133"/>
        <v/>
      </c>
      <c r="AY417" s="1856" t="str">
        <f t="shared" si="134"/>
        <v/>
      </c>
    </row>
    <row r="418" spans="42:52">
      <c r="AP418" s="1855">
        <f t="shared" si="126"/>
        <v>44605</v>
      </c>
      <c r="AQ418" s="925" t="str">
        <f t="shared" si="127"/>
        <v>MS</v>
      </c>
      <c r="AR418" s="1856">
        <f t="shared" si="128"/>
        <v>44605.248611111114</v>
      </c>
      <c r="AS418" s="927" t="s">
        <v>1353</v>
      </c>
      <c r="AT418" s="1856" t="str">
        <f t="shared" si="129"/>
        <v/>
      </c>
      <c r="AU418" s="1856" t="str">
        <f t="shared" si="130"/>
        <v/>
      </c>
      <c r="AV418" s="1856" t="str">
        <f t="shared" si="131"/>
        <v/>
      </c>
      <c r="AW418" s="1856" t="str">
        <f t="shared" si="132"/>
        <v/>
      </c>
      <c r="AX418" s="1856" t="str">
        <f t="shared" si="133"/>
        <v/>
      </c>
      <c r="AY418" s="1856" t="str">
        <f t="shared" si="134"/>
        <v/>
      </c>
    </row>
    <row r="419" spans="42:52">
      <c r="AP419" s="1855">
        <f t="shared" si="126"/>
        <v>44605</v>
      </c>
      <c r="AQ419" s="925" t="str">
        <f t="shared" si="127"/>
        <v>BMNT</v>
      </c>
      <c r="AR419" s="1856">
        <f t="shared" si="128"/>
        <v>44605.277083333334</v>
      </c>
      <c r="AS419" s="927" t="s">
        <v>1354</v>
      </c>
      <c r="AT419" s="1856" t="str">
        <f t="shared" si="129"/>
        <v/>
      </c>
      <c r="AU419" s="1856" t="str">
        <f t="shared" si="130"/>
        <v/>
      </c>
      <c r="AV419" s="1856" t="str">
        <f t="shared" si="131"/>
        <v/>
      </c>
      <c r="AW419" s="1856" t="str">
        <f t="shared" si="132"/>
        <v/>
      </c>
      <c r="AX419" s="1856" t="str">
        <f t="shared" si="133"/>
        <v/>
      </c>
      <c r="AY419" s="1856" t="str">
        <f t="shared" si="134"/>
        <v/>
      </c>
    </row>
    <row r="420" spans="42:52">
      <c r="AP420" s="1855">
        <f t="shared" si="126"/>
        <v>44605</v>
      </c>
      <c r="AQ420" s="925" t="str">
        <f t="shared" si="127"/>
        <v>SR</v>
      </c>
      <c r="AR420" s="1856">
        <f t="shared" si="128"/>
        <v>44605.316666666666</v>
      </c>
      <c r="AS420" s="927" t="s">
        <v>1355</v>
      </c>
      <c r="AT420" s="1856" t="str">
        <f t="shared" si="129"/>
        <v/>
      </c>
      <c r="AU420" s="1856" t="str">
        <f t="shared" si="130"/>
        <v/>
      </c>
      <c r="AV420" s="1856" t="str">
        <f t="shared" si="131"/>
        <v/>
      </c>
      <c r="AW420" s="1856" t="str">
        <f t="shared" si="132"/>
        <v/>
      </c>
      <c r="AX420" s="1856" t="str">
        <f t="shared" si="133"/>
        <v/>
      </c>
      <c r="AY420" s="1856" t="str">
        <f t="shared" si="134"/>
        <v/>
      </c>
    </row>
    <row r="421" spans="42:52">
      <c r="AP421" s="1855">
        <f t="shared" ref="AP421:AP484" si="135">IF(ISNUMBER(AS421),AP420+1,AP420)</f>
        <v>44605</v>
      </c>
      <c r="AQ421" s="925" t="str">
        <f t="shared" ref="AQ421:AQ484" si="136">IF(NOT(ISNUMBER(FIND(":",AS421))),"",IF(ISNUMBER(FIND("Sunr",AS421)),"SR", IF(ISNUMBER(FIND("Suns",AS421)),"SS",IF(ISNUMBER(FIND("Moonr",AS421)),"MR",IF(ISNUMBER(FIND("Moons",AS421)),"MS",IF(ISNUMBER(FIND("Twi",AS421)),IF(HOUR(AR421)&lt;12,"BMNT","EENT")))))))</f>
        <v>MR</v>
      </c>
      <c r="AR421" s="1856">
        <f t="shared" si="128"/>
        <v>44605.640277777777</v>
      </c>
      <c r="AS421" s="927" t="s">
        <v>1356</v>
      </c>
      <c r="AT421" s="1856" t="str">
        <f t="shared" si="129"/>
        <v/>
      </c>
      <c r="AU421" s="1856" t="str">
        <f t="shared" si="130"/>
        <v/>
      </c>
      <c r="AV421" s="1856" t="str">
        <f t="shared" si="131"/>
        <v/>
      </c>
      <c r="AW421" s="1856" t="str">
        <f t="shared" si="132"/>
        <v/>
      </c>
      <c r="AX421" s="1856" t="str">
        <f t="shared" si="133"/>
        <v/>
      </c>
      <c r="AY421" s="1856" t="str">
        <f t="shared" si="134"/>
        <v/>
      </c>
    </row>
    <row r="422" spans="42:52">
      <c r="AP422" s="1855">
        <f t="shared" si="135"/>
        <v>44605</v>
      </c>
      <c r="AQ422" s="925" t="str">
        <f t="shared" si="136"/>
        <v>SS</v>
      </c>
      <c r="AR422" s="1856">
        <f t="shared" si="128"/>
        <v>44605.763888888891</v>
      </c>
      <c r="AS422" s="927" t="s">
        <v>1357</v>
      </c>
      <c r="AT422" s="1856" t="str">
        <f t="shared" si="129"/>
        <v/>
      </c>
      <c r="AU422" s="1856" t="str">
        <f t="shared" si="130"/>
        <v/>
      </c>
      <c r="AV422" s="1856" t="str">
        <f t="shared" si="131"/>
        <v/>
      </c>
      <c r="AW422" s="1856" t="str">
        <f t="shared" si="132"/>
        <v/>
      </c>
      <c r="AX422" s="1856" t="str">
        <f t="shared" si="133"/>
        <v/>
      </c>
      <c r="AY422" s="1856" t="str">
        <f t="shared" si="134"/>
        <v/>
      </c>
    </row>
    <row r="423" spans="42:52">
      <c r="AP423" s="1855">
        <f t="shared" si="135"/>
        <v>44605</v>
      </c>
      <c r="AQ423" s="925" t="str">
        <f t="shared" si="136"/>
        <v>EENT</v>
      </c>
      <c r="AR423" s="1856">
        <f t="shared" si="128"/>
        <v>44605.804166666661</v>
      </c>
      <c r="AS423" s="927" t="s">
        <v>1358</v>
      </c>
      <c r="AT423" s="1856" t="str">
        <f t="shared" si="129"/>
        <v/>
      </c>
      <c r="AU423" s="1856" t="str">
        <f t="shared" si="130"/>
        <v/>
      </c>
      <c r="AV423" s="1856" t="str">
        <f t="shared" si="131"/>
        <v/>
      </c>
      <c r="AW423" s="1856" t="str">
        <f t="shared" si="132"/>
        <v/>
      </c>
      <c r="AX423" s="1856" t="str">
        <f t="shared" si="133"/>
        <v/>
      </c>
      <c r="AY423" s="1856" t="str">
        <f t="shared" si="134"/>
        <v/>
      </c>
    </row>
    <row r="424" spans="42:52">
      <c r="AP424" s="1855">
        <f t="shared" si="135"/>
        <v>44606</v>
      </c>
      <c r="AQ424" s="925" t="str">
        <f t="shared" si="136"/>
        <v/>
      </c>
      <c r="AR424" s="1856" t="str">
        <f t="shared" si="128"/>
        <v/>
      </c>
      <c r="AS424" s="927">
        <v>14</v>
      </c>
      <c r="AT424" s="1856">
        <f t="shared" si="129"/>
        <v>44606.275694444441</v>
      </c>
      <c r="AU424" s="1856">
        <f t="shared" si="130"/>
        <v>44606.315972222219</v>
      </c>
      <c r="AV424" s="1856">
        <f t="shared" si="131"/>
        <v>44606.76458333333</v>
      </c>
      <c r="AW424" s="1856">
        <f t="shared" si="132"/>
        <v>44606.804861111108</v>
      </c>
      <c r="AX424" s="1856">
        <f t="shared" si="133"/>
        <v>44606.681944444441</v>
      </c>
      <c r="AY424" s="1856">
        <f t="shared" si="134"/>
        <v>44606.279861111114</v>
      </c>
      <c r="AZ424" s="1853">
        <v>0.94</v>
      </c>
    </row>
    <row r="425" spans="42:52">
      <c r="AP425" s="1855">
        <f t="shared" si="135"/>
        <v>44606</v>
      </c>
      <c r="AQ425" s="925" t="str">
        <f t="shared" si="136"/>
        <v/>
      </c>
      <c r="AR425" s="1856" t="str">
        <f t="shared" ref="AR425:AR488" si="137">IF(NOT(ISNUMBER(FIND(":",AS425))),"",IF(ISNUMBER(FIND(" none",AS425)),"NONE",AP425+LEFT(RIGHT(AS425,5),2)/24+RIGHT(AS425,2)/1440))</f>
        <v/>
      </c>
      <c r="AS425" s="927" t="s">
        <v>252</v>
      </c>
      <c r="AT425" s="1856" t="str">
        <f t="shared" si="129"/>
        <v/>
      </c>
      <c r="AU425" s="1856" t="str">
        <f t="shared" si="130"/>
        <v/>
      </c>
      <c r="AV425" s="1856" t="str">
        <f t="shared" si="131"/>
        <v/>
      </c>
      <c r="AW425" s="1856" t="str">
        <f t="shared" si="132"/>
        <v/>
      </c>
      <c r="AX425" s="1856" t="str">
        <f t="shared" si="133"/>
        <v/>
      </c>
      <c r="AY425" s="1856" t="str">
        <f t="shared" si="134"/>
        <v/>
      </c>
    </row>
    <row r="426" spans="42:52">
      <c r="AP426" s="1855">
        <f t="shared" si="135"/>
        <v>44606</v>
      </c>
      <c r="AQ426" s="925" t="str">
        <f t="shared" si="136"/>
        <v/>
      </c>
      <c r="AR426" s="1856" t="str">
        <f t="shared" si="137"/>
        <v/>
      </c>
      <c r="AT426" s="1856" t="str">
        <f t="shared" si="129"/>
        <v/>
      </c>
      <c r="AU426" s="1856" t="str">
        <f t="shared" si="130"/>
        <v/>
      </c>
      <c r="AV426" s="1856" t="str">
        <f t="shared" si="131"/>
        <v/>
      </c>
      <c r="AW426" s="1856" t="str">
        <f t="shared" si="132"/>
        <v/>
      </c>
      <c r="AX426" s="1856" t="str">
        <f t="shared" si="133"/>
        <v/>
      </c>
      <c r="AY426" s="1856" t="str">
        <f t="shared" si="134"/>
        <v/>
      </c>
    </row>
    <row r="427" spans="42:52">
      <c r="AP427" s="1855">
        <f t="shared" si="135"/>
        <v>44606</v>
      </c>
      <c r="AQ427" s="925" t="str">
        <f t="shared" si="136"/>
        <v>BMNT</v>
      </c>
      <c r="AR427" s="1856">
        <f t="shared" si="137"/>
        <v>44606.275694444441</v>
      </c>
      <c r="AS427" s="927" t="s">
        <v>1359</v>
      </c>
      <c r="AT427" s="1856" t="str">
        <f t="shared" si="129"/>
        <v/>
      </c>
      <c r="AU427" s="1856" t="str">
        <f t="shared" si="130"/>
        <v/>
      </c>
      <c r="AV427" s="1856" t="str">
        <f t="shared" si="131"/>
        <v/>
      </c>
      <c r="AW427" s="1856" t="str">
        <f t="shared" si="132"/>
        <v/>
      </c>
      <c r="AX427" s="1856" t="str">
        <f t="shared" si="133"/>
        <v/>
      </c>
      <c r="AY427" s="1856" t="str">
        <f t="shared" si="134"/>
        <v/>
      </c>
    </row>
    <row r="428" spans="42:52">
      <c r="AP428" s="1855">
        <f t="shared" si="135"/>
        <v>44606</v>
      </c>
      <c r="AQ428" s="925" t="str">
        <f t="shared" si="136"/>
        <v>MS</v>
      </c>
      <c r="AR428" s="1856">
        <f t="shared" si="137"/>
        <v>44606.279861111114</v>
      </c>
      <c r="AS428" s="927" t="s">
        <v>1360</v>
      </c>
      <c r="AT428" s="1856" t="str">
        <f t="shared" si="129"/>
        <v/>
      </c>
      <c r="AU428" s="1856" t="str">
        <f t="shared" si="130"/>
        <v/>
      </c>
      <c r="AV428" s="1856" t="str">
        <f t="shared" si="131"/>
        <v/>
      </c>
      <c r="AW428" s="1856" t="str">
        <f t="shared" si="132"/>
        <v/>
      </c>
      <c r="AX428" s="1856" t="str">
        <f t="shared" si="133"/>
        <v/>
      </c>
      <c r="AY428" s="1856" t="str">
        <f t="shared" si="134"/>
        <v/>
      </c>
    </row>
    <row r="429" spans="42:52">
      <c r="AP429" s="1855">
        <f t="shared" si="135"/>
        <v>44606</v>
      </c>
      <c r="AQ429" s="925" t="str">
        <f t="shared" si="136"/>
        <v>SR</v>
      </c>
      <c r="AR429" s="1856">
        <f t="shared" si="137"/>
        <v>44606.315972222219</v>
      </c>
      <c r="AS429" s="927" t="s">
        <v>1361</v>
      </c>
      <c r="AT429" s="1856" t="str">
        <f t="shared" si="129"/>
        <v/>
      </c>
      <c r="AU429" s="1856" t="str">
        <f t="shared" si="130"/>
        <v/>
      </c>
      <c r="AV429" s="1856" t="str">
        <f t="shared" si="131"/>
        <v/>
      </c>
      <c r="AW429" s="1856" t="str">
        <f t="shared" si="132"/>
        <v/>
      </c>
      <c r="AX429" s="1856" t="str">
        <f t="shared" si="133"/>
        <v/>
      </c>
      <c r="AY429" s="1856" t="str">
        <f t="shared" si="134"/>
        <v/>
      </c>
    </row>
    <row r="430" spans="42:52">
      <c r="AP430" s="1855">
        <f t="shared" si="135"/>
        <v>44606</v>
      </c>
      <c r="AQ430" s="925" t="str">
        <f t="shared" si="136"/>
        <v>MR</v>
      </c>
      <c r="AR430" s="1856">
        <f t="shared" si="137"/>
        <v>44606.681944444441</v>
      </c>
      <c r="AS430" s="927" t="s">
        <v>1362</v>
      </c>
      <c r="AT430" s="1856" t="str">
        <f t="shared" si="129"/>
        <v/>
      </c>
      <c r="AU430" s="1856" t="str">
        <f t="shared" si="130"/>
        <v/>
      </c>
      <c r="AV430" s="1856" t="str">
        <f t="shared" si="131"/>
        <v/>
      </c>
      <c r="AW430" s="1856" t="str">
        <f t="shared" si="132"/>
        <v/>
      </c>
      <c r="AX430" s="1856" t="str">
        <f t="shared" si="133"/>
        <v/>
      </c>
      <c r="AY430" s="1856" t="str">
        <f t="shared" si="134"/>
        <v/>
      </c>
    </row>
    <row r="431" spans="42:52">
      <c r="AP431" s="1855">
        <f t="shared" si="135"/>
        <v>44606</v>
      </c>
      <c r="AQ431" s="925" t="str">
        <f t="shared" si="136"/>
        <v>SS</v>
      </c>
      <c r="AR431" s="1856">
        <f t="shared" si="137"/>
        <v>44606.76458333333</v>
      </c>
      <c r="AS431" s="927" t="s">
        <v>1363</v>
      </c>
      <c r="AT431" s="1856" t="str">
        <f t="shared" si="129"/>
        <v/>
      </c>
      <c r="AU431" s="1856" t="str">
        <f t="shared" si="130"/>
        <v/>
      </c>
      <c r="AV431" s="1856" t="str">
        <f t="shared" si="131"/>
        <v/>
      </c>
      <c r="AW431" s="1856" t="str">
        <f t="shared" si="132"/>
        <v/>
      </c>
      <c r="AX431" s="1856" t="str">
        <f t="shared" si="133"/>
        <v/>
      </c>
      <c r="AY431" s="1856" t="str">
        <f t="shared" si="134"/>
        <v/>
      </c>
    </row>
    <row r="432" spans="42:52">
      <c r="AP432" s="1855">
        <f t="shared" si="135"/>
        <v>44606</v>
      </c>
      <c r="AQ432" s="925" t="str">
        <f t="shared" si="136"/>
        <v>EENT</v>
      </c>
      <c r="AR432" s="1856">
        <f t="shared" si="137"/>
        <v>44606.804861111108</v>
      </c>
      <c r="AS432" s="927" t="s">
        <v>1364</v>
      </c>
      <c r="AT432" s="1856" t="str">
        <f t="shared" si="129"/>
        <v/>
      </c>
      <c r="AU432" s="1856" t="str">
        <f t="shared" si="130"/>
        <v/>
      </c>
      <c r="AV432" s="1856" t="str">
        <f t="shared" si="131"/>
        <v/>
      </c>
      <c r="AW432" s="1856" t="str">
        <f t="shared" si="132"/>
        <v/>
      </c>
      <c r="AX432" s="1856" t="str">
        <f t="shared" si="133"/>
        <v/>
      </c>
      <c r="AY432" s="1856" t="str">
        <f t="shared" si="134"/>
        <v/>
      </c>
    </row>
    <row r="433" spans="42:52">
      <c r="AP433" s="1855">
        <f t="shared" si="135"/>
        <v>44607</v>
      </c>
      <c r="AQ433" s="925" t="str">
        <f t="shared" si="136"/>
        <v/>
      </c>
      <c r="AR433" s="1856" t="str">
        <f t="shared" si="137"/>
        <v/>
      </c>
      <c r="AS433" s="927">
        <v>15</v>
      </c>
      <c r="AT433" s="1856">
        <f t="shared" si="129"/>
        <v>44607.275000000001</v>
      </c>
      <c r="AU433" s="1856">
        <f t="shared" si="130"/>
        <v>44607.315277777772</v>
      </c>
      <c r="AV433" s="1856">
        <f t="shared" si="131"/>
        <v>44607.765277777777</v>
      </c>
      <c r="AW433" s="1856">
        <f t="shared" si="132"/>
        <v>44607.805555555555</v>
      </c>
      <c r="AX433" s="1856">
        <f t="shared" si="133"/>
        <v>44607.725694444445</v>
      </c>
      <c r="AY433" s="1856">
        <f t="shared" si="134"/>
        <v>44607.306249999994</v>
      </c>
      <c r="AZ433" s="1853">
        <v>0.98</v>
      </c>
    </row>
    <row r="434" spans="42:52">
      <c r="AP434" s="1855">
        <f t="shared" si="135"/>
        <v>44607</v>
      </c>
      <c r="AQ434" s="925" t="str">
        <f t="shared" si="136"/>
        <v/>
      </c>
      <c r="AR434" s="1856" t="str">
        <f t="shared" si="137"/>
        <v/>
      </c>
      <c r="AS434" s="927" t="s">
        <v>252</v>
      </c>
      <c r="AT434" s="1856" t="str">
        <f t="shared" si="129"/>
        <v/>
      </c>
      <c r="AU434" s="1856" t="str">
        <f t="shared" si="130"/>
        <v/>
      </c>
      <c r="AV434" s="1856" t="str">
        <f t="shared" si="131"/>
        <v/>
      </c>
      <c r="AW434" s="1856" t="str">
        <f t="shared" si="132"/>
        <v/>
      </c>
      <c r="AX434" s="1856" t="str">
        <f t="shared" si="133"/>
        <v/>
      </c>
      <c r="AY434" s="1856" t="str">
        <f t="shared" si="134"/>
        <v/>
      </c>
    </row>
    <row r="435" spans="42:52">
      <c r="AP435" s="1855">
        <f t="shared" si="135"/>
        <v>44607</v>
      </c>
      <c r="AQ435" s="925" t="str">
        <f t="shared" si="136"/>
        <v/>
      </c>
      <c r="AR435" s="1856" t="str">
        <f t="shared" si="137"/>
        <v/>
      </c>
      <c r="AT435" s="1856" t="str">
        <f t="shared" si="129"/>
        <v/>
      </c>
      <c r="AU435" s="1856" t="str">
        <f t="shared" si="130"/>
        <v/>
      </c>
      <c r="AV435" s="1856" t="str">
        <f t="shared" si="131"/>
        <v/>
      </c>
      <c r="AW435" s="1856" t="str">
        <f t="shared" si="132"/>
        <v/>
      </c>
      <c r="AX435" s="1856" t="str">
        <f t="shared" si="133"/>
        <v/>
      </c>
      <c r="AY435" s="1856" t="str">
        <f t="shared" si="134"/>
        <v/>
      </c>
    </row>
    <row r="436" spans="42:52">
      <c r="AP436" s="1855">
        <f t="shared" si="135"/>
        <v>44607</v>
      </c>
      <c r="AQ436" s="925" t="str">
        <f t="shared" si="136"/>
        <v>BMNT</v>
      </c>
      <c r="AR436" s="1856">
        <f t="shared" si="137"/>
        <v>44607.275000000001</v>
      </c>
      <c r="AS436" s="927" t="s">
        <v>1365</v>
      </c>
      <c r="AT436" s="1856" t="str">
        <f t="shared" si="129"/>
        <v/>
      </c>
      <c r="AU436" s="1856" t="str">
        <f t="shared" si="130"/>
        <v/>
      </c>
      <c r="AV436" s="1856" t="str">
        <f t="shared" si="131"/>
        <v/>
      </c>
      <c r="AW436" s="1856" t="str">
        <f t="shared" si="132"/>
        <v/>
      </c>
      <c r="AX436" s="1856" t="str">
        <f t="shared" si="133"/>
        <v/>
      </c>
      <c r="AY436" s="1856" t="str">
        <f t="shared" si="134"/>
        <v/>
      </c>
    </row>
    <row r="437" spans="42:52">
      <c r="AP437" s="1855">
        <f t="shared" si="135"/>
        <v>44607</v>
      </c>
      <c r="AQ437" s="925" t="str">
        <f t="shared" si="136"/>
        <v>MS</v>
      </c>
      <c r="AR437" s="1856">
        <f t="shared" si="137"/>
        <v>44607.306249999994</v>
      </c>
      <c r="AS437" s="927" t="s">
        <v>1366</v>
      </c>
      <c r="AT437" s="1856" t="str">
        <f t="shared" si="129"/>
        <v/>
      </c>
      <c r="AU437" s="1856" t="str">
        <f t="shared" si="130"/>
        <v/>
      </c>
      <c r="AV437" s="1856" t="str">
        <f t="shared" si="131"/>
        <v/>
      </c>
      <c r="AW437" s="1856" t="str">
        <f t="shared" si="132"/>
        <v/>
      </c>
      <c r="AX437" s="1856" t="str">
        <f t="shared" si="133"/>
        <v/>
      </c>
      <c r="AY437" s="1856" t="str">
        <f t="shared" si="134"/>
        <v/>
      </c>
    </row>
    <row r="438" spans="42:52">
      <c r="AP438" s="1855">
        <f t="shared" si="135"/>
        <v>44607</v>
      </c>
      <c r="AQ438" s="925" t="str">
        <f t="shared" si="136"/>
        <v>SR</v>
      </c>
      <c r="AR438" s="1856">
        <f t="shared" si="137"/>
        <v>44607.315277777772</v>
      </c>
      <c r="AS438" s="927" t="s">
        <v>1367</v>
      </c>
      <c r="AT438" s="1856" t="str">
        <f t="shared" si="129"/>
        <v/>
      </c>
      <c r="AU438" s="1856" t="str">
        <f t="shared" si="130"/>
        <v/>
      </c>
      <c r="AV438" s="1856" t="str">
        <f t="shared" si="131"/>
        <v/>
      </c>
      <c r="AW438" s="1856" t="str">
        <f t="shared" si="132"/>
        <v/>
      </c>
      <c r="AX438" s="1856" t="str">
        <f t="shared" si="133"/>
        <v/>
      </c>
      <c r="AY438" s="1856" t="str">
        <f t="shared" si="134"/>
        <v/>
      </c>
    </row>
    <row r="439" spans="42:52">
      <c r="AP439" s="1855">
        <f t="shared" si="135"/>
        <v>44607</v>
      </c>
      <c r="AQ439" s="925" t="str">
        <f t="shared" si="136"/>
        <v>MR</v>
      </c>
      <c r="AR439" s="1856">
        <f t="shared" si="137"/>
        <v>44607.725694444445</v>
      </c>
      <c r="AS439" s="927" t="s">
        <v>1368</v>
      </c>
      <c r="AT439" s="1856" t="str">
        <f t="shared" si="129"/>
        <v/>
      </c>
      <c r="AU439" s="1856" t="str">
        <f t="shared" si="130"/>
        <v/>
      </c>
      <c r="AV439" s="1856" t="str">
        <f t="shared" si="131"/>
        <v/>
      </c>
      <c r="AW439" s="1856" t="str">
        <f t="shared" si="132"/>
        <v/>
      </c>
      <c r="AX439" s="1856" t="str">
        <f t="shared" si="133"/>
        <v/>
      </c>
      <c r="AY439" s="1856" t="str">
        <f t="shared" si="134"/>
        <v/>
      </c>
    </row>
    <row r="440" spans="42:52">
      <c r="AP440" s="1855">
        <f t="shared" si="135"/>
        <v>44607</v>
      </c>
      <c r="AQ440" s="925" t="str">
        <f t="shared" si="136"/>
        <v>SS</v>
      </c>
      <c r="AR440" s="1856">
        <f t="shared" si="137"/>
        <v>44607.765277777777</v>
      </c>
      <c r="AS440" s="927" t="s">
        <v>1369</v>
      </c>
      <c r="AT440" s="1856" t="str">
        <f t="shared" si="129"/>
        <v/>
      </c>
      <c r="AU440" s="1856" t="str">
        <f t="shared" si="130"/>
        <v/>
      </c>
      <c r="AV440" s="1856" t="str">
        <f t="shared" si="131"/>
        <v/>
      </c>
      <c r="AW440" s="1856" t="str">
        <f t="shared" si="132"/>
        <v/>
      </c>
      <c r="AX440" s="1856" t="str">
        <f t="shared" si="133"/>
        <v/>
      </c>
      <c r="AY440" s="1856" t="str">
        <f t="shared" si="134"/>
        <v/>
      </c>
    </row>
    <row r="441" spans="42:52">
      <c r="AP441" s="1855">
        <f t="shared" si="135"/>
        <v>44607</v>
      </c>
      <c r="AQ441" s="925" t="str">
        <f t="shared" si="136"/>
        <v>EENT</v>
      </c>
      <c r="AR441" s="1856">
        <f t="shared" si="137"/>
        <v>44607.805555555555</v>
      </c>
      <c r="AS441" s="927" t="s">
        <v>1370</v>
      </c>
      <c r="AT441" s="1856" t="str">
        <f t="shared" si="129"/>
        <v/>
      </c>
      <c r="AU441" s="1856" t="str">
        <f t="shared" si="130"/>
        <v/>
      </c>
      <c r="AV441" s="1856" t="str">
        <f t="shared" si="131"/>
        <v/>
      </c>
      <c r="AW441" s="1856" t="str">
        <f t="shared" si="132"/>
        <v/>
      </c>
      <c r="AX441" s="1856" t="str">
        <f t="shared" si="133"/>
        <v/>
      </c>
      <c r="AY441" s="1856" t="str">
        <f t="shared" si="134"/>
        <v/>
      </c>
    </row>
    <row r="442" spans="42:52">
      <c r="AP442" s="1855">
        <f t="shared" si="135"/>
        <v>44608</v>
      </c>
      <c r="AQ442" s="925" t="str">
        <f t="shared" si="136"/>
        <v/>
      </c>
      <c r="AR442" s="1856" t="str">
        <f t="shared" si="137"/>
        <v/>
      </c>
      <c r="AS442" s="927">
        <v>16</v>
      </c>
      <c r="AT442" s="1856">
        <f t="shared" si="129"/>
        <v>44608.274305555555</v>
      </c>
      <c r="AU442" s="1856">
        <f t="shared" si="130"/>
        <v>44608.314583333333</v>
      </c>
      <c r="AV442" s="1856">
        <f t="shared" si="131"/>
        <v>44608.765972222223</v>
      </c>
      <c r="AW442" s="1856">
        <f t="shared" si="132"/>
        <v>44608.806249999994</v>
      </c>
      <c r="AX442" s="1856">
        <f t="shared" si="133"/>
        <v>44608.770138888889</v>
      </c>
      <c r="AY442" s="1856">
        <f t="shared" si="134"/>
        <v>44608.329861111109</v>
      </c>
      <c r="AZ442" s="1853">
        <v>1</v>
      </c>
    </row>
    <row r="443" spans="42:52">
      <c r="AP443" s="1855">
        <f t="shared" si="135"/>
        <v>44608</v>
      </c>
      <c r="AQ443" s="925" t="str">
        <f t="shared" si="136"/>
        <v/>
      </c>
      <c r="AR443" s="1856" t="str">
        <f t="shared" si="137"/>
        <v/>
      </c>
      <c r="AS443" s="927" t="s">
        <v>252</v>
      </c>
      <c r="AT443" s="1856" t="str">
        <f t="shared" si="129"/>
        <v/>
      </c>
      <c r="AU443" s="1856" t="str">
        <f t="shared" si="130"/>
        <v/>
      </c>
      <c r="AV443" s="1856" t="str">
        <f t="shared" si="131"/>
        <v/>
      </c>
      <c r="AW443" s="1856" t="str">
        <f t="shared" si="132"/>
        <v/>
      </c>
      <c r="AX443" s="1856" t="str">
        <f t="shared" si="133"/>
        <v/>
      </c>
      <c r="AY443" s="1856" t="str">
        <f t="shared" si="134"/>
        <v/>
      </c>
    </row>
    <row r="444" spans="42:52">
      <c r="AP444" s="1855">
        <f t="shared" si="135"/>
        <v>44608</v>
      </c>
      <c r="AQ444" s="925" t="str">
        <f t="shared" si="136"/>
        <v/>
      </c>
      <c r="AR444" s="1856" t="str">
        <f t="shared" si="137"/>
        <v/>
      </c>
      <c r="AT444" s="1856" t="str">
        <f t="shared" si="129"/>
        <v/>
      </c>
      <c r="AU444" s="1856" t="str">
        <f t="shared" si="130"/>
        <v/>
      </c>
      <c r="AV444" s="1856" t="str">
        <f t="shared" si="131"/>
        <v/>
      </c>
      <c r="AW444" s="1856" t="str">
        <f t="shared" si="132"/>
        <v/>
      </c>
      <c r="AX444" s="1856" t="str">
        <f t="shared" si="133"/>
        <v/>
      </c>
      <c r="AY444" s="1856" t="str">
        <f t="shared" si="134"/>
        <v/>
      </c>
    </row>
    <row r="445" spans="42:52">
      <c r="AP445" s="1855">
        <f t="shared" si="135"/>
        <v>44608</v>
      </c>
      <c r="AQ445" s="925" t="str">
        <f t="shared" si="136"/>
        <v>BMNT</v>
      </c>
      <c r="AR445" s="1856">
        <f t="shared" si="137"/>
        <v>44608.274305555555</v>
      </c>
      <c r="AS445" s="927" t="s">
        <v>1371</v>
      </c>
      <c r="AT445" s="1856" t="str">
        <f t="shared" si="129"/>
        <v/>
      </c>
      <c r="AU445" s="1856" t="str">
        <f t="shared" si="130"/>
        <v/>
      </c>
      <c r="AV445" s="1856" t="str">
        <f t="shared" si="131"/>
        <v/>
      </c>
      <c r="AW445" s="1856" t="str">
        <f t="shared" si="132"/>
        <v/>
      </c>
      <c r="AX445" s="1856" t="str">
        <f t="shared" si="133"/>
        <v/>
      </c>
      <c r="AY445" s="1856" t="str">
        <f t="shared" si="134"/>
        <v/>
      </c>
    </row>
    <row r="446" spans="42:52">
      <c r="AP446" s="1855">
        <f t="shared" si="135"/>
        <v>44608</v>
      </c>
      <c r="AQ446" s="925" t="str">
        <f t="shared" si="136"/>
        <v>SR</v>
      </c>
      <c r="AR446" s="1856">
        <f t="shared" si="137"/>
        <v>44608.314583333333</v>
      </c>
      <c r="AS446" s="927" t="s">
        <v>1372</v>
      </c>
      <c r="AT446" s="1856" t="str">
        <f t="shared" si="129"/>
        <v/>
      </c>
      <c r="AU446" s="1856" t="str">
        <f t="shared" si="130"/>
        <v/>
      </c>
      <c r="AV446" s="1856" t="str">
        <f t="shared" si="131"/>
        <v/>
      </c>
      <c r="AW446" s="1856" t="str">
        <f t="shared" si="132"/>
        <v/>
      </c>
      <c r="AX446" s="1856" t="str">
        <f t="shared" si="133"/>
        <v/>
      </c>
      <c r="AY446" s="1856" t="str">
        <f t="shared" si="134"/>
        <v/>
      </c>
    </row>
    <row r="447" spans="42:52">
      <c r="AP447" s="1855">
        <f t="shared" si="135"/>
        <v>44608</v>
      </c>
      <c r="AQ447" s="925" t="str">
        <f t="shared" si="136"/>
        <v>MS</v>
      </c>
      <c r="AR447" s="1856">
        <f t="shared" si="137"/>
        <v>44608.329861111109</v>
      </c>
      <c r="AS447" s="927" t="s">
        <v>1373</v>
      </c>
      <c r="AT447" s="1856" t="str">
        <f t="shared" si="129"/>
        <v/>
      </c>
      <c r="AU447" s="1856" t="str">
        <f t="shared" si="130"/>
        <v/>
      </c>
      <c r="AV447" s="1856" t="str">
        <f t="shared" si="131"/>
        <v/>
      </c>
      <c r="AW447" s="1856" t="str">
        <f t="shared" si="132"/>
        <v/>
      </c>
      <c r="AX447" s="1856" t="str">
        <f t="shared" si="133"/>
        <v/>
      </c>
      <c r="AY447" s="1856" t="str">
        <f t="shared" si="134"/>
        <v/>
      </c>
    </row>
    <row r="448" spans="42:52">
      <c r="AP448" s="1855">
        <f t="shared" si="135"/>
        <v>44608</v>
      </c>
      <c r="AQ448" s="925" t="str">
        <f t="shared" si="136"/>
        <v>SS</v>
      </c>
      <c r="AR448" s="1856">
        <f t="shared" si="137"/>
        <v>44608.765972222223</v>
      </c>
      <c r="AS448" s="927" t="s">
        <v>1374</v>
      </c>
      <c r="AT448" s="1856" t="str">
        <f t="shared" si="129"/>
        <v/>
      </c>
      <c r="AU448" s="1856" t="str">
        <f t="shared" si="130"/>
        <v/>
      </c>
      <c r="AV448" s="1856" t="str">
        <f t="shared" si="131"/>
        <v/>
      </c>
      <c r="AW448" s="1856" t="str">
        <f t="shared" si="132"/>
        <v/>
      </c>
      <c r="AX448" s="1856" t="str">
        <f t="shared" si="133"/>
        <v/>
      </c>
      <c r="AY448" s="1856" t="str">
        <f t="shared" si="134"/>
        <v/>
      </c>
    </row>
    <row r="449" spans="42:52">
      <c r="AP449" s="1855">
        <f t="shared" si="135"/>
        <v>44608</v>
      </c>
      <c r="AQ449" s="925" t="str">
        <f t="shared" si="136"/>
        <v>MR</v>
      </c>
      <c r="AR449" s="1856">
        <f t="shared" si="137"/>
        <v>44608.770138888889</v>
      </c>
      <c r="AS449" s="927" t="s">
        <v>1375</v>
      </c>
      <c r="AT449" s="1856" t="str">
        <f t="shared" si="129"/>
        <v/>
      </c>
      <c r="AU449" s="1856" t="str">
        <f t="shared" si="130"/>
        <v/>
      </c>
      <c r="AV449" s="1856" t="str">
        <f t="shared" si="131"/>
        <v/>
      </c>
      <c r="AW449" s="1856" t="str">
        <f t="shared" si="132"/>
        <v/>
      </c>
      <c r="AX449" s="1856" t="str">
        <f t="shared" si="133"/>
        <v/>
      </c>
      <c r="AY449" s="1856" t="str">
        <f t="shared" si="134"/>
        <v/>
      </c>
    </row>
    <row r="450" spans="42:52">
      <c r="AP450" s="1855">
        <f t="shared" si="135"/>
        <v>44608</v>
      </c>
      <c r="AQ450" s="925" t="str">
        <f t="shared" si="136"/>
        <v>EENT</v>
      </c>
      <c r="AR450" s="1856">
        <f t="shared" si="137"/>
        <v>44608.806249999994</v>
      </c>
      <c r="AS450" s="927" t="s">
        <v>1376</v>
      </c>
      <c r="AT450" s="1856" t="str">
        <f t="shared" si="129"/>
        <v/>
      </c>
      <c r="AU450" s="1856" t="str">
        <f t="shared" si="130"/>
        <v/>
      </c>
      <c r="AV450" s="1856" t="str">
        <f t="shared" si="131"/>
        <v/>
      </c>
      <c r="AW450" s="1856" t="str">
        <f t="shared" si="132"/>
        <v/>
      </c>
      <c r="AX450" s="1856" t="str">
        <f t="shared" si="133"/>
        <v/>
      </c>
      <c r="AY450" s="1856" t="str">
        <f t="shared" si="134"/>
        <v/>
      </c>
    </row>
    <row r="451" spans="42:52">
      <c r="AP451" s="1855">
        <f t="shared" si="135"/>
        <v>44609</v>
      </c>
      <c r="AQ451" s="925" t="str">
        <f t="shared" si="136"/>
        <v/>
      </c>
      <c r="AR451" s="1856" t="str">
        <f t="shared" si="137"/>
        <v/>
      </c>
      <c r="AS451" s="927">
        <v>17</v>
      </c>
      <c r="AT451" s="1856">
        <f t="shared" si="129"/>
        <v>44609.273611111108</v>
      </c>
      <c r="AU451" s="1856">
        <f t="shared" si="130"/>
        <v>44609.313888888886</v>
      </c>
      <c r="AV451" s="1856">
        <f t="shared" si="131"/>
        <v>44609.76666666667</v>
      </c>
      <c r="AW451" s="1856">
        <f t="shared" si="132"/>
        <v>44609.806944444441</v>
      </c>
      <c r="AX451" s="1856">
        <f t="shared" si="133"/>
        <v>44609.814583333333</v>
      </c>
      <c r="AY451" s="1856">
        <f t="shared" si="134"/>
        <v>44609.350000000006</v>
      </c>
      <c r="AZ451" s="1853">
        <v>0.99</v>
      </c>
    </row>
    <row r="452" spans="42:52">
      <c r="AP452" s="1855">
        <f t="shared" si="135"/>
        <v>44609</v>
      </c>
      <c r="AQ452" s="925" t="str">
        <f t="shared" si="136"/>
        <v/>
      </c>
      <c r="AR452" s="1856" t="str">
        <f t="shared" si="137"/>
        <v/>
      </c>
      <c r="AS452" s="927" t="s">
        <v>252</v>
      </c>
      <c r="AT452" s="1856" t="str">
        <f t="shared" si="129"/>
        <v/>
      </c>
      <c r="AU452" s="1856" t="str">
        <f t="shared" si="130"/>
        <v/>
      </c>
      <c r="AV452" s="1856" t="str">
        <f t="shared" si="131"/>
        <v/>
      </c>
      <c r="AW452" s="1856" t="str">
        <f t="shared" si="132"/>
        <v/>
      </c>
      <c r="AX452" s="1856" t="str">
        <f t="shared" si="133"/>
        <v/>
      </c>
      <c r="AY452" s="1856" t="str">
        <f t="shared" si="134"/>
        <v/>
      </c>
    </row>
    <row r="453" spans="42:52">
      <c r="AP453" s="1855">
        <f t="shared" si="135"/>
        <v>44609</v>
      </c>
      <c r="AQ453" s="925" t="str">
        <f t="shared" si="136"/>
        <v/>
      </c>
      <c r="AR453" s="1856" t="str">
        <f t="shared" si="137"/>
        <v/>
      </c>
      <c r="AT453" s="1856" t="str">
        <f t="shared" si="129"/>
        <v/>
      </c>
      <c r="AU453" s="1856" t="str">
        <f t="shared" si="130"/>
        <v/>
      </c>
      <c r="AV453" s="1856" t="str">
        <f t="shared" si="131"/>
        <v/>
      </c>
      <c r="AW453" s="1856" t="str">
        <f t="shared" si="132"/>
        <v/>
      </c>
      <c r="AX453" s="1856" t="str">
        <f t="shared" si="133"/>
        <v/>
      </c>
      <c r="AY453" s="1856" t="str">
        <f t="shared" si="134"/>
        <v/>
      </c>
    </row>
    <row r="454" spans="42:52">
      <c r="AP454" s="1855">
        <f t="shared" si="135"/>
        <v>44609</v>
      </c>
      <c r="AQ454" s="925" t="str">
        <f t="shared" si="136"/>
        <v>BMNT</v>
      </c>
      <c r="AR454" s="1856">
        <f t="shared" si="137"/>
        <v>44609.273611111108</v>
      </c>
      <c r="AS454" s="927" t="s">
        <v>1377</v>
      </c>
      <c r="AT454" s="1856" t="str">
        <f t="shared" si="129"/>
        <v/>
      </c>
      <c r="AU454" s="1856" t="str">
        <f t="shared" si="130"/>
        <v/>
      </c>
      <c r="AV454" s="1856" t="str">
        <f t="shared" si="131"/>
        <v/>
      </c>
      <c r="AW454" s="1856" t="str">
        <f t="shared" si="132"/>
        <v/>
      </c>
      <c r="AX454" s="1856" t="str">
        <f t="shared" si="133"/>
        <v/>
      </c>
      <c r="AY454" s="1856" t="str">
        <f t="shared" si="134"/>
        <v/>
      </c>
    </row>
    <row r="455" spans="42:52">
      <c r="AP455" s="1855">
        <f t="shared" si="135"/>
        <v>44609</v>
      </c>
      <c r="AQ455" s="925" t="str">
        <f t="shared" si="136"/>
        <v>SR</v>
      </c>
      <c r="AR455" s="1856">
        <f t="shared" si="137"/>
        <v>44609.313888888886</v>
      </c>
      <c r="AS455" s="927" t="s">
        <v>1378</v>
      </c>
      <c r="AT455" s="1856" t="str">
        <f t="shared" si="129"/>
        <v/>
      </c>
      <c r="AU455" s="1856" t="str">
        <f t="shared" si="130"/>
        <v/>
      </c>
      <c r="AV455" s="1856" t="str">
        <f t="shared" si="131"/>
        <v/>
      </c>
      <c r="AW455" s="1856" t="str">
        <f t="shared" si="132"/>
        <v/>
      </c>
      <c r="AX455" s="1856" t="str">
        <f t="shared" si="133"/>
        <v/>
      </c>
      <c r="AY455" s="1856" t="str">
        <f t="shared" si="134"/>
        <v/>
      </c>
    </row>
    <row r="456" spans="42:52">
      <c r="AP456" s="1855">
        <f t="shared" si="135"/>
        <v>44609</v>
      </c>
      <c r="AQ456" s="925" t="str">
        <f t="shared" si="136"/>
        <v>MS</v>
      </c>
      <c r="AR456" s="1856">
        <f t="shared" si="137"/>
        <v>44609.350000000006</v>
      </c>
      <c r="AS456" s="927" t="s">
        <v>1379</v>
      </c>
      <c r="AT456" s="1856" t="str">
        <f t="shared" si="129"/>
        <v/>
      </c>
      <c r="AU456" s="1856" t="str">
        <f t="shared" si="130"/>
        <v/>
      </c>
      <c r="AV456" s="1856" t="str">
        <f t="shared" si="131"/>
        <v/>
      </c>
      <c r="AW456" s="1856" t="str">
        <f t="shared" si="132"/>
        <v/>
      </c>
      <c r="AX456" s="1856" t="str">
        <f t="shared" si="133"/>
        <v/>
      </c>
      <c r="AY456" s="1856" t="str">
        <f t="shared" si="134"/>
        <v/>
      </c>
    </row>
    <row r="457" spans="42:52">
      <c r="AP457" s="1855">
        <f t="shared" si="135"/>
        <v>44609</v>
      </c>
      <c r="AQ457" s="925" t="str">
        <f t="shared" si="136"/>
        <v>SS</v>
      </c>
      <c r="AR457" s="1856">
        <f t="shared" si="137"/>
        <v>44609.76666666667</v>
      </c>
      <c r="AS457" s="927" t="s">
        <v>1380</v>
      </c>
      <c r="AT457" s="1856" t="str">
        <f t="shared" si="129"/>
        <v/>
      </c>
      <c r="AU457" s="1856" t="str">
        <f t="shared" si="130"/>
        <v/>
      </c>
      <c r="AV457" s="1856" t="str">
        <f t="shared" si="131"/>
        <v/>
      </c>
      <c r="AW457" s="1856" t="str">
        <f t="shared" si="132"/>
        <v/>
      </c>
      <c r="AX457" s="1856" t="str">
        <f t="shared" si="133"/>
        <v/>
      </c>
      <c r="AY457" s="1856" t="str">
        <f t="shared" si="134"/>
        <v/>
      </c>
    </row>
    <row r="458" spans="42:52">
      <c r="AP458" s="1855">
        <f t="shared" si="135"/>
        <v>44609</v>
      </c>
      <c r="AQ458" s="925" t="str">
        <f t="shared" si="136"/>
        <v>EENT</v>
      </c>
      <c r="AR458" s="1856">
        <f t="shared" si="137"/>
        <v>44609.806944444441</v>
      </c>
      <c r="AS458" s="927" t="s">
        <v>1381</v>
      </c>
      <c r="AT458" s="1856" t="str">
        <f t="shared" si="129"/>
        <v/>
      </c>
      <c r="AU458" s="1856" t="str">
        <f t="shared" si="130"/>
        <v/>
      </c>
      <c r="AV458" s="1856" t="str">
        <f t="shared" si="131"/>
        <v/>
      </c>
      <c r="AW458" s="1856" t="str">
        <f t="shared" si="132"/>
        <v/>
      </c>
      <c r="AX458" s="1856" t="str">
        <f t="shared" si="133"/>
        <v/>
      </c>
      <c r="AY458" s="1856" t="str">
        <f t="shared" si="134"/>
        <v/>
      </c>
    </row>
    <row r="459" spans="42:52">
      <c r="AP459" s="1855">
        <f t="shared" si="135"/>
        <v>44609</v>
      </c>
      <c r="AQ459" s="925" t="str">
        <f t="shared" si="136"/>
        <v>MR</v>
      </c>
      <c r="AR459" s="1856">
        <f t="shared" si="137"/>
        <v>44609.814583333333</v>
      </c>
      <c r="AS459" s="927" t="s">
        <v>1382</v>
      </c>
      <c r="AT459" s="1856" t="str">
        <f t="shared" si="129"/>
        <v/>
      </c>
      <c r="AU459" s="1856" t="str">
        <f t="shared" si="130"/>
        <v/>
      </c>
      <c r="AV459" s="1856" t="str">
        <f t="shared" si="131"/>
        <v/>
      </c>
      <c r="AW459" s="1856" t="str">
        <f t="shared" si="132"/>
        <v/>
      </c>
      <c r="AX459" s="1856" t="str">
        <f t="shared" si="133"/>
        <v/>
      </c>
      <c r="AY459" s="1856" t="str">
        <f t="shared" si="134"/>
        <v/>
      </c>
    </row>
    <row r="460" spans="42:52">
      <c r="AP460" s="1855">
        <f t="shared" si="135"/>
        <v>44610</v>
      </c>
      <c r="AQ460" s="925" t="str">
        <f t="shared" si="136"/>
        <v/>
      </c>
      <c r="AR460" s="1856" t="str">
        <f t="shared" si="137"/>
        <v/>
      </c>
      <c r="AS460" s="927">
        <v>18</v>
      </c>
      <c r="AT460" s="1856">
        <f t="shared" si="129"/>
        <v>44610.272916666669</v>
      </c>
      <c r="AU460" s="1856">
        <f t="shared" si="130"/>
        <v>44610.313194444439</v>
      </c>
      <c r="AV460" s="1856">
        <f t="shared" si="131"/>
        <v>44610.767361111109</v>
      </c>
      <c r="AW460" s="1856">
        <f t="shared" si="132"/>
        <v>44610.806944444441</v>
      </c>
      <c r="AX460" s="1856">
        <f t="shared" si="133"/>
        <v>44610.859722222223</v>
      </c>
      <c r="AY460" s="1856">
        <f t="shared" si="134"/>
        <v>44610.368750000001</v>
      </c>
      <c r="AZ460" s="1853">
        <v>0.97</v>
      </c>
    </row>
    <row r="461" spans="42:52">
      <c r="AP461" s="1855">
        <f t="shared" si="135"/>
        <v>44610</v>
      </c>
      <c r="AQ461" s="925" t="str">
        <f t="shared" si="136"/>
        <v/>
      </c>
      <c r="AR461" s="1856" t="str">
        <f t="shared" si="137"/>
        <v/>
      </c>
      <c r="AS461" s="927" t="s">
        <v>252</v>
      </c>
      <c r="AT461" s="1856" t="str">
        <f t="shared" si="129"/>
        <v/>
      </c>
      <c r="AU461" s="1856" t="str">
        <f t="shared" si="130"/>
        <v/>
      </c>
      <c r="AV461" s="1856" t="str">
        <f t="shared" si="131"/>
        <v/>
      </c>
      <c r="AW461" s="1856" t="str">
        <f t="shared" si="132"/>
        <v/>
      </c>
      <c r="AX461" s="1856" t="str">
        <f t="shared" si="133"/>
        <v/>
      </c>
      <c r="AY461" s="1856" t="str">
        <f t="shared" si="134"/>
        <v/>
      </c>
    </row>
    <row r="462" spans="42:52">
      <c r="AP462" s="1855">
        <f t="shared" si="135"/>
        <v>44610</v>
      </c>
      <c r="AQ462" s="925" t="str">
        <f t="shared" si="136"/>
        <v/>
      </c>
      <c r="AR462" s="1856" t="str">
        <f t="shared" si="137"/>
        <v/>
      </c>
      <c r="AT462" s="1856" t="str">
        <f t="shared" si="129"/>
        <v/>
      </c>
      <c r="AU462" s="1856" t="str">
        <f t="shared" si="130"/>
        <v/>
      </c>
      <c r="AV462" s="1856" t="str">
        <f t="shared" si="131"/>
        <v/>
      </c>
      <c r="AW462" s="1856" t="str">
        <f t="shared" si="132"/>
        <v/>
      </c>
      <c r="AX462" s="1856" t="str">
        <f t="shared" si="133"/>
        <v/>
      </c>
      <c r="AY462" s="1856" t="str">
        <f t="shared" si="134"/>
        <v/>
      </c>
    </row>
    <row r="463" spans="42:52">
      <c r="AP463" s="1855">
        <f t="shared" si="135"/>
        <v>44610</v>
      </c>
      <c r="AQ463" s="925" t="str">
        <f t="shared" si="136"/>
        <v>BMNT</v>
      </c>
      <c r="AR463" s="1856">
        <f t="shared" si="137"/>
        <v>44610.272916666669</v>
      </c>
      <c r="AS463" s="927" t="s">
        <v>1383</v>
      </c>
      <c r="AT463" s="1856" t="str">
        <f t="shared" si="129"/>
        <v/>
      </c>
      <c r="AU463" s="1856" t="str">
        <f t="shared" si="130"/>
        <v/>
      </c>
      <c r="AV463" s="1856" t="str">
        <f t="shared" si="131"/>
        <v/>
      </c>
      <c r="AW463" s="1856" t="str">
        <f t="shared" si="132"/>
        <v/>
      </c>
      <c r="AX463" s="1856" t="str">
        <f t="shared" si="133"/>
        <v/>
      </c>
      <c r="AY463" s="1856" t="str">
        <f t="shared" si="134"/>
        <v/>
      </c>
    </row>
    <row r="464" spans="42:52">
      <c r="AP464" s="1855">
        <f t="shared" si="135"/>
        <v>44610</v>
      </c>
      <c r="AQ464" s="925" t="str">
        <f t="shared" si="136"/>
        <v>SR</v>
      </c>
      <c r="AR464" s="1856">
        <f t="shared" si="137"/>
        <v>44610.313194444439</v>
      </c>
      <c r="AS464" s="927" t="s">
        <v>1384</v>
      </c>
      <c r="AT464" s="1856" t="str">
        <f t="shared" si="129"/>
        <v/>
      </c>
      <c r="AU464" s="1856" t="str">
        <f t="shared" si="130"/>
        <v/>
      </c>
      <c r="AV464" s="1856" t="str">
        <f t="shared" si="131"/>
        <v/>
      </c>
      <c r="AW464" s="1856" t="str">
        <f t="shared" si="132"/>
        <v/>
      </c>
      <c r="AX464" s="1856" t="str">
        <f t="shared" si="133"/>
        <v/>
      </c>
      <c r="AY464" s="1856" t="str">
        <f t="shared" si="134"/>
        <v/>
      </c>
    </row>
    <row r="465" spans="42:52">
      <c r="AP465" s="1855">
        <f t="shared" si="135"/>
        <v>44610</v>
      </c>
      <c r="AQ465" s="925" t="str">
        <f t="shared" si="136"/>
        <v>MS</v>
      </c>
      <c r="AR465" s="1856">
        <f t="shared" si="137"/>
        <v>44610.368750000001</v>
      </c>
      <c r="AS465" s="927" t="s">
        <v>1385</v>
      </c>
      <c r="AT465" s="1856" t="str">
        <f t="shared" si="129"/>
        <v/>
      </c>
      <c r="AU465" s="1856" t="str">
        <f t="shared" si="130"/>
        <v/>
      </c>
      <c r="AV465" s="1856" t="str">
        <f t="shared" si="131"/>
        <v/>
      </c>
      <c r="AW465" s="1856" t="str">
        <f t="shared" si="132"/>
        <v/>
      </c>
      <c r="AX465" s="1856" t="str">
        <f t="shared" si="133"/>
        <v/>
      </c>
      <c r="AY465" s="1856" t="str">
        <f t="shared" si="134"/>
        <v/>
      </c>
    </row>
    <row r="466" spans="42:52">
      <c r="AP466" s="1855">
        <f t="shared" si="135"/>
        <v>44610</v>
      </c>
      <c r="AQ466" s="925" t="str">
        <f t="shared" si="136"/>
        <v>SS</v>
      </c>
      <c r="AR466" s="1856">
        <f t="shared" si="137"/>
        <v>44610.767361111109</v>
      </c>
      <c r="AS466" s="927" t="s">
        <v>1386</v>
      </c>
      <c r="AT466" s="1856" t="str">
        <f t="shared" si="129"/>
        <v/>
      </c>
      <c r="AU466" s="1856" t="str">
        <f t="shared" si="130"/>
        <v/>
      </c>
      <c r="AV466" s="1856" t="str">
        <f t="shared" si="131"/>
        <v/>
      </c>
      <c r="AW466" s="1856" t="str">
        <f t="shared" si="132"/>
        <v/>
      </c>
      <c r="AX466" s="1856" t="str">
        <f t="shared" si="133"/>
        <v/>
      </c>
      <c r="AY466" s="1856" t="str">
        <f t="shared" si="134"/>
        <v/>
      </c>
    </row>
    <row r="467" spans="42:52">
      <c r="AP467" s="1855">
        <f t="shared" si="135"/>
        <v>44610</v>
      </c>
      <c r="AQ467" s="925" t="str">
        <f t="shared" si="136"/>
        <v>EENT</v>
      </c>
      <c r="AR467" s="1856">
        <f t="shared" si="137"/>
        <v>44610.806944444441</v>
      </c>
      <c r="AS467" s="927" t="s">
        <v>1381</v>
      </c>
      <c r="AT467" s="1856" t="str">
        <f t="shared" si="129"/>
        <v/>
      </c>
      <c r="AU467" s="1856" t="str">
        <f t="shared" si="130"/>
        <v/>
      </c>
      <c r="AV467" s="1856" t="str">
        <f t="shared" si="131"/>
        <v/>
      </c>
      <c r="AW467" s="1856" t="str">
        <f t="shared" si="132"/>
        <v/>
      </c>
      <c r="AX467" s="1856" t="str">
        <f t="shared" si="133"/>
        <v/>
      </c>
      <c r="AY467" s="1856" t="str">
        <f t="shared" si="134"/>
        <v/>
      </c>
    </row>
    <row r="468" spans="42:52">
      <c r="AP468" s="1855">
        <f t="shared" si="135"/>
        <v>44610</v>
      </c>
      <c r="AQ468" s="925" t="str">
        <f t="shared" si="136"/>
        <v>MR</v>
      </c>
      <c r="AR468" s="1856">
        <f t="shared" si="137"/>
        <v>44610.859722222223</v>
      </c>
      <c r="AS468" s="927" t="s">
        <v>1102</v>
      </c>
      <c r="AT468" s="1856" t="str">
        <f t="shared" si="129"/>
        <v/>
      </c>
      <c r="AU468" s="1856" t="str">
        <f t="shared" si="130"/>
        <v/>
      </c>
      <c r="AV468" s="1856" t="str">
        <f t="shared" si="131"/>
        <v/>
      </c>
      <c r="AW468" s="1856" t="str">
        <f t="shared" si="132"/>
        <v/>
      </c>
      <c r="AX468" s="1856" t="str">
        <f t="shared" si="133"/>
        <v/>
      </c>
      <c r="AY468" s="1856" t="str">
        <f t="shared" si="134"/>
        <v/>
      </c>
    </row>
    <row r="469" spans="42:52">
      <c r="AP469" s="1855">
        <f t="shared" si="135"/>
        <v>44611</v>
      </c>
      <c r="AQ469" s="925" t="str">
        <f t="shared" si="136"/>
        <v/>
      </c>
      <c r="AR469" s="1856" t="str">
        <f t="shared" si="137"/>
        <v/>
      </c>
      <c r="AS469" s="927">
        <v>19</v>
      </c>
      <c r="AT469" s="1856">
        <f t="shared" si="129"/>
        <v>44611.272222222222</v>
      </c>
      <c r="AU469" s="1856">
        <f t="shared" si="130"/>
        <v>44611.311805555553</v>
      </c>
      <c r="AV469" s="1856">
        <f t="shared" si="131"/>
        <v>44611.768055555556</v>
      </c>
      <c r="AW469" s="1856">
        <f t="shared" si="132"/>
        <v>44611.807638888888</v>
      </c>
      <c r="AX469" s="1856">
        <f t="shared" si="133"/>
        <v>44611.904861111114</v>
      </c>
      <c r="AY469" s="1856">
        <f t="shared" si="134"/>
        <v>44611.386805555558</v>
      </c>
      <c r="AZ469" s="1853">
        <v>0.93</v>
      </c>
    </row>
    <row r="470" spans="42:52">
      <c r="AP470" s="1855">
        <f t="shared" si="135"/>
        <v>44611</v>
      </c>
      <c r="AQ470" s="925" t="str">
        <f t="shared" si="136"/>
        <v/>
      </c>
      <c r="AR470" s="1856" t="str">
        <f t="shared" si="137"/>
        <v/>
      </c>
      <c r="AS470" s="927" t="s">
        <v>252</v>
      </c>
      <c r="AT470" s="1856" t="str">
        <f t="shared" si="129"/>
        <v/>
      </c>
      <c r="AU470" s="1856" t="str">
        <f t="shared" si="130"/>
        <v/>
      </c>
      <c r="AV470" s="1856" t="str">
        <f t="shared" si="131"/>
        <v/>
      </c>
      <c r="AW470" s="1856" t="str">
        <f t="shared" si="132"/>
        <v/>
      </c>
      <c r="AX470" s="1856" t="str">
        <f t="shared" si="133"/>
        <v/>
      </c>
      <c r="AY470" s="1856" t="str">
        <f t="shared" si="134"/>
        <v/>
      </c>
    </row>
    <row r="471" spans="42:52">
      <c r="AP471" s="1855">
        <f t="shared" si="135"/>
        <v>44611</v>
      </c>
      <c r="AQ471" s="925" t="str">
        <f t="shared" si="136"/>
        <v/>
      </c>
      <c r="AR471" s="1856" t="str">
        <f t="shared" si="137"/>
        <v/>
      </c>
      <c r="AT471" s="1856" t="str">
        <f t="shared" si="129"/>
        <v/>
      </c>
      <c r="AU471" s="1856" t="str">
        <f t="shared" si="130"/>
        <v/>
      </c>
      <c r="AV471" s="1856" t="str">
        <f t="shared" si="131"/>
        <v/>
      </c>
      <c r="AW471" s="1856" t="str">
        <f t="shared" si="132"/>
        <v/>
      </c>
      <c r="AX471" s="1856" t="str">
        <f t="shared" si="133"/>
        <v/>
      </c>
      <c r="AY471" s="1856" t="str">
        <f t="shared" si="134"/>
        <v/>
      </c>
    </row>
    <row r="472" spans="42:52">
      <c r="AP472" s="1855">
        <f t="shared" si="135"/>
        <v>44611</v>
      </c>
      <c r="AQ472" s="925" t="str">
        <f t="shared" si="136"/>
        <v>BMNT</v>
      </c>
      <c r="AR472" s="1856">
        <f t="shared" si="137"/>
        <v>44611.272222222222</v>
      </c>
      <c r="AS472" s="927" t="s">
        <v>1387</v>
      </c>
      <c r="AT472" s="1856" t="str">
        <f t="shared" si="129"/>
        <v/>
      </c>
      <c r="AU472" s="1856" t="str">
        <f t="shared" si="130"/>
        <v/>
      </c>
      <c r="AV472" s="1856" t="str">
        <f t="shared" si="131"/>
        <v/>
      </c>
      <c r="AW472" s="1856" t="str">
        <f t="shared" si="132"/>
        <v/>
      </c>
      <c r="AX472" s="1856" t="str">
        <f t="shared" si="133"/>
        <v/>
      </c>
      <c r="AY472" s="1856" t="str">
        <f t="shared" si="134"/>
        <v/>
      </c>
    </row>
    <row r="473" spans="42:52">
      <c r="AP473" s="1855">
        <f t="shared" si="135"/>
        <v>44611</v>
      </c>
      <c r="AQ473" s="925" t="str">
        <f t="shared" si="136"/>
        <v>SR</v>
      </c>
      <c r="AR473" s="1856">
        <f t="shared" si="137"/>
        <v>44611.311805555553</v>
      </c>
      <c r="AS473" s="927" t="s">
        <v>1388</v>
      </c>
      <c r="AT473" s="1856" t="str">
        <f t="shared" si="129"/>
        <v/>
      </c>
      <c r="AU473" s="1856" t="str">
        <f t="shared" si="130"/>
        <v/>
      </c>
      <c r="AV473" s="1856" t="str">
        <f t="shared" si="131"/>
        <v/>
      </c>
      <c r="AW473" s="1856" t="str">
        <f t="shared" si="132"/>
        <v/>
      </c>
      <c r="AX473" s="1856" t="str">
        <f t="shared" si="133"/>
        <v/>
      </c>
      <c r="AY473" s="1856" t="str">
        <f t="shared" si="134"/>
        <v/>
      </c>
    </row>
    <row r="474" spans="42:52">
      <c r="AP474" s="1855">
        <f t="shared" si="135"/>
        <v>44611</v>
      </c>
      <c r="AQ474" s="925" t="str">
        <f t="shared" si="136"/>
        <v>MS</v>
      </c>
      <c r="AR474" s="1856">
        <f t="shared" si="137"/>
        <v>44611.386805555558</v>
      </c>
      <c r="AS474" s="927" t="s">
        <v>1389</v>
      </c>
      <c r="AT474" s="1856" t="str">
        <f t="shared" si="129"/>
        <v/>
      </c>
      <c r="AU474" s="1856" t="str">
        <f t="shared" si="130"/>
        <v/>
      </c>
      <c r="AV474" s="1856" t="str">
        <f t="shared" si="131"/>
        <v/>
      </c>
      <c r="AW474" s="1856" t="str">
        <f t="shared" si="132"/>
        <v/>
      </c>
      <c r="AX474" s="1856" t="str">
        <f t="shared" si="133"/>
        <v/>
      </c>
      <c r="AY474" s="1856" t="str">
        <f t="shared" si="134"/>
        <v/>
      </c>
    </row>
    <row r="475" spans="42:52">
      <c r="AP475" s="1855">
        <f t="shared" si="135"/>
        <v>44611</v>
      </c>
      <c r="AQ475" s="925" t="str">
        <f t="shared" si="136"/>
        <v>SS</v>
      </c>
      <c r="AR475" s="1856">
        <f t="shared" si="137"/>
        <v>44611.768055555556</v>
      </c>
      <c r="AS475" s="927" t="s">
        <v>1390</v>
      </c>
      <c r="AT475" s="1856" t="str">
        <f t="shared" si="129"/>
        <v/>
      </c>
      <c r="AU475" s="1856" t="str">
        <f t="shared" si="130"/>
        <v/>
      </c>
      <c r="AV475" s="1856" t="str">
        <f t="shared" si="131"/>
        <v/>
      </c>
      <c r="AW475" s="1856" t="str">
        <f t="shared" si="132"/>
        <v/>
      </c>
      <c r="AX475" s="1856" t="str">
        <f t="shared" si="133"/>
        <v/>
      </c>
      <c r="AY475" s="1856" t="str">
        <f t="shared" si="134"/>
        <v/>
      </c>
    </row>
    <row r="476" spans="42:52">
      <c r="AP476" s="1855">
        <f t="shared" si="135"/>
        <v>44611</v>
      </c>
      <c r="AQ476" s="925" t="str">
        <f t="shared" si="136"/>
        <v>EENT</v>
      </c>
      <c r="AR476" s="1856">
        <f t="shared" si="137"/>
        <v>44611.807638888888</v>
      </c>
      <c r="AS476" s="927" t="s">
        <v>1391</v>
      </c>
      <c r="AT476" s="1856" t="str">
        <f t="shared" ref="AT476:AT539" si="138">IF(ISNUMBER(AS476),INDEX(AR477:AR487,MATCH($AT$27,AQ477:AQ487,0)),"")</f>
        <v/>
      </c>
      <c r="AU476" s="1856" t="str">
        <f t="shared" ref="AU476:AU539" si="139">IF(AT476="","",INDEX(AR477:AR487,MATCH($AU$27,AQ477:AQ487,0)))</f>
        <v/>
      </c>
      <c r="AV476" s="1856" t="str">
        <f t="shared" ref="AV476:AV539" si="140">IF(AT476="","",INDEX(AR477:AR487,MATCH($AV$27,AQ477:AQ487,0)))</f>
        <v/>
      </c>
      <c r="AW476" s="1856" t="str">
        <f t="shared" ref="AW476:AW539" si="141">IF(AT476="","",INDEX(AR477:AR487,MATCH($AW$27,AQ477:AQ487,0)))</f>
        <v/>
      </c>
      <c r="AX476" s="1856" t="str">
        <f t="shared" ref="AX476:AX539" si="142">IF(AT476="","",INDEX(AR477:AR487,MATCH($AX$27,AQ477:AQ487,0)))</f>
        <v/>
      </c>
      <c r="AY476" s="1856" t="str">
        <f t="shared" ref="AY476:AY539" si="143">IF(AT476="","",INDEX(AR477:AR487,MATCH($AY$27,AQ477:AQ487,0)))</f>
        <v/>
      </c>
    </row>
    <row r="477" spans="42:52">
      <c r="AP477" s="1855">
        <f t="shared" si="135"/>
        <v>44611</v>
      </c>
      <c r="AQ477" s="925" t="str">
        <f t="shared" si="136"/>
        <v>MR</v>
      </c>
      <c r="AR477" s="1856">
        <f t="shared" si="137"/>
        <v>44611.904861111114</v>
      </c>
      <c r="AS477" s="927" t="s">
        <v>1392</v>
      </c>
      <c r="AT477" s="1856" t="str">
        <f t="shared" si="138"/>
        <v/>
      </c>
      <c r="AU477" s="1856" t="str">
        <f t="shared" si="139"/>
        <v/>
      </c>
      <c r="AV477" s="1856" t="str">
        <f t="shared" si="140"/>
        <v/>
      </c>
      <c r="AW477" s="1856" t="str">
        <f t="shared" si="141"/>
        <v/>
      </c>
      <c r="AX477" s="1856" t="str">
        <f t="shared" si="142"/>
        <v/>
      </c>
      <c r="AY477" s="1856" t="str">
        <f t="shared" si="143"/>
        <v/>
      </c>
    </row>
    <row r="478" spans="42:52">
      <c r="AP478" s="1855">
        <f t="shared" si="135"/>
        <v>44612</v>
      </c>
      <c r="AQ478" s="925" t="str">
        <f t="shared" si="136"/>
        <v/>
      </c>
      <c r="AR478" s="1856" t="str">
        <f t="shared" si="137"/>
        <v/>
      </c>
      <c r="AS478" s="927">
        <v>20</v>
      </c>
      <c r="AT478" s="1856">
        <f t="shared" si="138"/>
        <v>44612.271527777775</v>
      </c>
      <c r="AU478" s="1856">
        <f t="shared" si="139"/>
        <v>44612.311111111107</v>
      </c>
      <c r="AV478" s="1856">
        <f t="shared" si="140"/>
        <v>44612.768750000003</v>
      </c>
      <c r="AW478" s="1856">
        <f t="shared" si="141"/>
        <v>44612.808333333334</v>
      </c>
      <c r="AX478" s="1856">
        <f t="shared" si="142"/>
        <v>44612.951388888883</v>
      </c>
      <c r="AY478" s="1856">
        <f t="shared" si="143"/>
        <v>44612.404861111114</v>
      </c>
      <c r="AZ478" s="1853">
        <v>0.87</v>
      </c>
    </row>
    <row r="479" spans="42:52">
      <c r="AP479" s="1855">
        <f t="shared" si="135"/>
        <v>44612</v>
      </c>
      <c r="AQ479" s="925" t="str">
        <f t="shared" si="136"/>
        <v/>
      </c>
      <c r="AR479" s="1856" t="str">
        <f t="shared" si="137"/>
        <v/>
      </c>
      <c r="AS479" s="927" t="s">
        <v>252</v>
      </c>
      <c r="AT479" s="1856" t="str">
        <f t="shared" si="138"/>
        <v/>
      </c>
      <c r="AU479" s="1856" t="str">
        <f t="shared" si="139"/>
        <v/>
      </c>
      <c r="AV479" s="1856" t="str">
        <f t="shared" si="140"/>
        <v/>
      </c>
      <c r="AW479" s="1856" t="str">
        <f t="shared" si="141"/>
        <v/>
      </c>
      <c r="AX479" s="1856" t="str">
        <f t="shared" si="142"/>
        <v/>
      </c>
      <c r="AY479" s="1856" t="str">
        <f t="shared" si="143"/>
        <v/>
      </c>
    </row>
    <row r="480" spans="42:52">
      <c r="AP480" s="1855">
        <f t="shared" si="135"/>
        <v>44612</v>
      </c>
      <c r="AQ480" s="925" t="str">
        <f t="shared" si="136"/>
        <v/>
      </c>
      <c r="AR480" s="1856" t="str">
        <f t="shared" si="137"/>
        <v/>
      </c>
      <c r="AT480" s="1856" t="str">
        <f t="shared" si="138"/>
        <v/>
      </c>
      <c r="AU480" s="1856" t="str">
        <f t="shared" si="139"/>
        <v/>
      </c>
      <c r="AV480" s="1856" t="str">
        <f t="shared" si="140"/>
        <v/>
      </c>
      <c r="AW480" s="1856" t="str">
        <f t="shared" si="141"/>
        <v/>
      </c>
      <c r="AX480" s="1856" t="str">
        <f t="shared" si="142"/>
        <v/>
      </c>
      <c r="AY480" s="1856" t="str">
        <f t="shared" si="143"/>
        <v/>
      </c>
    </row>
    <row r="481" spans="42:52">
      <c r="AP481" s="1855">
        <f t="shared" si="135"/>
        <v>44612</v>
      </c>
      <c r="AQ481" s="925" t="str">
        <f t="shared" si="136"/>
        <v>BMNT</v>
      </c>
      <c r="AR481" s="1856">
        <f t="shared" si="137"/>
        <v>44612.271527777775</v>
      </c>
      <c r="AS481" s="927" t="s">
        <v>1393</v>
      </c>
      <c r="AT481" s="1856" t="str">
        <f t="shared" si="138"/>
        <v/>
      </c>
      <c r="AU481" s="1856" t="str">
        <f t="shared" si="139"/>
        <v/>
      </c>
      <c r="AV481" s="1856" t="str">
        <f t="shared" si="140"/>
        <v/>
      </c>
      <c r="AW481" s="1856" t="str">
        <f t="shared" si="141"/>
        <v/>
      </c>
      <c r="AX481" s="1856" t="str">
        <f t="shared" si="142"/>
        <v/>
      </c>
      <c r="AY481" s="1856" t="str">
        <f t="shared" si="143"/>
        <v/>
      </c>
    </row>
    <row r="482" spans="42:52">
      <c r="AP482" s="1855">
        <f t="shared" si="135"/>
        <v>44612</v>
      </c>
      <c r="AQ482" s="925" t="str">
        <f t="shared" si="136"/>
        <v>SR</v>
      </c>
      <c r="AR482" s="1856">
        <f t="shared" si="137"/>
        <v>44612.311111111107</v>
      </c>
      <c r="AS482" s="927" t="s">
        <v>1394</v>
      </c>
      <c r="AT482" s="1856" t="str">
        <f t="shared" si="138"/>
        <v/>
      </c>
      <c r="AU482" s="1856" t="str">
        <f t="shared" si="139"/>
        <v/>
      </c>
      <c r="AV482" s="1856" t="str">
        <f t="shared" si="140"/>
        <v/>
      </c>
      <c r="AW482" s="1856" t="str">
        <f t="shared" si="141"/>
        <v/>
      </c>
      <c r="AX482" s="1856" t="str">
        <f t="shared" si="142"/>
        <v/>
      </c>
      <c r="AY482" s="1856" t="str">
        <f t="shared" si="143"/>
        <v/>
      </c>
    </row>
    <row r="483" spans="42:52">
      <c r="AP483" s="1855">
        <f t="shared" si="135"/>
        <v>44612</v>
      </c>
      <c r="AQ483" s="925" t="str">
        <f t="shared" si="136"/>
        <v>MS</v>
      </c>
      <c r="AR483" s="1856">
        <f t="shared" si="137"/>
        <v>44612.404861111114</v>
      </c>
      <c r="AS483" s="927" t="s">
        <v>1395</v>
      </c>
      <c r="AT483" s="1856" t="str">
        <f t="shared" si="138"/>
        <v/>
      </c>
      <c r="AU483" s="1856" t="str">
        <f t="shared" si="139"/>
        <v/>
      </c>
      <c r="AV483" s="1856" t="str">
        <f t="shared" si="140"/>
        <v/>
      </c>
      <c r="AW483" s="1856" t="str">
        <f t="shared" si="141"/>
        <v/>
      </c>
      <c r="AX483" s="1856" t="str">
        <f t="shared" si="142"/>
        <v/>
      </c>
      <c r="AY483" s="1856" t="str">
        <f t="shared" si="143"/>
        <v/>
      </c>
    </row>
    <row r="484" spans="42:52">
      <c r="AP484" s="1855">
        <f t="shared" si="135"/>
        <v>44612</v>
      </c>
      <c r="AQ484" s="925" t="str">
        <f t="shared" si="136"/>
        <v>SS</v>
      </c>
      <c r="AR484" s="1856">
        <f t="shared" si="137"/>
        <v>44612.768750000003</v>
      </c>
      <c r="AS484" s="927" t="s">
        <v>1396</v>
      </c>
      <c r="AT484" s="1856" t="str">
        <f t="shared" si="138"/>
        <v/>
      </c>
      <c r="AU484" s="1856" t="str">
        <f t="shared" si="139"/>
        <v/>
      </c>
      <c r="AV484" s="1856" t="str">
        <f t="shared" si="140"/>
        <v/>
      </c>
      <c r="AW484" s="1856" t="str">
        <f t="shared" si="141"/>
        <v/>
      </c>
      <c r="AX484" s="1856" t="str">
        <f t="shared" si="142"/>
        <v/>
      </c>
      <c r="AY484" s="1856" t="str">
        <f t="shared" si="143"/>
        <v/>
      </c>
    </row>
    <row r="485" spans="42:52">
      <c r="AP485" s="1855">
        <f t="shared" ref="AP485:AP548" si="144">IF(ISNUMBER(AS485),AP484+1,AP484)</f>
        <v>44612</v>
      </c>
      <c r="AQ485" s="925" t="str">
        <f t="shared" ref="AQ485:AQ548" si="145">IF(NOT(ISNUMBER(FIND(":",AS485))),"",IF(ISNUMBER(FIND("Sunr",AS485)),"SR", IF(ISNUMBER(FIND("Suns",AS485)),"SS",IF(ISNUMBER(FIND("Moonr",AS485)),"MR",IF(ISNUMBER(FIND("Moons",AS485)),"MS",IF(ISNUMBER(FIND("Twi",AS485)),IF(HOUR(AR485)&lt;12,"BMNT","EENT")))))))</f>
        <v>EENT</v>
      </c>
      <c r="AR485" s="1856">
        <f t="shared" si="137"/>
        <v>44612.808333333334</v>
      </c>
      <c r="AS485" s="927" t="s">
        <v>1397</v>
      </c>
      <c r="AT485" s="1856" t="str">
        <f t="shared" si="138"/>
        <v/>
      </c>
      <c r="AU485" s="1856" t="str">
        <f t="shared" si="139"/>
        <v/>
      </c>
      <c r="AV485" s="1856" t="str">
        <f t="shared" si="140"/>
        <v/>
      </c>
      <c r="AW485" s="1856" t="str">
        <f t="shared" si="141"/>
        <v/>
      </c>
      <c r="AX485" s="1856" t="str">
        <f t="shared" si="142"/>
        <v/>
      </c>
      <c r="AY485" s="1856" t="str">
        <f t="shared" si="143"/>
        <v/>
      </c>
    </row>
    <row r="486" spans="42:52">
      <c r="AP486" s="1855">
        <f t="shared" si="144"/>
        <v>44612</v>
      </c>
      <c r="AQ486" s="925" t="str">
        <f t="shared" si="145"/>
        <v>MR</v>
      </c>
      <c r="AR486" s="1856">
        <f t="shared" si="137"/>
        <v>44612.951388888883</v>
      </c>
      <c r="AS486" s="927" t="s">
        <v>1398</v>
      </c>
      <c r="AT486" s="1856" t="str">
        <f t="shared" si="138"/>
        <v/>
      </c>
      <c r="AU486" s="1856" t="str">
        <f t="shared" si="139"/>
        <v/>
      </c>
      <c r="AV486" s="1856" t="str">
        <f t="shared" si="140"/>
        <v/>
      </c>
      <c r="AW486" s="1856" t="str">
        <f t="shared" si="141"/>
        <v/>
      </c>
      <c r="AX486" s="1856" t="str">
        <f t="shared" si="142"/>
        <v/>
      </c>
      <c r="AY486" s="1856" t="str">
        <f t="shared" si="143"/>
        <v/>
      </c>
    </row>
    <row r="487" spans="42:52">
      <c r="AP487" s="1855">
        <f t="shared" si="144"/>
        <v>44613</v>
      </c>
      <c r="AQ487" s="925" t="str">
        <f t="shared" si="145"/>
        <v/>
      </c>
      <c r="AR487" s="1856" t="str">
        <f t="shared" si="137"/>
        <v/>
      </c>
      <c r="AS487" s="927">
        <v>21</v>
      </c>
      <c r="AT487" s="1856">
        <f t="shared" si="138"/>
        <v>44613.270833333336</v>
      </c>
      <c r="AU487" s="1856">
        <f t="shared" si="139"/>
        <v>44613.310416666667</v>
      </c>
      <c r="AV487" s="1856">
        <f t="shared" si="140"/>
        <v>44613.769444444442</v>
      </c>
      <c r="AW487" s="1856">
        <f t="shared" si="141"/>
        <v>44613.809027777774</v>
      </c>
      <c r="AX487" s="1856">
        <f t="shared" si="142"/>
        <v>44613.998611111114</v>
      </c>
      <c r="AY487" s="1856">
        <f t="shared" si="143"/>
        <v>44613.424305555556</v>
      </c>
      <c r="AZ487" s="1853">
        <v>0.79</v>
      </c>
    </row>
    <row r="488" spans="42:52">
      <c r="AP488" s="1855">
        <f t="shared" si="144"/>
        <v>44613</v>
      </c>
      <c r="AQ488" s="925" t="str">
        <f t="shared" si="145"/>
        <v/>
      </c>
      <c r="AR488" s="1856" t="str">
        <f t="shared" si="137"/>
        <v/>
      </c>
      <c r="AS488" s="927" t="s">
        <v>252</v>
      </c>
      <c r="AT488" s="1856" t="str">
        <f t="shared" si="138"/>
        <v/>
      </c>
      <c r="AU488" s="1856" t="str">
        <f t="shared" si="139"/>
        <v/>
      </c>
      <c r="AV488" s="1856" t="str">
        <f t="shared" si="140"/>
        <v/>
      </c>
      <c r="AW488" s="1856" t="str">
        <f t="shared" si="141"/>
        <v/>
      </c>
      <c r="AX488" s="1856" t="str">
        <f t="shared" si="142"/>
        <v/>
      </c>
      <c r="AY488" s="1856" t="str">
        <f t="shared" si="143"/>
        <v/>
      </c>
    </row>
    <row r="489" spans="42:52">
      <c r="AP489" s="1855">
        <f t="shared" si="144"/>
        <v>44613</v>
      </c>
      <c r="AQ489" s="925" t="str">
        <f t="shared" si="145"/>
        <v/>
      </c>
      <c r="AR489" s="1856" t="str">
        <f t="shared" ref="AR489:AR552" si="146">IF(NOT(ISNUMBER(FIND(":",AS489))),"",IF(ISNUMBER(FIND(" none",AS489)),"NONE",AP489+LEFT(RIGHT(AS489,5),2)/24+RIGHT(AS489,2)/1440))</f>
        <v/>
      </c>
      <c r="AT489" s="1856" t="str">
        <f t="shared" si="138"/>
        <v/>
      </c>
      <c r="AU489" s="1856" t="str">
        <f t="shared" si="139"/>
        <v/>
      </c>
      <c r="AV489" s="1856" t="str">
        <f t="shared" si="140"/>
        <v/>
      </c>
      <c r="AW489" s="1856" t="str">
        <f t="shared" si="141"/>
        <v/>
      </c>
      <c r="AX489" s="1856" t="str">
        <f t="shared" si="142"/>
        <v/>
      </c>
      <c r="AY489" s="1856" t="str">
        <f t="shared" si="143"/>
        <v/>
      </c>
    </row>
    <row r="490" spans="42:52">
      <c r="AP490" s="1855">
        <f t="shared" si="144"/>
        <v>44613</v>
      </c>
      <c r="AQ490" s="925" t="str">
        <f t="shared" si="145"/>
        <v>BMNT</v>
      </c>
      <c r="AR490" s="1856">
        <f t="shared" si="146"/>
        <v>44613.270833333336</v>
      </c>
      <c r="AS490" s="927" t="s">
        <v>1399</v>
      </c>
      <c r="AT490" s="1856" t="str">
        <f t="shared" si="138"/>
        <v/>
      </c>
      <c r="AU490" s="1856" t="str">
        <f t="shared" si="139"/>
        <v/>
      </c>
      <c r="AV490" s="1856" t="str">
        <f t="shared" si="140"/>
        <v/>
      </c>
      <c r="AW490" s="1856" t="str">
        <f t="shared" si="141"/>
        <v/>
      </c>
      <c r="AX490" s="1856" t="str">
        <f t="shared" si="142"/>
        <v/>
      </c>
      <c r="AY490" s="1856" t="str">
        <f t="shared" si="143"/>
        <v/>
      </c>
    </row>
    <row r="491" spans="42:52">
      <c r="AP491" s="1855">
        <f t="shared" si="144"/>
        <v>44613</v>
      </c>
      <c r="AQ491" s="925" t="str">
        <f t="shared" si="145"/>
        <v>SR</v>
      </c>
      <c r="AR491" s="1856">
        <f t="shared" si="146"/>
        <v>44613.310416666667</v>
      </c>
      <c r="AS491" s="927" t="s">
        <v>1400</v>
      </c>
      <c r="AT491" s="1856" t="str">
        <f t="shared" si="138"/>
        <v/>
      </c>
      <c r="AU491" s="1856" t="str">
        <f t="shared" si="139"/>
        <v/>
      </c>
      <c r="AV491" s="1856" t="str">
        <f t="shared" si="140"/>
        <v/>
      </c>
      <c r="AW491" s="1856" t="str">
        <f t="shared" si="141"/>
        <v/>
      </c>
      <c r="AX491" s="1856" t="str">
        <f t="shared" si="142"/>
        <v/>
      </c>
      <c r="AY491" s="1856" t="str">
        <f t="shared" si="143"/>
        <v/>
      </c>
    </row>
    <row r="492" spans="42:52">
      <c r="AP492" s="1855">
        <f t="shared" si="144"/>
        <v>44613</v>
      </c>
      <c r="AQ492" s="925" t="str">
        <f t="shared" si="145"/>
        <v>MS</v>
      </c>
      <c r="AR492" s="1856">
        <f t="shared" si="146"/>
        <v>44613.424305555556</v>
      </c>
      <c r="AS492" s="927" t="s">
        <v>1401</v>
      </c>
      <c r="AT492" s="1856" t="str">
        <f t="shared" si="138"/>
        <v/>
      </c>
      <c r="AU492" s="1856" t="str">
        <f t="shared" si="139"/>
        <v/>
      </c>
      <c r="AV492" s="1856" t="str">
        <f t="shared" si="140"/>
        <v/>
      </c>
      <c r="AW492" s="1856" t="str">
        <f t="shared" si="141"/>
        <v/>
      </c>
      <c r="AX492" s="1856" t="str">
        <f t="shared" si="142"/>
        <v/>
      </c>
      <c r="AY492" s="1856" t="str">
        <f t="shared" si="143"/>
        <v/>
      </c>
    </row>
    <row r="493" spans="42:52">
      <c r="AP493" s="1855">
        <f t="shared" si="144"/>
        <v>44613</v>
      </c>
      <c r="AQ493" s="925" t="str">
        <f t="shared" si="145"/>
        <v>SS</v>
      </c>
      <c r="AR493" s="1856">
        <f t="shared" si="146"/>
        <v>44613.769444444442</v>
      </c>
      <c r="AS493" s="927" t="s">
        <v>1402</v>
      </c>
      <c r="AT493" s="1856" t="str">
        <f t="shared" si="138"/>
        <v/>
      </c>
      <c r="AU493" s="1856" t="str">
        <f t="shared" si="139"/>
        <v/>
      </c>
      <c r="AV493" s="1856" t="str">
        <f t="shared" si="140"/>
        <v/>
      </c>
      <c r="AW493" s="1856" t="str">
        <f t="shared" si="141"/>
        <v/>
      </c>
      <c r="AX493" s="1856" t="str">
        <f t="shared" si="142"/>
        <v/>
      </c>
      <c r="AY493" s="1856" t="str">
        <f t="shared" si="143"/>
        <v/>
      </c>
    </row>
    <row r="494" spans="42:52">
      <c r="AP494" s="1855">
        <f t="shared" si="144"/>
        <v>44613</v>
      </c>
      <c r="AQ494" s="925" t="str">
        <f t="shared" si="145"/>
        <v>EENT</v>
      </c>
      <c r="AR494" s="1856">
        <f t="shared" si="146"/>
        <v>44613.809027777774</v>
      </c>
      <c r="AS494" s="927" t="s">
        <v>1403</v>
      </c>
      <c r="AT494" s="1856" t="str">
        <f t="shared" si="138"/>
        <v/>
      </c>
      <c r="AU494" s="1856" t="str">
        <f t="shared" si="139"/>
        <v/>
      </c>
      <c r="AV494" s="1856" t="str">
        <f t="shared" si="140"/>
        <v/>
      </c>
      <c r="AW494" s="1856" t="str">
        <f t="shared" si="141"/>
        <v/>
      </c>
      <c r="AX494" s="1856" t="str">
        <f t="shared" si="142"/>
        <v/>
      </c>
      <c r="AY494" s="1856" t="str">
        <f t="shared" si="143"/>
        <v/>
      </c>
    </row>
    <row r="495" spans="42:52">
      <c r="AP495" s="1855">
        <f t="shared" si="144"/>
        <v>44613</v>
      </c>
      <c r="AQ495" s="925" t="str">
        <f t="shared" si="145"/>
        <v>MR</v>
      </c>
      <c r="AR495" s="1856">
        <f t="shared" si="146"/>
        <v>44613.998611111114</v>
      </c>
      <c r="AS495" s="927" t="s">
        <v>1404</v>
      </c>
      <c r="AT495" s="1856" t="str">
        <f t="shared" si="138"/>
        <v/>
      </c>
      <c r="AU495" s="1856" t="str">
        <f t="shared" si="139"/>
        <v/>
      </c>
      <c r="AV495" s="1856" t="str">
        <f t="shared" si="140"/>
        <v/>
      </c>
      <c r="AW495" s="1856" t="str">
        <f t="shared" si="141"/>
        <v/>
      </c>
      <c r="AX495" s="1856" t="str">
        <f t="shared" si="142"/>
        <v/>
      </c>
      <c r="AY495" s="1856" t="str">
        <f t="shared" si="143"/>
        <v/>
      </c>
    </row>
    <row r="496" spans="42:52">
      <c r="AP496" s="1855">
        <f t="shared" si="144"/>
        <v>44614</v>
      </c>
      <c r="AQ496" s="925" t="str">
        <f t="shared" si="145"/>
        <v/>
      </c>
      <c r="AR496" s="1856" t="str">
        <f t="shared" si="146"/>
        <v/>
      </c>
      <c r="AS496" s="927">
        <v>22</v>
      </c>
      <c r="AT496" s="1856">
        <f t="shared" si="138"/>
        <v>44614.269444444442</v>
      </c>
      <c r="AU496" s="1856">
        <f t="shared" si="139"/>
        <v>44614.309027777774</v>
      </c>
      <c r="AV496" s="1856">
        <f t="shared" si="140"/>
        <v>44614.770138888889</v>
      </c>
      <c r="AW496" s="1856">
        <f t="shared" si="141"/>
        <v>44614.80972222222</v>
      </c>
      <c r="AX496" s="1856" t="str">
        <f t="shared" si="142"/>
        <v>NONE</v>
      </c>
      <c r="AY496" s="1856">
        <f t="shared" si="143"/>
        <v>44614.445833333331</v>
      </c>
      <c r="AZ496" s="1853">
        <v>0.69</v>
      </c>
    </row>
    <row r="497" spans="42:52">
      <c r="AP497" s="1855">
        <f t="shared" si="144"/>
        <v>44614</v>
      </c>
      <c r="AQ497" s="925" t="str">
        <f t="shared" si="145"/>
        <v/>
      </c>
      <c r="AR497" s="1856" t="str">
        <f t="shared" si="146"/>
        <v/>
      </c>
      <c r="AS497" s="927" t="s">
        <v>252</v>
      </c>
      <c r="AT497" s="1856" t="str">
        <f t="shared" si="138"/>
        <v/>
      </c>
      <c r="AU497" s="1856" t="str">
        <f t="shared" si="139"/>
        <v/>
      </c>
      <c r="AV497" s="1856" t="str">
        <f t="shared" si="140"/>
        <v/>
      </c>
      <c r="AW497" s="1856" t="str">
        <f t="shared" si="141"/>
        <v/>
      </c>
      <c r="AX497" s="1856" t="str">
        <f t="shared" si="142"/>
        <v/>
      </c>
      <c r="AY497" s="1856" t="str">
        <f t="shared" si="143"/>
        <v/>
      </c>
    </row>
    <row r="498" spans="42:52">
      <c r="AP498" s="1855">
        <f t="shared" si="144"/>
        <v>44614</v>
      </c>
      <c r="AQ498" s="925" t="str">
        <f t="shared" si="145"/>
        <v/>
      </c>
      <c r="AR498" s="1856" t="str">
        <f t="shared" si="146"/>
        <v/>
      </c>
      <c r="AT498" s="1856" t="str">
        <f t="shared" si="138"/>
        <v/>
      </c>
      <c r="AU498" s="1856" t="str">
        <f t="shared" si="139"/>
        <v/>
      </c>
      <c r="AV498" s="1856" t="str">
        <f t="shared" si="140"/>
        <v/>
      </c>
      <c r="AW498" s="1856" t="str">
        <f t="shared" si="141"/>
        <v/>
      </c>
      <c r="AX498" s="1856" t="str">
        <f t="shared" si="142"/>
        <v/>
      </c>
      <c r="AY498" s="1856" t="str">
        <f t="shared" si="143"/>
        <v/>
      </c>
    </row>
    <row r="499" spans="42:52">
      <c r="AP499" s="1855">
        <f t="shared" si="144"/>
        <v>44614</v>
      </c>
      <c r="AQ499" s="925" t="str">
        <f t="shared" si="145"/>
        <v>BMNT</v>
      </c>
      <c r="AR499" s="1856">
        <f t="shared" si="146"/>
        <v>44614.269444444442</v>
      </c>
      <c r="AS499" s="927" t="s">
        <v>1405</v>
      </c>
      <c r="AT499" s="1856" t="str">
        <f t="shared" si="138"/>
        <v/>
      </c>
      <c r="AU499" s="1856" t="str">
        <f t="shared" si="139"/>
        <v/>
      </c>
      <c r="AV499" s="1856" t="str">
        <f t="shared" si="140"/>
        <v/>
      </c>
      <c r="AW499" s="1856" t="str">
        <f t="shared" si="141"/>
        <v/>
      </c>
      <c r="AX499" s="1856" t="str">
        <f t="shared" si="142"/>
        <v/>
      </c>
      <c r="AY499" s="1856" t="str">
        <f t="shared" si="143"/>
        <v/>
      </c>
    </row>
    <row r="500" spans="42:52">
      <c r="AP500" s="1855">
        <f t="shared" si="144"/>
        <v>44614</v>
      </c>
      <c r="AQ500" s="925" t="str">
        <f t="shared" si="145"/>
        <v>SR</v>
      </c>
      <c r="AR500" s="1856">
        <f t="shared" si="146"/>
        <v>44614.309027777774</v>
      </c>
      <c r="AS500" s="927" t="s">
        <v>1406</v>
      </c>
      <c r="AT500" s="1856" t="str">
        <f t="shared" si="138"/>
        <v/>
      </c>
      <c r="AU500" s="1856" t="str">
        <f t="shared" si="139"/>
        <v/>
      </c>
      <c r="AV500" s="1856" t="str">
        <f t="shared" si="140"/>
        <v/>
      </c>
      <c r="AW500" s="1856" t="str">
        <f t="shared" si="141"/>
        <v/>
      </c>
      <c r="AX500" s="1856" t="str">
        <f t="shared" si="142"/>
        <v/>
      </c>
      <c r="AY500" s="1856" t="str">
        <f t="shared" si="143"/>
        <v/>
      </c>
    </row>
    <row r="501" spans="42:52">
      <c r="AP501" s="1855">
        <f t="shared" si="144"/>
        <v>44614</v>
      </c>
      <c r="AQ501" s="925" t="str">
        <f t="shared" si="145"/>
        <v>MS</v>
      </c>
      <c r="AR501" s="1856">
        <f t="shared" si="146"/>
        <v>44614.445833333331</v>
      </c>
      <c r="AS501" s="927" t="s">
        <v>1407</v>
      </c>
      <c r="AT501" s="1856" t="str">
        <f t="shared" si="138"/>
        <v/>
      </c>
      <c r="AU501" s="1856" t="str">
        <f t="shared" si="139"/>
        <v/>
      </c>
      <c r="AV501" s="1856" t="str">
        <f t="shared" si="140"/>
        <v/>
      </c>
      <c r="AW501" s="1856" t="str">
        <f t="shared" si="141"/>
        <v/>
      </c>
      <c r="AX501" s="1856" t="str">
        <f t="shared" si="142"/>
        <v/>
      </c>
      <c r="AY501" s="1856" t="str">
        <f t="shared" si="143"/>
        <v/>
      </c>
    </row>
    <row r="502" spans="42:52">
      <c r="AP502" s="1855">
        <f t="shared" si="144"/>
        <v>44614</v>
      </c>
      <c r="AQ502" s="925" t="str">
        <f t="shared" si="145"/>
        <v>SS</v>
      </c>
      <c r="AR502" s="1856">
        <f t="shared" si="146"/>
        <v>44614.770138888889</v>
      </c>
      <c r="AS502" s="927" t="s">
        <v>1408</v>
      </c>
      <c r="AT502" s="1856" t="str">
        <f t="shared" si="138"/>
        <v/>
      </c>
      <c r="AU502" s="1856" t="str">
        <f t="shared" si="139"/>
        <v/>
      </c>
      <c r="AV502" s="1856" t="str">
        <f t="shared" si="140"/>
        <v/>
      </c>
      <c r="AW502" s="1856" t="str">
        <f t="shared" si="141"/>
        <v/>
      </c>
      <c r="AX502" s="1856" t="str">
        <f t="shared" si="142"/>
        <v/>
      </c>
      <c r="AY502" s="1856" t="str">
        <f t="shared" si="143"/>
        <v/>
      </c>
    </row>
    <row r="503" spans="42:52">
      <c r="AP503" s="1855">
        <f t="shared" si="144"/>
        <v>44614</v>
      </c>
      <c r="AQ503" s="925" t="str">
        <f t="shared" si="145"/>
        <v>EENT</v>
      </c>
      <c r="AR503" s="1856">
        <f t="shared" si="146"/>
        <v>44614.80972222222</v>
      </c>
      <c r="AS503" s="927" t="s">
        <v>1409</v>
      </c>
      <c r="AT503" s="1856" t="str">
        <f t="shared" si="138"/>
        <v/>
      </c>
      <c r="AU503" s="1856" t="str">
        <f t="shared" si="139"/>
        <v/>
      </c>
      <c r="AV503" s="1856" t="str">
        <f t="shared" si="140"/>
        <v/>
      </c>
      <c r="AW503" s="1856" t="str">
        <f t="shared" si="141"/>
        <v/>
      </c>
      <c r="AX503" s="1856" t="str">
        <f t="shared" si="142"/>
        <v/>
      </c>
      <c r="AY503" s="1856" t="str">
        <f t="shared" si="143"/>
        <v/>
      </c>
    </row>
    <row r="504" spans="42:52">
      <c r="AP504" s="1855">
        <f t="shared" si="144"/>
        <v>44614</v>
      </c>
      <c r="AQ504" s="925" t="str">
        <f t="shared" si="145"/>
        <v>MR</v>
      </c>
      <c r="AR504" s="1856" t="str">
        <f t="shared" si="146"/>
        <v>NONE</v>
      </c>
      <c r="AS504" s="927" t="s">
        <v>1153</v>
      </c>
      <c r="AT504" s="1856" t="str">
        <f t="shared" si="138"/>
        <v/>
      </c>
      <c r="AU504" s="1856" t="str">
        <f t="shared" si="139"/>
        <v/>
      </c>
      <c r="AV504" s="1856" t="str">
        <f t="shared" si="140"/>
        <v/>
      </c>
      <c r="AW504" s="1856" t="str">
        <f t="shared" si="141"/>
        <v/>
      </c>
      <c r="AX504" s="1856" t="str">
        <f t="shared" si="142"/>
        <v/>
      </c>
      <c r="AY504" s="1856" t="str">
        <f t="shared" si="143"/>
        <v/>
      </c>
    </row>
    <row r="505" spans="42:52">
      <c r="AP505" s="1855">
        <f t="shared" si="144"/>
        <v>44615</v>
      </c>
      <c r="AQ505" s="925" t="str">
        <f t="shared" si="145"/>
        <v/>
      </c>
      <c r="AR505" s="1856" t="str">
        <f t="shared" si="146"/>
        <v/>
      </c>
      <c r="AS505" s="927">
        <v>23</v>
      </c>
      <c r="AT505" s="1856">
        <f t="shared" si="138"/>
        <v>44615.268750000003</v>
      </c>
      <c r="AU505" s="1856">
        <f t="shared" si="139"/>
        <v>44615.308333333334</v>
      </c>
      <c r="AV505" s="1856">
        <f t="shared" si="140"/>
        <v>44615.770833333336</v>
      </c>
      <c r="AW505" s="1856">
        <f t="shared" si="141"/>
        <v>44615.810416666667</v>
      </c>
      <c r="AX505" s="1856">
        <f t="shared" si="142"/>
        <v>44615.047916666663</v>
      </c>
      <c r="AY505" s="1856">
        <f t="shared" si="143"/>
        <v>44615.470833333333</v>
      </c>
      <c r="AZ505" s="1853">
        <v>0.57999999999999996</v>
      </c>
    </row>
    <row r="506" spans="42:52">
      <c r="AP506" s="1855">
        <f t="shared" si="144"/>
        <v>44615</v>
      </c>
      <c r="AQ506" s="925" t="str">
        <f t="shared" si="145"/>
        <v/>
      </c>
      <c r="AR506" s="1856" t="str">
        <f t="shared" si="146"/>
        <v/>
      </c>
      <c r="AS506" s="927" t="s">
        <v>252</v>
      </c>
      <c r="AT506" s="1856" t="str">
        <f t="shared" si="138"/>
        <v/>
      </c>
      <c r="AU506" s="1856" t="str">
        <f t="shared" si="139"/>
        <v/>
      </c>
      <c r="AV506" s="1856" t="str">
        <f t="shared" si="140"/>
        <v/>
      </c>
      <c r="AW506" s="1856" t="str">
        <f t="shared" si="141"/>
        <v/>
      </c>
      <c r="AX506" s="1856" t="str">
        <f t="shared" si="142"/>
        <v/>
      </c>
      <c r="AY506" s="1856" t="str">
        <f t="shared" si="143"/>
        <v/>
      </c>
    </row>
    <row r="507" spans="42:52">
      <c r="AP507" s="1855">
        <f t="shared" si="144"/>
        <v>44615</v>
      </c>
      <c r="AQ507" s="925" t="str">
        <f t="shared" si="145"/>
        <v/>
      </c>
      <c r="AR507" s="1856" t="str">
        <f t="shared" si="146"/>
        <v/>
      </c>
      <c r="AT507" s="1856" t="str">
        <f t="shared" si="138"/>
        <v/>
      </c>
      <c r="AU507" s="1856" t="str">
        <f t="shared" si="139"/>
        <v/>
      </c>
      <c r="AV507" s="1856" t="str">
        <f t="shared" si="140"/>
        <v/>
      </c>
      <c r="AW507" s="1856" t="str">
        <f t="shared" si="141"/>
        <v/>
      </c>
      <c r="AX507" s="1856" t="str">
        <f t="shared" si="142"/>
        <v/>
      </c>
      <c r="AY507" s="1856" t="str">
        <f t="shared" si="143"/>
        <v/>
      </c>
    </row>
    <row r="508" spans="42:52">
      <c r="AP508" s="1855">
        <f t="shared" si="144"/>
        <v>44615</v>
      </c>
      <c r="AQ508" s="925" t="str">
        <f t="shared" si="145"/>
        <v>MR</v>
      </c>
      <c r="AR508" s="1856">
        <f t="shared" si="146"/>
        <v>44615.047916666663</v>
      </c>
      <c r="AS508" s="927" t="s">
        <v>1410</v>
      </c>
      <c r="AT508" s="1856" t="str">
        <f t="shared" si="138"/>
        <v/>
      </c>
      <c r="AU508" s="1856" t="str">
        <f t="shared" si="139"/>
        <v/>
      </c>
      <c r="AV508" s="1856" t="str">
        <f t="shared" si="140"/>
        <v/>
      </c>
      <c r="AW508" s="1856" t="str">
        <f t="shared" si="141"/>
        <v/>
      </c>
      <c r="AX508" s="1856" t="str">
        <f t="shared" si="142"/>
        <v/>
      </c>
      <c r="AY508" s="1856" t="str">
        <f t="shared" si="143"/>
        <v/>
      </c>
    </row>
    <row r="509" spans="42:52">
      <c r="AP509" s="1855">
        <f t="shared" si="144"/>
        <v>44615</v>
      </c>
      <c r="AQ509" s="925" t="str">
        <f t="shared" si="145"/>
        <v>BMNT</v>
      </c>
      <c r="AR509" s="1856">
        <f t="shared" si="146"/>
        <v>44615.268750000003</v>
      </c>
      <c r="AS509" s="927" t="s">
        <v>1411</v>
      </c>
      <c r="AT509" s="1856" t="str">
        <f t="shared" si="138"/>
        <v/>
      </c>
      <c r="AU509" s="1856" t="str">
        <f t="shared" si="139"/>
        <v/>
      </c>
      <c r="AV509" s="1856" t="str">
        <f t="shared" si="140"/>
        <v/>
      </c>
      <c r="AW509" s="1856" t="str">
        <f t="shared" si="141"/>
        <v/>
      </c>
      <c r="AX509" s="1856" t="str">
        <f t="shared" si="142"/>
        <v/>
      </c>
      <c r="AY509" s="1856" t="str">
        <f t="shared" si="143"/>
        <v/>
      </c>
    </row>
    <row r="510" spans="42:52">
      <c r="AP510" s="1855">
        <f t="shared" si="144"/>
        <v>44615</v>
      </c>
      <c r="AQ510" s="925" t="str">
        <f t="shared" si="145"/>
        <v>SR</v>
      </c>
      <c r="AR510" s="1856">
        <f t="shared" si="146"/>
        <v>44615.308333333334</v>
      </c>
      <c r="AS510" s="927" t="s">
        <v>1412</v>
      </c>
      <c r="AT510" s="1856" t="str">
        <f t="shared" si="138"/>
        <v/>
      </c>
      <c r="AU510" s="1856" t="str">
        <f t="shared" si="139"/>
        <v/>
      </c>
      <c r="AV510" s="1856" t="str">
        <f t="shared" si="140"/>
        <v/>
      </c>
      <c r="AW510" s="1856" t="str">
        <f t="shared" si="141"/>
        <v/>
      </c>
      <c r="AX510" s="1856" t="str">
        <f t="shared" si="142"/>
        <v/>
      </c>
      <c r="AY510" s="1856" t="str">
        <f t="shared" si="143"/>
        <v/>
      </c>
    </row>
    <row r="511" spans="42:52">
      <c r="AP511" s="1855">
        <f t="shared" si="144"/>
        <v>44615</v>
      </c>
      <c r="AQ511" s="925" t="str">
        <f t="shared" si="145"/>
        <v>MS</v>
      </c>
      <c r="AR511" s="1856">
        <f t="shared" si="146"/>
        <v>44615.470833333333</v>
      </c>
      <c r="AS511" s="927" t="s">
        <v>1413</v>
      </c>
      <c r="AT511" s="1856" t="str">
        <f t="shared" si="138"/>
        <v/>
      </c>
      <c r="AU511" s="1856" t="str">
        <f t="shared" si="139"/>
        <v/>
      </c>
      <c r="AV511" s="1856" t="str">
        <f t="shared" si="140"/>
        <v/>
      </c>
      <c r="AW511" s="1856" t="str">
        <f t="shared" si="141"/>
        <v/>
      </c>
      <c r="AX511" s="1856" t="str">
        <f t="shared" si="142"/>
        <v/>
      </c>
      <c r="AY511" s="1856" t="str">
        <f t="shared" si="143"/>
        <v/>
      </c>
    </row>
    <row r="512" spans="42:52">
      <c r="AP512" s="1855">
        <f t="shared" si="144"/>
        <v>44615</v>
      </c>
      <c r="AQ512" s="925" t="str">
        <f t="shared" si="145"/>
        <v>SS</v>
      </c>
      <c r="AR512" s="1856">
        <f t="shared" si="146"/>
        <v>44615.770833333336</v>
      </c>
      <c r="AS512" s="927" t="s">
        <v>1414</v>
      </c>
      <c r="AT512" s="1856" t="str">
        <f t="shared" si="138"/>
        <v/>
      </c>
      <c r="AU512" s="1856" t="str">
        <f t="shared" si="139"/>
        <v/>
      </c>
      <c r="AV512" s="1856" t="str">
        <f t="shared" si="140"/>
        <v/>
      </c>
      <c r="AW512" s="1856" t="str">
        <f t="shared" si="141"/>
        <v/>
      </c>
      <c r="AX512" s="1856" t="str">
        <f t="shared" si="142"/>
        <v/>
      </c>
      <c r="AY512" s="1856" t="str">
        <f t="shared" si="143"/>
        <v/>
      </c>
    </row>
    <row r="513" spans="42:52">
      <c r="AP513" s="1855">
        <f t="shared" si="144"/>
        <v>44615</v>
      </c>
      <c r="AQ513" s="925" t="str">
        <f t="shared" si="145"/>
        <v>EENT</v>
      </c>
      <c r="AR513" s="1856">
        <f t="shared" si="146"/>
        <v>44615.810416666667</v>
      </c>
      <c r="AS513" s="927" t="s">
        <v>1415</v>
      </c>
      <c r="AT513" s="1856" t="str">
        <f t="shared" si="138"/>
        <v/>
      </c>
      <c r="AU513" s="1856" t="str">
        <f t="shared" si="139"/>
        <v/>
      </c>
      <c r="AV513" s="1856" t="str">
        <f t="shared" si="140"/>
        <v/>
      </c>
      <c r="AW513" s="1856" t="str">
        <f t="shared" si="141"/>
        <v/>
      </c>
      <c r="AX513" s="1856" t="str">
        <f t="shared" si="142"/>
        <v/>
      </c>
      <c r="AY513" s="1856" t="str">
        <f t="shared" si="143"/>
        <v/>
      </c>
    </row>
    <row r="514" spans="42:52">
      <c r="AP514" s="1855">
        <f t="shared" si="144"/>
        <v>44616</v>
      </c>
      <c r="AQ514" s="925" t="str">
        <f t="shared" si="145"/>
        <v/>
      </c>
      <c r="AR514" s="1856" t="str">
        <f t="shared" si="146"/>
        <v/>
      </c>
      <c r="AS514" s="927">
        <v>24</v>
      </c>
      <c r="AT514" s="1856">
        <f t="shared" si="138"/>
        <v>44616.268055555556</v>
      </c>
      <c r="AU514" s="1856">
        <f t="shared" si="139"/>
        <v>44616.307638888888</v>
      </c>
      <c r="AV514" s="1856">
        <f t="shared" si="140"/>
        <v>44616.771527777775</v>
      </c>
      <c r="AW514" s="1856">
        <f t="shared" si="141"/>
        <v>44616.811111111107</v>
      </c>
      <c r="AX514" s="1856">
        <f t="shared" si="142"/>
        <v>44616.097916666666</v>
      </c>
      <c r="AY514" s="1856">
        <f t="shared" si="143"/>
        <v>44616.501388888886</v>
      </c>
      <c r="AZ514" s="1853">
        <v>0.47</v>
      </c>
    </row>
    <row r="515" spans="42:52">
      <c r="AP515" s="1855">
        <f t="shared" si="144"/>
        <v>44616</v>
      </c>
      <c r="AQ515" s="925" t="str">
        <f t="shared" si="145"/>
        <v/>
      </c>
      <c r="AR515" s="1856" t="str">
        <f t="shared" si="146"/>
        <v/>
      </c>
      <c r="AS515" s="927" t="s">
        <v>252</v>
      </c>
      <c r="AT515" s="1856" t="str">
        <f t="shared" si="138"/>
        <v/>
      </c>
      <c r="AU515" s="1856" t="str">
        <f t="shared" si="139"/>
        <v/>
      </c>
      <c r="AV515" s="1856" t="str">
        <f t="shared" si="140"/>
        <v/>
      </c>
      <c r="AW515" s="1856" t="str">
        <f t="shared" si="141"/>
        <v/>
      </c>
      <c r="AX515" s="1856" t="str">
        <f t="shared" si="142"/>
        <v/>
      </c>
      <c r="AY515" s="1856" t="str">
        <f t="shared" si="143"/>
        <v/>
      </c>
    </row>
    <row r="516" spans="42:52">
      <c r="AP516" s="1855">
        <f t="shared" si="144"/>
        <v>44616</v>
      </c>
      <c r="AQ516" s="925" t="str">
        <f t="shared" si="145"/>
        <v/>
      </c>
      <c r="AR516" s="1856" t="str">
        <f t="shared" si="146"/>
        <v/>
      </c>
      <c r="AT516" s="1856" t="str">
        <f t="shared" si="138"/>
        <v/>
      </c>
      <c r="AU516" s="1856" t="str">
        <f t="shared" si="139"/>
        <v/>
      </c>
      <c r="AV516" s="1856" t="str">
        <f t="shared" si="140"/>
        <v/>
      </c>
      <c r="AW516" s="1856" t="str">
        <f t="shared" si="141"/>
        <v/>
      </c>
      <c r="AX516" s="1856" t="str">
        <f t="shared" si="142"/>
        <v/>
      </c>
      <c r="AY516" s="1856" t="str">
        <f t="shared" si="143"/>
        <v/>
      </c>
    </row>
    <row r="517" spans="42:52">
      <c r="AP517" s="1855">
        <f t="shared" si="144"/>
        <v>44616</v>
      </c>
      <c r="AQ517" s="925" t="str">
        <f t="shared" si="145"/>
        <v>MR</v>
      </c>
      <c r="AR517" s="1856">
        <f t="shared" si="146"/>
        <v>44616.097916666666</v>
      </c>
      <c r="AS517" s="927" t="s">
        <v>1416</v>
      </c>
      <c r="AT517" s="1856" t="str">
        <f t="shared" si="138"/>
        <v/>
      </c>
      <c r="AU517" s="1856" t="str">
        <f t="shared" si="139"/>
        <v/>
      </c>
      <c r="AV517" s="1856" t="str">
        <f t="shared" si="140"/>
        <v/>
      </c>
      <c r="AW517" s="1856" t="str">
        <f t="shared" si="141"/>
        <v/>
      </c>
      <c r="AX517" s="1856" t="str">
        <f t="shared" si="142"/>
        <v/>
      </c>
      <c r="AY517" s="1856" t="str">
        <f t="shared" si="143"/>
        <v/>
      </c>
    </row>
    <row r="518" spans="42:52">
      <c r="AP518" s="1855">
        <f t="shared" si="144"/>
        <v>44616</v>
      </c>
      <c r="AQ518" s="925" t="str">
        <f t="shared" si="145"/>
        <v>BMNT</v>
      </c>
      <c r="AR518" s="1856">
        <f t="shared" si="146"/>
        <v>44616.268055555556</v>
      </c>
      <c r="AS518" s="927" t="s">
        <v>1417</v>
      </c>
      <c r="AT518" s="1856" t="str">
        <f t="shared" si="138"/>
        <v/>
      </c>
      <c r="AU518" s="1856" t="str">
        <f t="shared" si="139"/>
        <v/>
      </c>
      <c r="AV518" s="1856" t="str">
        <f t="shared" si="140"/>
        <v/>
      </c>
      <c r="AW518" s="1856" t="str">
        <f t="shared" si="141"/>
        <v/>
      </c>
      <c r="AX518" s="1856" t="str">
        <f t="shared" si="142"/>
        <v/>
      </c>
      <c r="AY518" s="1856" t="str">
        <f t="shared" si="143"/>
        <v/>
      </c>
    </row>
    <row r="519" spans="42:52">
      <c r="AP519" s="1855">
        <f t="shared" si="144"/>
        <v>44616</v>
      </c>
      <c r="AQ519" s="925" t="str">
        <f t="shared" si="145"/>
        <v>SR</v>
      </c>
      <c r="AR519" s="1856">
        <f t="shared" si="146"/>
        <v>44616.307638888888</v>
      </c>
      <c r="AS519" s="927" t="s">
        <v>1418</v>
      </c>
      <c r="AT519" s="1856" t="str">
        <f t="shared" si="138"/>
        <v/>
      </c>
      <c r="AU519" s="1856" t="str">
        <f t="shared" si="139"/>
        <v/>
      </c>
      <c r="AV519" s="1856" t="str">
        <f t="shared" si="140"/>
        <v/>
      </c>
      <c r="AW519" s="1856" t="str">
        <f t="shared" si="141"/>
        <v/>
      </c>
      <c r="AX519" s="1856" t="str">
        <f t="shared" si="142"/>
        <v/>
      </c>
      <c r="AY519" s="1856" t="str">
        <f t="shared" si="143"/>
        <v/>
      </c>
    </row>
    <row r="520" spans="42:52">
      <c r="AP520" s="1855">
        <f t="shared" si="144"/>
        <v>44616</v>
      </c>
      <c r="AQ520" s="925" t="str">
        <f t="shared" si="145"/>
        <v>MS</v>
      </c>
      <c r="AR520" s="1856">
        <f t="shared" si="146"/>
        <v>44616.501388888886</v>
      </c>
      <c r="AS520" s="927" t="s">
        <v>1419</v>
      </c>
      <c r="AT520" s="1856" t="str">
        <f t="shared" si="138"/>
        <v/>
      </c>
      <c r="AU520" s="1856" t="str">
        <f t="shared" si="139"/>
        <v/>
      </c>
      <c r="AV520" s="1856" t="str">
        <f t="shared" si="140"/>
        <v/>
      </c>
      <c r="AW520" s="1856" t="str">
        <f t="shared" si="141"/>
        <v/>
      </c>
      <c r="AX520" s="1856" t="str">
        <f t="shared" si="142"/>
        <v/>
      </c>
      <c r="AY520" s="1856" t="str">
        <f t="shared" si="143"/>
        <v/>
      </c>
    </row>
    <row r="521" spans="42:52">
      <c r="AP521" s="1855">
        <f t="shared" si="144"/>
        <v>44616</v>
      </c>
      <c r="AQ521" s="925" t="str">
        <f t="shared" si="145"/>
        <v>SS</v>
      </c>
      <c r="AR521" s="1856">
        <f t="shared" si="146"/>
        <v>44616.771527777775</v>
      </c>
      <c r="AS521" s="927" t="s">
        <v>1420</v>
      </c>
      <c r="AT521" s="1856" t="str">
        <f t="shared" si="138"/>
        <v/>
      </c>
      <c r="AU521" s="1856" t="str">
        <f t="shared" si="139"/>
        <v/>
      </c>
      <c r="AV521" s="1856" t="str">
        <f t="shared" si="140"/>
        <v/>
      </c>
      <c r="AW521" s="1856" t="str">
        <f t="shared" si="141"/>
        <v/>
      </c>
      <c r="AX521" s="1856" t="str">
        <f t="shared" si="142"/>
        <v/>
      </c>
      <c r="AY521" s="1856" t="str">
        <f t="shared" si="143"/>
        <v/>
      </c>
    </row>
    <row r="522" spans="42:52">
      <c r="AP522" s="1855">
        <f t="shared" si="144"/>
        <v>44616</v>
      </c>
      <c r="AQ522" s="925" t="str">
        <f t="shared" si="145"/>
        <v>EENT</v>
      </c>
      <c r="AR522" s="1856">
        <f t="shared" si="146"/>
        <v>44616.811111111107</v>
      </c>
      <c r="AS522" s="927" t="s">
        <v>1421</v>
      </c>
      <c r="AT522" s="1856" t="str">
        <f t="shared" si="138"/>
        <v/>
      </c>
      <c r="AU522" s="1856" t="str">
        <f t="shared" si="139"/>
        <v/>
      </c>
      <c r="AV522" s="1856" t="str">
        <f t="shared" si="140"/>
        <v/>
      </c>
      <c r="AW522" s="1856" t="str">
        <f t="shared" si="141"/>
        <v/>
      </c>
      <c r="AX522" s="1856" t="str">
        <f t="shared" si="142"/>
        <v/>
      </c>
      <c r="AY522" s="1856" t="str">
        <f t="shared" si="143"/>
        <v/>
      </c>
    </row>
    <row r="523" spans="42:52">
      <c r="AP523" s="1855">
        <f t="shared" si="144"/>
        <v>44617</v>
      </c>
      <c r="AQ523" s="925" t="str">
        <f t="shared" si="145"/>
        <v/>
      </c>
      <c r="AR523" s="1856" t="str">
        <f t="shared" si="146"/>
        <v/>
      </c>
      <c r="AS523" s="927">
        <v>25</v>
      </c>
      <c r="AT523" s="1856">
        <f t="shared" si="138"/>
        <v>44617.26666666667</v>
      </c>
      <c r="AU523" s="1856">
        <f t="shared" si="139"/>
        <v>44617.306944444441</v>
      </c>
      <c r="AV523" s="1856">
        <f t="shared" si="140"/>
        <v>44617.772222222222</v>
      </c>
      <c r="AW523" s="1856">
        <f t="shared" si="141"/>
        <v>44617.811805555553</v>
      </c>
      <c r="AX523" s="1856">
        <f t="shared" si="142"/>
        <v>44617.147222222222</v>
      </c>
      <c r="AY523" s="1856">
        <f t="shared" si="143"/>
        <v>44617.538194444445</v>
      </c>
      <c r="AZ523" s="1853">
        <v>0.36</v>
      </c>
    </row>
    <row r="524" spans="42:52">
      <c r="AP524" s="1855">
        <f t="shared" si="144"/>
        <v>44617</v>
      </c>
      <c r="AQ524" s="925" t="str">
        <f t="shared" si="145"/>
        <v/>
      </c>
      <c r="AR524" s="1856" t="str">
        <f t="shared" si="146"/>
        <v/>
      </c>
      <c r="AS524" s="927" t="s">
        <v>252</v>
      </c>
      <c r="AT524" s="1856" t="str">
        <f t="shared" si="138"/>
        <v/>
      </c>
      <c r="AU524" s="1856" t="str">
        <f t="shared" si="139"/>
        <v/>
      </c>
      <c r="AV524" s="1856" t="str">
        <f t="shared" si="140"/>
        <v/>
      </c>
      <c r="AW524" s="1856" t="str">
        <f t="shared" si="141"/>
        <v/>
      </c>
      <c r="AX524" s="1856" t="str">
        <f t="shared" si="142"/>
        <v/>
      </c>
      <c r="AY524" s="1856" t="str">
        <f t="shared" si="143"/>
        <v/>
      </c>
    </row>
    <row r="525" spans="42:52">
      <c r="AP525" s="1855">
        <f t="shared" si="144"/>
        <v>44617</v>
      </c>
      <c r="AQ525" s="925" t="str">
        <f t="shared" si="145"/>
        <v/>
      </c>
      <c r="AR525" s="1856" t="str">
        <f t="shared" si="146"/>
        <v/>
      </c>
      <c r="AT525" s="1856" t="str">
        <f t="shared" si="138"/>
        <v/>
      </c>
      <c r="AU525" s="1856" t="str">
        <f t="shared" si="139"/>
        <v/>
      </c>
      <c r="AV525" s="1856" t="str">
        <f t="shared" si="140"/>
        <v/>
      </c>
      <c r="AW525" s="1856" t="str">
        <f t="shared" si="141"/>
        <v/>
      </c>
      <c r="AX525" s="1856" t="str">
        <f t="shared" si="142"/>
        <v/>
      </c>
      <c r="AY525" s="1856" t="str">
        <f t="shared" si="143"/>
        <v/>
      </c>
    </row>
    <row r="526" spans="42:52">
      <c r="AP526" s="1855">
        <f t="shared" si="144"/>
        <v>44617</v>
      </c>
      <c r="AQ526" s="925" t="str">
        <f t="shared" si="145"/>
        <v>MR</v>
      </c>
      <c r="AR526" s="1856">
        <f t="shared" si="146"/>
        <v>44617.147222222222</v>
      </c>
      <c r="AS526" s="927" t="s">
        <v>1422</v>
      </c>
      <c r="AT526" s="1856" t="str">
        <f t="shared" si="138"/>
        <v/>
      </c>
      <c r="AU526" s="1856" t="str">
        <f t="shared" si="139"/>
        <v/>
      </c>
      <c r="AV526" s="1856" t="str">
        <f t="shared" si="140"/>
        <v/>
      </c>
      <c r="AW526" s="1856" t="str">
        <f t="shared" si="141"/>
        <v/>
      </c>
      <c r="AX526" s="1856" t="str">
        <f t="shared" si="142"/>
        <v/>
      </c>
      <c r="AY526" s="1856" t="str">
        <f t="shared" si="143"/>
        <v/>
      </c>
    </row>
    <row r="527" spans="42:52">
      <c r="AP527" s="1855">
        <f t="shared" si="144"/>
        <v>44617</v>
      </c>
      <c r="AQ527" s="925" t="str">
        <f t="shared" si="145"/>
        <v>BMNT</v>
      </c>
      <c r="AR527" s="1856">
        <f t="shared" si="146"/>
        <v>44617.26666666667</v>
      </c>
      <c r="AS527" s="927" t="s">
        <v>1423</v>
      </c>
      <c r="AT527" s="1856" t="str">
        <f t="shared" si="138"/>
        <v/>
      </c>
      <c r="AU527" s="1856" t="str">
        <f t="shared" si="139"/>
        <v/>
      </c>
      <c r="AV527" s="1856" t="str">
        <f t="shared" si="140"/>
        <v/>
      </c>
      <c r="AW527" s="1856" t="str">
        <f t="shared" si="141"/>
        <v/>
      </c>
      <c r="AX527" s="1856" t="str">
        <f t="shared" si="142"/>
        <v/>
      </c>
      <c r="AY527" s="1856" t="str">
        <f t="shared" si="143"/>
        <v/>
      </c>
    </row>
    <row r="528" spans="42:52">
      <c r="AP528" s="1855">
        <f t="shared" si="144"/>
        <v>44617</v>
      </c>
      <c r="AQ528" s="925" t="str">
        <f t="shared" si="145"/>
        <v>SR</v>
      </c>
      <c r="AR528" s="1856">
        <f t="shared" si="146"/>
        <v>44617.306944444441</v>
      </c>
      <c r="AS528" s="927" t="s">
        <v>1424</v>
      </c>
      <c r="AT528" s="1856" t="str">
        <f t="shared" si="138"/>
        <v/>
      </c>
      <c r="AU528" s="1856" t="str">
        <f t="shared" si="139"/>
        <v/>
      </c>
      <c r="AV528" s="1856" t="str">
        <f t="shared" si="140"/>
        <v/>
      </c>
      <c r="AW528" s="1856" t="str">
        <f t="shared" si="141"/>
        <v/>
      </c>
      <c r="AX528" s="1856" t="str">
        <f t="shared" si="142"/>
        <v/>
      </c>
      <c r="AY528" s="1856" t="str">
        <f t="shared" si="143"/>
        <v/>
      </c>
    </row>
    <row r="529" spans="42:52">
      <c r="AP529" s="1855">
        <f t="shared" si="144"/>
        <v>44617</v>
      </c>
      <c r="AQ529" s="925" t="str">
        <f t="shared" si="145"/>
        <v>MS</v>
      </c>
      <c r="AR529" s="1856">
        <f t="shared" si="146"/>
        <v>44617.538194444445</v>
      </c>
      <c r="AS529" s="927" t="s">
        <v>1425</v>
      </c>
      <c r="AT529" s="1856" t="str">
        <f t="shared" si="138"/>
        <v/>
      </c>
      <c r="AU529" s="1856" t="str">
        <f t="shared" si="139"/>
        <v/>
      </c>
      <c r="AV529" s="1856" t="str">
        <f t="shared" si="140"/>
        <v/>
      </c>
      <c r="AW529" s="1856" t="str">
        <f t="shared" si="141"/>
        <v/>
      </c>
      <c r="AX529" s="1856" t="str">
        <f t="shared" si="142"/>
        <v/>
      </c>
      <c r="AY529" s="1856" t="str">
        <f t="shared" si="143"/>
        <v/>
      </c>
    </row>
    <row r="530" spans="42:52">
      <c r="AP530" s="1855">
        <f t="shared" si="144"/>
        <v>44617</v>
      </c>
      <c r="AQ530" s="925" t="str">
        <f t="shared" si="145"/>
        <v>SS</v>
      </c>
      <c r="AR530" s="1856">
        <f t="shared" si="146"/>
        <v>44617.772222222222</v>
      </c>
      <c r="AS530" s="927" t="s">
        <v>1426</v>
      </c>
      <c r="AT530" s="1856" t="str">
        <f t="shared" si="138"/>
        <v/>
      </c>
      <c r="AU530" s="1856" t="str">
        <f t="shared" si="139"/>
        <v/>
      </c>
      <c r="AV530" s="1856" t="str">
        <f t="shared" si="140"/>
        <v/>
      </c>
      <c r="AW530" s="1856" t="str">
        <f t="shared" si="141"/>
        <v/>
      </c>
      <c r="AX530" s="1856" t="str">
        <f t="shared" si="142"/>
        <v/>
      </c>
      <c r="AY530" s="1856" t="str">
        <f t="shared" si="143"/>
        <v/>
      </c>
    </row>
    <row r="531" spans="42:52">
      <c r="AP531" s="1855">
        <f t="shared" si="144"/>
        <v>44617</v>
      </c>
      <c r="AQ531" s="925" t="str">
        <f t="shared" si="145"/>
        <v>EENT</v>
      </c>
      <c r="AR531" s="1856">
        <f t="shared" si="146"/>
        <v>44617.811805555553</v>
      </c>
      <c r="AS531" s="927" t="s">
        <v>1427</v>
      </c>
      <c r="AT531" s="1856" t="str">
        <f t="shared" si="138"/>
        <v/>
      </c>
      <c r="AU531" s="1856" t="str">
        <f t="shared" si="139"/>
        <v/>
      </c>
      <c r="AV531" s="1856" t="str">
        <f t="shared" si="140"/>
        <v/>
      </c>
      <c r="AW531" s="1856" t="str">
        <f t="shared" si="141"/>
        <v/>
      </c>
      <c r="AX531" s="1856" t="str">
        <f t="shared" si="142"/>
        <v/>
      </c>
      <c r="AY531" s="1856" t="str">
        <f t="shared" si="143"/>
        <v/>
      </c>
    </row>
    <row r="532" spans="42:52">
      <c r="AP532" s="1855">
        <f t="shared" si="144"/>
        <v>44618</v>
      </c>
      <c r="AQ532" s="925" t="str">
        <f t="shared" si="145"/>
        <v/>
      </c>
      <c r="AR532" s="1856" t="str">
        <f t="shared" si="146"/>
        <v/>
      </c>
      <c r="AS532" s="927">
        <v>26</v>
      </c>
      <c r="AT532" s="1856">
        <f t="shared" si="138"/>
        <v>44618.265972222223</v>
      </c>
      <c r="AU532" s="1856">
        <f t="shared" si="139"/>
        <v>44618.305555555555</v>
      </c>
      <c r="AV532" s="1856">
        <f t="shared" si="140"/>
        <v>44618.772916666669</v>
      </c>
      <c r="AW532" s="1856">
        <f t="shared" si="141"/>
        <v>44618.8125</v>
      </c>
      <c r="AX532" s="1856">
        <f t="shared" si="142"/>
        <v>44618.193055555552</v>
      </c>
      <c r="AY532" s="1856">
        <f t="shared" si="143"/>
        <v>44618.581944444442</v>
      </c>
      <c r="AZ532" s="1853">
        <v>0.25</v>
      </c>
    </row>
    <row r="533" spans="42:52">
      <c r="AP533" s="1855">
        <f t="shared" si="144"/>
        <v>44618</v>
      </c>
      <c r="AQ533" s="925" t="str">
        <f t="shared" si="145"/>
        <v/>
      </c>
      <c r="AR533" s="1856" t="str">
        <f t="shared" si="146"/>
        <v/>
      </c>
      <c r="AS533" s="927" t="s">
        <v>252</v>
      </c>
      <c r="AT533" s="1856" t="str">
        <f t="shared" si="138"/>
        <v/>
      </c>
      <c r="AU533" s="1856" t="str">
        <f t="shared" si="139"/>
        <v/>
      </c>
      <c r="AV533" s="1856" t="str">
        <f t="shared" si="140"/>
        <v/>
      </c>
      <c r="AW533" s="1856" t="str">
        <f t="shared" si="141"/>
        <v/>
      </c>
      <c r="AX533" s="1856" t="str">
        <f t="shared" si="142"/>
        <v/>
      </c>
      <c r="AY533" s="1856" t="str">
        <f t="shared" si="143"/>
        <v/>
      </c>
    </row>
    <row r="534" spans="42:52">
      <c r="AP534" s="1855">
        <f t="shared" si="144"/>
        <v>44618</v>
      </c>
      <c r="AQ534" s="925" t="str">
        <f t="shared" si="145"/>
        <v/>
      </c>
      <c r="AR534" s="1856" t="str">
        <f t="shared" si="146"/>
        <v/>
      </c>
      <c r="AT534" s="1856" t="str">
        <f t="shared" si="138"/>
        <v/>
      </c>
      <c r="AU534" s="1856" t="str">
        <f t="shared" si="139"/>
        <v/>
      </c>
      <c r="AV534" s="1856" t="str">
        <f t="shared" si="140"/>
        <v/>
      </c>
      <c r="AW534" s="1856" t="str">
        <f t="shared" si="141"/>
        <v/>
      </c>
      <c r="AX534" s="1856" t="str">
        <f t="shared" si="142"/>
        <v/>
      </c>
      <c r="AY534" s="1856" t="str">
        <f t="shared" si="143"/>
        <v/>
      </c>
    </row>
    <row r="535" spans="42:52">
      <c r="AP535" s="1855">
        <f t="shared" si="144"/>
        <v>44618</v>
      </c>
      <c r="AQ535" s="925" t="str">
        <f t="shared" si="145"/>
        <v>MR</v>
      </c>
      <c r="AR535" s="1856">
        <f t="shared" si="146"/>
        <v>44618.193055555552</v>
      </c>
      <c r="AS535" s="927" t="s">
        <v>1428</v>
      </c>
      <c r="AT535" s="1856" t="str">
        <f t="shared" si="138"/>
        <v/>
      </c>
      <c r="AU535" s="1856" t="str">
        <f t="shared" si="139"/>
        <v/>
      </c>
      <c r="AV535" s="1856" t="str">
        <f t="shared" si="140"/>
        <v/>
      </c>
      <c r="AW535" s="1856" t="str">
        <f t="shared" si="141"/>
        <v/>
      </c>
      <c r="AX535" s="1856" t="str">
        <f t="shared" si="142"/>
        <v/>
      </c>
      <c r="AY535" s="1856" t="str">
        <f t="shared" si="143"/>
        <v/>
      </c>
    </row>
    <row r="536" spans="42:52">
      <c r="AP536" s="1855">
        <f t="shared" si="144"/>
        <v>44618</v>
      </c>
      <c r="AQ536" s="925" t="str">
        <f t="shared" si="145"/>
        <v>BMNT</v>
      </c>
      <c r="AR536" s="1856">
        <f t="shared" si="146"/>
        <v>44618.265972222223</v>
      </c>
      <c r="AS536" s="927" t="s">
        <v>1429</v>
      </c>
      <c r="AT536" s="1856" t="str">
        <f t="shared" si="138"/>
        <v/>
      </c>
      <c r="AU536" s="1856" t="str">
        <f t="shared" si="139"/>
        <v/>
      </c>
      <c r="AV536" s="1856" t="str">
        <f t="shared" si="140"/>
        <v/>
      </c>
      <c r="AW536" s="1856" t="str">
        <f t="shared" si="141"/>
        <v/>
      </c>
      <c r="AX536" s="1856" t="str">
        <f t="shared" si="142"/>
        <v/>
      </c>
      <c r="AY536" s="1856" t="str">
        <f t="shared" si="143"/>
        <v/>
      </c>
    </row>
    <row r="537" spans="42:52">
      <c r="AP537" s="1855">
        <f t="shared" si="144"/>
        <v>44618</v>
      </c>
      <c r="AQ537" s="925" t="str">
        <f t="shared" si="145"/>
        <v>SR</v>
      </c>
      <c r="AR537" s="1856">
        <f t="shared" si="146"/>
        <v>44618.305555555555</v>
      </c>
      <c r="AS537" s="927" t="s">
        <v>1430</v>
      </c>
      <c r="AT537" s="1856" t="str">
        <f t="shared" si="138"/>
        <v/>
      </c>
      <c r="AU537" s="1856" t="str">
        <f t="shared" si="139"/>
        <v/>
      </c>
      <c r="AV537" s="1856" t="str">
        <f t="shared" si="140"/>
        <v/>
      </c>
      <c r="AW537" s="1856" t="str">
        <f t="shared" si="141"/>
        <v/>
      </c>
      <c r="AX537" s="1856" t="str">
        <f t="shared" si="142"/>
        <v/>
      </c>
      <c r="AY537" s="1856" t="str">
        <f t="shared" si="143"/>
        <v/>
      </c>
    </row>
    <row r="538" spans="42:52">
      <c r="AP538" s="1855">
        <f t="shared" si="144"/>
        <v>44618</v>
      </c>
      <c r="AQ538" s="925" t="str">
        <f t="shared" si="145"/>
        <v>MS</v>
      </c>
      <c r="AR538" s="1856">
        <f t="shared" si="146"/>
        <v>44618.581944444442</v>
      </c>
      <c r="AS538" s="927" t="s">
        <v>1431</v>
      </c>
      <c r="AT538" s="1856" t="str">
        <f t="shared" si="138"/>
        <v/>
      </c>
      <c r="AU538" s="1856" t="str">
        <f t="shared" si="139"/>
        <v/>
      </c>
      <c r="AV538" s="1856" t="str">
        <f t="shared" si="140"/>
        <v/>
      </c>
      <c r="AW538" s="1856" t="str">
        <f t="shared" si="141"/>
        <v/>
      </c>
      <c r="AX538" s="1856" t="str">
        <f t="shared" si="142"/>
        <v/>
      </c>
      <c r="AY538" s="1856" t="str">
        <f t="shared" si="143"/>
        <v/>
      </c>
    </row>
    <row r="539" spans="42:52">
      <c r="AP539" s="1855">
        <f t="shared" si="144"/>
        <v>44618</v>
      </c>
      <c r="AQ539" s="925" t="str">
        <f t="shared" si="145"/>
        <v>SS</v>
      </c>
      <c r="AR539" s="1856">
        <f t="shared" si="146"/>
        <v>44618.772916666669</v>
      </c>
      <c r="AS539" s="927" t="s">
        <v>1432</v>
      </c>
      <c r="AT539" s="1856" t="str">
        <f t="shared" si="138"/>
        <v/>
      </c>
      <c r="AU539" s="1856" t="str">
        <f t="shared" si="139"/>
        <v/>
      </c>
      <c r="AV539" s="1856" t="str">
        <f t="shared" si="140"/>
        <v/>
      </c>
      <c r="AW539" s="1856" t="str">
        <f t="shared" si="141"/>
        <v/>
      </c>
      <c r="AX539" s="1856" t="str">
        <f t="shared" si="142"/>
        <v/>
      </c>
      <c r="AY539" s="1856" t="str">
        <f t="shared" si="143"/>
        <v/>
      </c>
    </row>
    <row r="540" spans="42:52">
      <c r="AP540" s="1855">
        <f t="shared" si="144"/>
        <v>44618</v>
      </c>
      <c r="AQ540" s="925" t="str">
        <f t="shared" si="145"/>
        <v>EENT</v>
      </c>
      <c r="AR540" s="1856">
        <f t="shared" si="146"/>
        <v>44618.8125</v>
      </c>
      <c r="AS540" s="927" t="s">
        <v>1433</v>
      </c>
      <c r="AT540" s="1856" t="str">
        <f t="shared" ref="AT540:AT603" si="147">IF(ISNUMBER(AS540),INDEX(AR541:AR551,MATCH($AT$27,AQ541:AQ551,0)),"")</f>
        <v/>
      </c>
      <c r="AU540" s="1856" t="str">
        <f t="shared" ref="AU540:AU603" si="148">IF(AT540="","",INDEX(AR541:AR551,MATCH($AU$27,AQ541:AQ551,0)))</f>
        <v/>
      </c>
      <c r="AV540" s="1856" t="str">
        <f t="shared" ref="AV540:AV603" si="149">IF(AT540="","",INDEX(AR541:AR551,MATCH($AV$27,AQ541:AQ551,0)))</f>
        <v/>
      </c>
      <c r="AW540" s="1856" t="str">
        <f t="shared" ref="AW540:AW603" si="150">IF(AT540="","",INDEX(AR541:AR551,MATCH($AW$27,AQ541:AQ551,0)))</f>
        <v/>
      </c>
      <c r="AX540" s="1856" t="str">
        <f t="shared" ref="AX540:AX603" si="151">IF(AT540="","",INDEX(AR541:AR551,MATCH($AX$27,AQ541:AQ551,0)))</f>
        <v/>
      </c>
      <c r="AY540" s="1856" t="str">
        <f t="shared" ref="AY540:AY603" si="152">IF(AT540="","",INDEX(AR541:AR551,MATCH($AY$27,AQ541:AQ551,0)))</f>
        <v/>
      </c>
    </row>
    <row r="541" spans="42:52">
      <c r="AP541" s="1855">
        <f t="shared" si="144"/>
        <v>44619</v>
      </c>
      <c r="AQ541" s="925" t="str">
        <f t="shared" si="145"/>
        <v/>
      </c>
      <c r="AR541" s="1856" t="str">
        <f t="shared" si="146"/>
        <v/>
      </c>
      <c r="AS541" s="927">
        <v>27</v>
      </c>
      <c r="AT541" s="1856">
        <f t="shared" si="147"/>
        <v>44619.265277777777</v>
      </c>
      <c r="AU541" s="1856">
        <f t="shared" si="148"/>
        <v>44619.304861111108</v>
      </c>
      <c r="AV541" s="1856">
        <f t="shared" si="149"/>
        <v>44619.773611111108</v>
      </c>
      <c r="AW541" s="1856">
        <f t="shared" si="150"/>
        <v>44619.813194444439</v>
      </c>
      <c r="AX541" s="1856">
        <f t="shared" si="151"/>
        <v>44619.232638888891</v>
      </c>
      <c r="AY541" s="1856">
        <f t="shared" si="152"/>
        <v>44619.629861111112</v>
      </c>
      <c r="AZ541" s="1853">
        <v>0.16</v>
      </c>
    </row>
    <row r="542" spans="42:52">
      <c r="AP542" s="1855">
        <f t="shared" si="144"/>
        <v>44619</v>
      </c>
      <c r="AQ542" s="925" t="str">
        <f t="shared" si="145"/>
        <v/>
      </c>
      <c r="AR542" s="1856" t="str">
        <f t="shared" si="146"/>
        <v/>
      </c>
      <c r="AS542" s="927" t="s">
        <v>252</v>
      </c>
      <c r="AT542" s="1856" t="str">
        <f t="shared" si="147"/>
        <v/>
      </c>
      <c r="AU542" s="1856" t="str">
        <f t="shared" si="148"/>
        <v/>
      </c>
      <c r="AV542" s="1856" t="str">
        <f t="shared" si="149"/>
        <v/>
      </c>
      <c r="AW542" s="1856" t="str">
        <f t="shared" si="150"/>
        <v/>
      </c>
      <c r="AX542" s="1856" t="str">
        <f t="shared" si="151"/>
        <v/>
      </c>
      <c r="AY542" s="1856" t="str">
        <f t="shared" si="152"/>
        <v/>
      </c>
    </row>
    <row r="543" spans="42:52">
      <c r="AP543" s="1855">
        <f t="shared" si="144"/>
        <v>44619</v>
      </c>
      <c r="AQ543" s="925" t="str">
        <f t="shared" si="145"/>
        <v/>
      </c>
      <c r="AR543" s="1856" t="str">
        <f t="shared" si="146"/>
        <v/>
      </c>
      <c r="AT543" s="1856" t="str">
        <f t="shared" si="147"/>
        <v/>
      </c>
      <c r="AU543" s="1856" t="str">
        <f t="shared" si="148"/>
        <v/>
      </c>
      <c r="AV543" s="1856" t="str">
        <f t="shared" si="149"/>
        <v/>
      </c>
      <c r="AW543" s="1856" t="str">
        <f t="shared" si="150"/>
        <v/>
      </c>
      <c r="AX543" s="1856" t="str">
        <f t="shared" si="151"/>
        <v/>
      </c>
      <c r="AY543" s="1856" t="str">
        <f t="shared" si="152"/>
        <v/>
      </c>
    </row>
    <row r="544" spans="42:52">
      <c r="AP544" s="1855">
        <f t="shared" si="144"/>
        <v>44619</v>
      </c>
      <c r="AQ544" s="925" t="str">
        <f t="shared" si="145"/>
        <v>MR</v>
      </c>
      <c r="AR544" s="1856">
        <f t="shared" si="146"/>
        <v>44619.232638888891</v>
      </c>
      <c r="AS544" s="927" t="s">
        <v>1434</v>
      </c>
      <c r="AT544" s="1856" t="str">
        <f t="shared" si="147"/>
        <v/>
      </c>
      <c r="AU544" s="1856" t="str">
        <f t="shared" si="148"/>
        <v/>
      </c>
      <c r="AV544" s="1856" t="str">
        <f t="shared" si="149"/>
        <v/>
      </c>
      <c r="AW544" s="1856" t="str">
        <f t="shared" si="150"/>
        <v/>
      </c>
      <c r="AX544" s="1856" t="str">
        <f t="shared" si="151"/>
        <v/>
      </c>
      <c r="AY544" s="1856" t="str">
        <f t="shared" si="152"/>
        <v/>
      </c>
    </row>
    <row r="545" spans="42:52">
      <c r="AP545" s="1855">
        <f t="shared" si="144"/>
        <v>44619</v>
      </c>
      <c r="AQ545" s="925" t="str">
        <f t="shared" si="145"/>
        <v>BMNT</v>
      </c>
      <c r="AR545" s="1856">
        <f t="shared" si="146"/>
        <v>44619.265277777777</v>
      </c>
      <c r="AS545" s="927" t="s">
        <v>1435</v>
      </c>
      <c r="AT545" s="1856" t="str">
        <f t="shared" si="147"/>
        <v/>
      </c>
      <c r="AU545" s="1856" t="str">
        <f t="shared" si="148"/>
        <v/>
      </c>
      <c r="AV545" s="1856" t="str">
        <f t="shared" si="149"/>
        <v/>
      </c>
      <c r="AW545" s="1856" t="str">
        <f t="shared" si="150"/>
        <v/>
      </c>
      <c r="AX545" s="1856" t="str">
        <f t="shared" si="151"/>
        <v/>
      </c>
      <c r="AY545" s="1856" t="str">
        <f t="shared" si="152"/>
        <v/>
      </c>
    </row>
    <row r="546" spans="42:52">
      <c r="AP546" s="1855">
        <f t="shared" si="144"/>
        <v>44619</v>
      </c>
      <c r="AQ546" s="925" t="str">
        <f t="shared" si="145"/>
        <v>SR</v>
      </c>
      <c r="AR546" s="1856">
        <f t="shared" si="146"/>
        <v>44619.304861111108</v>
      </c>
      <c r="AS546" s="927" t="s">
        <v>1436</v>
      </c>
      <c r="AT546" s="1856" t="str">
        <f t="shared" si="147"/>
        <v/>
      </c>
      <c r="AU546" s="1856" t="str">
        <f t="shared" si="148"/>
        <v/>
      </c>
      <c r="AV546" s="1856" t="str">
        <f t="shared" si="149"/>
        <v/>
      </c>
      <c r="AW546" s="1856" t="str">
        <f t="shared" si="150"/>
        <v/>
      </c>
      <c r="AX546" s="1856" t="str">
        <f t="shared" si="151"/>
        <v/>
      </c>
      <c r="AY546" s="1856" t="str">
        <f t="shared" si="152"/>
        <v/>
      </c>
    </row>
    <row r="547" spans="42:52">
      <c r="AP547" s="1855">
        <f t="shared" si="144"/>
        <v>44619</v>
      </c>
      <c r="AQ547" s="925" t="str">
        <f t="shared" si="145"/>
        <v>MS</v>
      </c>
      <c r="AR547" s="1856">
        <f t="shared" si="146"/>
        <v>44619.629861111112</v>
      </c>
      <c r="AS547" s="927" t="s">
        <v>1210</v>
      </c>
      <c r="AT547" s="1856" t="str">
        <f t="shared" si="147"/>
        <v/>
      </c>
      <c r="AU547" s="1856" t="str">
        <f t="shared" si="148"/>
        <v/>
      </c>
      <c r="AV547" s="1856" t="str">
        <f t="shared" si="149"/>
        <v/>
      </c>
      <c r="AW547" s="1856" t="str">
        <f t="shared" si="150"/>
        <v/>
      </c>
      <c r="AX547" s="1856" t="str">
        <f t="shared" si="151"/>
        <v/>
      </c>
      <c r="AY547" s="1856" t="str">
        <f t="shared" si="152"/>
        <v/>
      </c>
    </row>
    <row r="548" spans="42:52">
      <c r="AP548" s="1855">
        <f t="shared" si="144"/>
        <v>44619</v>
      </c>
      <c r="AQ548" s="925" t="str">
        <f t="shared" si="145"/>
        <v>SS</v>
      </c>
      <c r="AR548" s="1856">
        <f t="shared" si="146"/>
        <v>44619.773611111108</v>
      </c>
      <c r="AS548" s="927" t="s">
        <v>1437</v>
      </c>
      <c r="AT548" s="1856" t="str">
        <f t="shared" si="147"/>
        <v/>
      </c>
      <c r="AU548" s="1856" t="str">
        <f t="shared" si="148"/>
        <v/>
      </c>
      <c r="AV548" s="1856" t="str">
        <f t="shared" si="149"/>
        <v/>
      </c>
      <c r="AW548" s="1856" t="str">
        <f t="shared" si="150"/>
        <v/>
      </c>
      <c r="AX548" s="1856" t="str">
        <f t="shared" si="151"/>
        <v/>
      </c>
      <c r="AY548" s="1856" t="str">
        <f t="shared" si="152"/>
        <v/>
      </c>
    </row>
    <row r="549" spans="42:52">
      <c r="AP549" s="1855">
        <f t="shared" ref="AP549:AP612" si="153">IF(ISNUMBER(AS549),AP548+1,AP548)</f>
        <v>44619</v>
      </c>
      <c r="AQ549" s="925" t="str">
        <f t="shared" ref="AQ549:AQ612" si="154">IF(NOT(ISNUMBER(FIND(":",AS549))),"",IF(ISNUMBER(FIND("Sunr",AS549)),"SR", IF(ISNUMBER(FIND("Suns",AS549)),"SS",IF(ISNUMBER(FIND("Moonr",AS549)),"MR",IF(ISNUMBER(FIND("Moons",AS549)),"MS",IF(ISNUMBER(FIND("Twi",AS549)),IF(HOUR(AR549)&lt;12,"BMNT","EENT")))))))</f>
        <v>EENT</v>
      </c>
      <c r="AR549" s="1856">
        <f t="shared" si="146"/>
        <v>44619.813194444439</v>
      </c>
      <c r="AS549" s="927" t="s">
        <v>1438</v>
      </c>
      <c r="AT549" s="1856" t="str">
        <f t="shared" si="147"/>
        <v/>
      </c>
      <c r="AU549" s="1856" t="str">
        <f t="shared" si="148"/>
        <v/>
      </c>
      <c r="AV549" s="1856" t="str">
        <f t="shared" si="149"/>
        <v/>
      </c>
      <c r="AW549" s="1856" t="str">
        <f t="shared" si="150"/>
        <v/>
      </c>
      <c r="AX549" s="1856" t="str">
        <f t="shared" si="151"/>
        <v/>
      </c>
      <c r="AY549" s="1856" t="str">
        <f t="shared" si="152"/>
        <v/>
      </c>
    </row>
    <row r="550" spans="42:52">
      <c r="AP550" s="1855">
        <f t="shared" si="153"/>
        <v>44620</v>
      </c>
      <c r="AQ550" s="925" t="str">
        <f t="shared" si="154"/>
        <v/>
      </c>
      <c r="AR550" s="1856" t="str">
        <f t="shared" si="146"/>
        <v/>
      </c>
      <c r="AS550" s="927">
        <v>28</v>
      </c>
      <c r="AT550" s="1856">
        <f t="shared" si="147"/>
        <v>44620.26458333333</v>
      </c>
      <c r="AU550" s="1856">
        <f t="shared" si="148"/>
        <v>44620.303472222222</v>
      </c>
      <c r="AV550" s="1856">
        <f t="shared" si="149"/>
        <v>44620.774305555555</v>
      </c>
      <c r="AW550" s="1856">
        <f t="shared" si="150"/>
        <v>44620.813888888886</v>
      </c>
      <c r="AX550" s="1856">
        <f t="shared" si="151"/>
        <v>44620.265277777777</v>
      </c>
      <c r="AY550" s="1856">
        <f t="shared" si="152"/>
        <v>44620.681249999994</v>
      </c>
      <c r="AZ550" s="1853">
        <v>0.08</v>
      </c>
    </row>
    <row r="551" spans="42:52">
      <c r="AP551" s="1855">
        <f t="shared" si="153"/>
        <v>44620</v>
      </c>
      <c r="AQ551" s="925" t="str">
        <f t="shared" si="154"/>
        <v/>
      </c>
      <c r="AR551" s="1856" t="str">
        <f t="shared" si="146"/>
        <v/>
      </c>
      <c r="AS551" s="927" t="s">
        <v>252</v>
      </c>
      <c r="AT551" s="1856" t="str">
        <f t="shared" si="147"/>
        <v/>
      </c>
      <c r="AU551" s="1856" t="str">
        <f t="shared" si="148"/>
        <v/>
      </c>
      <c r="AV551" s="1856" t="str">
        <f t="shared" si="149"/>
        <v/>
      </c>
      <c r="AW551" s="1856" t="str">
        <f t="shared" si="150"/>
        <v/>
      </c>
      <c r="AX551" s="1856" t="str">
        <f t="shared" si="151"/>
        <v/>
      </c>
      <c r="AY551" s="1856" t="str">
        <f t="shared" si="152"/>
        <v/>
      </c>
    </row>
    <row r="552" spans="42:52">
      <c r="AP552" s="1855">
        <f t="shared" si="153"/>
        <v>44620</v>
      </c>
      <c r="AQ552" s="925" t="str">
        <f t="shared" si="154"/>
        <v/>
      </c>
      <c r="AR552" s="1856" t="str">
        <f t="shared" si="146"/>
        <v/>
      </c>
      <c r="AT552" s="1856" t="str">
        <f t="shared" si="147"/>
        <v/>
      </c>
      <c r="AU552" s="1856" t="str">
        <f t="shared" si="148"/>
        <v/>
      </c>
      <c r="AV552" s="1856" t="str">
        <f t="shared" si="149"/>
        <v/>
      </c>
      <c r="AW552" s="1856" t="str">
        <f t="shared" si="150"/>
        <v/>
      </c>
      <c r="AX552" s="1856" t="str">
        <f t="shared" si="151"/>
        <v/>
      </c>
      <c r="AY552" s="1856" t="str">
        <f t="shared" si="152"/>
        <v/>
      </c>
    </row>
    <row r="553" spans="42:52">
      <c r="AP553" s="1855">
        <f t="shared" si="153"/>
        <v>44620</v>
      </c>
      <c r="AQ553" s="925" t="str">
        <f t="shared" si="154"/>
        <v>BMNT</v>
      </c>
      <c r="AR553" s="1856">
        <f t="shared" ref="AR553:AR616" si="155">IF(NOT(ISNUMBER(FIND(":",AS553))),"",IF(ISNUMBER(FIND(" none",AS553)),"NONE",AP553+LEFT(RIGHT(AS553,5),2)/24+RIGHT(AS553,2)/1440))</f>
        <v>44620.26458333333</v>
      </c>
      <c r="AS553" s="927" t="s">
        <v>1439</v>
      </c>
      <c r="AT553" s="1856" t="str">
        <f t="shared" si="147"/>
        <v/>
      </c>
      <c r="AU553" s="1856" t="str">
        <f t="shared" si="148"/>
        <v/>
      </c>
      <c r="AV553" s="1856" t="str">
        <f t="shared" si="149"/>
        <v/>
      </c>
      <c r="AW553" s="1856" t="str">
        <f t="shared" si="150"/>
        <v/>
      </c>
      <c r="AX553" s="1856" t="str">
        <f t="shared" si="151"/>
        <v/>
      </c>
      <c r="AY553" s="1856" t="str">
        <f t="shared" si="152"/>
        <v/>
      </c>
    </row>
    <row r="554" spans="42:52">
      <c r="AP554" s="1855">
        <f t="shared" si="153"/>
        <v>44620</v>
      </c>
      <c r="AQ554" s="925" t="str">
        <f t="shared" si="154"/>
        <v>MR</v>
      </c>
      <c r="AR554" s="1856">
        <f t="shared" si="155"/>
        <v>44620.265277777777</v>
      </c>
      <c r="AS554" s="927" t="s">
        <v>1440</v>
      </c>
      <c r="AT554" s="1856" t="str">
        <f t="shared" si="147"/>
        <v/>
      </c>
      <c r="AU554" s="1856" t="str">
        <f t="shared" si="148"/>
        <v/>
      </c>
      <c r="AV554" s="1856" t="str">
        <f t="shared" si="149"/>
        <v/>
      </c>
      <c r="AW554" s="1856" t="str">
        <f t="shared" si="150"/>
        <v/>
      </c>
      <c r="AX554" s="1856" t="str">
        <f t="shared" si="151"/>
        <v/>
      </c>
      <c r="AY554" s="1856" t="str">
        <f t="shared" si="152"/>
        <v/>
      </c>
    </row>
    <row r="555" spans="42:52">
      <c r="AP555" s="1855">
        <f t="shared" si="153"/>
        <v>44620</v>
      </c>
      <c r="AQ555" s="925" t="str">
        <f t="shared" si="154"/>
        <v>SR</v>
      </c>
      <c r="AR555" s="1856">
        <f t="shared" si="155"/>
        <v>44620.303472222222</v>
      </c>
      <c r="AS555" s="927" t="s">
        <v>1441</v>
      </c>
      <c r="AT555" s="1856" t="str">
        <f t="shared" si="147"/>
        <v/>
      </c>
      <c r="AU555" s="1856" t="str">
        <f t="shared" si="148"/>
        <v/>
      </c>
      <c r="AV555" s="1856" t="str">
        <f t="shared" si="149"/>
        <v/>
      </c>
      <c r="AW555" s="1856" t="str">
        <f t="shared" si="150"/>
        <v/>
      </c>
      <c r="AX555" s="1856" t="str">
        <f t="shared" si="151"/>
        <v/>
      </c>
      <c r="AY555" s="1856" t="str">
        <f t="shared" si="152"/>
        <v/>
      </c>
    </row>
    <row r="556" spans="42:52">
      <c r="AP556" s="1855">
        <f t="shared" si="153"/>
        <v>44620</v>
      </c>
      <c r="AQ556" s="925" t="str">
        <f t="shared" si="154"/>
        <v>MS</v>
      </c>
      <c r="AR556" s="1856">
        <f t="shared" si="155"/>
        <v>44620.681249999994</v>
      </c>
      <c r="AS556" s="927" t="s">
        <v>1442</v>
      </c>
      <c r="AT556" s="1856" t="str">
        <f t="shared" si="147"/>
        <v/>
      </c>
      <c r="AU556" s="1856" t="str">
        <f t="shared" si="148"/>
        <v/>
      </c>
      <c r="AV556" s="1856" t="str">
        <f t="shared" si="149"/>
        <v/>
      </c>
      <c r="AW556" s="1856" t="str">
        <f t="shared" si="150"/>
        <v/>
      </c>
      <c r="AX556" s="1856" t="str">
        <f t="shared" si="151"/>
        <v/>
      </c>
      <c r="AY556" s="1856" t="str">
        <f t="shared" si="152"/>
        <v/>
      </c>
    </row>
    <row r="557" spans="42:52">
      <c r="AP557" s="1855">
        <f t="shared" si="153"/>
        <v>44620</v>
      </c>
      <c r="AQ557" s="925" t="str">
        <f t="shared" si="154"/>
        <v>SS</v>
      </c>
      <c r="AR557" s="1856">
        <f t="shared" si="155"/>
        <v>44620.774305555555</v>
      </c>
      <c r="AS557" s="927" t="s">
        <v>1443</v>
      </c>
      <c r="AT557" s="1856" t="str">
        <f t="shared" si="147"/>
        <v/>
      </c>
      <c r="AU557" s="1856" t="str">
        <f t="shared" si="148"/>
        <v/>
      </c>
      <c r="AV557" s="1856" t="str">
        <f t="shared" si="149"/>
        <v/>
      </c>
      <c r="AW557" s="1856" t="str">
        <f t="shared" si="150"/>
        <v/>
      </c>
      <c r="AX557" s="1856" t="str">
        <f t="shared" si="151"/>
        <v/>
      </c>
      <c r="AY557" s="1856" t="str">
        <f t="shared" si="152"/>
        <v/>
      </c>
    </row>
    <row r="558" spans="42:52">
      <c r="AP558" s="1855">
        <f t="shared" si="153"/>
        <v>44620</v>
      </c>
      <c r="AQ558" s="925" t="str">
        <f t="shared" si="154"/>
        <v>EENT</v>
      </c>
      <c r="AR558" s="1856">
        <f t="shared" si="155"/>
        <v>44620.813888888886</v>
      </c>
      <c r="AS558" s="927" t="s">
        <v>1444</v>
      </c>
      <c r="AT558" s="1856" t="str">
        <f t="shared" si="147"/>
        <v/>
      </c>
      <c r="AU558" s="1856" t="str">
        <f t="shared" si="148"/>
        <v/>
      </c>
      <c r="AV558" s="1856" t="str">
        <f t="shared" si="149"/>
        <v/>
      </c>
      <c r="AW558" s="1856" t="str">
        <f t="shared" si="150"/>
        <v/>
      </c>
      <c r="AX558" s="1856" t="str">
        <f t="shared" si="151"/>
        <v/>
      </c>
      <c r="AY558" s="1856" t="str">
        <f t="shared" si="152"/>
        <v/>
      </c>
    </row>
    <row r="559" spans="42:52">
      <c r="AP559" s="1855">
        <f t="shared" si="153"/>
        <v>44621</v>
      </c>
      <c r="AQ559" s="925" t="str">
        <f t="shared" si="154"/>
        <v/>
      </c>
      <c r="AR559" s="1856" t="str">
        <f t="shared" si="155"/>
        <v/>
      </c>
      <c r="AS559" s="927">
        <v>1</v>
      </c>
      <c r="AT559" s="1856">
        <f t="shared" si="147"/>
        <v>44621.263194444444</v>
      </c>
      <c r="AU559" s="1856">
        <f t="shared" si="148"/>
        <v>44621.302777777775</v>
      </c>
      <c r="AV559" s="1856">
        <f t="shared" si="149"/>
        <v>44621.775000000001</v>
      </c>
      <c r="AW559" s="1856">
        <f t="shared" si="150"/>
        <v>44621.814583333333</v>
      </c>
      <c r="AX559" s="1856">
        <f t="shared" si="151"/>
        <v>44621.29305555555</v>
      </c>
      <c r="AY559" s="1856">
        <f t="shared" si="152"/>
        <v>44621.731944444444</v>
      </c>
      <c r="AZ559" s="1853">
        <v>0.03</v>
      </c>
    </row>
    <row r="560" spans="42:52">
      <c r="AP560" s="1855">
        <f t="shared" si="153"/>
        <v>44621</v>
      </c>
      <c r="AQ560" s="925" t="str">
        <f t="shared" si="154"/>
        <v/>
      </c>
      <c r="AR560" s="1856" t="str">
        <f t="shared" si="155"/>
        <v/>
      </c>
      <c r="AS560" s="927" t="s">
        <v>252</v>
      </c>
      <c r="AT560" s="1856" t="str">
        <f t="shared" si="147"/>
        <v/>
      </c>
      <c r="AU560" s="1856" t="str">
        <f t="shared" si="148"/>
        <v/>
      </c>
      <c r="AV560" s="1856" t="str">
        <f t="shared" si="149"/>
        <v/>
      </c>
      <c r="AW560" s="1856" t="str">
        <f t="shared" si="150"/>
        <v/>
      </c>
      <c r="AX560" s="1856" t="str">
        <f t="shared" si="151"/>
        <v/>
      </c>
      <c r="AY560" s="1856" t="str">
        <f t="shared" si="152"/>
        <v/>
      </c>
    </row>
    <row r="561" spans="42:52">
      <c r="AP561" s="1855">
        <f t="shared" si="153"/>
        <v>44621</v>
      </c>
      <c r="AQ561" s="925" t="str">
        <f t="shared" si="154"/>
        <v/>
      </c>
      <c r="AR561" s="1856" t="str">
        <f t="shared" si="155"/>
        <v/>
      </c>
      <c r="AT561" s="1856" t="str">
        <f t="shared" si="147"/>
        <v/>
      </c>
      <c r="AU561" s="1856" t="str">
        <f t="shared" si="148"/>
        <v/>
      </c>
      <c r="AV561" s="1856" t="str">
        <f t="shared" si="149"/>
        <v/>
      </c>
      <c r="AW561" s="1856" t="str">
        <f t="shared" si="150"/>
        <v/>
      </c>
      <c r="AX561" s="1856" t="str">
        <f t="shared" si="151"/>
        <v/>
      </c>
      <c r="AY561" s="1856" t="str">
        <f t="shared" si="152"/>
        <v/>
      </c>
    </row>
    <row r="562" spans="42:52">
      <c r="AP562" s="1855">
        <f t="shared" si="153"/>
        <v>44621</v>
      </c>
      <c r="AQ562" s="925" t="str">
        <f t="shared" si="154"/>
        <v>BMNT</v>
      </c>
      <c r="AR562" s="1856">
        <f t="shared" si="155"/>
        <v>44621.263194444444</v>
      </c>
      <c r="AS562" s="927" t="s">
        <v>1445</v>
      </c>
      <c r="AT562" s="1856" t="str">
        <f t="shared" si="147"/>
        <v/>
      </c>
      <c r="AU562" s="1856" t="str">
        <f t="shared" si="148"/>
        <v/>
      </c>
      <c r="AV562" s="1856" t="str">
        <f t="shared" si="149"/>
        <v/>
      </c>
      <c r="AW562" s="1856" t="str">
        <f t="shared" si="150"/>
        <v/>
      </c>
      <c r="AX562" s="1856" t="str">
        <f t="shared" si="151"/>
        <v/>
      </c>
      <c r="AY562" s="1856" t="str">
        <f t="shared" si="152"/>
        <v/>
      </c>
    </row>
    <row r="563" spans="42:52">
      <c r="AP563" s="1855">
        <f t="shared" si="153"/>
        <v>44621</v>
      </c>
      <c r="AQ563" s="925" t="str">
        <f t="shared" si="154"/>
        <v>MR</v>
      </c>
      <c r="AR563" s="1856">
        <f t="shared" si="155"/>
        <v>44621.29305555555</v>
      </c>
      <c r="AS563" s="927" t="s">
        <v>1446</v>
      </c>
      <c r="AT563" s="1856" t="str">
        <f t="shared" si="147"/>
        <v/>
      </c>
      <c r="AU563" s="1856" t="str">
        <f t="shared" si="148"/>
        <v/>
      </c>
      <c r="AV563" s="1856" t="str">
        <f t="shared" si="149"/>
        <v/>
      </c>
      <c r="AW563" s="1856" t="str">
        <f t="shared" si="150"/>
        <v/>
      </c>
      <c r="AX563" s="1856" t="str">
        <f t="shared" si="151"/>
        <v/>
      </c>
      <c r="AY563" s="1856" t="str">
        <f t="shared" si="152"/>
        <v/>
      </c>
    </row>
    <row r="564" spans="42:52">
      <c r="AP564" s="1855">
        <f t="shared" si="153"/>
        <v>44621</v>
      </c>
      <c r="AQ564" s="925" t="str">
        <f t="shared" si="154"/>
        <v>SR</v>
      </c>
      <c r="AR564" s="1856">
        <f t="shared" si="155"/>
        <v>44621.302777777775</v>
      </c>
      <c r="AS564" s="927" t="s">
        <v>1447</v>
      </c>
      <c r="AT564" s="1856" t="str">
        <f t="shared" si="147"/>
        <v/>
      </c>
      <c r="AU564" s="1856" t="str">
        <f t="shared" si="148"/>
        <v/>
      </c>
      <c r="AV564" s="1856" t="str">
        <f t="shared" si="149"/>
        <v/>
      </c>
      <c r="AW564" s="1856" t="str">
        <f t="shared" si="150"/>
        <v/>
      </c>
      <c r="AX564" s="1856" t="str">
        <f t="shared" si="151"/>
        <v/>
      </c>
      <c r="AY564" s="1856" t="str">
        <f t="shared" si="152"/>
        <v/>
      </c>
    </row>
    <row r="565" spans="42:52">
      <c r="AP565" s="1855">
        <f t="shared" si="153"/>
        <v>44621</v>
      </c>
      <c r="AQ565" s="925" t="str">
        <f t="shared" si="154"/>
        <v>MS</v>
      </c>
      <c r="AR565" s="1856">
        <f t="shared" si="155"/>
        <v>44621.731944444444</v>
      </c>
      <c r="AS565" s="927" t="s">
        <v>1448</v>
      </c>
      <c r="AT565" s="1856" t="str">
        <f t="shared" si="147"/>
        <v/>
      </c>
      <c r="AU565" s="1856" t="str">
        <f t="shared" si="148"/>
        <v/>
      </c>
      <c r="AV565" s="1856" t="str">
        <f t="shared" si="149"/>
        <v/>
      </c>
      <c r="AW565" s="1856" t="str">
        <f t="shared" si="150"/>
        <v/>
      </c>
      <c r="AX565" s="1856" t="str">
        <f t="shared" si="151"/>
        <v/>
      </c>
      <c r="AY565" s="1856" t="str">
        <f t="shared" si="152"/>
        <v/>
      </c>
    </row>
    <row r="566" spans="42:52">
      <c r="AP566" s="1855">
        <f t="shared" si="153"/>
        <v>44621</v>
      </c>
      <c r="AQ566" s="925" t="str">
        <f t="shared" si="154"/>
        <v>SS</v>
      </c>
      <c r="AR566" s="1856">
        <f t="shared" si="155"/>
        <v>44621.775000000001</v>
      </c>
      <c r="AS566" s="927" t="s">
        <v>1449</v>
      </c>
      <c r="AT566" s="1856" t="str">
        <f t="shared" si="147"/>
        <v/>
      </c>
      <c r="AU566" s="1856" t="str">
        <f t="shared" si="148"/>
        <v/>
      </c>
      <c r="AV566" s="1856" t="str">
        <f t="shared" si="149"/>
        <v/>
      </c>
      <c r="AW566" s="1856" t="str">
        <f t="shared" si="150"/>
        <v/>
      </c>
      <c r="AX566" s="1856" t="str">
        <f t="shared" si="151"/>
        <v/>
      </c>
      <c r="AY566" s="1856" t="str">
        <f t="shared" si="152"/>
        <v/>
      </c>
    </row>
    <row r="567" spans="42:52">
      <c r="AP567" s="1855">
        <f t="shared" si="153"/>
        <v>44621</v>
      </c>
      <c r="AQ567" s="925" t="str">
        <f t="shared" si="154"/>
        <v>EENT</v>
      </c>
      <c r="AR567" s="1856">
        <f t="shared" si="155"/>
        <v>44621.814583333333</v>
      </c>
      <c r="AS567" s="927" t="s">
        <v>1450</v>
      </c>
      <c r="AT567" s="1856" t="str">
        <f t="shared" si="147"/>
        <v/>
      </c>
      <c r="AU567" s="1856" t="str">
        <f t="shared" si="148"/>
        <v/>
      </c>
      <c r="AV567" s="1856" t="str">
        <f t="shared" si="149"/>
        <v/>
      </c>
      <c r="AW567" s="1856" t="str">
        <f t="shared" si="150"/>
        <v/>
      </c>
      <c r="AX567" s="1856" t="str">
        <f t="shared" si="151"/>
        <v/>
      </c>
      <c r="AY567" s="1856" t="str">
        <f t="shared" si="152"/>
        <v/>
      </c>
    </row>
    <row r="568" spans="42:52">
      <c r="AP568" s="1855">
        <f t="shared" si="153"/>
        <v>44622</v>
      </c>
      <c r="AQ568" s="925" t="str">
        <f t="shared" si="154"/>
        <v/>
      </c>
      <c r="AR568" s="1856" t="str">
        <f t="shared" si="155"/>
        <v/>
      </c>
      <c r="AS568" s="927">
        <v>2</v>
      </c>
      <c r="AT568" s="1856">
        <f t="shared" si="147"/>
        <v>44622.262499999997</v>
      </c>
      <c r="AU568" s="1856">
        <f t="shared" si="148"/>
        <v>44622.302083333328</v>
      </c>
      <c r="AV568" s="1856">
        <f t="shared" si="149"/>
        <v>44622.775694444441</v>
      </c>
      <c r="AW568" s="1856">
        <f t="shared" si="150"/>
        <v>44622.815277777772</v>
      </c>
      <c r="AX568" s="1856">
        <f t="shared" si="151"/>
        <v>44622.315972222219</v>
      </c>
      <c r="AY568" s="1856">
        <f t="shared" si="152"/>
        <v>44622.780555555553</v>
      </c>
      <c r="AZ568" s="1853">
        <v>0.01</v>
      </c>
    </row>
    <row r="569" spans="42:52">
      <c r="AP569" s="1855">
        <f t="shared" si="153"/>
        <v>44622</v>
      </c>
      <c r="AQ569" s="925" t="str">
        <f t="shared" si="154"/>
        <v/>
      </c>
      <c r="AR569" s="1856" t="str">
        <f t="shared" si="155"/>
        <v/>
      </c>
      <c r="AS569" s="927" t="s">
        <v>252</v>
      </c>
      <c r="AT569" s="1856" t="str">
        <f t="shared" si="147"/>
        <v/>
      </c>
      <c r="AU569" s="1856" t="str">
        <f t="shared" si="148"/>
        <v/>
      </c>
      <c r="AV569" s="1856" t="str">
        <f t="shared" si="149"/>
        <v/>
      </c>
      <c r="AW569" s="1856" t="str">
        <f t="shared" si="150"/>
        <v/>
      </c>
      <c r="AX569" s="1856" t="str">
        <f t="shared" si="151"/>
        <v/>
      </c>
      <c r="AY569" s="1856" t="str">
        <f t="shared" si="152"/>
        <v/>
      </c>
    </row>
    <row r="570" spans="42:52">
      <c r="AP570" s="1855">
        <f t="shared" si="153"/>
        <v>44622</v>
      </c>
      <c r="AQ570" s="925" t="str">
        <f t="shared" si="154"/>
        <v/>
      </c>
      <c r="AR570" s="1856" t="str">
        <f t="shared" si="155"/>
        <v/>
      </c>
      <c r="AT570" s="1856" t="str">
        <f t="shared" si="147"/>
        <v/>
      </c>
      <c r="AU570" s="1856" t="str">
        <f t="shared" si="148"/>
        <v/>
      </c>
      <c r="AV570" s="1856" t="str">
        <f t="shared" si="149"/>
        <v/>
      </c>
      <c r="AW570" s="1856" t="str">
        <f t="shared" si="150"/>
        <v/>
      </c>
      <c r="AX570" s="1856" t="str">
        <f t="shared" si="151"/>
        <v/>
      </c>
      <c r="AY570" s="1856" t="str">
        <f t="shared" si="152"/>
        <v/>
      </c>
    </row>
    <row r="571" spans="42:52">
      <c r="AP571" s="1855">
        <f t="shared" si="153"/>
        <v>44622</v>
      </c>
      <c r="AQ571" s="925" t="str">
        <f t="shared" si="154"/>
        <v>BMNT</v>
      </c>
      <c r="AR571" s="1856">
        <f t="shared" si="155"/>
        <v>44622.262499999997</v>
      </c>
      <c r="AS571" s="927" t="s">
        <v>1451</v>
      </c>
      <c r="AT571" s="1856" t="str">
        <f t="shared" si="147"/>
        <v/>
      </c>
      <c r="AU571" s="1856" t="str">
        <f t="shared" si="148"/>
        <v/>
      </c>
      <c r="AV571" s="1856" t="str">
        <f t="shared" si="149"/>
        <v/>
      </c>
      <c r="AW571" s="1856" t="str">
        <f t="shared" si="150"/>
        <v/>
      </c>
      <c r="AX571" s="1856" t="str">
        <f t="shared" si="151"/>
        <v/>
      </c>
      <c r="AY571" s="1856" t="str">
        <f t="shared" si="152"/>
        <v/>
      </c>
    </row>
    <row r="572" spans="42:52">
      <c r="AP572" s="1855">
        <f t="shared" si="153"/>
        <v>44622</v>
      </c>
      <c r="AQ572" s="925" t="str">
        <f t="shared" si="154"/>
        <v>SR</v>
      </c>
      <c r="AR572" s="1856">
        <f t="shared" si="155"/>
        <v>44622.302083333328</v>
      </c>
      <c r="AS572" s="927" t="s">
        <v>1452</v>
      </c>
      <c r="AT572" s="1856" t="str">
        <f t="shared" si="147"/>
        <v/>
      </c>
      <c r="AU572" s="1856" t="str">
        <f t="shared" si="148"/>
        <v/>
      </c>
      <c r="AV572" s="1856" t="str">
        <f t="shared" si="149"/>
        <v/>
      </c>
      <c r="AW572" s="1856" t="str">
        <f t="shared" si="150"/>
        <v/>
      </c>
      <c r="AX572" s="1856" t="str">
        <f t="shared" si="151"/>
        <v/>
      </c>
      <c r="AY572" s="1856" t="str">
        <f t="shared" si="152"/>
        <v/>
      </c>
    </row>
    <row r="573" spans="42:52">
      <c r="AP573" s="1855">
        <f t="shared" si="153"/>
        <v>44622</v>
      </c>
      <c r="AQ573" s="925" t="str">
        <f t="shared" si="154"/>
        <v>MR</v>
      </c>
      <c r="AR573" s="1856">
        <f t="shared" si="155"/>
        <v>44622.315972222219</v>
      </c>
      <c r="AS573" s="927" t="s">
        <v>1453</v>
      </c>
      <c r="AT573" s="1856" t="str">
        <f t="shared" si="147"/>
        <v/>
      </c>
      <c r="AU573" s="1856" t="str">
        <f t="shared" si="148"/>
        <v/>
      </c>
      <c r="AV573" s="1856" t="str">
        <f t="shared" si="149"/>
        <v/>
      </c>
      <c r="AW573" s="1856" t="str">
        <f t="shared" si="150"/>
        <v/>
      </c>
      <c r="AX573" s="1856" t="str">
        <f t="shared" si="151"/>
        <v/>
      </c>
      <c r="AY573" s="1856" t="str">
        <f t="shared" si="152"/>
        <v/>
      </c>
    </row>
    <row r="574" spans="42:52">
      <c r="AP574" s="1855">
        <f t="shared" si="153"/>
        <v>44622</v>
      </c>
      <c r="AQ574" s="925" t="str">
        <f t="shared" si="154"/>
        <v>SS</v>
      </c>
      <c r="AR574" s="1856">
        <f t="shared" si="155"/>
        <v>44622.775694444441</v>
      </c>
      <c r="AS574" s="927" t="s">
        <v>1454</v>
      </c>
      <c r="AT574" s="1856" t="str">
        <f t="shared" si="147"/>
        <v/>
      </c>
      <c r="AU574" s="1856" t="str">
        <f t="shared" si="148"/>
        <v/>
      </c>
      <c r="AV574" s="1856" t="str">
        <f t="shared" si="149"/>
        <v/>
      </c>
      <c r="AW574" s="1856" t="str">
        <f t="shared" si="150"/>
        <v/>
      </c>
      <c r="AX574" s="1856" t="str">
        <f t="shared" si="151"/>
        <v/>
      </c>
      <c r="AY574" s="1856" t="str">
        <f t="shared" si="152"/>
        <v/>
      </c>
    </row>
    <row r="575" spans="42:52">
      <c r="AP575" s="1855">
        <f t="shared" si="153"/>
        <v>44622</v>
      </c>
      <c r="AQ575" s="925" t="str">
        <f t="shared" si="154"/>
        <v>MS</v>
      </c>
      <c r="AR575" s="1856">
        <f t="shared" si="155"/>
        <v>44622.780555555553</v>
      </c>
      <c r="AS575" s="927" t="s">
        <v>1250</v>
      </c>
      <c r="AT575" s="1856" t="str">
        <f t="shared" si="147"/>
        <v/>
      </c>
      <c r="AU575" s="1856" t="str">
        <f t="shared" si="148"/>
        <v/>
      </c>
      <c r="AV575" s="1856" t="str">
        <f t="shared" si="149"/>
        <v/>
      </c>
      <c r="AW575" s="1856" t="str">
        <f t="shared" si="150"/>
        <v/>
      </c>
      <c r="AX575" s="1856" t="str">
        <f t="shared" si="151"/>
        <v/>
      </c>
      <c r="AY575" s="1856" t="str">
        <f t="shared" si="152"/>
        <v/>
      </c>
    </row>
    <row r="576" spans="42:52">
      <c r="AP576" s="1855">
        <f t="shared" si="153"/>
        <v>44622</v>
      </c>
      <c r="AQ576" s="925" t="str">
        <f t="shared" si="154"/>
        <v>EENT</v>
      </c>
      <c r="AR576" s="1856">
        <f t="shared" si="155"/>
        <v>44622.815277777772</v>
      </c>
      <c r="AS576" s="927" t="s">
        <v>1455</v>
      </c>
      <c r="AT576" s="1856" t="str">
        <f t="shared" si="147"/>
        <v/>
      </c>
      <c r="AU576" s="1856" t="str">
        <f t="shared" si="148"/>
        <v/>
      </c>
      <c r="AV576" s="1856" t="str">
        <f t="shared" si="149"/>
        <v/>
      </c>
      <c r="AW576" s="1856" t="str">
        <f t="shared" si="150"/>
        <v/>
      </c>
      <c r="AX576" s="1856" t="str">
        <f t="shared" si="151"/>
        <v/>
      </c>
      <c r="AY576" s="1856" t="str">
        <f t="shared" si="152"/>
        <v/>
      </c>
    </row>
    <row r="577" spans="42:52">
      <c r="AP577" s="1855">
        <f t="shared" si="153"/>
        <v>44623</v>
      </c>
      <c r="AQ577" s="925" t="str">
        <f t="shared" si="154"/>
        <v/>
      </c>
      <c r="AR577" s="1856" t="str">
        <f t="shared" si="155"/>
        <v/>
      </c>
      <c r="AS577" s="927">
        <v>3</v>
      </c>
      <c r="AT577" s="1856">
        <f t="shared" si="147"/>
        <v>44623.261111111111</v>
      </c>
      <c r="AU577" s="1856">
        <f t="shared" si="148"/>
        <v>44623.300694444442</v>
      </c>
      <c r="AV577" s="1856">
        <f t="shared" si="149"/>
        <v>44623.776388888888</v>
      </c>
      <c r="AW577" s="1856">
        <f t="shared" si="150"/>
        <v>44623.815972222219</v>
      </c>
      <c r="AX577" s="1856">
        <f t="shared" si="151"/>
        <v>44623.335416666669</v>
      </c>
      <c r="AY577" s="1856">
        <f t="shared" si="152"/>
        <v>44623.827777777777</v>
      </c>
      <c r="AZ577" s="1853">
        <v>0</v>
      </c>
    </row>
    <row r="578" spans="42:52">
      <c r="AP578" s="1855">
        <f t="shared" si="153"/>
        <v>44623</v>
      </c>
      <c r="AQ578" s="925" t="str">
        <f t="shared" si="154"/>
        <v/>
      </c>
      <c r="AR578" s="1856" t="str">
        <f t="shared" si="155"/>
        <v/>
      </c>
      <c r="AS578" s="927" t="s">
        <v>252</v>
      </c>
      <c r="AT578" s="1856" t="str">
        <f t="shared" si="147"/>
        <v/>
      </c>
      <c r="AU578" s="1856" t="str">
        <f t="shared" si="148"/>
        <v/>
      </c>
      <c r="AV578" s="1856" t="str">
        <f t="shared" si="149"/>
        <v/>
      </c>
      <c r="AW578" s="1856" t="str">
        <f t="shared" si="150"/>
        <v/>
      </c>
      <c r="AX578" s="1856" t="str">
        <f t="shared" si="151"/>
        <v/>
      </c>
      <c r="AY578" s="1856" t="str">
        <f t="shared" si="152"/>
        <v/>
      </c>
    </row>
    <row r="579" spans="42:52">
      <c r="AP579" s="1855">
        <f t="shared" si="153"/>
        <v>44623</v>
      </c>
      <c r="AQ579" s="925" t="str">
        <f t="shared" si="154"/>
        <v/>
      </c>
      <c r="AR579" s="1856" t="str">
        <f t="shared" si="155"/>
        <v/>
      </c>
      <c r="AT579" s="1856" t="str">
        <f t="shared" si="147"/>
        <v/>
      </c>
      <c r="AU579" s="1856" t="str">
        <f t="shared" si="148"/>
        <v/>
      </c>
      <c r="AV579" s="1856" t="str">
        <f t="shared" si="149"/>
        <v/>
      </c>
      <c r="AW579" s="1856" t="str">
        <f t="shared" si="150"/>
        <v/>
      </c>
      <c r="AX579" s="1856" t="str">
        <f t="shared" si="151"/>
        <v/>
      </c>
      <c r="AY579" s="1856" t="str">
        <f t="shared" si="152"/>
        <v/>
      </c>
    </row>
    <row r="580" spans="42:52">
      <c r="AP580" s="1855">
        <f t="shared" si="153"/>
        <v>44623</v>
      </c>
      <c r="AQ580" s="925" t="str">
        <f t="shared" si="154"/>
        <v>BMNT</v>
      </c>
      <c r="AR580" s="1856">
        <f t="shared" si="155"/>
        <v>44623.261111111111</v>
      </c>
      <c r="AS580" s="927" t="s">
        <v>1456</v>
      </c>
      <c r="AT580" s="1856" t="str">
        <f t="shared" si="147"/>
        <v/>
      </c>
      <c r="AU580" s="1856" t="str">
        <f t="shared" si="148"/>
        <v/>
      </c>
      <c r="AV580" s="1856" t="str">
        <f t="shared" si="149"/>
        <v/>
      </c>
      <c r="AW580" s="1856" t="str">
        <f t="shared" si="150"/>
        <v/>
      </c>
      <c r="AX580" s="1856" t="str">
        <f t="shared" si="151"/>
        <v/>
      </c>
      <c r="AY580" s="1856" t="str">
        <f t="shared" si="152"/>
        <v/>
      </c>
    </row>
    <row r="581" spans="42:52">
      <c r="AP581" s="1855">
        <f t="shared" si="153"/>
        <v>44623</v>
      </c>
      <c r="AQ581" s="925" t="str">
        <f t="shared" si="154"/>
        <v>SR</v>
      </c>
      <c r="AR581" s="1856">
        <f t="shared" si="155"/>
        <v>44623.300694444442</v>
      </c>
      <c r="AS581" s="927" t="s">
        <v>1457</v>
      </c>
      <c r="AT581" s="1856" t="str">
        <f t="shared" si="147"/>
        <v/>
      </c>
      <c r="AU581" s="1856" t="str">
        <f t="shared" si="148"/>
        <v/>
      </c>
      <c r="AV581" s="1856" t="str">
        <f t="shared" si="149"/>
        <v/>
      </c>
      <c r="AW581" s="1856" t="str">
        <f t="shared" si="150"/>
        <v/>
      </c>
      <c r="AX581" s="1856" t="str">
        <f t="shared" si="151"/>
        <v/>
      </c>
      <c r="AY581" s="1856" t="str">
        <f t="shared" si="152"/>
        <v/>
      </c>
    </row>
    <row r="582" spans="42:52">
      <c r="AP582" s="1855">
        <f t="shared" si="153"/>
        <v>44623</v>
      </c>
      <c r="AQ582" s="925" t="str">
        <f t="shared" si="154"/>
        <v>MR</v>
      </c>
      <c r="AR582" s="1856">
        <f t="shared" si="155"/>
        <v>44623.335416666669</v>
      </c>
      <c r="AS582" s="927" t="s">
        <v>1458</v>
      </c>
      <c r="AT582" s="1856" t="str">
        <f t="shared" si="147"/>
        <v/>
      </c>
      <c r="AU582" s="1856" t="str">
        <f t="shared" si="148"/>
        <v/>
      </c>
      <c r="AV582" s="1856" t="str">
        <f t="shared" si="149"/>
        <v/>
      </c>
      <c r="AW582" s="1856" t="str">
        <f t="shared" si="150"/>
        <v/>
      </c>
      <c r="AX582" s="1856" t="str">
        <f t="shared" si="151"/>
        <v/>
      </c>
      <c r="AY582" s="1856" t="str">
        <f t="shared" si="152"/>
        <v/>
      </c>
    </row>
    <row r="583" spans="42:52">
      <c r="AP583" s="1855">
        <f t="shared" si="153"/>
        <v>44623</v>
      </c>
      <c r="AQ583" s="925" t="str">
        <f t="shared" si="154"/>
        <v>SS</v>
      </c>
      <c r="AR583" s="1856">
        <f t="shared" si="155"/>
        <v>44623.776388888888</v>
      </c>
      <c r="AS583" s="927" t="s">
        <v>1459</v>
      </c>
      <c r="AT583" s="1856" t="str">
        <f t="shared" si="147"/>
        <v/>
      </c>
      <c r="AU583" s="1856" t="str">
        <f t="shared" si="148"/>
        <v/>
      </c>
      <c r="AV583" s="1856" t="str">
        <f t="shared" si="149"/>
        <v/>
      </c>
      <c r="AW583" s="1856" t="str">
        <f t="shared" si="150"/>
        <v/>
      </c>
      <c r="AX583" s="1856" t="str">
        <f t="shared" si="151"/>
        <v/>
      </c>
      <c r="AY583" s="1856" t="str">
        <f t="shared" si="152"/>
        <v/>
      </c>
    </row>
    <row r="584" spans="42:52">
      <c r="AP584" s="1855">
        <f t="shared" si="153"/>
        <v>44623</v>
      </c>
      <c r="AQ584" s="925" t="str">
        <f t="shared" si="154"/>
        <v>EENT</v>
      </c>
      <c r="AR584" s="1856">
        <f t="shared" si="155"/>
        <v>44623.815972222219</v>
      </c>
      <c r="AS584" s="927" t="s">
        <v>1460</v>
      </c>
      <c r="AT584" s="1856" t="str">
        <f t="shared" si="147"/>
        <v/>
      </c>
      <c r="AU584" s="1856" t="str">
        <f t="shared" si="148"/>
        <v/>
      </c>
      <c r="AV584" s="1856" t="str">
        <f t="shared" si="149"/>
        <v/>
      </c>
      <c r="AW584" s="1856" t="str">
        <f t="shared" si="150"/>
        <v/>
      </c>
      <c r="AX584" s="1856" t="str">
        <f t="shared" si="151"/>
        <v/>
      </c>
      <c r="AY584" s="1856" t="str">
        <f t="shared" si="152"/>
        <v/>
      </c>
    </row>
    <row r="585" spans="42:52">
      <c r="AP585" s="1855">
        <f t="shared" si="153"/>
        <v>44623</v>
      </c>
      <c r="AQ585" s="925" t="str">
        <f t="shared" si="154"/>
        <v>MS</v>
      </c>
      <c r="AR585" s="1856">
        <f t="shared" si="155"/>
        <v>44623.827777777777</v>
      </c>
      <c r="AS585" s="927" t="s">
        <v>1461</v>
      </c>
      <c r="AT585" s="1856" t="str">
        <f t="shared" si="147"/>
        <v/>
      </c>
      <c r="AU585" s="1856" t="str">
        <f t="shared" si="148"/>
        <v/>
      </c>
      <c r="AV585" s="1856" t="str">
        <f t="shared" si="149"/>
        <v/>
      </c>
      <c r="AW585" s="1856" t="str">
        <f t="shared" si="150"/>
        <v/>
      </c>
      <c r="AX585" s="1856" t="str">
        <f t="shared" si="151"/>
        <v/>
      </c>
      <c r="AY585" s="1856" t="str">
        <f t="shared" si="152"/>
        <v/>
      </c>
    </row>
    <row r="586" spans="42:52">
      <c r="AP586" s="1855">
        <f t="shared" si="153"/>
        <v>44624</v>
      </c>
      <c r="AQ586" s="925" t="str">
        <f t="shared" si="154"/>
        <v/>
      </c>
      <c r="AR586" s="1856" t="str">
        <f t="shared" si="155"/>
        <v/>
      </c>
      <c r="AS586" s="927">
        <v>4</v>
      </c>
      <c r="AT586" s="1856">
        <f t="shared" si="147"/>
        <v>44624.260416666664</v>
      </c>
      <c r="AU586" s="1856">
        <f t="shared" si="148"/>
        <v>44624.299999999996</v>
      </c>
      <c r="AV586" s="1856">
        <f t="shared" si="149"/>
        <v>44624.777083333334</v>
      </c>
      <c r="AW586" s="1856">
        <f t="shared" si="150"/>
        <v>44624.816666666666</v>
      </c>
      <c r="AX586" s="1856">
        <f t="shared" si="151"/>
        <v>44624.353472222225</v>
      </c>
      <c r="AY586" s="1856">
        <f t="shared" si="152"/>
        <v>44624.872916666667</v>
      </c>
      <c r="AZ586" s="1853">
        <v>0.03</v>
      </c>
    </row>
    <row r="587" spans="42:52">
      <c r="AP587" s="1855">
        <f t="shared" si="153"/>
        <v>44624</v>
      </c>
      <c r="AQ587" s="925" t="str">
        <f t="shared" si="154"/>
        <v/>
      </c>
      <c r="AR587" s="1856" t="str">
        <f t="shared" si="155"/>
        <v/>
      </c>
      <c r="AS587" s="927" t="s">
        <v>252</v>
      </c>
      <c r="AT587" s="1856" t="str">
        <f t="shared" si="147"/>
        <v/>
      </c>
      <c r="AU587" s="1856" t="str">
        <f t="shared" si="148"/>
        <v/>
      </c>
      <c r="AV587" s="1856" t="str">
        <f t="shared" si="149"/>
        <v/>
      </c>
      <c r="AW587" s="1856" t="str">
        <f t="shared" si="150"/>
        <v/>
      </c>
      <c r="AX587" s="1856" t="str">
        <f t="shared" si="151"/>
        <v/>
      </c>
      <c r="AY587" s="1856" t="str">
        <f t="shared" si="152"/>
        <v/>
      </c>
    </row>
    <row r="588" spans="42:52">
      <c r="AP588" s="1855">
        <f t="shared" si="153"/>
        <v>44624</v>
      </c>
      <c r="AQ588" s="925" t="str">
        <f t="shared" si="154"/>
        <v/>
      </c>
      <c r="AR588" s="1856" t="str">
        <f t="shared" si="155"/>
        <v/>
      </c>
      <c r="AT588" s="1856" t="str">
        <f t="shared" si="147"/>
        <v/>
      </c>
      <c r="AU588" s="1856" t="str">
        <f t="shared" si="148"/>
        <v/>
      </c>
      <c r="AV588" s="1856" t="str">
        <f t="shared" si="149"/>
        <v/>
      </c>
      <c r="AW588" s="1856" t="str">
        <f t="shared" si="150"/>
        <v/>
      </c>
      <c r="AX588" s="1856" t="str">
        <f t="shared" si="151"/>
        <v/>
      </c>
      <c r="AY588" s="1856" t="str">
        <f t="shared" si="152"/>
        <v/>
      </c>
    </row>
    <row r="589" spans="42:52">
      <c r="AP589" s="1855">
        <f t="shared" si="153"/>
        <v>44624</v>
      </c>
      <c r="AQ589" s="925" t="str">
        <f t="shared" si="154"/>
        <v>BMNT</v>
      </c>
      <c r="AR589" s="1856">
        <f t="shared" si="155"/>
        <v>44624.260416666664</v>
      </c>
      <c r="AS589" s="927" t="s">
        <v>1462</v>
      </c>
      <c r="AT589" s="1856" t="str">
        <f t="shared" si="147"/>
        <v/>
      </c>
      <c r="AU589" s="1856" t="str">
        <f t="shared" si="148"/>
        <v/>
      </c>
      <c r="AV589" s="1856" t="str">
        <f t="shared" si="149"/>
        <v/>
      </c>
      <c r="AW589" s="1856" t="str">
        <f t="shared" si="150"/>
        <v/>
      </c>
      <c r="AX589" s="1856" t="str">
        <f t="shared" si="151"/>
        <v/>
      </c>
      <c r="AY589" s="1856" t="str">
        <f t="shared" si="152"/>
        <v/>
      </c>
    </row>
    <row r="590" spans="42:52">
      <c r="AP590" s="1855">
        <f t="shared" si="153"/>
        <v>44624</v>
      </c>
      <c r="AQ590" s="925" t="str">
        <f t="shared" si="154"/>
        <v>SR</v>
      </c>
      <c r="AR590" s="1856">
        <f t="shared" si="155"/>
        <v>44624.299999999996</v>
      </c>
      <c r="AS590" s="927" t="s">
        <v>1463</v>
      </c>
      <c r="AT590" s="1856" t="str">
        <f t="shared" si="147"/>
        <v/>
      </c>
      <c r="AU590" s="1856" t="str">
        <f t="shared" si="148"/>
        <v/>
      </c>
      <c r="AV590" s="1856" t="str">
        <f t="shared" si="149"/>
        <v/>
      </c>
      <c r="AW590" s="1856" t="str">
        <f t="shared" si="150"/>
        <v/>
      </c>
      <c r="AX590" s="1856" t="str">
        <f t="shared" si="151"/>
        <v/>
      </c>
      <c r="AY590" s="1856" t="str">
        <f t="shared" si="152"/>
        <v/>
      </c>
    </row>
    <row r="591" spans="42:52">
      <c r="AP591" s="1855">
        <f t="shared" si="153"/>
        <v>44624</v>
      </c>
      <c r="AQ591" s="925" t="str">
        <f t="shared" si="154"/>
        <v>MR</v>
      </c>
      <c r="AR591" s="1856">
        <f t="shared" si="155"/>
        <v>44624.353472222225</v>
      </c>
      <c r="AS591" s="927" t="s">
        <v>1464</v>
      </c>
      <c r="AT591" s="1856" t="str">
        <f t="shared" si="147"/>
        <v/>
      </c>
      <c r="AU591" s="1856" t="str">
        <f t="shared" si="148"/>
        <v/>
      </c>
      <c r="AV591" s="1856" t="str">
        <f t="shared" si="149"/>
        <v/>
      </c>
      <c r="AW591" s="1856" t="str">
        <f t="shared" si="150"/>
        <v/>
      </c>
      <c r="AX591" s="1856" t="str">
        <f t="shared" si="151"/>
        <v/>
      </c>
      <c r="AY591" s="1856" t="str">
        <f t="shared" si="152"/>
        <v/>
      </c>
    </row>
    <row r="592" spans="42:52">
      <c r="AP592" s="1855">
        <f t="shared" si="153"/>
        <v>44624</v>
      </c>
      <c r="AQ592" s="925" t="str">
        <f t="shared" si="154"/>
        <v>SS</v>
      </c>
      <c r="AR592" s="1856">
        <f t="shared" si="155"/>
        <v>44624.777083333334</v>
      </c>
      <c r="AS592" s="927" t="s">
        <v>1465</v>
      </c>
      <c r="AT592" s="1856" t="str">
        <f t="shared" si="147"/>
        <v/>
      </c>
      <c r="AU592" s="1856" t="str">
        <f t="shared" si="148"/>
        <v/>
      </c>
      <c r="AV592" s="1856" t="str">
        <f t="shared" si="149"/>
        <v/>
      </c>
      <c r="AW592" s="1856" t="str">
        <f t="shared" si="150"/>
        <v/>
      </c>
      <c r="AX592" s="1856" t="str">
        <f t="shared" si="151"/>
        <v/>
      </c>
      <c r="AY592" s="1856" t="str">
        <f t="shared" si="152"/>
        <v/>
      </c>
    </row>
    <row r="593" spans="42:52">
      <c r="AP593" s="1855">
        <f t="shared" si="153"/>
        <v>44624</v>
      </c>
      <c r="AQ593" s="925" t="str">
        <f t="shared" si="154"/>
        <v>EENT</v>
      </c>
      <c r="AR593" s="1856">
        <f t="shared" si="155"/>
        <v>44624.816666666666</v>
      </c>
      <c r="AS593" s="927" t="s">
        <v>1466</v>
      </c>
      <c r="AT593" s="1856" t="str">
        <f t="shared" si="147"/>
        <v/>
      </c>
      <c r="AU593" s="1856" t="str">
        <f t="shared" si="148"/>
        <v/>
      </c>
      <c r="AV593" s="1856" t="str">
        <f t="shared" si="149"/>
        <v/>
      </c>
      <c r="AW593" s="1856" t="str">
        <f t="shared" si="150"/>
        <v/>
      </c>
      <c r="AX593" s="1856" t="str">
        <f t="shared" si="151"/>
        <v/>
      </c>
      <c r="AY593" s="1856" t="str">
        <f t="shared" si="152"/>
        <v/>
      </c>
    </row>
    <row r="594" spans="42:52">
      <c r="AP594" s="1855">
        <f t="shared" si="153"/>
        <v>44624</v>
      </c>
      <c r="AQ594" s="925" t="str">
        <f t="shared" si="154"/>
        <v>MS</v>
      </c>
      <c r="AR594" s="1856">
        <f t="shared" si="155"/>
        <v>44624.872916666667</v>
      </c>
      <c r="AS594" s="927" t="s">
        <v>1467</v>
      </c>
      <c r="AT594" s="1856" t="str">
        <f t="shared" si="147"/>
        <v/>
      </c>
      <c r="AU594" s="1856" t="str">
        <f t="shared" si="148"/>
        <v/>
      </c>
      <c r="AV594" s="1856" t="str">
        <f t="shared" si="149"/>
        <v/>
      </c>
      <c r="AW594" s="1856" t="str">
        <f t="shared" si="150"/>
        <v/>
      </c>
      <c r="AX594" s="1856" t="str">
        <f t="shared" si="151"/>
        <v/>
      </c>
      <c r="AY594" s="1856" t="str">
        <f t="shared" si="152"/>
        <v/>
      </c>
    </row>
    <row r="595" spans="42:52">
      <c r="AP595" s="1855">
        <f t="shared" si="153"/>
        <v>44625</v>
      </c>
      <c r="AQ595" s="925" t="str">
        <f t="shared" si="154"/>
        <v/>
      </c>
      <c r="AR595" s="1856" t="str">
        <f t="shared" si="155"/>
        <v/>
      </c>
      <c r="AS595" s="927">
        <v>5</v>
      </c>
      <c r="AT595" s="1856">
        <f t="shared" si="147"/>
        <v>44625.259722222225</v>
      </c>
      <c r="AU595" s="1856">
        <f t="shared" si="148"/>
        <v>44625.298611111109</v>
      </c>
      <c r="AV595" s="1856">
        <f t="shared" si="149"/>
        <v>44625.777777777781</v>
      </c>
      <c r="AW595" s="1856">
        <f t="shared" si="150"/>
        <v>44625.817361111105</v>
      </c>
      <c r="AX595" s="1856">
        <f t="shared" si="151"/>
        <v>44625.371527777781</v>
      </c>
      <c r="AY595" s="1856">
        <f t="shared" si="152"/>
        <v>44625.916666666664</v>
      </c>
      <c r="AZ595" s="1853">
        <v>7.0000000000000007E-2</v>
      </c>
    </row>
    <row r="596" spans="42:52">
      <c r="AP596" s="1855">
        <f t="shared" si="153"/>
        <v>44625</v>
      </c>
      <c r="AQ596" s="925" t="str">
        <f t="shared" si="154"/>
        <v/>
      </c>
      <c r="AR596" s="1856" t="str">
        <f t="shared" si="155"/>
        <v/>
      </c>
      <c r="AS596" s="927" t="s">
        <v>252</v>
      </c>
      <c r="AT596" s="1856" t="str">
        <f t="shared" si="147"/>
        <v/>
      </c>
      <c r="AU596" s="1856" t="str">
        <f t="shared" si="148"/>
        <v/>
      </c>
      <c r="AV596" s="1856" t="str">
        <f t="shared" si="149"/>
        <v/>
      </c>
      <c r="AW596" s="1856" t="str">
        <f t="shared" si="150"/>
        <v/>
      </c>
      <c r="AX596" s="1856" t="str">
        <f t="shared" si="151"/>
        <v/>
      </c>
      <c r="AY596" s="1856" t="str">
        <f t="shared" si="152"/>
        <v/>
      </c>
    </row>
    <row r="597" spans="42:52">
      <c r="AP597" s="1855">
        <f t="shared" si="153"/>
        <v>44625</v>
      </c>
      <c r="AQ597" s="925" t="str">
        <f t="shared" si="154"/>
        <v/>
      </c>
      <c r="AR597" s="1856" t="str">
        <f t="shared" si="155"/>
        <v/>
      </c>
      <c r="AT597" s="1856" t="str">
        <f t="shared" si="147"/>
        <v/>
      </c>
      <c r="AU597" s="1856" t="str">
        <f t="shared" si="148"/>
        <v/>
      </c>
      <c r="AV597" s="1856" t="str">
        <f t="shared" si="149"/>
        <v/>
      </c>
      <c r="AW597" s="1856" t="str">
        <f t="shared" si="150"/>
        <v/>
      </c>
      <c r="AX597" s="1856" t="str">
        <f t="shared" si="151"/>
        <v/>
      </c>
      <c r="AY597" s="1856" t="str">
        <f t="shared" si="152"/>
        <v/>
      </c>
    </row>
    <row r="598" spans="42:52">
      <c r="AP598" s="1855">
        <f t="shared" si="153"/>
        <v>44625</v>
      </c>
      <c r="AQ598" s="925" t="str">
        <f t="shared" si="154"/>
        <v>BMNT</v>
      </c>
      <c r="AR598" s="1856">
        <f t="shared" si="155"/>
        <v>44625.259722222225</v>
      </c>
      <c r="AS598" s="927" t="s">
        <v>1468</v>
      </c>
      <c r="AT598" s="1856" t="str">
        <f t="shared" si="147"/>
        <v/>
      </c>
      <c r="AU598" s="1856" t="str">
        <f t="shared" si="148"/>
        <v/>
      </c>
      <c r="AV598" s="1856" t="str">
        <f t="shared" si="149"/>
        <v/>
      </c>
      <c r="AW598" s="1856" t="str">
        <f t="shared" si="150"/>
        <v/>
      </c>
      <c r="AX598" s="1856" t="str">
        <f t="shared" si="151"/>
        <v/>
      </c>
      <c r="AY598" s="1856" t="str">
        <f t="shared" si="152"/>
        <v/>
      </c>
    </row>
    <row r="599" spans="42:52">
      <c r="AP599" s="1855">
        <f t="shared" si="153"/>
        <v>44625</v>
      </c>
      <c r="AQ599" s="925" t="str">
        <f t="shared" si="154"/>
        <v>SR</v>
      </c>
      <c r="AR599" s="1856">
        <f t="shared" si="155"/>
        <v>44625.298611111109</v>
      </c>
      <c r="AS599" s="927" t="s">
        <v>1469</v>
      </c>
      <c r="AT599" s="1856" t="str">
        <f t="shared" si="147"/>
        <v/>
      </c>
      <c r="AU599" s="1856" t="str">
        <f t="shared" si="148"/>
        <v/>
      </c>
      <c r="AV599" s="1856" t="str">
        <f t="shared" si="149"/>
        <v/>
      </c>
      <c r="AW599" s="1856" t="str">
        <f t="shared" si="150"/>
        <v/>
      </c>
      <c r="AX599" s="1856" t="str">
        <f t="shared" si="151"/>
        <v/>
      </c>
      <c r="AY599" s="1856" t="str">
        <f t="shared" si="152"/>
        <v/>
      </c>
    </row>
    <row r="600" spans="42:52">
      <c r="AP600" s="1855">
        <f t="shared" si="153"/>
        <v>44625</v>
      </c>
      <c r="AQ600" s="925" t="str">
        <f t="shared" si="154"/>
        <v>MR</v>
      </c>
      <c r="AR600" s="1856">
        <f t="shared" si="155"/>
        <v>44625.371527777781</v>
      </c>
      <c r="AS600" s="927" t="s">
        <v>1470</v>
      </c>
      <c r="AT600" s="1856" t="str">
        <f t="shared" si="147"/>
        <v/>
      </c>
      <c r="AU600" s="1856" t="str">
        <f t="shared" si="148"/>
        <v/>
      </c>
      <c r="AV600" s="1856" t="str">
        <f t="shared" si="149"/>
        <v/>
      </c>
      <c r="AW600" s="1856" t="str">
        <f t="shared" si="150"/>
        <v/>
      </c>
      <c r="AX600" s="1856" t="str">
        <f t="shared" si="151"/>
        <v/>
      </c>
      <c r="AY600" s="1856" t="str">
        <f t="shared" si="152"/>
        <v/>
      </c>
    </row>
    <row r="601" spans="42:52">
      <c r="AP601" s="1855">
        <f t="shared" si="153"/>
        <v>44625</v>
      </c>
      <c r="AQ601" s="925" t="str">
        <f t="shared" si="154"/>
        <v>SS</v>
      </c>
      <c r="AR601" s="1856">
        <f t="shared" si="155"/>
        <v>44625.777777777781</v>
      </c>
      <c r="AS601" s="927" t="s">
        <v>1471</v>
      </c>
      <c r="AT601" s="1856" t="str">
        <f t="shared" si="147"/>
        <v/>
      </c>
      <c r="AU601" s="1856" t="str">
        <f t="shared" si="148"/>
        <v/>
      </c>
      <c r="AV601" s="1856" t="str">
        <f t="shared" si="149"/>
        <v/>
      </c>
      <c r="AW601" s="1856" t="str">
        <f t="shared" si="150"/>
        <v/>
      </c>
      <c r="AX601" s="1856" t="str">
        <f t="shared" si="151"/>
        <v/>
      </c>
      <c r="AY601" s="1856" t="str">
        <f t="shared" si="152"/>
        <v/>
      </c>
    </row>
    <row r="602" spans="42:52">
      <c r="AP602" s="1855">
        <f t="shared" si="153"/>
        <v>44625</v>
      </c>
      <c r="AQ602" s="925" t="str">
        <f t="shared" si="154"/>
        <v>EENT</v>
      </c>
      <c r="AR602" s="1856">
        <f t="shared" si="155"/>
        <v>44625.817361111105</v>
      </c>
      <c r="AS602" s="927" t="s">
        <v>1472</v>
      </c>
      <c r="AT602" s="1856" t="str">
        <f t="shared" si="147"/>
        <v/>
      </c>
      <c r="AU602" s="1856" t="str">
        <f t="shared" si="148"/>
        <v/>
      </c>
      <c r="AV602" s="1856" t="str">
        <f t="shared" si="149"/>
        <v/>
      </c>
      <c r="AW602" s="1856" t="str">
        <f t="shared" si="150"/>
        <v/>
      </c>
      <c r="AX602" s="1856" t="str">
        <f t="shared" si="151"/>
        <v/>
      </c>
      <c r="AY602" s="1856" t="str">
        <f t="shared" si="152"/>
        <v/>
      </c>
    </row>
    <row r="603" spans="42:52">
      <c r="AP603" s="1855">
        <f t="shared" si="153"/>
        <v>44625</v>
      </c>
      <c r="AQ603" s="925" t="str">
        <f t="shared" si="154"/>
        <v>MS</v>
      </c>
      <c r="AR603" s="1856">
        <f t="shared" si="155"/>
        <v>44625.916666666664</v>
      </c>
      <c r="AS603" s="927" t="s">
        <v>1473</v>
      </c>
      <c r="AT603" s="1856" t="str">
        <f t="shared" si="147"/>
        <v/>
      </c>
      <c r="AU603" s="1856" t="str">
        <f t="shared" si="148"/>
        <v/>
      </c>
      <c r="AV603" s="1856" t="str">
        <f t="shared" si="149"/>
        <v/>
      </c>
      <c r="AW603" s="1856" t="str">
        <f t="shared" si="150"/>
        <v/>
      </c>
      <c r="AX603" s="1856" t="str">
        <f t="shared" si="151"/>
        <v/>
      </c>
      <c r="AY603" s="1856" t="str">
        <f t="shared" si="152"/>
        <v/>
      </c>
    </row>
    <row r="604" spans="42:52">
      <c r="AP604" s="1855">
        <f t="shared" si="153"/>
        <v>44626</v>
      </c>
      <c r="AQ604" s="925" t="str">
        <f t="shared" si="154"/>
        <v/>
      </c>
      <c r="AR604" s="1856" t="str">
        <f t="shared" si="155"/>
        <v/>
      </c>
      <c r="AS604" s="927">
        <v>6</v>
      </c>
      <c r="AT604" s="1856">
        <f t="shared" ref="AT604:AT667" si="156">IF(ISNUMBER(AS604),INDEX(AR605:AR615,MATCH($AT$27,AQ605:AQ615,0)),"")</f>
        <v>44626.258333333331</v>
      </c>
      <c r="AU604" s="1856">
        <f t="shared" ref="AU604:AU667" si="157">IF(AT604="","",INDEX(AR605:AR615,MATCH($AU$27,AQ605:AQ615,0)))</f>
        <v>44626.297916666663</v>
      </c>
      <c r="AV604" s="1856">
        <f t="shared" ref="AV604:AV667" si="158">IF(AT604="","",INDEX(AR605:AR615,MATCH($AV$27,AQ605:AQ615,0)))</f>
        <v>44626.77847222222</v>
      </c>
      <c r="AW604" s="1856">
        <f t="shared" ref="AW604:AW667" si="159">IF(AT604="","",INDEX(AR605:AR615,MATCH($AW$27,AQ605:AQ615,0)))</f>
        <v>44626.818055555552</v>
      </c>
      <c r="AX604" s="1856">
        <f t="shared" ref="AX604:AX667" si="160">IF(AT604="","",INDEX(AR605:AR615,MATCH($AX$27,AQ605:AQ615,0)))</f>
        <v>44626.388888888891</v>
      </c>
      <c r="AY604" s="1856">
        <f t="shared" ref="AY604:AY667" si="161">IF(AT604="","",INDEX(AR605:AR615,MATCH($AY$27,AQ605:AQ615,0)))</f>
        <v>44626.959722222222</v>
      </c>
      <c r="AZ604" s="1853">
        <v>0.13</v>
      </c>
    </row>
    <row r="605" spans="42:52">
      <c r="AP605" s="1855">
        <f t="shared" si="153"/>
        <v>44626</v>
      </c>
      <c r="AQ605" s="925" t="str">
        <f t="shared" si="154"/>
        <v/>
      </c>
      <c r="AR605" s="1856" t="str">
        <f t="shared" si="155"/>
        <v/>
      </c>
      <c r="AS605" s="927" t="s">
        <v>252</v>
      </c>
      <c r="AT605" s="1856" t="str">
        <f t="shared" si="156"/>
        <v/>
      </c>
      <c r="AU605" s="1856" t="str">
        <f t="shared" si="157"/>
        <v/>
      </c>
      <c r="AV605" s="1856" t="str">
        <f t="shared" si="158"/>
        <v/>
      </c>
      <c r="AW605" s="1856" t="str">
        <f t="shared" si="159"/>
        <v/>
      </c>
      <c r="AX605" s="1856" t="str">
        <f t="shared" si="160"/>
        <v/>
      </c>
      <c r="AY605" s="1856" t="str">
        <f t="shared" si="161"/>
        <v/>
      </c>
    </row>
    <row r="606" spans="42:52">
      <c r="AP606" s="1855">
        <f t="shared" si="153"/>
        <v>44626</v>
      </c>
      <c r="AQ606" s="925" t="str">
        <f t="shared" si="154"/>
        <v/>
      </c>
      <c r="AR606" s="1856" t="str">
        <f t="shared" si="155"/>
        <v/>
      </c>
      <c r="AT606" s="1856" t="str">
        <f t="shared" si="156"/>
        <v/>
      </c>
      <c r="AU606" s="1856" t="str">
        <f t="shared" si="157"/>
        <v/>
      </c>
      <c r="AV606" s="1856" t="str">
        <f t="shared" si="158"/>
        <v/>
      </c>
      <c r="AW606" s="1856" t="str">
        <f t="shared" si="159"/>
        <v/>
      </c>
      <c r="AX606" s="1856" t="str">
        <f t="shared" si="160"/>
        <v/>
      </c>
      <c r="AY606" s="1856" t="str">
        <f t="shared" si="161"/>
        <v/>
      </c>
    </row>
    <row r="607" spans="42:52">
      <c r="AP607" s="1855">
        <f t="shared" si="153"/>
        <v>44626</v>
      </c>
      <c r="AQ607" s="925" t="str">
        <f t="shared" si="154"/>
        <v>BMNT</v>
      </c>
      <c r="AR607" s="1856">
        <f t="shared" si="155"/>
        <v>44626.258333333331</v>
      </c>
      <c r="AS607" s="927" t="s">
        <v>1474</v>
      </c>
      <c r="AT607" s="1856" t="str">
        <f t="shared" si="156"/>
        <v/>
      </c>
      <c r="AU607" s="1856" t="str">
        <f t="shared" si="157"/>
        <v/>
      </c>
      <c r="AV607" s="1856" t="str">
        <f t="shared" si="158"/>
        <v/>
      </c>
      <c r="AW607" s="1856" t="str">
        <f t="shared" si="159"/>
        <v/>
      </c>
      <c r="AX607" s="1856" t="str">
        <f t="shared" si="160"/>
        <v/>
      </c>
      <c r="AY607" s="1856" t="str">
        <f t="shared" si="161"/>
        <v/>
      </c>
    </row>
    <row r="608" spans="42:52">
      <c r="AP608" s="1855">
        <f t="shared" si="153"/>
        <v>44626</v>
      </c>
      <c r="AQ608" s="925" t="str">
        <f t="shared" si="154"/>
        <v>SR</v>
      </c>
      <c r="AR608" s="1856">
        <f t="shared" si="155"/>
        <v>44626.297916666663</v>
      </c>
      <c r="AS608" s="927" t="s">
        <v>1475</v>
      </c>
      <c r="AT608" s="1856" t="str">
        <f t="shared" si="156"/>
        <v/>
      </c>
      <c r="AU608" s="1856" t="str">
        <f t="shared" si="157"/>
        <v/>
      </c>
      <c r="AV608" s="1856" t="str">
        <f t="shared" si="158"/>
        <v/>
      </c>
      <c r="AW608" s="1856" t="str">
        <f t="shared" si="159"/>
        <v/>
      </c>
      <c r="AX608" s="1856" t="str">
        <f t="shared" si="160"/>
        <v/>
      </c>
      <c r="AY608" s="1856" t="str">
        <f t="shared" si="161"/>
        <v/>
      </c>
    </row>
    <row r="609" spans="42:52">
      <c r="AP609" s="1855">
        <f t="shared" si="153"/>
        <v>44626</v>
      </c>
      <c r="AQ609" s="925" t="str">
        <f t="shared" si="154"/>
        <v>MR</v>
      </c>
      <c r="AR609" s="1856">
        <f t="shared" si="155"/>
        <v>44626.388888888891</v>
      </c>
      <c r="AS609" s="927" t="s">
        <v>1476</v>
      </c>
      <c r="AT609" s="1856" t="str">
        <f t="shared" si="156"/>
        <v/>
      </c>
      <c r="AU609" s="1856" t="str">
        <f t="shared" si="157"/>
        <v/>
      </c>
      <c r="AV609" s="1856" t="str">
        <f t="shared" si="158"/>
        <v/>
      </c>
      <c r="AW609" s="1856" t="str">
        <f t="shared" si="159"/>
        <v/>
      </c>
      <c r="AX609" s="1856" t="str">
        <f t="shared" si="160"/>
        <v/>
      </c>
      <c r="AY609" s="1856" t="str">
        <f t="shared" si="161"/>
        <v/>
      </c>
    </row>
    <row r="610" spans="42:52">
      <c r="AP610" s="1855">
        <f t="shared" si="153"/>
        <v>44626</v>
      </c>
      <c r="AQ610" s="925" t="str">
        <f t="shared" si="154"/>
        <v>SS</v>
      </c>
      <c r="AR610" s="1856">
        <f t="shared" si="155"/>
        <v>44626.77847222222</v>
      </c>
      <c r="AS610" s="927" t="s">
        <v>1477</v>
      </c>
      <c r="AT610" s="1856" t="str">
        <f t="shared" si="156"/>
        <v/>
      </c>
      <c r="AU610" s="1856" t="str">
        <f t="shared" si="157"/>
        <v/>
      </c>
      <c r="AV610" s="1856" t="str">
        <f t="shared" si="158"/>
        <v/>
      </c>
      <c r="AW610" s="1856" t="str">
        <f t="shared" si="159"/>
        <v/>
      </c>
      <c r="AX610" s="1856" t="str">
        <f t="shared" si="160"/>
        <v/>
      </c>
      <c r="AY610" s="1856" t="str">
        <f t="shared" si="161"/>
        <v/>
      </c>
    </row>
    <row r="611" spans="42:52">
      <c r="AP611" s="1855">
        <f t="shared" si="153"/>
        <v>44626</v>
      </c>
      <c r="AQ611" s="925" t="str">
        <f t="shared" si="154"/>
        <v>EENT</v>
      </c>
      <c r="AR611" s="1856">
        <f t="shared" si="155"/>
        <v>44626.818055555552</v>
      </c>
      <c r="AS611" s="927" t="s">
        <v>1478</v>
      </c>
      <c r="AT611" s="1856" t="str">
        <f t="shared" si="156"/>
        <v/>
      </c>
      <c r="AU611" s="1856" t="str">
        <f t="shared" si="157"/>
        <v/>
      </c>
      <c r="AV611" s="1856" t="str">
        <f t="shared" si="158"/>
        <v/>
      </c>
      <c r="AW611" s="1856" t="str">
        <f t="shared" si="159"/>
        <v/>
      </c>
      <c r="AX611" s="1856" t="str">
        <f t="shared" si="160"/>
        <v/>
      </c>
      <c r="AY611" s="1856" t="str">
        <f t="shared" si="161"/>
        <v/>
      </c>
    </row>
    <row r="612" spans="42:52">
      <c r="AP612" s="1855">
        <f t="shared" si="153"/>
        <v>44626</v>
      </c>
      <c r="AQ612" s="925" t="str">
        <f t="shared" si="154"/>
        <v>MS</v>
      </c>
      <c r="AR612" s="1856">
        <f t="shared" si="155"/>
        <v>44626.959722222222</v>
      </c>
      <c r="AS612" s="927" t="s">
        <v>1479</v>
      </c>
      <c r="AT612" s="1856" t="str">
        <f t="shared" si="156"/>
        <v/>
      </c>
      <c r="AU612" s="1856" t="str">
        <f t="shared" si="157"/>
        <v/>
      </c>
      <c r="AV612" s="1856" t="str">
        <f t="shared" si="158"/>
        <v/>
      </c>
      <c r="AW612" s="1856" t="str">
        <f t="shared" si="159"/>
        <v/>
      </c>
      <c r="AX612" s="1856" t="str">
        <f t="shared" si="160"/>
        <v/>
      </c>
      <c r="AY612" s="1856" t="str">
        <f t="shared" si="161"/>
        <v/>
      </c>
    </row>
    <row r="613" spans="42:52">
      <c r="AP613" s="1855">
        <f t="shared" ref="AP613:AP676" si="162">IF(ISNUMBER(AS613),AP612+1,AP612)</f>
        <v>44627</v>
      </c>
      <c r="AQ613" s="925" t="str">
        <f t="shared" ref="AQ613:AQ676" si="163">IF(NOT(ISNUMBER(FIND(":",AS613))),"",IF(ISNUMBER(FIND("Sunr",AS613)),"SR", IF(ISNUMBER(FIND("Suns",AS613)),"SS",IF(ISNUMBER(FIND("Moonr",AS613)),"MR",IF(ISNUMBER(FIND("Moons",AS613)),"MS",IF(ISNUMBER(FIND("Twi",AS613)),IF(HOUR(AR613)&lt;12,"BMNT","EENT")))))))</f>
        <v/>
      </c>
      <c r="AR613" s="1856" t="str">
        <f t="shared" si="155"/>
        <v/>
      </c>
      <c r="AS613" s="927">
        <v>7</v>
      </c>
      <c r="AT613" s="1856">
        <f t="shared" si="156"/>
        <v>44627.257638888892</v>
      </c>
      <c r="AU613" s="1856">
        <f t="shared" si="157"/>
        <v>44627.296527777777</v>
      </c>
      <c r="AV613" s="1856">
        <f t="shared" si="158"/>
        <v>44627.779166666667</v>
      </c>
      <c r="AW613" s="1856">
        <f t="shared" si="159"/>
        <v>44627.818749999999</v>
      </c>
      <c r="AX613" s="1856">
        <f t="shared" si="160"/>
        <v>44627.407638888886</v>
      </c>
      <c r="AY613" s="1856" t="str">
        <f t="shared" si="161"/>
        <v>NONE</v>
      </c>
      <c r="AZ613" s="1853">
        <v>0.21</v>
      </c>
    </row>
    <row r="614" spans="42:52">
      <c r="AP614" s="1855">
        <f t="shared" si="162"/>
        <v>44627</v>
      </c>
      <c r="AQ614" s="925" t="str">
        <f t="shared" si="163"/>
        <v/>
      </c>
      <c r="AR614" s="1856" t="str">
        <f t="shared" si="155"/>
        <v/>
      </c>
      <c r="AS614" s="927" t="s">
        <v>252</v>
      </c>
      <c r="AT614" s="1856" t="str">
        <f t="shared" si="156"/>
        <v/>
      </c>
      <c r="AU614" s="1856" t="str">
        <f t="shared" si="157"/>
        <v/>
      </c>
      <c r="AV614" s="1856" t="str">
        <f t="shared" si="158"/>
        <v/>
      </c>
      <c r="AW614" s="1856" t="str">
        <f t="shared" si="159"/>
        <v/>
      </c>
      <c r="AX614" s="1856" t="str">
        <f t="shared" si="160"/>
        <v/>
      </c>
      <c r="AY614" s="1856" t="str">
        <f t="shared" si="161"/>
        <v/>
      </c>
    </row>
    <row r="615" spans="42:52">
      <c r="AP615" s="1855">
        <f t="shared" si="162"/>
        <v>44627</v>
      </c>
      <c r="AQ615" s="925" t="str">
        <f t="shared" si="163"/>
        <v/>
      </c>
      <c r="AR615" s="1856" t="str">
        <f t="shared" si="155"/>
        <v/>
      </c>
      <c r="AT615" s="1856" t="str">
        <f t="shared" si="156"/>
        <v/>
      </c>
      <c r="AU615" s="1856" t="str">
        <f t="shared" si="157"/>
        <v/>
      </c>
      <c r="AV615" s="1856" t="str">
        <f t="shared" si="158"/>
        <v/>
      </c>
      <c r="AW615" s="1856" t="str">
        <f t="shared" si="159"/>
        <v/>
      </c>
      <c r="AX615" s="1856" t="str">
        <f t="shared" si="160"/>
        <v/>
      </c>
      <c r="AY615" s="1856" t="str">
        <f t="shared" si="161"/>
        <v/>
      </c>
    </row>
    <row r="616" spans="42:52">
      <c r="AP616" s="1855">
        <f t="shared" si="162"/>
        <v>44627</v>
      </c>
      <c r="AQ616" s="925" t="str">
        <f t="shared" si="163"/>
        <v>BMNT</v>
      </c>
      <c r="AR616" s="1856">
        <f t="shared" si="155"/>
        <v>44627.257638888892</v>
      </c>
      <c r="AS616" s="927" t="s">
        <v>1480</v>
      </c>
      <c r="AT616" s="1856" t="str">
        <f t="shared" si="156"/>
        <v/>
      </c>
      <c r="AU616" s="1856" t="str">
        <f t="shared" si="157"/>
        <v/>
      </c>
      <c r="AV616" s="1856" t="str">
        <f t="shared" si="158"/>
        <v/>
      </c>
      <c r="AW616" s="1856" t="str">
        <f t="shared" si="159"/>
        <v/>
      </c>
      <c r="AX616" s="1856" t="str">
        <f t="shared" si="160"/>
        <v/>
      </c>
      <c r="AY616" s="1856" t="str">
        <f t="shared" si="161"/>
        <v/>
      </c>
    </row>
    <row r="617" spans="42:52">
      <c r="AP617" s="1855">
        <f t="shared" si="162"/>
        <v>44627</v>
      </c>
      <c r="AQ617" s="925" t="str">
        <f t="shared" si="163"/>
        <v>SR</v>
      </c>
      <c r="AR617" s="1856">
        <f t="shared" ref="AR617:AR680" si="164">IF(NOT(ISNUMBER(FIND(":",AS617))),"",IF(ISNUMBER(FIND(" none",AS617)),"NONE",AP617+LEFT(RIGHT(AS617,5),2)/24+RIGHT(AS617,2)/1440))</f>
        <v>44627.296527777777</v>
      </c>
      <c r="AS617" s="927" t="s">
        <v>1481</v>
      </c>
      <c r="AT617" s="1856" t="str">
        <f t="shared" si="156"/>
        <v/>
      </c>
      <c r="AU617" s="1856" t="str">
        <f t="shared" si="157"/>
        <v/>
      </c>
      <c r="AV617" s="1856" t="str">
        <f t="shared" si="158"/>
        <v/>
      </c>
      <c r="AW617" s="1856" t="str">
        <f t="shared" si="159"/>
        <v/>
      </c>
      <c r="AX617" s="1856" t="str">
        <f t="shared" si="160"/>
        <v/>
      </c>
      <c r="AY617" s="1856" t="str">
        <f t="shared" si="161"/>
        <v/>
      </c>
    </row>
    <row r="618" spans="42:52">
      <c r="AP618" s="1855">
        <f t="shared" si="162"/>
        <v>44627</v>
      </c>
      <c r="AQ618" s="925" t="str">
        <f t="shared" si="163"/>
        <v>MR</v>
      </c>
      <c r="AR618" s="1856">
        <f t="shared" si="164"/>
        <v>44627.407638888886</v>
      </c>
      <c r="AS618" s="927" t="s">
        <v>1482</v>
      </c>
      <c r="AT618" s="1856" t="str">
        <f t="shared" si="156"/>
        <v/>
      </c>
      <c r="AU618" s="1856" t="str">
        <f t="shared" si="157"/>
        <v/>
      </c>
      <c r="AV618" s="1856" t="str">
        <f t="shared" si="158"/>
        <v/>
      </c>
      <c r="AW618" s="1856" t="str">
        <f t="shared" si="159"/>
        <v/>
      </c>
      <c r="AX618" s="1856" t="str">
        <f t="shared" si="160"/>
        <v/>
      </c>
      <c r="AY618" s="1856" t="str">
        <f t="shared" si="161"/>
        <v/>
      </c>
    </row>
    <row r="619" spans="42:52">
      <c r="AP619" s="1855">
        <f t="shared" si="162"/>
        <v>44627</v>
      </c>
      <c r="AQ619" s="925" t="str">
        <f t="shared" si="163"/>
        <v>SS</v>
      </c>
      <c r="AR619" s="1856">
        <f t="shared" si="164"/>
        <v>44627.779166666667</v>
      </c>
      <c r="AS619" s="927" t="s">
        <v>1483</v>
      </c>
      <c r="AT619" s="1856" t="str">
        <f t="shared" si="156"/>
        <v/>
      </c>
      <c r="AU619" s="1856" t="str">
        <f t="shared" si="157"/>
        <v/>
      </c>
      <c r="AV619" s="1856" t="str">
        <f t="shared" si="158"/>
        <v/>
      </c>
      <c r="AW619" s="1856" t="str">
        <f t="shared" si="159"/>
        <v/>
      </c>
      <c r="AX619" s="1856" t="str">
        <f t="shared" si="160"/>
        <v/>
      </c>
      <c r="AY619" s="1856" t="str">
        <f t="shared" si="161"/>
        <v/>
      </c>
    </row>
    <row r="620" spans="42:52">
      <c r="AP620" s="1855">
        <f t="shared" si="162"/>
        <v>44627</v>
      </c>
      <c r="AQ620" s="925" t="str">
        <f t="shared" si="163"/>
        <v>EENT</v>
      </c>
      <c r="AR620" s="1856">
        <f t="shared" si="164"/>
        <v>44627.818749999999</v>
      </c>
      <c r="AS620" s="927" t="s">
        <v>1484</v>
      </c>
      <c r="AT620" s="1856" t="str">
        <f t="shared" si="156"/>
        <v/>
      </c>
      <c r="AU620" s="1856" t="str">
        <f t="shared" si="157"/>
        <v/>
      </c>
      <c r="AV620" s="1856" t="str">
        <f t="shared" si="158"/>
        <v/>
      </c>
      <c r="AW620" s="1856" t="str">
        <f t="shared" si="159"/>
        <v/>
      </c>
      <c r="AX620" s="1856" t="str">
        <f t="shared" si="160"/>
        <v/>
      </c>
      <c r="AY620" s="1856" t="str">
        <f t="shared" si="161"/>
        <v/>
      </c>
    </row>
    <row r="621" spans="42:52">
      <c r="AP621" s="1855">
        <f t="shared" si="162"/>
        <v>44627</v>
      </c>
      <c r="AQ621" s="925" t="str">
        <f t="shared" si="163"/>
        <v>MS</v>
      </c>
      <c r="AR621" s="1856" t="str">
        <f t="shared" si="164"/>
        <v>NONE</v>
      </c>
      <c r="AS621" s="927" t="s">
        <v>948</v>
      </c>
      <c r="AT621" s="1856" t="str">
        <f t="shared" si="156"/>
        <v/>
      </c>
      <c r="AU621" s="1856" t="str">
        <f t="shared" si="157"/>
        <v/>
      </c>
      <c r="AV621" s="1856" t="str">
        <f t="shared" si="158"/>
        <v/>
      </c>
      <c r="AW621" s="1856" t="str">
        <f t="shared" si="159"/>
        <v/>
      </c>
      <c r="AX621" s="1856" t="str">
        <f t="shared" si="160"/>
        <v/>
      </c>
      <c r="AY621" s="1856" t="str">
        <f t="shared" si="161"/>
        <v/>
      </c>
    </row>
    <row r="622" spans="42:52">
      <c r="AP622" s="1855">
        <f t="shared" si="162"/>
        <v>44628</v>
      </c>
      <c r="AQ622" s="925" t="str">
        <f t="shared" si="163"/>
        <v/>
      </c>
      <c r="AR622" s="1856" t="str">
        <f t="shared" si="164"/>
        <v/>
      </c>
      <c r="AS622" s="927">
        <v>8</v>
      </c>
      <c r="AT622" s="1856">
        <f t="shared" si="156"/>
        <v>44628.256249999999</v>
      </c>
      <c r="AU622" s="1856">
        <f t="shared" si="157"/>
        <v>44628.29583333333</v>
      </c>
      <c r="AV622" s="1856">
        <f t="shared" si="158"/>
        <v>44628.779861111114</v>
      </c>
      <c r="AW622" s="1856">
        <f t="shared" si="159"/>
        <v>44628.819444444445</v>
      </c>
      <c r="AX622" s="1856">
        <f t="shared" si="160"/>
        <v>44628.428472222222</v>
      </c>
      <c r="AY622" s="1856">
        <f t="shared" si="161"/>
        <v>44628.00277777778</v>
      </c>
      <c r="AZ622" s="1853">
        <v>0.28999999999999998</v>
      </c>
    </row>
    <row r="623" spans="42:52">
      <c r="AP623" s="1855">
        <f t="shared" si="162"/>
        <v>44628</v>
      </c>
      <c r="AQ623" s="925" t="str">
        <f t="shared" si="163"/>
        <v/>
      </c>
      <c r="AR623" s="1856" t="str">
        <f t="shared" si="164"/>
        <v/>
      </c>
      <c r="AS623" s="927" t="s">
        <v>252</v>
      </c>
      <c r="AT623" s="1856" t="str">
        <f t="shared" si="156"/>
        <v/>
      </c>
      <c r="AU623" s="1856" t="str">
        <f t="shared" si="157"/>
        <v/>
      </c>
      <c r="AV623" s="1856" t="str">
        <f t="shared" si="158"/>
        <v/>
      </c>
      <c r="AW623" s="1856" t="str">
        <f t="shared" si="159"/>
        <v/>
      </c>
      <c r="AX623" s="1856" t="str">
        <f t="shared" si="160"/>
        <v/>
      </c>
      <c r="AY623" s="1856" t="str">
        <f t="shared" si="161"/>
        <v/>
      </c>
    </row>
    <row r="624" spans="42:52">
      <c r="AP624" s="1855">
        <f t="shared" si="162"/>
        <v>44628</v>
      </c>
      <c r="AQ624" s="925" t="str">
        <f t="shared" si="163"/>
        <v/>
      </c>
      <c r="AR624" s="1856" t="str">
        <f t="shared" si="164"/>
        <v/>
      </c>
      <c r="AT624" s="1856" t="str">
        <f t="shared" si="156"/>
        <v/>
      </c>
      <c r="AU624" s="1856" t="str">
        <f t="shared" si="157"/>
        <v/>
      </c>
      <c r="AV624" s="1856" t="str">
        <f t="shared" si="158"/>
        <v/>
      </c>
      <c r="AW624" s="1856" t="str">
        <f t="shared" si="159"/>
        <v/>
      </c>
      <c r="AX624" s="1856" t="str">
        <f t="shared" si="160"/>
        <v/>
      </c>
      <c r="AY624" s="1856" t="str">
        <f t="shared" si="161"/>
        <v/>
      </c>
    </row>
    <row r="625" spans="42:52">
      <c r="AP625" s="1855">
        <f t="shared" si="162"/>
        <v>44628</v>
      </c>
      <c r="AQ625" s="925" t="str">
        <f t="shared" si="163"/>
        <v>MS</v>
      </c>
      <c r="AR625" s="1856">
        <f t="shared" si="164"/>
        <v>44628.00277777778</v>
      </c>
      <c r="AS625" s="927" t="s">
        <v>1485</v>
      </c>
      <c r="AT625" s="1856" t="str">
        <f t="shared" si="156"/>
        <v/>
      </c>
      <c r="AU625" s="1856" t="str">
        <f t="shared" si="157"/>
        <v/>
      </c>
      <c r="AV625" s="1856" t="str">
        <f t="shared" si="158"/>
        <v/>
      </c>
      <c r="AW625" s="1856" t="str">
        <f t="shared" si="159"/>
        <v/>
      </c>
      <c r="AX625" s="1856" t="str">
        <f t="shared" si="160"/>
        <v/>
      </c>
      <c r="AY625" s="1856" t="str">
        <f t="shared" si="161"/>
        <v/>
      </c>
    </row>
    <row r="626" spans="42:52">
      <c r="AP626" s="1855">
        <f t="shared" si="162"/>
        <v>44628</v>
      </c>
      <c r="AQ626" s="925" t="str">
        <f t="shared" si="163"/>
        <v>BMNT</v>
      </c>
      <c r="AR626" s="1856">
        <f t="shared" si="164"/>
        <v>44628.256249999999</v>
      </c>
      <c r="AS626" s="927" t="s">
        <v>1486</v>
      </c>
      <c r="AT626" s="1856" t="str">
        <f t="shared" si="156"/>
        <v/>
      </c>
      <c r="AU626" s="1856" t="str">
        <f t="shared" si="157"/>
        <v/>
      </c>
      <c r="AV626" s="1856" t="str">
        <f t="shared" si="158"/>
        <v/>
      </c>
      <c r="AW626" s="1856" t="str">
        <f t="shared" si="159"/>
        <v/>
      </c>
      <c r="AX626" s="1856" t="str">
        <f t="shared" si="160"/>
        <v/>
      </c>
      <c r="AY626" s="1856" t="str">
        <f t="shared" si="161"/>
        <v/>
      </c>
    </row>
    <row r="627" spans="42:52">
      <c r="AP627" s="1855">
        <f t="shared" si="162"/>
        <v>44628</v>
      </c>
      <c r="AQ627" s="925" t="str">
        <f t="shared" si="163"/>
        <v>SR</v>
      </c>
      <c r="AR627" s="1856">
        <f t="shared" si="164"/>
        <v>44628.29583333333</v>
      </c>
      <c r="AS627" s="927" t="s">
        <v>1487</v>
      </c>
      <c r="AT627" s="1856" t="str">
        <f t="shared" si="156"/>
        <v/>
      </c>
      <c r="AU627" s="1856" t="str">
        <f t="shared" si="157"/>
        <v/>
      </c>
      <c r="AV627" s="1856" t="str">
        <f t="shared" si="158"/>
        <v/>
      </c>
      <c r="AW627" s="1856" t="str">
        <f t="shared" si="159"/>
        <v/>
      </c>
      <c r="AX627" s="1856" t="str">
        <f t="shared" si="160"/>
        <v/>
      </c>
      <c r="AY627" s="1856" t="str">
        <f t="shared" si="161"/>
        <v/>
      </c>
    </row>
    <row r="628" spans="42:52">
      <c r="AP628" s="1855">
        <f t="shared" si="162"/>
        <v>44628</v>
      </c>
      <c r="AQ628" s="925" t="str">
        <f t="shared" si="163"/>
        <v>MR</v>
      </c>
      <c r="AR628" s="1856">
        <f t="shared" si="164"/>
        <v>44628.428472222222</v>
      </c>
      <c r="AS628" s="927" t="s">
        <v>1488</v>
      </c>
      <c r="AT628" s="1856" t="str">
        <f t="shared" si="156"/>
        <v/>
      </c>
      <c r="AU628" s="1856" t="str">
        <f t="shared" si="157"/>
        <v/>
      </c>
      <c r="AV628" s="1856" t="str">
        <f t="shared" si="158"/>
        <v/>
      </c>
      <c r="AW628" s="1856" t="str">
        <f t="shared" si="159"/>
        <v/>
      </c>
      <c r="AX628" s="1856" t="str">
        <f t="shared" si="160"/>
        <v/>
      </c>
      <c r="AY628" s="1856" t="str">
        <f t="shared" si="161"/>
        <v/>
      </c>
    </row>
    <row r="629" spans="42:52">
      <c r="AP629" s="1855">
        <f t="shared" si="162"/>
        <v>44628</v>
      </c>
      <c r="AQ629" s="925" t="str">
        <f t="shared" si="163"/>
        <v>SS</v>
      </c>
      <c r="AR629" s="1856">
        <f t="shared" si="164"/>
        <v>44628.779861111114</v>
      </c>
      <c r="AS629" s="927" t="s">
        <v>1489</v>
      </c>
      <c r="AT629" s="1856" t="str">
        <f t="shared" si="156"/>
        <v/>
      </c>
      <c r="AU629" s="1856" t="str">
        <f t="shared" si="157"/>
        <v/>
      </c>
      <c r="AV629" s="1856" t="str">
        <f t="shared" si="158"/>
        <v/>
      </c>
      <c r="AW629" s="1856" t="str">
        <f t="shared" si="159"/>
        <v/>
      </c>
      <c r="AX629" s="1856" t="str">
        <f t="shared" si="160"/>
        <v/>
      </c>
      <c r="AY629" s="1856" t="str">
        <f t="shared" si="161"/>
        <v/>
      </c>
    </row>
    <row r="630" spans="42:52">
      <c r="AP630" s="1855">
        <f t="shared" si="162"/>
        <v>44628</v>
      </c>
      <c r="AQ630" s="925" t="str">
        <f t="shared" si="163"/>
        <v>EENT</v>
      </c>
      <c r="AR630" s="1856">
        <f t="shared" si="164"/>
        <v>44628.819444444445</v>
      </c>
      <c r="AS630" s="927" t="s">
        <v>1490</v>
      </c>
      <c r="AT630" s="1856" t="str">
        <f t="shared" si="156"/>
        <v/>
      </c>
      <c r="AU630" s="1856" t="str">
        <f t="shared" si="157"/>
        <v/>
      </c>
      <c r="AV630" s="1856" t="str">
        <f t="shared" si="158"/>
        <v/>
      </c>
      <c r="AW630" s="1856" t="str">
        <f t="shared" si="159"/>
        <v/>
      </c>
      <c r="AX630" s="1856" t="str">
        <f t="shared" si="160"/>
        <v/>
      </c>
      <c r="AY630" s="1856" t="str">
        <f t="shared" si="161"/>
        <v/>
      </c>
    </row>
    <row r="631" spans="42:52">
      <c r="AP631" s="1855">
        <f t="shared" si="162"/>
        <v>44629</v>
      </c>
      <c r="AQ631" s="925" t="str">
        <f t="shared" si="163"/>
        <v/>
      </c>
      <c r="AR631" s="1856" t="str">
        <f t="shared" si="164"/>
        <v/>
      </c>
      <c r="AS631" s="927">
        <v>9</v>
      </c>
      <c r="AT631" s="1856">
        <f t="shared" si="156"/>
        <v>44629.255555555559</v>
      </c>
      <c r="AU631" s="1856">
        <f t="shared" si="157"/>
        <v>44629.295138888883</v>
      </c>
      <c r="AV631" s="1856">
        <f t="shared" si="158"/>
        <v>44629.780555555553</v>
      </c>
      <c r="AW631" s="1856">
        <f t="shared" si="159"/>
        <v>44629.820138888885</v>
      </c>
      <c r="AX631" s="1856">
        <f t="shared" si="160"/>
        <v>44629.452777777777</v>
      </c>
      <c r="AY631" s="1856">
        <f t="shared" si="161"/>
        <v>44629.044444444444</v>
      </c>
      <c r="AZ631" s="1853">
        <v>0.39</v>
      </c>
    </row>
    <row r="632" spans="42:52">
      <c r="AP632" s="1855">
        <f t="shared" si="162"/>
        <v>44629</v>
      </c>
      <c r="AQ632" s="925" t="str">
        <f t="shared" si="163"/>
        <v/>
      </c>
      <c r="AR632" s="1856" t="str">
        <f t="shared" si="164"/>
        <v/>
      </c>
      <c r="AS632" s="927" t="s">
        <v>252</v>
      </c>
      <c r="AT632" s="1856" t="str">
        <f t="shared" si="156"/>
        <v/>
      </c>
      <c r="AU632" s="1856" t="str">
        <f t="shared" si="157"/>
        <v/>
      </c>
      <c r="AV632" s="1856" t="str">
        <f t="shared" si="158"/>
        <v/>
      </c>
      <c r="AW632" s="1856" t="str">
        <f t="shared" si="159"/>
        <v/>
      </c>
      <c r="AX632" s="1856" t="str">
        <f t="shared" si="160"/>
        <v/>
      </c>
      <c r="AY632" s="1856" t="str">
        <f t="shared" si="161"/>
        <v/>
      </c>
    </row>
    <row r="633" spans="42:52">
      <c r="AP633" s="1855">
        <f t="shared" si="162"/>
        <v>44629</v>
      </c>
      <c r="AQ633" s="925" t="str">
        <f t="shared" si="163"/>
        <v/>
      </c>
      <c r="AR633" s="1856" t="str">
        <f t="shared" si="164"/>
        <v/>
      </c>
      <c r="AT633" s="1856" t="str">
        <f t="shared" si="156"/>
        <v/>
      </c>
      <c r="AU633" s="1856" t="str">
        <f t="shared" si="157"/>
        <v/>
      </c>
      <c r="AV633" s="1856" t="str">
        <f t="shared" si="158"/>
        <v/>
      </c>
      <c r="AW633" s="1856" t="str">
        <f t="shared" si="159"/>
        <v/>
      </c>
      <c r="AX633" s="1856" t="str">
        <f t="shared" si="160"/>
        <v/>
      </c>
      <c r="AY633" s="1856" t="str">
        <f t="shared" si="161"/>
        <v/>
      </c>
    </row>
    <row r="634" spans="42:52">
      <c r="AP634" s="1855">
        <f t="shared" si="162"/>
        <v>44629</v>
      </c>
      <c r="AQ634" s="925" t="str">
        <f t="shared" si="163"/>
        <v>MS</v>
      </c>
      <c r="AR634" s="1856">
        <f t="shared" si="164"/>
        <v>44629.044444444444</v>
      </c>
      <c r="AS634" s="927" t="s">
        <v>1491</v>
      </c>
      <c r="AT634" s="1856" t="str">
        <f t="shared" si="156"/>
        <v/>
      </c>
      <c r="AU634" s="1856" t="str">
        <f t="shared" si="157"/>
        <v/>
      </c>
      <c r="AV634" s="1856" t="str">
        <f t="shared" si="158"/>
        <v/>
      </c>
      <c r="AW634" s="1856" t="str">
        <f t="shared" si="159"/>
        <v/>
      </c>
      <c r="AX634" s="1856" t="str">
        <f t="shared" si="160"/>
        <v/>
      </c>
      <c r="AY634" s="1856" t="str">
        <f t="shared" si="161"/>
        <v/>
      </c>
    </row>
    <row r="635" spans="42:52">
      <c r="AP635" s="1855">
        <f t="shared" si="162"/>
        <v>44629</v>
      </c>
      <c r="AQ635" s="925" t="str">
        <f t="shared" si="163"/>
        <v>BMNT</v>
      </c>
      <c r="AR635" s="1856">
        <f t="shared" si="164"/>
        <v>44629.255555555559</v>
      </c>
      <c r="AS635" s="927" t="s">
        <v>1492</v>
      </c>
      <c r="AT635" s="1856" t="str">
        <f t="shared" si="156"/>
        <v/>
      </c>
      <c r="AU635" s="1856" t="str">
        <f t="shared" si="157"/>
        <v/>
      </c>
      <c r="AV635" s="1856" t="str">
        <f t="shared" si="158"/>
        <v/>
      </c>
      <c r="AW635" s="1856" t="str">
        <f t="shared" si="159"/>
        <v/>
      </c>
      <c r="AX635" s="1856" t="str">
        <f t="shared" si="160"/>
        <v/>
      </c>
      <c r="AY635" s="1856" t="str">
        <f t="shared" si="161"/>
        <v/>
      </c>
    </row>
    <row r="636" spans="42:52">
      <c r="AP636" s="1855">
        <f t="shared" si="162"/>
        <v>44629</v>
      </c>
      <c r="AQ636" s="925" t="str">
        <f t="shared" si="163"/>
        <v>SR</v>
      </c>
      <c r="AR636" s="1856">
        <f t="shared" si="164"/>
        <v>44629.295138888883</v>
      </c>
      <c r="AS636" s="927" t="s">
        <v>1493</v>
      </c>
      <c r="AT636" s="1856" t="str">
        <f t="shared" si="156"/>
        <v/>
      </c>
      <c r="AU636" s="1856" t="str">
        <f t="shared" si="157"/>
        <v/>
      </c>
      <c r="AV636" s="1856" t="str">
        <f t="shared" si="158"/>
        <v/>
      </c>
      <c r="AW636" s="1856" t="str">
        <f t="shared" si="159"/>
        <v/>
      </c>
      <c r="AX636" s="1856" t="str">
        <f t="shared" si="160"/>
        <v/>
      </c>
      <c r="AY636" s="1856" t="str">
        <f t="shared" si="161"/>
        <v/>
      </c>
    </row>
    <row r="637" spans="42:52">
      <c r="AP637" s="1855">
        <f t="shared" si="162"/>
        <v>44629</v>
      </c>
      <c r="AQ637" s="925" t="str">
        <f t="shared" si="163"/>
        <v>MR</v>
      </c>
      <c r="AR637" s="1856">
        <f t="shared" si="164"/>
        <v>44629.452777777777</v>
      </c>
      <c r="AS637" s="927" t="s">
        <v>1494</v>
      </c>
      <c r="AT637" s="1856" t="str">
        <f t="shared" si="156"/>
        <v/>
      </c>
      <c r="AU637" s="1856" t="str">
        <f t="shared" si="157"/>
        <v/>
      </c>
      <c r="AV637" s="1856" t="str">
        <f t="shared" si="158"/>
        <v/>
      </c>
      <c r="AW637" s="1856" t="str">
        <f t="shared" si="159"/>
        <v/>
      </c>
      <c r="AX637" s="1856" t="str">
        <f t="shared" si="160"/>
        <v/>
      </c>
      <c r="AY637" s="1856" t="str">
        <f t="shared" si="161"/>
        <v/>
      </c>
    </row>
    <row r="638" spans="42:52">
      <c r="AP638" s="1855">
        <f t="shared" si="162"/>
        <v>44629</v>
      </c>
      <c r="AQ638" s="925" t="str">
        <f t="shared" si="163"/>
        <v>SS</v>
      </c>
      <c r="AR638" s="1856">
        <f t="shared" si="164"/>
        <v>44629.780555555553</v>
      </c>
      <c r="AS638" s="927" t="s">
        <v>1495</v>
      </c>
      <c r="AT638" s="1856" t="str">
        <f t="shared" si="156"/>
        <v/>
      </c>
      <c r="AU638" s="1856" t="str">
        <f t="shared" si="157"/>
        <v/>
      </c>
      <c r="AV638" s="1856" t="str">
        <f t="shared" si="158"/>
        <v/>
      </c>
      <c r="AW638" s="1856" t="str">
        <f t="shared" si="159"/>
        <v/>
      </c>
      <c r="AX638" s="1856" t="str">
        <f t="shared" si="160"/>
        <v/>
      </c>
      <c r="AY638" s="1856" t="str">
        <f t="shared" si="161"/>
        <v/>
      </c>
    </row>
    <row r="639" spans="42:52">
      <c r="AP639" s="1855">
        <f t="shared" si="162"/>
        <v>44629</v>
      </c>
      <c r="AQ639" s="925" t="str">
        <f t="shared" si="163"/>
        <v>EENT</v>
      </c>
      <c r="AR639" s="1856">
        <f t="shared" si="164"/>
        <v>44629.820138888885</v>
      </c>
      <c r="AS639" s="927" t="s">
        <v>1496</v>
      </c>
      <c r="AT639" s="1856" t="str">
        <f t="shared" si="156"/>
        <v/>
      </c>
      <c r="AU639" s="1856" t="str">
        <f t="shared" si="157"/>
        <v/>
      </c>
      <c r="AV639" s="1856" t="str">
        <f t="shared" si="158"/>
        <v/>
      </c>
      <c r="AW639" s="1856" t="str">
        <f t="shared" si="159"/>
        <v/>
      </c>
      <c r="AX639" s="1856" t="str">
        <f t="shared" si="160"/>
        <v/>
      </c>
      <c r="AY639" s="1856" t="str">
        <f t="shared" si="161"/>
        <v/>
      </c>
    </row>
    <row r="640" spans="42:52">
      <c r="AP640" s="1855">
        <f t="shared" si="162"/>
        <v>44630</v>
      </c>
      <c r="AQ640" s="925" t="str">
        <f t="shared" si="163"/>
        <v/>
      </c>
      <c r="AR640" s="1856" t="str">
        <f t="shared" si="164"/>
        <v/>
      </c>
      <c r="AS640" s="927">
        <v>10</v>
      </c>
      <c r="AT640" s="1856">
        <f t="shared" si="156"/>
        <v>44630.254166666666</v>
      </c>
      <c r="AU640" s="1856">
        <f t="shared" si="157"/>
        <v>44630.293749999997</v>
      </c>
      <c r="AV640" s="1856">
        <f t="shared" si="158"/>
        <v>44630.78125</v>
      </c>
      <c r="AW640" s="1856">
        <f t="shared" si="159"/>
        <v>44630.820833333331</v>
      </c>
      <c r="AX640" s="1856">
        <f t="shared" si="160"/>
        <v>44630.479861111111</v>
      </c>
      <c r="AY640" s="1856">
        <f t="shared" si="161"/>
        <v>44630.085416666669</v>
      </c>
      <c r="AZ640" s="1853">
        <v>0.48</v>
      </c>
    </row>
    <row r="641" spans="42:52">
      <c r="AP641" s="1855">
        <f t="shared" si="162"/>
        <v>44630</v>
      </c>
      <c r="AQ641" s="925" t="str">
        <f t="shared" si="163"/>
        <v/>
      </c>
      <c r="AR641" s="1856" t="str">
        <f t="shared" si="164"/>
        <v/>
      </c>
      <c r="AS641" s="927" t="s">
        <v>252</v>
      </c>
      <c r="AT641" s="1856" t="str">
        <f t="shared" si="156"/>
        <v/>
      </c>
      <c r="AU641" s="1856" t="str">
        <f t="shared" si="157"/>
        <v/>
      </c>
      <c r="AV641" s="1856" t="str">
        <f t="shared" si="158"/>
        <v/>
      </c>
      <c r="AW641" s="1856" t="str">
        <f t="shared" si="159"/>
        <v/>
      </c>
      <c r="AX641" s="1856" t="str">
        <f t="shared" si="160"/>
        <v/>
      </c>
      <c r="AY641" s="1856" t="str">
        <f t="shared" si="161"/>
        <v/>
      </c>
    </row>
    <row r="642" spans="42:52">
      <c r="AP642" s="1855">
        <f t="shared" si="162"/>
        <v>44630</v>
      </c>
      <c r="AQ642" s="925" t="str">
        <f t="shared" si="163"/>
        <v/>
      </c>
      <c r="AR642" s="1856" t="str">
        <f t="shared" si="164"/>
        <v/>
      </c>
      <c r="AT642" s="1856" t="str">
        <f t="shared" si="156"/>
        <v/>
      </c>
      <c r="AU642" s="1856" t="str">
        <f t="shared" si="157"/>
        <v/>
      </c>
      <c r="AV642" s="1856" t="str">
        <f t="shared" si="158"/>
        <v/>
      </c>
      <c r="AW642" s="1856" t="str">
        <f t="shared" si="159"/>
        <v/>
      </c>
      <c r="AX642" s="1856" t="str">
        <f t="shared" si="160"/>
        <v/>
      </c>
      <c r="AY642" s="1856" t="str">
        <f t="shared" si="161"/>
        <v/>
      </c>
    </row>
    <row r="643" spans="42:52">
      <c r="AP643" s="1855">
        <f t="shared" si="162"/>
        <v>44630</v>
      </c>
      <c r="AQ643" s="925" t="str">
        <f t="shared" si="163"/>
        <v>MS</v>
      </c>
      <c r="AR643" s="1856">
        <f t="shared" si="164"/>
        <v>44630.085416666669</v>
      </c>
      <c r="AS643" s="927" t="s">
        <v>1497</v>
      </c>
      <c r="AT643" s="1856" t="str">
        <f t="shared" si="156"/>
        <v/>
      </c>
      <c r="AU643" s="1856" t="str">
        <f t="shared" si="157"/>
        <v/>
      </c>
      <c r="AV643" s="1856" t="str">
        <f t="shared" si="158"/>
        <v/>
      </c>
      <c r="AW643" s="1856" t="str">
        <f t="shared" si="159"/>
        <v/>
      </c>
      <c r="AX643" s="1856" t="str">
        <f t="shared" si="160"/>
        <v/>
      </c>
      <c r="AY643" s="1856" t="str">
        <f t="shared" si="161"/>
        <v/>
      </c>
    </row>
    <row r="644" spans="42:52">
      <c r="AP644" s="1855">
        <f t="shared" si="162"/>
        <v>44630</v>
      </c>
      <c r="AQ644" s="925" t="str">
        <f t="shared" si="163"/>
        <v>BMNT</v>
      </c>
      <c r="AR644" s="1856">
        <f t="shared" si="164"/>
        <v>44630.254166666666</v>
      </c>
      <c r="AS644" s="927" t="s">
        <v>1498</v>
      </c>
      <c r="AT644" s="1856" t="str">
        <f t="shared" si="156"/>
        <v/>
      </c>
      <c r="AU644" s="1856" t="str">
        <f t="shared" si="157"/>
        <v/>
      </c>
      <c r="AV644" s="1856" t="str">
        <f t="shared" si="158"/>
        <v/>
      </c>
      <c r="AW644" s="1856" t="str">
        <f t="shared" si="159"/>
        <v/>
      </c>
      <c r="AX644" s="1856" t="str">
        <f t="shared" si="160"/>
        <v/>
      </c>
      <c r="AY644" s="1856" t="str">
        <f t="shared" si="161"/>
        <v/>
      </c>
    </row>
    <row r="645" spans="42:52">
      <c r="AP645" s="1855">
        <f t="shared" si="162"/>
        <v>44630</v>
      </c>
      <c r="AQ645" s="925" t="str">
        <f t="shared" si="163"/>
        <v>SR</v>
      </c>
      <c r="AR645" s="1856">
        <f t="shared" si="164"/>
        <v>44630.293749999997</v>
      </c>
      <c r="AS645" s="927" t="s">
        <v>1499</v>
      </c>
      <c r="AT645" s="1856" t="str">
        <f t="shared" si="156"/>
        <v/>
      </c>
      <c r="AU645" s="1856" t="str">
        <f t="shared" si="157"/>
        <v/>
      </c>
      <c r="AV645" s="1856" t="str">
        <f t="shared" si="158"/>
        <v/>
      </c>
      <c r="AW645" s="1856" t="str">
        <f t="shared" si="159"/>
        <v/>
      </c>
      <c r="AX645" s="1856" t="str">
        <f t="shared" si="160"/>
        <v/>
      </c>
      <c r="AY645" s="1856" t="str">
        <f t="shared" si="161"/>
        <v/>
      </c>
    </row>
    <row r="646" spans="42:52">
      <c r="AP646" s="1855">
        <f t="shared" si="162"/>
        <v>44630</v>
      </c>
      <c r="AQ646" s="925" t="str">
        <f t="shared" si="163"/>
        <v>MR</v>
      </c>
      <c r="AR646" s="1856">
        <f t="shared" si="164"/>
        <v>44630.479861111111</v>
      </c>
      <c r="AS646" s="927" t="s">
        <v>1500</v>
      </c>
      <c r="AT646" s="1856" t="str">
        <f t="shared" si="156"/>
        <v/>
      </c>
      <c r="AU646" s="1856" t="str">
        <f t="shared" si="157"/>
        <v/>
      </c>
      <c r="AV646" s="1856" t="str">
        <f t="shared" si="158"/>
        <v/>
      </c>
      <c r="AW646" s="1856" t="str">
        <f t="shared" si="159"/>
        <v/>
      </c>
      <c r="AX646" s="1856" t="str">
        <f t="shared" si="160"/>
        <v/>
      </c>
      <c r="AY646" s="1856" t="str">
        <f t="shared" si="161"/>
        <v/>
      </c>
    </row>
    <row r="647" spans="42:52">
      <c r="AP647" s="1855">
        <f t="shared" si="162"/>
        <v>44630</v>
      </c>
      <c r="AQ647" s="925" t="str">
        <f t="shared" si="163"/>
        <v>SS</v>
      </c>
      <c r="AR647" s="1856">
        <f t="shared" si="164"/>
        <v>44630.78125</v>
      </c>
      <c r="AS647" s="927" t="s">
        <v>1501</v>
      </c>
      <c r="AT647" s="1856" t="str">
        <f t="shared" si="156"/>
        <v/>
      </c>
      <c r="AU647" s="1856" t="str">
        <f t="shared" si="157"/>
        <v/>
      </c>
      <c r="AV647" s="1856" t="str">
        <f t="shared" si="158"/>
        <v/>
      </c>
      <c r="AW647" s="1856" t="str">
        <f t="shared" si="159"/>
        <v/>
      </c>
      <c r="AX647" s="1856" t="str">
        <f t="shared" si="160"/>
        <v/>
      </c>
      <c r="AY647" s="1856" t="str">
        <f t="shared" si="161"/>
        <v/>
      </c>
    </row>
    <row r="648" spans="42:52">
      <c r="AP648" s="1855">
        <f t="shared" si="162"/>
        <v>44630</v>
      </c>
      <c r="AQ648" s="925" t="str">
        <f t="shared" si="163"/>
        <v>EENT</v>
      </c>
      <c r="AR648" s="1856">
        <f t="shared" si="164"/>
        <v>44630.820833333331</v>
      </c>
      <c r="AS648" s="927" t="s">
        <v>1502</v>
      </c>
      <c r="AT648" s="1856" t="str">
        <f t="shared" si="156"/>
        <v/>
      </c>
      <c r="AU648" s="1856" t="str">
        <f t="shared" si="157"/>
        <v/>
      </c>
      <c r="AV648" s="1856" t="str">
        <f t="shared" si="158"/>
        <v/>
      </c>
      <c r="AW648" s="1856" t="str">
        <f t="shared" si="159"/>
        <v/>
      </c>
      <c r="AX648" s="1856" t="str">
        <f t="shared" si="160"/>
        <v/>
      </c>
      <c r="AY648" s="1856" t="str">
        <f t="shared" si="161"/>
        <v/>
      </c>
    </row>
    <row r="649" spans="42:52">
      <c r="AP649" s="1855">
        <f t="shared" si="162"/>
        <v>44631</v>
      </c>
      <c r="AQ649" s="925" t="str">
        <f t="shared" si="163"/>
        <v/>
      </c>
      <c r="AR649" s="1856" t="str">
        <f t="shared" si="164"/>
        <v/>
      </c>
      <c r="AS649" s="927">
        <v>11</v>
      </c>
      <c r="AT649" s="1856">
        <f t="shared" si="156"/>
        <v>44631.253472222219</v>
      </c>
      <c r="AU649" s="1856">
        <f t="shared" si="157"/>
        <v>44631.29305555555</v>
      </c>
      <c r="AV649" s="1856">
        <f t="shared" si="158"/>
        <v>44631.781944444447</v>
      </c>
      <c r="AW649" s="1856">
        <f t="shared" si="159"/>
        <v>44631.821527777778</v>
      </c>
      <c r="AX649" s="1856">
        <f t="shared" si="160"/>
        <v>44631.511805555558</v>
      </c>
      <c r="AY649" s="1856">
        <f t="shared" si="161"/>
        <v>44631.124305555561</v>
      </c>
      <c r="AZ649" s="1853">
        <v>0.56999999999999995</v>
      </c>
    </row>
    <row r="650" spans="42:52">
      <c r="AP650" s="1855">
        <f t="shared" si="162"/>
        <v>44631</v>
      </c>
      <c r="AQ650" s="925" t="str">
        <f t="shared" si="163"/>
        <v/>
      </c>
      <c r="AR650" s="1856" t="str">
        <f t="shared" si="164"/>
        <v/>
      </c>
      <c r="AS650" s="927" t="s">
        <v>252</v>
      </c>
      <c r="AT650" s="1856" t="str">
        <f t="shared" si="156"/>
        <v/>
      </c>
      <c r="AU650" s="1856" t="str">
        <f t="shared" si="157"/>
        <v/>
      </c>
      <c r="AV650" s="1856" t="str">
        <f t="shared" si="158"/>
        <v/>
      </c>
      <c r="AW650" s="1856" t="str">
        <f t="shared" si="159"/>
        <v/>
      </c>
      <c r="AX650" s="1856" t="str">
        <f t="shared" si="160"/>
        <v/>
      </c>
      <c r="AY650" s="1856" t="str">
        <f t="shared" si="161"/>
        <v/>
      </c>
    </row>
    <row r="651" spans="42:52">
      <c r="AP651" s="1855">
        <f t="shared" si="162"/>
        <v>44631</v>
      </c>
      <c r="AQ651" s="925" t="str">
        <f t="shared" si="163"/>
        <v/>
      </c>
      <c r="AR651" s="1856" t="str">
        <f t="shared" si="164"/>
        <v/>
      </c>
      <c r="AT651" s="1856" t="str">
        <f t="shared" si="156"/>
        <v/>
      </c>
      <c r="AU651" s="1856" t="str">
        <f t="shared" si="157"/>
        <v/>
      </c>
      <c r="AV651" s="1856" t="str">
        <f t="shared" si="158"/>
        <v/>
      </c>
      <c r="AW651" s="1856" t="str">
        <f t="shared" si="159"/>
        <v/>
      </c>
      <c r="AX651" s="1856" t="str">
        <f t="shared" si="160"/>
        <v/>
      </c>
      <c r="AY651" s="1856" t="str">
        <f t="shared" si="161"/>
        <v/>
      </c>
    </row>
    <row r="652" spans="42:52">
      <c r="AP652" s="1855">
        <f t="shared" si="162"/>
        <v>44631</v>
      </c>
      <c r="AQ652" s="925" t="str">
        <f t="shared" si="163"/>
        <v>MS</v>
      </c>
      <c r="AR652" s="1856">
        <f t="shared" si="164"/>
        <v>44631.124305555561</v>
      </c>
      <c r="AS652" s="927" t="s">
        <v>1503</v>
      </c>
      <c r="AT652" s="1856" t="str">
        <f t="shared" si="156"/>
        <v/>
      </c>
      <c r="AU652" s="1856" t="str">
        <f t="shared" si="157"/>
        <v/>
      </c>
      <c r="AV652" s="1856" t="str">
        <f t="shared" si="158"/>
        <v/>
      </c>
      <c r="AW652" s="1856" t="str">
        <f t="shared" si="159"/>
        <v/>
      </c>
      <c r="AX652" s="1856" t="str">
        <f t="shared" si="160"/>
        <v/>
      </c>
      <c r="AY652" s="1856" t="str">
        <f t="shared" si="161"/>
        <v/>
      </c>
    </row>
    <row r="653" spans="42:52">
      <c r="AP653" s="1855">
        <f t="shared" si="162"/>
        <v>44631</v>
      </c>
      <c r="AQ653" s="925" t="str">
        <f t="shared" si="163"/>
        <v>BMNT</v>
      </c>
      <c r="AR653" s="1856">
        <f t="shared" si="164"/>
        <v>44631.253472222219</v>
      </c>
      <c r="AS653" s="927" t="s">
        <v>1504</v>
      </c>
      <c r="AT653" s="1856" t="str">
        <f t="shared" si="156"/>
        <v/>
      </c>
      <c r="AU653" s="1856" t="str">
        <f t="shared" si="157"/>
        <v/>
      </c>
      <c r="AV653" s="1856" t="str">
        <f t="shared" si="158"/>
        <v/>
      </c>
      <c r="AW653" s="1856" t="str">
        <f t="shared" si="159"/>
        <v/>
      </c>
      <c r="AX653" s="1856" t="str">
        <f t="shared" si="160"/>
        <v/>
      </c>
      <c r="AY653" s="1856" t="str">
        <f t="shared" si="161"/>
        <v/>
      </c>
    </row>
    <row r="654" spans="42:52">
      <c r="AP654" s="1855">
        <f t="shared" si="162"/>
        <v>44631</v>
      </c>
      <c r="AQ654" s="925" t="str">
        <f t="shared" si="163"/>
        <v>SR</v>
      </c>
      <c r="AR654" s="1856">
        <f t="shared" si="164"/>
        <v>44631.29305555555</v>
      </c>
      <c r="AS654" s="927" t="s">
        <v>1505</v>
      </c>
      <c r="AT654" s="1856" t="str">
        <f t="shared" si="156"/>
        <v/>
      </c>
      <c r="AU654" s="1856" t="str">
        <f t="shared" si="157"/>
        <v/>
      </c>
      <c r="AV654" s="1856" t="str">
        <f t="shared" si="158"/>
        <v/>
      </c>
      <c r="AW654" s="1856" t="str">
        <f t="shared" si="159"/>
        <v/>
      </c>
      <c r="AX654" s="1856" t="str">
        <f t="shared" si="160"/>
        <v/>
      </c>
      <c r="AY654" s="1856" t="str">
        <f t="shared" si="161"/>
        <v/>
      </c>
    </row>
    <row r="655" spans="42:52">
      <c r="AP655" s="1855">
        <f t="shared" si="162"/>
        <v>44631</v>
      </c>
      <c r="AQ655" s="925" t="str">
        <f t="shared" si="163"/>
        <v>MR</v>
      </c>
      <c r="AR655" s="1856">
        <f t="shared" si="164"/>
        <v>44631.511805555558</v>
      </c>
      <c r="AS655" s="927" t="s">
        <v>1506</v>
      </c>
      <c r="AT655" s="1856" t="str">
        <f t="shared" si="156"/>
        <v/>
      </c>
      <c r="AU655" s="1856" t="str">
        <f t="shared" si="157"/>
        <v/>
      </c>
      <c r="AV655" s="1856" t="str">
        <f t="shared" si="158"/>
        <v/>
      </c>
      <c r="AW655" s="1856" t="str">
        <f t="shared" si="159"/>
        <v/>
      </c>
      <c r="AX655" s="1856" t="str">
        <f t="shared" si="160"/>
        <v/>
      </c>
      <c r="AY655" s="1856" t="str">
        <f t="shared" si="161"/>
        <v/>
      </c>
    </row>
    <row r="656" spans="42:52">
      <c r="AP656" s="1855">
        <f t="shared" si="162"/>
        <v>44631</v>
      </c>
      <c r="AQ656" s="925" t="str">
        <f t="shared" si="163"/>
        <v>SS</v>
      </c>
      <c r="AR656" s="1856">
        <f t="shared" si="164"/>
        <v>44631.781944444447</v>
      </c>
      <c r="AS656" s="927" t="s">
        <v>1507</v>
      </c>
      <c r="AT656" s="1856" t="str">
        <f t="shared" si="156"/>
        <v/>
      </c>
      <c r="AU656" s="1856" t="str">
        <f t="shared" si="157"/>
        <v/>
      </c>
      <c r="AV656" s="1856" t="str">
        <f t="shared" si="158"/>
        <v/>
      </c>
      <c r="AW656" s="1856" t="str">
        <f t="shared" si="159"/>
        <v/>
      </c>
      <c r="AX656" s="1856" t="str">
        <f t="shared" si="160"/>
        <v/>
      </c>
      <c r="AY656" s="1856" t="str">
        <f t="shared" si="161"/>
        <v/>
      </c>
    </row>
    <row r="657" spans="42:52">
      <c r="AP657" s="1855">
        <f t="shared" si="162"/>
        <v>44631</v>
      </c>
      <c r="AQ657" s="925" t="str">
        <f t="shared" si="163"/>
        <v>EENT</v>
      </c>
      <c r="AR657" s="1856">
        <f t="shared" si="164"/>
        <v>44631.821527777778</v>
      </c>
      <c r="AS657" s="927" t="s">
        <v>1508</v>
      </c>
      <c r="AT657" s="1856" t="str">
        <f t="shared" si="156"/>
        <v/>
      </c>
      <c r="AU657" s="1856" t="str">
        <f t="shared" si="157"/>
        <v/>
      </c>
      <c r="AV657" s="1856" t="str">
        <f t="shared" si="158"/>
        <v/>
      </c>
      <c r="AW657" s="1856" t="str">
        <f t="shared" si="159"/>
        <v/>
      </c>
      <c r="AX657" s="1856" t="str">
        <f t="shared" si="160"/>
        <v/>
      </c>
      <c r="AY657" s="1856" t="str">
        <f t="shared" si="161"/>
        <v/>
      </c>
    </row>
    <row r="658" spans="42:52">
      <c r="AP658" s="1855">
        <f t="shared" si="162"/>
        <v>44632</v>
      </c>
      <c r="AQ658" s="925" t="str">
        <f t="shared" si="163"/>
        <v/>
      </c>
      <c r="AR658" s="1856" t="str">
        <f t="shared" si="164"/>
        <v/>
      </c>
      <c r="AS658" s="927">
        <v>12</v>
      </c>
      <c r="AT658" s="1856">
        <f t="shared" si="156"/>
        <v>44632.252083333333</v>
      </c>
      <c r="AU658" s="1856">
        <f t="shared" si="157"/>
        <v>44632.291666666664</v>
      </c>
      <c r="AV658" s="1856">
        <f t="shared" si="158"/>
        <v>44632.782638888886</v>
      </c>
      <c r="AW658" s="1856">
        <f t="shared" si="159"/>
        <v>44632.822222222218</v>
      </c>
      <c r="AX658" s="1856">
        <f t="shared" si="160"/>
        <v>44632.548611111109</v>
      </c>
      <c r="AY658" s="1856">
        <f t="shared" si="161"/>
        <v>44632.160416666666</v>
      </c>
      <c r="AZ658" s="1853">
        <v>0.66</v>
      </c>
    </row>
    <row r="659" spans="42:52">
      <c r="AP659" s="1855">
        <f t="shared" si="162"/>
        <v>44632</v>
      </c>
      <c r="AQ659" s="925" t="str">
        <f t="shared" si="163"/>
        <v/>
      </c>
      <c r="AR659" s="1856" t="str">
        <f t="shared" si="164"/>
        <v/>
      </c>
      <c r="AS659" s="927" t="s">
        <v>252</v>
      </c>
      <c r="AT659" s="1856" t="str">
        <f t="shared" si="156"/>
        <v/>
      </c>
      <c r="AU659" s="1856" t="str">
        <f t="shared" si="157"/>
        <v/>
      </c>
      <c r="AV659" s="1856" t="str">
        <f t="shared" si="158"/>
        <v/>
      </c>
      <c r="AW659" s="1856" t="str">
        <f t="shared" si="159"/>
        <v/>
      </c>
      <c r="AX659" s="1856" t="str">
        <f t="shared" si="160"/>
        <v/>
      </c>
      <c r="AY659" s="1856" t="str">
        <f t="shared" si="161"/>
        <v/>
      </c>
    </row>
    <row r="660" spans="42:52">
      <c r="AP660" s="1855">
        <f t="shared" si="162"/>
        <v>44632</v>
      </c>
      <c r="AQ660" s="925" t="str">
        <f t="shared" si="163"/>
        <v/>
      </c>
      <c r="AR660" s="1856" t="str">
        <f t="shared" si="164"/>
        <v/>
      </c>
      <c r="AT660" s="1856" t="str">
        <f t="shared" si="156"/>
        <v/>
      </c>
      <c r="AU660" s="1856" t="str">
        <f t="shared" si="157"/>
        <v/>
      </c>
      <c r="AV660" s="1856" t="str">
        <f t="shared" si="158"/>
        <v/>
      </c>
      <c r="AW660" s="1856" t="str">
        <f t="shared" si="159"/>
        <v/>
      </c>
      <c r="AX660" s="1856" t="str">
        <f t="shared" si="160"/>
        <v/>
      </c>
      <c r="AY660" s="1856" t="str">
        <f t="shared" si="161"/>
        <v/>
      </c>
    </row>
    <row r="661" spans="42:52">
      <c r="AP661" s="1855">
        <f t="shared" si="162"/>
        <v>44632</v>
      </c>
      <c r="AQ661" s="925" t="str">
        <f t="shared" si="163"/>
        <v>MS</v>
      </c>
      <c r="AR661" s="1856">
        <f t="shared" si="164"/>
        <v>44632.160416666666</v>
      </c>
      <c r="AS661" s="927" t="s">
        <v>1509</v>
      </c>
      <c r="AT661" s="1856" t="str">
        <f t="shared" si="156"/>
        <v/>
      </c>
      <c r="AU661" s="1856" t="str">
        <f t="shared" si="157"/>
        <v/>
      </c>
      <c r="AV661" s="1856" t="str">
        <f t="shared" si="158"/>
        <v/>
      </c>
      <c r="AW661" s="1856" t="str">
        <f t="shared" si="159"/>
        <v/>
      </c>
      <c r="AX661" s="1856" t="str">
        <f t="shared" si="160"/>
        <v/>
      </c>
      <c r="AY661" s="1856" t="str">
        <f t="shared" si="161"/>
        <v/>
      </c>
    </row>
    <row r="662" spans="42:52">
      <c r="AP662" s="1855">
        <f t="shared" si="162"/>
        <v>44632</v>
      </c>
      <c r="AQ662" s="925" t="str">
        <f t="shared" si="163"/>
        <v>BMNT</v>
      </c>
      <c r="AR662" s="1856">
        <f t="shared" si="164"/>
        <v>44632.252083333333</v>
      </c>
      <c r="AS662" s="927" t="s">
        <v>1510</v>
      </c>
      <c r="AT662" s="1856" t="str">
        <f t="shared" si="156"/>
        <v/>
      </c>
      <c r="AU662" s="1856" t="str">
        <f t="shared" si="157"/>
        <v/>
      </c>
      <c r="AV662" s="1856" t="str">
        <f t="shared" si="158"/>
        <v/>
      </c>
      <c r="AW662" s="1856" t="str">
        <f t="shared" si="159"/>
        <v/>
      </c>
      <c r="AX662" s="1856" t="str">
        <f t="shared" si="160"/>
        <v/>
      </c>
      <c r="AY662" s="1856" t="str">
        <f t="shared" si="161"/>
        <v/>
      </c>
    </row>
    <row r="663" spans="42:52">
      <c r="AP663" s="1855">
        <f t="shared" si="162"/>
        <v>44632</v>
      </c>
      <c r="AQ663" s="925" t="str">
        <f t="shared" si="163"/>
        <v>SR</v>
      </c>
      <c r="AR663" s="1856">
        <f t="shared" si="164"/>
        <v>44632.291666666664</v>
      </c>
      <c r="AS663" s="927" t="s">
        <v>1511</v>
      </c>
      <c r="AT663" s="1856" t="str">
        <f t="shared" si="156"/>
        <v/>
      </c>
      <c r="AU663" s="1856" t="str">
        <f t="shared" si="157"/>
        <v/>
      </c>
      <c r="AV663" s="1856" t="str">
        <f t="shared" si="158"/>
        <v/>
      </c>
      <c r="AW663" s="1856" t="str">
        <f t="shared" si="159"/>
        <v/>
      </c>
      <c r="AX663" s="1856" t="str">
        <f t="shared" si="160"/>
        <v/>
      </c>
      <c r="AY663" s="1856" t="str">
        <f t="shared" si="161"/>
        <v/>
      </c>
    </row>
    <row r="664" spans="42:52">
      <c r="AP664" s="1855">
        <f t="shared" si="162"/>
        <v>44632</v>
      </c>
      <c r="AQ664" s="925" t="str">
        <f t="shared" si="163"/>
        <v>MR</v>
      </c>
      <c r="AR664" s="1856">
        <f t="shared" si="164"/>
        <v>44632.548611111109</v>
      </c>
      <c r="AS664" s="927" t="s">
        <v>1512</v>
      </c>
      <c r="AT664" s="1856" t="str">
        <f t="shared" si="156"/>
        <v/>
      </c>
      <c r="AU664" s="1856" t="str">
        <f t="shared" si="157"/>
        <v/>
      </c>
      <c r="AV664" s="1856" t="str">
        <f t="shared" si="158"/>
        <v/>
      </c>
      <c r="AW664" s="1856" t="str">
        <f t="shared" si="159"/>
        <v/>
      </c>
      <c r="AX664" s="1856" t="str">
        <f t="shared" si="160"/>
        <v/>
      </c>
      <c r="AY664" s="1856" t="str">
        <f t="shared" si="161"/>
        <v/>
      </c>
    </row>
    <row r="665" spans="42:52">
      <c r="AP665" s="1855">
        <f t="shared" si="162"/>
        <v>44632</v>
      </c>
      <c r="AQ665" s="925" t="str">
        <f t="shared" si="163"/>
        <v>SS</v>
      </c>
      <c r="AR665" s="1856">
        <f t="shared" si="164"/>
        <v>44632.782638888886</v>
      </c>
      <c r="AS665" s="927" t="s">
        <v>1513</v>
      </c>
      <c r="AT665" s="1856" t="str">
        <f t="shared" si="156"/>
        <v/>
      </c>
      <c r="AU665" s="1856" t="str">
        <f t="shared" si="157"/>
        <v/>
      </c>
      <c r="AV665" s="1856" t="str">
        <f t="shared" si="158"/>
        <v/>
      </c>
      <c r="AW665" s="1856" t="str">
        <f t="shared" si="159"/>
        <v/>
      </c>
      <c r="AX665" s="1856" t="str">
        <f t="shared" si="160"/>
        <v/>
      </c>
      <c r="AY665" s="1856" t="str">
        <f t="shared" si="161"/>
        <v/>
      </c>
    </row>
    <row r="666" spans="42:52">
      <c r="AP666" s="1855">
        <f t="shared" si="162"/>
        <v>44632</v>
      </c>
      <c r="AQ666" s="925" t="str">
        <f t="shared" si="163"/>
        <v>EENT</v>
      </c>
      <c r="AR666" s="1856">
        <f t="shared" si="164"/>
        <v>44632.822222222218</v>
      </c>
      <c r="AS666" s="927" t="s">
        <v>1514</v>
      </c>
      <c r="AT666" s="1856" t="str">
        <f t="shared" si="156"/>
        <v/>
      </c>
      <c r="AU666" s="1856" t="str">
        <f t="shared" si="157"/>
        <v/>
      </c>
      <c r="AV666" s="1856" t="str">
        <f t="shared" si="158"/>
        <v/>
      </c>
      <c r="AW666" s="1856" t="str">
        <f t="shared" si="159"/>
        <v/>
      </c>
      <c r="AX666" s="1856" t="str">
        <f t="shared" si="160"/>
        <v/>
      </c>
      <c r="AY666" s="1856" t="str">
        <f t="shared" si="161"/>
        <v/>
      </c>
    </row>
    <row r="667" spans="42:52">
      <c r="AP667" s="1855">
        <f t="shared" si="162"/>
        <v>44633</v>
      </c>
      <c r="AQ667" s="925" t="str">
        <f t="shared" si="163"/>
        <v/>
      </c>
      <c r="AR667" s="1856" t="str">
        <f t="shared" si="164"/>
        <v/>
      </c>
      <c r="AS667" s="927">
        <v>13</v>
      </c>
      <c r="AT667" s="1856">
        <f t="shared" si="156"/>
        <v>44633.29305555555</v>
      </c>
      <c r="AU667" s="1856">
        <f t="shared" si="157"/>
        <v>44633.332638888889</v>
      </c>
      <c r="AV667" s="1856">
        <f t="shared" si="158"/>
        <v>44633.824999999997</v>
      </c>
      <c r="AW667" s="1856">
        <f t="shared" si="159"/>
        <v>44633.864583333336</v>
      </c>
      <c r="AX667" s="1856">
        <f t="shared" si="160"/>
        <v>44633.630555555559</v>
      </c>
      <c r="AY667" s="1856">
        <f t="shared" si="161"/>
        <v>44633.234027777777</v>
      </c>
      <c r="AZ667" s="1853">
        <v>0.75</v>
      </c>
    </row>
    <row r="668" spans="42:52">
      <c r="AP668" s="1855">
        <f t="shared" si="162"/>
        <v>44633</v>
      </c>
      <c r="AQ668" s="925" t="str">
        <f t="shared" si="163"/>
        <v/>
      </c>
      <c r="AR668" s="1856" t="str">
        <f t="shared" si="164"/>
        <v/>
      </c>
      <c r="AS668" s="927" t="s">
        <v>1515</v>
      </c>
      <c r="AT668" s="1856" t="str">
        <f t="shared" ref="AT668:AT731" si="165">IF(ISNUMBER(AS668),INDEX(AR669:AR679,MATCH($AT$27,AQ669:AQ679,0)),"")</f>
        <v/>
      </c>
      <c r="AU668" s="1856" t="str">
        <f t="shared" ref="AU668:AU731" si="166">IF(AT668="","",INDEX(AR669:AR679,MATCH($AU$27,AQ669:AQ679,0)))</f>
        <v/>
      </c>
      <c r="AV668" s="1856" t="str">
        <f t="shared" ref="AV668:AV731" si="167">IF(AT668="","",INDEX(AR669:AR679,MATCH($AV$27,AQ669:AQ679,0)))</f>
        <v/>
      </c>
      <c r="AW668" s="1856" t="str">
        <f t="shared" ref="AW668:AW731" si="168">IF(AT668="","",INDEX(AR669:AR679,MATCH($AW$27,AQ669:AQ679,0)))</f>
        <v/>
      </c>
      <c r="AX668" s="1856" t="str">
        <f t="shared" ref="AX668:AX731" si="169">IF(AT668="","",INDEX(AR669:AR679,MATCH($AX$27,AQ669:AQ679,0)))</f>
        <v/>
      </c>
      <c r="AY668" s="1856" t="str">
        <f t="shared" ref="AY668:AY731" si="170">IF(AT668="","",INDEX(AR669:AR679,MATCH($AY$27,AQ669:AQ679,0)))</f>
        <v/>
      </c>
    </row>
    <row r="669" spans="42:52">
      <c r="AP669" s="1855">
        <f t="shared" si="162"/>
        <v>44633</v>
      </c>
      <c r="AQ669" s="925" t="str">
        <f t="shared" si="163"/>
        <v/>
      </c>
      <c r="AR669" s="1856" t="str">
        <f t="shared" si="164"/>
        <v/>
      </c>
      <c r="AT669" s="1856" t="str">
        <f t="shared" si="165"/>
        <v/>
      </c>
      <c r="AU669" s="1856" t="str">
        <f t="shared" si="166"/>
        <v/>
      </c>
      <c r="AV669" s="1856" t="str">
        <f t="shared" si="167"/>
        <v/>
      </c>
      <c r="AW669" s="1856" t="str">
        <f t="shared" si="168"/>
        <v/>
      </c>
      <c r="AX669" s="1856" t="str">
        <f t="shared" si="169"/>
        <v/>
      </c>
      <c r="AY669" s="1856" t="str">
        <f t="shared" si="170"/>
        <v/>
      </c>
    </row>
    <row r="670" spans="42:52">
      <c r="AP670" s="1855">
        <f t="shared" si="162"/>
        <v>44633</v>
      </c>
      <c r="AQ670" s="925" t="str">
        <f t="shared" si="163"/>
        <v>MS</v>
      </c>
      <c r="AR670" s="1856">
        <f t="shared" si="164"/>
        <v>44633.234027777777</v>
      </c>
      <c r="AS670" s="927" t="s">
        <v>1516</v>
      </c>
      <c r="AT670" s="1856" t="str">
        <f t="shared" si="165"/>
        <v/>
      </c>
      <c r="AU670" s="1856" t="str">
        <f t="shared" si="166"/>
        <v/>
      </c>
      <c r="AV670" s="1856" t="str">
        <f t="shared" si="167"/>
        <v/>
      </c>
      <c r="AW670" s="1856" t="str">
        <f t="shared" si="168"/>
        <v/>
      </c>
      <c r="AX670" s="1856" t="str">
        <f t="shared" si="169"/>
        <v/>
      </c>
      <c r="AY670" s="1856" t="str">
        <f t="shared" si="170"/>
        <v/>
      </c>
    </row>
    <row r="671" spans="42:52">
      <c r="AP671" s="1855">
        <f t="shared" si="162"/>
        <v>44633</v>
      </c>
      <c r="AQ671" s="925" t="str">
        <f t="shared" si="163"/>
        <v>BMNT</v>
      </c>
      <c r="AR671" s="1856">
        <f t="shared" si="164"/>
        <v>44633.29305555555</v>
      </c>
      <c r="AS671" s="927" t="s">
        <v>1517</v>
      </c>
      <c r="AT671" s="1856" t="str">
        <f t="shared" si="165"/>
        <v/>
      </c>
      <c r="AU671" s="1856" t="str">
        <f t="shared" si="166"/>
        <v/>
      </c>
      <c r="AV671" s="1856" t="str">
        <f t="shared" si="167"/>
        <v/>
      </c>
      <c r="AW671" s="1856" t="str">
        <f t="shared" si="168"/>
        <v/>
      </c>
      <c r="AX671" s="1856" t="str">
        <f t="shared" si="169"/>
        <v/>
      </c>
      <c r="AY671" s="1856" t="str">
        <f t="shared" si="170"/>
        <v/>
      </c>
    </row>
    <row r="672" spans="42:52">
      <c r="AP672" s="1855">
        <f t="shared" si="162"/>
        <v>44633</v>
      </c>
      <c r="AQ672" s="925" t="str">
        <f t="shared" si="163"/>
        <v>SR</v>
      </c>
      <c r="AR672" s="1856">
        <f t="shared" si="164"/>
        <v>44633.332638888889</v>
      </c>
      <c r="AS672" s="927" t="s">
        <v>984</v>
      </c>
      <c r="AT672" s="1856" t="str">
        <f t="shared" si="165"/>
        <v/>
      </c>
      <c r="AU672" s="1856" t="str">
        <f t="shared" si="166"/>
        <v/>
      </c>
      <c r="AV672" s="1856" t="str">
        <f t="shared" si="167"/>
        <v/>
      </c>
      <c r="AW672" s="1856" t="str">
        <f t="shared" si="168"/>
        <v/>
      </c>
      <c r="AX672" s="1856" t="str">
        <f t="shared" si="169"/>
        <v/>
      </c>
      <c r="AY672" s="1856" t="str">
        <f t="shared" si="170"/>
        <v/>
      </c>
    </row>
    <row r="673" spans="42:52">
      <c r="AP673" s="1855">
        <f t="shared" si="162"/>
        <v>44633</v>
      </c>
      <c r="AQ673" s="925" t="str">
        <f t="shared" si="163"/>
        <v>MR</v>
      </c>
      <c r="AR673" s="1856">
        <f t="shared" si="164"/>
        <v>44633.630555555559</v>
      </c>
      <c r="AS673" s="927" t="s">
        <v>1518</v>
      </c>
      <c r="AT673" s="1856" t="str">
        <f t="shared" si="165"/>
        <v/>
      </c>
      <c r="AU673" s="1856" t="str">
        <f t="shared" si="166"/>
        <v/>
      </c>
      <c r="AV673" s="1856" t="str">
        <f t="shared" si="167"/>
        <v/>
      </c>
      <c r="AW673" s="1856" t="str">
        <f t="shared" si="168"/>
        <v/>
      </c>
      <c r="AX673" s="1856" t="str">
        <f t="shared" si="169"/>
        <v/>
      </c>
      <c r="AY673" s="1856" t="str">
        <f t="shared" si="170"/>
        <v/>
      </c>
    </row>
    <row r="674" spans="42:52">
      <c r="AP674" s="1855">
        <f t="shared" si="162"/>
        <v>44633</v>
      </c>
      <c r="AQ674" s="925" t="str">
        <f t="shared" si="163"/>
        <v>SS</v>
      </c>
      <c r="AR674" s="1856">
        <f t="shared" si="164"/>
        <v>44633.824999999997</v>
      </c>
      <c r="AS674" s="927" t="s">
        <v>1519</v>
      </c>
      <c r="AT674" s="1856" t="str">
        <f t="shared" si="165"/>
        <v/>
      </c>
      <c r="AU674" s="1856" t="str">
        <f t="shared" si="166"/>
        <v/>
      </c>
      <c r="AV674" s="1856" t="str">
        <f t="shared" si="167"/>
        <v/>
      </c>
      <c r="AW674" s="1856" t="str">
        <f t="shared" si="168"/>
        <v/>
      </c>
      <c r="AX674" s="1856" t="str">
        <f t="shared" si="169"/>
        <v/>
      </c>
      <c r="AY674" s="1856" t="str">
        <f t="shared" si="170"/>
        <v/>
      </c>
    </row>
    <row r="675" spans="42:52">
      <c r="AP675" s="1855">
        <f t="shared" si="162"/>
        <v>44633</v>
      </c>
      <c r="AQ675" s="925" t="str">
        <f t="shared" si="163"/>
        <v>EENT</v>
      </c>
      <c r="AR675" s="1856">
        <f t="shared" si="164"/>
        <v>44633.864583333336</v>
      </c>
      <c r="AS675" s="927" t="s">
        <v>1520</v>
      </c>
      <c r="AT675" s="1856" t="str">
        <f t="shared" si="165"/>
        <v/>
      </c>
      <c r="AU675" s="1856" t="str">
        <f t="shared" si="166"/>
        <v/>
      </c>
      <c r="AV675" s="1856" t="str">
        <f t="shared" si="167"/>
        <v/>
      </c>
      <c r="AW675" s="1856" t="str">
        <f t="shared" si="168"/>
        <v/>
      </c>
      <c r="AX675" s="1856" t="str">
        <f t="shared" si="169"/>
        <v/>
      </c>
      <c r="AY675" s="1856" t="str">
        <f t="shared" si="170"/>
        <v/>
      </c>
    </row>
    <row r="676" spans="42:52">
      <c r="AP676" s="1855">
        <f t="shared" si="162"/>
        <v>44634</v>
      </c>
      <c r="AQ676" s="925" t="str">
        <f t="shared" si="163"/>
        <v/>
      </c>
      <c r="AR676" s="1856" t="str">
        <f t="shared" si="164"/>
        <v/>
      </c>
      <c r="AS676" s="927">
        <v>14</v>
      </c>
      <c r="AT676" s="1856">
        <f t="shared" si="165"/>
        <v>44634.291666666664</v>
      </c>
      <c r="AU676" s="1856">
        <f t="shared" si="166"/>
        <v>44634.331249999996</v>
      </c>
      <c r="AV676" s="1856">
        <f t="shared" si="167"/>
        <v>44634.825694444444</v>
      </c>
      <c r="AW676" s="1856">
        <f t="shared" si="168"/>
        <v>44634.865277777782</v>
      </c>
      <c r="AX676" s="1856">
        <f t="shared" si="169"/>
        <v>44634.673611111109</v>
      </c>
      <c r="AY676" s="1856">
        <f t="shared" si="170"/>
        <v>44634.262499999997</v>
      </c>
      <c r="AZ676" s="1853">
        <v>0.83</v>
      </c>
    </row>
    <row r="677" spans="42:52">
      <c r="AP677" s="1855">
        <f t="shared" ref="AP677:AP740" si="171">IF(ISNUMBER(AS677),AP676+1,AP676)</f>
        <v>44634</v>
      </c>
      <c r="AQ677" s="925" t="str">
        <f t="shared" ref="AQ677:AQ740" si="172">IF(NOT(ISNUMBER(FIND(":",AS677))),"",IF(ISNUMBER(FIND("Sunr",AS677)),"SR", IF(ISNUMBER(FIND("Suns",AS677)),"SS",IF(ISNUMBER(FIND("Moonr",AS677)),"MR",IF(ISNUMBER(FIND("Moons",AS677)),"MS",IF(ISNUMBER(FIND("Twi",AS677)),IF(HOUR(AR677)&lt;12,"BMNT","EENT")))))))</f>
        <v/>
      </c>
      <c r="AR677" s="1856" t="str">
        <f t="shared" si="164"/>
        <v/>
      </c>
      <c r="AS677" s="927" t="s">
        <v>252</v>
      </c>
      <c r="AT677" s="1856" t="str">
        <f t="shared" si="165"/>
        <v/>
      </c>
      <c r="AU677" s="1856" t="str">
        <f t="shared" si="166"/>
        <v/>
      </c>
      <c r="AV677" s="1856" t="str">
        <f t="shared" si="167"/>
        <v/>
      </c>
      <c r="AW677" s="1856" t="str">
        <f t="shared" si="168"/>
        <v/>
      </c>
      <c r="AX677" s="1856" t="str">
        <f t="shared" si="169"/>
        <v/>
      </c>
      <c r="AY677" s="1856" t="str">
        <f t="shared" si="170"/>
        <v/>
      </c>
    </row>
    <row r="678" spans="42:52">
      <c r="AP678" s="1855">
        <f t="shared" si="171"/>
        <v>44634</v>
      </c>
      <c r="AQ678" s="925" t="str">
        <f t="shared" si="172"/>
        <v/>
      </c>
      <c r="AR678" s="1856" t="str">
        <f t="shared" si="164"/>
        <v/>
      </c>
      <c r="AT678" s="1856" t="str">
        <f t="shared" si="165"/>
        <v/>
      </c>
      <c r="AU678" s="1856" t="str">
        <f t="shared" si="166"/>
        <v/>
      </c>
      <c r="AV678" s="1856" t="str">
        <f t="shared" si="167"/>
        <v/>
      </c>
      <c r="AW678" s="1856" t="str">
        <f t="shared" si="168"/>
        <v/>
      </c>
      <c r="AX678" s="1856" t="str">
        <f t="shared" si="169"/>
        <v/>
      </c>
      <c r="AY678" s="1856" t="str">
        <f t="shared" si="170"/>
        <v/>
      </c>
    </row>
    <row r="679" spans="42:52">
      <c r="AP679" s="1855">
        <f t="shared" si="171"/>
        <v>44634</v>
      </c>
      <c r="AQ679" s="925" t="str">
        <f t="shared" si="172"/>
        <v>MS</v>
      </c>
      <c r="AR679" s="1856">
        <f t="shared" si="164"/>
        <v>44634.262499999997</v>
      </c>
      <c r="AS679" s="927" t="s">
        <v>1521</v>
      </c>
      <c r="AT679" s="1856" t="str">
        <f t="shared" si="165"/>
        <v/>
      </c>
      <c r="AU679" s="1856" t="str">
        <f t="shared" si="166"/>
        <v/>
      </c>
      <c r="AV679" s="1856" t="str">
        <f t="shared" si="167"/>
        <v/>
      </c>
      <c r="AW679" s="1856" t="str">
        <f t="shared" si="168"/>
        <v/>
      </c>
      <c r="AX679" s="1856" t="str">
        <f t="shared" si="169"/>
        <v/>
      </c>
      <c r="AY679" s="1856" t="str">
        <f t="shared" si="170"/>
        <v/>
      </c>
    </row>
    <row r="680" spans="42:52">
      <c r="AP680" s="1855">
        <f t="shared" si="171"/>
        <v>44634</v>
      </c>
      <c r="AQ680" s="925" t="str">
        <f t="shared" si="172"/>
        <v>BMNT</v>
      </c>
      <c r="AR680" s="1856">
        <f t="shared" si="164"/>
        <v>44634.291666666664</v>
      </c>
      <c r="AS680" s="927" t="s">
        <v>1522</v>
      </c>
      <c r="AT680" s="1856" t="str">
        <f t="shared" si="165"/>
        <v/>
      </c>
      <c r="AU680" s="1856" t="str">
        <f t="shared" si="166"/>
        <v/>
      </c>
      <c r="AV680" s="1856" t="str">
        <f t="shared" si="167"/>
        <v/>
      </c>
      <c r="AW680" s="1856" t="str">
        <f t="shared" si="168"/>
        <v/>
      </c>
      <c r="AX680" s="1856" t="str">
        <f t="shared" si="169"/>
        <v/>
      </c>
      <c r="AY680" s="1856" t="str">
        <f t="shared" si="170"/>
        <v/>
      </c>
    </row>
    <row r="681" spans="42:52">
      <c r="AP681" s="1855">
        <f t="shared" si="171"/>
        <v>44634</v>
      </c>
      <c r="AQ681" s="925" t="str">
        <f t="shared" si="172"/>
        <v>SR</v>
      </c>
      <c r="AR681" s="1856">
        <f t="shared" ref="AR681:AR744" si="173">IF(NOT(ISNUMBER(FIND(":",AS681))),"",IF(ISNUMBER(FIND(" none",AS681)),"NONE",AP681+LEFT(RIGHT(AS681,5),2)/24+RIGHT(AS681,2)/1440))</f>
        <v>44634.331249999996</v>
      </c>
      <c r="AS681" s="927" t="s">
        <v>1074</v>
      </c>
      <c r="AT681" s="1856" t="str">
        <f t="shared" si="165"/>
        <v/>
      </c>
      <c r="AU681" s="1856" t="str">
        <f t="shared" si="166"/>
        <v/>
      </c>
      <c r="AV681" s="1856" t="str">
        <f t="shared" si="167"/>
        <v/>
      </c>
      <c r="AW681" s="1856" t="str">
        <f t="shared" si="168"/>
        <v/>
      </c>
      <c r="AX681" s="1856" t="str">
        <f t="shared" si="169"/>
        <v/>
      </c>
      <c r="AY681" s="1856" t="str">
        <f t="shared" si="170"/>
        <v/>
      </c>
    </row>
    <row r="682" spans="42:52">
      <c r="AP682" s="1855">
        <f t="shared" si="171"/>
        <v>44634</v>
      </c>
      <c r="AQ682" s="925" t="str">
        <f t="shared" si="172"/>
        <v>MR</v>
      </c>
      <c r="AR682" s="1856">
        <f t="shared" si="173"/>
        <v>44634.673611111109</v>
      </c>
      <c r="AS682" s="927" t="s">
        <v>1523</v>
      </c>
      <c r="AT682" s="1856" t="str">
        <f t="shared" si="165"/>
        <v/>
      </c>
      <c r="AU682" s="1856" t="str">
        <f t="shared" si="166"/>
        <v/>
      </c>
      <c r="AV682" s="1856" t="str">
        <f t="shared" si="167"/>
        <v/>
      </c>
      <c r="AW682" s="1856" t="str">
        <f t="shared" si="168"/>
        <v/>
      </c>
      <c r="AX682" s="1856" t="str">
        <f t="shared" si="169"/>
        <v/>
      </c>
      <c r="AY682" s="1856" t="str">
        <f t="shared" si="170"/>
        <v/>
      </c>
    </row>
    <row r="683" spans="42:52">
      <c r="AP683" s="1855">
        <f t="shared" si="171"/>
        <v>44634</v>
      </c>
      <c r="AQ683" s="925" t="str">
        <f t="shared" si="172"/>
        <v>SS</v>
      </c>
      <c r="AR683" s="1856">
        <f t="shared" si="173"/>
        <v>44634.825694444444</v>
      </c>
      <c r="AS683" s="927" t="s">
        <v>1524</v>
      </c>
      <c r="AT683" s="1856" t="str">
        <f t="shared" si="165"/>
        <v/>
      </c>
      <c r="AU683" s="1856" t="str">
        <f t="shared" si="166"/>
        <v/>
      </c>
      <c r="AV683" s="1856" t="str">
        <f t="shared" si="167"/>
        <v/>
      </c>
      <c r="AW683" s="1856" t="str">
        <f t="shared" si="168"/>
        <v/>
      </c>
      <c r="AX683" s="1856" t="str">
        <f t="shared" si="169"/>
        <v/>
      </c>
      <c r="AY683" s="1856" t="str">
        <f t="shared" si="170"/>
        <v/>
      </c>
    </row>
    <row r="684" spans="42:52">
      <c r="AP684" s="1855">
        <f t="shared" si="171"/>
        <v>44634</v>
      </c>
      <c r="AQ684" s="925" t="str">
        <f t="shared" si="172"/>
        <v>EENT</v>
      </c>
      <c r="AR684" s="1856">
        <f t="shared" si="173"/>
        <v>44634.865277777782</v>
      </c>
      <c r="AS684" s="927" t="s">
        <v>1525</v>
      </c>
      <c r="AT684" s="1856" t="str">
        <f t="shared" si="165"/>
        <v/>
      </c>
      <c r="AU684" s="1856" t="str">
        <f t="shared" si="166"/>
        <v/>
      </c>
      <c r="AV684" s="1856" t="str">
        <f t="shared" si="167"/>
        <v/>
      </c>
      <c r="AW684" s="1856" t="str">
        <f t="shared" si="168"/>
        <v/>
      </c>
      <c r="AX684" s="1856" t="str">
        <f t="shared" si="169"/>
        <v/>
      </c>
      <c r="AY684" s="1856" t="str">
        <f t="shared" si="170"/>
        <v/>
      </c>
    </row>
    <row r="685" spans="42:52">
      <c r="AP685" s="1855">
        <f t="shared" si="171"/>
        <v>44635</v>
      </c>
      <c r="AQ685" s="925" t="str">
        <f t="shared" si="172"/>
        <v/>
      </c>
      <c r="AR685" s="1856" t="str">
        <f t="shared" si="173"/>
        <v/>
      </c>
      <c r="AS685" s="927">
        <v>15</v>
      </c>
      <c r="AT685" s="1856">
        <f t="shared" si="165"/>
        <v>44635.290972222225</v>
      </c>
      <c r="AU685" s="1856">
        <f t="shared" si="166"/>
        <v>44635.330555555556</v>
      </c>
      <c r="AV685" s="1856">
        <f t="shared" si="167"/>
        <v>44635.826388888883</v>
      </c>
      <c r="AW685" s="1856">
        <f t="shared" si="168"/>
        <v>44635.865972222222</v>
      </c>
      <c r="AX685" s="1856">
        <f t="shared" si="169"/>
        <v>44635.718055555561</v>
      </c>
      <c r="AY685" s="1856">
        <f t="shared" si="170"/>
        <v>44635.286805555559</v>
      </c>
      <c r="AZ685" s="1853">
        <v>0.9</v>
      </c>
    </row>
    <row r="686" spans="42:52">
      <c r="AP686" s="1855">
        <f t="shared" si="171"/>
        <v>44635</v>
      </c>
      <c r="AQ686" s="925" t="str">
        <f t="shared" si="172"/>
        <v/>
      </c>
      <c r="AR686" s="1856" t="str">
        <f t="shared" si="173"/>
        <v/>
      </c>
      <c r="AS686" s="927" t="s">
        <v>252</v>
      </c>
      <c r="AT686" s="1856" t="str">
        <f t="shared" si="165"/>
        <v/>
      </c>
      <c r="AU686" s="1856" t="str">
        <f t="shared" si="166"/>
        <v/>
      </c>
      <c r="AV686" s="1856" t="str">
        <f t="shared" si="167"/>
        <v/>
      </c>
      <c r="AW686" s="1856" t="str">
        <f t="shared" si="168"/>
        <v/>
      </c>
      <c r="AX686" s="1856" t="str">
        <f t="shared" si="169"/>
        <v/>
      </c>
      <c r="AY686" s="1856" t="str">
        <f t="shared" si="170"/>
        <v/>
      </c>
    </row>
    <row r="687" spans="42:52">
      <c r="AP687" s="1855">
        <f t="shared" si="171"/>
        <v>44635</v>
      </c>
      <c r="AQ687" s="925" t="str">
        <f t="shared" si="172"/>
        <v/>
      </c>
      <c r="AR687" s="1856" t="str">
        <f t="shared" si="173"/>
        <v/>
      </c>
      <c r="AT687" s="1856" t="str">
        <f t="shared" si="165"/>
        <v/>
      </c>
      <c r="AU687" s="1856" t="str">
        <f t="shared" si="166"/>
        <v/>
      </c>
      <c r="AV687" s="1856" t="str">
        <f t="shared" si="167"/>
        <v/>
      </c>
      <c r="AW687" s="1856" t="str">
        <f t="shared" si="168"/>
        <v/>
      </c>
      <c r="AX687" s="1856" t="str">
        <f t="shared" si="169"/>
        <v/>
      </c>
      <c r="AY687" s="1856" t="str">
        <f t="shared" si="170"/>
        <v/>
      </c>
    </row>
    <row r="688" spans="42:52">
      <c r="AP688" s="1855">
        <f t="shared" si="171"/>
        <v>44635</v>
      </c>
      <c r="AQ688" s="925" t="str">
        <f t="shared" si="172"/>
        <v>MS</v>
      </c>
      <c r="AR688" s="1856">
        <f t="shared" si="173"/>
        <v>44635.286805555559</v>
      </c>
      <c r="AS688" s="927" t="s">
        <v>1526</v>
      </c>
      <c r="AT688" s="1856" t="str">
        <f t="shared" si="165"/>
        <v/>
      </c>
      <c r="AU688" s="1856" t="str">
        <f t="shared" si="166"/>
        <v/>
      </c>
      <c r="AV688" s="1856" t="str">
        <f t="shared" si="167"/>
        <v/>
      </c>
      <c r="AW688" s="1856" t="str">
        <f t="shared" si="168"/>
        <v/>
      </c>
      <c r="AX688" s="1856" t="str">
        <f t="shared" si="169"/>
        <v/>
      </c>
      <c r="AY688" s="1856" t="str">
        <f t="shared" si="170"/>
        <v/>
      </c>
    </row>
    <row r="689" spans="42:52">
      <c r="AP689" s="1855">
        <f t="shared" si="171"/>
        <v>44635</v>
      </c>
      <c r="AQ689" s="925" t="str">
        <f t="shared" si="172"/>
        <v>BMNT</v>
      </c>
      <c r="AR689" s="1856">
        <f t="shared" si="173"/>
        <v>44635.290972222225</v>
      </c>
      <c r="AS689" s="927" t="s">
        <v>1527</v>
      </c>
      <c r="AT689" s="1856" t="str">
        <f t="shared" si="165"/>
        <v/>
      </c>
      <c r="AU689" s="1856" t="str">
        <f t="shared" si="166"/>
        <v/>
      </c>
      <c r="AV689" s="1856" t="str">
        <f t="shared" si="167"/>
        <v/>
      </c>
      <c r="AW689" s="1856" t="str">
        <f t="shared" si="168"/>
        <v/>
      </c>
      <c r="AX689" s="1856" t="str">
        <f t="shared" si="169"/>
        <v/>
      </c>
      <c r="AY689" s="1856" t="str">
        <f t="shared" si="170"/>
        <v/>
      </c>
    </row>
    <row r="690" spans="42:52">
      <c r="AP690" s="1855">
        <f t="shared" si="171"/>
        <v>44635</v>
      </c>
      <c r="AQ690" s="925" t="str">
        <f t="shared" si="172"/>
        <v>SR</v>
      </c>
      <c r="AR690" s="1856">
        <f t="shared" si="173"/>
        <v>44635.330555555556</v>
      </c>
      <c r="AS690" s="927" t="s">
        <v>1094</v>
      </c>
      <c r="AT690" s="1856" t="str">
        <f t="shared" si="165"/>
        <v/>
      </c>
      <c r="AU690" s="1856" t="str">
        <f t="shared" si="166"/>
        <v/>
      </c>
      <c r="AV690" s="1856" t="str">
        <f t="shared" si="167"/>
        <v/>
      </c>
      <c r="AW690" s="1856" t="str">
        <f t="shared" si="168"/>
        <v/>
      </c>
      <c r="AX690" s="1856" t="str">
        <f t="shared" si="169"/>
        <v/>
      </c>
      <c r="AY690" s="1856" t="str">
        <f t="shared" si="170"/>
        <v/>
      </c>
    </row>
    <row r="691" spans="42:52">
      <c r="AP691" s="1855">
        <f t="shared" si="171"/>
        <v>44635</v>
      </c>
      <c r="AQ691" s="925" t="str">
        <f t="shared" si="172"/>
        <v>MR</v>
      </c>
      <c r="AR691" s="1856">
        <f t="shared" si="173"/>
        <v>44635.718055555561</v>
      </c>
      <c r="AS691" s="927" t="s">
        <v>1528</v>
      </c>
      <c r="AT691" s="1856" t="str">
        <f t="shared" si="165"/>
        <v/>
      </c>
      <c r="AU691" s="1856" t="str">
        <f t="shared" si="166"/>
        <v/>
      </c>
      <c r="AV691" s="1856" t="str">
        <f t="shared" si="167"/>
        <v/>
      </c>
      <c r="AW691" s="1856" t="str">
        <f t="shared" si="168"/>
        <v/>
      </c>
      <c r="AX691" s="1856" t="str">
        <f t="shared" si="169"/>
        <v/>
      </c>
      <c r="AY691" s="1856" t="str">
        <f t="shared" si="170"/>
        <v/>
      </c>
    </row>
    <row r="692" spans="42:52">
      <c r="AP692" s="1855">
        <f t="shared" si="171"/>
        <v>44635</v>
      </c>
      <c r="AQ692" s="925" t="str">
        <f t="shared" si="172"/>
        <v>SS</v>
      </c>
      <c r="AR692" s="1856">
        <f t="shared" si="173"/>
        <v>44635.826388888883</v>
      </c>
      <c r="AS692" s="927" t="s">
        <v>1529</v>
      </c>
      <c r="AT692" s="1856" t="str">
        <f t="shared" si="165"/>
        <v/>
      </c>
      <c r="AU692" s="1856" t="str">
        <f t="shared" si="166"/>
        <v/>
      </c>
      <c r="AV692" s="1856" t="str">
        <f t="shared" si="167"/>
        <v/>
      </c>
      <c r="AW692" s="1856" t="str">
        <f t="shared" si="168"/>
        <v/>
      </c>
      <c r="AX692" s="1856" t="str">
        <f t="shared" si="169"/>
        <v/>
      </c>
      <c r="AY692" s="1856" t="str">
        <f t="shared" si="170"/>
        <v/>
      </c>
    </row>
    <row r="693" spans="42:52">
      <c r="AP693" s="1855">
        <f t="shared" si="171"/>
        <v>44635</v>
      </c>
      <c r="AQ693" s="925" t="str">
        <f t="shared" si="172"/>
        <v>EENT</v>
      </c>
      <c r="AR693" s="1856">
        <f t="shared" si="173"/>
        <v>44635.865972222222</v>
      </c>
      <c r="AS693" s="927" t="s">
        <v>1530</v>
      </c>
      <c r="AT693" s="1856" t="str">
        <f t="shared" si="165"/>
        <v/>
      </c>
      <c r="AU693" s="1856" t="str">
        <f t="shared" si="166"/>
        <v/>
      </c>
      <c r="AV693" s="1856" t="str">
        <f t="shared" si="167"/>
        <v/>
      </c>
      <c r="AW693" s="1856" t="str">
        <f t="shared" si="168"/>
        <v/>
      </c>
      <c r="AX693" s="1856" t="str">
        <f t="shared" si="169"/>
        <v/>
      </c>
      <c r="AY693" s="1856" t="str">
        <f t="shared" si="170"/>
        <v/>
      </c>
    </row>
    <row r="694" spans="42:52">
      <c r="AP694" s="1855">
        <f t="shared" si="171"/>
        <v>44636</v>
      </c>
      <c r="AQ694" s="925" t="str">
        <f t="shared" si="172"/>
        <v/>
      </c>
      <c r="AR694" s="1856" t="str">
        <f t="shared" si="173"/>
        <v/>
      </c>
      <c r="AS694" s="927">
        <v>16</v>
      </c>
      <c r="AT694" s="1856">
        <f t="shared" si="165"/>
        <v>44636.289583333331</v>
      </c>
      <c r="AU694" s="1856">
        <f t="shared" si="166"/>
        <v>44636.329166666663</v>
      </c>
      <c r="AV694" s="1856">
        <f t="shared" si="167"/>
        <v>44636.82708333333</v>
      </c>
      <c r="AW694" s="1856">
        <f t="shared" si="168"/>
        <v>44636.866666666669</v>
      </c>
      <c r="AX694" s="1856">
        <f t="shared" si="169"/>
        <v>44636.763194444444</v>
      </c>
      <c r="AY694" s="1856">
        <f t="shared" si="170"/>
        <v>44636.309027777774</v>
      </c>
      <c r="AZ694" s="1853">
        <v>0.95</v>
      </c>
    </row>
    <row r="695" spans="42:52">
      <c r="AP695" s="1855">
        <f t="shared" si="171"/>
        <v>44636</v>
      </c>
      <c r="AQ695" s="925" t="str">
        <f t="shared" si="172"/>
        <v/>
      </c>
      <c r="AR695" s="1856" t="str">
        <f t="shared" si="173"/>
        <v/>
      </c>
      <c r="AS695" s="927" t="s">
        <v>252</v>
      </c>
      <c r="AT695" s="1856" t="str">
        <f t="shared" si="165"/>
        <v/>
      </c>
      <c r="AU695" s="1856" t="str">
        <f t="shared" si="166"/>
        <v/>
      </c>
      <c r="AV695" s="1856" t="str">
        <f t="shared" si="167"/>
        <v/>
      </c>
      <c r="AW695" s="1856" t="str">
        <f t="shared" si="168"/>
        <v/>
      </c>
      <c r="AX695" s="1856" t="str">
        <f t="shared" si="169"/>
        <v/>
      </c>
      <c r="AY695" s="1856" t="str">
        <f t="shared" si="170"/>
        <v/>
      </c>
    </row>
    <row r="696" spans="42:52">
      <c r="AP696" s="1855">
        <f t="shared" si="171"/>
        <v>44636</v>
      </c>
      <c r="AQ696" s="925" t="str">
        <f t="shared" si="172"/>
        <v/>
      </c>
      <c r="AR696" s="1856" t="str">
        <f t="shared" si="173"/>
        <v/>
      </c>
      <c r="AT696" s="1856" t="str">
        <f t="shared" si="165"/>
        <v/>
      </c>
      <c r="AU696" s="1856" t="str">
        <f t="shared" si="166"/>
        <v/>
      </c>
      <c r="AV696" s="1856" t="str">
        <f t="shared" si="167"/>
        <v/>
      </c>
      <c r="AW696" s="1856" t="str">
        <f t="shared" si="168"/>
        <v/>
      </c>
      <c r="AX696" s="1856" t="str">
        <f t="shared" si="169"/>
        <v/>
      </c>
      <c r="AY696" s="1856" t="str">
        <f t="shared" si="170"/>
        <v/>
      </c>
    </row>
    <row r="697" spans="42:52">
      <c r="AP697" s="1855">
        <f t="shared" si="171"/>
        <v>44636</v>
      </c>
      <c r="AQ697" s="925" t="str">
        <f t="shared" si="172"/>
        <v>BMNT</v>
      </c>
      <c r="AR697" s="1856">
        <f t="shared" si="173"/>
        <v>44636.289583333331</v>
      </c>
      <c r="AS697" s="927" t="s">
        <v>756</v>
      </c>
      <c r="AT697" s="1856" t="str">
        <f t="shared" si="165"/>
        <v/>
      </c>
      <c r="AU697" s="1856" t="str">
        <f t="shared" si="166"/>
        <v/>
      </c>
      <c r="AV697" s="1856" t="str">
        <f t="shared" si="167"/>
        <v/>
      </c>
      <c r="AW697" s="1856" t="str">
        <f t="shared" si="168"/>
        <v/>
      </c>
      <c r="AX697" s="1856" t="str">
        <f t="shared" si="169"/>
        <v/>
      </c>
      <c r="AY697" s="1856" t="str">
        <f t="shared" si="170"/>
        <v/>
      </c>
    </row>
    <row r="698" spans="42:52">
      <c r="AP698" s="1855">
        <f t="shared" si="171"/>
        <v>44636</v>
      </c>
      <c r="AQ698" s="925" t="str">
        <f t="shared" si="172"/>
        <v>MS</v>
      </c>
      <c r="AR698" s="1856">
        <f t="shared" si="173"/>
        <v>44636.309027777774</v>
      </c>
      <c r="AS698" s="927" t="s">
        <v>1531</v>
      </c>
      <c r="AT698" s="1856" t="str">
        <f t="shared" si="165"/>
        <v/>
      </c>
      <c r="AU698" s="1856" t="str">
        <f t="shared" si="166"/>
        <v/>
      </c>
      <c r="AV698" s="1856" t="str">
        <f t="shared" si="167"/>
        <v/>
      </c>
      <c r="AW698" s="1856" t="str">
        <f t="shared" si="168"/>
        <v/>
      </c>
      <c r="AX698" s="1856" t="str">
        <f t="shared" si="169"/>
        <v/>
      </c>
      <c r="AY698" s="1856" t="str">
        <f t="shared" si="170"/>
        <v/>
      </c>
    </row>
    <row r="699" spans="42:52">
      <c r="AP699" s="1855">
        <f t="shared" si="171"/>
        <v>44636</v>
      </c>
      <c r="AQ699" s="925" t="str">
        <f t="shared" si="172"/>
        <v>SR</v>
      </c>
      <c r="AR699" s="1856">
        <f t="shared" si="173"/>
        <v>44636.329166666663</v>
      </c>
      <c r="AS699" s="927" t="s">
        <v>1147</v>
      </c>
      <c r="AT699" s="1856" t="str">
        <f t="shared" si="165"/>
        <v/>
      </c>
      <c r="AU699" s="1856" t="str">
        <f t="shared" si="166"/>
        <v/>
      </c>
      <c r="AV699" s="1856" t="str">
        <f t="shared" si="167"/>
        <v/>
      </c>
      <c r="AW699" s="1856" t="str">
        <f t="shared" si="168"/>
        <v/>
      </c>
      <c r="AX699" s="1856" t="str">
        <f t="shared" si="169"/>
        <v/>
      </c>
      <c r="AY699" s="1856" t="str">
        <f t="shared" si="170"/>
        <v/>
      </c>
    </row>
    <row r="700" spans="42:52">
      <c r="AP700" s="1855">
        <f t="shared" si="171"/>
        <v>44636</v>
      </c>
      <c r="AQ700" s="925" t="str">
        <f t="shared" si="172"/>
        <v>MR</v>
      </c>
      <c r="AR700" s="1856">
        <f t="shared" si="173"/>
        <v>44636.763194444444</v>
      </c>
      <c r="AS700" s="927" t="s">
        <v>1532</v>
      </c>
      <c r="AT700" s="1856" t="str">
        <f t="shared" si="165"/>
        <v/>
      </c>
      <c r="AU700" s="1856" t="str">
        <f t="shared" si="166"/>
        <v/>
      </c>
      <c r="AV700" s="1856" t="str">
        <f t="shared" si="167"/>
        <v/>
      </c>
      <c r="AW700" s="1856" t="str">
        <f t="shared" si="168"/>
        <v/>
      </c>
      <c r="AX700" s="1856" t="str">
        <f t="shared" si="169"/>
        <v/>
      </c>
      <c r="AY700" s="1856" t="str">
        <f t="shared" si="170"/>
        <v/>
      </c>
    </row>
    <row r="701" spans="42:52">
      <c r="AP701" s="1855">
        <f t="shared" si="171"/>
        <v>44636</v>
      </c>
      <c r="AQ701" s="925" t="str">
        <f t="shared" si="172"/>
        <v>SS</v>
      </c>
      <c r="AR701" s="1856">
        <f t="shared" si="173"/>
        <v>44636.82708333333</v>
      </c>
      <c r="AS701" s="927" t="s">
        <v>1533</v>
      </c>
      <c r="AT701" s="1856" t="str">
        <f t="shared" si="165"/>
        <v/>
      </c>
      <c r="AU701" s="1856" t="str">
        <f t="shared" si="166"/>
        <v/>
      </c>
      <c r="AV701" s="1856" t="str">
        <f t="shared" si="167"/>
        <v/>
      </c>
      <c r="AW701" s="1856" t="str">
        <f t="shared" si="168"/>
        <v/>
      </c>
      <c r="AX701" s="1856" t="str">
        <f t="shared" si="169"/>
        <v/>
      </c>
      <c r="AY701" s="1856" t="str">
        <f t="shared" si="170"/>
        <v/>
      </c>
    </row>
    <row r="702" spans="42:52">
      <c r="AP702" s="1855">
        <f t="shared" si="171"/>
        <v>44636</v>
      </c>
      <c r="AQ702" s="925" t="str">
        <f t="shared" si="172"/>
        <v>EENT</v>
      </c>
      <c r="AR702" s="1856">
        <f t="shared" si="173"/>
        <v>44636.866666666669</v>
      </c>
      <c r="AS702" s="927" t="s">
        <v>1534</v>
      </c>
      <c r="AT702" s="1856" t="str">
        <f t="shared" si="165"/>
        <v/>
      </c>
      <c r="AU702" s="1856" t="str">
        <f t="shared" si="166"/>
        <v/>
      </c>
      <c r="AV702" s="1856" t="str">
        <f t="shared" si="167"/>
        <v/>
      </c>
      <c r="AW702" s="1856" t="str">
        <f t="shared" si="168"/>
        <v/>
      </c>
      <c r="AX702" s="1856" t="str">
        <f t="shared" si="169"/>
        <v/>
      </c>
      <c r="AY702" s="1856" t="str">
        <f t="shared" si="170"/>
        <v/>
      </c>
    </row>
    <row r="703" spans="42:52">
      <c r="AP703" s="1855">
        <f t="shared" si="171"/>
        <v>44637</v>
      </c>
      <c r="AQ703" s="925" t="str">
        <f t="shared" si="172"/>
        <v/>
      </c>
      <c r="AR703" s="1856" t="str">
        <f t="shared" si="173"/>
        <v/>
      </c>
      <c r="AS703" s="927">
        <v>17</v>
      </c>
      <c r="AT703" s="1856">
        <f t="shared" si="165"/>
        <v>44637.288888888892</v>
      </c>
      <c r="AU703" s="1856">
        <f t="shared" si="166"/>
        <v>44637.328472222223</v>
      </c>
      <c r="AV703" s="1856">
        <f t="shared" si="167"/>
        <v>44637.827777777777</v>
      </c>
      <c r="AW703" s="1856">
        <f t="shared" si="168"/>
        <v>44637.867361111115</v>
      </c>
      <c r="AX703" s="1856">
        <f t="shared" si="169"/>
        <v>44637.809027777774</v>
      </c>
      <c r="AY703" s="1856">
        <f t="shared" si="170"/>
        <v>44637.328472222223</v>
      </c>
      <c r="AZ703" s="1853">
        <v>0.98</v>
      </c>
    </row>
    <row r="704" spans="42:52">
      <c r="AP704" s="1855">
        <f t="shared" si="171"/>
        <v>44637</v>
      </c>
      <c r="AQ704" s="925" t="str">
        <f t="shared" si="172"/>
        <v/>
      </c>
      <c r="AR704" s="1856" t="str">
        <f t="shared" si="173"/>
        <v/>
      </c>
      <c r="AS704" s="927" t="s">
        <v>252</v>
      </c>
      <c r="AT704" s="1856" t="str">
        <f t="shared" si="165"/>
        <v/>
      </c>
      <c r="AU704" s="1856" t="str">
        <f t="shared" si="166"/>
        <v/>
      </c>
      <c r="AV704" s="1856" t="str">
        <f t="shared" si="167"/>
        <v/>
      </c>
      <c r="AW704" s="1856" t="str">
        <f t="shared" si="168"/>
        <v/>
      </c>
      <c r="AX704" s="1856" t="str">
        <f t="shared" si="169"/>
        <v/>
      </c>
      <c r="AY704" s="1856" t="str">
        <f t="shared" si="170"/>
        <v/>
      </c>
    </row>
    <row r="705" spans="42:52">
      <c r="AP705" s="1855">
        <f t="shared" si="171"/>
        <v>44637</v>
      </c>
      <c r="AQ705" s="925" t="str">
        <f t="shared" si="172"/>
        <v/>
      </c>
      <c r="AR705" s="1856" t="str">
        <f t="shared" si="173"/>
        <v/>
      </c>
      <c r="AT705" s="1856" t="str">
        <f t="shared" si="165"/>
        <v/>
      </c>
      <c r="AU705" s="1856" t="str">
        <f t="shared" si="166"/>
        <v/>
      </c>
      <c r="AV705" s="1856" t="str">
        <f t="shared" si="167"/>
        <v/>
      </c>
      <c r="AW705" s="1856" t="str">
        <f t="shared" si="168"/>
        <v/>
      </c>
      <c r="AX705" s="1856" t="str">
        <f t="shared" si="169"/>
        <v/>
      </c>
      <c r="AY705" s="1856" t="str">
        <f t="shared" si="170"/>
        <v/>
      </c>
    </row>
    <row r="706" spans="42:52">
      <c r="AP706" s="1855">
        <f t="shared" si="171"/>
        <v>44637</v>
      </c>
      <c r="AQ706" s="925" t="str">
        <f t="shared" si="172"/>
        <v>BMNT</v>
      </c>
      <c r="AR706" s="1856">
        <f t="shared" si="173"/>
        <v>44637.288888888892</v>
      </c>
      <c r="AS706" s="927" t="s">
        <v>1083</v>
      </c>
      <c r="AT706" s="1856" t="str">
        <f t="shared" si="165"/>
        <v/>
      </c>
      <c r="AU706" s="1856" t="str">
        <f t="shared" si="166"/>
        <v/>
      </c>
      <c r="AV706" s="1856" t="str">
        <f t="shared" si="167"/>
        <v/>
      </c>
      <c r="AW706" s="1856" t="str">
        <f t="shared" si="168"/>
        <v/>
      </c>
      <c r="AX706" s="1856" t="str">
        <f t="shared" si="169"/>
        <v/>
      </c>
      <c r="AY706" s="1856" t="str">
        <f t="shared" si="170"/>
        <v/>
      </c>
    </row>
    <row r="707" spans="42:52">
      <c r="AP707" s="1855">
        <f t="shared" si="171"/>
        <v>44637</v>
      </c>
      <c r="AQ707" s="925" t="str">
        <f t="shared" si="172"/>
        <v>SR</v>
      </c>
      <c r="AR707" s="1856">
        <f t="shared" si="173"/>
        <v>44637.328472222223</v>
      </c>
      <c r="AS707" s="927" t="s">
        <v>1169</v>
      </c>
      <c r="AT707" s="1856" t="str">
        <f t="shared" si="165"/>
        <v/>
      </c>
      <c r="AU707" s="1856" t="str">
        <f t="shared" si="166"/>
        <v/>
      </c>
      <c r="AV707" s="1856" t="str">
        <f t="shared" si="167"/>
        <v/>
      </c>
      <c r="AW707" s="1856" t="str">
        <f t="shared" si="168"/>
        <v/>
      </c>
      <c r="AX707" s="1856" t="str">
        <f t="shared" si="169"/>
        <v/>
      </c>
      <c r="AY707" s="1856" t="str">
        <f t="shared" si="170"/>
        <v/>
      </c>
    </row>
    <row r="708" spans="42:52">
      <c r="AP708" s="1855">
        <f t="shared" si="171"/>
        <v>44637</v>
      </c>
      <c r="AQ708" s="925" t="str">
        <f t="shared" si="172"/>
        <v>MS</v>
      </c>
      <c r="AR708" s="1856">
        <f t="shared" si="173"/>
        <v>44637.328472222223</v>
      </c>
      <c r="AS708" s="927" t="s">
        <v>1535</v>
      </c>
      <c r="AT708" s="1856" t="str">
        <f t="shared" si="165"/>
        <v/>
      </c>
      <c r="AU708" s="1856" t="str">
        <f t="shared" si="166"/>
        <v/>
      </c>
      <c r="AV708" s="1856" t="str">
        <f t="shared" si="167"/>
        <v/>
      </c>
      <c r="AW708" s="1856" t="str">
        <f t="shared" si="168"/>
        <v/>
      </c>
      <c r="AX708" s="1856" t="str">
        <f t="shared" si="169"/>
        <v/>
      </c>
      <c r="AY708" s="1856" t="str">
        <f t="shared" si="170"/>
        <v/>
      </c>
    </row>
    <row r="709" spans="42:52">
      <c r="AP709" s="1855">
        <f t="shared" si="171"/>
        <v>44637</v>
      </c>
      <c r="AQ709" s="925" t="str">
        <f t="shared" si="172"/>
        <v>MR</v>
      </c>
      <c r="AR709" s="1856">
        <f t="shared" si="173"/>
        <v>44637.809027777774</v>
      </c>
      <c r="AS709" s="927" t="s">
        <v>1536</v>
      </c>
      <c r="AT709" s="1856" t="str">
        <f t="shared" si="165"/>
        <v/>
      </c>
      <c r="AU709" s="1856" t="str">
        <f t="shared" si="166"/>
        <v/>
      </c>
      <c r="AV709" s="1856" t="str">
        <f t="shared" si="167"/>
        <v/>
      </c>
      <c r="AW709" s="1856" t="str">
        <f t="shared" si="168"/>
        <v/>
      </c>
      <c r="AX709" s="1856" t="str">
        <f t="shared" si="169"/>
        <v/>
      </c>
      <c r="AY709" s="1856" t="str">
        <f t="shared" si="170"/>
        <v/>
      </c>
    </row>
    <row r="710" spans="42:52">
      <c r="AP710" s="1855">
        <f t="shared" si="171"/>
        <v>44637</v>
      </c>
      <c r="AQ710" s="925" t="str">
        <f t="shared" si="172"/>
        <v>SS</v>
      </c>
      <c r="AR710" s="1856">
        <f t="shared" si="173"/>
        <v>44637.827777777777</v>
      </c>
      <c r="AS710" s="927" t="s">
        <v>1537</v>
      </c>
      <c r="AT710" s="1856" t="str">
        <f t="shared" si="165"/>
        <v/>
      </c>
      <c r="AU710" s="1856" t="str">
        <f t="shared" si="166"/>
        <v/>
      </c>
      <c r="AV710" s="1856" t="str">
        <f t="shared" si="167"/>
        <v/>
      </c>
      <c r="AW710" s="1856" t="str">
        <f t="shared" si="168"/>
        <v/>
      </c>
      <c r="AX710" s="1856" t="str">
        <f t="shared" si="169"/>
        <v/>
      </c>
      <c r="AY710" s="1856" t="str">
        <f t="shared" si="170"/>
        <v/>
      </c>
    </row>
    <row r="711" spans="42:52">
      <c r="AP711" s="1855">
        <f t="shared" si="171"/>
        <v>44637</v>
      </c>
      <c r="AQ711" s="925" t="str">
        <f t="shared" si="172"/>
        <v>EENT</v>
      </c>
      <c r="AR711" s="1856">
        <f t="shared" si="173"/>
        <v>44637.867361111115</v>
      </c>
      <c r="AS711" s="927" t="s">
        <v>1538</v>
      </c>
      <c r="AT711" s="1856" t="str">
        <f t="shared" si="165"/>
        <v/>
      </c>
      <c r="AU711" s="1856" t="str">
        <f t="shared" si="166"/>
        <v/>
      </c>
      <c r="AV711" s="1856" t="str">
        <f t="shared" si="167"/>
        <v/>
      </c>
      <c r="AW711" s="1856" t="str">
        <f t="shared" si="168"/>
        <v/>
      </c>
      <c r="AX711" s="1856" t="str">
        <f t="shared" si="169"/>
        <v/>
      </c>
      <c r="AY711" s="1856" t="str">
        <f t="shared" si="170"/>
        <v/>
      </c>
    </row>
    <row r="712" spans="42:52">
      <c r="AP712" s="1855">
        <f t="shared" si="171"/>
        <v>44638</v>
      </c>
      <c r="AQ712" s="925" t="str">
        <f t="shared" si="172"/>
        <v/>
      </c>
      <c r="AR712" s="1856" t="str">
        <f t="shared" si="173"/>
        <v/>
      </c>
      <c r="AS712" s="927">
        <v>18</v>
      </c>
      <c r="AT712" s="1856">
        <f t="shared" si="165"/>
        <v>44638.287499999999</v>
      </c>
      <c r="AU712" s="1856">
        <f t="shared" si="166"/>
        <v>44638.32708333333</v>
      </c>
      <c r="AV712" s="1856">
        <f t="shared" si="167"/>
        <v>44638.828472222223</v>
      </c>
      <c r="AW712" s="1856">
        <f t="shared" si="168"/>
        <v>44638.868055555555</v>
      </c>
      <c r="AX712" s="1856">
        <f t="shared" si="169"/>
        <v>44638.854861111111</v>
      </c>
      <c r="AY712" s="1856">
        <f t="shared" si="170"/>
        <v>44638.34652777778</v>
      </c>
      <c r="AZ712" s="1853">
        <v>1</v>
      </c>
    </row>
    <row r="713" spans="42:52">
      <c r="AP713" s="1855">
        <f t="shared" si="171"/>
        <v>44638</v>
      </c>
      <c r="AQ713" s="925" t="str">
        <f t="shared" si="172"/>
        <v/>
      </c>
      <c r="AR713" s="1856" t="str">
        <f t="shared" si="173"/>
        <v/>
      </c>
      <c r="AS713" s="927" t="s">
        <v>252</v>
      </c>
      <c r="AT713" s="1856" t="str">
        <f t="shared" si="165"/>
        <v/>
      </c>
      <c r="AU713" s="1856" t="str">
        <f t="shared" si="166"/>
        <v/>
      </c>
      <c r="AV713" s="1856" t="str">
        <f t="shared" si="167"/>
        <v/>
      </c>
      <c r="AW713" s="1856" t="str">
        <f t="shared" si="168"/>
        <v/>
      </c>
      <c r="AX713" s="1856" t="str">
        <f t="shared" si="169"/>
        <v/>
      </c>
      <c r="AY713" s="1856" t="str">
        <f t="shared" si="170"/>
        <v/>
      </c>
    </row>
    <row r="714" spans="42:52">
      <c r="AP714" s="1855">
        <f t="shared" si="171"/>
        <v>44638</v>
      </c>
      <c r="AQ714" s="925" t="str">
        <f t="shared" si="172"/>
        <v/>
      </c>
      <c r="AR714" s="1856" t="str">
        <f t="shared" si="173"/>
        <v/>
      </c>
      <c r="AT714" s="1856" t="str">
        <f t="shared" si="165"/>
        <v/>
      </c>
      <c r="AU714" s="1856" t="str">
        <f t="shared" si="166"/>
        <v/>
      </c>
      <c r="AV714" s="1856" t="str">
        <f t="shared" si="167"/>
        <v/>
      </c>
      <c r="AW714" s="1856" t="str">
        <f t="shared" si="168"/>
        <v/>
      </c>
      <c r="AX714" s="1856" t="str">
        <f t="shared" si="169"/>
        <v/>
      </c>
      <c r="AY714" s="1856" t="str">
        <f t="shared" si="170"/>
        <v/>
      </c>
    </row>
    <row r="715" spans="42:52">
      <c r="AP715" s="1855">
        <f t="shared" si="171"/>
        <v>44638</v>
      </c>
      <c r="AQ715" s="925" t="str">
        <f t="shared" si="172"/>
        <v>BMNT</v>
      </c>
      <c r="AR715" s="1856">
        <f t="shared" si="173"/>
        <v>44638.287499999999</v>
      </c>
      <c r="AS715" s="927" t="s">
        <v>1145</v>
      </c>
      <c r="AT715" s="1856" t="str">
        <f t="shared" si="165"/>
        <v/>
      </c>
      <c r="AU715" s="1856" t="str">
        <f t="shared" si="166"/>
        <v/>
      </c>
      <c r="AV715" s="1856" t="str">
        <f t="shared" si="167"/>
        <v/>
      </c>
      <c r="AW715" s="1856" t="str">
        <f t="shared" si="168"/>
        <v/>
      </c>
      <c r="AX715" s="1856" t="str">
        <f t="shared" si="169"/>
        <v/>
      </c>
      <c r="AY715" s="1856" t="str">
        <f t="shared" si="170"/>
        <v/>
      </c>
    </row>
    <row r="716" spans="42:52">
      <c r="AP716" s="1855">
        <f t="shared" si="171"/>
        <v>44638</v>
      </c>
      <c r="AQ716" s="925" t="str">
        <f t="shared" si="172"/>
        <v>SR</v>
      </c>
      <c r="AR716" s="1856">
        <f t="shared" si="173"/>
        <v>44638.32708333333</v>
      </c>
      <c r="AS716" s="927" t="s">
        <v>1208</v>
      </c>
      <c r="AT716" s="1856" t="str">
        <f t="shared" si="165"/>
        <v/>
      </c>
      <c r="AU716" s="1856" t="str">
        <f t="shared" si="166"/>
        <v/>
      </c>
      <c r="AV716" s="1856" t="str">
        <f t="shared" si="167"/>
        <v/>
      </c>
      <c r="AW716" s="1856" t="str">
        <f t="shared" si="168"/>
        <v/>
      </c>
      <c r="AX716" s="1856" t="str">
        <f t="shared" si="169"/>
        <v/>
      </c>
      <c r="AY716" s="1856" t="str">
        <f t="shared" si="170"/>
        <v/>
      </c>
    </row>
    <row r="717" spans="42:52">
      <c r="AP717" s="1855">
        <f t="shared" si="171"/>
        <v>44638</v>
      </c>
      <c r="AQ717" s="925" t="str">
        <f t="shared" si="172"/>
        <v>MS</v>
      </c>
      <c r="AR717" s="1856">
        <f t="shared" si="173"/>
        <v>44638.34652777778</v>
      </c>
      <c r="AS717" s="927" t="s">
        <v>1539</v>
      </c>
      <c r="AT717" s="1856" t="str">
        <f t="shared" si="165"/>
        <v/>
      </c>
      <c r="AU717" s="1856" t="str">
        <f t="shared" si="166"/>
        <v/>
      </c>
      <c r="AV717" s="1856" t="str">
        <f t="shared" si="167"/>
        <v/>
      </c>
      <c r="AW717" s="1856" t="str">
        <f t="shared" si="168"/>
        <v/>
      </c>
      <c r="AX717" s="1856" t="str">
        <f t="shared" si="169"/>
        <v/>
      </c>
      <c r="AY717" s="1856" t="str">
        <f t="shared" si="170"/>
        <v/>
      </c>
    </row>
    <row r="718" spans="42:52">
      <c r="AP718" s="1855">
        <f t="shared" si="171"/>
        <v>44638</v>
      </c>
      <c r="AQ718" s="925" t="str">
        <f t="shared" si="172"/>
        <v>SS</v>
      </c>
      <c r="AR718" s="1856">
        <f t="shared" si="173"/>
        <v>44638.828472222223</v>
      </c>
      <c r="AS718" s="927" t="s">
        <v>1540</v>
      </c>
      <c r="AT718" s="1856" t="str">
        <f t="shared" si="165"/>
        <v/>
      </c>
      <c r="AU718" s="1856" t="str">
        <f t="shared" si="166"/>
        <v/>
      </c>
      <c r="AV718" s="1856" t="str">
        <f t="shared" si="167"/>
        <v/>
      </c>
      <c r="AW718" s="1856" t="str">
        <f t="shared" si="168"/>
        <v/>
      </c>
      <c r="AX718" s="1856" t="str">
        <f t="shared" si="169"/>
        <v/>
      </c>
      <c r="AY718" s="1856" t="str">
        <f t="shared" si="170"/>
        <v/>
      </c>
    </row>
    <row r="719" spans="42:52">
      <c r="AP719" s="1855">
        <f t="shared" si="171"/>
        <v>44638</v>
      </c>
      <c r="AQ719" s="925" t="str">
        <f t="shared" si="172"/>
        <v>MR</v>
      </c>
      <c r="AR719" s="1856">
        <f t="shared" si="173"/>
        <v>44638.854861111111</v>
      </c>
      <c r="AS719" s="927" t="s">
        <v>1541</v>
      </c>
      <c r="AT719" s="1856" t="str">
        <f t="shared" si="165"/>
        <v/>
      </c>
      <c r="AU719" s="1856" t="str">
        <f t="shared" si="166"/>
        <v/>
      </c>
      <c r="AV719" s="1856" t="str">
        <f t="shared" si="167"/>
        <v/>
      </c>
      <c r="AW719" s="1856" t="str">
        <f t="shared" si="168"/>
        <v/>
      </c>
      <c r="AX719" s="1856" t="str">
        <f t="shared" si="169"/>
        <v/>
      </c>
      <c r="AY719" s="1856" t="str">
        <f t="shared" si="170"/>
        <v/>
      </c>
    </row>
    <row r="720" spans="42:52">
      <c r="AP720" s="1855">
        <f t="shared" si="171"/>
        <v>44638</v>
      </c>
      <c r="AQ720" s="925" t="str">
        <f t="shared" si="172"/>
        <v>EENT</v>
      </c>
      <c r="AR720" s="1856">
        <f t="shared" si="173"/>
        <v>44638.868055555555</v>
      </c>
      <c r="AS720" s="927" t="s">
        <v>1542</v>
      </c>
      <c r="AT720" s="1856" t="str">
        <f t="shared" si="165"/>
        <v/>
      </c>
      <c r="AU720" s="1856" t="str">
        <f t="shared" si="166"/>
        <v/>
      </c>
      <c r="AV720" s="1856" t="str">
        <f t="shared" si="167"/>
        <v/>
      </c>
      <c r="AW720" s="1856" t="str">
        <f t="shared" si="168"/>
        <v/>
      </c>
      <c r="AX720" s="1856" t="str">
        <f t="shared" si="169"/>
        <v/>
      </c>
      <c r="AY720" s="1856" t="str">
        <f t="shared" si="170"/>
        <v/>
      </c>
    </row>
    <row r="721" spans="42:52">
      <c r="AP721" s="1855">
        <f t="shared" si="171"/>
        <v>44639</v>
      </c>
      <c r="AQ721" s="925" t="str">
        <f t="shared" si="172"/>
        <v/>
      </c>
      <c r="AR721" s="1856" t="str">
        <f t="shared" si="173"/>
        <v/>
      </c>
      <c r="AS721" s="927">
        <v>19</v>
      </c>
      <c r="AT721" s="1856">
        <f t="shared" si="165"/>
        <v>44639.286805555559</v>
      </c>
      <c r="AU721" s="1856">
        <f t="shared" si="166"/>
        <v>44639.326388888883</v>
      </c>
      <c r="AV721" s="1856">
        <f t="shared" si="167"/>
        <v>44639.829166666663</v>
      </c>
      <c r="AW721" s="1856">
        <f t="shared" si="168"/>
        <v>44639.868750000001</v>
      </c>
      <c r="AX721" s="1856">
        <f t="shared" si="169"/>
        <v>44639.902083333334</v>
      </c>
      <c r="AY721" s="1856">
        <f t="shared" si="170"/>
        <v>44639.364583333336</v>
      </c>
      <c r="AZ721" s="1853">
        <v>0.99</v>
      </c>
    </row>
    <row r="722" spans="42:52">
      <c r="AP722" s="1855">
        <f t="shared" si="171"/>
        <v>44639</v>
      </c>
      <c r="AQ722" s="925" t="str">
        <f t="shared" si="172"/>
        <v/>
      </c>
      <c r="AR722" s="1856" t="str">
        <f t="shared" si="173"/>
        <v/>
      </c>
      <c r="AS722" s="927" t="s">
        <v>252</v>
      </c>
      <c r="AT722" s="1856" t="str">
        <f t="shared" si="165"/>
        <v/>
      </c>
      <c r="AU722" s="1856" t="str">
        <f t="shared" si="166"/>
        <v/>
      </c>
      <c r="AV722" s="1856" t="str">
        <f t="shared" si="167"/>
        <v/>
      </c>
      <c r="AW722" s="1856" t="str">
        <f t="shared" si="168"/>
        <v/>
      </c>
      <c r="AX722" s="1856" t="str">
        <f t="shared" si="169"/>
        <v/>
      </c>
      <c r="AY722" s="1856" t="str">
        <f t="shared" si="170"/>
        <v/>
      </c>
    </row>
    <row r="723" spans="42:52">
      <c r="AP723" s="1855">
        <f t="shared" si="171"/>
        <v>44639</v>
      </c>
      <c r="AQ723" s="925" t="str">
        <f t="shared" si="172"/>
        <v/>
      </c>
      <c r="AR723" s="1856" t="str">
        <f t="shared" si="173"/>
        <v/>
      </c>
      <c r="AT723" s="1856" t="str">
        <f t="shared" si="165"/>
        <v/>
      </c>
      <c r="AU723" s="1856" t="str">
        <f t="shared" si="166"/>
        <v/>
      </c>
      <c r="AV723" s="1856" t="str">
        <f t="shared" si="167"/>
        <v/>
      </c>
      <c r="AW723" s="1856" t="str">
        <f t="shared" si="168"/>
        <v/>
      </c>
      <c r="AX723" s="1856" t="str">
        <f t="shared" si="169"/>
        <v/>
      </c>
      <c r="AY723" s="1856" t="str">
        <f t="shared" si="170"/>
        <v/>
      </c>
    </row>
    <row r="724" spans="42:52">
      <c r="AP724" s="1855">
        <f t="shared" si="171"/>
        <v>44639</v>
      </c>
      <c r="AQ724" s="925" t="str">
        <f t="shared" si="172"/>
        <v>BMNT</v>
      </c>
      <c r="AR724" s="1856">
        <f t="shared" si="173"/>
        <v>44639.286805555559</v>
      </c>
      <c r="AS724" s="927" t="s">
        <v>1168</v>
      </c>
      <c r="AT724" s="1856" t="str">
        <f t="shared" si="165"/>
        <v/>
      </c>
      <c r="AU724" s="1856" t="str">
        <f t="shared" si="166"/>
        <v/>
      </c>
      <c r="AV724" s="1856" t="str">
        <f t="shared" si="167"/>
        <v/>
      </c>
      <c r="AW724" s="1856" t="str">
        <f t="shared" si="168"/>
        <v/>
      </c>
      <c r="AX724" s="1856" t="str">
        <f t="shared" si="169"/>
        <v/>
      </c>
      <c r="AY724" s="1856" t="str">
        <f t="shared" si="170"/>
        <v/>
      </c>
    </row>
    <row r="725" spans="42:52">
      <c r="AP725" s="1855">
        <f t="shared" si="171"/>
        <v>44639</v>
      </c>
      <c r="AQ725" s="925" t="str">
        <f t="shared" si="172"/>
        <v>SR</v>
      </c>
      <c r="AR725" s="1856">
        <f t="shared" si="173"/>
        <v>44639.326388888883</v>
      </c>
      <c r="AS725" s="927" t="s">
        <v>1221</v>
      </c>
      <c r="AT725" s="1856" t="str">
        <f t="shared" si="165"/>
        <v/>
      </c>
      <c r="AU725" s="1856" t="str">
        <f t="shared" si="166"/>
        <v/>
      </c>
      <c r="AV725" s="1856" t="str">
        <f t="shared" si="167"/>
        <v/>
      </c>
      <c r="AW725" s="1856" t="str">
        <f t="shared" si="168"/>
        <v/>
      </c>
      <c r="AX725" s="1856" t="str">
        <f t="shared" si="169"/>
        <v/>
      </c>
      <c r="AY725" s="1856" t="str">
        <f t="shared" si="170"/>
        <v/>
      </c>
    </row>
    <row r="726" spans="42:52">
      <c r="AP726" s="1855">
        <f t="shared" si="171"/>
        <v>44639</v>
      </c>
      <c r="AQ726" s="925" t="str">
        <f t="shared" si="172"/>
        <v>MS</v>
      </c>
      <c r="AR726" s="1856">
        <f t="shared" si="173"/>
        <v>44639.364583333336</v>
      </c>
      <c r="AS726" s="927" t="s">
        <v>1075</v>
      </c>
      <c r="AT726" s="1856" t="str">
        <f t="shared" si="165"/>
        <v/>
      </c>
      <c r="AU726" s="1856" t="str">
        <f t="shared" si="166"/>
        <v/>
      </c>
      <c r="AV726" s="1856" t="str">
        <f t="shared" si="167"/>
        <v/>
      </c>
      <c r="AW726" s="1856" t="str">
        <f t="shared" si="168"/>
        <v/>
      </c>
      <c r="AX726" s="1856" t="str">
        <f t="shared" si="169"/>
        <v/>
      </c>
      <c r="AY726" s="1856" t="str">
        <f t="shared" si="170"/>
        <v/>
      </c>
    </row>
    <row r="727" spans="42:52">
      <c r="AP727" s="1855">
        <f t="shared" si="171"/>
        <v>44639</v>
      </c>
      <c r="AQ727" s="925" t="str">
        <f t="shared" si="172"/>
        <v>SS</v>
      </c>
      <c r="AR727" s="1856">
        <f t="shared" si="173"/>
        <v>44639.829166666663</v>
      </c>
      <c r="AS727" s="927" t="s">
        <v>1543</v>
      </c>
      <c r="AT727" s="1856" t="str">
        <f t="shared" si="165"/>
        <v/>
      </c>
      <c r="AU727" s="1856" t="str">
        <f t="shared" si="166"/>
        <v/>
      </c>
      <c r="AV727" s="1856" t="str">
        <f t="shared" si="167"/>
        <v/>
      </c>
      <c r="AW727" s="1856" t="str">
        <f t="shared" si="168"/>
        <v/>
      </c>
      <c r="AX727" s="1856" t="str">
        <f t="shared" si="169"/>
        <v/>
      </c>
      <c r="AY727" s="1856" t="str">
        <f t="shared" si="170"/>
        <v/>
      </c>
    </row>
    <row r="728" spans="42:52">
      <c r="AP728" s="1855">
        <f t="shared" si="171"/>
        <v>44639</v>
      </c>
      <c r="AQ728" s="925" t="str">
        <f t="shared" si="172"/>
        <v>EENT</v>
      </c>
      <c r="AR728" s="1856">
        <f t="shared" si="173"/>
        <v>44639.868750000001</v>
      </c>
      <c r="AS728" s="927" t="s">
        <v>1544</v>
      </c>
      <c r="AT728" s="1856" t="str">
        <f t="shared" si="165"/>
        <v/>
      </c>
      <c r="AU728" s="1856" t="str">
        <f t="shared" si="166"/>
        <v/>
      </c>
      <c r="AV728" s="1856" t="str">
        <f t="shared" si="167"/>
        <v/>
      </c>
      <c r="AW728" s="1856" t="str">
        <f t="shared" si="168"/>
        <v/>
      </c>
      <c r="AX728" s="1856" t="str">
        <f t="shared" si="169"/>
        <v/>
      </c>
      <c r="AY728" s="1856" t="str">
        <f t="shared" si="170"/>
        <v/>
      </c>
    </row>
    <row r="729" spans="42:52">
      <c r="AP729" s="1855">
        <f t="shared" si="171"/>
        <v>44639</v>
      </c>
      <c r="AQ729" s="925" t="str">
        <f t="shared" si="172"/>
        <v>MR</v>
      </c>
      <c r="AR729" s="1856">
        <f t="shared" si="173"/>
        <v>44639.902083333334</v>
      </c>
      <c r="AS729" s="927" t="s">
        <v>1545</v>
      </c>
      <c r="AT729" s="1856" t="str">
        <f t="shared" si="165"/>
        <v/>
      </c>
      <c r="AU729" s="1856" t="str">
        <f t="shared" si="166"/>
        <v/>
      </c>
      <c r="AV729" s="1856" t="str">
        <f t="shared" si="167"/>
        <v/>
      </c>
      <c r="AW729" s="1856" t="str">
        <f t="shared" si="168"/>
        <v/>
      </c>
      <c r="AX729" s="1856" t="str">
        <f t="shared" si="169"/>
        <v/>
      </c>
      <c r="AY729" s="1856" t="str">
        <f t="shared" si="170"/>
        <v/>
      </c>
    </row>
    <row r="730" spans="42:52">
      <c r="AP730" s="1855">
        <f t="shared" si="171"/>
        <v>44640</v>
      </c>
      <c r="AQ730" s="925" t="str">
        <f t="shared" si="172"/>
        <v/>
      </c>
      <c r="AR730" s="1856" t="str">
        <f t="shared" si="173"/>
        <v/>
      </c>
      <c r="AS730" s="927">
        <v>20</v>
      </c>
      <c r="AT730" s="1856">
        <f t="shared" si="165"/>
        <v>44640.285416666666</v>
      </c>
      <c r="AU730" s="1856">
        <f t="shared" si="166"/>
        <v>44640.324999999997</v>
      </c>
      <c r="AV730" s="1856">
        <f t="shared" si="167"/>
        <v>44640.829861111109</v>
      </c>
      <c r="AW730" s="1856">
        <f t="shared" si="168"/>
        <v>44640.869444444448</v>
      </c>
      <c r="AX730" s="1856">
        <f t="shared" si="169"/>
        <v>44640.950694444444</v>
      </c>
      <c r="AY730" s="1856">
        <f t="shared" si="170"/>
        <v>44640.384027777778</v>
      </c>
      <c r="AZ730" s="1853">
        <v>0.96</v>
      </c>
    </row>
    <row r="731" spans="42:52">
      <c r="AP731" s="1855">
        <f t="shared" si="171"/>
        <v>44640</v>
      </c>
      <c r="AQ731" s="925" t="str">
        <f t="shared" si="172"/>
        <v/>
      </c>
      <c r="AR731" s="1856" t="str">
        <f t="shared" si="173"/>
        <v/>
      </c>
      <c r="AS731" s="927" t="s">
        <v>252</v>
      </c>
      <c r="AT731" s="1856" t="str">
        <f t="shared" si="165"/>
        <v/>
      </c>
      <c r="AU731" s="1856" t="str">
        <f t="shared" si="166"/>
        <v/>
      </c>
      <c r="AV731" s="1856" t="str">
        <f t="shared" si="167"/>
        <v/>
      </c>
      <c r="AW731" s="1856" t="str">
        <f t="shared" si="168"/>
        <v/>
      </c>
      <c r="AX731" s="1856" t="str">
        <f t="shared" si="169"/>
        <v/>
      </c>
      <c r="AY731" s="1856" t="str">
        <f t="shared" si="170"/>
        <v/>
      </c>
    </row>
    <row r="732" spans="42:52">
      <c r="AP732" s="1855">
        <f t="shared" si="171"/>
        <v>44640</v>
      </c>
      <c r="AQ732" s="925" t="str">
        <f t="shared" si="172"/>
        <v/>
      </c>
      <c r="AR732" s="1856" t="str">
        <f t="shared" si="173"/>
        <v/>
      </c>
      <c r="AT732" s="1856" t="str">
        <f t="shared" ref="AT732:AT795" si="174">IF(ISNUMBER(AS732),INDEX(AR733:AR743,MATCH($AT$27,AQ733:AQ743,0)),"")</f>
        <v/>
      </c>
      <c r="AU732" s="1856" t="str">
        <f t="shared" ref="AU732:AU795" si="175">IF(AT732="","",INDEX(AR733:AR743,MATCH($AU$27,AQ733:AQ743,0)))</f>
        <v/>
      </c>
      <c r="AV732" s="1856" t="str">
        <f t="shared" ref="AV732:AV795" si="176">IF(AT732="","",INDEX(AR733:AR743,MATCH($AV$27,AQ733:AQ743,0)))</f>
        <v/>
      </c>
      <c r="AW732" s="1856" t="str">
        <f t="shared" ref="AW732:AW795" si="177">IF(AT732="","",INDEX(AR733:AR743,MATCH($AW$27,AQ733:AQ743,0)))</f>
        <v/>
      </c>
      <c r="AX732" s="1856" t="str">
        <f t="shared" ref="AX732:AX795" si="178">IF(AT732="","",INDEX(AR733:AR743,MATCH($AX$27,AQ733:AQ743,0)))</f>
        <v/>
      </c>
      <c r="AY732" s="1856" t="str">
        <f t="shared" ref="AY732:AY795" si="179">IF(AT732="","",INDEX(AR733:AR743,MATCH($AY$27,AQ733:AQ743,0)))</f>
        <v/>
      </c>
    </row>
    <row r="733" spans="42:52">
      <c r="AP733" s="1855">
        <f t="shared" si="171"/>
        <v>44640</v>
      </c>
      <c r="AQ733" s="925" t="str">
        <f t="shared" si="172"/>
        <v>BMNT</v>
      </c>
      <c r="AR733" s="1856">
        <f t="shared" si="173"/>
        <v>44640.285416666666</v>
      </c>
      <c r="AS733" s="927" t="s">
        <v>1206</v>
      </c>
      <c r="AT733" s="1856" t="str">
        <f t="shared" si="174"/>
        <v/>
      </c>
      <c r="AU733" s="1856" t="str">
        <f t="shared" si="175"/>
        <v/>
      </c>
      <c r="AV733" s="1856" t="str">
        <f t="shared" si="176"/>
        <v/>
      </c>
      <c r="AW733" s="1856" t="str">
        <f t="shared" si="177"/>
        <v/>
      </c>
      <c r="AX733" s="1856" t="str">
        <f t="shared" si="178"/>
        <v/>
      </c>
      <c r="AY733" s="1856" t="str">
        <f t="shared" si="179"/>
        <v/>
      </c>
    </row>
    <row r="734" spans="42:52">
      <c r="AP734" s="1855">
        <f t="shared" si="171"/>
        <v>44640</v>
      </c>
      <c r="AQ734" s="925" t="str">
        <f t="shared" si="172"/>
        <v>SR</v>
      </c>
      <c r="AR734" s="1856">
        <f t="shared" si="173"/>
        <v>44640.324999999997</v>
      </c>
      <c r="AS734" s="927" t="s">
        <v>1245</v>
      </c>
      <c r="AT734" s="1856" t="str">
        <f t="shared" si="174"/>
        <v/>
      </c>
      <c r="AU734" s="1856" t="str">
        <f t="shared" si="175"/>
        <v/>
      </c>
      <c r="AV734" s="1856" t="str">
        <f t="shared" si="176"/>
        <v/>
      </c>
      <c r="AW734" s="1856" t="str">
        <f t="shared" si="177"/>
        <v/>
      </c>
      <c r="AX734" s="1856" t="str">
        <f t="shared" si="178"/>
        <v/>
      </c>
      <c r="AY734" s="1856" t="str">
        <f t="shared" si="179"/>
        <v/>
      </c>
    </row>
    <row r="735" spans="42:52">
      <c r="AP735" s="1855">
        <f t="shared" si="171"/>
        <v>44640</v>
      </c>
      <c r="AQ735" s="925" t="str">
        <f t="shared" si="172"/>
        <v>MS</v>
      </c>
      <c r="AR735" s="1856">
        <f t="shared" si="173"/>
        <v>44640.384027777778</v>
      </c>
      <c r="AS735" s="927" t="s">
        <v>1546</v>
      </c>
      <c r="AT735" s="1856" t="str">
        <f t="shared" si="174"/>
        <v/>
      </c>
      <c r="AU735" s="1856" t="str">
        <f t="shared" si="175"/>
        <v/>
      </c>
      <c r="AV735" s="1856" t="str">
        <f t="shared" si="176"/>
        <v/>
      </c>
      <c r="AW735" s="1856" t="str">
        <f t="shared" si="177"/>
        <v/>
      </c>
      <c r="AX735" s="1856" t="str">
        <f t="shared" si="178"/>
        <v/>
      </c>
      <c r="AY735" s="1856" t="str">
        <f t="shared" si="179"/>
        <v/>
      </c>
    </row>
    <row r="736" spans="42:52">
      <c r="AP736" s="1855">
        <f t="shared" si="171"/>
        <v>44640</v>
      </c>
      <c r="AQ736" s="925" t="str">
        <f t="shared" si="172"/>
        <v>SS</v>
      </c>
      <c r="AR736" s="1856">
        <f t="shared" si="173"/>
        <v>44640.829861111109</v>
      </c>
      <c r="AS736" s="927" t="s">
        <v>1547</v>
      </c>
      <c r="AT736" s="1856" t="str">
        <f t="shared" si="174"/>
        <v/>
      </c>
      <c r="AU736" s="1856" t="str">
        <f t="shared" si="175"/>
        <v/>
      </c>
      <c r="AV736" s="1856" t="str">
        <f t="shared" si="176"/>
        <v/>
      </c>
      <c r="AW736" s="1856" t="str">
        <f t="shared" si="177"/>
        <v/>
      </c>
      <c r="AX736" s="1856" t="str">
        <f t="shared" si="178"/>
        <v/>
      </c>
      <c r="AY736" s="1856" t="str">
        <f t="shared" si="179"/>
        <v/>
      </c>
    </row>
    <row r="737" spans="42:52">
      <c r="AP737" s="1855">
        <f t="shared" si="171"/>
        <v>44640</v>
      </c>
      <c r="AQ737" s="925" t="str">
        <f t="shared" si="172"/>
        <v>EENT</v>
      </c>
      <c r="AR737" s="1856">
        <f t="shared" si="173"/>
        <v>44640.869444444448</v>
      </c>
      <c r="AS737" s="927" t="s">
        <v>1548</v>
      </c>
      <c r="AT737" s="1856" t="str">
        <f t="shared" si="174"/>
        <v/>
      </c>
      <c r="AU737" s="1856" t="str">
        <f t="shared" si="175"/>
        <v/>
      </c>
      <c r="AV737" s="1856" t="str">
        <f t="shared" si="176"/>
        <v/>
      </c>
      <c r="AW737" s="1856" t="str">
        <f t="shared" si="177"/>
        <v/>
      </c>
      <c r="AX737" s="1856" t="str">
        <f t="shared" si="178"/>
        <v/>
      </c>
      <c r="AY737" s="1856" t="str">
        <f t="shared" si="179"/>
        <v/>
      </c>
    </row>
    <row r="738" spans="42:52">
      <c r="AP738" s="1855">
        <f t="shared" si="171"/>
        <v>44640</v>
      </c>
      <c r="AQ738" s="925" t="str">
        <f t="shared" si="172"/>
        <v>MR</v>
      </c>
      <c r="AR738" s="1856">
        <f t="shared" si="173"/>
        <v>44640.950694444444</v>
      </c>
      <c r="AS738" s="927" t="s">
        <v>1549</v>
      </c>
      <c r="AT738" s="1856" t="str">
        <f t="shared" si="174"/>
        <v/>
      </c>
      <c r="AU738" s="1856" t="str">
        <f t="shared" si="175"/>
        <v/>
      </c>
      <c r="AV738" s="1856" t="str">
        <f t="shared" si="176"/>
        <v/>
      </c>
      <c r="AW738" s="1856" t="str">
        <f t="shared" si="177"/>
        <v/>
      </c>
      <c r="AX738" s="1856" t="str">
        <f t="shared" si="178"/>
        <v/>
      </c>
      <c r="AY738" s="1856" t="str">
        <f t="shared" si="179"/>
        <v/>
      </c>
    </row>
    <row r="739" spans="42:52">
      <c r="AP739" s="1855">
        <f t="shared" si="171"/>
        <v>44641</v>
      </c>
      <c r="AQ739" s="925" t="str">
        <f t="shared" si="172"/>
        <v/>
      </c>
      <c r="AR739" s="1856" t="str">
        <f t="shared" si="173"/>
        <v/>
      </c>
      <c r="AS739" s="927">
        <v>21</v>
      </c>
      <c r="AT739" s="1856">
        <f t="shared" si="174"/>
        <v>44641.284722222219</v>
      </c>
      <c r="AU739" s="1856">
        <f t="shared" si="175"/>
        <v>44641.32430555555</v>
      </c>
      <c r="AV739" s="1856">
        <f t="shared" si="176"/>
        <v>44641.830555555556</v>
      </c>
      <c r="AW739" s="1856">
        <f t="shared" si="177"/>
        <v>44641.870138888895</v>
      </c>
      <c r="AX739" s="1856">
        <f t="shared" si="178"/>
        <v>44642</v>
      </c>
      <c r="AY739" s="1856">
        <f t="shared" si="179"/>
        <v>44641.404861111114</v>
      </c>
      <c r="AZ739" s="1853">
        <v>0.9</v>
      </c>
    </row>
    <row r="740" spans="42:52">
      <c r="AP740" s="1855">
        <f t="shared" si="171"/>
        <v>44641</v>
      </c>
      <c r="AQ740" s="925" t="str">
        <f t="shared" si="172"/>
        <v/>
      </c>
      <c r="AR740" s="1856" t="str">
        <f t="shared" si="173"/>
        <v/>
      </c>
      <c r="AS740" s="927" t="s">
        <v>252</v>
      </c>
      <c r="AT740" s="1856" t="str">
        <f t="shared" si="174"/>
        <v/>
      </c>
      <c r="AU740" s="1856" t="str">
        <f t="shared" si="175"/>
        <v/>
      </c>
      <c r="AV740" s="1856" t="str">
        <f t="shared" si="176"/>
        <v/>
      </c>
      <c r="AW740" s="1856" t="str">
        <f t="shared" si="177"/>
        <v/>
      </c>
      <c r="AX740" s="1856" t="str">
        <f t="shared" si="178"/>
        <v/>
      </c>
      <c r="AY740" s="1856" t="str">
        <f t="shared" si="179"/>
        <v/>
      </c>
    </row>
    <row r="741" spans="42:52">
      <c r="AP741" s="1855">
        <f t="shared" ref="AP741:AP804" si="180">IF(ISNUMBER(AS741),AP740+1,AP740)</f>
        <v>44641</v>
      </c>
      <c r="AQ741" s="925" t="str">
        <f t="shared" ref="AQ741:AQ804" si="181">IF(NOT(ISNUMBER(FIND(":",AS741))),"",IF(ISNUMBER(FIND("Sunr",AS741)),"SR", IF(ISNUMBER(FIND("Suns",AS741)),"SS",IF(ISNUMBER(FIND("Moonr",AS741)),"MR",IF(ISNUMBER(FIND("Moons",AS741)),"MS",IF(ISNUMBER(FIND("Twi",AS741)),IF(HOUR(AR741)&lt;12,"BMNT","EENT")))))))</f>
        <v/>
      </c>
      <c r="AR741" s="1856" t="str">
        <f t="shared" si="173"/>
        <v/>
      </c>
      <c r="AT741" s="1856" t="str">
        <f t="shared" si="174"/>
        <v/>
      </c>
      <c r="AU741" s="1856" t="str">
        <f t="shared" si="175"/>
        <v/>
      </c>
      <c r="AV741" s="1856" t="str">
        <f t="shared" si="176"/>
        <v/>
      </c>
      <c r="AW741" s="1856" t="str">
        <f t="shared" si="177"/>
        <v/>
      </c>
      <c r="AX741" s="1856" t="str">
        <f t="shared" si="178"/>
        <v/>
      </c>
      <c r="AY741" s="1856" t="str">
        <f t="shared" si="179"/>
        <v/>
      </c>
    </row>
    <row r="742" spans="42:52">
      <c r="AP742" s="1855">
        <f t="shared" si="180"/>
        <v>44641</v>
      </c>
      <c r="AQ742" s="925" t="str">
        <f t="shared" si="181"/>
        <v>BMNT</v>
      </c>
      <c r="AR742" s="1856">
        <f t="shared" si="173"/>
        <v>44641.284722222219</v>
      </c>
      <c r="AS742" s="927" t="s">
        <v>1231</v>
      </c>
      <c r="AT742" s="1856" t="str">
        <f t="shared" si="174"/>
        <v/>
      </c>
      <c r="AU742" s="1856" t="str">
        <f t="shared" si="175"/>
        <v/>
      </c>
      <c r="AV742" s="1856" t="str">
        <f t="shared" si="176"/>
        <v/>
      </c>
      <c r="AW742" s="1856" t="str">
        <f t="shared" si="177"/>
        <v/>
      </c>
      <c r="AX742" s="1856" t="str">
        <f t="shared" si="178"/>
        <v/>
      </c>
      <c r="AY742" s="1856" t="str">
        <f t="shared" si="179"/>
        <v/>
      </c>
    </row>
    <row r="743" spans="42:52">
      <c r="AP743" s="1855">
        <f t="shared" si="180"/>
        <v>44641</v>
      </c>
      <c r="AQ743" s="925" t="str">
        <f t="shared" si="181"/>
        <v>SR</v>
      </c>
      <c r="AR743" s="1856">
        <f t="shared" si="173"/>
        <v>44641.32430555555</v>
      </c>
      <c r="AS743" s="927" t="s">
        <v>1265</v>
      </c>
      <c r="AT743" s="1856" t="str">
        <f t="shared" si="174"/>
        <v/>
      </c>
      <c r="AU743" s="1856" t="str">
        <f t="shared" si="175"/>
        <v/>
      </c>
      <c r="AV743" s="1856" t="str">
        <f t="shared" si="176"/>
        <v/>
      </c>
      <c r="AW743" s="1856" t="str">
        <f t="shared" si="177"/>
        <v/>
      </c>
      <c r="AX743" s="1856" t="str">
        <f t="shared" si="178"/>
        <v/>
      </c>
      <c r="AY743" s="1856" t="str">
        <f t="shared" si="179"/>
        <v/>
      </c>
    </row>
    <row r="744" spans="42:52">
      <c r="AP744" s="1855">
        <f t="shared" si="180"/>
        <v>44641</v>
      </c>
      <c r="AQ744" s="925" t="str">
        <f t="shared" si="181"/>
        <v>MS</v>
      </c>
      <c r="AR744" s="1856">
        <f t="shared" si="173"/>
        <v>44641.404861111114</v>
      </c>
      <c r="AS744" s="927" t="s">
        <v>1395</v>
      </c>
      <c r="AT744" s="1856" t="str">
        <f t="shared" si="174"/>
        <v/>
      </c>
      <c r="AU744" s="1856" t="str">
        <f t="shared" si="175"/>
        <v/>
      </c>
      <c r="AV744" s="1856" t="str">
        <f t="shared" si="176"/>
        <v/>
      </c>
      <c r="AW744" s="1856" t="str">
        <f t="shared" si="177"/>
        <v/>
      </c>
      <c r="AX744" s="1856" t="str">
        <f t="shared" si="178"/>
        <v/>
      </c>
      <c r="AY744" s="1856" t="str">
        <f t="shared" si="179"/>
        <v/>
      </c>
    </row>
    <row r="745" spans="42:52">
      <c r="AP745" s="1855">
        <f t="shared" si="180"/>
        <v>44641</v>
      </c>
      <c r="AQ745" s="925" t="str">
        <f t="shared" si="181"/>
        <v>SS</v>
      </c>
      <c r="AR745" s="1856">
        <f t="shared" ref="AR745:AR808" si="182">IF(NOT(ISNUMBER(FIND(":",AS745))),"",IF(ISNUMBER(FIND(" none",AS745)),"NONE",AP745+LEFT(RIGHT(AS745,5),2)/24+RIGHT(AS745,2)/1440))</f>
        <v>44641.830555555556</v>
      </c>
      <c r="AS745" s="927" t="s">
        <v>1550</v>
      </c>
      <c r="AT745" s="1856" t="str">
        <f t="shared" si="174"/>
        <v/>
      </c>
      <c r="AU745" s="1856" t="str">
        <f t="shared" si="175"/>
        <v/>
      </c>
      <c r="AV745" s="1856" t="str">
        <f t="shared" si="176"/>
        <v/>
      </c>
      <c r="AW745" s="1856" t="str">
        <f t="shared" si="177"/>
        <v/>
      </c>
      <c r="AX745" s="1856" t="str">
        <f t="shared" si="178"/>
        <v/>
      </c>
      <c r="AY745" s="1856" t="str">
        <f t="shared" si="179"/>
        <v/>
      </c>
    </row>
    <row r="746" spans="42:52">
      <c r="AP746" s="1855">
        <f t="shared" si="180"/>
        <v>44641</v>
      </c>
      <c r="AQ746" s="925" t="str">
        <f t="shared" si="181"/>
        <v>EENT</v>
      </c>
      <c r="AR746" s="1856">
        <f t="shared" si="182"/>
        <v>44641.870138888895</v>
      </c>
      <c r="AS746" s="927" t="s">
        <v>1551</v>
      </c>
      <c r="AT746" s="1856" t="str">
        <f t="shared" si="174"/>
        <v/>
      </c>
      <c r="AU746" s="1856" t="str">
        <f t="shared" si="175"/>
        <v/>
      </c>
      <c r="AV746" s="1856" t="str">
        <f t="shared" si="176"/>
        <v/>
      </c>
      <c r="AW746" s="1856" t="str">
        <f t="shared" si="177"/>
        <v/>
      </c>
      <c r="AX746" s="1856" t="str">
        <f t="shared" si="178"/>
        <v/>
      </c>
      <c r="AY746" s="1856" t="str">
        <f t="shared" si="179"/>
        <v/>
      </c>
    </row>
    <row r="747" spans="42:52">
      <c r="AP747" s="1855">
        <f t="shared" si="180"/>
        <v>44641</v>
      </c>
      <c r="AQ747" s="925" t="str">
        <f t="shared" si="181"/>
        <v>MR</v>
      </c>
      <c r="AR747" s="1856">
        <f t="shared" si="182"/>
        <v>44642</v>
      </c>
      <c r="AS747" s="927" t="s">
        <v>1552</v>
      </c>
      <c r="AT747" s="1856" t="str">
        <f t="shared" si="174"/>
        <v/>
      </c>
      <c r="AU747" s="1856" t="str">
        <f t="shared" si="175"/>
        <v/>
      </c>
      <c r="AV747" s="1856" t="str">
        <f t="shared" si="176"/>
        <v/>
      </c>
      <c r="AW747" s="1856" t="str">
        <f t="shared" si="177"/>
        <v/>
      </c>
      <c r="AX747" s="1856" t="str">
        <f t="shared" si="178"/>
        <v/>
      </c>
      <c r="AY747" s="1856" t="str">
        <f t="shared" si="179"/>
        <v/>
      </c>
    </row>
    <row r="748" spans="42:52">
      <c r="AP748" s="1855">
        <f t="shared" si="180"/>
        <v>44642</v>
      </c>
      <c r="AQ748" s="925" t="str">
        <f t="shared" si="181"/>
        <v/>
      </c>
      <c r="AR748" s="1856" t="str">
        <f t="shared" si="182"/>
        <v/>
      </c>
      <c r="AS748" s="927">
        <v>22</v>
      </c>
      <c r="AT748" s="1856">
        <f t="shared" si="174"/>
        <v>44642.283333333333</v>
      </c>
      <c r="AU748" s="1856">
        <f t="shared" si="175"/>
        <v>44642.322916666664</v>
      </c>
      <c r="AV748" s="1856">
        <f t="shared" si="176"/>
        <v>44642.831249999996</v>
      </c>
      <c r="AW748" s="1856">
        <f t="shared" si="177"/>
        <v>44642.870833333334</v>
      </c>
      <c r="AX748" s="1856" t="str">
        <f t="shared" si="178"/>
        <v>NONE</v>
      </c>
      <c r="AY748" s="1856">
        <f t="shared" si="179"/>
        <v>44642.429166666661</v>
      </c>
      <c r="AZ748" s="1853">
        <v>0.82</v>
      </c>
    </row>
    <row r="749" spans="42:52">
      <c r="AP749" s="1855">
        <f t="shared" si="180"/>
        <v>44642</v>
      </c>
      <c r="AQ749" s="925" t="str">
        <f t="shared" si="181"/>
        <v/>
      </c>
      <c r="AR749" s="1856" t="str">
        <f t="shared" si="182"/>
        <v/>
      </c>
      <c r="AS749" s="927" t="s">
        <v>252</v>
      </c>
      <c r="AT749" s="1856" t="str">
        <f t="shared" si="174"/>
        <v/>
      </c>
      <c r="AU749" s="1856" t="str">
        <f t="shared" si="175"/>
        <v/>
      </c>
      <c r="AV749" s="1856" t="str">
        <f t="shared" si="176"/>
        <v/>
      </c>
      <c r="AW749" s="1856" t="str">
        <f t="shared" si="177"/>
        <v/>
      </c>
      <c r="AX749" s="1856" t="str">
        <f t="shared" si="178"/>
        <v/>
      </c>
      <c r="AY749" s="1856" t="str">
        <f t="shared" si="179"/>
        <v/>
      </c>
    </row>
    <row r="750" spans="42:52">
      <c r="AP750" s="1855">
        <f t="shared" si="180"/>
        <v>44642</v>
      </c>
      <c r="AQ750" s="925" t="str">
        <f t="shared" si="181"/>
        <v/>
      </c>
      <c r="AR750" s="1856" t="str">
        <f t="shared" si="182"/>
        <v/>
      </c>
      <c r="AT750" s="1856" t="str">
        <f t="shared" si="174"/>
        <v/>
      </c>
      <c r="AU750" s="1856" t="str">
        <f t="shared" si="175"/>
        <v/>
      </c>
      <c r="AV750" s="1856" t="str">
        <f t="shared" si="176"/>
        <v/>
      </c>
      <c r="AW750" s="1856" t="str">
        <f t="shared" si="177"/>
        <v/>
      </c>
      <c r="AX750" s="1856" t="str">
        <f t="shared" si="178"/>
        <v/>
      </c>
      <c r="AY750" s="1856" t="str">
        <f t="shared" si="179"/>
        <v/>
      </c>
    </row>
    <row r="751" spans="42:52">
      <c r="AP751" s="1855">
        <f t="shared" si="180"/>
        <v>44642</v>
      </c>
      <c r="AQ751" s="925" t="str">
        <f t="shared" si="181"/>
        <v>BMNT</v>
      </c>
      <c r="AR751" s="1856">
        <f t="shared" si="182"/>
        <v>44642.283333333333</v>
      </c>
      <c r="AS751" s="927" t="s">
        <v>1256</v>
      </c>
      <c r="AT751" s="1856" t="str">
        <f t="shared" si="174"/>
        <v/>
      </c>
      <c r="AU751" s="1856" t="str">
        <f t="shared" si="175"/>
        <v/>
      </c>
      <c r="AV751" s="1856" t="str">
        <f t="shared" si="176"/>
        <v/>
      </c>
      <c r="AW751" s="1856" t="str">
        <f t="shared" si="177"/>
        <v/>
      </c>
      <c r="AX751" s="1856" t="str">
        <f t="shared" si="178"/>
        <v/>
      </c>
      <c r="AY751" s="1856" t="str">
        <f t="shared" si="179"/>
        <v/>
      </c>
    </row>
    <row r="752" spans="42:52">
      <c r="AP752" s="1855">
        <f t="shared" si="180"/>
        <v>44642</v>
      </c>
      <c r="AQ752" s="925" t="str">
        <f t="shared" si="181"/>
        <v>SR</v>
      </c>
      <c r="AR752" s="1856">
        <f t="shared" si="182"/>
        <v>44642.322916666664</v>
      </c>
      <c r="AS752" s="927" t="s">
        <v>1291</v>
      </c>
      <c r="AT752" s="1856" t="str">
        <f t="shared" si="174"/>
        <v/>
      </c>
      <c r="AU752" s="1856" t="str">
        <f t="shared" si="175"/>
        <v/>
      </c>
      <c r="AV752" s="1856" t="str">
        <f t="shared" si="176"/>
        <v/>
      </c>
      <c r="AW752" s="1856" t="str">
        <f t="shared" si="177"/>
        <v/>
      </c>
      <c r="AX752" s="1856" t="str">
        <f t="shared" si="178"/>
        <v/>
      </c>
      <c r="AY752" s="1856" t="str">
        <f t="shared" si="179"/>
        <v/>
      </c>
    </row>
    <row r="753" spans="42:52">
      <c r="AP753" s="1855">
        <f t="shared" si="180"/>
        <v>44642</v>
      </c>
      <c r="AQ753" s="925" t="str">
        <f t="shared" si="181"/>
        <v>MS</v>
      </c>
      <c r="AR753" s="1856">
        <f t="shared" si="182"/>
        <v>44642.429166666661</v>
      </c>
      <c r="AS753" s="927" t="s">
        <v>1553</v>
      </c>
      <c r="AT753" s="1856" t="str">
        <f t="shared" si="174"/>
        <v/>
      </c>
      <c r="AU753" s="1856" t="str">
        <f t="shared" si="175"/>
        <v/>
      </c>
      <c r="AV753" s="1856" t="str">
        <f t="shared" si="176"/>
        <v/>
      </c>
      <c r="AW753" s="1856" t="str">
        <f t="shared" si="177"/>
        <v/>
      </c>
      <c r="AX753" s="1856" t="str">
        <f t="shared" si="178"/>
        <v/>
      </c>
      <c r="AY753" s="1856" t="str">
        <f t="shared" si="179"/>
        <v/>
      </c>
    </row>
    <row r="754" spans="42:52">
      <c r="AP754" s="1855">
        <f t="shared" si="180"/>
        <v>44642</v>
      </c>
      <c r="AQ754" s="925" t="str">
        <f t="shared" si="181"/>
        <v>SS</v>
      </c>
      <c r="AR754" s="1856">
        <f t="shared" si="182"/>
        <v>44642.831249999996</v>
      </c>
      <c r="AS754" s="927" t="s">
        <v>1554</v>
      </c>
      <c r="AT754" s="1856" t="str">
        <f t="shared" si="174"/>
        <v/>
      </c>
      <c r="AU754" s="1856" t="str">
        <f t="shared" si="175"/>
        <v/>
      </c>
      <c r="AV754" s="1856" t="str">
        <f t="shared" si="176"/>
        <v/>
      </c>
      <c r="AW754" s="1856" t="str">
        <f t="shared" si="177"/>
        <v/>
      </c>
      <c r="AX754" s="1856" t="str">
        <f t="shared" si="178"/>
        <v/>
      </c>
      <c r="AY754" s="1856" t="str">
        <f t="shared" si="179"/>
        <v/>
      </c>
    </row>
    <row r="755" spans="42:52">
      <c r="AP755" s="1855">
        <f t="shared" si="180"/>
        <v>44642</v>
      </c>
      <c r="AQ755" s="925" t="str">
        <f t="shared" si="181"/>
        <v>EENT</v>
      </c>
      <c r="AR755" s="1856">
        <f t="shared" si="182"/>
        <v>44642.870833333334</v>
      </c>
      <c r="AS755" s="927" t="s">
        <v>1555</v>
      </c>
      <c r="AT755" s="1856" t="str">
        <f t="shared" si="174"/>
        <v/>
      </c>
      <c r="AU755" s="1856" t="str">
        <f t="shared" si="175"/>
        <v/>
      </c>
      <c r="AV755" s="1856" t="str">
        <f t="shared" si="176"/>
        <v/>
      </c>
      <c r="AW755" s="1856" t="str">
        <f t="shared" si="177"/>
        <v/>
      </c>
      <c r="AX755" s="1856" t="str">
        <f t="shared" si="178"/>
        <v/>
      </c>
      <c r="AY755" s="1856" t="str">
        <f t="shared" si="179"/>
        <v/>
      </c>
    </row>
    <row r="756" spans="42:52">
      <c r="AP756" s="1855">
        <f t="shared" si="180"/>
        <v>44642</v>
      </c>
      <c r="AQ756" s="925" t="str">
        <f t="shared" si="181"/>
        <v>MR</v>
      </c>
      <c r="AR756" s="1856" t="str">
        <f t="shared" si="182"/>
        <v>NONE</v>
      </c>
      <c r="AS756" s="927" t="s">
        <v>1153</v>
      </c>
      <c r="AT756" s="1856" t="str">
        <f t="shared" si="174"/>
        <v/>
      </c>
      <c r="AU756" s="1856" t="str">
        <f t="shared" si="175"/>
        <v/>
      </c>
      <c r="AV756" s="1856" t="str">
        <f t="shared" si="176"/>
        <v/>
      </c>
      <c r="AW756" s="1856" t="str">
        <f t="shared" si="177"/>
        <v/>
      </c>
      <c r="AX756" s="1856" t="str">
        <f t="shared" si="178"/>
        <v/>
      </c>
      <c r="AY756" s="1856" t="str">
        <f t="shared" si="179"/>
        <v/>
      </c>
    </row>
    <row r="757" spans="42:52">
      <c r="AP757" s="1855">
        <f t="shared" si="180"/>
        <v>44643</v>
      </c>
      <c r="AQ757" s="925" t="str">
        <f t="shared" si="181"/>
        <v/>
      </c>
      <c r="AR757" s="1856" t="str">
        <f t="shared" si="182"/>
        <v/>
      </c>
      <c r="AS757" s="927">
        <v>23</v>
      </c>
      <c r="AT757" s="1856">
        <f t="shared" si="174"/>
        <v>44643.281944444447</v>
      </c>
      <c r="AU757" s="1856">
        <f t="shared" si="175"/>
        <v>44643.321527777778</v>
      </c>
      <c r="AV757" s="1856">
        <f t="shared" si="176"/>
        <v>44643.831944444442</v>
      </c>
      <c r="AW757" s="1856">
        <f t="shared" si="177"/>
        <v>44643.871527777781</v>
      </c>
      <c r="AX757" s="1856">
        <f t="shared" si="178"/>
        <v>44643.050694444442</v>
      </c>
      <c r="AY757" s="1856">
        <f t="shared" si="179"/>
        <v>44643.457638888889</v>
      </c>
      <c r="AZ757" s="1853">
        <v>0.73</v>
      </c>
    </row>
    <row r="758" spans="42:52">
      <c r="AP758" s="1855">
        <f t="shared" si="180"/>
        <v>44643</v>
      </c>
      <c r="AQ758" s="925" t="str">
        <f t="shared" si="181"/>
        <v/>
      </c>
      <c r="AR758" s="1856" t="str">
        <f t="shared" si="182"/>
        <v/>
      </c>
      <c r="AS758" s="927" t="s">
        <v>252</v>
      </c>
      <c r="AT758" s="1856" t="str">
        <f t="shared" si="174"/>
        <v/>
      </c>
      <c r="AU758" s="1856" t="str">
        <f t="shared" si="175"/>
        <v/>
      </c>
      <c r="AV758" s="1856" t="str">
        <f t="shared" si="176"/>
        <v/>
      </c>
      <c r="AW758" s="1856" t="str">
        <f t="shared" si="177"/>
        <v/>
      </c>
      <c r="AX758" s="1856" t="str">
        <f t="shared" si="178"/>
        <v/>
      </c>
      <c r="AY758" s="1856" t="str">
        <f t="shared" si="179"/>
        <v/>
      </c>
    </row>
    <row r="759" spans="42:52">
      <c r="AP759" s="1855">
        <f t="shared" si="180"/>
        <v>44643</v>
      </c>
      <c r="AQ759" s="925" t="str">
        <f t="shared" si="181"/>
        <v/>
      </c>
      <c r="AR759" s="1856" t="str">
        <f t="shared" si="182"/>
        <v/>
      </c>
      <c r="AT759" s="1856" t="str">
        <f t="shared" si="174"/>
        <v/>
      </c>
      <c r="AU759" s="1856" t="str">
        <f t="shared" si="175"/>
        <v/>
      </c>
      <c r="AV759" s="1856" t="str">
        <f t="shared" si="176"/>
        <v/>
      </c>
      <c r="AW759" s="1856" t="str">
        <f t="shared" si="177"/>
        <v/>
      </c>
      <c r="AX759" s="1856" t="str">
        <f t="shared" si="178"/>
        <v/>
      </c>
      <c r="AY759" s="1856" t="str">
        <f t="shared" si="179"/>
        <v/>
      </c>
    </row>
    <row r="760" spans="42:52">
      <c r="AP760" s="1855">
        <f t="shared" si="180"/>
        <v>44643</v>
      </c>
      <c r="AQ760" s="925" t="str">
        <f t="shared" si="181"/>
        <v>MR</v>
      </c>
      <c r="AR760" s="1856">
        <f t="shared" si="182"/>
        <v>44643.050694444442</v>
      </c>
      <c r="AS760" s="927" t="s">
        <v>1556</v>
      </c>
      <c r="AT760" s="1856" t="str">
        <f t="shared" si="174"/>
        <v/>
      </c>
      <c r="AU760" s="1856" t="str">
        <f t="shared" si="175"/>
        <v/>
      </c>
      <c r="AV760" s="1856" t="str">
        <f t="shared" si="176"/>
        <v/>
      </c>
      <c r="AW760" s="1856" t="str">
        <f t="shared" si="177"/>
        <v/>
      </c>
      <c r="AX760" s="1856" t="str">
        <f t="shared" si="178"/>
        <v/>
      </c>
      <c r="AY760" s="1856" t="str">
        <f t="shared" si="179"/>
        <v/>
      </c>
    </row>
    <row r="761" spans="42:52">
      <c r="AP761" s="1855">
        <f t="shared" si="180"/>
        <v>44643</v>
      </c>
      <c r="AQ761" s="925" t="str">
        <f t="shared" si="181"/>
        <v>BMNT</v>
      </c>
      <c r="AR761" s="1856">
        <f t="shared" si="182"/>
        <v>44643.281944444447</v>
      </c>
      <c r="AS761" s="927" t="s">
        <v>1290</v>
      </c>
      <c r="AT761" s="1856" t="str">
        <f t="shared" si="174"/>
        <v/>
      </c>
      <c r="AU761" s="1856" t="str">
        <f t="shared" si="175"/>
        <v/>
      </c>
      <c r="AV761" s="1856" t="str">
        <f t="shared" si="176"/>
        <v/>
      </c>
      <c r="AW761" s="1856" t="str">
        <f t="shared" si="177"/>
        <v/>
      </c>
      <c r="AX761" s="1856" t="str">
        <f t="shared" si="178"/>
        <v/>
      </c>
      <c r="AY761" s="1856" t="str">
        <f t="shared" si="179"/>
        <v/>
      </c>
    </row>
    <row r="762" spans="42:52">
      <c r="AP762" s="1855">
        <f t="shared" si="180"/>
        <v>44643</v>
      </c>
      <c r="AQ762" s="925" t="str">
        <f t="shared" si="181"/>
        <v>SR</v>
      </c>
      <c r="AR762" s="1856">
        <f t="shared" si="182"/>
        <v>44643.321527777778</v>
      </c>
      <c r="AS762" s="927" t="s">
        <v>1311</v>
      </c>
      <c r="AT762" s="1856" t="str">
        <f t="shared" si="174"/>
        <v/>
      </c>
      <c r="AU762" s="1856" t="str">
        <f t="shared" si="175"/>
        <v/>
      </c>
      <c r="AV762" s="1856" t="str">
        <f t="shared" si="176"/>
        <v/>
      </c>
      <c r="AW762" s="1856" t="str">
        <f t="shared" si="177"/>
        <v/>
      </c>
      <c r="AX762" s="1856" t="str">
        <f t="shared" si="178"/>
        <v/>
      </c>
      <c r="AY762" s="1856" t="str">
        <f t="shared" si="179"/>
        <v/>
      </c>
    </row>
    <row r="763" spans="42:52">
      <c r="AP763" s="1855">
        <f t="shared" si="180"/>
        <v>44643</v>
      </c>
      <c r="AQ763" s="925" t="str">
        <f t="shared" si="181"/>
        <v>MS</v>
      </c>
      <c r="AR763" s="1856">
        <f t="shared" si="182"/>
        <v>44643.457638888889</v>
      </c>
      <c r="AS763" s="927" t="s">
        <v>1557</v>
      </c>
      <c r="AT763" s="1856" t="str">
        <f t="shared" si="174"/>
        <v/>
      </c>
      <c r="AU763" s="1856" t="str">
        <f t="shared" si="175"/>
        <v/>
      </c>
      <c r="AV763" s="1856" t="str">
        <f t="shared" si="176"/>
        <v/>
      </c>
      <c r="AW763" s="1856" t="str">
        <f t="shared" si="177"/>
        <v/>
      </c>
      <c r="AX763" s="1856" t="str">
        <f t="shared" si="178"/>
        <v/>
      </c>
      <c r="AY763" s="1856" t="str">
        <f t="shared" si="179"/>
        <v/>
      </c>
    </row>
    <row r="764" spans="42:52">
      <c r="AP764" s="1855">
        <f t="shared" si="180"/>
        <v>44643</v>
      </c>
      <c r="AQ764" s="925" t="str">
        <f t="shared" si="181"/>
        <v>SS</v>
      </c>
      <c r="AR764" s="1856">
        <f t="shared" si="182"/>
        <v>44643.831944444442</v>
      </c>
      <c r="AS764" s="927" t="s">
        <v>1558</v>
      </c>
      <c r="AT764" s="1856" t="str">
        <f t="shared" si="174"/>
        <v/>
      </c>
      <c r="AU764" s="1856" t="str">
        <f t="shared" si="175"/>
        <v/>
      </c>
      <c r="AV764" s="1856" t="str">
        <f t="shared" si="176"/>
        <v/>
      </c>
      <c r="AW764" s="1856" t="str">
        <f t="shared" si="177"/>
        <v/>
      </c>
      <c r="AX764" s="1856" t="str">
        <f t="shared" si="178"/>
        <v/>
      </c>
      <c r="AY764" s="1856" t="str">
        <f t="shared" si="179"/>
        <v/>
      </c>
    </row>
    <row r="765" spans="42:52">
      <c r="AP765" s="1855">
        <f t="shared" si="180"/>
        <v>44643</v>
      </c>
      <c r="AQ765" s="925" t="str">
        <f t="shared" si="181"/>
        <v>EENT</v>
      </c>
      <c r="AR765" s="1856">
        <f t="shared" si="182"/>
        <v>44643.871527777781</v>
      </c>
      <c r="AS765" s="927" t="s">
        <v>1559</v>
      </c>
      <c r="AT765" s="1856" t="str">
        <f t="shared" si="174"/>
        <v/>
      </c>
      <c r="AU765" s="1856" t="str">
        <f t="shared" si="175"/>
        <v/>
      </c>
      <c r="AV765" s="1856" t="str">
        <f t="shared" si="176"/>
        <v/>
      </c>
      <c r="AW765" s="1856" t="str">
        <f t="shared" si="177"/>
        <v/>
      </c>
      <c r="AX765" s="1856" t="str">
        <f t="shared" si="178"/>
        <v/>
      </c>
      <c r="AY765" s="1856" t="str">
        <f t="shared" si="179"/>
        <v/>
      </c>
    </row>
    <row r="766" spans="42:52">
      <c r="AP766" s="1855">
        <f t="shared" si="180"/>
        <v>44644</v>
      </c>
      <c r="AQ766" s="925" t="str">
        <f t="shared" si="181"/>
        <v/>
      </c>
      <c r="AR766" s="1856" t="str">
        <f t="shared" si="182"/>
        <v/>
      </c>
      <c r="AS766" s="927">
        <v>24</v>
      </c>
      <c r="AT766" s="1856">
        <f t="shared" si="174"/>
        <v>44644.28125</v>
      </c>
      <c r="AU766" s="1856">
        <f t="shared" si="175"/>
        <v>44644.320833333331</v>
      </c>
      <c r="AV766" s="1856">
        <f t="shared" si="176"/>
        <v>44644.832638888889</v>
      </c>
      <c r="AW766" s="1856">
        <f t="shared" si="177"/>
        <v>44644.872222222228</v>
      </c>
      <c r="AX766" s="1856">
        <f t="shared" si="178"/>
        <v>44644.100694444445</v>
      </c>
      <c r="AY766" s="1856">
        <f t="shared" si="179"/>
        <v>44644.492361111115</v>
      </c>
      <c r="AZ766" s="1853">
        <v>0.62</v>
      </c>
    </row>
    <row r="767" spans="42:52">
      <c r="AP767" s="1855">
        <f t="shared" si="180"/>
        <v>44644</v>
      </c>
      <c r="AQ767" s="925" t="str">
        <f t="shared" si="181"/>
        <v/>
      </c>
      <c r="AR767" s="1856" t="str">
        <f t="shared" si="182"/>
        <v/>
      </c>
      <c r="AS767" s="927" t="s">
        <v>252</v>
      </c>
      <c r="AT767" s="1856" t="str">
        <f t="shared" si="174"/>
        <v/>
      </c>
      <c r="AU767" s="1856" t="str">
        <f t="shared" si="175"/>
        <v/>
      </c>
      <c r="AV767" s="1856" t="str">
        <f t="shared" si="176"/>
        <v/>
      </c>
      <c r="AW767" s="1856" t="str">
        <f t="shared" si="177"/>
        <v/>
      </c>
      <c r="AX767" s="1856" t="str">
        <f t="shared" si="178"/>
        <v/>
      </c>
      <c r="AY767" s="1856" t="str">
        <f t="shared" si="179"/>
        <v/>
      </c>
    </row>
    <row r="768" spans="42:52">
      <c r="AP768" s="1855">
        <f t="shared" si="180"/>
        <v>44644</v>
      </c>
      <c r="AQ768" s="925" t="str">
        <f t="shared" si="181"/>
        <v/>
      </c>
      <c r="AR768" s="1856" t="str">
        <f t="shared" si="182"/>
        <v/>
      </c>
      <c r="AT768" s="1856" t="str">
        <f t="shared" si="174"/>
        <v/>
      </c>
      <c r="AU768" s="1856" t="str">
        <f t="shared" si="175"/>
        <v/>
      </c>
      <c r="AV768" s="1856" t="str">
        <f t="shared" si="176"/>
        <v/>
      </c>
      <c r="AW768" s="1856" t="str">
        <f t="shared" si="177"/>
        <v/>
      </c>
      <c r="AX768" s="1856" t="str">
        <f t="shared" si="178"/>
        <v/>
      </c>
      <c r="AY768" s="1856" t="str">
        <f t="shared" si="179"/>
        <v/>
      </c>
    </row>
    <row r="769" spans="42:52">
      <c r="AP769" s="1855">
        <f t="shared" si="180"/>
        <v>44644</v>
      </c>
      <c r="AQ769" s="925" t="str">
        <f t="shared" si="181"/>
        <v>MR</v>
      </c>
      <c r="AR769" s="1856">
        <f t="shared" si="182"/>
        <v>44644.100694444445</v>
      </c>
      <c r="AS769" s="927" t="s">
        <v>1560</v>
      </c>
      <c r="AT769" s="1856" t="str">
        <f t="shared" si="174"/>
        <v/>
      </c>
      <c r="AU769" s="1856" t="str">
        <f t="shared" si="175"/>
        <v/>
      </c>
      <c r="AV769" s="1856" t="str">
        <f t="shared" si="176"/>
        <v/>
      </c>
      <c r="AW769" s="1856" t="str">
        <f t="shared" si="177"/>
        <v/>
      </c>
      <c r="AX769" s="1856" t="str">
        <f t="shared" si="178"/>
        <v/>
      </c>
      <c r="AY769" s="1856" t="str">
        <f t="shared" si="179"/>
        <v/>
      </c>
    </row>
    <row r="770" spans="42:52">
      <c r="AP770" s="1855">
        <f t="shared" si="180"/>
        <v>44644</v>
      </c>
      <c r="AQ770" s="925" t="str">
        <f t="shared" si="181"/>
        <v>BMNT</v>
      </c>
      <c r="AR770" s="1856">
        <f t="shared" si="182"/>
        <v>44644.28125</v>
      </c>
      <c r="AS770" s="927" t="s">
        <v>1299</v>
      </c>
      <c r="AT770" s="1856" t="str">
        <f t="shared" si="174"/>
        <v/>
      </c>
      <c r="AU770" s="1856" t="str">
        <f t="shared" si="175"/>
        <v/>
      </c>
      <c r="AV770" s="1856" t="str">
        <f t="shared" si="176"/>
        <v/>
      </c>
      <c r="AW770" s="1856" t="str">
        <f t="shared" si="177"/>
        <v/>
      </c>
      <c r="AX770" s="1856" t="str">
        <f t="shared" si="178"/>
        <v/>
      </c>
      <c r="AY770" s="1856" t="str">
        <f t="shared" si="179"/>
        <v/>
      </c>
    </row>
    <row r="771" spans="42:52">
      <c r="AP771" s="1855">
        <f t="shared" si="180"/>
        <v>44644</v>
      </c>
      <c r="AQ771" s="925" t="str">
        <f t="shared" si="181"/>
        <v>SR</v>
      </c>
      <c r="AR771" s="1856">
        <f t="shared" si="182"/>
        <v>44644.320833333331</v>
      </c>
      <c r="AS771" s="927" t="s">
        <v>1323</v>
      </c>
      <c r="AT771" s="1856" t="str">
        <f t="shared" si="174"/>
        <v/>
      </c>
      <c r="AU771" s="1856" t="str">
        <f t="shared" si="175"/>
        <v/>
      </c>
      <c r="AV771" s="1856" t="str">
        <f t="shared" si="176"/>
        <v/>
      </c>
      <c r="AW771" s="1856" t="str">
        <f t="shared" si="177"/>
        <v/>
      </c>
      <c r="AX771" s="1856" t="str">
        <f t="shared" si="178"/>
        <v/>
      </c>
      <c r="AY771" s="1856" t="str">
        <f t="shared" si="179"/>
        <v/>
      </c>
    </row>
    <row r="772" spans="42:52">
      <c r="AP772" s="1855">
        <f t="shared" si="180"/>
        <v>44644</v>
      </c>
      <c r="AQ772" s="925" t="str">
        <f t="shared" si="181"/>
        <v>MS</v>
      </c>
      <c r="AR772" s="1856">
        <f t="shared" si="182"/>
        <v>44644.492361111115</v>
      </c>
      <c r="AS772" s="927" t="s">
        <v>1561</v>
      </c>
      <c r="AT772" s="1856" t="str">
        <f t="shared" si="174"/>
        <v/>
      </c>
      <c r="AU772" s="1856" t="str">
        <f t="shared" si="175"/>
        <v/>
      </c>
      <c r="AV772" s="1856" t="str">
        <f t="shared" si="176"/>
        <v/>
      </c>
      <c r="AW772" s="1856" t="str">
        <f t="shared" si="177"/>
        <v/>
      </c>
      <c r="AX772" s="1856" t="str">
        <f t="shared" si="178"/>
        <v/>
      </c>
      <c r="AY772" s="1856" t="str">
        <f t="shared" si="179"/>
        <v/>
      </c>
    </row>
    <row r="773" spans="42:52">
      <c r="AP773" s="1855">
        <f t="shared" si="180"/>
        <v>44644</v>
      </c>
      <c r="AQ773" s="925" t="str">
        <f t="shared" si="181"/>
        <v>SS</v>
      </c>
      <c r="AR773" s="1856">
        <f t="shared" si="182"/>
        <v>44644.832638888889</v>
      </c>
      <c r="AS773" s="927" t="s">
        <v>1562</v>
      </c>
      <c r="AT773" s="1856" t="str">
        <f t="shared" si="174"/>
        <v/>
      </c>
      <c r="AU773" s="1856" t="str">
        <f t="shared" si="175"/>
        <v/>
      </c>
      <c r="AV773" s="1856" t="str">
        <f t="shared" si="176"/>
        <v/>
      </c>
      <c r="AW773" s="1856" t="str">
        <f t="shared" si="177"/>
        <v/>
      </c>
      <c r="AX773" s="1856" t="str">
        <f t="shared" si="178"/>
        <v/>
      </c>
      <c r="AY773" s="1856" t="str">
        <f t="shared" si="179"/>
        <v/>
      </c>
    </row>
    <row r="774" spans="42:52">
      <c r="AP774" s="1855">
        <f t="shared" si="180"/>
        <v>44644</v>
      </c>
      <c r="AQ774" s="925" t="str">
        <f t="shared" si="181"/>
        <v>EENT</v>
      </c>
      <c r="AR774" s="1856">
        <f t="shared" si="182"/>
        <v>44644.872222222228</v>
      </c>
      <c r="AS774" s="927" t="s">
        <v>1563</v>
      </c>
      <c r="AT774" s="1856" t="str">
        <f t="shared" si="174"/>
        <v/>
      </c>
      <c r="AU774" s="1856" t="str">
        <f t="shared" si="175"/>
        <v/>
      </c>
      <c r="AV774" s="1856" t="str">
        <f t="shared" si="176"/>
        <v/>
      </c>
      <c r="AW774" s="1856" t="str">
        <f t="shared" si="177"/>
        <v/>
      </c>
      <c r="AX774" s="1856" t="str">
        <f t="shared" si="178"/>
        <v/>
      </c>
      <c r="AY774" s="1856" t="str">
        <f t="shared" si="179"/>
        <v/>
      </c>
    </row>
    <row r="775" spans="42:52">
      <c r="AP775" s="1855">
        <f t="shared" si="180"/>
        <v>44645</v>
      </c>
      <c r="AQ775" s="925" t="str">
        <f t="shared" si="181"/>
        <v/>
      </c>
      <c r="AR775" s="1856" t="str">
        <f t="shared" si="182"/>
        <v/>
      </c>
      <c r="AS775" s="927">
        <v>25</v>
      </c>
      <c r="AT775" s="1856">
        <f t="shared" si="174"/>
        <v>44645.279861111114</v>
      </c>
      <c r="AU775" s="1856">
        <f t="shared" si="175"/>
        <v>44645.319444444445</v>
      </c>
      <c r="AV775" s="1856">
        <f t="shared" si="176"/>
        <v>44645.833333333336</v>
      </c>
      <c r="AW775" s="1856">
        <f t="shared" si="177"/>
        <v>44645.872916666667</v>
      </c>
      <c r="AX775" s="1856">
        <f t="shared" si="178"/>
        <v>44645.147222222222</v>
      </c>
      <c r="AY775" s="1856">
        <f t="shared" si="179"/>
        <v>44645.533333333333</v>
      </c>
      <c r="AZ775" s="1853">
        <v>0.51</v>
      </c>
    </row>
    <row r="776" spans="42:52">
      <c r="AP776" s="1855">
        <f t="shared" si="180"/>
        <v>44645</v>
      </c>
      <c r="AQ776" s="925" t="str">
        <f t="shared" si="181"/>
        <v/>
      </c>
      <c r="AR776" s="1856" t="str">
        <f t="shared" si="182"/>
        <v/>
      </c>
      <c r="AS776" s="927" t="s">
        <v>252</v>
      </c>
      <c r="AT776" s="1856" t="str">
        <f t="shared" si="174"/>
        <v/>
      </c>
      <c r="AU776" s="1856" t="str">
        <f t="shared" si="175"/>
        <v/>
      </c>
      <c r="AV776" s="1856" t="str">
        <f t="shared" si="176"/>
        <v/>
      </c>
      <c r="AW776" s="1856" t="str">
        <f t="shared" si="177"/>
        <v/>
      </c>
      <c r="AX776" s="1856" t="str">
        <f t="shared" si="178"/>
        <v/>
      </c>
      <c r="AY776" s="1856" t="str">
        <f t="shared" si="179"/>
        <v/>
      </c>
    </row>
    <row r="777" spans="42:52">
      <c r="AP777" s="1855">
        <f t="shared" si="180"/>
        <v>44645</v>
      </c>
      <c r="AQ777" s="925" t="str">
        <f t="shared" si="181"/>
        <v/>
      </c>
      <c r="AR777" s="1856" t="str">
        <f t="shared" si="182"/>
        <v/>
      </c>
      <c r="AT777" s="1856" t="str">
        <f t="shared" si="174"/>
        <v/>
      </c>
      <c r="AU777" s="1856" t="str">
        <f t="shared" si="175"/>
        <v/>
      </c>
      <c r="AV777" s="1856" t="str">
        <f t="shared" si="176"/>
        <v/>
      </c>
      <c r="AW777" s="1856" t="str">
        <f t="shared" si="177"/>
        <v/>
      </c>
      <c r="AX777" s="1856" t="str">
        <f t="shared" si="178"/>
        <v/>
      </c>
      <c r="AY777" s="1856" t="str">
        <f t="shared" si="179"/>
        <v/>
      </c>
    </row>
    <row r="778" spans="42:52">
      <c r="AP778" s="1855">
        <f t="shared" si="180"/>
        <v>44645</v>
      </c>
      <c r="AQ778" s="925" t="str">
        <f t="shared" si="181"/>
        <v>MR</v>
      </c>
      <c r="AR778" s="1856">
        <f t="shared" si="182"/>
        <v>44645.147222222222</v>
      </c>
      <c r="AS778" s="927" t="s">
        <v>1422</v>
      </c>
      <c r="AT778" s="1856" t="str">
        <f t="shared" si="174"/>
        <v/>
      </c>
      <c r="AU778" s="1856" t="str">
        <f t="shared" si="175"/>
        <v/>
      </c>
      <c r="AV778" s="1856" t="str">
        <f t="shared" si="176"/>
        <v/>
      </c>
      <c r="AW778" s="1856" t="str">
        <f t="shared" si="177"/>
        <v/>
      </c>
      <c r="AX778" s="1856" t="str">
        <f t="shared" si="178"/>
        <v/>
      </c>
      <c r="AY778" s="1856" t="str">
        <f t="shared" si="179"/>
        <v/>
      </c>
    </row>
    <row r="779" spans="42:52">
      <c r="AP779" s="1855">
        <f t="shared" si="180"/>
        <v>44645</v>
      </c>
      <c r="AQ779" s="925" t="str">
        <f t="shared" si="181"/>
        <v>BMNT</v>
      </c>
      <c r="AR779" s="1856">
        <f t="shared" si="182"/>
        <v>44645.279861111114</v>
      </c>
      <c r="AS779" s="927" t="s">
        <v>1321</v>
      </c>
      <c r="AT779" s="1856" t="str">
        <f t="shared" si="174"/>
        <v/>
      </c>
      <c r="AU779" s="1856" t="str">
        <f t="shared" si="175"/>
        <v/>
      </c>
      <c r="AV779" s="1856" t="str">
        <f t="shared" si="176"/>
        <v/>
      </c>
      <c r="AW779" s="1856" t="str">
        <f t="shared" si="177"/>
        <v/>
      </c>
      <c r="AX779" s="1856" t="str">
        <f t="shared" si="178"/>
        <v/>
      </c>
      <c r="AY779" s="1856" t="str">
        <f t="shared" si="179"/>
        <v/>
      </c>
    </row>
    <row r="780" spans="42:52">
      <c r="AP780" s="1855">
        <f t="shared" si="180"/>
        <v>44645</v>
      </c>
      <c r="AQ780" s="925" t="str">
        <f t="shared" si="181"/>
        <v>SR</v>
      </c>
      <c r="AR780" s="1856">
        <f t="shared" si="182"/>
        <v>44645.319444444445</v>
      </c>
      <c r="AS780" s="927" t="s">
        <v>1337</v>
      </c>
      <c r="AT780" s="1856" t="str">
        <f t="shared" si="174"/>
        <v/>
      </c>
      <c r="AU780" s="1856" t="str">
        <f t="shared" si="175"/>
        <v/>
      </c>
      <c r="AV780" s="1856" t="str">
        <f t="shared" si="176"/>
        <v/>
      </c>
      <c r="AW780" s="1856" t="str">
        <f t="shared" si="177"/>
        <v/>
      </c>
      <c r="AX780" s="1856" t="str">
        <f t="shared" si="178"/>
        <v/>
      </c>
      <c r="AY780" s="1856" t="str">
        <f t="shared" si="179"/>
        <v/>
      </c>
    </row>
    <row r="781" spans="42:52">
      <c r="AP781" s="1855">
        <f t="shared" si="180"/>
        <v>44645</v>
      </c>
      <c r="AQ781" s="925" t="str">
        <f t="shared" si="181"/>
        <v>MS</v>
      </c>
      <c r="AR781" s="1856">
        <f t="shared" si="182"/>
        <v>44645.533333333333</v>
      </c>
      <c r="AS781" s="927" t="s">
        <v>1564</v>
      </c>
      <c r="AT781" s="1856" t="str">
        <f t="shared" si="174"/>
        <v/>
      </c>
      <c r="AU781" s="1856" t="str">
        <f t="shared" si="175"/>
        <v/>
      </c>
      <c r="AV781" s="1856" t="str">
        <f t="shared" si="176"/>
        <v/>
      </c>
      <c r="AW781" s="1856" t="str">
        <f t="shared" si="177"/>
        <v/>
      </c>
      <c r="AX781" s="1856" t="str">
        <f t="shared" si="178"/>
        <v/>
      </c>
      <c r="AY781" s="1856" t="str">
        <f t="shared" si="179"/>
        <v/>
      </c>
    </row>
    <row r="782" spans="42:52">
      <c r="AP782" s="1855">
        <f t="shared" si="180"/>
        <v>44645</v>
      </c>
      <c r="AQ782" s="925" t="str">
        <f t="shared" si="181"/>
        <v>SS</v>
      </c>
      <c r="AR782" s="1856">
        <f t="shared" si="182"/>
        <v>44645.833333333336</v>
      </c>
      <c r="AS782" s="927" t="s">
        <v>1565</v>
      </c>
      <c r="AT782" s="1856" t="str">
        <f t="shared" si="174"/>
        <v/>
      </c>
      <c r="AU782" s="1856" t="str">
        <f t="shared" si="175"/>
        <v/>
      </c>
      <c r="AV782" s="1856" t="str">
        <f t="shared" si="176"/>
        <v/>
      </c>
      <c r="AW782" s="1856" t="str">
        <f t="shared" si="177"/>
        <v/>
      </c>
      <c r="AX782" s="1856" t="str">
        <f t="shared" si="178"/>
        <v/>
      </c>
      <c r="AY782" s="1856" t="str">
        <f t="shared" si="179"/>
        <v/>
      </c>
    </row>
    <row r="783" spans="42:52">
      <c r="AP783" s="1855">
        <f t="shared" si="180"/>
        <v>44645</v>
      </c>
      <c r="AQ783" s="925" t="str">
        <f t="shared" si="181"/>
        <v>EENT</v>
      </c>
      <c r="AR783" s="1856">
        <f t="shared" si="182"/>
        <v>44645.872916666667</v>
      </c>
      <c r="AS783" s="927" t="s">
        <v>1566</v>
      </c>
      <c r="AT783" s="1856" t="str">
        <f t="shared" si="174"/>
        <v/>
      </c>
      <c r="AU783" s="1856" t="str">
        <f t="shared" si="175"/>
        <v/>
      </c>
      <c r="AV783" s="1856" t="str">
        <f t="shared" si="176"/>
        <v/>
      </c>
      <c r="AW783" s="1856" t="str">
        <f t="shared" si="177"/>
        <v/>
      </c>
      <c r="AX783" s="1856" t="str">
        <f t="shared" si="178"/>
        <v/>
      </c>
      <c r="AY783" s="1856" t="str">
        <f t="shared" si="179"/>
        <v/>
      </c>
    </row>
    <row r="784" spans="42:52">
      <c r="AP784" s="1855">
        <f t="shared" si="180"/>
        <v>44646</v>
      </c>
      <c r="AQ784" s="925" t="str">
        <f t="shared" si="181"/>
        <v/>
      </c>
      <c r="AR784" s="1856" t="str">
        <f t="shared" si="182"/>
        <v/>
      </c>
      <c r="AS784" s="927">
        <v>26</v>
      </c>
      <c r="AT784" s="1856">
        <f t="shared" si="174"/>
        <v>44646.279166666667</v>
      </c>
      <c r="AU784" s="1856">
        <f t="shared" si="175"/>
        <v>44646.318749999999</v>
      </c>
      <c r="AV784" s="1856">
        <f t="shared" si="176"/>
        <v>44646.833333333336</v>
      </c>
      <c r="AW784" s="1856">
        <f t="shared" si="177"/>
        <v>44646.873611111114</v>
      </c>
      <c r="AX784" s="1856">
        <f t="shared" si="178"/>
        <v>44646.1875</v>
      </c>
      <c r="AY784" s="1856">
        <f t="shared" si="179"/>
        <v>44646.579861111109</v>
      </c>
      <c r="AZ784" s="1853">
        <v>0.39</v>
      </c>
    </row>
    <row r="785" spans="42:52">
      <c r="AP785" s="1855">
        <f t="shared" si="180"/>
        <v>44646</v>
      </c>
      <c r="AQ785" s="925" t="str">
        <f t="shared" si="181"/>
        <v/>
      </c>
      <c r="AR785" s="1856" t="str">
        <f t="shared" si="182"/>
        <v/>
      </c>
      <c r="AS785" s="927" t="s">
        <v>252</v>
      </c>
      <c r="AT785" s="1856" t="str">
        <f t="shared" si="174"/>
        <v/>
      </c>
      <c r="AU785" s="1856" t="str">
        <f t="shared" si="175"/>
        <v/>
      </c>
      <c r="AV785" s="1856" t="str">
        <f t="shared" si="176"/>
        <v/>
      </c>
      <c r="AW785" s="1856" t="str">
        <f t="shared" si="177"/>
        <v/>
      </c>
      <c r="AX785" s="1856" t="str">
        <f t="shared" si="178"/>
        <v/>
      </c>
      <c r="AY785" s="1856" t="str">
        <f t="shared" si="179"/>
        <v/>
      </c>
    </row>
    <row r="786" spans="42:52">
      <c r="AP786" s="1855">
        <f t="shared" si="180"/>
        <v>44646</v>
      </c>
      <c r="AQ786" s="925" t="str">
        <f t="shared" si="181"/>
        <v/>
      </c>
      <c r="AR786" s="1856" t="str">
        <f t="shared" si="182"/>
        <v/>
      </c>
      <c r="AT786" s="1856" t="str">
        <f t="shared" si="174"/>
        <v/>
      </c>
      <c r="AU786" s="1856" t="str">
        <f t="shared" si="175"/>
        <v/>
      </c>
      <c r="AV786" s="1856" t="str">
        <f t="shared" si="176"/>
        <v/>
      </c>
      <c r="AW786" s="1856" t="str">
        <f t="shared" si="177"/>
        <v/>
      </c>
      <c r="AX786" s="1856" t="str">
        <f t="shared" si="178"/>
        <v/>
      </c>
      <c r="AY786" s="1856" t="str">
        <f t="shared" si="179"/>
        <v/>
      </c>
    </row>
    <row r="787" spans="42:52">
      <c r="AP787" s="1855">
        <f t="shared" si="180"/>
        <v>44646</v>
      </c>
      <c r="AQ787" s="925" t="str">
        <f t="shared" si="181"/>
        <v>MR</v>
      </c>
      <c r="AR787" s="1856">
        <f t="shared" si="182"/>
        <v>44646.1875</v>
      </c>
      <c r="AS787" s="927" t="s">
        <v>1567</v>
      </c>
      <c r="AT787" s="1856" t="str">
        <f t="shared" si="174"/>
        <v/>
      </c>
      <c r="AU787" s="1856" t="str">
        <f t="shared" si="175"/>
        <v/>
      </c>
      <c r="AV787" s="1856" t="str">
        <f t="shared" si="176"/>
        <v/>
      </c>
      <c r="AW787" s="1856" t="str">
        <f t="shared" si="177"/>
        <v/>
      </c>
      <c r="AX787" s="1856" t="str">
        <f t="shared" si="178"/>
        <v/>
      </c>
      <c r="AY787" s="1856" t="str">
        <f t="shared" si="179"/>
        <v/>
      </c>
    </row>
    <row r="788" spans="42:52">
      <c r="AP788" s="1855">
        <f t="shared" si="180"/>
        <v>44646</v>
      </c>
      <c r="AQ788" s="925" t="str">
        <f t="shared" si="181"/>
        <v>BMNT</v>
      </c>
      <c r="AR788" s="1856">
        <f t="shared" si="182"/>
        <v>44646.279166666667</v>
      </c>
      <c r="AS788" s="927" t="s">
        <v>1336</v>
      </c>
      <c r="AT788" s="1856" t="str">
        <f t="shared" si="174"/>
        <v/>
      </c>
      <c r="AU788" s="1856" t="str">
        <f t="shared" si="175"/>
        <v/>
      </c>
      <c r="AV788" s="1856" t="str">
        <f t="shared" si="176"/>
        <v/>
      </c>
      <c r="AW788" s="1856" t="str">
        <f t="shared" si="177"/>
        <v/>
      </c>
      <c r="AX788" s="1856" t="str">
        <f t="shared" si="178"/>
        <v/>
      </c>
      <c r="AY788" s="1856" t="str">
        <f t="shared" si="179"/>
        <v/>
      </c>
    </row>
    <row r="789" spans="42:52">
      <c r="AP789" s="1855">
        <f t="shared" si="180"/>
        <v>44646</v>
      </c>
      <c r="AQ789" s="925" t="str">
        <f t="shared" si="181"/>
        <v>SR</v>
      </c>
      <c r="AR789" s="1856">
        <f t="shared" si="182"/>
        <v>44646.318749999999</v>
      </c>
      <c r="AS789" s="927" t="s">
        <v>1343</v>
      </c>
      <c r="AT789" s="1856" t="str">
        <f t="shared" si="174"/>
        <v/>
      </c>
      <c r="AU789" s="1856" t="str">
        <f t="shared" si="175"/>
        <v/>
      </c>
      <c r="AV789" s="1856" t="str">
        <f t="shared" si="176"/>
        <v/>
      </c>
      <c r="AW789" s="1856" t="str">
        <f t="shared" si="177"/>
        <v/>
      </c>
      <c r="AX789" s="1856" t="str">
        <f t="shared" si="178"/>
        <v/>
      </c>
      <c r="AY789" s="1856" t="str">
        <f t="shared" si="179"/>
        <v/>
      </c>
    </row>
    <row r="790" spans="42:52">
      <c r="AP790" s="1855">
        <f t="shared" si="180"/>
        <v>44646</v>
      </c>
      <c r="AQ790" s="925" t="str">
        <f t="shared" si="181"/>
        <v>MS</v>
      </c>
      <c r="AR790" s="1856">
        <f t="shared" si="182"/>
        <v>44646.579861111109</v>
      </c>
      <c r="AS790" s="927" t="s">
        <v>1568</v>
      </c>
      <c r="AT790" s="1856" t="str">
        <f t="shared" si="174"/>
        <v/>
      </c>
      <c r="AU790" s="1856" t="str">
        <f t="shared" si="175"/>
        <v/>
      </c>
      <c r="AV790" s="1856" t="str">
        <f t="shared" si="176"/>
        <v/>
      </c>
      <c r="AW790" s="1856" t="str">
        <f t="shared" si="177"/>
        <v/>
      </c>
      <c r="AX790" s="1856" t="str">
        <f t="shared" si="178"/>
        <v/>
      </c>
      <c r="AY790" s="1856" t="str">
        <f t="shared" si="179"/>
        <v/>
      </c>
    </row>
    <row r="791" spans="42:52">
      <c r="AP791" s="1855">
        <f t="shared" si="180"/>
        <v>44646</v>
      </c>
      <c r="AQ791" s="925" t="str">
        <f t="shared" si="181"/>
        <v>SS</v>
      </c>
      <c r="AR791" s="1856">
        <f t="shared" si="182"/>
        <v>44646.833333333336</v>
      </c>
      <c r="AS791" s="927" t="s">
        <v>1565</v>
      </c>
      <c r="AT791" s="1856" t="str">
        <f t="shared" si="174"/>
        <v/>
      </c>
      <c r="AU791" s="1856" t="str">
        <f t="shared" si="175"/>
        <v/>
      </c>
      <c r="AV791" s="1856" t="str">
        <f t="shared" si="176"/>
        <v/>
      </c>
      <c r="AW791" s="1856" t="str">
        <f t="shared" si="177"/>
        <v/>
      </c>
      <c r="AX791" s="1856" t="str">
        <f t="shared" si="178"/>
        <v/>
      </c>
      <c r="AY791" s="1856" t="str">
        <f t="shared" si="179"/>
        <v/>
      </c>
    </row>
    <row r="792" spans="42:52">
      <c r="AP792" s="1855">
        <f t="shared" si="180"/>
        <v>44646</v>
      </c>
      <c r="AQ792" s="925" t="str">
        <f t="shared" si="181"/>
        <v>EENT</v>
      </c>
      <c r="AR792" s="1856">
        <f t="shared" si="182"/>
        <v>44646.873611111114</v>
      </c>
      <c r="AS792" s="927" t="s">
        <v>1569</v>
      </c>
      <c r="AT792" s="1856" t="str">
        <f t="shared" si="174"/>
        <v/>
      </c>
      <c r="AU792" s="1856" t="str">
        <f t="shared" si="175"/>
        <v/>
      </c>
      <c r="AV792" s="1856" t="str">
        <f t="shared" si="176"/>
        <v/>
      </c>
      <c r="AW792" s="1856" t="str">
        <f t="shared" si="177"/>
        <v/>
      </c>
      <c r="AX792" s="1856" t="str">
        <f t="shared" si="178"/>
        <v/>
      </c>
      <c r="AY792" s="1856" t="str">
        <f t="shared" si="179"/>
        <v/>
      </c>
    </row>
    <row r="793" spans="42:52">
      <c r="AP793" s="1855">
        <f t="shared" si="180"/>
        <v>44647</v>
      </c>
      <c r="AQ793" s="925" t="str">
        <f t="shared" si="181"/>
        <v/>
      </c>
      <c r="AR793" s="1856" t="str">
        <f t="shared" si="182"/>
        <v/>
      </c>
      <c r="AS793" s="927">
        <v>27</v>
      </c>
      <c r="AT793" s="1856">
        <f t="shared" si="174"/>
        <v>44647.277777777781</v>
      </c>
      <c r="AU793" s="1856">
        <f t="shared" si="175"/>
        <v>44647.317361111105</v>
      </c>
      <c r="AV793" s="1856">
        <f t="shared" si="176"/>
        <v>44647.834027777782</v>
      </c>
      <c r="AW793" s="1856">
        <f t="shared" si="177"/>
        <v>44647.874305555561</v>
      </c>
      <c r="AX793" s="1856">
        <f t="shared" si="178"/>
        <v>44647.222222222226</v>
      </c>
      <c r="AY793" s="1856">
        <f t="shared" si="179"/>
        <v>44647.629166666666</v>
      </c>
      <c r="AZ793" s="1853">
        <v>0.28000000000000003</v>
      </c>
    </row>
    <row r="794" spans="42:52">
      <c r="AP794" s="1855">
        <f t="shared" si="180"/>
        <v>44647</v>
      </c>
      <c r="AQ794" s="925" t="str">
        <f t="shared" si="181"/>
        <v/>
      </c>
      <c r="AR794" s="1856" t="str">
        <f t="shared" si="182"/>
        <v/>
      </c>
      <c r="AS794" s="927" t="s">
        <v>252</v>
      </c>
      <c r="AT794" s="1856" t="str">
        <f t="shared" si="174"/>
        <v/>
      </c>
      <c r="AU794" s="1856" t="str">
        <f t="shared" si="175"/>
        <v/>
      </c>
      <c r="AV794" s="1856" t="str">
        <f t="shared" si="176"/>
        <v/>
      </c>
      <c r="AW794" s="1856" t="str">
        <f t="shared" si="177"/>
        <v/>
      </c>
      <c r="AX794" s="1856" t="str">
        <f t="shared" si="178"/>
        <v/>
      </c>
      <c r="AY794" s="1856" t="str">
        <f t="shared" si="179"/>
        <v/>
      </c>
    </row>
    <row r="795" spans="42:52">
      <c r="AP795" s="1855">
        <f t="shared" si="180"/>
        <v>44647</v>
      </c>
      <c r="AQ795" s="925" t="str">
        <f t="shared" si="181"/>
        <v/>
      </c>
      <c r="AR795" s="1856" t="str">
        <f t="shared" si="182"/>
        <v/>
      </c>
      <c r="AT795" s="1856" t="str">
        <f t="shared" si="174"/>
        <v/>
      </c>
      <c r="AU795" s="1856" t="str">
        <f t="shared" si="175"/>
        <v/>
      </c>
      <c r="AV795" s="1856" t="str">
        <f t="shared" si="176"/>
        <v/>
      </c>
      <c r="AW795" s="1856" t="str">
        <f t="shared" si="177"/>
        <v/>
      </c>
      <c r="AX795" s="1856" t="str">
        <f t="shared" si="178"/>
        <v/>
      </c>
      <c r="AY795" s="1856" t="str">
        <f t="shared" si="179"/>
        <v/>
      </c>
    </row>
    <row r="796" spans="42:52">
      <c r="AP796" s="1855">
        <f t="shared" si="180"/>
        <v>44647</v>
      </c>
      <c r="AQ796" s="925" t="str">
        <f t="shared" si="181"/>
        <v>MR</v>
      </c>
      <c r="AR796" s="1856">
        <f t="shared" si="182"/>
        <v>44647.222222222226</v>
      </c>
      <c r="AS796" s="927" t="s">
        <v>1570</v>
      </c>
      <c r="AT796" s="1856" t="str">
        <f t="shared" ref="AT796:AT859" si="183">IF(ISNUMBER(AS796),INDEX(AR797:AR807,MATCH($AT$27,AQ797:AQ807,0)),"")</f>
        <v/>
      </c>
      <c r="AU796" s="1856" t="str">
        <f t="shared" ref="AU796:AU859" si="184">IF(AT796="","",INDEX(AR797:AR807,MATCH($AU$27,AQ797:AQ807,0)))</f>
        <v/>
      </c>
      <c r="AV796" s="1856" t="str">
        <f t="shared" ref="AV796:AV859" si="185">IF(AT796="","",INDEX(AR797:AR807,MATCH($AV$27,AQ797:AQ807,0)))</f>
        <v/>
      </c>
      <c r="AW796" s="1856" t="str">
        <f t="shared" ref="AW796:AW859" si="186">IF(AT796="","",INDEX(AR797:AR807,MATCH($AW$27,AQ797:AQ807,0)))</f>
        <v/>
      </c>
      <c r="AX796" s="1856" t="str">
        <f t="shared" ref="AX796:AX859" si="187">IF(AT796="","",INDEX(AR797:AR807,MATCH($AX$27,AQ797:AQ807,0)))</f>
        <v/>
      </c>
      <c r="AY796" s="1856" t="str">
        <f t="shared" ref="AY796:AY859" si="188">IF(AT796="","",INDEX(AR797:AR807,MATCH($AY$27,AQ797:AQ807,0)))</f>
        <v/>
      </c>
    </row>
    <row r="797" spans="42:52">
      <c r="AP797" s="1855">
        <f t="shared" si="180"/>
        <v>44647</v>
      </c>
      <c r="AQ797" s="925" t="str">
        <f t="shared" si="181"/>
        <v>BMNT</v>
      </c>
      <c r="AR797" s="1856">
        <f t="shared" si="182"/>
        <v>44647.277777777781</v>
      </c>
      <c r="AS797" s="927" t="s">
        <v>1348</v>
      </c>
      <c r="AT797" s="1856" t="str">
        <f t="shared" si="183"/>
        <v/>
      </c>
      <c r="AU797" s="1856" t="str">
        <f t="shared" si="184"/>
        <v/>
      </c>
      <c r="AV797" s="1856" t="str">
        <f t="shared" si="185"/>
        <v/>
      </c>
      <c r="AW797" s="1856" t="str">
        <f t="shared" si="186"/>
        <v/>
      </c>
      <c r="AX797" s="1856" t="str">
        <f t="shared" si="187"/>
        <v/>
      </c>
      <c r="AY797" s="1856" t="str">
        <f t="shared" si="188"/>
        <v/>
      </c>
    </row>
    <row r="798" spans="42:52">
      <c r="AP798" s="1855">
        <f t="shared" si="180"/>
        <v>44647</v>
      </c>
      <c r="AQ798" s="925" t="str">
        <f t="shared" si="181"/>
        <v>SR</v>
      </c>
      <c r="AR798" s="1856">
        <f t="shared" si="182"/>
        <v>44647.317361111105</v>
      </c>
      <c r="AS798" s="927" t="s">
        <v>1571</v>
      </c>
      <c r="AT798" s="1856" t="str">
        <f t="shared" si="183"/>
        <v/>
      </c>
      <c r="AU798" s="1856" t="str">
        <f t="shared" si="184"/>
        <v/>
      </c>
      <c r="AV798" s="1856" t="str">
        <f t="shared" si="185"/>
        <v/>
      </c>
      <c r="AW798" s="1856" t="str">
        <f t="shared" si="186"/>
        <v/>
      </c>
      <c r="AX798" s="1856" t="str">
        <f t="shared" si="187"/>
        <v/>
      </c>
      <c r="AY798" s="1856" t="str">
        <f t="shared" si="188"/>
        <v/>
      </c>
    </row>
    <row r="799" spans="42:52">
      <c r="AP799" s="1855">
        <f t="shared" si="180"/>
        <v>44647</v>
      </c>
      <c r="AQ799" s="925" t="str">
        <f t="shared" si="181"/>
        <v>MS</v>
      </c>
      <c r="AR799" s="1856">
        <f t="shared" si="182"/>
        <v>44647.629166666666</v>
      </c>
      <c r="AS799" s="927" t="s">
        <v>1572</v>
      </c>
      <c r="AT799" s="1856" t="str">
        <f t="shared" si="183"/>
        <v/>
      </c>
      <c r="AU799" s="1856" t="str">
        <f t="shared" si="184"/>
        <v/>
      </c>
      <c r="AV799" s="1856" t="str">
        <f t="shared" si="185"/>
        <v/>
      </c>
      <c r="AW799" s="1856" t="str">
        <f t="shared" si="186"/>
        <v/>
      </c>
      <c r="AX799" s="1856" t="str">
        <f t="shared" si="187"/>
        <v/>
      </c>
      <c r="AY799" s="1856" t="str">
        <f t="shared" si="188"/>
        <v/>
      </c>
    </row>
    <row r="800" spans="42:52">
      <c r="AP800" s="1855">
        <f t="shared" si="180"/>
        <v>44647</v>
      </c>
      <c r="AQ800" s="925" t="str">
        <f t="shared" si="181"/>
        <v>SS</v>
      </c>
      <c r="AR800" s="1856">
        <f t="shared" si="182"/>
        <v>44647.834027777782</v>
      </c>
      <c r="AS800" s="927" t="s">
        <v>1573</v>
      </c>
      <c r="AT800" s="1856" t="str">
        <f t="shared" si="183"/>
        <v/>
      </c>
      <c r="AU800" s="1856" t="str">
        <f t="shared" si="184"/>
        <v/>
      </c>
      <c r="AV800" s="1856" t="str">
        <f t="shared" si="185"/>
        <v/>
      </c>
      <c r="AW800" s="1856" t="str">
        <f t="shared" si="186"/>
        <v/>
      </c>
      <c r="AX800" s="1856" t="str">
        <f t="shared" si="187"/>
        <v/>
      </c>
      <c r="AY800" s="1856" t="str">
        <f t="shared" si="188"/>
        <v/>
      </c>
    </row>
    <row r="801" spans="42:52">
      <c r="AP801" s="1855">
        <f t="shared" si="180"/>
        <v>44647</v>
      </c>
      <c r="AQ801" s="925" t="str">
        <f t="shared" si="181"/>
        <v>EENT</v>
      </c>
      <c r="AR801" s="1856">
        <f t="shared" si="182"/>
        <v>44647.874305555561</v>
      </c>
      <c r="AS801" s="927" t="s">
        <v>1574</v>
      </c>
      <c r="AT801" s="1856" t="str">
        <f t="shared" si="183"/>
        <v/>
      </c>
      <c r="AU801" s="1856" t="str">
        <f t="shared" si="184"/>
        <v/>
      </c>
      <c r="AV801" s="1856" t="str">
        <f t="shared" si="185"/>
        <v/>
      </c>
      <c r="AW801" s="1856" t="str">
        <f t="shared" si="186"/>
        <v/>
      </c>
      <c r="AX801" s="1856" t="str">
        <f t="shared" si="187"/>
        <v/>
      </c>
      <c r="AY801" s="1856" t="str">
        <f t="shared" si="188"/>
        <v/>
      </c>
    </row>
    <row r="802" spans="42:52">
      <c r="AP802" s="1855">
        <f t="shared" si="180"/>
        <v>44648</v>
      </c>
      <c r="AQ802" s="925" t="str">
        <f t="shared" si="181"/>
        <v/>
      </c>
      <c r="AR802" s="1856" t="str">
        <f t="shared" si="182"/>
        <v/>
      </c>
      <c r="AS802" s="927">
        <v>28</v>
      </c>
      <c r="AT802" s="1856">
        <f t="shared" si="183"/>
        <v>44648.276388888888</v>
      </c>
      <c r="AU802" s="1856">
        <f t="shared" si="184"/>
        <v>44648.316666666666</v>
      </c>
      <c r="AV802" s="1856">
        <f t="shared" si="185"/>
        <v>44648.834722222222</v>
      </c>
      <c r="AW802" s="1856">
        <f t="shared" si="186"/>
        <v>44648.875</v>
      </c>
      <c r="AX802" s="1856">
        <f t="shared" si="187"/>
        <v>44648.25</v>
      </c>
      <c r="AY802" s="1856">
        <f t="shared" si="188"/>
        <v>44648.678472222222</v>
      </c>
      <c r="AZ802" s="1853">
        <v>0.19</v>
      </c>
    </row>
    <row r="803" spans="42:52">
      <c r="AP803" s="1855">
        <f t="shared" si="180"/>
        <v>44648</v>
      </c>
      <c r="AQ803" s="925" t="str">
        <f t="shared" si="181"/>
        <v/>
      </c>
      <c r="AR803" s="1856" t="str">
        <f t="shared" si="182"/>
        <v/>
      </c>
      <c r="AS803" s="927" t="s">
        <v>252</v>
      </c>
      <c r="AT803" s="1856" t="str">
        <f t="shared" si="183"/>
        <v/>
      </c>
      <c r="AU803" s="1856" t="str">
        <f t="shared" si="184"/>
        <v/>
      </c>
      <c r="AV803" s="1856" t="str">
        <f t="shared" si="185"/>
        <v/>
      </c>
      <c r="AW803" s="1856" t="str">
        <f t="shared" si="186"/>
        <v/>
      </c>
      <c r="AX803" s="1856" t="str">
        <f t="shared" si="187"/>
        <v/>
      </c>
      <c r="AY803" s="1856" t="str">
        <f t="shared" si="188"/>
        <v/>
      </c>
    </row>
    <row r="804" spans="42:52">
      <c r="AP804" s="1855">
        <f t="shared" si="180"/>
        <v>44648</v>
      </c>
      <c r="AQ804" s="925" t="str">
        <f t="shared" si="181"/>
        <v/>
      </c>
      <c r="AR804" s="1856" t="str">
        <f t="shared" si="182"/>
        <v/>
      </c>
      <c r="AT804" s="1856" t="str">
        <f t="shared" si="183"/>
        <v/>
      </c>
      <c r="AU804" s="1856" t="str">
        <f t="shared" si="184"/>
        <v/>
      </c>
      <c r="AV804" s="1856" t="str">
        <f t="shared" si="185"/>
        <v/>
      </c>
      <c r="AW804" s="1856" t="str">
        <f t="shared" si="186"/>
        <v/>
      </c>
      <c r="AX804" s="1856" t="str">
        <f t="shared" si="187"/>
        <v/>
      </c>
      <c r="AY804" s="1856" t="str">
        <f t="shared" si="188"/>
        <v/>
      </c>
    </row>
    <row r="805" spans="42:52">
      <c r="AP805" s="1855">
        <f t="shared" ref="AP805:AP868" si="189">IF(ISNUMBER(AS805),AP804+1,AP804)</f>
        <v>44648</v>
      </c>
      <c r="AQ805" s="925" t="str">
        <f t="shared" ref="AQ805:AQ868" si="190">IF(NOT(ISNUMBER(FIND(":",AS805))),"",IF(ISNUMBER(FIND("Sunr",AS805)),"SR", IF(ISNUMBER(FIND("Suns",AS805)),"SS",IF(ISNUMBER(FIND("Moonr",AS805)),"MR",IF(ISNUMBER(FIND("Moons",AS805)),"MS",IF(ISNUMBER(FIND("Twi",AS805)),IF(HOUR(AR805)&lt;12,"BMNT","EENT")))))))</f>
        <v>MR</v>
      </c>
      <c r="AR805" s="1856">
        <f t="shared" si="182"/>
        <v>44648.25</v>
      </c>
      <c r="AS805" s="927" t="s">
        <v>1575</v>
      </c>
      <c r="AT805" s="1856" t="str">
        <f t="shared" si="183"/>
        <v/>
      </c>
      <c r="AU805" s="1856" t="str">
        <f t="shared" si="184"/>
        <v/>
      </c>
      <c r="AV805" s="1856" t="str">
        <f t="shared" si="185"/>
        <v/>
      </c>
      <c r="AW805" s="1856" t="str">
        <f t="shared" si="186"/>
        <v/>
      </c>
      <c r="AX805" s="1856" t="str">
        <f t="shared" si="187"/>
        <v/>
      </c>
      <c r="AY805" s="1856" t="str">
        <f t="shared" si="188"/>
        <v/>
      </c>
    </row>
    <row r="806" spans="42:52">
      <c r="AP806" s="1855">
        <f t="shared" si="189"/>
        <v>44648</v>
      </c>
      <c r="AQ806" s="925" t="str">
        <f t="shared" si="190"/>
        <v>BMNT</v>
      </c>
      <c r="AR806" s="1856">
        <f t="shared" si="182"/>
        <v>44648.276388888888</v>
      </c>
      <c r="AS806" s="927" t="s">
        <v>1576</v>
      </c>
      <c r="AT806" s="1856" t="str">
        <f t="shared" si="183"/>
        <v/>
      </c>
      <c r="AU806" s="1856" t="str">
        <f t="shared" si="184"/>
        <v/>
      </c>
      <c r="AV806" s="1856" t="str">
        <f t="shared" si="185"/>
        <v/>
      </c>
      <c r="AW806" s="1856" t="str">
        <f t="shared" si="186"/>
        <v/>
      </c>
      <c r="AX806" s="1856" t="str">
        <f t="shared" si="187"/>
        <v/>
      </c>
      <c r="AY806" s="1856" t="str">
        <f t="shared" si="188"/>
        <v/>
      </c>
    </row>
    <row r="807" spans="42:52">
      <c r="AP807" s="1855">
        <f t="shared" si="189"/>
        <v>44648</v>
      </c>
      <c r="AQ807" s="925" t="str">
        <f t="shared" si="190"/>
        <v>SR</v>
      </c>
      <c r="AR807" s="1856">
        <f t="shared" si="182"/>
        <v>44648.316666666666</v>
      </c>
      <c r="AS807" s="927" t="s">
        <v>1355</v>
      </c>
      <c r="AT807" s="1856" t="str">
        <f t="shared" si="183"/>
        <v/>
      </c>
      <c r="AU807" s="1856" t="str">
        <f t="shared" si="184"/>
        <v/>
      </c>
      <c r="AV807" s="1856" t="str">
        <f t="shared" si="185"/>
        <v/>
      </c>
      <c r="AW807" s="1856" t="str">
        <f t="shared" si="186"/>
        <v/>
      </c>
      <c r="AX807" s="1856" t="str">
        <f t="shared" si="187"/>
        <v/>
      </c>
      <c r="AY807" s="1856" t="str">
        <f t="shared" si="188"/>
        <v/>
      </c>
    </row>
    <row r="808" spans="42:52">
      <c r="AP808" s="1855">
        <f t="shared" si="189"/>
        <v>44648</v>
      </c>
      <c r="AQ808" s="925" t="str">
        <f t="shared" si="190"/>
        <v>MS</v>
      </c>
      <c r="AR808" s="1856">
        <f t="shared" si="182"/>
        <v>44648.678472222222</v>
      </c>
      <c r="AS808" s="927" t="s">
        <v>1577</v>
      </c>
      <c r="AT808" s="1856" t="str">
        <f t="shared" si="183"/>
        <v/>
      </c>
      <c r="AU808" s="1856" t="str">
        <f t="shared" si="184"/>
        <v/>
      </c>
      <c r="AV808" s="1856" t="str">
        <f t="shared" si="185"/>
        <v/>
      </c>
      <c r="AW808" s="1856" t="str">
        <f t="shared" si="186"/>
        <v/>
      </c>
      <c r="AX808" s="1856" t="str">
        <f t="shared" si="187"/>
        <v/>
      </c>
      <c r="AY808" s="1856" t="str">
        <f t="shared" si="188"/>
        <v/>
      </c>
    </row>
    <row r="809" spans="42:52">
      <c r="AP809" s="1855">
        <f t="shared" si="189"/>
        <v>44648</v>
      </c>
      <c r="AQ809" s="925" t="str">
        <f t="shared" si="190"/>
        <v>SS</v>
      </c>
      <c r="AR809" s="1856">
        <f t="shared" ref="AR809:AR872" si="191">IF(NOT(ISNUMBER(FIND(":",AS809))),"",IF(ISNUMBER(FIND(" none",AS809)),"NONE",AP809+LEFT(RIGHT(AS809,5),2)/24+RIGHT(AS809,2)/1440))</f>
        <v>44648.834722222222</v>
      </c>
      <c r="AS809" s="927" t="s">
        <v>1578</v>
      </c>
      <c r="AT809" s="1856" t="str">
        <f t="shared" si="183"/>
        <v/>
      </c>
      <c r="AU809" s="1856" t="str">
        <f t="shared" si="184"/>
        <v/>
      </c>
      <c r="AV809" s="1856" t="str">
        <f t="shared" si="185"/>
        <v/>
      </c>
      <c r="AW809" s="1856" t="str">
        <f t="shared" si="186"/>
        <v/>
      </c>
      <c r="AX809" s="1856" t="str">
        <f t="shared" si="187"/>
        <v/>
      </c>
      <c r="AY809" s="1856" t="str">
        <f t="shared" si="188"/>
        <v/>
      </c>
    </row>
    <row r="810" spans="42:52">
      <c r="AP810" s="1855">
        <f t="shared" si="189"/>
        <v>44648</v>
      </c>
      <c r="AQ810" s="925" t="str">
        <f t="shared" si="190"/>
        <v>EENT</v>
      </c>
      <c r="AR810" s="1856">
        <f t="shared" si="191"/>
        <v>44648.875</v>
      </c>
      <c r="AS810" s="927" t="s">
        <v>1579</v>
      </c>
      <c r="AT810" s="1856" t="str">
        <f t="shared" si="183"/>
        <v/>
      </c>
      <c r="AU810" s="1856" t="str">
        <f t="shared" si="184"/>
        <v/>
      </c>
      <c r="AV810" s="1856" t="str">
        <f t="shared" si="185"/>
        <v/>
      </c>
      <c r="AW810" s="1856" t="str">
        <f t="shared" si="186"/>
        <v/>
      </c>
      <c r="AX810" s="1856" t="str">
        <f t="shared" si="187"/>
        <v/>
      </c>
      <c r="AY810" s="1856" t="str">
        <f t="shared" si="188"/>
        <v/>
      </c>
    </row>
    <row r="811" spans="42:52">
      <c r="AP811" s="1855">
        <f t="shared" si="189"/>
        <v>44649</v>
      </c>
      <c r="AQ811" s="925" t="str">
        <f t="shared" si="190"/>
        <v/>
      </c>
      <c r="AR811" s="1856" t="str">
        <f t="shared" si="191"/>
        <v/>
      </c>
      <c r="AS811" s="927">
        <v>29</v>
      </c>
      <c r="AT811" s="1856">
        <f t="shared" si="183"/>
        <v>44649.275694444441</v>
      </c>
      <c r="AU811" s="1856">
        <f t="shared" si="184"/>
        <v>44649.315277777772</v>
      </c>
      <c r="AV811" s="1856">
        <f t="shared" si="185"/>
        <v>44649.835416666669</v>
      </c>
      <c r="AW811" s="1856">
        <f t="shared" si="186"/>
        <v>44649.875694444447</v>
      </c>
      <c r="AX811" s="1856">
        <f t="shared" si="187"/>
        <v>44649.273611111108</v>
      </c>
      <c r="AY811" s="1856">
        <f t="shared" si="188"/>
        <v>44649.727083333339</v>
      </c>
      <c r="AZ811" s="1853">
        <v>0.11</v>
      </c>
    </row>
    <row r="812" spans="42:52">
      <c r="AP812" s="1855">
        <f t="shared" si="189"/>
        <v>44649</v>
      </c>
      <c r="AQ812" s="925" t="str">
        <f t="shared" si="190"/>
        <v/>
      </c>
      <c r="AR812" s="1856" t="str">
        <f t="shared" si="191"/>
        <v/>
      </c>
      <c r="AS812" s="927" t="s">
        <v>252</v>
      </c>
      <c r="AT812" s="1856" t="str">
        <f t="shared" si="183"/>
        <v/>
      </c>
      <c r="AU812" s="1856" t="str">
        <f t="shared" si="184"/>
        <v/>
      </c>
      <c r="AV812" s="1856" t="str">
        <f t="shared" si="185"/>
        <v/>
      </c>
      <c r="AW812" s="1856" t="str">
        <f t="shared" si="186"/>
        <v/>
      </c>
      <c r="AX812" s="1856" t="str">
        <f t="shared" si="187"/>
        <v/>
      </c>
      <c r="AY812" s="1856" t="str">
        <f t="shared" si="188"/>
        <v/>
      </c>
    </row>
    <row r="813" spans="42:52">
      <c r="AP813" s="1855">
        <f t="shared" si="189"/>
        <v>44649</v>
      </c>
      <c r="AQ813" s="925" t="str">
        <f t="shared" si="190"/>
        <v/>
      </c>
      <c r="AR813" s="1856" t="str">
        <f t="shared" si="191"/>
        <v/>
      </c>
      <c r="AT813" s="1856" t="str">
        <f t="shared" si="183"/>
        <v/>
      </c>
      <c r="AU813" s="1856" t="str">
        <f t="shared" si="184"/>
        <v/>
      </c>
      <c r="AV813" s="1856" t="str">
        <f t="shared" si="185"/>
        <v/>
      </c>
      <c r="AW813" s="1856" t="str">
        <f t="shared" si="186"/>
        <v/>
      </c>
      <c r="AX813" s="1856" t="str">
        <f t="shared" si="187"/>
        <v/>
      </c>
      <c r="AY813" s="1856" t="str">
        <f t="shared" si="188"/>
        <v/>
      </c>
    </row>
    <row r="814" spans="42:52">
      <c r="AP814" s="1855">
        <f t="shared" si="189"/>
        <v>44649</v>
      </c>
      <c r="AQ814" s="925" t="str">
        <f t="shared" si="190"/>
        <v>MR</v>
      </c>
      <c r="AR814" s="1856">
        <f t="shared" si="191"/>
        <v>44649.273611111108</v>
      </c>
      <c r="AS814" s="927" t="s">
        <v>1580</v>
      </c>
      <c r="AT814" s="1856" t="str">
        <f t="shared" si="183"/>
        <v/>
      </c>
      <c r="AU814" s="1856" t="str">
        <f t="shared" si="184"/>
        <v/>
      </c>
      <c r="AV814" s="1856" t="str">
        <f t="shared" si="185"/>
        <v/>
      </c>
      <c r="AW814" s="1856" t="str">
        <f t="shared" si="186"/>
        <v/>
      </c>
      <c r="AX814" s="1856" t="str">
        <f t="shared" si="187"/>
        <v/>
      </c>
      <c r="AY814" s="1856" t="str">
        <f t="shared" si="188"/>
        <v/>
      </c>
    </row>
    <row r="815" spans="42:52">
      <c r="AP815" s="1855">
        <f t="shared" si="189"/>
        <v>44649</v>
      </c>
      <c r="AQ815" s="925" t="str">
        <f t="shared" si="190"/>
        <v>BMNT</v>
      </c>
      <c r="AR815" s="1856">
        <f t="shared" si="191"/>
        <v>44649.275694444441</v>
      </c>
      <c r="AS815" s="927" t="s">
        <v>1359</v>
      </c>
      <c r="AT815" s="1856" t="str">
        <f t="shared" si="183"/>
        <v/>
      </c>
      <c r="AU815" s="1856" t="str">
        <f t="shared" si="184"/>
        <v/>
      </c>
      <c r="AV815" s="1856" t="str">
        <f t="shared" si="185"/>
        <v/>
      </c>
      <c r="AW815" s="1856" t="str">
        <f t="shared" si="186"/>
        <v/>
      </c>
      <c r="AX815" s="1856" t="str">
        <f t="shared" si="187"/>
        <v/>
      </c>
      <c r="AY815" s="1856" t="str">
        <f t="shared" si="188"/>
        <v/>
      </c>
    </row>
    <row r="816" spans="42:52">
      <c r="AP816" s="1855">
        <f t="shared" si="189"/>
        <v>44649</v>
      </c>
      <c r="AQ816" s="925" t="str">
        <f t="shared" si="190"/>
        <v>SR</v>
      </c>
      <c r="AR816" s="1856">
        <f t="shared" si="191"/>
        <v>44649.315277777772</v>
      </c>
      <c r="AS816" s="927" t="s">
        <v>1367</v>
      </c>
      <c r="AT816" s="1856" t="str">
        <f t="shared" si="183"/>
        <v/>
      </c>
      <c r="AU816" s="1856" t="str">
        <f t="shared" si="184"/>
        <v/>
      </c>
      <c r="AV816" s="1856" t="str">
        <f t="shared" si="185"/>
        <v/>
      </c>
      <c r="AW816" s="1856" t="str">
        <f t="shared" si="186"/>
        <v/>
      </c>
      <c r="AX816" s="1856" t="str">
        <f t="shared" si="187"/>
        <v/>
      </c>
      <c r="AY816" s="1856" t="str">
        <f t="shared" si="188"/>
        <v/>
      </c>
    </row>
    <row r="817" spans="42:52">
      <c r="AP817" s="1855">
        <f t="shared" si="189"/>
        <v>44649</v>
      </c>
      <c r="AQ817" s="925" t="str">
        <f t="shared" si="190"/>
        <v>MS</v>
      </c>
      <c r="AR817" s="1856">
        <f t="shared" si="191"/>
        <v>44649.727083333339</v>
      </c>
      <c r="AS817" s="927" t="s">
        <v>1581</v>
      </c>
      <c r="AT817" s="1856" t="str">
        <f t="shared" si="183"/>
        <v/>
      </c>
      <c r="AU817" s="1856" t="str">
        <f t="shared" si="184"/>
        <v/>
      </c>
      <c r="AV817" s="1856" t="str">
        <f t="shared" si="185"/>
        <v/>
      </c>
      <c r="AW817" s="1856" t="str">
        <f t="shared" si="186"/>
        <v/>
      </c>
      <c r="AX817" s="1856" t="str">
        <f t="shared" si="187"/>
        <v/>
      </c>
      <c r="AY817" s="1856" t="str">
        <f t="shared" si="188"/>
        <v/>
      </c>
    </row>
    <row r="818" spans="42:52">
      <c r="AP818" s="1855">
        <f t="shared" si="189"/>
        <v>44649</v>
      </c>
      <c r="AQ818" s="925" t="str">
        <f t="shared" si="190"/>
        <v>SS</v>
      </c>
      <c r="AR818" s="1856">
        <f t="shared" si="191"/>
        <v>44649.835416666669</v>
      </c>
      <c r="AS818" s="927" t="s">
        <v>1582</v>
      </c>
      <c r="AT818" s="1856" t="str">
        <f t="shared" si="183"/>
        <v/>
      </c>
      <c r="AU818" s="1856" t="str">
        <f t="shared" si="184"/>
        <v/>
      </c>
      <c r="AV818" s="1856" t="str">
        <f t="shared" si="185"/>
        <v/>
      </c>
      <c r="AW818" s="1856" t="str">
        <f t="shared" si="186"/>
        <v/>
      </c>
      <c r="AX818" s="1856" t="str">
        <f t="shared" si="187"/>
        <v/>
      </c>
      <c r="AY818" s="1856" t="str">
        <f t="shared" si="188"/>
        <v/>
      </c>
    </row>
    <row r="819" spans="42:52">
      <c r="AP819" s="1855">
        <f t="shared" si="189"/>
        <v>44649</v>
      </c>
      <c r="AQ819" s="925" t="str">
        <f t="shared" si="190"/>
        <v>EENT</v>
      </c>
      <c r="AR819" s="1856">
        <f t="shared" si="191"/>
        <v>44649.875694444447</v>
      </c>
      <c r="AS819" s="927" t="s">
        <v>1583</v>
      </c>
      <c r="AT819" s="1856" t="str">
        <f t="shared" si="183"/>
        <v/>
      </c>
      <c r="AU819" s="1856" t="str">
        <f t="shared" si="184"/>
        <v/>
      </c>
      <c r="AV819" s="1856" t="str">
        <f t="shared" si="185"/>
        <v/>
      </c>
      <c r="AW819" s="1856" t="str">
        <f t="shared" si="186"/>
        <v/>
      </c>
      <c r="AX819" s="1856" t="str">
        <f t="shared" si="187"/>
        <v/>
      </c>
      <c r="AY819" s="1856" t="str">
        <f t="shared" si="188"/>
        <v/>
      </c>
    </row>
    <row r="820" spans="42:52">
      <c r="AP820" s="1855">
        <f t="shared" si="189"/>
        <v>44650</v>
      </c>
      <c r="AQ820" s="925" t="str">
        <f t="shared" si="190"/>
        <v/>
      </c>
      <c r="AR820" s="1856" t="str">
        <f t="shared" si="191"/>
        <v/>
      </c>
      <c r="AS820" s="927">
        <v>30</v>
      </c>
      <c r="AT820" s="1856">
        <f t="shared" si="183"/>
        <v>44650.274305555555</v>
      </c>
      <c r="AU820" s="1856">
        <f t="shared" si="184"/>
        <v>44650.314583333333</v>
      </c>
      <c r="AV820" s="1856">
        <f t="shared" si="185"/>
        <v>44650.836111111115</v>
      </c>
      <c r="AW820" s="1856">
        <f t="shared" si="186"/>
        <v>44650.876388888886</v>
      </c>
      <c r="AX820" s="1856">
        <f t="shared" si="187"/>
        <v>44650.294444444444</v>
      </c>
      <c r="AY820" s="1856">
        <f t="shared" si="188"/>
        <v>44650.774305555555</v>
      </c>
      <c r="AZ820" s="1853">
        <v>0.05</v>
      </c>
    </row>
    <row r="821" spans="42:52">
      <c r="AP821" s="1855">
        <f t="shared" si="189"/>
        <v>44650</v>
      </c>
      <c r="AQ821" s="925" t="str">
        <f t="shared" si="190"/>
        <v/>
      </c>
      <c r="AR821" s="1856" t="str">
        <f t="shared" si="191"/>
        <v/>
      </c>
      <c r="AS821" s="927" t="s">
        <v>252</v>
      </c>
      <c r="AT821" s="1856" t="str">
        <f t="shared" si="183"/>
        <v/>
      </c>
      <c r="AU821" s="1856" t="str">
        <f t="shared" si="184"/>
        <v/>
      </c>
      <c r="AV821" s="1856" t="str">
        <f t="shared" si="185"/>
        <v/>
      </c>
      <c r="AW821" s="1856" t="str">
        <f t="shared" si="186"/>
        <v/>
      </c>
      <c r="AX821" s="1856" t="str">
        <f t="shared" si="187"/>
        <v/>
      </c>
      <c r="AY821" s="1856" t="str">
        <f t="shared" si="188"/>
        <v/>
      </c>
    </row>
    <row r="822" spans="42:52">
      <c r="AP822" s="1855">
        <f t="shared" si="189"/>
        <v>44650</v>
      </c>
      <c r="AQ822" s="925" t="str">
        <f t="shared" si="190"/>
        <v/>
      </c>
      <c r="AR822" s="1856" t="str">
        <f t="shared" si="191"/>
        <v/>
      </c>
      <c r="AT822" s="1856" t="str">
        <f t="shared" si="183"/>
        <v/>
      </c>
      <c r="AU822" s="1856" t="str">
        <f t="shared" si="184"/>
        <v/>
      </c>
      <c r="AV822" s="1856" t="str">
        <f t="shared" si="185"/>
        <v/>
      </c>
      <c r="AW822" s="1856" t="str">
        <f t="shared" si="186"/>
        <v/>
      </c>
      <c r="AX822" s="1856" t="str">
        <f t="shared" si="187"/>
        <v/>
      </c>
      <c r="AY822" s="1856" t="str">
        <f t="shared" si="188"/>
        <v/>
      </c>
    </row>
    <row r="823" spans="42:52">
      <c r="AP823" s="1855">
        <f t="shared" si="189"/>
        <v>44650</v>
      </c>
      <c r="AQ823" s="925" t="str">
        <f t="shared" si="190"/>
        <v>BMNT</v>
      </c>
      <c r="AR823" s="1856">
        <f t="shared" si="191"/>
        <v>44650.274305555555</v>
      </c>
      <c r="AS823" s="927" t="s">
        <v>1371</v>
      </c>
      <c r="AT823" s="1856" t="str">
        <f t="shared" si="183"/>
        <v/>
      </c>
      <c r="AU823" s="1856" t="str">
        <f t="shared" si="184"/>
        <v/>
      </c>
      <c r="AV823" s="1856" t="str">
        <f t="shared" si="185"/>
        <v/>
      </c>
      <c r="AW823" s="1856" t="str">
        <f t="shared" si="186"/>
        <v/>
      </c>
      <c r="AX823" s="1856" t="str">
        <f t="shared" si="187"/>
        <v/>
      </c>
      <c r="AY823" s="1856" t="str">
        <f t="shared" si="188"/>
        <v/>
      </c>
    </row>
    <row r="824" spans="42:52">
      <c r="AP824" s="1855">
        <f t="shared" si="189"/>
        <v>44650</v>
      </c>
      <c r="AQ824" s="925" t="str">
        <f t="shared" si="190"/>
        <v>MR</v>
      </c>
      <c r="AR824" s="1856">
        <f t="shared" si="191"/>
        <v>44650.294444444444</v>
      </c>
      <c r="AS824" s="927" t="s">
        <v>1584</v>
      </c>
      <c r="AT824" s="1856" t="str">
        <f t="shared" si="183"/>
        <v/>
      </c>
      <c r="AU824" s="1856" t="str">
        <f t="shared" si="184"/>
        <v/>
      </c>
      <c r="AV824" s="1856" t="str">
        <f t="shared" si="185"/>
        <v/>
      </c>
      <c r="AW824" s="1856" t="str">
        <f t="shared" si="186"/>
        <v/>
      </c>
      <c r="AX824" s="1856" t="str">
        <f t="shared" si="187"/>
        <v/>
      </c>
      <c r="AY824" s="1856" t="str">
        <f t="shared" si="188"/>
        <v/>
      </c>
    </row>
    <row r="825" spans="42:52">
      <c r="AP825" s="1855">
        <f t="shared" si="189"/>
        <v>44650</v>
      </c>
      <c r="AQ825" s="925" t="str">
        <f t="shared" si="190"/>
        <v>SR</v>
      </c>
      <c r="AR825" s="1856">
        <f t="shared" si="191"/>
        <v>44650.314583333333</v>
      </c>
      <c r="AS825" s="927" t="s">
        <v>1372</v>
      </c>
      <c r="AT825" s="1856" t="str">
        <f t="shared" si="183"/>
        <v/>
      </c>
      <c r="AU825" s="1856" t="str">
        <f t="shared" si="184"/>
        <v/>
      </c>
      <c r="AV825" s="1856" t="str">
        <f t="shared" si="185"/>
        <v/>
      </c>
      <c r="AW825" s="1856" t="str">
        <f t="shared" si="186"/>
        <v/>
      </c>
      <c r="AX825" s="1856" t="str">
        <f t="shared" si="187"/>
        <v/>
      </c>
      <c r="AY825" s="1856" t="str">
        <f t="shared" si="188"/>
        <v/>
      </c>
    </row>
    <row r="826" spans="42:52">
      <c r="AP826" s="1855">
        <f t="shared" si="189"/>
        <v>44650</v>
      </c>
      <c r="AQ826" s="925" t="str">
        <f t="shared" si="190"/>
        <v>MS</v>
      </c>
      <c r="AR826" s="1856">
        <f t="shared" si="191"/>
        <v>44650.774305555555</v>
      </c>
      <c r="AS826" s="927" t="s">
        <v>1585</v>
      </c>
      <c r="AT826" s="1856" t="str">
        <f t="shared" si="183"/>
        <v/>
      </c>
      <c r="AU826" s="1856" t="str">
        <f t="shared" si="184"/>
        <v/>
      </c>
      <c r="AV826" s="1856" t="str">
        <f t="shared" si="185"/>
        <v/>
      </c>
      <c r="AW826" s="1856" t="str">
        <f t="shared" si="186"/>
        <v/>
      </c>
      <c r="AX826" s="1856" t="str">
        <f t="shared" si="187"/>
        <v/>
      </c>
      <c r="AY826" s="1856" t="str">
        <f t="shared" si="188"/>
        <v/>
      </c>
    </row>
    <row r="827" spans="42:52">
      <c r="AP827" s="1855">
        <f t="shared" si="189"/>
        <v>44650</v>
      </c>
      <c r="AQ827" s="925" t="str">
        <f t="shared" si="190"/>
        <v>SS</v>
      </c>
      <c r="AR827" s="1856">
        <f t="shared" si="191"/>
        <v>44650.836111111115</v>
      </c>
      <c r="AS827" s="927" t="s">
        <v>1586</v>
      </c>
      <c r="AT827" s="1856" t="str">
        <f t="shared" si="183"/>
        <v/>
      </c>
      <c r="AU827" s="1856" t="str">
        <f t="shared" si="184"/>
        <v/>
      </c>
      <c r="AV827" s="1856" t="str">
        <f t="shared" si="185"/>
        <v/>
      </c>
      <c r="AW827" s="1856" t="str">
        <f t="shared" si="186"/>
        <v/>
      </c>
      <c r="AX827" s="1856" t="str">
        <f t="shared" si="187"/>
        <v/>
      </c>
      <c r="AY827" s="1856" t="str">
        <f t="shared" si="188"/>
        <v/>
      </c>
    </row>
    <row r="828" spans="42:52">
      <c r="AP828" s="1855">
        <f t="shared" si="189"/>
        <v>44650</v>
      </c>
      <c r="AQ828" s="925" t="str">
        <f t="shared" si="190"/>
        <v>EENT</v>
      </c>
      <c r="AR828" s="1856">
        <f t="shared" si="191"/>
        <v>44650.876388888886</v>
      </c>
      <c r="AS828" s="927" t="s">
        <v>1587</v>
      </c>
      <c r="AT828" s="1856" t="str">
        <f t="shared" si="183"/>
        <v/>
      </c>
      <c r="AU828" s="1856" t="str">
        <f t="shared" si="184"/>
        <v/>
      </c>
      <c r="AV828" s="1856" t="str">
        <f t="shared" si="185"/>
        <v/>
      </c>
      <c r="AW828" s="1856" t="str">
        <f t="shared" si="186"/>
        <v/>
      </c>
      <c r="AX828" s="1856" t="str">
        <f t="shared" si="187"/>
        <v/>
      </c>
      <c r="AY828" s="1856" t="str">
        <f t="shared" si="188"/>
        <v/>
      </c>
    </row>
    <row r="829" spans="42:52">
      <c r="AP829" s="1855">
        <f t="shared" si="189"/>
        <v>44651</v>
      </c>
      <c r="AQ829" s="925" t="str">
        <f t="shared" si="190"/>
        <v/>
      </c>
      <c r="AR829" s="1856" t="str">
        <f t="shared" si="191"/>
        <v/>
      </c>
      <c r="AS829" s="927">
        <v>31</v>
      </c>
      <c r="AT829" s="1856">
        <f t="shared" si="183"/>
        <v>44651.273611111108</v>
      </c>
      <c r="AU829" s="1856">
        <f t="shared" si="184"/>
        <v>44651.313194444439</v>
      </c>
      <c r="AV829" s="1856">
        <f t="shared" si="185"/>
        <v>44651.836805555555</v>
      </c>
      <c r="AW829" s="1856">
        <f t="shared" si="186"/>
        <v>44651.877083333333</v>
      </c>
      <c r="AX829" s="1856">
        <f t="shared" si="187"/>
        <v>44651.3125</v>
      </c>
      <c r="AY829" s="1856">
        <f t="shared" si="188"/>
        <v>44651.819444444445</v>
      </c>
      <c r="AZ829" s="1853">
        <v>0.01</v>
      </c>
    </row>
    <row r="830" spans="42:52">
      <c r="AP830" s="1855">
        <f t="shared" si="189"/>
        <v>44651</v>
      </c>
      <c r="AQ830" s="925" t="str">
        <f t="shared" si="190"/>
        <v/>
      </c>
      <c r="AR830" s="1856" t="str">
        <f t="shared" si="191"/>
        <v/>
      </c>
      <c r="AS830" s="927" t="s">
        <v>252</v>
      </c>
      <c r="AT830" s="1856" t="str">
        <f t="shared" si="183"/>
        <v/>
      </c>
      <c r="AU830" s="1856" t="str">
        <f t="shared" si="184"/>
        <v/>
      </c>
      <c r="AV830" s="1856" t="str">
        <f t="shared" si="185"/>
        <v/>
      </c>
      <c r="AW830" s="1856" t="str">
        <f t="shared" si="186"/>
        <v/>
      </c>
      <c r="AX830" s="1856" t="str">
        <f t="shared" si="187"/>
        <v/>
      </c>
      <c r="AY830" s="1856" t="str">
        <f t="shared" si="188"/>
        <v/>
      </c>
    </row>
    <row r="831" spans="42:52">
      <c r="AP831" s="1855">
        <f t="shared" si="189"/>
        <v>44651</v>
      </c>
      <c r="AQ831" s="925" t="str">
        <f t="shared" si="190"/>
        <v/>
      </c>
      <c r="AR831" s="1856" t="str">
        <f t="shared" si="191"/>
        <v/>
      </c>
      <c r="AT831" s="1856" t="str">
        <f t="shared" si="183"/>
        <v/>
      </c>
      <c r="AU831" s="1856" t="str">
        <f t="shared" si="184"/>
        <v/>
      </c>
      <c r="AV831" s="1856" t="str">
        <f t="shared" si="185"/>
        <v/>
      </c>
      <c r="AW831" s="1856" t="str">
        <f t="shared" si="186"/>
        <v/>
      </c>
      <c r="AX831" s="1856" t="str">
        <f t="shared" si="187"/>
        <v/>
      </c>
      <c r="AY831" s="1856" t="str">
        <f t="shared" si="188"/>
        <v/>
      </c>
    </row>
    <row r="832" spans="42:52">
      <c r="AP832" s="1855">
        <f t="shared" si="189"/>
        <v>44651</v>
      </c>
      <c r="AQ832" s="925" t="str">
        <f t="shared" si="190"/>
        <v>BMNT</v>
      </c>
      <c r="AR832" s="1856">
        <f t="shared" si="191"/>
        <v>44651.273611111108</v>
      </c>
      <c r="AS832" s="927" t="s">
        <v>1377</v>
      </c>
      <c r="AT832" s="1856" t="str">
        <f t="shared" si="183"/>
        <v/>
      </c>
      <c r="AU832" s="1856" t="str">
        <f t="shared" si="184"/>
        <v/>
      </c>
      <c r="AV832" s="1856" t="str">
        <f t="shared" si="185"/>
        <v/>
      </c>
      <c r="AW832" s="1856" t="str">
        <f t="shared" si="186"/>
        <v/>
      </c>
      <c r="AX832" s="1856" t="str">
        <f t="shared" si="187"/>
        <v/>
      </c>
      <c r="AY832" s="1856" t="str">
        <f t="shared" si="188"/>
        <v/>
      </c>
    </row>
    <row r="833" spans="42:52">
      <c r="AP833" s="1855">
        <f t="shared" si="189"/>
        <v>44651</v>
      </c>
      <c r="AQ833" s="925" t="str">
        <f t="shared" si="190"/>
        <v>MR</v>
      </c>
      <c r="AR833" s="1856">
        <f t="shared" si="191"/>
        <v>44651.3125</v>
      </c>
      <c r="AS833" s="927" t="s">
        <v>1588</v>
      </c>
      <c r="AT833" s="1856" t="str">
        <f t="shared" si="183"/>
        <v/>
      </c>
      <c r="AU833" s="1856" t="str">
        <f t="shared" si="184"/>
        <v/>
      </c>
      <c r="AV833" s="1856" t="str">
        <f t="shared" si="185"/>
        <v/>
      </c>
      <c r="AW833" s="1856" t="str">
        <f t="shared" si="186"/>
        <v/>
      </c>
      <c r="AX833" s="1856" t="str">
        <f t="shared" si="187"/>
        <v/>
      </c>
      <c r="AY833" s="1856" t="str">
        <f t="shared" si="188"/>
        <v/>
      </c>
    </row>
    <row r="834" spans="42:52">
      <c r="AP834" s="1855">
        <f t="shared" si="189"/>
        <v>44651</v>
      </c>
      <c r="AQ834" s="925" t="str">
        <f t="shared" si="190"/>
        <v>SR</v>
      </c>
      <c r="AR834" s="1856">
        <f t="shared" si="191"/>
        <v>44651.313194444439</v>
      </c>
      <c r="AS834" s="927" t="s">
        <v>1384</v>
      </c>
      <c r="AT834" s="1856" t="str">
        <f t="shared" si="183"/>
        <v/>
      </c>
      <c r="AU834" s="1856" t="str">
        <f t="shared" si="184"/>
        <v/>
      </c>
      <c r="AV834" s="1856" t="str">
        <f t="shared" si="185"/>
        <v/>
      </c>
      <c r="AW834" s="1856" t="str">
        <f t="shared" si="186"/>
        <v/>
      </c>
      <c r="AX834" s="1856" t="str">
        <f t="shared" si="187"/>
        <v/>
      </c>
      <c r="AY834" s="1856" t="str">
        <f t="shared" si="188"/>
        <v/>
      </c>
    </row>
    <row r="835" spans="42:52">
      <c r="AP835" s="1855">
        <f t="shared" si="189"/>
        <v>44651</v>
      </c>
      <c r="AQ835" s="925" t="str">
        <f t="shared" si="190"/>
        <v>MS</v>
      </c>
      <c r="AR835" s="1856">
        <f t="shared" si="191"/>
        <v>44651.819444444445</v>
      </c>
      <c r="AS835" s="927" t="s">
        <v>1589</v>
      </c>
      <c r="AT835" s="1856" t="str">
        <f t="shared" si="183"/>
        <v/>
      </c>
      <c r="AU835" s="1856" t="str">
        <f t="shared" si="184"/>
        <v/>
      </c>
      <c r="AV835" s="1856" t="str">
        <f t="shared" si="185"/>
        <v/>
      </c>
      <c r="AW835" s="1856" t="str">
        <f t="shared" si="186"/>
        <v/>
      </c>
      <c r="AX835" s="1856" t="str">
        <f t="shared" si="187"/>
        <v/>
      </c>
      <c r="AY835" s="1856" t="str">
        <f t="shared" si="188"/>
        <v/>
      </c>
    </row>
    <row r="836" spans="42:52">
      <c r="AP836" s="1855">
        <f t="shared" si="189"/>
        <v>44651</v>
      </c>
      <c r="AQ836" s="925" t="str">
        <f t="shared" si="190"/>
        <v>SS</v>
      </c>
      <c r="AR836" s="1856">
        <f t="shared" si="191"/>
        <v>44651.836805555555</v>
      </c>
      <c r="AS836" s="927" t="s">
        <v>1590</v>
      </c>
      <c r="AT836" s="1856" t="str">
        <f t="shared" si="183"/>
        <v/>
      </c>
      <c r="AU836" s="1856" t="str">
        <f t="shared" si="184"/>
        <v/>
      </c>
      <c r="AV836" s="1856" t="str">
        <f t="shared" si="185"/>
        <v/>
      </c>
      <c r="AW836" s="1856" t="str">
        <f t="shared" si="186"/>
        <v/>
      </c>
      <c r="AX836" s="1856" t="str">
        <f t="shared" si="187"/>
        <v/>
      </c>
      <c r="AY836" s="1856" t="str">
        <f t="shared" si="188"/>
        <v/>
      </c>
    </row>
    <row r="837" spans="42:52">
      <c r="AP837" s="1855">
        <f t="shared" si="189"/>
        <v>44651</v>
      </c>
      <c r="AQ837" s="925" t="str">
        <f t="shared" si="190"/>
        <v>EENT</v>
      </c>
      <c r="AR837" s="1856">
        <f t="shared" si="191"/>
        <v>44651.877083333333</v>
      </c>
      <c r="AS837" s="927" t="s">
        <v>1591</v>
      </c>
      <c r="AT837" s="1856" t="str">
        <f t="shared" si="183"/>
        <v/>
      </c>
      <c r="AU837" s="1856" t="str">
        <f t="shared" si="184"/>
        <v/>
      </c>
      <c r="AV837" s="1856" t="str">
        <f t="shared" si="185"/>
        <v/>
      </c>
      <c r="AW837" s="1856" t="str">
        <f t="shared" si="186"/>
        <v/>
      </c>
      <c r="AX837" s="1856" t="str">
        <f t="shared" si="187"/>
        <v/>
      </c>
      <c r="AY837" s="1856" t="str">
        <f t="shared" si="188"/>
        <v/>
      </c>
    </row>
    <row r="838" spans="42:52">
      <c r="AP838" s="1855">
        <f t="shared" si="189"/>
        <v>44652</v>
      </c>
      <c r="AQ838" s="925" t="str">
        <f t="shared" si="190"/>
        <v/>
      </c>
      <c r="AR838" s="1856" t="str">
        <f t="shared" si="191"/>
        <v/>
      </c>
      <c r="AS838" s="927">
        <v>1</v>
      </c>
      <c r="AT838" s="1856">
        <f t="shared" si="183"/>
        <v>44652.272222222222</v>
      </c>
      <c r="AU838" s="1856">
        <f t="shared" si="184"/>
        <v>44652.3125</v>
      </c>
      <c r="AV838" s="1856">
        <f t="shared" si="185"/>
        <v>44652.837500000001</v>
      </c>
      <c r="AW838" s="1856">
        <f t="shared" si="186"/>
        <v>44652.87777777778</v>
      </c>
      <c r="AX838" s="1856">
        <f t="shared" si="187"/>
        <v>44652.329861111109</v>
      </c>
      <c r="AY838" s="1856">
        <f t="shared" si="188"/>
        <v>44652.863888888889</v>
      </c>
      <c r="AZ838" s="1853">
        <v>0</v>
      </c>
    </row>
    <row r="839" spans="42:52">
      <c r="AP839" s="1855">
        <f t="shared" si="189"/>
        <v>44652</v>
      </c>
      <c r="AQ839" s="925" t="str">
        <f t="shared" si="190"/>
        <v/>
      </c>
      <c r="AR839" s="1856" t="str">
        <f t="shared" si="191"/>
        <v/>
      </c>
      <c r="AS839" s="927" t="s">
        <v>252</v>
      </c>
      <c r="AT839" s="1856" t="str">
        <f t="shared" si="183"/>
        <v/>
      </c>
      <c r="AU839" s="1856" t="str">
        <f t="shared" si="184"/>
        <v/>
      </c>
      <c r="AV839" s="1856" t="str">
        <f t="shared" si="185"/>
        <v/>
      </c>
      <c r="AW839" s="1856" t="str">
        <f t="shared" si="186"/>
        <v/>
      </c>
      <c r="AX839" s="1856" t="str">
        <f t="shared" si="187"/>
        <v/>
      </c>
      <c r="AY839" s="1856" t="str">
        <f t="shared" si="188"/>
        <v/>
      </c>
    </row>
    <row r="840" spans="42:52">
      <c r="AP840" s="1855">
        <f t="shared" si="189"/>
        <v>44652</v>
      </c>
      <c r="AQ840" s="925" t="str">
        <f t="shared" si="190"/>
        <v/>
      </c>
      <c r="AR840" s="1856" t="str">
        <f t="shared" si="191"/>
        <v/>
      </c>
      <c r="AT840" s="1856" t="str">
        <f t="shared" si="183"/>
        <v/>
      </c>
      <c r="AU840" s="1856" t="str">
        <f t="shared" si="184"/>
        <v/>
      </c>
      <c r="AV840" s="1856" t="str">
        <f t="shared" si="185"/>
        <v/>
      </c>
      <c r="AW840" s="1856" t="str">
        <f t="shared" si="186"/>
        <v/>
      </c>
      <c r="AX840" s="1856" t="str">
        <f t="shared" si="187"/>
        <v/>
      </c>
      <c r="AY840" s="1856" t="str">
        <f t="shared" si="188"/>
        <v/>
      </c>
    </row>
    <row r="841" spans="42:52">
      <c r="AP841" s="1855">
        <f t="shared" si="189"/>
        <v>44652</v>
      </c>
      <c r="AQ841" s="925" t="str">
        <f t="shared" si="190"/>
        <v>BMNT</v>
      </c>
      <c r="AR841" s="1856">
        <f t="shared" si="191"/>
        <v>44652.272222222222</v>
      </c>
      <c r="AS841" s="927" t="s">
        <v>1387</v>
      </c>
      <c r="AT841" s="1856" t="str">
        <f t="shared" si="183"/>
        <v/>
      </c>
      <c r="AU841" s="1856" t="str">
        <f t="shared" si="184"/>
        <v/>
      </c>
      <c r="AV841" s="1856" t="str">
        <f t="shared" si="185"/>
        <v/>
      </c>
      <c r="AW841" s="1856" t="str">
        <f t="shared" si="186"/>
        <v/>
      </c>
      <c r="AX841" s="1856" t="str">
        <f t="shared" si="187"/>
        <v/>
      </c>
      <c r="AY841" s="1856" t="str">
        <f t="shared" si="188"/>
        <v/>
      </c>
    </row>
    <row r="842" spans="42:52">
      <c r="AP842" s="1855">
        <f t="shared" si="189"/>
        <v>44652</v>
      </c>
      <c r="AQ842" s="925" t="str">
        <f t="shared" si="190"/>
        <v>SR</v>
      </c>
      <c r="AR842" s="1856">
        <f t="shared" si="191"/>
        <v>44652.3125</v>
      </c>
      <c r="AS842" s="927" t="s">
        <v>1592</v>
      </c>
      <c r="AT842" s="1856" t="str">
        <f t="shared" si="183"/>
        <v/>
      </c>
      <c r="AU842" s="1856" t="str">
        <f t="shared" si="184"/>
        <v/>
      </c>
      <c r="AV842" s="1856" t="str">
        <f t="shared" si="185"/>
        <v/>
      </c>
      <c r="AW842" s="1856" t="str">
        <f t="shared" si="186"/>
        <v/>
      </c>
      <c r="AX842" s="1856" t="str">
        <f t="shared" si="187"/>
        <v/>
      </c>
      <c r="AY842" s="1856" t="str">
        <f t="shared" si="188"/>
        <v/>
      </c>
    </row>
    <row r="843" spans="42:52">
      <c r="AP843" s="1855">
        <f t="shared" si="189"/>
        <v>44652</v>
      </c>
      <c r="AQ843" s="925" t="str">
        <f t="shared" si="190"/>
        <v>MR</v>
      </c>
      <c r="AR843" s="1856">
        <f t="shared" si="191"/>
        <v>44652.329861111109</v>
      </c>
      <c r="AS843" s="927" t="s">
        <v>1593</v>
      </c>
      <c r="AT843" s="1856" t="str">
        <f t="shared" si="183"/>
        <v/>
      </c>
      <c r="AU843" s="1856" t="str">
        <f t="shared" si="184"/>
        <v/>
      </c>
      <c r="AV843" s="1856" t="str">
        <f t="shared" si="185"/>
        <v/>
      </c>
      <c r="AW843" s="1856" t="str">
        <f t="shared" si="186"/>
        <v/>
      </c>
      <c r="AX843" s="1856" t="str">
        <f t="shared" si="187"/>
        <v/>
      </c>
      <c r="AY843" s="1856" t="str">
        <f t="shared" si="188"/>
        <v/>
      </c>
    </row>
    <row r="844" spans="42:52">
      <c r="AP844" s="1855">
        <f t="shared" si="189"/>
        <v>44652</v>
      </c>
      <c r="AQ844" s="925" t="str">
        <f t="shared" si="190"/>
        <v>SS</v>
      </c>
      <c r="AR844" s="1856">
        <f t="shared" si="191"/>
        <v>44652.837500000001</v>
      </c>
      <c r="AS844" s="927" t="s">
        <v>1594</v>
      </c>
      <c r="AT844" s="1856" t="str">
        <f t="shared" si="183"/>
        <v/>
      </c>
      <c r="AU844" s="1856" t="str">
        <f t="shared" si="184"/>
        <v/>
      </c>
      <c r="AV844" s="1856" t="str">
        <f t="shared" si="185"/>
        <v/>
      </c>
      <c r="AW844" s="1856" t="str">
        <f t="shared" si="186"/>
        <v/>
      </c>
      <c r="AX844" s="1856" t="str">
        <f t="shared" si="187"/>
        <v/>
      </c>
      <c r="AY844" s="1856" t="str">
        <f t="shared" si="188"/>
        <v/>
      </c>
    </row>
    <row r="845" spans="42:52">
      <c r="AP845" s="1855">
        <f t="shared" si="189"/>
        <v>44652</v>
      </c>
      <c r="AQ845" s="925" t="str">
        <f t="shared" si="190"/>
        <v>MS</v>
      </c>
      <c r="AR845" s="1856">
        <f t="shared" si="191"/>
        <v>44652.863888888889</v>
      </c>
      <c r="AS845" s="927" t="s">
        <v>1595</v>
      </c>
      <c r="AT845" s="1856" t="str">
        <f t="shared" si="183"/>
        <v/>
      </c>
      <c r="AU845" s="1856" t="str">
        <f t="shared" si="184"/>
        <v/>
      </c>
      <c r="AV845" s="1856" t="str">
        <f t="shared" si="185"/>
        <v/>
      </c>
      <c r="AW845" s="1856" t="str">
        <f t="shared" si="186"/>
        <v/>
      </c>
      <c r="AX845" s="1856" t="str">
        <f t="shared" si="187"/>
        <v/>
      </c>
      <c r="AY845" s="1856" t="str">
        <f t="shared" si="188"/>
        <v/>
      </c>
    </row>
    <row r="846" spans="42:52">
      <c r="AP846" s="1855">
        <f t="shared" si="189"/>
        <v>44652</v>
      </c>
      <c r="AQ846" s="925" t="str">
        <f t="shared" si="190"/>
        <v>EENT</v>
      </c>
      <c r="AR846" s="1856">
        <f t="shared" si="191"/>
        <v>44652.87777777778</v>
      </c>
      <c r="AS846" s="927" t="s">
        <v>1596</v>
      </c>
      <c r="AT846" s="1856" t="str">
        <f t="shared" si="183"/>
        <v/>
      </c>
      <c r="AU846" s="1856" t="str">
        <f t="shared" si="184"/>
        <v/>
      </c>
      <c r="AV846" s="1856" t="str">
        <f t="shared" si="185"/>
        <v/>
      </c>
      <c r="AW846" s="1856" t="str">
        <f t="shared" si="186"/>
        <v/>
      </c>
      <c r="AX846" s="1856" t="str">
        <f t="shared" si="187"/>
        <v/>
      </c>
      <c r="AY846" s="1856" t="str">
        <f t="shared" si="188"/>
        <v/>
      </c>
    </row>
    <row r="847" spans="42:52">
      <c r="AP847" s="1855">
        <f t="shared" si="189"/>
        <v>44653</v>
      </c>
      <c r="AQ847" s="925" t="str">
        <f t="shared" si="190"/>
        <v/>
      </c>
      <c r="AR847" s="1856" t="str">
        <f t="shared" si="191"/>
        <v/>
      </c>
      <c r="AS847" s="927">
        <v>2</v>
      </c>
      <c r="AT847" s="1856">
        <f t="shared" si="183"/>
        <v>44653.270833333336</v>
      </c>
      <c r="AU847" s="1856">
        <f t="shared" si="184"/>
        <v>44653.311111111107</v>
      </c>
      <c r="AV847" s="1856">
        <f t="shared" si="185"/>
        <v>44653.838194444448</v>
      </c>
      <c r="AW847" s="1856">
        <f t="shared" si="186"/>
        <v>44653.878472222219</v>
      </c>
      <c r="AX847" s="1856">
        <f t="shared" si="187"/>
        <v>44653.347222222226</v>
      </c>
      <c r="AY847" s="1856">
        <f t="shared" si="188"/>
        <v>44653.907638888886</v>
      </c>
      <c r="AZ847" s="1853">
        <v>0.01</v>
      </c>
    </row>
    <row r="848" spans="42:52">
      <c r="AP848" s="1855">
        <f t="shared" si="189"/>
        <v>44653</v>
      </c>
      <c r="AQ848" s="925" t="str">
        <f t="shared" si="190"/>
        <v/>
      </c>
      <c r="AR848" s="1856" t="str">
        <f t="shared" si="191"/>
        <v/>
      </c>
      <c r="AS848" s="927" t="s">
        <v>252</v>
      </c>
      <c r="AT848" s="1856" t="str">
        <f t="shared" si="183"/>
        <v/>
      </c>
      <c r="AU848" s="1856" t="str">
        <f t="shared" si="184"/>
        <v/>
      </c>
      <c r="AV848" s="1856" t="str">
        <f t="shared" si="185"/>
        <v/>
      </c>
      <c r="AW848" s="1856" t="str">
        <f t="shared" si="186"/>
        <v/>
      </c>
      <c r="AX848" s="1856" t="str">
        <f t="shared" si="187"/>
        <v/>
      </c>
      <c r="AY848" s="1856" t="str">
        <f t="shared" si="188"/>
        <v/>
      </c>
    </row>
    <row r="849" spans="42:52">
      <c r="AP849" s="1855">
        <f t="shared" si="189"/>
        <v>44653</v>
      </c>
      <c r="AQ849" s="925" t="str">
        <f t="shared" si="190"/>
        <v/>
      </c>
      <c r="AR849" s="1856" t="str">
        <f t="shared" si="191"/>
        <v/>
      </c>
      <c r="AT849" s="1856" t="str">
        <f t="shared" si="183"/>
        <v/>
      </c>
      <c r="AU849" s="1856" t="str">
        <f t="shared" si="184"/>
        <v/>
      </c>
      <c r="AV849" s="1856" t="str">
        <f t="shared" si="185"/>
        <v/>
      </c>
      <c r="AW849" s="1856" t="str">
        <f t="shared" si="186"/>
        <v/>
      </c>
      <c r="AX849" s="1856" t="str">
        <f t="shared" si="187"/>
        <v/>
      </c>
      <c r="AY849" s="1856" t="str">
        <f t="shared" si="188"/>
        <v/>
      </c>
    </row>
    <row r="850" spans="42:52">
      <c r="AP850" s="1855">
        <f t="shared" si="189"/>
        <v>44653</v>
      </c>
      <c r="AQ850" s="925" t="str">
        <f t="shared" si="190"/>
        <v>BMNT</v>
      </c>
      <c r="AR850" s="1856">
        <f t="shared" si="191"/>
        <v>44653.270833333336</v>
      </c>
      <c r="AS850" s="927" t="s">
        <v>1399</v>
      </c>
      <c r="AT850" s="1856" t="str">
        <f t="shared" si="183"/>
        <v/>
      </c>
      <c r="AU850" s="1856" t="str">
        <f t="shared" si="184"/>
        <v/>
      </c>
      <c r="AV850" s="1856" t="str">
        <f t="shared" si="185"/>
        <v/>
      </c>
      <c r="AW850" s="1856" t="str">
        <f t="shared" si="186"/>
        <v/>
      </c>
      <c r="AX850" s="1856" t="str">
        <f t="shared" si="187"/>
        <v/>
      </c>
      <c r="AY850" s="1856" t="str">
        <f t="shared" si="188"/>
        <v/>
      </c>
    </row>
    <row r="851" spans="42:52">
      <c r="AP851" s="1855">
        <f t="shared" si="189"/>
        <v>44653</v>
      </c>
      <c r="AQ851" s="925" t="str">
        <f t="shared" si="190"/>
        <v>SR</v>
      </c>
      <c r="AR851" s="1856">
        <f t="shared" si="191"/>
        <v>44653.311111111107</v>
      </c>
      <c r="AS851" s="927" t="s">
        <v>1394</v>
      </c>
      <c r="AT851" s="1856" t="str">
        <f t="shared" si="183"/>
        <v/>
      </c>
      <c r="AU851" s="1856" t="str">
        <f t="shared" si="184"/>
        <v/>
      </c>
      <c r="AV851" s="1856" t="str">
        <f t="shared" si="185"/>
        <v/>
      </c>
      <c r="AW851" s="1856" t="str">
        <f t="shared" si="186"/>
        <v/>
      </c>
      <c r="AX851" s="1856" t="str">
        <f t="shared" si="187"/>
        <v/>
      </c>
      <c r="AY851" s="1856" t="str">
        <f t="shared" si="188"/>
        <v/>
      </c>
    </row>
    <row r="852" spans="42:52">
      <c r="AP852" s="1855">
        <f t="shared" si="189"/>
        <v>44653</v>
      </c>
      <c r="AQ852" s="925" t="str">
        <f t="shared" si="190"/>
        <v>MR</v>
      </c>
      <c r="AR852" s="1856">
        <f t="shared" si="191"/>
        <v>44653.347222222226</v>
      </c>
      <c r="AS852" s="927" t="s">
        <v>1597</v>
      </c>
      <c r="AT852" s="1856" t="str">
        <f t="shared" si="183"/>
        <v/>
      </c>
      <c r="AU852" s="1856" t="str">
        <f t="shared" si="184"/>
        <v/>
      </c>
      <c r="AV852" s="1856" t="str">
        <f t="shared" si="185"/>
        <v/>
      </c>
      <c r="AW852" s="1856" t="str">
        <f t="shared" si="186"/>
        <v/>
      </c>
      <c r="AX852" s="1856" t="str">
        <f t="shared" si="187"/>
        <v/>
      </c>
      <c r="AY852" s="1856" t="str">
        <f t="shared" si="188"/>
        <v/>
      </c>
    </row>
    <row r="853" spans="42:52">
      <c r="AP853" s="1855">
        <f t="shared" si="189"/>
        <v>44653</v>
      </c>
      <c r="AQ853" s="925" t="str">
        <f t="shared" si="190"/>
        <v>SS</v>
      </c>
      <c r="AR853" s="1856">
        <f t="shared" si="191"/>
        <v>44653.838194444448</v>
      </c>
      <c r="AS853" s="927" t="s">
        <v>1598</v>
      </c>
      <c r="AT853" s="1856" t="str">
        <f t="shared" si="183"/>
        <v/>
      </c>
      <c r="AU853" s="1856" t="str">
        <f t="shared" si="184"/>
        <v/>
      </c>
      <c r="AV853" s="1856" t="str">
        <f t="shared" si="185"/>
        <v/>
      </c>
      <c r="AW853" s="1856" t="str">
        <f t="shared" si="186"/>
        <v/>
      </c>
      <c r="AX853" s="1856" t="str">
        <f t="shared" si="187"/>
        <v/>
      </c>
      <c r="AY853" s="1856" t="str">
        <f t="shared" si="188"/>
        <v/>
      </c>
    </row>
    <row r="854" spans="42:52">
      <c r="AP854" s="1855">
        <f t="shared" si="189"/>
        <v>44653</v>
      </c>
      <c r="AQ854" s="925" t="str">
        <f t="shared" si="190"/>
        <v>EENT</v>
      </c>
      <c r="AR854" s="1856">
        <f t="shared" si="191"/>
        <v>44653.878472222219</v>
      </c>
      <c r="AS854" s="927" t="s">
        <v>1599</v>
      </c>
      <c r="AT854" s="1856" t="str">
        <f t="shared" si="183"/>
        <v/>
      </c>
      <c r="AU854" s="1856" t="str">
        <f t="shared" si="184"/>
        <v/>
      </c>
      <c r="AV854" s="1856" t="str">
        <f t="shared" si="185"/>
        <v/>
      </c>
      <c r="AW854" s="1856" t="str">
        <f t="shared" si="186"/>
        <v/>
      </c>
      <c r="AX854" s="1856" t="str">
        <f t="shared" si="187"/>
        <v/>
      </c>
      <c r="AY854" s="1856" t="str">
        <f t="shared" si="188"/>
        <v/>
      </c>
    </row>
    <row r="855" spans="42:52">
      <c r="AP855" s="1855">
        <f t="shared" si="189"/>
        <v>44653</v>
      </c>
      <c r="AQ855" s="925" t="str">
        <f t="shared" si="190"/>
        <v>MS</v>
      </c>
      <c r="AR855" s="1856">
        <f t="shared" si="191"/>
        <v>44653.907638888886</v>
      </c>
      <c r="AS855" s="927" t="s">
        <v>1600</v>
      </c>
      <c r="AT855" s="1856" t="str">
        <f t="shared" si="183"/>
        <v/>
      </c>
      <c r="AU855" s="1856" t="str">
        <f t="shared" si="184"/>
        <v/>
      </c>
      <c r="AV855" s="1856" t="str">
        <f t="shared" si="185"/>
        <v/>
      </c>
      <c r="AW855" s="1856" t="str">
        <f t="shared" si="186"/>
        <v/>
      </c>
      <c r="AX855" s="1856" t="str">
        <f t="shared" si="187"/>
        <v/>
      </c>
      <c r="AY855" s="1856" t="str">
        <f t="shared" si="188"/>
        <v/>
      </c>
    </row>
    <row r="856" spans="42:52">
      <c r="AP856" s="1855">
        <f t="shared" si="189"/>
        <v>44654</v>
      </c>
      <c r="AQ856" s="925" t="str">
        <f t="shared" si="190"/>
        <v/>
      </c>
      <c r="AR856" s="1856" t="str">
        <f t="shared" si="191"/>
        <v/>
      </c>
      <c r="AS856" s="927">
        <v>3</v>
      </c>
      <c r="AT856" s="1856">
        <f t="shared" si="183"/>
        <v>44654.270138888889</v>
      </c>
      <c r="AU856" s="1856">
        <f t="shared" si="184"/>
        <v>44654.310416666667</v>
      </c>
      <c r="AV856" s="1856">
        <f t="shared" si="185"/>
        <v>44654.838888888895</v>
      </c>
      <c r="AW856" s="1856">
        <f t="shared" si="186"/>
        <v>44654.879166666666</v>
      </c>
      <c r="AX856" s="1856">
        <f t="shared" si="187"/>
        <v>44654.365972222222</v>
      </c>
      <c r="AY856" s="1856">
        <f t="shared" si="188"/>
        <v>44654.951388888883</v>
      </c>
      <c r="AZ856" s="1853">
        <v>0.04</v>
      </c>
    </row>
    <row r="857" spans="42:52">
      <c r="AP857" s="1855">
        <f t="shared" si="189"/>
        <v>44654</v>
      </c>
      <c r="AQ857" s="925" t="str">
        <f t="shared" si="190"/>
        <v/>
      </c>
      <c r="AR857" s="1856" t="str">
        <f t="shared" si="191"/>
        <v/>
      </c>
      <c r="AS857" s="927" t="s">
        <v>252</v>
      </c>
      <c r="AT857" s="1856" t="str">
        <f t="shared" si="183"/>
        <v/>
      </c>
      <c r="AU857" s="1856" t="str">
        <f t="shared" si="184"/>
        <v/>
      </c>
      <c r="AV857" s="1856" t="str">
        <f t="shared" si="185"/>
        <v/>
      </c>
      <c r="AW857" s="1856" t="str">
        <f t="shared" si="186"/>
        <v/>
      </c>
      <c r="AX857" s="1856" t="str">
        <f t="shared" si="187"/>
        <v/>
      </c>
      <c r="AY857" s="1856" t="str">
        <f t="shared" si="188"/>
        <v/>
      </c>
    </row>
    <row r="858" spans="42:52">
      <c r="AP858" s="1855">
        <f t="shared" si="189"/>
        <v>44654</v>
      </c>
      <c r="AQ858" s="925" t="str">
        <f t="shared" si="190"/>
        <v/>
      </c>
      <c r="AR858" s="1856" t="str">
        <f t="shared" si="191"/>
        <v/>
      </c>
      <c r="AT858" s="1856" t="str">
        <f t="shared" si="183"/>
        <v/>
      </c>
      <c r="AU858" s="1856" t="str">
        <f t="shared" si="184"/>
        <v/>
      </c>
      <c r="AV858" s="1856" t="str">
        <f t="shared" si="185"/>
        <v/>
      </c>
      <c r="AW858" s="1856" t="str">
        <f t="shared" si="186"/>
        <v/>
      </c>
      <c r="AX858" s="1856" t="str">
        <f t="shared" si="187"/>
        <v/>
      </c>
      <c r="AY858" s="1856" t="str">
        <f t="shared" si="188"/>
        <v/>
      </c>
    </row>
    <row r="859" spans="42:52">
      <c r="AP859" s="1855">
        <f t="shared" si="189"/>
        <v>44654</v>
      </c>
      <c r="AQ859" s="925" t="str">
        <f t="shared" si="190"/>
        <v>BMNT</v>
      </c>
      <c r="AR859" s="1856">
        <f t="shared" si="191"/>
        <v>44654.270138888889</v>
      </c>
      <c r="AS859" s="927" t="s">
        <v>1601</v>
      </c>
      <c r="AT859" s="1856" t="str">
        <f t="shared" si="183"/>
        <v/>
      </c>
      <c r="AU859" s="1856" t="str">
        <f t="shared" si="184"/>
        <v/>
      </c>
      <c r="AV859" s="1856" t="str">
        <f t="shared" si="185"/>
        <v/>
      </c>
      <c r="AW859" s="1856" t="str">
        <f t="shared" si="186"/>
        <v/>
      </c>
      <c r="AX859" s="1856" t="str">
        <f t="shared" si="187"/>
        <v/>
      </c>
      <c r="AY859" s="1856" t="str">
        <f t="shared" si="188"/>
        <v/>
      </c>
    </row>
    <row r="860" spans="42:52">
      <c r="AP860" s="1855">
        <f t="shared" si="189"/>
        <v>44654</v>
      </c>
      <c r="AQ860" s="925" t="str">
        <f t="shared" si="190"/>
        <v>SR</v>
      </c>
      <c r="AR860" s="1856">
        <f t="shared" si="191"/>
        <v>44654.310416666667</v>
      </c>
      <c r="AS860" s="927" t="s">
        <v>1400</v>
      </c>
      <c r="AT860" s="1856" t="str">
        <f t="shared" ref="AT860:AT923" si="192">IF(ISNUMBER(AS860),INDEX(AR861:AR871,MATCH($AT$27,AQ861:AQ871,0)),"")</f>
        <v/>
      </c>
      <c r="AU860" s="1856" t="str">
        <f t="shared" ref="AU860:AU923" si="193">IF(AT860="","",INDEX(AR861:AR871,MATCH($AU$27,AQ861:AQ871,0)))</f>
        <v/>
      </c>
      <c r="AV860" s="1856" t="str">
        <f t="shared" ref="AV860:AV923" si="194">IF(AT860="","",INDEX(AR861:AR871,MATCH($AV$27,AQ861:AQ871,0)))</f>
        <v/>
      </c>
      <c r="AW860" s="1856" t="str">
        <f t="shared" ref="AW860:AW923" si="195">IF(AT860="","",INDEX(AR861:AR871,MATCH($AW$27,AQ861:AQ871,0)))</f>
        <v/>
      </c>
      <c r="AX860" s="1856" t="str">
        <f t="shared" ref="AX860:AX923" si="196">IF(AT860="","",INDEX(AR861:AR871,MATCH($AX$27,AQ861:AQ871,0)))</f>
        <v/>
      </c>
      <c r="AY860" s="1856" t="str">
        <f t="shared" ref="AY860:AY923" si="197">IF(AT860="","",INDEX(AR861:AR871,MATCH($AY$27,AQ861:AQ871,0)))</f>
        <v/>
      </c>
    </row>
    <row r="861" spans="42:52">
      <c r="AP861" s="1855">
        <f t="shared" si="189"/>
        <v>44654</v>
      </c>
      <c r="AQ861" s="925" t="str">
        <f t="shared" si="190"/>
        <v>MR</v>
      </c>
      <c r="AR861" s="1856">
        <f t="shared" si="191"/>
        <v>44654.365972222222</v>
      </c>
      <c r="AS861" s="927" t="s">
        <v>1602</v>
      </c>
      <c r="AT861" s="1856" t="str">
        <f t="shared" si="192"/>
        <v/>
      </c>
      <c r="AU861" s="1856" t="str">
        <f t="shared" si="193"/>
        <v/>
      </c>
      <c r="AV861" s="1856" t="str">
        <f t="shared" si="194"/>
        <v/>
      </c>
      <c r="AW861" s="1856" t="str">
        <f t="shared" si="195"/>
        <v/>
      </c>
      <c r="AX861" s="1856" t="str">
        <f t="shared" si="196"/>
        <v/>
      </c>
      <c r="AY861" s="1856" t="str">
        <f t="shared" si="197"/>
        <v/>
      </c>
    </row>
    <row r="862" spans="42:52">
      <c r="AP862" s="1855">
        <f t="shared" si="189"/>
        <v>44654</v>
      </c>
      <c r="AQ862" s="925" t="str">
        <f t="shared" si="190"/>
        <v>SS</v>
      </c>
      <c r="AR862" s="1856">
        <f t="shared" si="191"/>
        <v>44654.838888888895</v>
      </c>
      <c r="AS862" s="927" t="s">
        <v>1603</v>
      </c>
      <c r="AT862" s="1856" t="str">
        <f t="shared" si="192"/>
        <v/>
      </c>
      <c r="AU862" s="1856" t="str">
        <f t="shared" si="193"/>
        <v/>
      </c>
      <c r="AV862" s="1856" t="str">
        <f t="shared" si="194"/>
        <v/>
      </c>
      <c r="AW862" s="1856" t="str">
        <f t="shared" si="195"/>
        <v/>
      </c>
      <c r="AX862" s="1856" t="str">
        <f t="shared" si="196"/>
        <v/>
      </c>
      <c r="AY862" s="1856" t="str">
        <f t="shared" si="197"/>
        <v/>
      </c>
    </row>
    <row r="863" spans="42:52">
      <c r="AP863" s="1855">
        <f t="shared" si="189"/>
        <v>44654</v>
      </c>
      <c r="AQ863" s="925" t="str">
        <f t="shared" si="190"/>
        <v>EENT</v>
      </c>
      <c r="AR863" s="1856">
        <f t="shared" si="191"/>
        <v>44654.879166666666</v>
      </c>
      <c r="AS863" s="927" t="s">
        <v>1604</v>
      </c>
      <c r="AT863" s="1856" t="str">
        <f t="shared" si="192"/>
        <v/>
      </c>
      <c r="AU863" s="1856" t="str">
        <f t="shared" si="193"/>
        <v/>
      </c>
      <c r="AV863" s="1856" t="str">
        <f t="shared" si="194"/>
        <v/>
      </c>
      <c r="AW863" s="1856" t="str">
        <f t="shared" si="195"/>
        <v/>
      </c>
      <c r="AX863" s="1856" t="str">
        <f t="shared" si="196"/>
        <v/>
      </c>
      <c r="AY863" s="1856" t="str">
        <f t="shared" si="197"/>
        <v/>
      </c>
    </row>
    <row r="864" spans="42:52">
      <c r="AP864" s="1855">
        <f t="shared" si="189"/>
        <v>44654</v>
      </c>
      <c r="AQ864" s="925" t="str">
        <f t="shared" si="190"/>
        <v>MS</v>
      </c>
      <c r="AR864" s="1856">
        <f t="shared" si="191"/>
        <v>44654.951388888883</v>
      </c>
      <c r="AS864" s="927" t="s">
        <v>1605</v>
      </c>
      <c r="AT864" s="1856" t="str">
        <f t="shared" si="192"/>
        <v/>
      </c>
      <c r="AU864" s="1856" t="str">
        <f t="shared" si="193"/>
        <v/>
      </c>
      <c r="AV864" s="1856" t="str">
        <f t="shared" si="194"/>
        <v/>
      </c>
      <c r="AW864" s="1856" t="str">
        <f t="shared" si="195"/>
        <v/>
      </c>
      <c r="AX864" s="1856" t="str">
        <f t="shared" si="196"/>
        <v/>
      </c>
      <c r="AY864" s="1856" t="str">
        <f t="shared" si="197"/>
        <v/>
      </c>
    </row>
    <row r="865" spans="42:52">
      <c r="AP865" s="1855">
        <f t="shared" si="189"/>
        <v>44655</v>
      </c>
      <c r="AQ865" s="925" t="str">
        <f t="shared" si="190"/>
        <v/>
      </c>
      <c r="AR865" s="1856" t="str">
        <f t="shared" si="191"/>
        <v/>
      </c>
      <c r="AS865" s="927">
        <v>4</v>
      </c>
      <c r="AT865" s="1856">
        <f t="shared" si="192"/>
        <v>44655.268750000003</v>
      </c>
      <c r="AU865" s="1856">
        <f t="shared" si="193"/>
        <v>44655.309027777774</v>
      </c>
      <c r="AV865" s="1856">
        <f t="shared" si="194"/>
        <v>44655.839583333334</v>
      </c>
      <c r="AW865" s="1856">
        <f t="shared" si="195"/>
        <v>44655.879861111112</v>
      </c>
      <c r="AX865" s="1856">
        <f t="shared" si="196"/>
        <v>44655.385416666664</v>
      </c>
      <c r="AY865" s="1856">
        <f t="shared" si="197"/>
        <v>44655.994444444448</v>
      </c>
      <c r="AZ865" s="1853">
        <v>0.09</v>
      </c>
    </row>
    <row r="866" spans="42:52">
      <c r="AP866" s="1855">
        <f t="shared" si="189"/>
        <v>44655</v>
      </c>
      <c r="AQ866" s="925" t="str">
        <f t="shared" si="190"/>
        <v/>
      </c>
      <c r="AR866" s="1856" t="str">
        <f t="shared" si="191"/>
        <v/>
      </c>
      <c r="AS866" s="927" t="s">
        <v>252</v>
      </c>
      <c r="AT866" s="1856" t="str">
        <f t="shared" si="192"/>
        <v/>
      </c>
      <c r="AU866" s="1856" t="str">
        <f t="shared" si="193"/>
        <v/>
      </c>
      <c r="AV866" s="1856" t="str">
        <f t="shared" si="194"/>
        <v/>
      </c>
      <c r="AW866" s="1856" t="str">
        <f t="shared" si="195"/>
        <v/>
      </c>
      <c r="AX866" s="1856" t="str">
        <f t="shared" si="196"/>
        <v/>
      </c>
      <c r="AY866" s="1856" t="str">
        <f t="shared" si="197"/>
        <v/>
      </c>
    </row>
    <row r="867" spans="42:52">
      <c r="AP867" s="1855">
        <f t="shared" si="189"/>
        <v>44655</v>
      </c>
      <c r="AQ867" s="925" t="str">
        <f t="shared" si="190"/>
        <v/>
      </c>
      <c r="AR867" s="1856" t="str">
        <f t="shared" si="191"/>
        <v/>
      </c>
      <c r="AT867" s="1856" t="str">
        <f t="shared" si="192"/>
        <v/>
      </c>
      <c r="AU867" s="1856" t="str">
        <f t="shared" si="193"/>
        <v/>
      </c>
      <c r="AV867" s="1856" t="str">
        <f t="shared" si="194"/>
        <v/>
      </c>
      <c r="AW867" s="1856" t="str">
        <f t="shared" si="195"/>
        <v/>
      </c>
      <c r="AX867" s="1856" t="str">
        <f t="shared" si="196"/>
        <v/>
      </c>
      <c r="AY867" s="1856" t="str">
        <f t="shared" si="197"/>
        <v/>
      </c>
    </row>
    <row r="868" spans="42:52">
      <c r="AP868" s="1855">
        <f t="shared" si="189"/>
        <v>44655</v>
      </c>
      <c r="AQ868" s="925" t="str">
        <f t="shared" si="190"/>
        <v>BMNT</v>
      </c>
      <c r="AR868" s="1856">
        <f t="shared" si="191"/>
        <v>44655.268750000003</v>
      </c>
      <c r="AS868" s="927" t="s">
        <v>1411</v>
      </c>
      <c r="AT868" s="1856" t="str">
        <f t="shared" si="192"/>
        <v/>
      </c>
      <c r="AU868" s="1856" t="str">
        <f t="shared" si="193"/>
        <v/>
      </c>
      <c r="AV868" s="1856" t="str">
        <f t="shared" si="194"/>
        <v/>
      </c>
      <c r="AW868" s="1856" t="str">
        <f t="shared" si="195"/>
        <v/>
      </c>
      <c r="AX868" s="1856" t="str">
        <f t="shared" si="196"/>
        <v/>
      </c>
      <c r="AY868" s="1856" t="str">
        <f t="shared" si="197"/>
        <v/>
      </c>
    </row>
    <row r="869" spans="42:52">
      <c r="AP869" s="1855">
        <f t="shared" ref="AP869:AP932" si="198">IF(ISNUMBER(AS869),AP868+1,AP868)</f>
        <v>44655</v>
      </c>
      <c r="AQ869" s="925" t="str">
        <f t="shared" ref="AQ869:AQ932" si="199">IF(NOT(ISNUMBER(FIND(":",AS869))),"",IF(ISNUMBER(FIND("Sunr",AS869)),"SR", IF(ISNUMBER(FIND("Suns",AS869)),"SS",IF(ISNUMBER(FIND("Moonr",AS869)),"MR",IF(ISNUMBER(FIND("Moons",AS869)),"MS",IF(ISNUMBER(FIND("Twi",AS869)),IF(HOUR(AR869)&lt;12,"BMNT","EENT")))))))</f>
        <v>SR</v>
      </c>
      <c r="AR869" s="1856">
        <f t="shared" si="191"/>
        <v>44655.309027777774</v>
      </c>
      <c r="AS869" s="927" t="s">
        <v>1406</v>
      </c>
      <c r="AT869" s="1856" t="str">
        <f t="shared" si="192"/>
        <v/>
      </c>
      <c r="AU869" s="1856" t="str">
        <f t="shared" si="193"/>
        <v/>
      </c>
      <c r="AV869" s="1856" t="str">
        <f t="shared" si="194"/>
        <v/>
      </c>
      <c r="AW869" s="1856" t="str">
        <f t="shared" si="195"/>
        <v/>
      </c>
      <c r="AX869" s="1856" t="str">
        <f t="shared" si="196"/>
        <v/>
      </c>
      <c r="AY869" s="1856" t="str">
        <f t="shared" si="197"/>
        <v/>
      </c>
    </row>
    <row r="870" spans="42:52">
      <c r="AP870" s="1855">
        <f t="shared" si="198"/>
        <v>44655</v>
      </c>
      <c r="AQ870" s="925" t="str">
        <f t="shared" si="199"/>
        <v>MR</v>
      </c>
      <c r="AR870" s="1856">
        <f t="shared" si="191"/>
        <v>44655.385416666664</v>
      </c>
      <c r="AS870" s="927" t="s">
        <v>1606</v>
      </c>
      <c r="AT870" s="1856" t="str">
        <f t="shared" si="192"/>
        <v/>
      </c>
      <c r="AU870" s="1856" t="str">
        <f t="shared" si="193"/>
        <v/>
      </c>
      <c r="AV870" s="1856" t="str">
        <f t="shared" si="194"/>
        <v/>
      </c>
      <c r="AW870" s="1856" t="str">
        <f t="shared" si="195"/>
        <v/>
      </c>
      <c r="AX870" s="1856" t="str">
        <f t="shared" si="196"/>
        <v/>
      </c>
      <c r="AY870" s="1856" t="str">
        <f t="shared" si="197"/>
        <v/>
      </c>
    </row>
    <row r="871" spans="42:52">
      <c r="AP871" s="1855">
        <f t="shared" si="198"/>
        <v>44655</v>
      </c>
      <c r="AQ871" s="925" t="str">
        <f t="shared" si="199"/>
        <v>SS</v>
      </c>
      <c r="AR871" s="1856">
        <f t="shared" si="191"/>
        <v>44655.839583333334</v>
      </c>
      <c r="AS871" s="927" t="s">
        <v>1607</v>
      </c>
      <c r="AT871" s="1856" t="str">
        <f t="shared" si="192"/>
        <v/>
      </c>
      <c r="AU871" s="1856" t="str">
        <f t="shared" si="193"/>
        <v/>
      </c>
      <c r="AV871" s="1856" t="str">
        <f t="shared" si="194"/>
        <v/>
      </c>
      <c r="AW871" s="1856" t="str">
        <f t="shared" si="195"/>
        <v/>
      </c>
      <c r="AX871" s="1856" t="str">
        <f t="shared" si="196"/>
        <v/>
      </c>
      <c r="AY871" s="1856" t="str">
        <f t="shared" si="197"/>
        <v/>
      </c>
    </row>
    <row r="872" spans="42:52">
      <c r="AP872" s="1855">
        <f t="shared" si="198"/>
        <v>44655</v>
      </c>
      <c r="AQ872" s="925" t="str">
        <f t="shared" si="199"/>
        <v>EENT</v>
      </c>
      <c r="AR872" s="1856">
        <f t="shared" si="191"/>
        <v>44655.879861111112</v>
      </c>
      <c r="AS872" s="927" t="s">
        <v>1608</v>
      </c>
      <c r="AT872" s="1856" t="str">
        <f t="shared" si="192"/>
        <v/>
      </c>
      <c r="AU872" s="1856" t="str">
        <f t="shared" si="193"/>
        <v/>
      </c>
      <c r="AV872" s="1856" t="str">
        <f t="shared" si="194"/>
        <v/>
      </c>
      <c r="AW872" s="1856" t="str">
        <f t="shared" si="195"/>
        <v/>
      </c>
      <c r="AX872" s="1856" t="str">
        <f t="shared" si="196"/>
        <v/>
      </c>
      <c r="AY872" s="1856" t="str">
        <f t="shared" si="197"/>
        <v/>
      </c>
    </row>
    <row r="873" spans="42:52">
      <c r="AP873" s="1855">
        <f t="shared" si="198"/>
        <v>44655</v>
      </c>
      <c r="AQ873" s="925" t="str">
        <f t="shared" si="199"/>
        <v>MS</v>
      </c>
      <c r="AR873" s="1856">
        <f t="shared" ref="AR873:AR936" si="200">IF(NOT(ISNUMBER(FIND(":",AS873))),"",IF(ISNUMBER(FIND(" none",AS873)),"NONE",AP873+LEFT(RIGHT(AS873,5),2)/24+RIGHT(AS873,2)/1440))</f>
        <v>44655.994444444448</v>
      </c>
      <c r="AS873" s="927" t="s">
        <v>1609</v>
      </c>
      <c r="AT873" s="1856" t="str">
        <f t="shared" si="192"/>
        <v/>
      </c>
      <c r="AU873" s="1856" t="str">
        <f t="shared" si="193"/>
        <v/>
      </c>
      <c r="AV873" s="1856" t="str">
        <f t="shared" si="194"/>
        <v/>
      </c>
      <c r="AW873" s="1856" t="str">
        <f t="shared" si="195"/>
        <v/>
      </c>
      <c r="AX873" s="1856" t="str">
        <f t="shared" si="196"/>
        <v/>
      </c>
      <c r="AY873" s="1856" t="str">
        <f t="shared" si="197"/>
        <v/>
      </c>
    </row>
    <row r="874" spans="42:52">
      <c r="AP874" s="1855">
        <f t="shared" si="198"/>
        <v>44656</v>
      </c>
      <c r="AQ874" s="925" t="str">
        <f t="shared" si="199"/>
        <v/>
      </c>
      <c r="AR874" s="1856" t="str">
        <f t="shared" si="200"/>
        <v/>
      </c>
      <c r="AS874" s="927">
        <v>5</v>
      </c>
      <c r="AT874" s="1856">
        <f t="shared" si="192"/>
        <v>44656.268055555556</v>
      </c>
      <c r="AU874" s="1856">
        <f t="shared" si="193"/>
        <v>44656.308333333334</v>
      </c>
      <c r="AV874" s="1856">
        <f t="shared" si="194"/>
        <v>44656.840277777781</v>
      </c>
      <c r="AW874" s="1856">
        <f t="shared" si="195"/>
        <v>44656.880555555559</v>
      </c>
      <c r="AX874" s="1856">
        <f t="shared" si="196"/>
        <v>44656.408333333333</v>
      </c>
      <c r="AY874" s="1856" t="str">
        <f t="shared" si="197"/>
        <v>NONE</v>
      </c>
      <c r="AZ874" s="1853">
        <v>0.15</v>
      </c>
    </row>
    <row r="875" spans="42:52">
      <c r="AP875" s="1855">
        <f t="shared" si="198"/>
        <v>44656</v>
      </c>
      <c r="AQ875" s="925" t="str">
        <f t="shared" si="199"/>
        <v/>
      </c>
      <c r="AR875" s="1856" t="str">
        <f t="shared" si="200"/>
        <v/>
      </c>
      <c r="AS875" s="927" t="s">
        <v>252</v>
      </c>
      <c r="AT875" s="1856" t="str">
        <f t="shared" si="192"/>
        <v/>
      </c>
      <c r="AU875" s="1856" t="str">
        <f t="shared" si="193"/>
        <v/>
      </c>
      <c r="AV875" s="1856" t="str">
        <f t="shared" si="194"/>
        <v/>
      </c>
      <c r="AW875" s="1856" t="str">
        <f t="shared" si="195"/>
        <v/>
      </c>
      <c r="AX875" s="1856" t="str">
        <f t="shared" si="196"/>
        <v/>
      </c>
      <c r="AY875" s="1856" t="str">
        <f t="shared" si="197"/>
        <v/>
      </c>
    </row>
    <row r="876" spans="42:52">
      <c r="AP876" s="1855">
        <f t="shared" si="198"/>
        <v>44656</v>
      </c>
      <c r="AQ876" s="925" t="str">
        <f t="shared" si="199"/>
        <v/>
      </c>
      <c r="AR876" s="1856" t="str">
        <f t="shared" si="200"/>
        <v/>
      </c>
      <c r="AT876" s="1856" t="str">
        <f t="shared" si="192"/>
        <v/>
      </c>
      <c r="AU876" s="1856" t="str">
        <f t="shared" si="193"/>
        <v/>
      </c>
      <c r="AV876" s="1856" t="str">
        <f t="shared" si="194"/>
        <v/>
      </c>
      <c r="AW876" s="1856" t="str">
        <f t="shared" si="195"/>
        <v/>
      </c>
      <c r="AX876" s="1856" t="str">
        <f t="shared" si="196"/>
        <v/>
      </c>
      <c r="AY876" s="1856" t="str">
        <f t="shared" si="197"/>
        <v/>
      </c>
    </row>
    <row r="877" spans="42:52">
      <c r="AP877" s="1855">
        <f t="shared" si="198"/>
        <v>44656</v>
      </c>
      <c r="AQ877" s="925" t="str">
        <f t="shared" si="199"/>
        <v>BMNT</v>
      </c>
      <c r="AR877" s="1856">
        <f t="shared" si="200"/>
        <v>44656.268055555556</v>
      </c>
      <c r="AS877" s="927" t="s">
        <v>1417</v>
      </c>
      <c r="AT877" s="1856" t="str">
        <f t="shared" si="192"/>
        <v/>
      </c>
      <c r="AU877" s="1856" t="str">
        <f t="shared" si="193"/>
        <v/>
      </c>
      <c r="AV877" s="1856" t="str">
        <f t="shared" si="194"/>
        <v/>
      </c>
      <c r="AW877" s="1856" t="str">
        <f t="shared" si="195"/>
        <v/>
      </c>
      <c r="AX877" s="1856" t="str">
        <f t="shared" si="196"/>
        <v/>
      </c>
      <c r="AY877" s="1856" t="str">
        <f t="shared" si="197"/>
        <v/>
      </c>
    </row>
    <row r="878" spans="42:52">
      <c r="AP878" s="1855">
        <f t="shared" si="198"/>
        <v>44656</v>
      </c>
      <c r="AQ878" s="925" t="str">
        <f t="shared" si="199"/>
        <v>SR</v>
      </c>
      <c r="AR878" s="1856">
        <f t="shared" si="200"/>
        <v>44656.308333333334</v>
      </c>
      <c r="AS878" s="927" t="s">
        <v>1412</v>
      </c>
      <c r="AT878" s="1856" t="str">
        <f t="shared" si="192"/>
        <v/>
      </c>
      <c r="AU878" s="1856" t="str">
        <f t="shared" si="193"/>
        <v/>
      </c>
      <c r="AV878" s="1856" t="str">
        <f t="shared" si="194"/>
        <v/>
      </c>
      <c r="AW878" s="1856" t="str">
        <f t="shared" si="195"/>
        <v/>
      </c>
      <c r="AX878" s="1856" t="str">
        <f t="shared" si="196"/>
        <v/>
      </c>
      <c r="AY878" s="1856" t="str">
        <f t="shared" si="197"/>
        <v/>
      </c>
    </row>
    <row r="879" spans="42:52">
      <c r="AP879" s="1855">
        <f t="shared" si="198"/>
        <v>44656</v>
      </c>
      <c r="AQ879" s="925" t="str">
        <f t="shared" si="199"/>
        <v>MR</v>
      </c>
      <c r="AR879" s="1856">
        <f t="shared" si="200"/>
        <v>44656.408333333333</v>
      </c>
      <c r="AS879" s="927" t="s">
        <v>1610</v>
      </c>
      <c r="AT879" s="1856" t="str">
        <f t="shared" si="192"/>
        <v/>
      </c>
      <c r="AU879" s="1856" t="str">
        <f t="shared" si="193"/>
        <v/>
      </c>
      <c r="AV879" s="1856" t="str">
        <f t="shared" si="194"/>
        <v/>
      </c>
      <c r="AW879" s="1856" t="str">
        <f t="shared" si="195"/>
        <v/>
      </c>
      <c r="AX879" s="1856" t="str">
        <f t="shared" si="196"/>
        <v/>
      </c>
      <c r="AY879" s="1856" t="str">
        <f t="shared" si="197"/>
        <v/>
      </c>
    </row>
    <row r="880" spans="42:52">
      <c r="AP880" s="1855">
        <f t="shared" si="198"/>
        <v>44656</v>
      </c>
      <c r="AQ880" s="925" t="str">
        <f t="shared" si="199"/>
        <v>SS</v>
      </c>
      <c r="AR880" s="1856">
        <f t="shared" si="200"/>
        <v>44656.840277777781</v>
      </c>
      <c r="AS880" s="927" t="s">
        <v>1611</v>
      </c>
      <c r="AT880" s="1856" t="str">
        <f t="shared" si="192"/>
        <v/>
      </c>
      <c r="AU880" s="1856" t="str">
        <f t="shared" si="193"/>
        <v/>
      </c>
      <c r="AV880" s="1856" t="str">
        <f t="shared" si="194"/>
        <v/>
      </c>
      <c r="AW880" s="1856" t="str">
        <f t="shared" si="195"/>
        <v/>
      </c>
      <c r="AX880" s="1856" t="str">
        <f t="shared" si="196"/>
        <v/>
      </c>
      <c r="AY880" s="1856" t="str">
        <f t="shared" si="197"/>
        <v/>
      </c>
    </row>
    <row r="881" spans="42:52">
      <c r="AP881" s="1855">
        <f t="shared" si="198"/>
        <v>44656</v>
      </c>
      <c r="AQ881" s="925" t="str">
        <f t="shared" si="199"/>
        <v>EENT</v>
      </c>
      <c r="AR881" s="1856">
        <f t="shared" si="200"/>
        <v>44656.880555555559</v>
      </c>
      <c r="AS881" s="927" t="s">
        <v>1612</v>
      </c>
      <c r="AT881" s="1856" t="str">
        <f t="shared" si="192"/>
        <v/>
      </c>
      <c r="AU881" s="1856" t="str">
        <f t="shared" si="193"/>
        <v/>
      </c>
      <c r="AV881" s="1856" t="str">
        <f t="shared" si="194"/>
        <v/>
      </c>
      <c r="AW881" s="1856" t="str">
        <f t="shared" si="195"/>
        <v/>
      </c>
      <c r="AX881" s="1856" t="str">
        <f t="shared" si="196"/>
        <v/>
      </c>
      <c r="AY881" s="1856" t="str">
        <f t="shared" si="197"/>
        <v/>
      </c>
    </row>
    <row r="882" spans="42:52">
      <c r="AP882" s="1855">
        <f t="shared" si="198"/>
        <v>44656</v>
      </c>
      <c r="AQ882" s="925" t="str">
        <f t="shared" si="199"/>
        <v>MS</v>
      </c>
      <c r="AR882" s="1856" t="str">
        <f t="shared" si="200"/>
        <v>NONE</v>
      </c>
      <c r="AS882" s="927" t="s">
        <v>948</v>
      </c>
      <c r="AT882" s="1856" t="str">
        <f t="shared" si="192"/>
        <v/>
      </c>
      <c r="AU882" s="1856" t="str">
        <f t="shared" si="193"/>
        <v/>
      </c>
      <c r="AV882" s="1856" t="str">
        <f t="shared" si="194"/>
        <v/>
      </c>
      <c r="AW882" s="1856" t="str">
        <f t="shared" si="195"/>
        <v/>
      </c>
      <c r="AX882" s="1856" t="str">
        <f t="shared" si="196"/>
        <v/>
      </c>
      <c r="AY882" s="1856" t="str">
        <f t="shared" si="197"/>
        <v/>
      </c>
    </row>
    <row r="883" spans="42:52">
      <c r="AP883" s="1855">
        <f t="shared" si="198"/>
        <v>44657</v>
      </c>
      <c r="AQ883" s="925" t="str">
        <f t="shared" si="199"/>
        <v/>
      </c>
      <c r="AR883" s="1856" t="str">
        <f t="shared" si="200"/>
        <v/>
      </c>
      <c r="AS883" s="927">
        <v>6</v>
      </c>
      <c r="AT883" s="1856">
        <f t="shared" si="192"/>
        <v>44657.26666666667</v>
      </c>
      <c r="AU883" s="1856">
        <f t="shared" si="193"/>
        <v>44657.306944444441</v>
      </c>
      <c r="AV883" s="1856">
        <f t="shared" si="194"/>
        <v>44657.840972222228</v>
      </c>
      <c r="AW883" s="1856">
        <f t="shared" si="195"/>
        <v>44657.881249999999</v>
      </c>
      <c r="AX883" s="1856">
        <f t="shared" si="196"/>
        <v>44657.434027777774</v>
      </c>
      <c r="AY883" s="1856">
        <f t="shared" si="197"/>
        <v>44657.036111111112</v>
      </c>
      <c r="AZ883" s="1853">
        <v>0.23</v>
      </c>
    </row>
    <row r="884" spans="42:52">
      <c r="AP884" s="1855">
        <f t="shared" si="198"/>
        <v>44657</v>
      </c>
      <c r="AQ884" s="925" t="str">
        <f t="shared" si="199"/>
        <v/>
      </c>
      <c r="AR884" s="1856" t="str">
        <f t="shared" si="200"/>
        <v/>
      </c>
      <c r="AS884" s="927" t="s">
        <v>252</v>
      </c>
      <c r="AT884" s="1856" t="str">
        <f t="shared" si="192"/>
        <v/>
      </c>
      <c r="AU884" s="1856" t="str">
        <f t="shared" si="193"/>
        <v/>
      </c>
      <c r="AV884" s="1856" t="str">
        <f t="shared" si="194"/>
        <v/>
      </c>
      <c r="AW884" s="1856" t="str">
        <f t="shared" si="195"/>
        <v/>
      </c>
      <c r="AX884" s="1856" t="str">
        <f t="shared" si="196"/>
        <v/>
      </c>
      <c r="AY884" s="1856" t="str">
        <f t="shared" si="197"/>
        <v/>
      </c>
    </row>
    <row r="885" spans="42:52">
      <c r="AP885" s="1855">
        <f t="shared" si="198"/>
        <v>44657</v>
      </c>
      <c r="AQ885" s="925" t="str">
        <f t="shared" si="199"/>
        <v/>
      </c>
      <c r="AR885" s="1856" t="str">
        <f t="shared" si="200"/>
        <v/>
      </c>
      <c r="AT885" s="1856" t="str">
        <f t="shared" si="192"/>
        <v/>
      </c>
      <c r="AU885" s="1856" t="str">
        <f t="shared" si="193"/>
        <v/>
      </c>
      <c r="AV885" s="1856" t="str">
        <f t="shared" si="194"/>
        <v/>
      </c>
      <c r="AW885" s="1856" t="str">
        <f t="shared" si="195"/>
        <v/>
      </c>
      <c r="AX885" s="1856" t="str">
        <f t="shared" si="196"/>
        <v/>
      </c>
      <c r="AY885" s="1856" t="str">
        <f t="shared" si="197"/>
        <v/>
      </c>
    </row>
    <row r="886" spans="42:52">
      <c r="AP886" s="1855">
        <f t="shared" si="198"/>
        <v>44657</v>
      </c>
      <c r="AQ886" s="925" t="str">
        <f t="shared" si="199"/>
        <v>MS</v>
      </c>
      <c r="AR886" s="1856">
        <f t="shared" si="200"/>
        <v>44657.036111111112</v>
      </c>
      <c r="AS886" s="927" t="s">
        <v>1613</v>
      </c>
      <c r="AT886" s="1856" t="str">
        <f t="shared" si="192"/>
        <v/>
      </c>
      <c r="AU886" s="1856" t="str">
        <f t="shared" si="193"/>
        <v/>
      </c>
      <c r="AV886" s="1856" t="str">
        <f t="shared" si="194"/>
        <v/>
      </c>
      <c r="AW886" s="1856" t="str">
        <f t="shared" si="195"/>
        <v/>
      </c>
      <c r="AX886" s="1856" t="str">
        <f t="shared" si="196"/>
        <v/>
      </c>
      <c r="AY886" s="1856" t="str">
        <f t="shared" si="197"/>
        <v/>
      </c>
    </row>
    <row r="887" spans="42:52">
      <c r="AP887" s="1855">
        <f t="shared" si="198"/>
        <v>44657</v>
      </c>
      <c r="AQ887" s="925" t="str">
        <f t="shared" si="199"/>
        <v>BMNT</v>
      </c>
      <c r="AR887" s="1856">
        <f t="shared" si="200"/>
        <v>44657.26666666667</v>
      </c>
      <c r="AS887" s="927" t="s">
        <v>1423</v>
      </c>
      <c r="AT887" s="1856" t="str">
        <f t="shared" si="192"/>
        <v/>
      </c>
      <c r="AU887" s="1856" t="str">
        <f t="shared" si="193"/>
        <v/>
      </c>
      <c r="AV887" s="1856" t="str">
        <f t="shared" si="194"/>
        <v/>
      </c>
      <c r="AW887" s="1856" t="str">
        <f t="shared" si="195"/>
        <v/>
      </c>
      <c r="AX887" s="1856" t="str">
        <f t="shared" si="196"/>
        <v/>
      </c>
      <c r="AY887" s="1856" t="str">
        <f t="shared" si="197"/>
        <v/>
      </c>
    </row>
    <row r="888" spans="42:52">
      <c r="AP888" s="1855">
        <f t="shared" si="198"/>
        <v>44657</v>
      </c>
      <c r="AQ888" s="925" t="str">
        <f t="shared" si="199"/>
        <v>SR</v>
      </c>
      <c r="AR888" s="1856">
        <f t="shared" si="200"/>
        <v>44657.306944444441</v>
      </c>
      <c r="AS888" s="927" t="s">
        <v>1424</v>
      </c>
      <c r="AT888" s="1856" t="str">
        <f t="shared" si="192"/>
        <v/>
      </c>
      <c r="AU888" s="1856" t="str">
        <f t="shared" si="193"/>
        <v/>
      </c>
      <c r="AV888" s="1856" t="str">
        <f t="shared" si="194"/>
        <v/>
      </c>
      <c r="AW888" s="1856" t="str">
        <f t="shared" si="195"/>
        <v/>
      </c>
      <c r="AX888" s="1856" t="str">
        <f t="shared" si="196"/>
        <v/>
      </c>
      <c r="AY888" s="1856" t="str">
        <f t="shared" si="197"/>
        <v/>
      </c>
    </row>
    <row r="889" spans="42:52">
      <c r="AP889" s="1855">
        <f t="shared" si="198"/>
        <v>44657</v>
      </c>
      <c r="AQ889" s="925" t="str">
        <f t="shared" si="199"/>
        <v>MR</v>
      </c>
      <c r="AR889" s="1856">
        <f t="shared" si="200"/>
        <v>44657.434027777774</v>
      </c>
      <c r="AS889" s="927" t="s">
        <v>1614</v>
      </c>
      <c r="AT889" s="1856" t="str">
        <f t="shared" si="192"/>
        <v/>
      </c>
      <c r="AU889" s="1856" t="str">
        <f t="shared" si="193"/>
        <v/>
      </c>
      <c r="AV889" s="1856" t="str">
        <f t="shared" si="194"/>
        <v/>
      </c>
      <c r="AW889" s="1856" t="str">
        <f t="shared" si="195"/>
        <v/>
      </c>
      <c r="AX889" s="1856" t="str">
        <f t="shared" si="196"/>
        <v/>
      </c>
      <c r="AY889" s="1856" t="str">
        <f t="shared" si="197"/>
        <v/>
      </c>
    </row>
    <row r="890" spans="42:52">
      <c r="AP890" s="1855">
        <f t="shared" si="198"/>
        <v>44657</v>
      </c>
      <c r="AQ890" s="925" t="str">
        <f t="shared" si="199"/>
        <v>SS</v>
      </c>
      <c r="AR890" s="1856">
        <f t="shared" si="200"/>
        <v>44657.840972222228</v>
      </c>
      <c r="AS890" s="927" t="s">
        <v>1615</v>
      </c>
      <c r="AT890" s="1856" t="str">
        <f t="shared" si="192"/>
        <v/>
      </c>
      <c r="AU890" s="1856" t="str">
        <f t="shared" si="193"/>
        <v/>
      </c>
      <c r="AV890" s="1856" t="str">
        <f t="shared" si="194"/>
        <v/>
      </c>
      <c r="AW890" s="1856" t="str">
        <f t="shared" si="195"/>
        <v/>
      </c>
      <c r="AX890" s="1856" t="str">
        <f t="shared" si="196"/>
        <v/>
      </c>
      <c r="AY890" s="1856" t="str">
        <f t="shared" si="197"/>
        <v/>
      </c>
    </row>
    <row r="891" spans="42:52">
      <c r="AP891" s="1855">
        <f t="shared" si="198"/>
        <v>44657</v>
      </c>
      <c r="AQ891" s="925" t="str">
        <f t="shared" si="199"/>
        <v>EENT</v>
      </c>
      <c r="AR891" s="1856">
        <f t="shared" si="200"/>
        <v>44657.881249999999</v>
      </c>
      <c r="AS891" s="927" t="s">
        <v>1616</v>
      </c>
      <c r="AT891" s="1856" t="str">
        <f t="shared" si="192"/>
        <v/>
      </c>
      <c r="AU891" s="1856" t="str">
        <f t="shared" si="193"/>
        <v/>
      </c>
      <c r="AV891" s="1856" t="str">
        <f t="shared" si="194"/>
        <v/>
      </c>
      <c r="AW891" s="1856" t="str">
        <f t="shared" si="195"/>
        <v/>
      </c>
      <c r="AX891" s="1856" t="str">
        <f t="shared" si="196"/>
        <v/>
      </c>
      <c r="AY891" s="1856" t="str">
        <f t="shared" si="197"/>
        <v/>
      </c>
    </row>
    <row r="892" spans="42:52">
      <c r="AP892" s="1855">
        <f t="shared" si="198"/>
        <v>44658</v>
      </c>
      <c r="AQ892" s="925" t="str">
        <f t="shared" si="199"/>
        <v/>
      </c>
      <c r="AR892" s="1856" t="str">
        <f t="shared" si="200"/>
        <v/>
      </c>
      <c r="AS892" s="927">
        <v>7</v>
      </c>
      <c r="AT892" s="1856">
        <f t="shared" si="192"/>
        <v>44658.265277777777</v>
      </c>
      <c r="AU892" s="1856">
        <f t="shared" si="193"/>
        <v>44658.306249999994</v>
      </c>
      <c r="AV892" s="1856">
        <f t="shared" si="194"/>
        <v>44658.840972222228</v>
      </c>
      <c r="AW892" s="1856">
        <f t="shared" si="195"/>
        <v>44658.881944444445</v>
      </c>
      <c r="AX892" s="1856">
        <f t="shared" si="196"/>
        <v>44658.464583333334</v>
      </c>
      <c r="AY892" s="1856">
        <f t="shared" si="197"/>
        <v>44658.076388888883</v>
      </c>
      <c r="AZ892" s="1853">
        <v>0.31</v>
      </c>
    </row>
    <row r="893" spans="42:52">
      <c r="AP893" s="1855">
        <f t="shared" si="198"/>
        <v>44658</v>
      </c>
      <c r="AQ893" s="925" t="str">
        <f t="shared" si="199"/>
        <v/>
      </c>
      <c r="AR893" s="1856" t="str">
        <f t="shared" si="200"/>
        <v/>
      </c>
      <c r="AS893" s="927" t="s">
        <v>252</v>
      </c>
      <c r="AT893" s="1856" t="str">
        <f t="shared" si="192"/>
        <v/>
      </c>
      <c r="AU893" s="1856" t="str">
        <f t="shared" si="193"/>
        <v/>
      </c>
      <c r="AV893" s="1856" t="str">
        <f t="shared" si="194"/>
        <v/>
      </c>
      <c r="AW893" s="1856" t="str">
        <f t="shared" si="195"/>
        <v/>
      </c>
      <c r="AX893" s="1856" t="str">
        <f t="shared" si="196"/>
        <v/>
      </c>
      <c r="AY893" s="1856" t="str">
        <f t="shared" si="197"/>
        <v/>
      </c>
    </row>
    <row r="894" spans="42:52">
      <c r="AP894" s="1855">
        <f t="shared" si="198"/>
        <v>44658</v>
      </c>
      <c r="AQ894" s="925" t="str">
        <f t="shared" si="199"/>
        <v/>
      </c>
      <c r="AR894" s="1856" t="str">
        <f t="shared" si="200"/>
        <v/>
      </c>
      <c r="AT894" s="1856" t="str">
        <f t="shared" si="192"/>
        <v/>
      </c>
      <c r="AU894" s="1856" t="str">
        <f t="shared" si="193"/>
        <v/>
      </c>
      <c r="AV894" s="1856" t="str">
        <f t="shared" si="194"/>
        <v/>
      </c>
      <c r="AW894" s="1856" t="str">
        <f t="shared" si="195"/>
        <v/>
      </c>
      <c r="AX894" s="1856" t="str">
        <f t="shared" si="196"/>
        <v/>
      </c>
      <c r="AY894" s="1856" t="str">
        <f t="shared" si="197"/>
        <v/>
      </c>
    </row>
    <row r="895" spans="42:52">
      <c r="AP895" s="1855">
        <f t="shared" si="198"/>
        <v>44658</v>
      </c>
      <c r="AQ895" s="925" t="str">
        <f t="shared" si="199"/>
        <v>MS</v>
      </c>
      <c r="AR895" s="1856">
        <f t="shared" si="200"/>
        <v>44658.076388888883</v>
      </c>
      <c r="AS895" s="927" t="s">
        <v>1617</v>
      </c>
      <c r="AT895" s="1856" t="str">
        <f t="shared" si="192"/>
        <v/>
      </c>
      <c r="AU895" s="1856" t="str">
        <f t="shared" si="193"/>
        <v/>
      </c>
      <c r="AV895" s="1856" t="str">
        <f t="shared" si="194"/>
        <v/>
      </c>
      <c r="AW895" s="1856" t="str">
        <f t="shared" si="195"/>
        <v/>
      </c>
      <c r="AX895" s="1856" t="str">
        <f t="shared" si="196"/>
        <v/>
      </c>
      <c r="AY895" s="1856" t="str">
        <f t="shared" si="197"/>
        <v/>
      </c>
    </row>
    <row r="896" spans="42:52">
      <c r="AP896" s="1855">
        <f t="shared" si="198"/>
        <v>44658</v>
      </c>
      <c r="AQ896" s="925" t="str">
        <f t="shared" si="199"/>
        <v>BMNT</v>
      </c>
      <c r="AR896" s="1856">
        <f t="shared" si="200"/>
        <v>44658.265277777777</v>
      </c>
      <c r="AS896" s="927" t="s">
        <v>1435</v>
      </c>
      <c r="AT896" s="1856" t="str">
        <f t="shared" si="192"/>
        <v/>
      </c>
      <c r="AU896" s="1856" t="str">
        <f t="shared" si="193"/>
        <v/>
      </c>
      <c r="AV896" s="1856" t="str">
        <f t="shared" si="194"/>
        <v/>
      </c>
      <c r="AW896" s="1856" t="str">
        <f t="shared" si="195"/>
        <v/>
      </c>
      <c r="AX896" s="1856" t="str">
        <f t="shared" si="196"/>
        <v/>
      </c>
      <c r="AY896" s="1856" t="str">
        <f t="shared" si="197"/>
        <v/>
      </c>
    </row>
    <row r="897" spans="42:52">
      <c r="AP897" s="1855">
        <f t="shared" si="198"/>
        <v>44658</v>
      </c>
      <c r="AQ897" s="925" t="str">
        <f t="shared" si="199"/>
        <v>SR</v>
      </c>
      <c r="AR897" s="1856">
        <f t="shared" si="200"/>
        <v>44658.306249999994</v>
      </c>
      <c r="AS897" s="927" t="s">
        <v>1618</v>
      </c>
      <c r="AT897" s="1856" t="str">
        <f t="shared" si="192"/>
        <v/>
      </c>
      <c r="AU897" s="1856" t="str">
        <f t="shared" si="193"/>
        <v/>
      </c>
      <c r="AV897" s="1856" t="str">
        <f t="shared" si="194"/>
        <v/>
      </c>
      <c r="AW897" s="1856" t="str">
        <f t="shared" si="195"/>
        <v/>
      </c>
      <c r="AX897" s="1856" t="str">
        <f t="shared" si="196"/>
        <v/>
      </c>
      <c r="AY897" s="1856" t="str">
        <f t="shared" si="197"/>
        <v/>
      </c>
    </row>
    <row r="898" spans="42:52">
      <c r="AP898" s="1855">
        <f t="shared" si="198"/>
        <v>44658</v>
      </c>
      <c r="AQ898" s="925" t="str">
        <f t="shared" si="199"/>
        <v>MR</v>
      </c>
      <c r="AR898" s="1856">
        <f t="shared" si="200"/>
        <v>44658.464583333334</v>
      </c>
      <c r="AS898" s="927" t="s">
        <v>1619</v>
      </c>
      <c r="AT898" s="1856" t="str">
        <f t="shared" si="192"/>
        <v/>
      </c>
      <c r="AU898" s="1856" t="str">
        <f t="shared" si="193"/>
        <v/>
      </c>
      <c r="AV898" s="1856" t="str">
        <f t="shared" si="194"/>
        <v/>
      </c>
      <c r="AW898" s="1856" t="str">
        <f t="shared" si="195"/>
        <v/>
      </c>
      <c r="AX898" s="1856" t="str">
        <f t="shared" si="196"/>
        <v/>
      </c>
      <c r="AY898" s="1856" t="str">
        <f t="shared" si="197"/>
        <v/>
      </c>
    </row>
    <row r="899" spans="42:52">
      <c r="AP899" s="1855">
        <f t="shared" si="198"/>
        <v>44658</v>
      </c>
      <c r="AQ899" s="925" t="str">
        <f t="shared" si="199"/>
        <v>SS</v>
      </c>
      <c r="AR899" s="1856">
        <f t="shared" si="200"/>
        <v>44658.840972222228</v>
      </c>
      <c r="AS899" s="927" t="s">
        <v>1615</v>
      </c>
      <c r="AT899" s="1856" t="str">
        <f t="shared" si="192"/>
        <v/>
      </c>
      <c r="AU899" s="1856" t="str">
        <f t="shared" si="193"/>
        <v/>
      </c>
      <c r="AV899" s="1856" t="str">
        <f t="shared" si="194"/>
        <v/>
      </c>
      <c r="AW899" s="1856" t="str">
        <f t="shared" si="195"/>
        <v/>
      </c>
      <c r="AX899" s="1856" t="str">
        <f t="shared" si="196"/>
        <v/>
      </c>
      <c r="AY899" s="1856" t="str">
        <f t="shared" si="197"/>
        <v/>
      </c>
    </row>
    <row r="900" spans="42:52">
      <c r="AP900" s="1855">
        <f t="shared" si="198"/>
        <v>44658</v>
      </c>
      <c r="AQ900" s="925" t="str">
        <f t="shared" si="199"/>
        <v>EENT</v>
      </c>
      <c r="AR900" s="1856">
        <f t="shared" si="200"/>
        <v>44658.881944444445</v>
      </c>
      <c r="AS900" s="927" t="s">
        <v>1620</v>
      </c>
      <c r="AT900" s="1856" t="str">
        <f t="shared" si="192"/>
        <v/>
      </c>
      <c r="AU900" s="1856" t="str">
        <f t="shared" si="193"/>
        <v/>
      </c>
      <c r="AV900" s="1856" t="str">
        <f t="shared" si="194"/>
        <v/>
      </c>
      <c r="AW900" s="1856" t="str">
        <f t="shared" si="195"/>
        <v/>
      </c>
      <c r="AX900" s="1856" t="str">
        <f t="shared" si="196"/>
        <v/>
      </c>
      <c r="AY900" s="1856" t="str">
        <f t="shared" si="197"/>
        <v/>
      </c>
    </row>
    <row r="901" spans="42:52">
      <c r="AP901" s="1855">
        <f t="shared" si="198"/>
        <v>44659</v>
      </c>
      <c r="AQ901" s="925" t="str">
        <f t="shared" si="199"/>
        <v/>
      </c>
      <c r="AR901" s="1856" t="str">
        <f t="shared" si="200"/>
        <v/>
      </c>
      <c r="AS901" s="927">
        <v>8</v>
      </c>
      <c r="AT901" s="1856">
        <f t="shared" si="192"/>
        <v>44659.26458333333</v>
      </c>
      <c r="AU901" s="1856">
        <f t="shared" si="193"/>
        <v>44659.304861111108</v>
      </c>
      <c r="AV901" s="1856">
        <f t="shared" si="194"/>
        <v>44659.841666666667</v>
      </c>
      <c r="AW901" s="1856">
        <f t="shared" si="195"/>
        <v>44659.882638888892</v>
      </c>
      <c r="AX901" s="1856">
        <f t="shared" si="196"/>
        <v>44659.499305555561</v>
      </c>
      <c r="AY901" s="1856">
        <f t="shared" si="197"/>
        <v>44659.113888888889</v>
      </c>
      <c r="AZ901" s="1853">
        <v>0.4</v>
      </c>
    </row>
    <row r="902" spans="42:52">
      <c r="AP902" s="1855">
        <f t="shared" si="198"/>
        <v>44659</v>
      </c>
      <c r="AQ902" s="925" t="str">
        <f t="shared" si="199"/>
        <v/>
      </c>
      <c r="AR902" s="1856" t="str">
        <f t="shared" si="200"/>
        <v/>
      </c>
      <c r="AS902" s="927" t="s">
        <v>252</v>
      </c>
      <c r="AT902" s="1856" t="str">
        <f t="shared" si="192"/>
        <v/>
      </c>
      <c r="AU902" s="1856" t="str">
        <f t="shared" si="193"/>
        <v/>
      </c>
      <c r="AV902" s="1856" t="str">
        <f t="shared" si="194"/>
        <v/>
      </c>
      <c r="AW902" s="1856" t="str">
        <f t="shared" si="195"/>
        <v/>
      </c>
      <c r="AX902" s="1856" t="str">
        <f t="shared" si="196"/>
        <v/>
      </c>
      <c r="AY902" s="1856" t="str">
        <f t="shared" si="197"/>
        <v/>
      </c>
    </row>
    <row r="903" spans="42:52">
      <c r="AP903" s="1855">
        <f t="shared" si="198"/>
        <v>44659</v>
      </c>
      <c r="AQ903" s="925" t="str">
        <f t="shared" si="199"/>
        <v/>
      </c>
      <c r="AR903" s="1856" t="str">
        <f t="shared" si="200"/>
        <v/>
      </c>
      <c r="AT903" s="1856" t="str">
        <f t="shared" si="192"/>
        <v/>
      </c>
      <c r="AU903" s="1856" t="str">
        <f t="shared" si="193"/>
        <v/>
      </c>
      <c r="AV903" s="1856" t="str">
        <f t="shared" si="194"/>
        <v/>
      </c>
      <c r="AW903" s="1856" t="str">
        <f t="shared" si="195"/>
        <v/>
      </c>
      <c r="AX903" s="1856" t="str">
        <f t="shared" si="196"/>
        <v/>
      </c>
      <c r="AY903" s="1856" t="str">
        <f t="shared" si="197"/>
        <v/>
      </c>
    </row>
    <row r="904" spans="42:52">
      <c r="AP904" s="1855">
        <f t="shared" si="198"/>
        <v>44659</v>
      </c>
      <c r="AQ904" s="925" t="str">
        <f t="shared" si="199"/>
        <v>MS</v>
      </c>
      <c r="AR904" s="1856">
        <f t="shared" si="200"/>
        <v>44659.113888888889</v>
      </c>
      <c r="AS904" s="927" t="s">
        <v>1621</v>
      </c>
      <c r="AT904" s="1856" t="str">
        <f t="shared" si="192"/>
        <v/>
      </c>
      <c r="AU904" s="1856" t="str">
        <f t="shared" si="193"/>
        <v/>
      </c>
      <c r="AV904" s="1856" t="str">
        <f t="shared" si="194"/>
        <v/>
      </c>
      <c r="AW904" s="1856" t="str">
        <f t="shared" si="195"/>
        <v/>
      </c>
      <c r="AX904" s="1856" t="str">
        <f t="shared" si="196"/>
        <v/>
      </c>
      <c r="AY904" s="1856" t="str">
        <f t="shared" si="197"/>
        <v/>
      </c>
    </row>
    <row r="905" spans="42:52">
      <c r="AP905" s="1855">
        <f t="shared" si="198"/>
        <v>44659</v>
      </c>
      <c r="AQ905" s="925" t="str">
        <f t="shared" si="199"/>
        <v>BMNT</v>
      </c>
      <c r="AR905" s="1856">
        <f t="shared" si="200"/>
        <v>44659.26458333333</v>
      </c>
      <c r="AS905" s="927" t="s">
        <v>1439</v>
      </c>
      <c r="AT905" s="1856" t="str">
        <f t="shared" si="192"/>
        <v/>
      </c>
      <c r="AU905" s="1856" t="str">
        <f t="shared" si="193"/>
        <v/>
      </c>
      <c r="AV905" s="1856" t="str">
        <f t="shared" si="194"/>
        <v/>
      </c>
      <c r="AW905" s="1856" t="str">
        <f t="shared" si="195"/>
        <v/>
      </c>
      <c r="AX905" s="1856" t="str">
        <f t="shared" si="196"/>
        <v/>
      </c>
      <c r="AY905" s="1856" t="str">
        <f t="shared" si="197"/>
        <v/>
      </c>
    </row>
    <row r="906" spans="42:52">
      <c r="AP906" s="1855">
        <f t="shared" si="198"/>
        <v>44659</v>
      </c>
      <c r="AQ906" s="925" t="str">
        <f t="shared" si="199"/>
        <v>SR</v>
      </c>
      <c r="AR906" s="1856">
        <f t="shared" si="200"/>
        <v>44659.304861111108</v>
      </c>
      <c r="AS906" s="927" t="s">
        <v>1436</v>
      </c>
      <c r="AT906" s="1856" t="str">
        <f t="shared" si="192"/>
        <v/>
      </c>
      <c r="AU906" s="1856" t="str">
        <f t="shared" si="193"/>
        <v/>
      </c>
      <c r="AV906" s="1856" t="str">
        <f t="shared" si="194"/>
        <v/>
      </c>
      <c r="AW906" s="1856" t="str">
        <f t="shared" si="195"/>
        <v/>
      </c>
      <c r="AX906" s="1856" t="str">
        <f t="shared" si="196"/>
        <v/>
      </c>
      <c r="AY906" s="1856" t="str">
        <f t="shared" si="197"/>
        <v/>
      </c>
    </row>
    <row r="907" spans="42:52">
      <c r="AP907" s="1855">
        <f t="shared" si="198"/>
        <v>44659</v>
      </c>
      <c r="AQ907" s="925" t="str">
        <f t="shared" si="199"/>
        <v>MR</v>
      </c>
      <c r="AR907" s="1856">
        <f t="shared" si="200"/>
        <v>44659.499305555561</v>
      </c>
      <c r="AS907" s="927" t="s">
        <v>1622</v>
      </c>
      <c r="AT907" s="1856" t="str">
        <f t="shared" si="192"/>
        <v/>
      </c>
      <c r="AU907" s="1856" t="str">
        <f t="shared" si="193"/>
        <v/>
      </c>
      <c r="AV907" s="1856" t="str">
        <f t="shared" si="194"/>
        <v/>
      </c>
      <c r="AW907" s="1856" t="str">
        <f t="shared" si="195"/>
        <v/>
      </c>
      <c r="AX907" s="1856" t="str">
        <f t="shared" si="196"/>
        <v/>
      </c>
      <c r="AY907" s="1856" t="str">
        <f t="shared" si="197"/>
        <v/>
      </c>
    </row>
    <row r="908" spans="42:52">
      <c r="AP908" s="1855">
        <f t="shared" si="198"/>
        <v>44659</v>
      </c>
      <c r="AQ908" s="925" t="str">
        <f t="shared" si="199"/>
        <v>SS</v>
      </c>
      <c r="AR908" s="1856">
        <f t="shared" si="200"/>
        <v>44659.841666666667</v>
      </c>
      <c r="AS908" s="927" t="s">
        <v>1623</v>
      </c>
      <c r="AT908" s="1856" t="str">
        <f t="shared" si="192"/>
        <v/>
      </c>
      <c r="AU908" s="1856" t="str">
        <f t="shared" si="193"/>
        <v/>
      </c>
      <c r="AV908" s="1856" t="str">
        <f t="shared" si="194"/>
        <v/>
      </c>
      <c r="AW908" s="1856" t="str">
        <f t="shared" si="195"/>
        <v/>
      </c>
      <c r="AX908" s="1856" t="str">
        <f t="shared" si="196"/>
        <v/>
      </c>
      <c r="AY908" s="1856" t="str">
        <f t="shared" si="197"/>
        <v/>
      </c>
    </row>
    <row r="909" spans="42:52">
      <c r="AP909" s="1855">
        <f t="shared" si="198"/>
        <v>44659</v>
      </c>
      <c r="AQ909" s="925" t="str">
        <f t="shared" si="199"/>
        <v>EENT</v>
      </c>
      <c r="AR909" s="1856">
        <f t="shared" si="200"/>
        <v>44659.882638888892</v>
      </c>
      <c r="AS909" s="927" t="s">
        <v>1624</v>
      </c>
      <c r="AT909" s="1856" t="str">
        <f t="shared" si="192"/>
        <v/>
      </c>
      <c r="AU909" s="1856" t="str">
        <f t="shared" si="193"/>
        <v/>
      </c>
      <c r="AV909" s="1856" t="str">
        <f t="shared" si="194"/>
        <v/>
      </c>
      <c r="AW909" s="1856" t="str">
        <f t="shared" si="195"/>
        <v/>
      </c>
      <c r="AX909" s="1856" t="str">
        <f t="shared" si="196"/>
        <v/>
      </c>
      <c r="AY909" s="1856" t="str">
        <f t="shared" si="197"/>
        <v/>
      </c>
    </row>
    <row r="910" spans="42:52">
      <c r="AP910" s="1855">
        <f t="shared" si="198"/>
        <v>44660</v>
      </c>
      <c r="AQ910" s="925" t="str">
        <f t="shared" si="199"/>
        <v/>
      </c>
      <c r="AR910" s="1856" t="str">
        <f t="shared" si="200"/>
        <v/>
      </c>
      <c r="AS910" s="927">
        <v>9</v>
      </c>
      <c r="AT910" s="1856">
        <f t="shared" si="192"/>
        <v>44660.263194444444</v>
      </c>
      <c r="AU910" s="1856">
        <f t="shared" si="193"/>
        <v>44660.304166666661</v>
      </c>
      <c r="AV910" s="1856">
        <f t="shared" si="194"/>
        <v>44660.842361111114</v>
      </c>
      <c r="AW910" s="1856">
        <f t="shared" si="195"/>
        <v>44660.883333333331</v>
      </c>
      <c r="AX910" s="1856">
        <f t="shared" si="196"/>
        <v>44660.537499999999</v>
      </c>
      <c r="AY910" s="1856">
        <f t="shared" si="197"/>
        <v>44660.147222222222</v>
      </c>
      <c r="AZ910" s="1853">
        <v>0.49</v>
      </c>
    </row>
    <row r="911" spans="42:52">
      <c r="AP911" s="1855">
        <f t="shared" si="198"/>
        <v>44660</v>
      </c>
      <c r="AQ911" s="925" t="str">
        <f t="shared" si="199"/>
        <v/>
      </c>
      <c r="AR911" s="1856" t="str">
        <f t="shared" si="200"/>
        <v/>
      </c>
      <c r="AS911" s="927" t="s">
        <v>252</v>
      </c>
      <c r="AT911" s="1856" t="str">
        <f t="shared" si="192"/>
        <v/>
      </c>
      <c r="AU911" s="1856" t="str">
        <f t="shared" si="193"/>
        <v/>
      </c>
      <c r="AV911" s="1856" t="str">
        <f t="shared" si="194"/>
        <v/>
      </c>
      <c r="AW911" s="1856" t="str">
        <f t="shared" si="195"/>
        <v/>
      </c>
      <c r="AX911" s="1856" t="str">
        <f t="shared" si="196"/>
        <v/>
      </c>
      <c r="AY911" s="1856" t="str">
        <f t="shared" si="197"/>
        <v/>
      </c>
    </row>
    <row r="912" spans="42:52">
      <c r="AP912" s="1855">
        <f t="shared" si="198"/>
        <v>44660</v>
      </c>
      <c r="AQ912" s="925" t="str">
        <f t="shared" si="199"/>
        <v/>
      </c>
      <c r="AR912" s="1856" t="str">
        <f t="shared" si="200"/>
        <v/>
      </c>
      <c r="AT912" s="1856" t="str">
        <f t="shared" si="192"/>
        <v/>
      </c>
      <c r="AU912" s="1856" t="str">
        <f t="shared" si="193"/>
        <v/>
      </c>
      <c r="AV912" s="1856" t="str">
        <f t="shared" si="194"/>
        <v/>
      </c>
      <c r="AW912" s="1856" t="str">
        <f t="shared" si="195"/>
        <v/>
      </c>
      <c r="AX912" s="1856" t="str">
        <f t="shared" si="196"/>
        <v/>
      </c>
      <c r="AY912" s="1856" t="str">
        <f t="shared" si="197"/>
        <v/>
      </c>
    </row>
    <row r="913" spans="42:52">
      <c r="AP913" s="1855">
        <f t="shared" si="198"/>
        <v>44660</v>
      </c>
      <c r="AQ913" s="925" t="str">
        <f t="shared" si="199"/>
        <v>MS</v>
      </c>
      <c r="AR913" s="1856">
        <f t="shared" si="200"/>
        <v>44660.147222222222</v>
      </c>
      <c r="AS913" s="927" t="s">
        <v>1625</v>
      </c>
      <c r="AT913" s="1856" t="str">
        <f t="shared" si="192"/>
        <v/>
      </c>
      <c r="AU913" s="1856" t="str">
        <f t="shared" si="193"/>
        <v/>
      </c>
      <c r="AV913" s="1856" t="str">
        <f t="shared" si="194"/>
        <v/>
      </c>
      <c r="AW913" s="1856" t="str">
        <f t="shared" si="195"/>
        <v/>
      </c>
      <c r="AX913" s="1856" t="str">
        <f t="shared" si="196"/>
        <v/>
      </c>
      <c r="AY913" s="1856" t="str">
        <f t="shared" si="197"/>
        <v/>
      </c>
    </row>
    <row r="914" spans="42:52">
      <c r="AP914" s="1855">
        <f t="shared" si="198"/>
        <v>44660</v>
      </c>
      <c r="AQ914" s="925" t="str">
        <f t="shared" si="199"/>
        <v>BMNT</v>
      </c>
      <c r="AR914" s="1856">
        <f t="shared" si="200"/>
        <v>44660.263194444444</v>
      </c>
      <c r="AS914" s="927" t="s">
        <v>1445</v>
      </c>
      <c r="AT914" s="1856" t="str">
        <f t="shared" si="192"/>
        <v/>
      </c>
      <c r="AU914" s="1856" t="str">
        <f t="shared" si="193"/>
        <v/>
      </c>
      <c r="AV914" s="1856" t="str">
        <f t="shared" si="194"/>
        <v/>
      </c>
      <c r="AW914" s="1856" t="str">
        <f t="shared" si="195"/>
        <v/>
      </c>
      <c r="AX914" s="1856" t="str">
        <f t="shared" si="196"/>
        <v/>
      </c>
      <c r="AY914" s="1856" t="str">
        <f t="shared" si="197"/>
        <v/>
      </c>
    </row>
    <row r="915" spans="42:52">
      <c r="AP915" s="1855">
        <f t="shared" si="198"/>
        <v>44660</v>
      </c>
      <c r="AQ915" s="925" t="str">
        <f t="shared" si="199"/>
        <v>SR</v>
      </c>
      <c r="AR915" s="1856">
        <f t="shared" si="200"/>
        <v>44660.304166666661</v>
      </c>
      <c r="AS915" s="927" t="s">
        <v>1626</v>
      </c>
      <c r="AT915" s="1856" t="str">
        <f t="shared" si="192"/>
        <v/>
      </c>
      <c r="AU915" s="1856" t="str">
        <f t="shared" si="193"/>
        <v/>
      </c>
      <c r="AV915" s="1856" t="str">
        <f t="shared" si="194"/>
        <v/>
      </c>
      <c r="AW915" s="1856" t="str">
        <f t="shared" si="195"/>
        <v/>
      </c>
      <c r="AX915" s="1856" t="str">
        <f t="shared" si="196"/>
        <v/>
      </c>
      <c r="AY915" s="1856" t="str">
        <f t="shared" si="197"/>
        <v/>
      </c>
    </row>
    <row r="916" spans="42:52">
      <c r="AP916" s="1855">
        <f t="shared" si="198"/>
        <v>44660</v>
      </c>
      <c r="AQ916" s="925" t="str">
        <f t="shared" si="199"/>
        <v>MR</v>
      </c>
      <c r="AR916" s="1856">
        <f t="shared" si="200"/>
        <v>44660.537499999999</v>
      </c>
      <c r="AS916" s="927" t="s">
        <v>1627</v>
      </c>
      <c r="AT916" s="1856" t="str">
        <f t="shared" si="192"/>
        <v/>
      </c>
      <c r="AU916" s="1856" t="str">
        <f t="shared" si="193"/>
        <v/>
      </c>
      <c r="AV916" s="1856" t="str">
        <f t="shared" si="194"/>
        <v/>
      </c>
      <c r="AW916" s="1856" t="str">
        <f t="shared" si="195"/>
        <v/>
      </c>
      <c r="AX916" s="1856" t="str">
        <f t="shared" si="196"/>
        <v/>
      </c>
      <c r="AY916" s="1856" t="str">
        <f t="shared" si="197"/>
        <v/>
      </c>
    </row>
    <row r="917" spans="42:52">
      <c r="AP917" s="1855">
        <f t="shared" si="198"/>
        <v>44660</v>
      </c>
      <c r="AQ917" s="925" t="str">
        <f t="shared" si="199"/>
        <v>SS</v>
      </c>
      <c r="AR917" s="1856">
        <f t="shared" si="200"/>
        <v>44660.842361111114</v>
      </c>
      <c r="AS917" s="927" t="s">
        <v>1628</v>
      </c>
      <c r="AT917" s="1856" t="str">
        <f t="shared" si="192"/>
        <v/>
      </c>
      <c r="AU917" s="1856" t="str">
        <f t="shared" si="193"/>
        <v/>
      </c>
      <c r="AV917" s="1856" t="str">
        <f t="shared" si="194"/>
        <v/>
      </c>
      <c r="AW917" s="1856" t="str">
        <f t="shared" si="195"/>
        <v/>
      </c>
      <c r="AX917" s="1856" t="str">
        <f t="shared" si="196"/>
        <v/>
      </c>
      <c r="AY917" s="1856" t="str">
        <f t="shared" si="197"/>
        <v/>
      </c>
    </row>
    <row r="918" spans="42:52">
      <c r="AP918" s="1855">
        <f t="shared" si="198"/>
        <v>44660</v>
      </c>
      <c r="AQ918" s="925" t="str">
        <f t="shared" si="199"/>
        <v>EENT</v>
      </c>
      <c r="AR918" s="1856">
        <f t="shared" si="200"/>
        <v>44660.883333333331</v>
      </c>
      <c r="AS918" s="927" t="s">
        <v>1629</v>
      </c>
      <c r="AT918" s="1856" t="str">
        <f t="shared" si="192"/>
        <v/>
      </c>
      <c r="AU918" s="1856" t="str">
        <f t="shared" si="193"/>
        <v/>
      </c>
      <c r="AV918" s="1856" t="str">
        <f t="shared" si="194"/>
        <v/>
      </c>
      <c r="AW918" s="1856" t="str">
        <f t="shared" si="195"/>
        <v/>
      </c>
      <c r="AX918" s="1856" t="str">
        <f t="shared" si="196"/>
        <v/>
      </c>
      <c r="AY918" s="1856" t="str">
        <f t="shared" si="197"/>
        <v/>
      </c>
    </row>
    <row r="919" spans="42:52">
      <c r="AP919" s="1855">
        <f t="shared" si="198"/>
        <v>44661</v>
      </c>
      <c r="AQ919" s="925" t="str">
        <f t="shared" si="199"/>
        <v/>
      </c>
      <c r="AR919" s="1856" t="str">
        <f t="shared" si="200"/>
        <v/>
      </c>
      <c r="AS919" s="927">
        <v>10</v>
      </c>
      <c r="AT919" s="1856">
        <f t="shared" si="192"/>
        <v>44661.262499999997</v>
      </c>
      <c r="AU919" s="1856">
        <f t="shared" si="193"/>
        <v>44661.302777777775</v>
      </c>
      <c r="AV919" s="1856">
        <f t="shared" si="194"/>
        <v>44661.843055555561</v>
      </c>
      <c r="AW919" s="1856">
        <f t="shared" si="195"/>
        <v>44661.884027777778</v>
      </c>
      <c r="AX919" s="1856">
        <f t="shared" si="196"/>
        <v>44661.579166666663</v>
      </c>
      <c r="AY919" s="1856">
        <f t="shared" si="197"/>
        <v>44661.176388888889</v>
      </c>
      <c r="AZ919" s="1853">
        <v>0.59</v>
      </c>
    </row>
    <row r="920" spans="42:52">
      <c r="AP920" s="1855">
        <f t="shared" si="198"/>
        <v>44661</v>
      </c>
      <c r="AQ920" s="925" t="str">
        <f t="shared" si="199"/>
        <v/>
      </c>
      <c r="AR920" s="1856" t="str">
        <f t="shared" si="200"/>
        <v/>
      </c>
      <c r="AS920" s="927" t="s">
        <v>252</v>
      </c>
      <c r="AT920" s="1856" t="str">
        <f t="shared" si="192"/>
        <v/>
      </c>
      <c r="AU920" s="1856" t="str">
        <f t="shared" si="193"/>
        <v/>
      </c>
      <c r="AV920" s="1856" t="str">
        <f t="shared" si="194"/>
        <v/>
      </c>
      <c r="AW920" s="1856" t="str">
        <f t="shared" si="195"/>
        <v/>
      </c>
      <c r="AX920" s="1856" t="str">
        <f t="shared" si="196"/>
        <v/>
      </c>
      <c r="AY920" s="1856" t="str">
        <f t="shared" si="197"/>
        <v/>
      </c>
    </row>
    <row r="921" spans="42:52">
      <c r="AP921" s="1855">
        <f t="shared" si="198"/>
        <v>44661</v>
      </c>
      <c r="AQ921" s="925" t="str">
        <f t="shared" si="199"/>
        <v/>
      </c>
      <c r="AR921" s="1856" t="str">
        <f t="shared" si="200"/>
        <v/>
      </c>
      <c r="AT921" s="1856" t="str">
        <f t="shared" si="192"/>
        <v/>
      </c>
      <c r="AU921" s="1856" t="str">
        <f t="shared" si="193"/>
        <v/>
      </c>
      <c r="AV921" s="1856" t="str">
        <f t="shared" si="194"/>
        <v/>
      </c>
      <c r="AW921" s="1856" t="str">
        <f t="shared" si="195"/>
        <v/>
      </c>
      <c r="AX921" s="1856" t="str">
        <f t="shared" si="196"/>
        <v/>
      </c>
      <c r="AY921" s="1856" t="str">
        <f t="shared" si="197"/>
        <v/>
      </c>
    </row>
    <row r="922" spans="42:52">
      <c r="AP922" s="1855">
        <f t="shared" si="198"/>
        <v>44661</v>
      </c>
      <c r="AQ922" s="925" t="str">
        <f t="shared" si="199"/>
        <v>MS</v>
      </c>
      <c r="AR922" s="1856">
        <f t="shared" si="200"/>
        <v>44661.176388888889</v>
      </c>
      <c r="AS922" s="927" t="s">
        <v>1630</v>
      </c>
      <c r="AT922" s="1856" t="str">
        <f t="shared" si="192"/>
        <v/>
      </c>
      <c r="AU922" s="1856" t="str">
        <f t="shared" si="193"/>
        <v/>
      </c>
      <c r="AV922" s="1856" t="str">
        <f t="shared" si="194"/>
        <v/>
      </c>
      <c r="AW922" s="1856" t="str">
        <f t="shared" si="195"/>
        <v/>
      </c>
      <c r="AX922" s="1856" t="str">
        <f t="shared" si="196"/>
        <v/>
      </c>
      <c r="AY922" s="1856" t="str">
        <f t="shared" si="197"/>
        <v/>
      </c>
    </row>
    <row r="923" spans="42:52">
      <c r="AP923" s="1855">
        <f t="shared" si="198"/>
        <v>44661</v>
      </c>
      <c r="AQ923" s="925" t="str">
        <f t="shared" si="199"/>
        <v>BMNT</v>
      </c>
      <c r="AR923" s="1856">
        <f t="shared" si="200"/>
        <v>44661.262499999997</v>
      </c>
      <c r="AS923" s="927" t="s">
        <v>1451</v>
      </c>
      <c r="AT923" s="1856" t="str">
        <f t="shared" si="192"/>
        <v/>
      </c>
      <c r="AU923" s="1856" t="str">
        <f t="shared" si="193"/>
        <v/>
      </c>
      <c r="AV923" s="1856" t="str">
        <f t="shared" si="194"/>
        <v/>
      </c>
      <c r="AW923" s="1856" t="str">
        <f t="shared" si="195"/>
        <v/>
      </c>
      <c r="AX923" s="1856" t="str">
        <f t="shared" si="196"/>
        <v/>
      </c>
      <c r="AY923" s="1856" t="str">
        <f t="shared" si="197"/>
        <v/>
      </c>
    </row>
    <row r="924" spans="42:52">
      <c r="AP924" s="1855">
        <f t="shared" si="198"/>
        <v>44661</v>
      </c>
      <c r="AQ924" s="925" t="str">
        <f t="shared" si="199"/>
        <v>SR</v>
      </c>
      <c r="AR924" s="1856">
        <f t="shared" si="200"/>
        <v>44661.302777777775</v>
      </c>
      <c r="AS924" s="927" t="s">
        <v>1447</v>
      </c>
      <c r="AT924" s="1856" t="str">
        <f t="shared" ref="AT924:AT987" si="201">IF(ISNUMBER(AS924),INDEX(AR925:AR935,MATCH($AT$27,AQ925:AQ935,0)),"")</f>
        <v/>
      </c>
      <c r="AU924" s="1856" t="str">
        <f t="shared" ref="AU924:AU987" si="202">IF(AT924="","",INDEX(AR925:AR935,MATCH($AU$27,AQ925:AQ935,0)))</f>
        <v/>
      </c>
      <c r="AV924" s="1856" t="str">
        <f t="shared" ref="AV924:AV987" si="203">IF(AT924="","",INDEX(AR925:AR935,MATCH($AV$27,AQ925:AQ935,0)))</f>
        <v/>
      </c>
      <c r="AW924" s="1856" t="str">
        <f t="shared" ref="AW924:AW987" si="204">IF(AT924="","",INDEX(AR925:AR935,MATCH($AW$27,AQ925:AQ935,0)))</f>
        <v/>
      </c>
      <c r="AX924" s="1856" t="str">
        <f t="shared" ref="AX924:AX987" si="205">IF(AT924="","",INDEX(AR925:AR935,MATCH($AX$27,AQ925:AQ935,0)))</f>
        <v/>
      </c>
      <c r="AY924" s="1856" t="str">
        <f t="shared" ref="AY924:AY987" si="206">IF(AT924="","",INDEX(AR925:AR935,MATCH($AY$27,AQ925:AQ935,0)))</f>
        <v/>
      </c>
    </row>
    <row r="925" spans="42:52">
      <c r="AP925" s="1855">
        <f t="shared" si="198"/>
        <v>44661</v>
      </c>
      <c r="AQ925" s="925" t="str">
        <f t="shared" si="199"/>
        <v>MR</v>
      </c>
      <c r="AR925" s="1856">
        <f t="shared" si="200"/>
        <v>44661.579166666663</v>
      </c>
      <c r="AS925" s="927" t="s">
        <v>1631</v>
      </c>
      <c r="AT925" s="1856" t="str">
        <f t="shared" si="201"/>
        <v/>
      </c>
      <c r="AU925" s="1856" t="str">
        <f t="shared" si="202"/>
        <v/>
      </c>
      <c r="AV925" s="1856" t="str">
        <f t="shared" si="203"/>
        <v/>
      </c>
      <c r="AW925" s="1856" t="str">
        <f t="shared" si="204"/>
        <v/>
      </c>
      <c r="AX925" s="1856" t="str">
        <f t="shared" si="205"/>
        <v/>
      </c>
      <c r="AY925" s="1856" t="str">
        <f t="shared" si="206"/>
        <v/>
      </c>
    </row>
    <row r="926" spans="42:52">
      <c r="AP926" s="1855">
        <f t="shared" si="198"/>
        <v>44661</v>
      </c>
      <c r="AQ926" s="925" t="str">
        <f t="shared" si="199"/>
        <v>SS</v>
      </c>
      <c r="AR926" s="1856">
        <f t="shared" si="200"/>
        <v>44661.843055555561</v>
      </c>
      <c r="AS926" s="927" t="s">
        <v>1632</v>
      </c>
      <c r="AT926" s="1856" t="str">
        <f t="shared" si="201"/>
        <v/>
      </c>
      <c r="AU926" s="1856" t="str">
        <f t="shared" si="202"/>
        <v/>
      </c>
      <c r="AV926" s="1856" t="str">
        <f t="shared" si="203"/>
        <v/>
      </c>
      <c r="AW926" s="1856" t="str">
        <f t="shared" si="204"/>
        <v/>
      </c>
      <c r="AX926" s="1856" t="str">
        <f t="shared" si="205"/>
        <v/>
      </c>
      <c r="AY926" s="1856" t="str">
        <f t="shared" si="206"/>
        <v/>
      </c>
    </row>
    <row r="927" spans="42:52">
      <c r="AP927" s="1855">
        <f t="shared" si="198"/>
        <v>44661</v>
      </c>
      <c r="AQ927" s="925" t="str">
        <f t="shared" si="199"/>
        <v>EENT</v>
      </c>
      <c r="AR927" s="1856">
        <f t="shared" si="200"/>
        <v>44661.884027777778</v>
      </c>
      <c r="AS927" s="927" t="s">
        <v>1633</v>
      </c>
      <c r="AT927" s="1856" t="str">
        <f t="shared" si="201"/>
        <v/>
      </c>
      <c r="AU927" s="1856" t="str">
        <f t="shared" si="202"/>
        <v/>
      </c>
      <c r="AV927" s="1856" t="str">
        <f t="shared" si="203"/>
        <v/>
      </c>
      <c r="AW927" s="1856" t="str">
        <f t="shared" si="204"/>
        <v/>
      </c>
      <c r="AX927" s="1856" t="str">
        <f t="shared" si="205"/>
        <v/>
      </c>
      <c r="AY927" s="1856" t="str">
        <f t="shared" si="206"/>
        <v/>
      </c>
    </row>
    <row r="928" spans="42:52">
      <c r="AP928" s="1855">
        <f t="shared" si="198"/>
        <v>44662</v>
      </c>
      <c r="AQ928" s="925" t="str">
        <f t="shared" si="199"/>
        <v/>
      </c>
      <c r="AR928" s="1856" t="str">
        <f t="shared" si="200"/>
        <v/>
      </c>
      <c r="AS928" s="927">
        <v>11</v>
      </c>
      <c r="AT928" s="1856">
        <f t="shared" si="201"/>
        <v>44662.261111111111</v>
      </c>
      <c r="AU928" s="1856">
        <f t="shared" si="202"/>
        <v>44662.302083333328</v>
      </c>
      <c r="AV928" s="1856">
        <f t="shared" si="203"/>
        <v>44662.84375</v>
      </c>
      <c r="AW928" s="1856">
        <f t="shared" si="204"/>
        <v>44662.884722222225</v>
      </c>
      <c r="AX928" s="1856">
        <f t="shared" si="205"/>
        <v>44662.622222222228</v>
      </c>
      <c r="AY928" s="1856">
        <f t="shared" si="206"/>
        <v>44662.20208333333</v>
      </c>
      <c r="AZ928" s="1853">
        <v>0.68</v>
      </c>
    </row>
    <row r="929" spans="42:52">
      <c r="AP929" s="1855">
        <f t="shared" si="198"/>
        <v>44662</v>
      </c>
      <c r="AQ929" s="925" t="str">
        <f t="shared" si="199"/>
        <v/>
      </c>
      <c r="AR929" s="1856" t="str">
        <f t="shared" si="200"/>
        <v/>
      </c>
      <c r="AS929" s="927" t="s">
        <v>252</v>
      </c>
      <c r="AT929" s="1856" t="str">
        <f t="shared" si="201"/>
        <v/>
      </c>
      <c r="AU929" s="1856" t="str">
        <f t="shared" si="202"/>
        <v/>
      </c>
      <c r="AV929" s="1856" t="str">
        <f t="shared" si="203"/>
        <v/>
      </c>
      <c r="AW929" s="1856" t="str">
        <f t="shared" si="204"/>
        <v/>
      </c>
      <c r="AX929" s="1856" t="str">
        <f t="shared" si="205"/>
        <v/>
      </c>
      <c r="AY929" s="1856" t="str">
        <f t="shared" si="206"/>
        <v/>
      </c>
    </row>
    <row r="930" spans="42:52">
      <c r="AP930" s="1855">
        <f t="shared" si="198"/>
        <v>44662</v>
      </c>
      <c r="AQ930" s="925" t="str">
        <f t="shared" si="199"/>
        <v/>
      </c>
      <c r="AR930" s="1856" t="str">
        <f t="shared" si="200"/>
        <v/>
      </c>
      <c r="AT930" s="1856" t="str">
        <f t="shared" si="201"/>
        <v/>
      </c>
      <c r="AU930" s="1856" t="str">
        <f t="shared" si="202"/>
        <v/>
      </c>
      <c r="AV930" s="1856" t="str">
        <f t="shared" si="203"/>
        <v/>
      </c>
      <c r="AW930" s="1856" t="str">
        <f t="shared" si="204"/>
        <v/>
      </c>
      <c r="AX930" s="1856" t="str">
        <f t="shared" si="205"/>
        <v/>
      </c>
      <c r="AY930" s="1856" t="str">
        <f t="shared" si="206"/>
        <v/>
      </c>
    </row>
    <row r="931" spans="42:52">
      <c r="AP931" s="1855">
        <f t="shared" si="198"/>
        <v>44662</v>
      </c>
      <c r="AQ931" s="925" t="str">
        <f t="shared" si="199"/>
        <v>MS</v>
      </c>
      <c r="AR931" s="1856">
        <f t="shared" si="200"/>
        <v>44662.20208333333</v>
      </c>
      <c r="AS931" s="927" t="s">
        <v>1634</v>
      </c>
      <c r="AT931" s="1856" t="str">
        <f t="shared" si="201"/>
        <v/>
      </c>
      <c r="AU931" s="1856" t="str">
        <f t="shared" si="202"/>
        <v/>
      </c>
      <c r="AV931" s="1856" t="str">
        <f t="shared" si="203"/>
        <v/>
      </c>
      <c r="AW931" s="1856" t="str">
        <f t="shared" si="204"/>
        <v/>
      </c>
      <c r="AX931" s="1856" t="str">
        <f t="shared" si="205"/>
        <v/>
      </c>
      <c r="AY931" s="1856" t="str">
        <f t="shared" si="206"/>
        <v/>
      </c>
    </row>
    <row r="932" spans="42:52">
      <c r="AP932" s="1855">
        <f t="shared" si="198"/>
        <v>44662</v>
      </c>
      <c r="AQ932" s="925" t="str">
        <f t="shared" si="199"/>
        <v>BMNT</v>
      </c>
      <c r="AR932" s="1856">
        <f t="shared" si="200"/>
        <v>44662.261111111111</v>
      </c>
      <c r="AS932" s="927" t="s">
        <v>1456</v>
      </c>
      <c r="AT932" s="1856" t="str">
        <f t="shared" si="201"/>
        <v/>
      </c>
      <c r="AU932" s="1856" t="str">
        <f t="shared" si="202"/>
        <v/>
      </c>
      <c r="AV932" s="1856" t="str">
        <f t="shared" si="203"/>
        <v/>
      </c>
      <c r="AW932" s="1856" t="str">
        <f t="shared" si="204"/>
        <v/>
      </c>
      <c r="AX932" s="1856" t="str">
        <f t="shared" si="205"/>
        <v/>
      </c>
      <c r="AY932" s="1856" t="str">
        <f t="shared" si="206"/>
        <v/>
      </c>
    </row>
    <row r="933" spans="42:52">
      <c r="AP933" s="1855">
        <f t="shared" ref="AP933:AP996" si="207">IF(ISNUMBER(AS933),AP932+1,AP932)</f>
        <v>44662</v>
      </c>
      <c r="AQ933" s="925" t="str">
        <f t="shared" ref="AQ933:AQ996" si="208">IF(NOT(ISNUMBER(FIND(":",AS933))),"",IF(ISNUMBER(FIND("Sunr",AS933)),"SR", IF(ISNUMBER(FIND("Suns",AS933)),"SS",IF(ISNUMBER(FIND("Moonr",AS933)),"MR",IF(ISNUMBER(FIND("Moons",AS933)),"MS",IF(ISNUMBER(FIND("Twi",AS933)),IF(HOUR(AR933)&lt;12,"BMNT","EENT")))))))</f>
        <v>SR</v>
      </c>
      <c r="AR933" s="1856">
        <f t="shared" si="200"/>
        <v>44662.302083333328</v>
      </c>
      <c r="AS933" s="927" t="s">
        <v>1452</v>
      </c>
      <c r="AT933" s="1856" t="str">
        <f t="shared" si="201"/>
        <v/>
      </c>
      <c r="AU933" s="1856" t="str">
        <f t="shared" si="202"/>
        <v/>
      </c>
      <c r="AV933" s="1856" t="str">
        <f t="shared" si="203"/>
        <v/>
      </c>
      <c r="AW933" s="1856" t="str">
        <f t="shared" si="204"/>
        <v/>
      </c>
      <c r="AX933" s="1856" t="str">
        <f t="shared" si="205"/>
        <v/>
      </c>
      <c r="AY933" s="1856" t="str">
        <f t="shared" si="206"/>
        <v/>
      </c>
    </row>
    <row r="934" spans="42:52">
      <c r="AP934" s="1855">
        <f t="shared" si="207"/>
        <v>44662</v>
      </c>
      <c r="AQ934" s="925" t="str">
        <f t="shared" si="208"/>
        <v>MR</v>
      </c>
      <c r="AR934" s="1856">
        <f t="shared" si="200"/>
        <v>44662.622222222228</v>
      </c>
      <c r="AS934" s="927" t="s">
        <v>1635</v>
      </c>
      <c r="AT934" s="1856" t="str">
        <f t="shared" si="201"/>
        <v/>
      </c>
      <c r="AU934" s="1856" t="str">
        <f t="shared" si="202"/>
        <v/>
      </c>
      <c r="AV934" s="1856" t="str">
        <f t="shared" si="203"/>
        <v/>
      </c>
      <c r="AW934" s="1856" t="str">
        <f t="shared" si="204"/>
        <v/>
      </c>
      <c r="AX934" s="1856" t="str">
        <f t="shared" si="205"/>
        <v/>
      </c>
      <c r="AY934" s="1856" t="str">
        <f t="shared" si="206"/>
        <v/>
      </c>
    </row>
    <row r="935" spans="42:52">
      <c r="AP935" s="1855">
        <f t="shared" si="207"/>
        <v>44662</v>
      </c>
      <c r="AQ935" s="925" t="str">
        <f t="shared" si="208"/>
        <v>SS</v>
      </c>
      <c r="AR935" s="1856">
        <f t="shared" si="200"/>
        <v>44662.84375</v>
      </c>
      <c r="AS935" s="927" t="s">
        <v>1636</v>
      </c>
      <c r="AT935" s="1856" t="str">
        <f t="shared" si="201"/>
        <v/>
      </c>
      <c r="AU935" s="1856" t="str">
        <f t="shared" si="202"/>
        <v/>
      </c>
      <c r="AV935" s="1856" t="str">
        <f t="shared" si="203"/>
        <v/>
      </c>
      <c r="AW935" s="1856" t="str">
        <f t="shared" si="204"/>
        <v/>
      </c>
      <c r="AX935" s="1856" t="str">
        <f t="shared" si="205"/>
        <v/>
      </c>
      <c r="AY935" s="1856" t="str">
        <f t="shared" si="206"/>
        <v/>
      </c>
    </row>
    <row r="936" spans="42:52">
      <c r="AP936" s="1855">
        <f t="shared" si="207"/>
        <v>44662</v>
      </c>
      <c r="AQ936" s="925" t="str">
        <f t="shared" si="208"/>
        <v>EENT</v>
      </c>
      <c r="AR936" s="1856">
        <f t="shared" si="200"/>
        <v>44662.884722222225</v>
      </c>
      <c r="AS936" s="927" t="s">
        <v>1637</v>
      </c>
      <c r="AT936" s="1856" t="str">
        <f t="shared" si="201"/>
        <v/>
      </c>
      <c r="AU936" s="1856" t="str">
        <f t="shared" si="202"/>
        <v/>
      </c>
      <c r="AV936" s="1856" t="str">
        <f t="shared" si="203"/>
        <v/>
      </c>
      <c r="AW936" s="1856" t="str">
        <f t="shared" si="204"/>
        <v/>
      </c>
      <c r="AX936" s="1856" t="str">
        <f t="shared" si="205"/>
        <v/>
      </c>
      <c r="AY936" s="1856" t="str">
        <f t="shared" si="206"/>
        <v/>
      </c>
    </row>
    <row r="937" spans="42:52">
      <c r="AP937" s="1855">
        <f t="shared" si="207"/>
        <v>44663</v>
      </c>
      <c r="AQ937" s="925" t="str">
        <f t="shared" si="208"/>
        <v/>
      </c>
      <c r="AR937" s="1856" t="str">
        <f t="shared" ref="AR937:AR1000" si="209">IF(NOT(ISNUMBER(FIND(":",AS937))),"",IF(ISNUMBER(FIND(" none",AS937)),"NONE",AP937+LEFT(RIGHT(AS937,5),2)/24+RIGHT(AS937,2)/1440))</f>
        <v/>
      </c>
      <c r="AS937" s="927">
        <v>12</v>
      </c>
      <c r="AT937" s="1856">
        <f t="shared" si="201"/>
        <v>44663.259722222225</v>
      </c>
      <c r="AU937" s="1856">
        <f t="shared" si="202"/>
        <v>44663.300694444442</v>
      </c>
      <c r="AV937" s="1856">
        <f t="shared" si="203"/>
        <v>44663.844444444447</v>
      </c>
      <c r="AW937" s="1856">
        <f t="shared" si="204"/>
        <v>44663.885416666664</v>
      </c>
      <c r="AX937" s="1856">
        <f t="shared" si="205"/>
        <v>44663.666666666664</v>
      </c>
      <c r="AY937" s="1856">
        <f t="shared" si="206"/>
        <v>44663.224305555559</v>
      </c>
      <c r="AZ937" s="1853">
        <v>0.77</v>
      </c>
    </row>
    <row r="938" spans="42:52">
      <c r="AP938" s="1855">
        <f t="shared" si="207"/>
        <v>44663</v>
      </c>
      <c r="AQ938" s="925" t="str">
        <f t="shared" si="208"/>
        <v/>
      </c>
      <c r="AR938" s="1856" t="str">
        <f t="shared" si="209"/>
        <v/>
      </c>
      <c r="AS938" s="927" t="s">
        <v>252</v>
      </c>
      <c r="AT938" s="1856" t="str">
        <f t="shared" si="201"/>
        <v/>
      </c>
      <c r="AU938" s="1856" t="str">
        <f t="shared" si="202"/>
        <v/>
      </c>
      <c r="AV938" s="1856" t="str">
        <f t="shared" si="203"/>
        <v/>
      </c>
      <c r="AW938" s="1856" t="str">
        <f t="shared" si="204"/>
        <v/>
      </c>
      <c r="AX938" s="1856" t="str">
        <f t="shared" si="205"/>
        <v/>
      </c>
      <c r="AY938" s="1856" t="str">
        <f t="shared" si="206"/>
        <v/>
      </c>
    </row>
    <row r="939" spans="42:52">
      <c r="AP939" s="1855">
        <f t="shared" si="207"/>
        <v>44663</v>
      </c>
      <c r="AQ939" s="925" t="str">
        <f t="shared" si="208"/>
        <v/>
      </c>
      <c r="AR939" s="1856" t="str">
        <f t="shared" si="209"/>
        <v/>
      </c>
      <c r="AT939" s="1856" t="str">
        <f t="shared" si="201"/>
        <v/>
      </c>
      <c r="AU939" s="1856" t="str">
        <f t="shared" si="202"/>
        <v/>
      </c>
      <c r="AV939" s="1856" t="str">
        <f t="shared" si="203"/>
        <v/>
      </c>
      <c r="AW939" s="1856" t="str">
        <f t="shared" si="204"/>
        <v/>
      </c>
      <c r="AX939" s="1856" t="str">
        <f t="shared" si="205"/>
        <v/>
      </c>
      <c r="AY939" s="1856" t="str">
        <f t="shared" si="206"/>
        <v/>
      </c>
    </row>
    <row r="940" spans="42:52">
      <c r="AP940" s="1855">
        <f t="shared" si="207"/>
        <v>44663</v>
      </c>
      <c r="AQ940" s="925" t="str">
        <f t="shared" si="208"/>
        <v>MS</v>
      </c>
      <c r="AR940" s="1856">
        <f t="shared" si="209"/>
        <v>44663.224305555559</v>
      </c>
      <c r="AS940" s="927" t="s">
        <v>1638</v>
      </c>
      <c r="AT940" s="1856" t="str">
        <f t="shared" si="201"/>
        <v/>
      </c>
      <c r="AU940" s="1856" t="str">
        <f t="shared" si="202"/>
        <v/>
      </c>
      <c r="AV940" s="1856" t="str">
        <f t="shared" si="203"/>
        <v/>
      </c>
      <c r="AW940" s="1856" t="str">
        <f t="shared" si="204"/>
        <v/>
      </c>
      <c r="AX940" s="1856" t="str">
        <f t="shared" si="205"/>
        <v/>
      </c>
      <c r="AY940" s="1856" t="str">
        <f t="shared" si="206"/>
        <v/>
      </c>
    </row>
    <row r="941" spans="42:52">
      <c r="AP941" s="1855">
        <f t="shared" si="207"/>
        <v>44663</v>
      </c>
      <c r="AQ941" s="925" t="str">
        <f t="shared" si="208"/>
        <v>BMNT</v>
      </c>
      <c r="AR941" s="1856">
        <f t="shared" si="209"/>
        <v>44663.259722222225</v>
      </c>
      <c r="AS941" s="927" t="s">
        <v>1468</v>
      </c>
      <c r="AT941" s="1856" t="str">
        <f t="shared" si="201"/>
        <v/>
      </c>
      <c r="AU941" s="1856" t="str">
        <f t="shared" si="202"/>
        <v/>
      </c>
      <c r="AV941" s="1856" t="str">
        <f t="shared" si="203"/>
        <v/>
      </c>
      <c r="AW941" s="1856" t="str">
        <f t="shared" si="204"/>
        <v/>
      </c>
      <c r="AX941" s="1856" t="str">
        <f t="shared" si="205"/>
        <v/>
      </c>
      <c r="AY941" s="1856" t="str">
        <f t="shared" si="206"/>
        <v/>
      </c>
    </row>
    <row r="942" spans="42:52">
      <c r="AP942" s="1855">
        <f t="shared" si="207"/>
        <v>44663</v>
      </c>
      <c r="AQ942" s="925" t="str">
        <f t="shared" si="208"/>
        <v>SR</v>
      </c>
      <c r="AR942" s="1856">
        <f t="shared" si="209"/>
        <v>44663.300694444442</v>
      </c>
      <c r="AS942" s="927" t="s">
        <v>1457</v>
      </c>
      <c r="AT942" s="1856" t="str">
        <f t="shared" si="201"/>
        <v/>
      </c>
      <c r="AU942" s="1856" t="str">
        <f t="shared" si="202"/>
        <v/>
      </c>
      <c r="AV942" s="1856" t="str">
        <f t="shared" si="203"/>
        <v/>
      </c>
      <c r="AW942" s="1856" t="str">
        <f t="shared" si="204"/>
        <v/>
      </c>
      <c r="AX942" s="1856" t="str">
        <f t="shared" si="205"/>
        <v/>
      </c>
      <c r="AY942" s="1856" t="str">
        <f t="shared" si="206"/>
        <v/>
      </c>
    </row>
    <row r="943" spans="42:52">
      <c r="AP943" s="1855">
        <f t="shared" si="207"/>
        <v>44663</v>
      </c>
      <c r="AQ943" s="925" t="str">
        <f t="shared" si="208"/>
        <v>MR</v>
      </c>
      <c r="AR943" s="1856">
        <f t="shared" si="209"/>
        <v>44663.666666666664</v>
      </c>
      <c r="AS943" s="927" t="s">
        <v>1639</v>
      </c>
      <c r="AT943" s="1856" t="str">
        <f t="shared" si="201"/>
        <v/>
      </c>
      <c r="AU943" s="1856" t="str">
        <f t="shared" si="202"/>
        <v/>
      </c>
      <c r="AV943" s="1856" t="str">
        <f t="shared" si="203"/>
        <v/>
      </c>
      <c r="AW943" s="1856" t="str">
        <f t="shared" si="204"/>
        <v/>
      </c>
      <c r="AX943" s="1856" t="str">
        <f t="shared" si="205"/>
        <v/>
      </c>
      <c r="AY943" s="1856" t="str">
        <f t="shared" si="206"/>
        <v/>
      </c>
    </row>
    <row r="944" spans="42:52">
      <c r="AP944" s="1855">
        <f t="shared" si="207"/>
        <v>44663</v>
      </c>
      <c r="AQ944" s="925" t="str">
        <f t="shared" si="208"/>
        <v>SS</v>
      </c>
      <c r="AR944" s="1856">
        <f t="shared" si="209"/>
        <v>44663.844444444447</v>
      </c>
      <c r="AS944" s="927" t="s">
        <v>1640</v>
      </c>
      <c r="AT944" s="1856" t="str">
        <f t="shared" si="201"/>
        <v/>
      </c>
      <c r="AU944" s="1856" t="str">
        <f t="shared" si="202"/>
        <v/>
      </c>
      <c r="AV944" s="1856" t="str">
        <f t="shared" si="203"/>
        <v/>
      </c>
      <c r="AW944" s="1856" t="str">
        <f t="shared" si="204"/>
        <v/>
      </c>
      <c r="AX944" s="1856" t="str">
        <f t="shared" si="205"/>
        <v/>
      </c>
      <c r="AY944" s="1856" t="str">
        <f t="shared" si="206"/>
        <v/>
      </c>
    </row>
    <row r="945" spans="42:52">
      <c r="AP945" s="1855">
        <f t="shared" si="207"/>
        <v>44663</v>
      </c>
      <c r="AQ945" s="925" t="str">
        <f t="shared" si="208"/>
        <v>EENT</v>
      </c>
      <c r="AR945" s="1856">
        <f t="shared" si="209"/>
        <v>44663.885416666664</v>
      </c>
      <c r="AS945" s="927" t="s">
        <v>1641</v>
      </c>
      <c r="AT945" s="1856" t="str">
        <f t="shared" si="201"/>
        <v/>
      </c>
      <c r="AU945" s="1856" t="str">
        <f t="shared" si="202"/>
        <v/>
      </c>
      <c r="AV945" s="1856" t="str">
        <f t="shared" si="203"/>
        <v/>
      </c>
      <c r="AW945" s="1856" t="str">
        <f t="shared" si="204"/>
        <v/>
      </c>
      <c r="AX945" s="1856" t="str">
        <f t="shared" si="205"/>
        <v/>
      </c>
      <c r="AY945" s="1856" t="str">
        <f t="shared" si="206"/>
        <v/>
      </c>
    </row>
    <row r="946" spans="42:52">
      <c r="AP946" s="1855">
        <f t="shared" si="207"/>
        <v>44664</v>
      </c>
      <c r="AQ946" s="925" t="str">
        <f t="shared" si="208"/>
        <v/>
      </c>
      <c r="AR946" s="1856" t="str">
        <f t="shared" si="209"/>
        <v/>
      </c>
      <c r="AS946" s="927">
        <v>13</v>
      </c>
      <c r="AT946" s="1856">
        <f t="shared" si="201"/>
        <v>44664.259027777778</v>
      </c>
      <c r="AU946" s="1856">
        <f t="shared" si="202"/>
        <v>44664.299999999996</v>
      </c>
      <c r="AV946" s="1856">
        <f t="shared" si="203"/>
        <v>44664.845138888893</v>
      </c>
      <c r="AW946" s="1856">
        <f t="shared" si="204"/>
        <v>44664.886111111111</v>
      </c>
      <c r="AX946" s="1856">
        <f t="shared" si="205"/>
        <v>44664.712500000001</v>
      </c>
      <c r="AY946" s="1856">
        <f t="shared" si="206"/>
        <v>44664.244444444448</v>
      </c>
      <c r="AZ946" s="1853">
        <v>0.85</v>
      </c>
    </row>
    <row r="947" spans="42:52">
      <c r="AP947" s="1855">
        <f t="shared" si="207"/>
        <v>44664</v>
      </c>
      <c r="AQ947" s="925" t="str">
        <f t="shared" si="208"/>
        <v/>
      </c>
      <c r="AR947" s="1856" t="str">
        <f t="shared" si="209"/>
        <v/>
      </c>
      <c r="AS947" s="927" t="s">
        <v>252</v>
      </c>
      <c r="AT947" s="1856" t="str">
        <f t="shared" si="201"/>
        <v/>
      </c>
      <c r="AU947" s="1856" t="str">
        <f t="shared" si="202"/>
        <v/>
      </c>
      <c r="AV947" s="1856" t="str">
        <f t="shared" si="203"/>
        <v/>
      </c>
      <c r="AW947" s="1856" t="str">
        <f t="shared" si="204"/>
        <v/>
      </c>
      <c r="AX947" s="1856" t="str">
        <f t="shared" si="205"/>
        <v/>
      </c>
      <c r="AY947" s="1856" t="str">
        <f t="shared" si="206"/>
        <v/>
      </c>
    </row>
    <row r="948" spans="42:52">
      <c r="AP948" s="1855">
        <f t="shared" si="207"/>
        <v>44664</v>
      </c>
      <c r="AQ948" s="925" t="str">
        <f t="shared" si="208"/>
        <v/>
      </c>
      <c r="AR948" s="1856" t="str">
        <f t="shared" si="209"/>
        <v/>
      </c>
      <c r="AT948" s="1856" t="str">
        <f t="shared" si="201"/>
        <v/>
      </c>
      <c r="AU948" s="1856" t="str">
        <f t="shared" si="202"/>
        <v/>
      </c>
      <c r="AV948" s="1856" t="str">
        <f t="shared" si="203"/>
        <v/>
      </c>
      <c r="AW948" s="1856" t="str">
        <f t="shared" si="204"/>
        <v/>
      </c>
      <c r="AX948" s="1856" t="str">
        <f t="shared" si="205"/>
        <v/>
      </c>
      <c r="AY948" s="1856" t="str">
        <f t="shared" si="206"/>
        <v/>
      </c>
    </row>
    <row r="949" spans="42:52">
      <c r="AP949" s="1855">
        <f t="shared" si="207"/>
        <v>44664</v>
      </c>
      <c r="AQ949" s="925" t="str">
        <f t="shared" si="208"/>
        <v>MS</v>
      </c>
      <c r="AR949" s="1856">
        <f t="shared" si="209"/>
        <v>44664.244444444448</v>
      </c>
      <c r="AS949" s="927" t="s">
        <v>1642</v>
      </c>
      <c r="AT949" s="1856" t="str">
        <f t="shared" si="201"/>
        <v/>
      </c>
      <c r="AU949" s="1856" t="str">
        <f t="shared" si="202"/>
        <v/>
      </c>
      <c r="AV949" s="1856" t="str">
        <f t="shared" si="203"/>
        <v/>
      </c>
      <c r="AW949" s="1856" t="str">
        <f t="shared" si="204"/>
        <v/>
      </c>
      <c r="AX949" s="1856" t="str">
        <f t="shared" si="205"/>
        <v/>
      </c>
      <c r="AY949" s="1856" t="str">
        <f t="shared" si="206"/>
        <v/>
      </c>
    </row>
    <row r="950" spans="42:52">
      <c r="AP950" s="1855">
        <f t="shared" si="207"/>
        <v>44664</v>
      </c>
      <c r="AQ950" s="925" t="str">
        <f t="shared" si="208"/>
        <v>BMNT</v>
      </c>
      <c r="AR950" s="1856">
        <f t="shared" si="209"/>
        <v>44664.259027777778</v>
      </c>
      <c r="AS950" s="927" t="s">
        <v>1643</v>
      </c>
      <c r="AT950" s="1856" t="str">
        <f t="shared" si="201"/>
        <v/>
      </c>
      <c r="AU950" s="1856" t="str">
        <f t="shared" si="202"/>
        <v/>
      </c>
      <c r="AV950" s="1856" t="str">
        <f t="shared" si="203"/>
        <v/>
      </c>
      <c r="AW950" s="1856" t="str">
        <f t="shared" si="204"/>
        <v/>
      </c>
      <c r="AX950" s="1856" t="str">
        <f t="shared" si="205"/>
        <v/>
      </c>
      <c r="AY950" s="1856" t="str">
        <f t="shared" si="206"/>
        <v/>
      </c>
    </row>
    <row r="951" spans="42:52">
      <c r="AP951" s="1855">
        <f t="shared" si="207"/>
        <v>44664</v>
      </c>
      <c r="AQ951" s="925" t="str">
        <f t="shared" si="208"/>
        <v>SR</v>
      </c>
      <c r="AR951" s="1856">
        <f t="shared" si="209"/>
        <v>44664.299999999996</v>
      </c>
      <c r="AS951" s="927" t="s">
        <v>1463</v>
      </c>
      <c r="AT951" s="1856" t="str">
        <f t="shared" si="201"/>
        <v/>
      </c>
      <c r="AU951" s="1856" t="str">
        <f t="shared" si="202"/>
        <v/>
      </c>
      <c r="AV951" s="1856" t="str">
        <f t="shared" si="203"/>
        <v/>
      </c>
      <c r="AW951" s="1856" t="str">
        <f t="shared" si="204"/>
        <v/>
      </c>
      <c r="AX951" s="1856" t="str">
        <f t="shared" si="205"/>
        <v/>
      </c>
      <c r="AY951" s="1856" t="str">
        <f t="shared" si="206"/>
        <v/>
      </c>
    </row>
    <row r="952" spans="42:52">
      <c r="AP952" s="1855">
        <f t="shared" si="207"/>
        <v>44664</v>
      </c>
      <c r="AQ952" s="925" t="str">
        <f t="shared" si="208"/>
        <v>MR</v>
      </c>
      <c r="AR952" s="1856">
        <f t="shared" si="209"/>
        <v>44664.712500000001</v>
      </c>
      <c r="AS952" s="927" t="s">
        <v>1644</v>
      </c>
      <c r="AT952" s="1856" t="str">
        <f t="shared" si="201"/>
        <v/>
      </c>
      <c r="AU952" s="1856" t="str">
        <f t="shared" si="202"/>
        <v/>
      </c>
      <c r="AV952" s="1856" t="str">
        <f t="shared" si="203"/>
        <v/>
      </c>
      <c r="AW952" s="1856" t="str">
        <f t="shared" si="204"/>
        <v/>
      </c>
      <c r="AX952" s="1856" t="str">
        <f t="shared" si="205"/>
        <v/>
      </c>
      <c r="AY952" s="1856" t="str">
        <f t="shared" si="206"/>
        <v/>
      </c>
    </row>
    <row r="953" spans="42:52">
      <c r="AP953" s="1855">
        <f t="shared" si="207"/>
        <v>44664</v>
      </c>
      <c r="AQ953" s="925" t="str">
        <f t="shared" si="208"/>
        <v>SS</v>
      </c>
      <c r="AR953" s="1856">
        <f t="shared" si="209"/>
        <v>44664.845138888893</v>
      </c>
      <c r="AS953" s="927" t="s">
        <v>1645</v>
      </c>
      <c r="AT953" s="1856" t="str">
        <f t="shared" si="201"/>
        <v/>
      </c>
      <c r="AU953" s="1856" t="str">
        <f t="shared" si="202"/>
        <v/>
      </c>
      <c r="AV953" s="1856" t="str">
        <f t="shared" si="203"/>
        <v/>
      </c>
      <c r="AW953" s="1856" t="str">
        <f t="shared" si="204"/>
        <v/>
      </c>
      <c r="AX953" s="1856" t="str">
        <f t="shared" si="205"/>
        <v/>
      </c>
      <c r="AY953" s="1856" t="str">
        <f t="shared" si="206"/>
        <v/>
      </c>
    </row>
    <row r="954" spans="42:52">
      <c r="AP954" s="1855">
        <f t="shared" si="207"/>
        <v>44664</v>
      </c>
      <c r="AQ954" s="925" t="str">
        <f t="shared" si="208"/>
        <v>EENT</v>
      </c>
      <c r="AR954" s="1856">
        <f t="shared" si="209"/>
        <v>44664.886111111111</v>
      </c>
      <c r="AS954" s="927" t="s">
        <v>1646</v>
      </c>
      <c r="AT954" s="1856" t="str">
        <f t="shared" si="201"/>
        <v/>
      </c>
      <c r="AU954" s="1856" t="str">
        <f t="shared" si="202"/>
        <v/>
      </c>
      <c r="AV954" s="1856" t="str">
        <f t="shared" si="203"/>
        <v/>
      </c>
      <c r="AW954" s="1856" t="str">
        <f t="shared" si="204"/>
        <v/>
      </c>
      <c r="AX954" s="1856" t="str">
        <f t="shared" si="205"/>
        <v/>
      </c>
      <c r="AY954" s="1856" t="str">
        <f t="shared" si="206"/>
        <v/>
      </c>
    </row>
    <row r="955" spans="42:52">
      <c r="AP955" s="1855">
        <f t="shared" si="207"/>
        <v>44665</v>
      </c>
      <c r="AQ955" s="925" t="str">
        <f t="shared" si="208"/>
        <v/>
      </c>
      <c r="AR955" s="1856" t="str">
        <f t="shared" si="209"/>
        <v/>
      </c>
      <c r="AS955" s="927">
        <v>14</v>
      </c>
      <c r="AT955" s="1856">
        <f t="shared" si="201"/>
        <v>44665.257638888892</v>
      </c>
      <c r="AU955" s="1856">
        <f t="shared" si="202"/>
        <v>44665.299305555556</v>
      </c>
      <c r="AV955" s="1856">
        <f t="shared" si="203"/>
        <v>44665.845833333333</v>
      </c>
      <c r="AW955" s="1856">
        <f t="shared" si="204"/>
        <v>44665.886805555558</v>
      </c>
      <c r="AX955" s="1856">
        <f t="shared" si="205"/>
        <v>44665.758333333331</v>
      </c>
      <c r="AY955" s="1856">
        <f t="shared" si="206"/>
        <v>44665.263194444444</v>
      </c>
      <c r="AZ955" s="1853">
        <v>0.92</v>
      </c>
    </row>
    <row r="956" spans="42:52">
      <c r="AP956" s="1855">
        <f t="shared" si="207"/>
        <v>44665</v>
      </c>
      <c r="AQ956" s="925" t="str">
        <f t="shared" si="208"/>
        <v/>
      </c>
      <c r="AR956" s="1856" t="str">
        <f t="shared" si="209"/>
        <v/>
      </c>
      <c r="AS956" s="927" t="s">
        <v>252</v>
      </c>
      <c r="AT956" s="1856" t="str">
        <f t="shared" si="201"/>
        <v/>
      </c>
      <c r="AU956" s="1856" t="str">
        <f t="shared" si="202"/>
        <v/>
      </c>
      <c r="AV956" s="1856" t="str">
        <f t="shared" si="203"/>
        <v/>
      </c>
      <c r="AW956" s="1856" t="str">
        <f t="shared" si="204"/>
        <v/>
      </c>
      <c r="AX956" s="1856" t="str">
        <f t="shared" si="205"/>
        <v/>
      </c>
      <c r="AY956" s="1856" t="str">
        <f t="shared" si="206"/>
        <v/>
      </c>
    </row>
    <row r="957" spans="42:52">
      <c r="AP957" s="1855">
        <f t="shared" si="207"/>
        <v>44665</v>
      </c>
      <c r="AQ957" s="925" t="str">
        <f t="shared" si="208"/>
        <v/>
      </c>
      <c r="AR957" s="1856" t="str">
        <f t="shared" si="209"/>
        <v/>
      </c>
      <c r="AT957" s="1856" t="str">
        <f t="shared" si="201"/>
        <v/>
      </c>
      <c r="AU957" s="1856" t="str">
        <f t="shared" si="202"/>
        <v/>
      </c>
      <c r="AV957" s="1856" t="str">
        <f t="shared" si="203"/>
        <v/>
      </c>
      <c r="AW957" s="1856" t="str">
        <f t="shared" si="204"/>
        <v/>
      </c>
      <c r="AX957" s="1856" t="str">
        <f t="shared" si="205"/>
        <v/>
      </c>
      <c r="AY957" s="1856" t="str">
        <f t="shared" si="206"/>
        <v/>
      </c>
    </row>
    <row r="958" spans="42:52">
      <c r="AP958" s="1855">
        <f t="shared" si="207"/>
        <v>44665</v>
      </c>
      <c r="AQ958" s="925" t="str">
        <f t="shared" si="208"/>
        <v>BMNT</v>
      </c>
      <c r="AR958" s="1856">
        <f t="shared" si="209"/>
        <v>44665.257638888892</v>
      </c>
      <c r="AS958" s="927" t="s">
        <v>1480</v>
      </c>
      <c r="AT958" s="1856" t="str">
        <f t="shared" si="201"/>
        <v/>
      </c>
      <c r="AU958" s="1856" t="str">
        <f t="shared" si="202"/>
        <v/>
      </c>
      <c r="AV958" s="1856" t="str">
        <f t="shared" si="203"/>
        <v/>
      </c>
      <c r="AW958" s="1856" t="str">
        <f t="shared" si="204"/>
        <v/>
      </c>
      <c r="AX958" s="1856" t="str">
        <f t="shared" si="205"/>
        <v/>
      </c>
      <c r="AY958" s="1856" t="str">
        <f t="shared" si="206"/>
        <v/>
      </c>
    </row>
    <row r="959" spans="42:52">
      <c r="AP959" s="1855">
        <f t="shared" si="207"/>
        <v>44665</v>
      </c>
      <c r="AQ959" s="925" t="str">
        <f t="shared" si="208"/>
        <v>MS</v>
      </c>
      <c r="AR959" s="1856">
        <f t="shared" si="209"/>
        <v>44665.263194444444</v>
      </c>
      <c r="AS959" s="927" t="s">
        <v>1647</v>
      </c>
      <c r="AT959" s="1856" t="str">
        <f t="shared" si="201"/>
        <v/>
      </c>
      <c r="AU959" s="1856" t="str">
        <f t="shared" si="202"/>
        <v/>
      </c>
      <c r="AV959" s="1856" t="str">
        <f t="shared" si="203"/>
        <v/>
      </c>
      <c r="AW959" s="1856" t="str">
        <f t="shared" si="204"/>
        <v/>
      </c>
      <c r="AX959" s="1856" t="str">
        <f t="shared" si="205"/>
        <v/>
      </c>
      <c r="AY959" s="1856" t="str">
        <f t="shared" si="206"/>
        <v/>
      </c>
    </row>
    <row r="960" spans="42:52">
      <c r="AP960" s="1855">
        <f t="shared" si="207"/>
        <v>44665</v>
      </c>
      <c r="AQ960" s="925" t="str">
        <f t="shared" si="208"/>
        <v>SR</v>
      </c>
      <c r="AR960" s="1856">
        <f t="shared" si="209"/>
        <v>44665.299305555556</v>
      </c>
      <c r="AS960" s="927" t="s">
        <v>1648</v>
      </c>
      <c r="AT960" s="1856" t="str">
        <f t="shared" si="201"/>
        <v/>
      </c>
      <c r="AU960" s="1856" t="str">
        <f t="shared" si="202"/>
        <v/>
      </c>
      <c r="AV960" s="1856" t="str">
        <f t="shared" si="203"/>
        <v/>
      </c>
      <c r="AW960" s="1856" t="str">
        <f t="shared" si="204"/>
        <v/>
      </c>
      <c r="AX960" s="1856" t="str">
        <f t="shared" si="205"/>
        <v/>
      </c>
      <c r="AY960" s="1856" t="str">
        <f t="shared" si="206"/>
        <v/>
      </c>
    </row>
    <row r="961" spans="42:52">
      <c r="AP961" s="1855">
        <f t="shared" si="207"/>
        <v>44665</v>
      </c>
      <c r="AQ961" s="925" t="str">
        <f t="shared" si="208"/>
        <v>MR</v>
      </c>
      <c r="AR961" s="1856">
        <f t="shared" si="209"/>
        <v>44665.758333333331</v>
      </c>
      <c r="AS961" s="927" t="s">
        <v>1649</v>
      </c>
      <c r="AT961" s="1856" t="str">
        <f t="shared" si="201"/>
        <v/>
      </c>
      <c r="AU961" s="1856" t="str">
        <f t="shared" si="202"/>
        <v/>
      </c>
      <c r="AV961" s="1856" t="str">
        <f t="shared" si="203"/>
        <v/>
      </c>
      <c r="AW961" s="1856" t="str">
        <f t="shared" si="204"/>
        <v/>
      </c>
      <c r="AX961" s="1856" t="str">
        <f t="shared" si="205"/>
        <v/>
      </c>
      <c r="AY961" s="1856" t="str">
        <f t="shared" si="206"/>
        <v/>
      </c>
    </row>
    <row r="962" spans="42:52">
      <c r="AP962" s="1855">
        <f t="shared" si="207"/>
        <v>44665</v>
      </c>
      <c r="AQ962" s="925" t="str">
        <f t="shared" si="208"/>
        <v>SS</v>
      </c>
      <c r="AR962" s="1856">
        <f t="shared" si="209"/>
        <v>44665.845833333333</v>
      </c>
      <c r="AS962" s="927" t="s">
        <v>1650</v>
      </c>
      <c r="AT962" s="1856" t="str">
        <f t="shared" si="201"/>
        <v/>
      </c>
      <c r="AU962" s="1856" t="str">
        <f t="shared" si="202"/>
        <v/>
      </c>
      <c r="AV962" s="1856" t="str">
        <f t="shared" si="203"/>
        <v/>
      </c>
      <c r="AW962" s="1856" t="str">
        <f t="shared" si="204"/>
        <v/>
      </c>
      <c r="AX962" s="1856" t="str">
        <f t="shared" si="205"/>
        <v/>
      </c>
      <c r="AY962" s="1856" t="str">
        <f t="shared" si="206"/>
        <v/>
      </c>
    </row>
    <row r="963" spans="42:52">
      <c r="AP963" s="1855">
        <f t="shared" si="207"/>
        <v>44665</v>
      </c>
      <c r="AQ963" s="925" t="str">
        <f t="shared" si="208"/>
        <v>EENT</v>
      </c>
      <c r="AR963" s="1856">
        <f t="shared" si="209"/>
        <v>44665.886805555558</v>
      </c>
      <c r="AS963" s="927" t="s">
        <v>1651</v>
      </c>
      <c r="AT963" s="1856" t="str">
        <f t="shared" si="201"/>
        <v/>
      </c>
      <c r="AU963" s="1856" t="str">
        <f t="shared" si="202"/>
        <v/>
      </c>
      <c r="AV963" s="1856" t="str">
        <f t="shared" si="203"/>
        <v/>
      </c>
      <c r="AW963" s="1856" t="str">
        <f t="shared" si="204"/>
        <v/>
      </c>
      <c r="AX963" s="1856" t="str">
        <f t="shared" si="205"/>
        <v/>
      </c>
      <c r="AY963" s="1856" t="str">
        <f t="shared" si="206"/>
        <v/>
      </c>
    </row>
    <row r="964" spans="42:52">
      <c r="AP964" s="1855">
        <f t="shared" si="207"/>
        <v>44666</v>
      </c>
      <c r="AQ964" s="925" t="str">
        <f t="shared" si="208"/>
        <v/>
      </c>
      <c r="AR964" s="1856" t="str">
        <f t="shared" si="209"/>
        <v/>
      </c>
      <c r="AS964" s="927">
        <v>15</v>
      </c>
      <c r="AT964" s="1856">
        <f t="shared" si="201"/>
        <v>44666.256944444445</v>
      </c>
      <c r="AU964" s="1856">
        <f t="shared" si="202"/>
        <v>44666.297916666663</v>
      </c>
      <c r="AV964" s="1856">
        <f t="shared" si="203"/>
        <v>44666.84652777778</v>
      </c>
      <c r="AW964" s="1856">
        <f t="shared" si="204"/>
        <v>44666.887499999997</v>
      </c>
      <c r="AX964" s="1856">
        <f t="shared" si="205"/>
        <v>44666.805555555555</v>
      </c>
      <c r="AY964" s="1856">
        <f t="shared" si="206"/>
        <v>44666.28125</v>
      </c>
      <c r="AZ964" s="1853">
        <v>0.97</v>
      </c>
    </row>
    <row r="965" spans="42:52">
      <c r="AP965" s="1855">
        <f t="shared" si="207"/>
        <v>44666</v>
      </c>
      <c r="AQ965" s="925" t="str">
        <f t="shared" si="208"/>
        <v/>
      </c>
      <c r="AR965" s="1856" t="str">
        <f t="shared" si="209"/>
        <v/>
      </c>
      <c r="AS965" s="927" t="s">
        <v>252</v>
      </c>
      <c r="AT965" s="1856" t="str">
        <f t="shared" si="201"/>
        <v/>
      </c>
      <c r="AU965" s="1856" t="str">
        <f t="shared" si="202"/>
        <v/>
      </c>
      <c r="AV965" s="1856" t="str">
        <f t="shared" si="203"/>
        <v/>
      </c>
      <c r="AW965" s="1856" t="str">
        <f t="shared" si="204"/>
        <v/>
      </c>
      <c r="AX965" s="1856" t="str">
        <f t="shared" si="205"/>
        <v/>
      </c>
      <c r="AY965" s="1856" t="str">
        <f t="shared" si="206"/>
        <v/>
      </c>
    </row>
    <row r="966" spans="42:52">
      <c r="AP966" s="1855">
        <f t="shared" si="207"/>
        <v>44666</v>
      </c>
      <c r="AQ966" s="925" t="str">
        <f t="shared" si="208"/>
        <v/>
      </c>
      <c r="AR966" s="1856" t="str">
        <f t="shared" si="209"/>
        <v/>
      </c>
      <c r="AT966" s="1856" t="str">
        <f t="shared" si="201"/>
        <v/>
      </c>
      <c r="AU966" s="1856" t="str">
        <f t="shared" si="202"/>
        <v/>
      </c>
      <c r="AV966" s="1856" t="str">
        <f t="shared" si="203"/>
        <v/>
      </c>
      <c r="AW966" s="1856" t="str">
        <f t="shared" si="204"/>
        <v/>
      </c>
      <c r="AX966" s="1856" t="str">
        <f t="shared" si="205"/>
        <v/>
      </c>
      <c r="AY966" s="1856" t="str">
        <f t="shared" si="206"/>
        <v/>
      </c>
    </row>
    <row r="967" spans="42:52">
      <c r="AP967" s="1855">
        <f t="shared" si="207"/>
        <v>44666</v>
      </c>
      <c r="AQ967" s="925" t="str">
        <f t="shared" si="208"/>
        <v>BMNT</v>
      </c>
      <c r="AR967" s="1856">
        <f t="shared" si="209"/>
        <v>44666.256944444445</v>
      </c>
      <c r="AS967" s="927" t="s">
        <v>1652</v>
      </c>
      <c r="AT967" s="1856" t="str">
        <f t="shared" si="201"/>
        <v/>
      </c>
      <c r="AU967" s="1856" t="str">
        <f t="shared" si="202"/>
        <v/>
      </c>
      <c r="AV967" s="1856" t="str">
        <f t="shared" si="203"/>
        <v/>
      </c>
      <c r="AW967" s="1856" t="str">
        <f t="shared" si="204"/>
        <v/>
      </c>
      <c r="AX967" s="1856" t="str">
        <f t="shared" si="205"/>
        <v/>
      </c>
      <c r="AY967" s="1856" t="str">
        <f t="shared" si="206"/>
        <v/>
      </c>
    </row>
    <row r="968" spans="42:52">
      <c r="AP968" s="1855">
        <f t="shared" si="207"/>
        <v>44666</v>
      </c>
      <c r="AQ968" s="925" t="str">
        <f t="shared" si="208"/>
        <v>MS</v>
      </c>
      <c r="AR968" s="1856">
        <f t="shared" si="209"/>
        <v>44666.28125</v>
      </c>
      <c r="AS968" s="927" t="s">
        <v>1653</v>
      </c>
      <c r="AT968" s="1856" t="str">
        <f t="shared" si="201"/>
        <v/>
      </c>
      <c r="AU968" s="1856" t="str">
        <f t="shared" si="202"/>
        <v/>
      </c>
      <c r="AV968" s="1856" t="str">
        <f t="shared" si="203"/>
        <v/>
      </c>
      <c r="AW968" s="1856" t="str">
        <f t="shared" si="204"/>
        <v/>
      </c>
      <c r="AX968" s="1856" t="str">
        <f t="shared" si="205"/>
        <v/>
      </c>
      <c r="AY968" s="1856" t="str">
        <f t="shared" si="206"/>
        <v/>
      </c>
    </row>
    <row r="969" spans="42:52">
      <c r="AP969" s="1855">
        <f t="shared" si="207"/>
        <v>44666</v>
      </c>
      <c r="AQ969" s="925" t="str">
        <f t="shared" si="208"/>
        <v>SR</v>
      </c>
      <c r="AR969" s="1856">
        <f t="shared" si="209"/>
        <v>44666.297916666663</v>
      </c>
      <c r="AS969" s="927" t="s">
        <v>1475</v>
      </c>
      <c r="AT969" s="1856" t="str">
        <f t="shared" si="201"/>
        <v/>
      </c>
      <c r="AU969" s="1856" t="str">
        <f t="shared" si="202"/>
        <v/>
      </c>
      <c r="AV969" s="1856" t="str">
        <f t="shared" si="203"/>
        <v/>
      </c>
      <c r="AW969" s="1856" t="str">
        <f t="shared" si="204"/>
        <v/>
      </c>
      <c r="AX969" s="1856" t="str">
        <f t="shared" si="205"/>
        <v/>
      </c>
      <c r="AY969" s="1856" t="str">
        <f t="shared" si="206"/>
        <v/>
      </c>
    </row>
    <row r="970" spans="42:52">
      <c r="AP970" s="1855">
        <f t="shared" si="207"/>
        <v>44666</v>
      </c>
      <c r="AQ970" s="925" t="str">
        <f t="shared" si="208"/>
        <v>MR</v>
      </c>
      <c r="AR970" s="1856">
        <f t="shared" si="209"/>
        <v>44666.805555555555</v>
      </c>
      <c r="AS970" s="927" t="s">
        <v>1654</v>
      </c>
      <c r="AT970" s="1856" t="str">
        <f t="shared" si="201"/>
        <v/>
      </c>
      <c r="AU970" s="1856" t="str">
        <f t="shared" si="202"/>
        <v/>
      </c>
      <c r="AV970" s="1856" t="str">
        <f t="shared" si="203"/>
        <v/>
      </c>
      <c r="AW970" s="1856" t="str">
        <f t="shared" si="204"/>
        <v/>
      </c>
      <c r="AX970" s="1856" t="str">
        <f t="shared" si="205"/>
        <v/>
      </c>
      <c r="AY970" s="1856" t="str">
        <f t="shared" si="206"/>
        <v/>
      </c>
    </row>
    <row r="971" spans="42:52">
      <c r="AP971" s="1855">
        <f t="shared" si="207"/>
        <v>44666</v>
      </c>
      <c r="AQ971" s="925" t="str">
        <f t="shared" si="208"/>
        <v>SS</v>
      </c>
      <c r="AR971" s="1856">
        <f t="shared" si="209"/>
        <v>44666.84652777778</v>
      </c>
      <c r="AS971" s="927" t="s">
        <v>1655</v>
      </c>
      <c r="AT971" s="1856" t="str">
        <f t="shared" si="201"/>
        <v/>
      </c>
      <c r="AU971" s="1856" t="str">
        <f t="shared" si="202"/>
        <v/>
      </c>
      <c r="AV971" s="1856" t="str">
        <f t="shared" si="203"/>
        <v/>
      </c>
      <c r="AW971" s="1856" t="str">
        <f t="shared" si="204"/>
        <v/>
      </c>
      <c r="AX971" s="1856" t="str">
        <f t="shared" si="205"/>
        <v/>
      </c>
      <c r="AY971" s="1856" t="str">
        <f t="shared" si="206"/>
        <v/>
      </c>
    </row>
    <row r="972" spans="42:52">
      <c r="AP972" s="1855">
        <f t="shared" si="207"/>
        <v>44666</v>
      </c>
      <c r="AQ972" s="925" t="str">
        <f t="shared" si="208"/>
        <v>EENT</v>
      </c>
      <c r="AR972" s="1856">
        <f t="shared" si="209"/>
        <v>44666.887499999997</v>
      </c>
      <c r="AS972" s="927" t="s">
        <v>1656</v>
      </c>
      <c r="AT972" s="1856" t="str">
        <f t="shared" si="201"/>
        <v/>
      </c>
      <c r="AU972" s="1856" t="str">
        <f t="shared" si="202"/>
        <v/>
      </c>
      <c r="AV972" s="1856" t="str">
        <f t="shared" si="203"/>
        <v/>
      </c>
      <c r="AW972" s="1856" t="str">
        <f t="shared" si="204"/>
        <v/>
      </c>
      <c r="AX972" s="1856" t="str">
        <f t="shared" si="205"/>
        <v/>
      </c>
      <c r="AY972" s="1856" t="str">
        <f t="shared" si="206"/>
        <v/>
      </c>
    </row>
    <row r="973" spans="42:52">
      <c r="AP973" s="1855">
        <f t="shared" si="207"/>
        <v>44667</v>
      </c>
      <c r="AQ973" s="925" t="str">
        <f t="shared" si="208"/>
        <v/>
      </c>
      <c r="AR973" s="1856" t="str">
        <f t="shared" si="209"/>
        <v/>
      </c>
      <c r="AS973" s="927">
        <v>16</v>
      </c>
      <c r="AT973" s="1856">
        <f t="shared" si="201"/>
        <v>44667.255555555559</v>
      </c>
      <c r="AU973" s="1856">
        <f t="shared" si="202"/>
        <v>44667.297222222223</v>
      </c>
      <c r="AV973" s="1856">
        <f t="shared" si="203"/>
        <v>44667.847222222226</v>
      </c>
      <c r="AW973" s="1856">
        <f t="shared" si="204"/>
        <v>44667.888194444444</v>
      </c>
      <c r="AX973" s="1856">
        <f t="shared" si="205"/>
        <v>44667.854166666672</v>
      </c>
      <c r="AY973" s="1856">
        <f t="shared" si="206"/>
        <v>44667.299999999996</v>
      </c>
      <c r="AZ973" s="1853">
        <v>0.99</v>
      </c>
    </row>
    <row r="974" spans="42:52">
      <c r="AP974" s="1855">
        <f t="shared" si="207"/>
        <v>44667</v>
      </c>
      <c r="AQ974" s="925" t="str">
        <f t="shared" si="208"/>
        <v/>
      </c>
      <c r="AR974" s="1856" t="str">
        <f t="shared" si="209"/>
        <v/>
      </c>
      <c r="AS974" s="927" t="s">
        <v>252</v>
      </c>
      <c r="AT974" s="1856" t="str">
        <f t="shared" si="201"/>
        <v/>
      </c>
      <c r="AU974" s="1856" t="str">
        <f t="shared" si="202"/>
        <v/>
      </c>
      <c r="AV974" s="1856" t="str">
        <f t="shared" si="203"/>
        <v/>
      </c>
      <c r="AW974" s="1856" t="str">
        <f t="shared" si="204"/>
        <v/>
      </c>
      <c r="AX974" s="1856" t="str">
        <f t="shared" si="205"/>
        <v/>
      </c>
      <c r="AY974" s="1856" t="str">
        <f t="shared" si="206"/>
        <v/>
      </c>
    </row>
    <row r="975" spans="42:52">
      <c r="AP975" s="1855">
        <f t="shared" si="207"/>
        <v>44667</v>
      </c>
      <c r="AQ975" s="925" t="str">
        <f t="shared" si="208"/>
        <v/>
      </c>
      <c r="AR975" s="1856" t="str">
        <f t="shared" si="209"/>
        <v/>
      </c>
      <c r="AT975" s="1856" t="str">
        <f t="shared" si="201"/>
        <v/>
      </c>
      <c r="AU975" s="1856" t="str">
        <f t="shared" si="202"/>
        <v/>
      </c>
      <c r="AV975" s="1856" t="str">
        <f t="shared" si="203"/>
        <v/>
      </c>
      <c r="AW975" s="1856" t="str">
        <f t="shared" si="204"/>
        <v/>
      </c>
      <c r="AX975" s="1856" t="str">
        <f t="shared" si="205"/>
        <v/>
      </c>
      <c r="AY975" s="1856" t="str">
        <f t="shared" si="206"/>
        <v/>
      </c>
    </row>
    <row r="976" spans="42:52">
      <c r="AP976" s="1855">
        <f t="shared" si="207"/>
        <v>44667</v>
      </c>
      <c r="AQ976" s="925" t="str">
        <f t="shared" si="208"/>
        <v>BMNT</v>
      </c>
      <c r="AR976" s="1856">
        <f t="shared" si="209"/>
        <v>44667.255555555559</v>
      </c>
      <c r="AS976" s="927" t="s">
        <v>1492</v>
      </c>
      <c r="AT976" s="1856" t="str">
        <f t="shared" si="201"/>
        <v/>
      </c>
      <c r="AU976" s="1856" t="str">
        <f t="shared" si="202"/>
        <v/>
      </c>
      <c r="AV976" s="1856" t="str">
        <f t="shared" si="203"/>
        <v/>
      </c>
      <c r="AW976" s="1856" t="str">
        <f t="shared" si="204"/>
        <v/>
      </c>
      <c r="AX976" s="1856" t="str">
        <f t="shared" si="205"/>
        <v/>
      </c>
      <c r="AY976" s="1856" t="str">
        <f t="shared" si="206"/>
        <v/>
      </c>
    </row>
    <row r="977" spans="42:52">
      <c r="AP977" s="1855">
        <f t="shared" si="207"/>
        <v>44667</v>
      </c>
      <c r="AQ977" s="925" t="str">
        <f t="shared" si="208"/>
        <v>SR</v>
      </c>
      <c r="AR977" s="1856">
        <f t="shared" si="209"/>
        <v>44667.297222222223</v>
      </c>
      <c r="AS977" s="927" t="s">
        <v>1657</v>
      </c>
      <c r="AT977" s="1856" t="str">
        <f t="shared" si="201"/>
        <v/>
      </c>
      <c r="AU977" s="1856" t="str">
        <f t="shared" si="202"/>
        <v/>
      </c>
      <c r="AV977" s="1856" t="str">
        <f t="shared" si="203"/>
        <v/>
      </c>
      <c r="AW977" s="1856" t="str">
        <f t="shared" si="204"/>
        <v/>
      </c>
      <c r="AX977" s="1856" t="str">
        <f t="shared" si="205"/>
        <v/>
      </c>
      <c r="AY977" s="1856" t="str">
        <f t="shared" si="206"/>
        <v/>
      </c>
    </row>
    <row r="978" spans="42:52">
      <c r="AP978" s="1855">
        <f t="shared" si="207"/>
        <v>44667</v>
      </c>
      <c r="AQ978" s="925" t="str">
        <f t="shared" si="208"/>
        <v>MS</v>
      </c>
      <c r="AR978" s="1856">
        <f t="shared" si="209"/>
        <v>44667.299999999996</v>
      </c>
      <c r="AS978" s="927" t="s">
        <v>1658</v>
      </c>
      <c r="AT978" s="1856" t="str">
        <f t="shared" si="201"/>
        <v/>
      </c>
      <c r="AU978" s="1856" t="str">
        <f t="shared" si="202"/>
        <v/>
      </c>
      <c r="AV978" s="1856" t="str">
        <f t="shared" si="203"/>
        <v/>
      </c>
      <c r="AW978" s="1856" t="str">
        <f t="shared" si="204"/>
        <v/>
      </c>
      <c r="AX978" s="1856" t="str">
        <f t="shared" si="205"/>
        <v/>
      </c>
      <c r="AY978" s="1856" t="str">
        <f t="shared" si="206"/>
        <v/>
      </c>
    </row>
    <row r="979" spans="42:52">
      <c r="AP979" s="1855">
        <f t="shared" si="207"/>
        <v>44667</v>
      </c>
      <c r="AQ979" s="925" t="str">
        <f t="shared" si="208"/>
        <v>SS</v>
      </c>
      <c r="AR979" s="1856">
        <f t="shared" si="209"/>
        <v>44667.847222222226</v>
      </c>
      <c r="AS979" s="927" t="s">
        <v>1659</v>
      </c>
      <c r="AT979" s="1856" t="str">
        <f t="shared" si="201"/>
        <v/>
      </c>
      <c r="AU979" s="1856" t="str">
        <f t="shared" si="202"/>
        <v/>
      </c>
      <c r="AV979" s="1856" t="str">
        <f t="shared" si="203"/>
        <v/>
      </c>
      <c r="AW979" s="1856" t="str">
        <f t="shared" si="204"/>
        <v/>
      </c>
      <c r="AX979" s="1856" t="str">
        <f t="shared" si="205"/>
        <v/>
      </c>
      <c r="AY979" s="1856" t="str">
        <f t="shared" si="206"/>
        <v/>
      </c>
    </row>
    <row r="980" spans="42:52">
      <c r="AP980" s="1855">
        <f t="shared" si="207"/>
        <v>44667</v>
      </c>
      <c r="AQ980" s="925" t="str">
        <f t="shared" si="208"/>
        <v>MR</v>
      </c>
      <c r="AR980" s="1856">
        <f t="shared" si="209"/>
        <v>44667.854166666672</v>
      </c>
      <c r="AS980" s="927" t="s">
        <v>1660</v>
      </c>
      <c r="AT980" s="1856" t="str">
        <f t="shared" si="201"/>
        <v/>
      </c>
      <c r="AU980" s="1856" t="str">
        <f t="shared" si="202"/>
        <v/>
      </c>
      <c r="AV980" s="1856" t="str">
        <f t="shared" si="203"/>
        <v/>
      </c>
      <c r="AW980" s="1856" t="str">
        <f t="shared" si="204"/>
        <v/>
      </c>
      <c r="AX980" s="1856" t="str">
        <f t="shared" si="205"/>
        <v/>
      </c>
      <c r="AY980" s="1856" t="str">
        <f t="shared" si="206"/>
        <v/>
      </c>
    </row>
    <row r="981" spans="42:52">
      <c r="AP981" s="1855">
        <f t="shared" si="207"/>
        <v>44667</v>
      </c>
      <c r="AQ981" s="925" t="str">
        <f t="shared" si="208"/>
        <v>EENT</v>
      </c>
      <c r="AR981" s="1856">
        <f t="shared" si="209"/>
        <v>44667.888194444444</v>
      </c>
      <c r="AS981" s="927" t="s">
        <v>1661</v>
      </c>
      <c r="AT981" s="1856" t="str">
        <f t="shared" si="201"/>
        <v/>
      </c>
      <c r="AU981" s="1856" t="str">
        <f t="shared" si="202"/>
        <v/>
      </c>
      <c r="AV981" s="1856" t="str">
        <f t="shared" si="203"/>
        <v/>
      </c>
      <c r="AW981" s="1856" t="str">
        <f t="shared" si="204"/>
        <v/>
      </c>
      <c r="AX981" s="1856" t="str">
        <f t="shared" si="205"/>
        <v/>
      </c>
      <c r="AY981" s="1856" t="str">
        <f t="shared" si="206"/>
        <v/>
      </c>
    </row>
    <row r="982" spans="42:52">
      <c r="AP982" s="1855">
        <f t="shared" si="207"/>
        <v>44668</v>
      </c>
      <c r="AQ982" s="925" t="str">
        <f t="shared" si="208"/>
        <v/>
      </c>
      <c r="AR982" s="1856" t="str">
        <f t="shared" si="209"/>
        <v/>
      </c>
      <c r="AS982" s="927">
        <v>17</v>
      </c>
      <c r="AT982" s="1856">
        <f t="shared" si="201"/>
        <v>44668.254861111112</v>
      </c>
      <c r="AU982" s="1856">
        <f t="shared" si="202"/>
        <v>44668.29583333333</v>
      </c>
      <c r="AV982" s="1856">
        <f t="shared" si="203"/>
        <v>44668.847916666666</v>
      </c>
      <c r="AW982" s="1856">
        <f t="shared" si="204"/>
        <v>44668.888888888891</v>
      </c>
      <c r="AX982" s="1856">
        <f t="shared" si="205"/>
        <v>44668.904861111114</v>
      </c>
      <c r="AY982" s="1856">
        <f t="shared" si="206"/>
        <v>44668.320138888885</v>
      </c>
      <c r="AZ982" s="1853">
        <v>1</v>
      </c>
    </row>
    <row r="983" spans="42:52">
      <c r="AP983" s="1855">
        <f t="shared" si="207"/>
        <v>44668</v>
      </c>
      <c r="AQ983" s="925" t="str">
        <f t="shared" si="208"/>
        <v/>
      </c>
      <c r="AR983" s="1856" t="str">
        <f t="shared" si="209"/>
        <v/>
      </c>
      <c r="AS983" s="927" t="s">
        <v>252</v>
      </c>
      <c r="AT983" s="1856" t="str">
        <f t="shared" si="201"/>
        <v/>
      </c>
      <c r="AU983" s="1856" t="str">
        <f t="shared" si="202"/>
        <v/>
      </c>
      <c r="AV983" s="1856" t="str">
        <f t="shared" si="203"/>
        <v/>
      </c>
      <c r="AW983" s="1856" t="str">
        <f t="shared" si="204"/>
        <v/>
      </c>
      <c r="AX983" s="1856" t="str">
        <f t="shared" si="205"/>
        <v/>
      </c>
      <c r="AY983" s="1856" t="str">
        <f t="shared" si="206"/>
        <v/>
      </c>
    </row>
    <row r="984" spans="42:52">
      <c r="AP984" s="1855">
        <f t="shared" si="207"/>
        <v>44668</v>
      </c>
      <c r="AQ984" s="925" t="str">
        <f t="shared" si="208"/>
        <v/>
      </c>
      <c r="AR984" s="1856" t="str">
        <f t="shared" si="209"/>
        <v/>
      </c>
      <c r="AT984" s="1856" t="str">
        <f t="shared" si="201"/>
        <v/>
      </c>
      <c r="AU984" s="1856" t="str">
        <f t="shared" si="202"/>
        <v/>
      </c>
      <c r="AV984" s="1856" t="str">
        <f t="shared" si="203"/>
        <v/>
      </c>
      <c r="AW984" s="1856" t="str">
        <f t="shared" si="204"/>
        <v/>
      </c>
      <c r="AX984" s="1856" t="str">
        <f t="shared" si="205"/>
        <v/>
      </c>
      <c r="AY984" s="1856" t="str">
        <f t="shared" si="206"/>
        <v/>
      </c>
    </row>
    <row r="985" spans="42:52">
      <c r="AP985" s="1855">
        <f t="shared" si="207"/>
        <v>44668</v>
      </c>
      <c r="AQ985" s="925" t="str">
        <f t="shared" si="208"/>
        <v>BMNT</v>
      </c>
      <c r="AR985" s="1856">
        <f t="shared" si="209"/>
        <v>44668.254861111112</v>
      </c>
      <c r="AS985" s="927" t="s">
        <v>1662</v>
      </c>
      <c r="AT985" s="1856" t="str">
        <f t="shared" si="201"/>
        <v/>
      </c>
      <c r="AU985" s="1856" t="str">
        <f t="shared" si="202"/>
        <v/>
      </c>
      <c r="AV985" s="1856" t="str">
        <f t="shared" si="203"/>
        <v/>
      </c>
      <c r="AW985" s="1856" t="str">
        <f t="shared" si="204"/>
        <v/>
      </c>
      <c r="AX985" s="1856" t="str">
        <f t="shared" si="205"/>
        <v/>
      </c>
      <c r="AY985" s="1856" t="str">
        <f t="shared" si="206"/>
        <v/>
      </c>
    </row>
    <row r="986" spans="42:52">
      <c r="AP986" s="1855">
        <f t="shared" si="207"/>
        <v>44668</v>
      </c>
      <c r="AQ986" s="925" t="str">
        <f t="shared" si="208"/>
        <v>SR</v>
      </c>
      <c r="AR986" s="1856">
        <f t="shared" si="209"/>
        <v>44668.29583333333</v>
      </c>
      <c r="AS986" s="927" t="s">
        <v>1487</v>
      </c>
      <c r="AT986" s="1856" t="str">
        <f t="shared" si="201"/>
        <v/>
      </c>
      <c r="AU986" s="1856" t="str">
        <f t="shared" si="202"/>
        <v/>
      </c>
      <c r="AV986" s="1856" t="str">
        <f t="shared" si="203"/>
        <v/>
      </c>
      <c r="AW986" s="1856" t="str">
        <f t="shared" si="204"/>
        <v/>
      </c>
      <c r="AX986" s="1856" t="str">
        <f t="shared" si="205"/>
        <v/>
      </c>
      <c r="AY986" s="1856" t="str">
        <f t="shared" si="206"/>
        <v/>
      </c>
    </row>
    <row r="987" spans="42:52">
      <c r="AP987" s="1855">
        <f t="shared" si="207"/>
        <v>44668</v>
      </c>
      <c r="AQ987" s="925" t="str">
        <f t="shared" si="208"/>
        <v>MS</v>
      </c>
      <c r="AR987" s="1856">
        <f t="shared" si="209"/>
        <v>44668.320138888885</v>
      </c>
      <c r="AS987" s="927" t="s">
        <v>1663</v>
      </c>
      <c r="AT987" s="1856" t="str">
        <f t="shared" si="201"/>
        <v/>
      </c>
      <c r="AU987" s="1856" t="str">
        <f t="shared" si="202"/>
        <v/>
      </c>
      <c r="AV987" s="1856" t="str">
        <f t="shared" si="203"/>
        <v/>
      </c>
      <c r="AW987" s="1856" t="str">
        <f t="shared" si="204"/>
        <v/>
      </c>
      <c r="AX987" s="1856" t="str">
        <f t="shared" si="205"/>
        <v/>
      </c>
      <c r="AY987" s="1856" t="str">
        <f t="shared" si="206"/>
        <v/>
      </c>
    </row>
    <row r="988" spans="42:52">
      <c r="AP988" s="1855">
        <f t="shared" si="207"/>
        <v>44668</v>
      </c>
      <c r="AQ988" s="925" t="str">
        <f t="shared" si="208"/>
        <v>SS</v>
      </c>
      <c r="AR988" s="1856">
        <f t="shared" si="209"/>
        <v>44668.847916666666</v>
      </c>
      <c r="AS988" s="927" t="s">
        <v>1664</v>
      </c>
      <c r="AT988" s="1856" t="str">
        <f t="shared" ref="AT988:AT1051" si="210">IF(ISNUMBER(AS988),INDEX(AR989:AR999,MATCH($AT$27,AQ989:AQ999,0)),"")</f>
        <v/>
      </c>
      <c r="AU988" s="1856" t="str">
        <f t="shared" ref="AU988:AU1051" si="211">IF(AT988="","",INDEX(AR989:AR999,MATCH($AU$27,AQ989:AQ999,0)))</f>
        <v/>
      </c>
      <c r="AV988" s="1856" t="str">
        <f t="shared" ref="AV988:AV1051" si="212">IF(AT988="","",INDEX(AR989:AR999,MATCH($AV$27,AQ989:AQ999,0)))</f>
        <v/>
      </c>
      <c r="AW988" s="1856" t="str">
        <f t="shared" ref="AW988:AW1051" si="213">IF(AT988="","",INDEX(AR989:AR999,MATCH($AW$27,AQ989:AQ999,0)))</f>
        <v/>
      </c>
      <c r="AX988" s="1856" t="str">
        <f t="shared" ref="AX988:AX1051" si="214">IF(AT988="","",INDEX(AR989:AR999,MATCH($AX$27,AQ989:AQ999,0)))</f>
        <v/>
      </c>
      <c r="AY988" s="1856" t="str">
        <f t="shared" ref="AY988:AY1051" si="215">IF(AT988="","",INDEX(AR989:AR999,MATCH($AY$27,AQ989:AQ999,0)))</f>
        <v/>
      </c>
    </row>
    <row r="989" spans="42:52">
      <c r="AP989" s="1855">
        <f t="shared" si="207"/>
        <v>44668</v>
      </c>
      <c r="AQ989" s="925" t="str">
        <f t="shared" si="208"/>
        <v>EENT</v>
      </c>
      <c r="AR989" s="1856">
        <f t="shared" si="209"/>
        <v>44668.888888888891</v>
      </c>
      <c r="AS989" s="927" t="s">
        <v>1665</v>
      </c>
      <c r="AT989" s="1856" t="str">
        <f t="shared" si="210"/>
        <v/>
      </c>
      <c r="AU989" s="1856" t="str">
        <f t="shared" si="211"/>
        <v/>
      </c>
      <c r="AV989" s="1856" t="str">
        <f t="shared" si="212"/>
        <v/>
      </c>
      <c r="AW989" s="1856" t="str">
        <f t="shared" si="213"/>
        <v/>
      </c>
      <c r="AX989" s="1856" t="str">
        <f t="shared" si="214"/>
        <v/>
      </c>
      <c r="AY989" s="1856" t="str">
        <f t="shared" si="215"/>
        <v/>
      </c>
    </row>
    <row r="990" spans="42:52">
      <c r="AP990" s="1855">
        <f t="shared" si="207"/>
        <v>44668</v>
      </c>
      <c r="AQ990" s="925" t="str">
        <f t="shared" si="208"/>
        <v>MR</v>
      </c>
      <c r="AR990" s="1856">
        <f t="shared" si="209"/>
        <v>44668.904861111114</v>
      </c>
      <c r="AS990" s="927" t="s">
        <v>1392</v>
      </c>
      <c r="AT990" s="1856" t="str">
        <f t="shared" si="210"/>
        <v/>
      </c>
      <c r="AU990" s="1856" t="str">
        <f t="shared" si="211"/>
        <v/>
      </c>
      <c r="AV990" s="1856" t="str">
        <f t="shared" si="212"/>
        <v/>
      </c>
      <c r="AW990" s="1856" t="str">
        <f t="shared" si="213"/>
        <v/>
      </c>
      <c r="AX990" s="1856" t="str">
        <f t="shared" si="214"/>
        <v/>
      </c>
      <c r="AY990" s="1856" t="str">
        <f t="shared" si="215"/>
        <v/>
      </c>
    </row>
    <row r="991" spans="42:52">
      <c r="AP991" s="1855">
        <f t="shared" si="207"/>
        <v>44669</v>
      </c>
      <c r="AQ991" s="925" t="str">
        <f t="shared" si="208"/>
        <v/>
      </c>
      <c r="AR991" s="1856" t="str">
        <f t="shared" si="209"/>
        <v/>
      </c>
      <c r="AS991" s="927">
        <v>18</v>
      </c>
      <c r="AT991" s="1856">
        <f t="shared" si="210"/>
        <v>44669.253472222219</v>
      </c>
      <c r="AU991" s="1856">
        <f t="shared" si="211"/>
        <v>44669.295138888883</v>
      </c>
      <c r="AV991" s="1856">
        <f t="shared" si="212"/>
        <v>44669.848611111112</v>
      </c>
      <c r="AW991" s="1856">
        <f t="shared" si="213"/>
        <v>44669.890277777777</v>
      </c>
      <c r="AX991" s="1856">
        <f t="shared" si="214"/>
        <v>44669.957638888889</v>
      </c>
      <c r="AY991" s="1856">
        <f t="shared" si="215"/>
        <v>44669.34375</v>
      </c>
      <c r="AZ991" s="1853">
        <v>0.97</v>
      </c>
    </row>
    <row r="992" spans="42:52">
      <c r="AP992" s="1855">
        <f t="shared" si="207"/>
        <v>44669</v>
      </c>
      <c r="AQ992" s="925" t="str">
        <f t="shared" si="208"/>
        <v/>
      </c>
      <c r="AR992" s="1856" t="str">
        <f t="shared" si="209"/>
        <v/>
      </c>
      <c r="AS992" s="927" t="s">
        <v>252</v>
      </c>
      <c r="AT992" s="1856" t="str">
        <f t="shared" si="210"/>
        <v/>
      </c>
      <c r="AU992" s="1856" t="str">
        <f t="shared" si="211"/>
        <v/>
      </c>
      <c r="AV992" s="1856" t="str">
        <f t="shared" si="212"/>
        <v/>
      </c>
      <c r="AW992" s="1856" t="str">
        <f t="shared" si="213"/>
        <v/>
      </c>
      <c r="AX992" s="1856" t="str">
        <f t="shared" si="214"/>
        <v/>
      </c>
      <c r="AY992" s="1856" t="str">
        <f t="shared" si="215"/>
        <v/>
      </c>
    </row>
    <row r="993" spans="42:52">
      <c r="AP993" s="1855">
        <f t="shared" si="207"/>
        <v>44669</v>
      </c>
      <c r="AQ993" s="925" t="str">
        <f t="shared" si="208"/>
        <v/>
      </c>
      <c r="AR993" s="1856" t="str">
        <f t="shared" si="209"/>
        <v/>
      </c>
      <c r="AT993" s="1856" t="str">
        <f t="shared" si="210"/>
        <v/>
      </c>
      <c r="AU993" s="1856" t="str">
        <f t="shared" si="211"/>
        <v/>
      </c>
      <c r="AV993" s="1856" t="str">
        <f t="shared" si="212"/>
        <v/>
      </c>
      <c r="AW993" s="1856" t="str">
        <f t="shared" si="213"/>
        <v/>
      </c>
      <c r="AX993" s="1856" t="str">
        <f t="shared" si="214"/>
        <v/>
      </c>
      <c r="AY993" s="1856" t="str">
        <f t="shared" si="215"/>
        <v/>
      </c>
    </row>
    <row r="994" spans="42:52">
      <c r="AP994" s="1855">
        <f t="shared" si="207"/>
        <v>44669</v>
      </c>
      <c r="AQ994" s="925" t="str">
        <f t="shared" si="208"/>
        <v>BMNT</v>
      </c>
      <c r="AR994" s="1856">
        <f t="shared" si="209"/>
        <v>44669.253472222219</v>
      </c>
      <c r="AS994" s="927" t="s">
        <v>1504</v>
      </c>
      <c r="AT994" s="1856" t="str">
        <f t="shared" si="210"/>
        <v/>
      </c>
      <c r="AU994" s="1856" t="str">
        <f t="shared" si="211"/>
        <v/>
      </c>
      <c r="AV994" s="1856" t="str">
        <f t="shared" si="212"/>
        <v/>
      </c>
      <c r="AW994" s="1856" t="str">
        <f t="shared" si="213"/>
        <v/>
      </c>
      <c r="AX994" s="1856" t="str">
        <f t="shared" si="214"/>
        <v/>
      </c>
      <c r="AY994" s="1856" t="str">
        <f t="shared" si="215"/>
        <v/>
      </c>
    </row>
    <row r="995" spans="42:52">
      <c r="AP995" s="1855">
        <f t="shared" si="207"/>
        <v>44669</v>
      </c>
      <c r="AQ995" s="925" t="str">
        <f t="shared" si="208"/>
        <v>SR</v>
      </c>
      <c r="AR995" s="1856">
        <f t="shared" si="209"/>
        <v>44669.295138888883</v>
      </c>
      <c r="AS995" s="927" t="s">
        <v>1493</v>
      </c>
      <c r="AT995" s="1856" t="str">
        <f t="shared" si="210"/>
        <v/>
      </c>
      <c r="AU995" s="1856" t="str">
        <f t="shared" si="211"/>
        <v/>
      </c>
      <c r="AV995" s="1856" t="str">
        <f t="shared" si="212"/>
        <v/>
      </c>
      <c r="AW995" s="1856" t="str">
        <f t="shared" si="213"/>
        <v/>
      </c>
      <c r="AX995" s="1856" t="str">
        <f t="shared" si="214"/>
        <v/>
      </c>
      <c r="AY995" s="1856" t="str">
        <f t="shared" si="215"/>
        <v/>
      </c>
    </row>
    <row r="996" spans="42:52">
      <c r="AP996" s="1855">
        <f t="shared" si="207"/>
        <v>44669</v>
      </c>
      <c r="AQ996" s="925" t="str">
        <f t="shared" si="208"/>
        <v>MS</v>
      </c>
      <c r="AR996" s="1856">
        <f t="shared" si="209"/>
        <v>44669.34375</v>
      </c>
      <c r="AS996" s="927" t="s">
        <v>1666</v>
      </c>
      <c r="AT996" s="1856" t="str">
        <f t="shared" si="210"/>
        <v/>
      </c>
      <c r="AU996" s="1856" t="str">
        <f t="shared" si="211"/>
        <v/>
      </c>
      <c r="AV996" s="1856" t="str">
        <f t="shared" si="212"/>
        <v/>
      </c>
      <c r="AW996" s="1856" t="str">
        <f t="shared" si="213"/>
        <v/>
      </c>
      <c r="AX996" s="1856" t="str">
        <f t="shared" si="214"/>
        <v/>
      </c>
      <c r="AY996" s="1856" t="str">
        <f t="shared" si="215"/>
        <v/>
      </c>
    </row>
    <row r="997" spans="42:52">
      <c r="AP997" s="1855">
        <f t="shared" ref="AP997:AP1060" si="216">IF(ISNUMBER(AS997),AP996+1,AP996)</f>
        <v>44669</v>
      </c>
      <c r="AQ997" s="925" t="str">
        <f t="shared" ref="AQ997:AQ1060" si="217">IF(NOT(ISNUMBER(FIND(":",AS997))),"",IF(ISNUMBER(FIND("Sunr",AS997)),"SR", IF(ISNUMBER(FIND("Suns",AS997)),"SS",IF(ISNUMBER(FIND("Moonr",AS997)),"MR",IF(ISNUMBER(FIND("Moons",AS997)),"MS",IF(ISNUMBER(FIND("Twi",AS997)),IF(HOUR(AR997)&lt;12,"BMNT","EENT")))))))</f>
        <v>SS</v>
      </c>
      <c r="AR997" s="1856">
        <f t="shared" si="209"/>
        <v>44669.848611111112</v>
      </c>
      <c r="AS997" s="927" t="s">
        <v>1667</v>
      </c>
      <c r="AT997" s="1856" t="str">
        <f t="shared" si="210"/>
        <v/>
      </c>
      <c r="AU997" s="1856" t="str">
        <f t="shared" si="211"/>
        <v/>
      </c>
      <c r="AV997" s="1856" t="str">
        <f t="shared" si="212"/>
        <v/>
      </c>
      <c r="AW997" s="1856" t="str">
        <f t="shared" si="213"/>
        <v/>
      </c>
      <c r="AX997" s="1856" t="str">
        <f t="shared" si="214"/>
        <v/>
      </c>
      <c r="AY997" s="1856" t="str">
        <f t="shared" si="215"/>
        <v/>
      </c>
    </row>
    <row r="998" spans="42:52">
      <c r="AP998" s="1855">
        <f t="shared" si="216"/>
        <v>44669</v>
      </c>
      <c r="AQ998" s="925" t="str">
        <f t="shared" si="217"/>
        <v>EENT</v>
      </c>
      <c r="AR998" s="1856">
        <f t="shared" si="209"/>
        <v>44669.890277777777</v>
      </c>
      <c r="AS998" s="927" t="s">
        <v>1668</v>
      </c>
      <c r="AT998" s="1856" t="str">
        <f t="shared" si="210"/>
        <v/>
      </c>
      <c r="AU998" s="1856" t="str">
        <f t="shared" si="211"/>
        <v/>
      </c>
      <c r="AV998" s="1856" t="str">
        <f t="shared" si="212"/>
        <v/>
      </c>
      <c r="AW998" s="1856" t="str">
        <f t="shared" si="213"/>
        <v/>
      </c>
      <c r="AX998" s="1856" t="str">
        <f t="shared" si="214"/>
        <v/>
      </c>
      <c r="AY998" s="1856" t="str">
        <f t="shared" si="215"/>
        <v/>
      </c>
    </row>
    <row r="999" spans="42:52">
      <c r="AP999" s="1855">
        <f t="shared" si="216"/>
        <v>44669</v>
      </c>
      <c r="AQ999" s="925" t="str">
        <f t="shared" si="217"/>
        <v>MR</v>
      </c>
      <c r="AR999" s="1856">
        <f t="shared" si="209"/>
        <v>44669.957638888889</v>
      </c>
      <c r="AS999" s="927" t="s">
        <v>1669</v>
      </c>
      <c r="AT999" s="1856" t="str">
        <f t="shared" si="210"/>
        <v/>
      </c>
      <c r="AU999" s="1856" t="str">
        <f t="shared" si="211"/>
        <v/>
      </c>
      <c r="AV999" s="1856" t="str">
        <f t="shared" si="212"/>
        <v/>
      </c>
      <c r="AW999" s="1856" t="str">
        <f t="shared" si="213"/>
        <v/>
      </c>
      <c r="AX999" s="1856" t="str">
        <f t="shared" si="214"/>
        <v/>
      </c>
      <c r="AY999" s="1856" t="str">
        <f t="shared" si="215"/>
        <v/>
      </c>
    </row>
    <row r="1000" spans="42:52">
      <c r="AP1000" s="1855">
        <f t="shared" si="216"/>
        <v>44670</v>
      </c>
      <c r="AQ1000" s="925" t="str">
        <f t="shared" si="217"/>
        <v/>
      </c>
      <c r="AR1000" s="1856" t="str">
        <f t="shared" si="209"/>
        <v/>
      </c>
      <c r="AS1000" s="927">
        <v>19</v>
      </c>
      <c r="AT1000" s="1856">
        <f t="shared" si="210"/>
        <v>44670.252083333333</v>
      </c>
      <c r="AU1000" s="1856">
        <f t="shared" si="211"/>
        <v>44670.294444444444</v>
      </c>
      <c r="AV1000" s="1856">
        <f t="shared" si="212"/>
        <v>44670.849305555559</v>
      </c>
      <c r="AW1000" s="1856">
        <f t="shared" si="213"/>
        <v>44670.890972222223</v>
      </c>
      <c r="AX1000" s="1856" t="str">
        <f t="shared" si="214"/>
        <v>NONE</v>
      </c>
      <c r="AY1000" s="1856">
        <f t="shared" si="215"/>
        <v>44670.371527777781</v>
      </c>
      <c r="AZ1000" s="1853">
        <v>0.92</v>
      </c>
    </row>
    <row r="1001" spans="42:52">
      <c r="AP1001" s="1855">
        <f t="shared" si="216"/>
        <v>44670</v>
      </c>
      <c r="AQ1001" s="925" t="str">
        <f t="shared" si="217"/>
        <v/>
      </c>
      <c r="AR1001" s="1856" t="str">
        <f t="shared" ref="AR1001:AR1064" si="218">IF(NOT(ISNUMBER(FIND(":",AS1001))),"",IF(ISNUMBER(FIND(" none",AS1001)),"NONE",AP1001+LEFT(RIGHT(AS1001,5),2)/24+RIGHT(AS1001,2)/1440))</f>
        <v/>
      </c>
      <c r="AS1001" s="927" t="s">
        <v>252</v>
      </c>
      <c r="AT1001" s="1856" t="str">
        <f t="shared" si="210"/>
        <v/>
      </c>
      <c r="AU1001" s="1856" t="str">
        <f t="shared" si="211"/>
        <v/>
      </c>
      <c r="AV1001" s="1856" t="str">
        <f t="shared" si="212"/>
        <v/>
      </c>
      <c r="AW1001" s="1856" t="str">
        <f t="shared" si="213"/>
        <v/>
      </c>
      <c r="AX1001" s="1856" t="str">
        <f t="shared" si="214"/>
        <v/>
      </c>
      <c r="AY1001" s="1856" t="str">
        <f t="shared" si="215"/>
        <v/>
      </c>
    </row>
    <row r="1002" spans="42:52">
      <c r="AP1002" s="1855">
        <f t="shared" si="216"/>
        <v>44670</v>
      </c>
      <c r="AQ1002" s="925" t="str">
        <f t="shared" si="217"/>
        <v/>
      </c>
      <c r="AR1002" s="1856" t="str">
        <f t="shared" si="218"/>
        <v/>
      </c>
      <c r="AT1002" s="1856" t="str">
        <f t="shared" si="210"/>
        <v/>
      </c>
      <c r="AU1002" s="1856" t="str">
        <f t="shared" si="211"/>
        <v/>
      </c>
      <c r="AV1002" s="1856" t="str">
        <f t="shared" si="212"/>
        <v/>
      </c>
      <c r="AW1002" s="1856" t="str">
        <f t="shared" si="213"/>
        <v/>
      </c>
      <c r="AX1002" s="1856" t="str">
        <f t="shared" si="214"/>
        <v/>
      </c>
      <c r="AY1002" s="1856" t="str">
        <f t="shared" si="215"/>
        <v/>
      </c>
    </row>
    <row r="1003" spans="42:52">
      <c r="AP1003" s="1855">
        <f t="shared" si="216"/>
        <v>44670</v>
      </c>
      <c r="AQ1003" s="925" t="str">
        <f t="shared" si="217"/>
        <v>BMNT</v>
      </c>
      <c r="AR1003" s="1856">
        <f t="shared" si="218"/>
        <v>44670.252083333333</v>
      </c>
      <c r="AS1003" s="927" t="s">
        <v>1510</v>
      </c>
      <c r="AT1003" s="1856" t="str">
        <f t="shared" si="210"/>
        <v/>
      </c>
      <c r="AU1003" s="1856" t="str">
        <f t="shared" si="211"/>
        <v/>
      </c>
      <c r="AV1003" s="1856" t="str">
        <f t="shared" si="212"/>
        <v/>
      </c>
      <c r="AW1003" s="1856" t="str">
        <f t="shared" si="213"/>
        <v/>
      </c>
      <c r="AX1003" s="1856" t="str">
        <f t="shared" si="214"/>
        <v/>
      </c>
      <c r="AY1003" s="1856" t="str">
        <f t="shared" si="215"/>
        <v/>
      </c>
    </row>
    <row r="1004" spans="42:52">
      <c r="AP1004" s="1855">
        <f t="shared" si="216"/>
        <v>44670</v>
      </c>
      <c r="AQ1004" s="925" t="str">
        <f t="shared" si="217"/>
        <v>SR</v>
      </c>
      <c r="AR1004" s="1856">
        <f t="shared" si="218"/>
        <v>44670.294444444444</v>
      </c>
      <c r="AS1004" s="927" t="s">
        <v>1670</v>
      </c>
      <c r="AT1004" s="1856" t="str">
        <f t="shared" si="210"/>
        <v/>
      </c>
      <c r="AU1004" s="1856" t="str">
        <f t="shared" si="211"/>
        <v/>
      </c>
      <c r="AV1004" s="1856" t="str">
        <f t="shared" si="212"/>
        <v/>
      </c>
      <c r="AW1004" s="1856" t="str">
        <f t="shared" si="213"/>
        <v/>
      </c>
      <c r="AX1004" s="1856" t="str">
        <f t="shared" si="214"/>
        <v/>
      </c>
      <c r="AY1004" s="1856" t="str">
        <f t="shared" si="215"/>
        <v/>
      </c>
    </row>
    <row r="1005" spans="42:52">
      <c r="AP1005" s="1855">
        <f t="shared" si="216"/>
        <v>44670</v>
      </c>
      <c r="AQ1005" s="925" t="str">
        <f t="shared" si="217"/>
        <v>MS</v>
      </c>
      <c r="AR1005" s="1856">
        <f t="shared" si="218"/>
        <v>44670.371527777781</v>
      </c>
      <c r="AS1005" s="927" t="s">
        <v>1671</v>
      </c>
      <c r="AT1005" s="1856" t="str">
        <f t="shared" si="210"/>
        <v/>
      </c>
      <c r="AU1005" s="1856" t="str">
        <f t="shared" si="211"/>
        <v/>
      </c>
      <c r="AV1005" s="1856" t="str">
        <f t="shared" si="212"/>
        <v/>
      </c>
      <c r="AW1005" s="1856" t="str">
        <f t="shared" si="213"/>
        <v/>
      </c>
      <c r="AX1005" s="1856" t="str">
        <f t="shared" si="214"/>
        <v/>
      </c>
      <c r="AY1005" s="1856" t="str">
        <f t="shared" si="215"/>
        <v/>
      </c>
    </row>
    <row r="1006" spans="42:52">
      <c r="AP1006" s="1855">
        <f t="shared" si="216"/>
        <v>44670</v>
      </c>
      <c r="AQ1006" s="925" t="str">
        <f t="shared" si="217"/>
        <v>SS</v>
      </c>
      <c r="AR1006" s="1856">
        <f t="shared" si="218"/>
        <v>44670.849305555559</v>
      </c>
      <c r="AS1006" s="927" t="s">
        <v>1672</v>
      </c>
      <c r="AT1006" s="1856" t="str">
        <f t="shared" si="210"/>
        <v/>
      </c>
      <c r="AU1006" s="1856" t="str">
        <f t="shared" si="211"/>
        <v/>
      </c>
      <c r="AV1006" s="1856" t="str">
        <f t="shared" si="212"/>
        <v/>
      </c>
      <c r="AW1006" s="1856" t="str">
        <f t="shared" si="213"/>
        <v/>
      </c>
      <c r="AX1006" s="1856" t="str">
        <f t="shared" si="214"/>
        <v/>
      </c>
      <c r="AY1006" s="1856" t="str">
        <f t="shared" si="215"/>
        <v/>
      </c>
    </row>
    <row r="1007" spans="42:52">
      <c r="AP1007" s="1855">
        <f t="shared" si="216"/>
        <v>44670</v>
      </c>
      <c r="AQ1007" s="925" t="str">
        <f t="shared" si="217"/>
        <v>EENT</v>
      </c>
      <c r="AR1007" s="1856">
        <f t="shared" si="218"/>
        <v>44670.890972222223</v>
      </c>
      <c r="AS1007" s="927" t="s">
        <v>1673</v>
      </c>
      <c r="AT1007" s="1856" t="str">
        <f t="shared" si="210"/>
        <v/>
      </c>
      <c r="AU1007" s="1856" t="str">
        <f t="shared" si="211"/>
        <v/>
      </c>
      <c r="AV1007" s="1856" t="str">
        <f t="shared" si="212"/>
        <v/>
      </c>
      <c r="AW1007" s="1856" t="str">
        <f t="shared" si="213"/>
        <v/>
      </c>
      <c r="AX1007" s="1856" t="str">
        <f t="shared" si="214"/>
        <v/>
      </c>
      <c r="AY1007" s="1856" t="str">
        <f t="shared" si="215"/>
        <v/>
      </c>
    </row>
    <row r="1008" spans="42:52">
      <c r="AP1008" s="1855">
        <f t="shared" si="216"/>
        <v>44670</v>
      </c>
      <c r="AQ1008" s="925" t="str">
        <f t="shared" si="217"/>
        <v>MR</v>
      </c>
      <c r="AR1008" s="1856" t="str">
        <f t="shared" si="218"/>
        <v>NONE</v>
      </c>
      <c r="AS1008" s="927" t="s">
        <v>1153</v>
      </c>
      <c r="AT1008" s="1856" t="str">
        <f t="shared" si="210"/>
        <v/>
      </c>
      <c r="AU1008" s="1856" t="str">
        <f t="shared" si="211"/>
        <v/>
      </c>
      <c r="AV1008" s="1856" t="str">
        <f t="shared" si="212"/>
        <v/>
      </c>
      <c r="AW1008" s="1856" t="str">
        <f t="shared" si="213"/>
        <v/>
      </c>
      <c r="AX1008" s="1856" t="str">
        <f t="shared" si="214"/>
        <v/>
      </c>
      <c r="AY1008" s="1856" t="str">
        <f t="shared" si="215"/>
        <v/>
      </c>
    </row>
    <row r="1009" spans="42:52">
      <c r="AP1009" s="1855">
        <f t="shared" si="216"/>
        <v>44671</v>
      </c>
      <c r="AQ1009" s="925" t="str">
        <f t="shared" si="217"/>
        <v/>
      </c>
      <c r="AR1009" s="1856" t="str">
        <f t="shared" si="218"/>
        <v/>
      </c>
      <c r="AS1009" s="927">
        <v>20</v>
      </c>
      <c r="AT1009" s="1856">
        <f t="shared" si="210"/>
        <v>44671.251388888886</v>
      </c>
      <c r="AU1009" s="1856">
        <f t="shared" si="211"/>
        <v>44671.29305555555</v>
      </c>
      <c r="AV1009" s="1856">
        <f t="shared" si="212"/>
        <v>44671.849305555559</v>
      </c>
      <c r="AW1009" s="1856">
        <f t="shared" si="213"/>
        <v>44671.89166666667</v>
      </c>
      <c r="AX1009" s="1856">
        <f t="shared" si="214"/>
        <v>44671.009027777778</v>
      </c>
      <c r="AY1009" s="1856">
        <f t="shared" si="215"/>
        <v>44671.404861111114</v>
      </c>
      <c r="AZ1009" s="1853">
        <v>0.85</v>
      </c>
    </row>
    <row r="1010" spans="42:52">
      <c r="AP1010" s="1855">
        <f t="shared" si="216"/>
        <v>44671</v>
      </c>
      <c r="AQ1010" s="925" t="str">
        <f t="shared" si="217"/>
        <v/>
      </c>
      <c r="AR1010" s="1856" t="str">
        <f t="shared" si="218"/>
        <v/>
      </c>
      <c r="AS1010" s="927" t="s">
        <v>252</v>
      </c>
      <c r="AT1010" s="1856" t="str">
        <f t="shared" si="210"/>
        <v/>
      </c>
      <c r="AU1010" s="1856" t="str">
        <f t="shared" si="211"/>
        <v/>
      </c>
      <c r="AV1010" s="1856" t="str">
        <f t="shared" si="212"/>
        <v/>
      </c>
      <c r="AW1010" s="1856" t="str">
        <f t="shared" si="213"/>
        <v/>
      </c>
      <c r="AX1010" s="1856" t="str">
        <f t="shared" si="214"/>
        <v/>
      </c>
      <c r="AY1010" s="1856" t="str">
        <f t="shared" si="215"/>
        <v/>
      </c>
    </row>
    <row r="1011" spans="42:52">
      <c r="AP1011" s="1855">
        <f t="shared" si="216"/>
        <v>44671</v>
      </c>
      <c r="AQ1011" s="925" t="str">
        <f t="shared" si="217"/>
        <v/>
      </c>
      <c r="AR1011" s="1856" t="str">
        <f t="shared" si="218"/>
        <v/>
      </c>
      <c r="AT1011" s="1856" t="str">
        <f t="shared" si="210"/>
        <v/>
      </c>
      <c r="AU1011" s="1856" t="str">
        <f t="shared" si="211"/>
        <v/>
      </c>
      <c r="AV1011" s="1856" t="str">
        <f t="shared" si="212"/>
        <v/>
      </c>
      <c r="AW1011" s="1856" t="str">
        <f t="shared" si="213"/>
        <v/>
      </c>
      <c r="AX1011" s="1856" t="str">
        <f t="shared" si="214"/>
        <v/>
      </c>
      <c r="AY1011" s="1856" t="str">
        <f t="shared" si="215"/>
        <v/>
      </c>
    </row>
    <row r="1012" spans="42:52">
      <c r="AP1012" s="1855">
        <f t="shared" si="216"/>
        <v>44671</v>
      </c>
      <c r="AQ1012" s="925" t="str">
        <f t="shared" si="217"/>
        <v>MR</v>
      </c>
      <c r="AR1012" s="1856">
        <f t="shared" si="218"/>
        <v>44671.009027777778</v>
      </c>
      <c r="AS1012" s="927" t="s">
        <v>1674</v>
      </c>
      <c r="AT1012" s="1856" t="str">
        <f t="shared" si="210"/>
        <v/>
      </c>
      <c r="AU1012" s="1856" t="str">
        <f t="shared" si="211"/>
        <v/>
      </c>
      <c r="AV1012" s="1856" t="str">
        <f t="shared" si="212"/>
        <v/>
      </c>
      <c r="AW1012" s="1856" t="str">
        <f t="shared" si="213"/>
        <v/>
      </c>
      <c r="AX1012" s="1856" t="str">
        <f t="shared" si="214"/>
        <v/>
      </c>
      <c r="AY1012" s="1856" t="str">
        <f t="shared" si="215"/>
        <v/>
      </c>
    </row>
    <row r="1013" spans="42:52">
      <c r="AP1013" s="1855">
        <f t="shared" si="216"/>
        <v>44671</v>
      </c>
      <c r="AQ1013" s="925" t="str">
        <f t="shared" si="217"/>
        <v>BMNT</v>
      </c>
      <c r="AR1013" s="1856">
        <f t="shared" si="218"/>
        <v>44671.251388888886</v>
      </c>
      <c r="AS1013" s="927" t="s">
        <v>1675</v>
      </c>
      <c r="AT1013" s="1856" t="str">
        <f t="shared" si="210"/>
        <v/>
      </c>
      <c r="AU1013" s="1856" t="str">
        <f t="shared" si="211"/>
        <v/>
      </c>
      <c r="AV1013" s="1856" t="str">
        <f t="shared" si="212"/>
        <v/>
      </c>
      <c r="AW1013" s="1856" t="str">
        <f t="shared" si="213"/>
        <v/>
      </c>
      <c r="AX1013" s="1856" t="str">
        <f t="shared" si="214"/>
        <v/>
      </c>
      <c r="AY1013" s="1856" t="str">
        <f t="shared" si="215"/>
        <v/>
      </c>
    </row>
    <row r="1014" spans="42:52">
      <c r="AP1014" s="1855">
        <f t="shared" si="216"/>
        <v>44671</v>
      </c>
      <c r="AQ1014" s="925" t="str">
        <f t="shared" si="217"/>
        <v>SR</v>
      </c>
      <c r="AR1014" s="1856">
        <f t="shared" si="218"/>
        <v>44671.29305555555</v>
      </c>
      <c r="AS1014" s="927" t="s">
        <v>1505</v>
      </c>
      <c r="AT1014" s="1856" t="str">
        <f t="shared" si="210"/>
        <v/>
      </c>
      <c r="AU1014" s="1856" t="str">
        <f t="shared" si="211"/>
        <v/>
      </c>
      <c r="AV1014" s="1856" t="str">
        <f t="shared" si="212"/>
        <v/>
      </c>
      <c r="AW1014" s="1856" t="str">
        <f t="shared" si="213"/>
        <v/>
      </c>
      <c r="AX1014" s="1856" t="str">
        <f t="shared" si="214"/>
        <v/>
      </c>
      <c r="AY1014" s="1856" t="str">
        <f t="shared" si="215"/>
        <v/>
      </c>
    </row>
    <row r="1015" spans="42:52">
      <c r="AP1015" s="1855">
        <f t="shared" si="216"/>
        <v>44671</v>
      </c>
      <c r="AQ1015" s="925" t="str">
        <f t="shared" si="217"/>
        <v>MS</v>
      </c>
      <c r="AR1015" s="1856">
        <f t="shared" si="218"/>
        <v>44671.404861111114</v>
      </c>
      <c r="AS1015" s="927" t="s">
        <v>1395</v>
      </c>
      <c r="AT1015" s="1856" t="str">
        <f t="shared" si="210"/>
        <v/>
      </c>
      <c r="AU1015" s="1856" t="str">
        <f t="shared" si="211"/>
        <v/>
      </c>
      <c r="AV1015" s="1856" t="str">
        <f t="shared" si="212"/>
        <v/>
      </c>
      <c r="AW1015" s="1856" t="str">
        <f t="shared" si="213"/>
        <v/>
      </c>
      <c r="AX1015" s="1856" t="str">
        <f t="shared" si="214"/>
        <v/>
      </c>
      <c r="AY1015" s="1856" t="str">
        <f t="shared" si="215"/>
        <v/>
      </c>
    </row>
    <row r="1016" spans="42:52">
      <c r="AP1016" s="1855">
        <f t="shared" si="216"/>
        <v>44671</v>
      </c>
      <c r="AQ1016" s="925" t="str">
        <f t="shared" si="217"/>
        <v>SS</v>
      </c>
      <c r="AR1016" s="1856">
        <f t="shared" si="218"/>
        <v>44671.849305555559</v>
      </c>
      <c r="AS1016" s="927" t="s">
        <v>1672</v>
      </c>
      <c r="AT1016" s="1856" t="str">
        <f t="shared" si="210"/>
        <v/>
      </c>
      <c r="AU1016" s="1856" t="str">
        <f t="shared" si="211"/>
        <v/>
      </c>
      <c r="AV1016" s="1856" t="str">
        <f t="shared" si="212"/>
        <v/>
      </c>
      <c r="AW1016" s="1856" t="str">
        <f t="shared" si="213"/>
        <v/>
      </c>
      <c r="AX1016" s="1856" t="str">
        <f t="shared" si="214"/>
        <v/>
      </c>
      <c r="AY1016" s="1856" t="str">
        <f t="shared" si="215"/>
        <v/>
      </c>
    </row>
    <row r="1017" spans="42:52">
      <c r="AP1017" s="1855">
        <f t="shared" si="216"/>
        <v>44671</v>
      </c>
      <c r="AQ1017" s="925" t="str">
        <f t="shared" si="217"/>
        <v>EENT</v>
      </c>
      <c r="AR1017" s="1856">
        <f t="shared" si="218"/>
        <v>44671.89166666667</v>
      </c>
      <c r="AS1017" s="927" t="s">
        <v>1676</v>
      </c>
      <c r="AT1017" s="1856" t="str">
        <f t="shared" si="210"/>
        <v/>
      </c>
      <c r="AU1017" s="1856" t="str">
        <f t="shared" si="211"/>
        <v/>
      </c>
      <c r="AV1017" s="1856" t="str">
        <f t="shared" si="212"/>
        <v/>
      </c>
      <c r="AW1017" s="1856" t="str">
        <f t="shared" si="213"/>
        <v/>
      </c>
      <c r="AX1017" s="1856" t="str">
        <f t="shared" si="214"/>
        <v/>
      </c>
      <c r="AY1017" s="1856" t="str">
        <f t="shared" si="215"/>
        <v/>
      </c>
    </row>
    <row r="1018" spans="42:52">
      <c r="AP1018" s="1855">
        <f t="shared" si="216"/>
        <v>44672</v>
      </c>
      <c r="AQ1018" s="925" t="str">
        <f t="shared" si="217"/>
        <v/>
      </c>
      <c r="AR1018" s="1856" t="str">
        <f t="shared" si="218"/>
        <v/>
      </c>
      <c r="AS1018" s="927">
        <v>21</v>
      </c>
      <c r="AT1018" s="1856">
        <f t="shared" si="210"/>
        <v>44672.25</v>
      </c>
      <c r="AU1018" s="1856">
        <f t="shared" si="211"/>
        <v>44672.292361111111</v>
      </c>
      <c r="AV1018" s="1856">
        <f t="shared" si="212"/>
        <v>44672.850000000006</v>
      </c>
      <c r="AW1018" s="1856">
        <f t="shared" si="213"/>
        <v>44672.892361111109</v>
      </c>
      <c r="AX1018" s="1856">
        <f t="shared" si="214"/>
        <v>44672.058333333334</v>
      </c>
      <c r="AY1018" s="1856">
        <f t="shared" si="215"/>
        <v>44672.444444444445</v>
      </c>
      <c r="AZ1018" s="1853">
        <v>0.75</v>
      </c>
    </row>
    <row r="1019" spans="42:52">
      <c r="AP1019" s="1855">
        <f t="shared" si="216"/>
        <v>44672</v>
      </c>
      <c r="AQ1019" s="925" t="str">
        <f t="shared" si="217"/>
        <v/>
      </c>
      <c r="AR1019" s="1856" t="str">
        <f t="shared" si="218"/>
        <v/>
      </c>
      <c r="AS1019" s="927" t="s">
        <v>252</v>
      </c>
      <c r="AT1019" s="1856" t="str">
        <f t="shared" si="210"/>
        <v/>
      </c>
      <c r="AU1019" s="1856" t="str">
        <f t="shared" si="211"/>
        <v/>
      </c>
      <c r="AV1019" s="1856" t="str">
        <f t="shared" si="212"/>
        <v/>
      </c>
      <c r="AW1019" s="1856" t="str">
        <f t="shared" si="213"/>
        <v/>
      </c>
      <c r="AX1019" s="1856" t="str">
        <f t="shared" si="214"/>
        <v/>
      </c>
      <c r="AY1019" s="1856" t="str">
        <f t="shared" si="215"/>
        <v/>
      </c>
    </row>
    <row r="1020" spans="42:52">
      <c r="AP1020" s="1855">
        <f t="shared" si="216"/>
        <v>44672</v>
      </c>
      <c r="AQ1020" s="925" t="str">
        <f t="shared" si="217"/>
        <v/>
      </c>
      <c r="AR1020" s="1856" t="str">
        <f t="shared" si="218"/>
        <v/>
      </c>
      <c r="AT1020" s="1856" t="str">
        <f t="shared" si="210"/>
        <v/>
      </c>
      <c r="AU1020" s="1856" t="str">
        <f t="shared" si="211"/>
        <v/>
      </c>
      <c r="AV1020" s="1856" t="str">
        <f t="shared" si="212"/>
        <v/>
      </c>
      <c r="AW1020" s="1856" t="str">
        <f t="shared" si="213"/>
        <v/>
      </c>
      <c r="AX1020" s="1856" t="str">
        <f t="shared" si="214"/>
        <v/>
      </c>
      <c r="AY1020" s="1856" t="str">
        <f t="shared" si="215"/>
        <v/>
      </c>
    </row>
    <row r="1021" spans="42:52">
      <c r="AP1021" s="1855">
        <f t="shared" si="216"/>
        <v>44672</v>
      </c>
      <c r="AQ1021" s="925" t="str">
        <f t="shared" si="217"/>
        <v>MR</v>
      </c>
      <c r="AR1021" s="1856">
        <f t="shared" si="218"/>
        <v>44672.058333333334</v>
      </c>
      <c r="AS1021" s="927" t="s">
        <v>1677</v>
      </c>
      <c r="AT1021" s="1856" t="str">
        <f t="shared" si="210"/>
        <v/>
      </c>
      <c r="AU1021" s="1856" t="str">
        <f t="shared" si="211"/>
        <v/>
      </c>
      <c r="AV1021" s="1856" t="str">
        <f t="shared" si="212"/>
        <v/>
      </c>
      <c r="AW1021" s="1856" t="str">
        <f t="shared" si="213"/>
        <v/>
      </c>
      <c r="AX1021" s="1856" t="str">
        <f t="shared" si="214"/>
        <v/>
      </c>
      <c r="AY1021" s="1856" t="str">
        <f t="shared" si="215"/>
        <v/>
      </c>
    </row>
    <row r="1022" spans="42:52">
      <c r="AP1022" s="1855">
        <f t="shared" si="216"/>
        <v>44672</v>
      </c>
      <c r="AQ1022" s="925" t="str">
        <f t="shared" si="217"/>
        <v>BMNT</v>
      </c>
      <c r="AR1022" s="1856">
        <f t="shared" si="218"/>
        <v>44672.25</v>
      </c>
      <c r="AS1022" s="927" t="s">
        <v>1678</v>
      </c>
      <c r="AT1022" s="1856" t="str">
        <f t="shared" si="210"/>
        <v/>
      </c>
      <c r="AU1022" s="1856" t="str">
        <f t="shared" si="211"/>
        <v/>
      </c>
      <c r="AV1022" s="1856" t="str">
        <f t="shared" si="212"/>
        <v/>
      </c>
      <c r="AW1022" s="1856" t="str">
        <f t="shared" si="213"/>
        <v/>
      </c>
      <c r="AX1022" s="1856" t="str">
        <f t="shared" si="214"/>
        <v/>
      </c>
      <c r="AY1022" s="1856" t="str">
        <f t="shared" si="215"/>
        <v/>
      </c>
    </row>
    <row r="1023" spans="42:52">
      <c r="AP1023" s="1855">
        <f t="shared" si="216"/>
        <v>44672</v>
      </c>
      <c r="AQ1023" s="925" t="str">
        <f t="shared" si="217"/>
        <v>SR</v>
      </c>
      <c r="AR1023" s="1856">
        <f t="shared" si="218"/>
        <v>44672.292361111111</v>
      </c>
      <c r="AS1023" s="927" t="s">
        <v>1679</v>
      </c>
      <c r="AT1023" s="1856" t="str">
        <f t="shared" si="210"/>
        <v/>
      </c>
      <c r="AU1023" s="1856" t="str">
        <f t="shared" si="211"/>
        <v/>
      </c>
      <c r="AV1023" s="1856" t="str">
        <f t="shared" si="212"/>
        <v/>
      </c>
      <c r="AW1023" s="1856" t="str">
        <f t="shared" si="213"/>
        <v/>
      </c>
      <c r="AX1023" s="1856" t="str">
        <f t="shared" si="214"/>
        <v/>
      </c>
      <c r="AY1023" s="1856" t="str">
        <f t="shared" si="215"/>
        <v/>
      </c>
    </row>
    <row r="1024" spans="42:52">
      <c r="AP1024" s="1855">
        <f t="shared" si="216"/>
        <v>44672</v>
      </c>
      <c r="AQ1024" s="925" t="str">
        <f t="shared" si="217"/>
        <v>MS</v>
      </c>
      <c r="AR1024" s="1856">
        <f t="shared" si="218"/>
        <v>44672.444444444445</v>
      </c>
      <c r="AS1024" s="927" t="s">
        <v>1680</v>
      </c>
      <c r="AT1024" s="1856" t="str">
        <f t="shared" si="210"/>
        <v/>
      </c>
      <c r="AU1024" s="1856" t="str">
        <f t="shared" si="211"/>
        <v/>
      </c>
      <c r="AV1024" s="1856" t="str">
        <f t="shared" si="212"/>
        <v/>
      </c>
      <c r="AW1024" s="1856" t="str">
        <f t="shared" si="213"/>
        <v/>
      </c>
      <c r="AX1024" s="1856" t="str">
        <f t="shared" si="214"/>
        <v/>
      </c>
      <c r="AY1024" s="1856" t="str">
        <f t="shared" si="215"/>
        <v/>
      </c>
    </row>
    <row r="1025" spans="42:52">
      <c r="AP1025" s="1855">
        <f t="shared" si="216"/>
        <v>44672</v>
      </c>
      <c r="AQ1025" s="925" t="str">
        <f t="shared" si="217"/>
        <v>SS</v>
      </c>
      <c r="AR1025" s="1856">
        <f t="shared" si="218"/>
        <v>44672.850000000006</v>
      </c>
      <c r="AS1025" s="927" t="s">
        <v>1681</v>
      </c>
      <c r="AT1025" s="1856" t="str">
        <f t="shared" si="210"/>
        <v/>
      </c>
      <c r="AU1025" s="1856" t="str">
        <f t="shared" si="211"/>
        <v/>
      </c>
      <c r="AV1025" s="1856" t="str">
        <f t="shared" si="212"/>
        <v/>
      </c>
      <c r="AW1025" s="1856" t="str">
        <f t="shared" si="213"/>
        <v/>
      </c>
      <c r="AX1025" s="1856" t="str">
        <f t="shared" si="214"/>
        <v/>
      </c>
      <c r="AY1025" s="1856" t="str">
        <f t="shared" si="215"/>
        <v/>
      </c>
    </row>
    <row r="1026" spans="42:52">
      <c r="AP1026" s="1855">
        <f t="shared" si="216"/>
        <v>44672</v>
      </c>
      <c r="AQ1026" s="925" t="str">
        <f t="shared" si="217"/>
        <v>EENT</v>
      </c>
      <c r="AR1026" s="1856">
        <f t="shared" si="218"/>
        <v>44672.892361111109</v>
      </c>
      <c r="AS1026" s="927" t="s">
        <v>1682</v>
      </c>
      <c r="AT1026" s="1856" t="str">
        <f t="shared" si="210"/>
        <v/>
      </c>
      <c r="AU1026" s="1856" t="str">
        <f t="shared" si="211"/>
        <v/>
      </c>
      <c r="AV1026" s="1856" t="str">
        <f t="shared" si="212"/>
        <v/>
      </c>
      <c r="AW1026" s="1856" t="str">
        <f t="shared" si="213"/>
        <v/>
      </c>
      <c r="AX1026" s="1856" t="str">
        <f t="shared" si="214"/>
        <v/>
      </c>
      <c r="AY1026" s="1856" t="str">
        <f t="shared" si="215"/>
        <v/>
      </c>
    </row>
    <row r="1027" spans="42:52">
      <c r="AP1027" s="1855">
        <f t="shared" si="216"/>
        <v>44673</v>
      </c>
      <c r="AQ1027" s="925" t="str">
        <f t="shared" si="217"/>
        <v/>
      </c>
      <c r="AR1027" s="1856" t="str">
        <f t="shared" si="218"/>
        <v/>
      </c>
      <c r="AS1027" s="927">
        <v>22</v>
      </c>
      <c r="AT1027" s="1856">
        <f t="shared" si="210"/>
        <v>44673.249305555561</v>
      </c>
      <c r="AU1027" s="1856">
        <f t="shared" si="211"/>
        <v>44673.291666666664</v>
      </c>
      <c r="AV1027" s="1856">
        <f t="shared" si="212"/>
        <v>44673.850694444445</v>
      </c>
      <c r="AW1027" s="1856">
        <f t="shared" si="213"/>
        <v>44673.893055555556</v>
      </c>
      <c r="AX1027" s="1856">
        <f t="shared" si="214"/>
        <v>44673.102083333339</v>
      </c>
      <c r="AY1027" s="1856">
        <f t="shared" si="215"/>
        <v>44673.490277777782</v>
      </c>
      <c r="AZ1027" s="1853">
        <v>0.65</v>
      </c>
    </row>
    <row r="1028" spans="42:52">
      <c r="AP1028" s="1855">
        <f t="shared" si="216"/>
        <v>44673</v>
      </c>
      <c r="AQ1028" s="925" t="str">
        <f t="shared" si="217"/>
        <v/>
      </c>
      <c r="AR1028" s="1856" t="str">
        <f t="shared" si="218"/>
        <v/>
      </c>
      <c r="AS1028" s="927" t="s">
        <v>252</v>
      </c>
      <c r="AT1028" s="1856" t="str">
        <f t="shared" si="210"/>
        <v/>
      </c>
      <c r="AU1028" s="1856" t="str">
        <f t="shared" si="211"/>
        <v/>
      </c>
      <c r="AV1028" s="1856" t="str">
        <f t="shared" si="212"/>
        <v/>
      </c>
      <c r="AW1028" s="1856" t="str">
        <f t="shared" si="213"/>
        <v/>
      </c>
      <c r="AX1028" s="1856" t="str">
        <f t="shared" si="214"/>
        <v/>
      </c>
      <c r="AY1028" s="1856" t="str">
        <f t="shared" si="215"/>
        <v/>
      </c>
    </row>
    <row r="1029" spans="42:52">
      <c r="AP1029" s="1855">
        <f t="shared" si="216"/>
        <v>44673</v>
      </c>
      <c r="AQ1029" s="925" t="str">
        <f t="shared" si="217"/>
        <v/>
      </c>
      <c r="AR1029" s="1856" t="str">
        <f t="shared" si="218"/>
        <v/>
      </c>
      <c r="AT1029" s="1856" t="str">
        <f t="shared" si="210"/>
        <v/>
      </c>
      <c r="AU1029" s="1856" t="str">
        <f t="shared" si="211"/>
        <v/>
      </c>
      <c r="AV1029" s="1856" t="str">
        <f t="shared" si="212"/>
        <v/>
      </c>
      <c r="AW1029" s="1856" t="str">
        <f t="shared" si="213"/>
        <v/>
      </c>
      <c r="AX1029" s="1856" t="str">
        <f t="shared" si="214"/>
        <v/>
      </c>
      <c r="AY1029" s="1856" t="str">
        <f t="shared" si="215"/>
        <v/>
      </c>
    </row>
    <row r="1030" spans="42:52">
      <c r="AP1030" s="1855">
        <f t="shared" si="216"/>
        <v>44673</v>
      </c>
      <c r="AQ1030" s="925" t="str">
        <f t="shared" si="217"/>
        <v>MR</v>
      </c>
      <c r="AR1030" s="1856">
        <f t="shared" si="218"/>
        <v>44673.102083333339</v>
      </c>
      <c r="AS1030" s="927" t="s">
        <v>1683</v>
      </c>
      <c r="AT1030" s="1856" t="str">
        <f t="shared" si="210"/>
        <v/>
      </c>
      <c r="AU1030" s="1856" t="str">
        <f t="shared" si="211"/>
        <v/>
      </c>
      <c r="AV1030" s="1856" t="str">
        <f t="shared" si="212"/>
        <v/>
      </c>
      <c r="AW1030" s="1856" t="str">
        <f t="shared" si="213"/>
        <v/>
      </c>
      <c r="AX1030" s="1856" t="str">
        <f t="shared" si="214"/>
        <v/>
      </c>
      <c r="AY1030" s="1856" t="str">
        <f t="shared" si="215"/>
        <v/>
      </c>
    </row>
    <row r="1031" spans="42:52">
      <c r="AP1031" s="1855">
        <f t="shared" si="216"/>
        <v>44673</v>
      </c>
      <c r="AQ1031" s="925" t="str">
        <f t="shared" si="217"/>
        <v>BMNT</v>
      </c>
      <c r="AR1031" s="1856">
        <f t="shared" si="218"/>
        <v>44673.249305555561</v>
      </c>
      <c r="AS1031" s="927" t="s">
        <v>1684</v>
      </c>
      <c r="AT1031" s="1856" t="str">
        <f t="shared" si="210"/>
        <v/>
      </c>
      <c r="AU1031" s="1856" t="str">
        <f t="shared" si="211"/>
        <v/>
      </c>
      <c r="AV1031" s="1856" t="str">
        <f t="shared" si="212"/>
        <v/>
      </c>
      <c r="AW1031" s="1856" t="str">
        <f t="shared" si="213"/>
        <v/>
      </c>
      <c r="AX1031" s="1856" t="str">
        <f t="shared" si="214"/>
        <v/>
      </c>
      <c r="AY1031" s="1856" t="str">
        <f t="shared" si="215"/>
        <v/>
      </c>
    </row>
    <row r="1032" spans="42:52">
      <c r="AP1032" s="1855">
        <f t="shared" si="216"/>
        <v>44673</v>
      </c>
      <c r="AQ1032" s="925" t="str">
        <f t="shared" si="217"/>
        <v>SR</v>
      </c>
      <c r="AR1032" s="1856">
        <f t="shared" si="218"/>
        <v>44673.291666666664</v>
      </c>
      <c r="AS1032" s="927" t="s">
        <v>1511</v>
      </c>
      <c r="AT1032" s="1856" t="str">
        <f t="shared" si="210"/>
        <v/>
      </c>
      <c r="AU1032" s="1856" t="str">
        <f t="shared" si="211"/>
        <v/>
      </c>
      <c r="AV1032" s="1856" t="str">
        <f t="shared" si="212"/>
        <v/>
      </c>
      <c r="AW1032" s="1856" t="str">
        <f t="shared" si="213"/>
        <v/>
      </c>
      <c r="AX1032" s="1856" t="str">
        <f t="shared" si="214"/>
        <v/>
      </c>
      <c r="AY1032" s="1856" t="str">
        <f t="shared" si="215"/>
        <v/>
      </c>
    </row>
    <row r="1033" spans="42:52">
      <c r="AP1033" s="1855">
        <f t="shared" si="216"/>
        <v>44673</v>
      </c>
      <c r="AQ1033" s="925" t="str">
        <f t="shared" si="217"/>
        <v>MS</v>
      </c>
      <c r="AR1033" s="1856">
        <f t="shared" si="218"/>
        <v>44673.490277777782</v>
      </c>
      <c r="AS1033" s="927" t="s">
        <v>1685</v>
      </c>
      <c r="AT1033" s="1856" t="str">
        <f t="shared" si="210"/>
        <v/>
      </c>
      <c r="AU1033" s="1856" t="str">
        <f t="shared" si="211"/>
        <v/>
      </c>
      <c r="AV1033" s="1856" t="str">
        <f t="shared" si="212"/>
        <v/>
      </c>
      <c r="AW1033" s="1856" t="str">
        <f t="shared" si="213"/>
        <v/>
      </c>
      <c r="AX1033" s="1856" t="str">
        <f t="shared" si="214"/>
        <v/>
      </c>
      <c r="AY1033" s="1856" t="str">
        <f t="shared" si="215"/>
        <v/>
      </c>
    </row>
    <row r="1034" spans="42:52">
      <c r="AP1034" s="1855">
        <f t="shared" si="216"/>
        <v>44673</v>
      </c>
      <c r="AQ1034" s="925" t="str">
        <f t="shared" si="217"/>
        <v>SS</v>
      </c>
      <c r="AR1034" s="1856">
        <f t="shared" si="218"/>
        <v>44673.850694444445</v>
      </c>
      <c r="AS1034" s="927" t="s">
        <v>1686</v>
      </c>
      <c r="AT1034" s="1856" t="str">
        <f t="shared" si="210"/>
        <v/>
      </c>
      <c r="AU1034" s="1856" t="str">
        <f t="shared" si="211"/>
        <v/>
      </c>
      <c r="AV1034" s="1856" t="str">
        <f t="shared" si="212"/>
        <v/>
      </c>
      <c r="AW1034" s="1856" t="str">
        <f t="shared" si="213"/>
        <v/>
      </c>
      <c r="AX1034" s="1856" t="str">
        <f t="shared" si="214"/>
        <v/>
      </c>
      <c r="AY1034" s="1856" t="str">
        <f t="shared" si="215"/>
        <v/>
      </c>
    </row>
    <row r="1035" spans="42:52">
      <c r="AP1035" s="1855">
        <f t="shared" si="216"/>
        <v>44673</v>
      </c>
      <c r="AQ1035" s="925" t="str">
        <f t="shared" si="217"/>
        <v>EENT</v>
      </c>
      <c r="AR1035" s="1856">
        <f t="shared" si="218"/>
        <v>44673.893055555556</v>
      </c>
      <c r="AS1035" s="927" t="s">
        <v>1687</v>
      </c>
      <c r="AT1035" s="1856" t="str">
        <f t="shared" si="210"/>
        <v/>
      </c>
      <c r="AU1035" s="1856" t="str">
        <f t="shared" si="211"/>
        <v/>
      </c>
      <c r="AV1035" s="1856" t="str">
        <f t="shared" si="212"/>
        <v/>
      </c>
      <c r="AW1035" s="1856" t="str">
        <f t="shared" si="213"/>
        <v/>
      </c>
      <c r="AX1035" s="1856" t="str">
        <f t="shared" si="214"/>
        <v/>
      </c>
      <c r="AY1035" s="1856" t="str">
        <f t="shared" si="215"/>
        <v/>
      </c>
    </row>
    <row r="1036" spans="42:52">
      <c r="AP1036" s="1855">
        <f t="shared" si="216"/>
        <v>44674</v>
      </c>
      <c r="AQ1036" s="925" t="str">
        <f t="shared" si="217"/>
        <v/>
      </c>
      <c r="AR1036" s="1856" t="str">
        <f t="shared" si="218"/>
        <v/>
      </c>
      <c r="AS1036" s="927">
        <v>23</v>
      </c>
      <c r="AT1036" s="1856">
        <f t="shared" si="210"/>
        <v>44674.247916666667</v>
      </c>
      <c r="AU1036" s="1856">
        <f t="shared" si="211"/>
        <v>44674.290277777778</v>
      </c>
      <c r="AV1036" s="1856">
        <f t="shared" si="212"/>
        <v>44674.851388888892</v>
      </c>
      <c r="AW1036" s="1856">
        <f t="shared" si="213"/>
        <v>44674.893750000003</v>
      </c>
      <c r="AX1036" s="1856">
        <f t="shared" si="214"/>
        <v>44674.138194444444</v>
      </c>
      <c r="AY1036" s="1856">
        <f t="shared" si="215"/>
        <v>44674.538888888892</v>
      </c>
      <c r="AZ1036" s="1853">
        <v>0.54</v>
      </c>
    </row>
    <row r="1037" spans="42:52">
      <c r="AP1037" s="1855">
        <f t="shared" si="216"/>
        <v>44674</v>
      </c>
      <c r="AQ1037" s="925" t="str">
        <f t="shared" si="217"/>
        <v/>
      </c>
      <c r="AR1037" s="1856" t="str">
        <f t="shared" si="218"/>
        <v/>
      </c>
      <c r="AS1037" s="927" t="s">
        <v>252</v>
      </c>
      <c r="AT1037" s="1856" t="str">
        <f t="shared" si="210"/>
        <v/>
      </c>
      <c r="AU1037" s="1856" t="str">
        <f t="shared" si="211"/>
        <v/>
      </c>
      <c r="AV1037" s="1856" t="str">
        <f t="shared" si="212"/>
        <v/>
      </c>
      <c r="AW1037" s="1856" t="str">
        <f t="shared" si="213"/>
        <v/>
      </c>
      <c r="AX1037" s="1856" t="str">
        <f t="shared" si="214"/>
        <v/>
      </c>
      <c r="AY1037" s="1856" t="str">
        <f t="shared" si="215"/>
        <v/>
      </c>
    </row>
    <row r="1038" spans="42:52">
      <c r="AP1038" s="1855">
        <f t="shared" si="216"/>
        <v>44674</v>
      </c>
      <c r="AQ1038" s="925" t="str">
        <f t="shared" si="217"/>
        <v/>
      </c>
      <c r="AR1038" s="1856" t="str">
        <f t="shared" si="218"/>
        <v/>
      </c>
      <c r="AT1038" s="1856" t="str">
        <f t="shared" si="210"/>
        <v/>
      </c>
      <c r="AU1038" s="1856" t="str">
        <f t="shared" si="211"/>
        <v/>
      </c>
      <c r="AV1038" s="1856" t="str">
        <f t="shared" si="212"/>
        <v/>
      </c>
      <c r="AW1038" s="1856" t="str">
        <f t="shared" si="213"/>
        <v/>
      </c>
      <c r="AX1038" s="1856" t="str">
        <f t="shared" si="214"/>
        <v/>
      </c>
      <c r="AY1038" s="1856" t="str">
        <f t="shared" si="215"/>
        <v/>
      </c>
    </row>
    <row r="1039" spans="42:52">
      <c r="AP1039" s="1855">
        <f t="shared" si="216"/>
        <v>44674</v>
      </c>
      <c r="AQ1039" s="925" t="str">
        <f t="shared" si="217"/>
        <v>MR</v>
      </c>
      <c r="AR1039" s="1856">
        <f t="shared" si="218"/>
        <v>44674.138194444444</v>
      </c>
      <c r="AS1039" s="927" t="s">
        <v>1181</v>
      </c>
      <c r="AT1039" s="1856" t="str">
        <f t="shared" si="210"/>
        <v/>
      </c>
      <c r="AU1039" s="1856" t="str">
        <f t="shared" si="211"/>
        <v/>
      </c>
      <c r="AV1039" s="1856" t="str">
        <f t="shared" si="212"/>
        <v/>
      </c>
      <c r="AW1039" s="1856" t="str">
        <f t="shared" si="213"/>
        <v/>
      </c>
      <c r="AX1039" s="1856" t="str">
        <f t="shared" si="214"/>
        <v/>
      </c>
      <c r="AY1039" s="1856" t="str">
        <f t="shared" si="215"/>
        <v/>
      </c>
    </row>
    <row r="1040" spans="42:52">
      <c r="AP1040" s="1855">
        <f t="shared" si="216"/>
        <v>44674</v>
      </c>
      <c r="AQ1040" s="925" t="str">
        <f t="shared" si="217"/>
        <v>BMNT</v>
      </c>
      <c r="AR1040" s="1856">
        <f t="shared" si="218"/>
        <v>44674.247916666667</v>
      </c>
      <c r="AS1040" s="927" t="s">
        <v>1688</v>
      </c>
      <c r="AT1040" s="1856" t="str">
        <f t="shared" si="210"/>
        <v/>
      </c>
      <c r="AU1040" s="1856" t="str">
        <f t="shared" si="211"/>
        <v/>
      </c>
      <c r="AV1040" s="1856" t="str">
        <f t="shared" si="212"/>
        <v/>
      </c>
      <c r="AW1040" s="1856" t="str">
        <f t="shared" si="213"/>
        <v/>
      </c>
      <c r="AX1040" s="1856" t="str">
        <f t="shared" si="214"/>
        <v/>
      </c>
      <c r="AY1040" s="1856" t="str">
        <f t="shared" si="215"/>
        <v/>
      </c>
    </row>
    <row r="1041" spans="42:52">
      <c r="AP1041" s="1855">
        <f t="shared" si="216"/>
        <v>44674</v>
      </c>
      <c r="AQ1041" s="925" t="str">
        <f t="shared" si="217"/>
        <v>SR</v>
      </c>
      <c r="AR1041" s="1856">
        <f t="shared" si="218"/>
        <v>44674.290277777778</v>
      </c>
      <c r="AS1041" s="927" t="s">
        <v>1689</v>
      </c>
      <c r="AT1041" s="1856" t="str">
        <f t="shared" si="210"/>
        <v/>
      </c>
      <c r="AU1041" s="1856" t="str">
        <f t="shared" si="211"/>
        <v/>
      </c>
      <c r="AV1041" s="1856" t="str">
        <f t="shared" si="212"/>
        <v/>
      </c>
      <c r="AW1041" s="1856" t="str">
        <f t="shared" si="213"/>
        <v/>
      </c>
      <c r="AX1041" s="1856" t="str">
        <f t="shared" si="214"/>
        <v/>
      </c>
      <c r="AY1041" s="1856" t="str">
        <f t="shared" si="215"/>
        <v/>
      </c>
    </row>
    <row r="1042" spans="42:52">
      <c r="AP1042" s="1855">
        <f t="shared" si="216"/>
        <v>44674</v>
      </c>
      <c r="AQ1042" s="925" t="str">
        <f t="shared" si="217"/>
        <v>MS</v>
      </c>
      <c r="AR1042" s="1856">
        <f t="shared" si="218"/>
        <v>44674.538888888892</v>
      </c>
      <c r="AS1042" s="927" t="s">
        <v>1690</v>
      </c>
      <c r="AT1042" s="1856" t="str">
        <f t="shared" si="210"/>
        <v/>
      </c>
      <c r="AU1042" s="1856" t="str">
        <f t="shared" si="211"/>
        <v/>
      </c>
      <c r="AV1042" s="1856" t="str">
        <f t="shared" si="212"/>
        <v/>
      </c>
      <c r="AW1042" s="1856" t="str">
        <f t="shared" si="213"/>
        <v/>
      </c>
      <c r="AX1042" s="1856" t="str">
        <f t="shared" si="214"/>
        <v/>
      </c>
      <c r="AY1042" s="1856" t="str">
        <f t="shared" si="215"/>
        <v/>
      </c>
    </row>
    <row r="1043" spans="42:52">
      <c r="AP1043" s="1855">
        <f t="shared" si="216"/>
        <v>44674</v>
      </c>
      <c r="AQ1043" s="925" t="str">
        <f t="shared" si="217"/>
        <v>SS</v>
      </c>
      <c r="AR1043" s="1856">
        <f t="shared" si="218"/>
        <v>44674.851388888892</v>
      </c>
      <c r="AS1043" s="927" t="s">
        <v>1691</v>
      </c>
      <c r="AT1043" s="1856" t="str">
        <f t="shared" si="210"/>
        <v/>
      </c>
      <c r="AU1043" s="1856" t="str">
        <f t="shared" si="211"/>
        <v/>
      </c>
      <c r="AV1043" s="1856" t="str">
        <f t="shared" si="212"/>
        <v/>
      </c>
      <c r="AW1043" s="1856" t="str">
        <f t="shared" si="213"/>
        <v/>
      </c>
      <c r="AX1043" s="1856" t="str">
        <f t="shared" si="214"/>
        <v/>
      </c>
      <c r="AY1043" s="1856" t="str">
        <f t="shared" si="215"/>
        <v/>
      </c>
    </row>
    <row r="1044" spans="42:52">
      <c r="AP1044" s="1855">
        <f t="shared" si="216"/>
        <v>44674</v>
      </c>
      <c r="AQ1044" s="925" t="str">
        <f t="shared" si="217"/>
        <v>EENT</v>
      </c>
      <c r="AR1044" s="1856">
        <f t="shared" si="218"/>
        <v>44674.893750000003</v>
      </c>
      <c r="AS1044" s="927" t="s">
        <v>1692</v>
      </c>
      <c r="AT1044" s="1856" t="str">
        <f t="shared" si="210"/>
        <v/>
      </c>
      <c r="AU1044" s="1856" t="str">
        <f t="shared" si="211"/>
        <v/>
      </c>
      <c r="AV1044" s="1856" t="str">
        <f t="shared" si="212"/>
        <v/>
      </c>
      <c r="AW1044" s="1856" t="str">
        <f t="shared" si="213"/>
        <v/>
      </c>
      <c r="AX1044" s="1856" t="str">
        <f t="shared" si="214"/>
        <v/>
      </c>
      <c r="AY1044" s="1856" t="str">
        <f t="shared" si="215"/>
        <v/>
      </c>
    </row>
    <row r="1045" spans="42:52">
      <c r="AP1045" s="1855">
        <f t="shared" si="216"/>
        <v>44675</v>
      </c>
      <c r="AQ1045" s="925" t="str">
        <f t="shared" si="217"/>
        <v/>
      </c>
      <c r="AR1045" s="1856" t="str">
        <f t="shared" si="218"/>
        <v/>
      </c>
      <c r="AS1045" s="927">
        <v>24</v>
      </c>
      <c r="AT1045" s="1856">
        <f t="shared" si="210"/>
        <v>44675.247222222228</v>
      </c>
      <c r="AU1045" s="1856">
        <f t="shared" si="211"/>
        <v>44675.289583333331</v>
      </c>
      <c r="AV1045" s="1856">
        <f t="shared" si="212"/>
        <v>44675.852083333339</v>
      </c>
      <c r="AW1045" s="1856">
        <f t="shared" si="213"/>
        <v>44675.894444444442</v>
      </c>
      <c r="AX1045" s="1856">
        <f t="shared" si="214"/>
        <v>44675.16805555555</v>
      </c>
      <c r="AY1045" s="1856">
        <f t="shared" si="215"/>
        <v>44675.588194444448</v>
      </c>
      <c r="AZ1045" s="1853">
        <v>0.42</v>
      </c>
    </row>
    <row r="1046" spans="42:52">
      <c r="AP1046" s="1855">
        <f t="shared" si="216"/>
        <v>44675</v>
      </c>
      <c r="AQ1046" s="925" t="str">
        <f t="shared" si="217"/>
        <v/>
      </c>
      <c r="AR1046" s="1856" t="str">
        <f t="shared" si="218"/>
        <v/>
      </c>
      <c r="AS1046" s="927" t="s">
        <v>252</v>
      </c>
      <c r="AT1046" s="1856" t="str">
        <f t="shared" si="210"/>
        <v/>
      </c>
      <c r="AU1046" s="1856" t="str">
        <f t="shared" si="211"/>
        <v/>
      </c>
      <c r="AV1046" s="1856" t="str">
        <f t="shared" si="212"/>
        <v/>
      </c>
      <c r="AW1046" s="1856" t="str">
        <f t="shared" si="213"/>
        <v/>
      </c>
      <c r="AX1046" s="1856" t="str">
        <f t="shared" si="214"/>
        <v/>
      </c>
      <c r="AY1046" s="1856" t="str">
        <f t="shared" si="215"/>
        <v/>
      </c>
    </row>
    <row r="1047" spans="42:52">
      <c r="AP1047" s="1855">
        <f t="shared" si="216"/>
        <v>44675</v>
      </c>
      <c r="AQ1047" s="925" t="str">
        <f t="shared" si="217"/>
        <v/>
      </c>
      <c r="AR1047" s="1856" t="str">
        <f t="shared" si="218"/>
        <v/>
      </c>
      <c r="AT1047" s="1856" t="str">
        <f t="shared" si="210"/>
        <v/>
      </c>
      <c r="AU1047" s="1856" t="str">
        <f t="shared" si="211"/>
        <v/>
      </c>
      <c r="AV1047" s="1856" t="str">
        <f t="shared" si="212"/>
        <v/>
      </c>
      <c r="AW1047" s="1856" t="str">
        <f t="shared" si="213"/>
        <v/>
      </c>
      <c r="AX1047" s="1856" t="str">
        <f t="shared" si="214"/>
        <v/>
      </c>
      <c r="AY1047" s="1856" t="str">
        <f t="shared" si="215"/>
        <v/>
      </c>
    </row>
    <row r="1048" spans="42:52">
      <c r="AP1048" s="1855">
        <f t="shared" si="216"/>
        <v>44675</v>
      </c>
      <c r="AQ1048" s="925" t="str">
        <f t="shared" si="217"/>
        <v>MR</v>
      </c>
      <c r="AR1048" s="1856">
        <f t="shared" si="218"/>
        <v>44675.16805555555</v>
      </c>
      <c r="AS1048" s="927" t="s">
        <v>1693</v>
      </c>
      <c r="AT1048" s="1856" t="str">
        <f t="shared" si="210"/>
        <v/>
      </c>
      <c r="AU1048" s="1856" t="str">
        <f t="shared" si="211"/>
        <v/>
      </c>
      <c r="AV1048" s="1856" t="str">
        <f t="shared" si="212"/>
        <v/>
      </c>
      <c r="AW1048" s="1856" t="str">
        <f t="shared" si="213"/>
        <v/>
      </c>
      <c r="AX1048" s="1856" t="str">
        <f t="shared" si="214"/>
        <v/>
      </c>
      <c r="AY1048" s="1856" t="str">
        <f t="shared" si="215"/>
        <v/>
      </c>
    </row>
    <row r="1049" spans="42:52">
      <c r="AP1049" s="1855">
        <f t="shared" si="216"/>
        <v>44675</v>
      </c>
      <c r="AQ1049" s="925" t="str">
        <f t="shared" si="217"/>
        <v>BMNT</v>
      </c>
      <c r="AR1049" s="1856">
        <f t="shared" si="218"/>
        <v>44675.247222222228</v>
      </c>
      <c r="AS1049" s="927" t="s">
        <v>1694</v>
      </c>
      <c r="AT1049" s="1856" t="str">
        <f t="shared" si="210"/>
        <v/>
      </c>
      <c r="AU1049" s="1856" t="str">
        <f t="shared" si="211"/>
        <v/>
      </c>
      <c r="AV1049" s="1856" t="str">
        <f t="shared" si="212"/>
        <v/>
      </c>
      <c r="AW1049" s="1856" t="str">
        <f t="shared" si="213"/>
        <v/>
      </c>
      <c r="AX1049" s="1856" t="str">
        <f t="shared" si="214"/>
        <v/>
      </c>
      <c r="AY1049" s="1856" t="str">
        <f t="shared" si="215"/>
        <v/>
      </c>
    </row>
    <row r="1050" spans="42:52">
      <c r="AP1050" s="1855">
        <f t="shared" si="216"/>
        <v>44675</v>
      </c>
      <c r="AQ1050" s="925" t="str">
        <f t="shared" si="217"/>
        <v>SR</v>
      </c>
      <c r="AR1050" s="1856">
        <f t="shared" si="218"/>
        <v>44675.289583333331</v>
      </c>
      <c r="AS1050" s="927" t="s">
        <v>1695</v>
      </c>
      <c r="AT1050" s="1856" t="str">
        <f t="shared" si="210"/>
        <v/>
      </c>
      <c r="AU1050" s="1856" t="str">
        <f t="shared" si="211"/>
        <v/>
      </c>
      <c r="AV1050" s="1856" t="str">
        <f t="shared" si="212"/>
        <v/>
      </c>
      <c r="AW1050" s="1856" t="str">
        <f t="shared" si="213"/>
        <v/>
      </c>
      <c r="AX1050" s="1856" t="str">
        <f t="shared" si="214"/>
        <v/>
      </c>
      <c r="AY1050" s="1856" t="str">
        <f t="shared" si="215"/>
        <v/>
      </c>
    </row>
    <row r="1051" spans="42:52">
      <c r="AP1051" s="1855">
        <f t="shared" si="216"/>
        <v>44675</v>
      </c>
      <c r="AQ1051" s="925" t="str">
        <f t="shared" si="217"/>
        <v>MS</v>
      </c>
      <c r="AR1051" s="1856">
        <f t="shared" si="218"/>
        <v>44675.588194444448</v>
      </c>
      <c r="AS1051" s="927" t="s">
        <v>1696</v>
      </c>
      <c r="AT1051" s="1856" t="str">
        <f t="shared" si="210"/>
        <v/>
      </c>
      <c r="AU1051" s="1856" t="str">
        <f t="shared" si="211"/>
        <v/>
      </c>
      <c r="AV1051" s="1856" t="str">
        <f t="shared" si="212"/>
        <v/>
      </c>
      <c r="AW1051" s="1856" t="str">
        <f t="shared" si="213"/>
        <v/>
      </c>
      <c r="AX1051" s="1856" t="str">
        <f t="shared" si="214"/>
        <v/>
      </c>
      <c r="AY1051" s="1856" t="str">
        <f t="shared" si="215"/>
        <v/>
      </c>
    </row>
    <row r="1052" spans="42:52">
      <c r="AP1052" s="1855">
        <f t="shared" si="216"/>
        <v>44675</v>
      </c>
      <c r="AQ1052" s="925" t="str">
        <f t="shared" si="217"/>
        <v>SS</v>
      </c>
      <c r="AR1052" s="1856">
        <f t="shared" si="218"/>
        <v>44675.852083333339</v>
      </c>
      <c r="AS1052" s="927" t="s">
        <v>1697</v>
      </c>
      <c r="AT1052" s="1856" t="str">
        <f t="shared" ref="AT1052:AT1115" si="219">IF(ISNUMBER(AS1052),INDEX(AR1053:AR1063,MATCH($AT$27,AQ1053:AQ1063,0)),"")</f>
        <v/>
      </c>
      <c r="AU1052" s="1856" t="str">
        <f t="shared" ref="AU1052:AU1115" si="220">IF(AT1052="","",INDEX(AR1053:AR1063,MATCH($AU$27,AQ1053:AQ1063,0)))</f>
        <v/>
      </c>
      <c r="AV1052" s="1856" t="str">
        <f t="shared" ref="AV1052:AV1115" si="221">IF(AT1052="","",INDEX(AR1053:AR1063,MATCH($AV$27,AQ1053:AQ1063,0)))</f>
        <v/>
      </c>
      <c r="AW1052" s="1856" t="str">
        <f t="shared" ref="AW1052:AW1115" si="222">IF(AT1052="","",INDEX(AR1053:AR1063,MATCH($AW$27,AQ1053:AQ1063,0)))</f>
        <v/>
      </c>
      <c r="AX1052" s="1856" t="str">
        <f t="shared" ref="AX1052:AX1115" si="223">IF(AT1052="","",INDEX(AR1053:AR1063,MATCH($AX$27,AQ1053:AQ1063,0)))</f>
        <v/>
      </c>
      <c r="AY1052" s="1856" t="str">
        <f t="shared" ref="AY1052:AY1115" si="224">IF(AT1052="","",INDEX(AR1053:AR1063,MATCH($AY$27,AQ1053:AQ1063,0)))</f>
        <v/>
      </c>
    </row>
    <row r="1053" spans="42:52">
      <c r="AP1053" s="1855">
        <f t="shared" si="216"/>
        <v>44675</v>
      </c>
      <c r="AQ1053" s="925" t="str">
        <f t="shared" si="217"/>
        <v>EENT</v>
      </c>
      <c r="AR1053" s="1856">
        <f t="shared" si="218"/>
        <v>44675.894444444442</v>
      </c>
      <c r="AS1053" s="927" t="s">
        <v>1698</v>
      </c>
      <c r="AT1053" s="1856" t="str">
        <f t="shared" si="219"/>
        <v/>
      </c>
      <c r="AU1053" s="1856" t="str">
        <f t="shared" si="220"/>
        <v/>
      </c>
      <c r="AV1053" s="1856" t="str">
        <f t="shared" si="221"/>
        <v/>
      </c>
      <c r="AW1053" s="1856" t="str">
        <f t="shared" si="222"/>
        <v/>
      </c>
      <c r="AX1053" s="1856" t="str">
        <f t="shared" si="223"/>
        <v/>
      </c>
      <c r="AY1053" s="1856" t="str">
        <f t="shared" si="224"/>
        <v/>
      </c>
    </row>
    <row r="1054" spans="42:52">
      <c r="AP1054" s="1855">
        <f t="shared" si="216"/>
        <v>44676</v>
      </c>
      <c r="AQ1054" s="925" t="str">
        <f t="shared" si="217"/>
        <v/>
      </c>
      <c r="AR1054" s="1856" t="str">
        <f t="shared" si="218"/>
        <v/>
      </c>
      <c r="AS1054" s="927">
        <v>25</v>
      </c>
      <c r="AT1054" s="1856">
        <f t="shared" si="219"/>
        <v>44676.245833333334</v>
      </c>
      <c r="AU1054" s="1856">
        <f t="shared" si="220"/>
        <v>44676.288888888892</v>
      </c>
      <c r="AV1054" s="1856">
        <f t="shared" si="221"/>
        <v>44676.852777777778</v>
      </c>
      <c r="AW1054" s="1856">
        <f t="shared" si="222"/>
        <v>44676.895138888889</v>
      </c>
      <c r="AX1054" s="1856">
        <f t="shared" si="223"/>
        <v>44676.192361111105</v>
      </c>
      <c r="AY1054" s="1856">
        <f t="shared" si="224"/>
        <v>44676.636805555558</v>
      </c>
      <c r="AZ1054" s="1853">
        <v>0.31</v>
      </c>
    </row>
    <row r="1055" spans="42:52">
      <c r="AP1055" s="1855">
        <f t="shared" si="216"/>
        <v>44676</v>
      </c>
      <c r="AQ1055" s="925" t="str">
        <f t="shared" si="217"/>
        <v/>
      </c>
      <c r="AR1055" s="1856" t="str">
        <f t="shared" si="218"/>
        <v/>
      </c>
      <c r="AS1055" s="927" t="s">
        <v>252</v>
      </c>
      <c r="AT1055" s="1856" t="str">
        <f t="shared" si="219"/>
        <v/>
      </c>
      <c r="AU1055" s="1856" t="str">
        <f t="shared" si="220"/>
        <v/>
      </c>
      <c r="AV1055" s="1856" t="str">
        <f t="shared" si="221"/>
        <v/>
      </c>
      <c r="AW1055" s="1856" t="str">
        <f t="shared" si="222"/>
        <v/>
      </c>
      <c r="AX1055" s="1856" t="str">
        <f t="shared" si="223"/>
        <v/>
      </c>
      <c r="AY1055" s="1856" t="str">
        <f t="shared" si="224"/>
        <v/>
      </c>
    </row>
    <row r="1056" spans="42:52">
      <c r="AP1056" s="1855">
        <f t="shared" si="216"/>
        <v>44676</v>
      </c>
      <c r="AQ1056" s="925" t="str">
        <f t="shared" si="217"/>
        <v/>
      </c>
      <c r="AR1056" s="1856" t="str">
        <f t="shared" si="218"/>
        <v/>
      </c>
      <c r="AT1056" s="1856" t="str">
        <f t="shared" si="219"/>
        <v/>
      </c>
      <c r="AU1056" s="1856" t="str">
        <f t="shared" si="220"/>
        <v/>
      </c>
      <c r="AV1056" s="1856" t="str">
        <f t="shared" si="221"/>
        <v/>
      </c>
      <c r="AW1056" s="1856" t="str">
        <f t="shared" si="222"/>
        <v/>
      </c>
      <c r="AX1056" s="1856" t="str">
        <f t="shared" si="223"/>
        <v/>
      </c>
      <c r="AY1056" s="1856" t="str">
        <f t="shared" si="224"/>
        <v/>
      </c>
    </row>
    <row r="1057" spans="42:52">
      <c r="AP1057" s="1855">
        <f t="shared" si="216"/>
        <v>44676</v>
      </c>
      <c r="AQ1057" s="925" t="str">
        <f t="shared" si="217"/>
        <v>MR</v>
      </c>
      <c r="AR1057" s="1856">
        <f t="shared" si="218"/>
        <v>44676.192361111105</v>
      </c>
      <c r="AS1057" s="927" t="s">
        <v>1699</v>
      </c>
      <c r="AT1057" s="1856" t="str">
        <f t="shared" si="219"/>
        <v/>
      </c>
      <c r="AU1057" s="1856" t="str">
        <f t="shared" si="220"/>
        <v/>
      </c>
      <c r="AV1057" s="1856" t="str">
        <f t="shared" si="221"/>
        <v/>
      </c>
      <c r="AW1057" s="1856" t="str">
        <f t="shared" si="222"/>
        <v/>
      </c>
      <c r="AX1057" s="1856" t="str">
        <f t="shared" si="223"/>
        <v/>
      </c>
      <c r="AY1057" s="1856" t="str">
        <f t="shared" si="224"/>
        <v/>
      </c>
    </row>
    <row r="1058" spans="42:52">
      <c r="AP1058" s="1855">
        <f t="shared" si="216"/>
        <v>44676</v>
      </c>
      <c r="AQ1058" s="925" t="str">
        <f t="shared" si="217"/>
        <v>BMNT</v>
      </c>
      <c r="AR1058" s="1856">
        <f t="shared" si="218"/>
        <v>44676.245833333334</v>
      </c>
      <c r="AS1058" s="927" t="s">
        <v>1700</v>
      </c>
      <c r="AT1058" s="1856" t="str">
        <f t="shared" si="219"/>
        <v/>
      </c>
      <c r="AU1058" s="1856" t="str">
        <f t="shared" si="220"/>
        <v/>
      </c>
      <c r="AV1058" s="1856" t="str">
        <f t="shared" si="221"/>
        <v/>
      </c>
      <c r="AW1058" s="1856" t="str">
        <f t="shared" si="222"/>
        <v/>
      </c>
      <c r="AX1058" s="1856" t="str">
        <f t="shared" si="223"/>
        <v/>
      </c>
      <c r="AY1058" s="1856" t="str">
        <f t="shared" si="224"/>
        <v/>
      </c>
    </row>
    <row r="1059" spans="42:52">
      <c r="AP1059" s="1855">
        <f t="shared" si="216"/>
        <v>44676</v>
      </c>
      <c r="AQ1059" s="925" t="str">
        <f t="shared" si="217"/>
        <v>SR</v>
      </c>
      <c r="AR1059" s="1856">
        <f t="shared" si="218"/>
        <v>44676.288888888892</v>
      </c>
      <c r="AS1059" s="927" t="s">
        <v>1701</v>
      </c>
      <c r="AT1059" s="1856" t="str">
        <f t="shared" si="219"/>
        <v/>
      </c>
      <c r="AU1059" s="1856" t="str">
        <f t="shared" si="220"/>
        <v/>
      </c>
      <c r="AV1059" s="1856" t="str">
        <f t="shared" si="221"/>
        <v/>
      </c>
      <c r="AW1059" s="1856" t="str">
        <f t="shared" si="222"/>
        <v/>
      </c>
      <c r="AX1059" s="1856" t="str">
        <f t="shared" si="223"/>
        <v/>
      </c>
      <c r="AY1059" s="1856" t="str">
        <f t="shared" si="224"/>
        <v/>
      </c>
    </row>
    <row r="1060" spans="42:52">
      <c r="AP1060" s="1855">
        <f t="shared" si="216"/>
        <v>44676</v>
      </c>
      <c r="AQ1060" s="925" t="str">
        <f t="shared" si="217"/>
        <v>MS</v>
      </c>
      <c r="AR1060" s="1856">
        <f t="shared" si="218"/>
        <v>44676.636805555558</v>
      </c>
      <c r="AS1060" s="927" t="s">
        <v>1702</v>
      </c>
      <c r="AT1060" s="1856" t="str">
        <f t="shared" si="219"/>
        <v/>
      </c>
      <c r="AU1060" s="1856" t="str">
        <f t="shared" si="220"/>
        <v/>
      </c>
      <c r="AV1060" s="1856" t="str">
        <f t="shared" si="221"/>
        <v/>
      </c>
      <c r="AW1060" s="1856" t="str">
        <f t="shared" si="222"/>
        <v/>
      </c>
      <c r="AX1060" s="1856" t="str">
        <f t="shared" si="223"/>
        <v/>
      </c>
      <c r="AY1060" s="1856" t="str">
        <f t="shared" si="224"/>
        <v/>
      </c>
    </row>
    <row r="1061" spans="42:52">
      <c r="AP1061" s="1855">
        <f t="shared" ref="AP1061:AP1124" si="225">IF(ISNUMBER(AS1061),AP1060+1,AP1060)</f>
        <v>44676</v>
      </c>
      <c r="AQ1061" s="925" t="str">
        <f t="shared" ref="AQ1061:AQ1124" si="226">IF(NOT(ISNUMBER(FIND(":",AS1061))),"",IF(ISNUMBER(FIND("Sunr",AS1061)),"SR", IF(ISNUMBER(FIND("Suns",AS1061)),"SS",IF(ISNUMBER(FIND("Moonr",AS1061)),"MR",IF(ISNUMBER(FIND("Moons",AS1061)),"MS",IF(ISNUMBER(FIND("Twi",AS1061)),IF(HOUR(AR1061)&lt;12,"BMNT","EENT")))))))</f>
        <v>SS</v>
      </c>
      <c r="AR1061" s="1856">
        <f t="shared" si="218"/>
        <v>44676.852777777778</v>
      </c>
      <c r="AS1061" s="927" t="s">
        <v>1703</v>
      </c>
      <c r="AT1061" s="1856" t="str">
        <f t="shared" si="219"/>
        <v/>
      </c>
      <c r="AU1061" s="1856" t="str">
        <f t="shared" si="220"/>
        <v/>
      </c>
      <c r="AV1061" s="1856" t="str">
        <f t="shared" si="221"/>
        <v/>
      </c>
      <c r="AW1061" s="1856" t="str">
        <f t="shared" si="222"/>
        <v/>
      </c>
      <c r="AX1061" s="1856" t="str">
        <f t="shared" si="223"/>
        <v/>
      </c>
      <c r="AY1061" s="1856" t="str">
        <f t="shared" si="224"/>
        <v/>
      </c>
    </row>
    <row r="1062" spans="42:52">
      <c r="AP1062" s="1855">
        <f t="shared" si="225"/>
        <v>44676</v>
      </c>
      <c r="AQ1062" s="925" t="str">
        <f t="shared" si="226"/>
        <v>EENT</v>
      </c>
      <c r="AR1062" s="1856">
        <f t="shared" si="218"/>
        <v>44676.895138888889</v>
      </c>
      <c r="AS1062" s="927" t="s">
        <v>1704</v>
      </c>
      <c r="AT1062" s="1856" t="str">
        <f t="shared" si="219"/>
        <v/>
      </c>
      <c r="AU1062" s="1856" t="str">
        <f t="shared" si="220"/>
        <v/>
      </c>
      <c r="AV1062" s="1856" t="str">
        <f t="shared" si="221"/>
        <v/>
      </c>
      <c r="AW1062" s="1856" t="str">
        <f t="shared" si="222"/>
        <v/>
      </c>
      <c r="AX1062" s="1856" t="str">
        <f t="shared" si="223"/>
        <v/>
      </c>
      <c r="AY1062" s="1856" t="str">
        <f t="shared" si="224"/>
        <v/>
      </c>
    </row>
    <row r="1063" spans="42:52">
      <c r="AP1063" s="1855">
        <f t="shared" si="225"/>
        <v>44677</v>
      </c>
      <c r="AQ1063" s="925" t="str">
        <f t="shared" si="226"/>
        <v/>
      </c>
      <c r="AR1063" s="1856" t="str">
        <f t="shared" si="218"/>
        <v/>
      </c>
      <c r="AS1063" s="927">
        <v>26</v>
      </c>
      <c r="AT1063" s="1856">
        <f t="shared" si="219"/>
        <v>44677.245138888895</v>
      </c>
      <c r="AU1063" s="1856">
        <f t="shared" si="220"/>
        <v>44677.287499999999</v>
      </c>
      <c r="AV1063" s="1856">
        <f t="shared" si="221"/>
        <v>44677.853472222225</v>
      </c>
      <c r="AW1063" s="1856">
        <f t="shared" si="222"/>
        <v>44677.895833333336</v>
      </c>
      <c r="AX1063" s="1856">
        <f t="shared" si="223"/>
        <v>44677.213194444448</v>
      </c>
      <c r="AY1063" s="1856">
        <f t="shared" si="224"/>
        <v>44677.683333333334</v>
      </c>
      <c r="AZ1063" s="1853">
        <v>0.22</v>
      </c>
    </row>
    <row r="1064" spans="42:52">
      <c r="AP1064" s="1855">
        <f t="shared" si="225"/>
        <v>44677</v>
      </c>
      <c r="AQ1064" s="925" t="str">
        <f t="shared" si="226"/>
        <v/>
      </c>
      <c r="AR1064" s="1856" t="str">
        <f t="shared" si="218"/>
        <v/>
      </c>
      <c r="AS1064" s="927" t="s">
        <v>252</v>
      </c>
      <c r="AT1064" s="1856" t="str">
        <f t="shared" si="219"/>
        <v/>
      </c>
      <c r="AU1064" s="1856" t="str">
        <f t="shared" si="220"/>
        <v/>
      </c>
      <c r="AV1064" s="1856" t="str">
        <f t="shared" si="221"/>
        <v/>
      </c>
      <c r="AW1064" s="1856" t="str">
        <f t="shared" si="222"/>
        <v/>
      </c>
      <c r="AX1064" s="1856" t="str">
        <f t="shared" si="223"/>
        <v/>
      </c>
      <c r="AY1064" s="1856" t="str">
        <f t="shared" si="224"/>
        <v/>
      </c>
    </row>
    <row r="1065" spans="42:52">
      <c r="AP1065" s="1855">
        <f t="shared" si="225"/>
        <v>44677</v>
      </c>
      <c r="AQ1065" s="925" t="str">
        <f t="shared" si="226"/>
        <v/>
      </c>
      <c r="AR1065" s="1856" t="str">
        <f t="shared" ref="AR1065:AR1128" si="227">IF(NOT(ISNUMBER(FIND(":",AS1065))),"",IF(ISNUMBER(FIND(" none",AS1065)),"NONE",AP1065+LEFT(RIGHT(AS1065,5),2)/24+RIGHT(AS1065,2)/1440))</f>
        <v/>
      </c>
      <c r="AT1065" s="1856" t="str">
        <f t="shared" si="219"/>
        <v/>
      </c>
      <c r="AU1065" s="1856" t="str">
        <f t="shared" si="220"/>
        <v/>
      </c>
      <c r="AV1065" s="1856" t="str">
        <f t="shared" si="221"/>
        <v/>
      </c>
      <c r="AW1065" s="1856" t="str">
        <f t="shared" si="222"/>
        <v/>
      </c>
      <c r="AX1065" s="1856" t="str">
        <f t="shared" si="223"/>
        <v/>
      </c>
      <c r="AY1065" s="1856" t="str">
        <f t="shared" si="224"/>
        <v/>
      </c>
    </row>
    <row r="1066" spans="42:52">
      <c r="AP1066" s="1855">
        <f t="shared" si="225"/>
        <v>44677</v>
      </c>
      <c r="AQ1066" s="925" t="str">
        <f t="shared" si="226"/>
        <v>MR</v>
      </c>
      <c r="AR1066" s="1856">
        <f t="shared" si="227"/>
        <v>44677.213194444448</v>
      </c>
      <c r="AS1066" s="927" t="s">
        <v>1705</v>
      </c>
      <c r="AT1066" s="1856" t="str">
        <f t="shared" si="219"/>
        <v/>
      </c>
      <c r="AU1066" s="1856" t="str">
        <f t="shared" si="220"/>
        <v/>
      </c>
      <c r="AV1066" s="1856" t="str">
        <f t="shared" si="221"/>
        <v/>
      </c>
      <c r="AW1066" s="1856" t="str">
        <f t="shared" si="222"/>
        <v/>
      </c>
      <c r="AX1066" s="1856" t="str">
        <f t="shared" si="223"/>
        <v/>
      </c>
      <c r="AY1066" s="1856" t="str">
        <f t="shared" si="224"/>
        <v/>
      </c>
    </row>
    <row r="1067" spans="42:52">
      <c r="AP1067" s="1855">
        <f t="shared" si="225"/>
        <v>44677</v>
      </c>
      <c r="AQ1067" s="925" t="str">
        <f t="shared" si="226"/>
        <v>BMNT</v>
      </c>
      <c r="AR1067" s="1856">
        <f t="shared" si="227"/>
        <v>44677.245138888895</v>
      </c>
      <c r="AS1067" s="927" t="s">
        <v>1706</v>
      </c>
      <c r="AT1067" s="1856" t="str">
        <f t="shared" si="219"/>
        <v/>
      </c>
      <c r="AU1067" s="1856" t="str">
        <f t="shared" si="220"/>
        <v/>
      </c>
      <c r="AV1067" s="1856" t="str">
        <f t="shared" si="221"/>
        <v/>
      </c>
      <c r="AW1067" s="1856" t="str">
        <f t="shared" si="222"/>
        <v/>
      </c>
      <c r="AX1067" s="1856" t="str">
        <f t="shared" si="223"/>
        <v/>
      </c>
      <c r="AY1067" s="1856" t="str">
        <f t="shared" si="224"/>
        <v/>
      </c>
    </row>
    <row r="1068" spans="42:52">
      <c r="AP1068" s="1855">
        <f t="shared" si="225"/>
        <v>44677</v>
      </c>
      <c r="AQ1068" s="925" t="str">
        <f t="shared" si="226"/>
        <v>SR</v>
      </c>
      <c r="AR1068" s="1856">
        <f t="shared" si="227"/>
        <v>44677.287499999999</v>
      </c>
      <c r="AS1068" s="927" t="s">
        <v>1707</v>
      </c>
      <c r="AT1068" s="1856" t="str">
        <f t="shared" si="219"/>
        <v/>
      </c>
      <c r="AU1068" s="1856" t="str">
        <f t="shared" si="220"/>
        <v/>
      </c>
      <c r="AV1068" s="1856" t="str">
        <f t="shared" si="221"/>
        <v/>
      </c>
      <c r="AW1068" s="1856" t="str">
        <f t="shared" si="222"/>
        <v/>
      </c>
      <c r="AX1068" s="1856" t="str">
        <f t="shared" si="223"/>
        <v/>
      </c>
      <c r="AY1068" s="1856" t="str">
        <f t="shared" si="224"/>
        <v/>
      </c>
    </row>
    <row r="1069" spans="42:52">
      <c r="AP1069" s="1855">
        <f t="shared" si="225"/>
        <v>44677</v>
      </c>
      <c r="AQ1069" s="925" t="str">
        <f t="shared" si="226"/>
        <v>MS</v>
      </c>
      <c r="AR1069" s="1856">
        <f t="shared" si="227"/>
        <v>44677.683333333334</v>
      </c>
      <c r="AS1069" s="927" t="s">
        <v>777</v>
      </c>
      <c r="AT1069" s="1856" t="str">
        <f t="shared" si="219"/>
        <v/>
      </c>
      <c r="AU1069" s="1856" t="str">
        <f t="shared" si="220"/>
        <v/>
      </c>
      <c r="AV1069" s="1856" t="str">
        <f t="shared" si="221"/>
        <v/>
      </c>
      <c r="AW1069" s="1856" t="str">
        <f t="shared" si="222"/>
        <v/>
      </c>
      <c r="AX1069" s="1856" t="str">
        <f t="shared" si="223"/>
        <v/>
      </c>
      <c r="AY1069" s="1856" t="str">
        <f t="shared" si="224"/>
        <v/>
      </c>
    </row>
    <row r="1070" spans="42:52">
      <c r="AP1070" s="1855">
        <f t="shared" si="225"/>
        <v>44677</v>
      </c>
      <c r="AQ1070" s="925" t="str">
        <f t="shared" si="226"/>
        <v>SS</v>
      </c>
      <c r="AR1070" s="1856">
        <f t="shared" si="227"/>
        <v>44677.853472222225</v>
      </c>
      <c r="AS1070" s="927" t="s">
        <v>1708</v>
      </c>
      <c r="AT1070" s="1856" t="str">
        <f t="shared" si="219"/>
        <v/>
      </c>
      <c r="AU1070" s="1856" t="str">
        <f t="shared" si="220"/>
        <v/>
      </c>
      <c r="AV1070" s="1856" t="str">
        <f t="shared" si="221"/>
        <v/>
      </c>
      <c r="AW1070" s="1856" t="str">
        <f t="shared" si="222"/>
        <v/>
      </c>
      <c r="AX1070" s="1856" t="str">
        <f t="shared" si="223"/>
        <v/>
      </c>
      <c r="AY1070" s="1856" t="str">
        <f t="shared" si="224"/>
        <v/>
      </c>
    </row>
    <row r="1071" spans="42:52">
      <c r="AP1071" s="1855">
        <f t="shared" si="225"/>
        <v>44677</v>
      </c>
      <c r="AQ1071" s="925" t="str">
        <f t="shared" si="226"/>
        <v>EENT</v>
      </c>
      <c r="AR1071" s="1856">
        <f t="shared" si="227"/>
        <v>44677.895833333336</v>
      </c>
      <c r="AS1071" s="927" t="s">
        <v>1709</v>
      </c>
      <c r="AT1071" s="1856" t="str">
        <f t="shared" si="219"/>
        <v/>
      </c>
      <c r="AU1071" s="1856" t="str">
        <f t="shared" si="220"/>
        <v/>
      </c>
      <c r="AV1071" s="1856" t="str">
        <f t="shared" si="221"/>
        <v/>
      </c>
      <c r="AW1071" s="1856" t="str">
        <f t="shared" si="222"/>
        <v/>
      </c>
      <c r="AX1071" s="1856" t="str">
        <f t="shared" si="223"/>
        <v/>
      </c>
      <c r="AY1071" s="1856" t="str">
        <f t="shared" si="224"/>
        <v/>
      </c>
    </row>
    <row r="1072" spans="42:52">
      <c r="AP1072" s="1855">
        <f t="shared" si="225"/>
        <v>44678</v>
      </c>
      <c r="AQ1072" s="925" t="str">
        <f t="shared" si="226"/>
        <v/>
      </c>
      <c r="AR1072" s="1856" t="str">
        <f t="shared" si="227"/>
        <v/>
      </c>
      <c r="AS1072" s="927">
        <v>27</v>
      </c>
      <c r="AT1072" s="1856">
        <f t="shared" si="219"/>
        <v>44678.244444444448</v>
      </c>
      <c r="AU1072" s="1856">
        <f t="shared" si="220"/>
        <v>44678.286805555559</v>
      </c>
      <c r="AV1072" s="1856">
        <f t="shared" si="221"/>
        <v>44678.854166666672</v>
      </c>
      <c r="AW1072" s="1856">
        <f t="shared" si="222"/>
        <v>44678.897222222222</v>
      </c>
      <c r="AX1072" s="1856">
        <f t="shared" si="223"/>
        <v>44678.231944444444</v>
      </c>
      <c r="AY1072" s="1856">
        <f t="shared" si="224"/>
        <v>44678.728472222225</v>
      </c>
      <c r="AZ1072" s="1853">
        <v>0.14000000000000001</v>
      </c>
    </row>
    <row r="1073" spans="42:52">
      <c r="AP1073" s="1855">
        <f t="shared" si="225"/>
        <v>44678</v>
      </c>
      <c r="AQ1073" s="925" t="str">
        <f t="shared" si="226"/>
        <v/>
      </c>
      <c r="AR1073" s="1856" t="str">
        <f t="shared" si="227"/>
        <v/>
      </c>
      <c r="AS1073" s="927" t="s">
        <v>252</v>
      </c>
      <c r="AT1073" s="1856" t="str">
        <f t="shared" si="219"/>
        <v/>
      </c>
      <c r="AU1073" s="1856" t="str">
        <f t="shared" si="220"/>
        <v/>
      </c>
      <c r="AV1073" s="1856" t="str">
        <f t="shared" si="221"/>
        <v/>
      </c>
      <c r="AW1073" s="1856" t="str">
        <f t="shared" si="222"/>
        <v/>
      </c>
      <c r="AX1073" s="1856" t="str">
        <f t="shared" si="223"/>
        <v/>
      </c>
      <c r="AY1073" s="1856" t="str">
        <f t="shared" si="224"/>
        <v/>
      </c>
    </row>
    <row r="1074" spans="42:52">
      <c r="AP1074" s="1855">
        <f t="shared" si="225"/>
        <v>44678</v>
      </c>
      <c r="AQ1074" s="925" t="str">
        <f t="shared" si="226"/>
        <v/>
      </c>
      <c r="AR1074" s="1856" t="str">
        <f t="shared" si="227"/>
        <v/>
      </c>
      <c r="AT1074" s="1856" t="str">
        <f t="shared" si="219"/>
        <v/>
      </c>
      <c r="AU1074" s="1856" t="str">
        <f t="shared" si="220"/>
        <v/>
      </c>
      <c r="AV1074" s="1856" t="str">
        <f t="shared" si="221"/>
        <v/>
      </c>
      <c r="AW1074" s="1856" t="str">
        <f t="shared" si="222"/>
        <v/>
      </c>
      <c r="AX1074" s="1856" t="str">
        <f t="shared" si="223"/>
        <v/>
      </c>
      <c r="AY1074" s="1856" t="str">
        <f t="shared" si="224"/>
        <v/>
      </c>
    </row>
    <row r="1075" spans="42:52">
      <c r="AP1075" s="1855">
        <f t="shared" si="225"/>
        <v>44678</v>
      </c>
      <c r="AQ1075" s="925" t="str">
        <f t="shared" si="226"/>
        <v>MR</v>
      </c>
      <c r="AR1075" s="1856">
        <f t="shared" si="227"/>
        <v>44678.231944444444</v>
      </c>
      <c r="AS1075" s="927" t="s">
        <v>1710</v>
      </c>
      <c r="AT1075" s="1856" t="str">
        <f t="shared" si="219"/>
        <v/>
      </c>
      <c r="AU1075" s="1856" t="str">
        <f t="shared" si="220"/>
        <v/>
      </c>
      <c r="AV1075" s="1856" t="str">
        <f t="shared" si="221"/>
        <v/>
      </c>
      <c r="AW1075" s="1856" t="str">
        <f t="shared" si="222"/>
        <v/>
      </c>
      <c r="AX1075" s="1856" t="str">
        <f t="shared" si="223"/>
        <v/>
      </c>
      <c r="AY1075" s="1856" t="str">
        <f t="shared" si="224"/>
        <v/>
      </c>
    </row>
    <row r="1076" spans="42:52">
      <c r="AP1076" s="1855">
        <f t="shared" si="225"/>
        <v>44678</v>
      </c>
      <c r="AQ1076" s="925" t="str">
        <f t="shared" si="226"/>
        <v>BMNT</v>
      </c>
      <c r="AR1076" s="1856">
        <f t="shared" si="227"/>
        <v>44678.244444444448</v>
      </c>
      <c r="AS1076" s="927" t="s">
        <v>1711</v>
      </c>
      <c r="AT1076" s="1856" t="str">
        <f t="shared" si="219"/>
        <v/>
      </c>
      <c r="AU1076" s="1856" t="str">
        <f t="shared" si="220"/>
        <v/>
      </c>
      <c r="AV1076" s="1856" t="str">
        <f t="shared" si="221"/>
        <v/>
      </c>
      <c r="AW1076" s="1856" t="str">
        <f t="shared" si="222"/>
        <v/>
      </c>
      <c r="AX1076" s="1856" t="str">
        <f t="shared" si="223"/>
        <v/>
      </c>
      <c r="AY1076" s="1856" t="str">
        <f t="shared" si="224"/>
        <v/>
      </c>
    </row>
    <row r="1077" spans="42:52">
      <c r="AP1077" s="1855">
        <f t="shared" si="225"/>
        <v>44678</v>
      </c>
      <c r="AQ1077" s="925" t="str">
        <f t="shared" si="226"/>
        <v>SR</v>
      </c>
      <c r="AR1077" s="1856">
        <f t="shared" si="227"/>
        <v>44678.286805555559</v>
      </c>
      <c r="AS1077" s="927" t="s">
        <v>1712</v>
      </c>
      <c r="AT1077" s="1856" t="str">
        <f t="shared" si="219"/>
        <v/>
      </c>
      <c r="AU1077" s="1856" t="str">
        <f t="shared" si="220"/>
        <v/>
      </c>
      <c r="AV1077" s="1856" t="str">
        <f t="shared" si="221"/>
        <v/>
      </c>
      <c r="AW1077" s="1856" t="str">
        <f t="shared" si="222"/>
        <v/>
      </c>
      <c r="AX1077" s="1856" t="str">
        <f t="shared" si="223"/>
        <v/>
      </c>
      <c r="AY1077" s="1856" t="str">
        <f t="shared" si="224"/>
        <v/>
      </c>
    </row>
    <row r="1078" spans="42:52">
      <c r="AP1078" s="1855">
        <f t="shared" si="225"/>
        <v>44678</v>
      </c>
      <c r="AQ1078" s="925" t="str">
        <f t="shared" si="226"/>
        <v>MS</v>
      </c>
      <c r="AR1078" s="1856">
        <f t="shared" si="227"/>
        <v>44678.728472222225</v>
      </c>
      <c r="AS1078" s="927" t="s">
        <v>831</v>
      </c>
      <c r="AT1078" s="1856" t="str">
        <f t="shared" si="219"/>
        <v/>
      </c>
      <c r="AU1078" s="1856" t="str">
        <f t="shared" si="220"/>
        <v/>
      </c>
      <c r="AV1078" s="1856" t="str">
        <f t="shared" si="221"/>
        <v/>
      </c>
      <c r="AW1078" s="1856" t="str">
        <f t="shared" si="222"/>
        <v/>
      </c>
      <c r="AX1078" s="1856" t="str">
        <f t="shared" si="223"/>
        <v/>
      </c>
      <c r="AY1078" s="1856" t="str">
        <f t="shared" si="224"/>
        <v/>
      </c>
    </row>
    <row r="1079" spans="42:52">
      <c r="AP1079" s="1855">
        <f t="shared" si="225"/>
        <v>44678</v>
      </c>
      <c r="AQ1079" s="925" t="str">
        <f t="shared" si="226"/>
        <v>SS</v>
      </c>
      <c r="AR1079" s="1856">
        <f t="shared" si="227"/>
        <v>44678.854166666672</v>
      </c>
      <c r="AS1079" s="927" t="s">
        <v>1713</v>
      </c>
      <c r="AT1079" s="1856" t="str">
        <f t="shared" si="219"/>
        <v/>
      </c>
      <c r="AU1079" s="1856" t="str">
        <f t="shared" si="220"/>
        <v/>
      </c>
      <c r="AV1079" s="1856" t="str">
        <f t="shared" si="221"/>
        <v/>
      </c>
      <c r="AW1079" s="1856" t="str">
        <f t="shared" si="222"/>
        <v/>
      </c>
      <c r="AX1079" s="1856" t="str">
        <f t="shared" si="223"/>
        <v/>
      </c>
      <c r="AY1079" s="1856" t="str">
        <f t="shared" si="224"/>
        <v/>
      </c>
    </row>
    <row r="1080" spans="42:52">
      <c r="AP1080" s="1855">
        <f t="shared" si="225"/>
        <v>44678</v>
      </c>
      <c r="AQ1080" s="925" t="str">
        <f t="shared" si="226"/>
        <v>EENT</v>
      </c>
      <c r="AR1080" s="1856">
        <f t="shared" si="227"/>
        <v>44678.897222222222</v>
      </c>
      <c r="AS1080" s="927" t="s">
        <v>1714</v>
      </c>
      <c r="AT1080" s="1856" t="str">
        <f t="shared" si="219"/>
        <v/>
      </c>
      <c r="AU1080" s="1856" t="str">
        <f t="shared" si="220"/>
        <v/>
      </c>
      <c r="AV1080" s="1856" t="str">
        <f t="shared" si="221"/>
        <v/>
      </c>
      <c r="AW1080" s="1856" t="str">
        <f t="shared" si="222"/>
        <v/>
      </c>
      <c r="AX1080" s="1856" t="str">
        <f t="shared" si="223"/>
        <v/>
      </c>
      <c r="AY1080" s="1856" t="str">
        <f t="shared" si="224"/>
        <v/>
      </c>
    </row>
    <row r="1081" spans="42:52">
      <c r="AP1081" s="1855">
        <f t="shared" si="225"/>
        <v>44679</v>
      </c>
      <c r="AQ1081" s="925" t="str">
        <f t="shared" si="226"/>
        <v/>
      </c>
      <c r="AR1081" s="1856" t="str">
        <f t="shared" si="227"/>
        <v/>
      </c>
      <c r="AS1081" s="927">
        <v>28</v>
      </c>
      <c r="AT1081" s="1856">
        <f t="shared" si="219"/>
        <v>44679.243055555555</v>
      </c>
      <c r="AU1081" s="1856">
        <f t="shared" si="220"/>
        <v>44679.286111111112</v>
      </c>
      <c r="AV1081" s="1856">
        <f t="shared" si="221"/>
        <v>44679.854861111111</v>
      </c>
      <c r="AW1081" s="1856">
        <f t="shared" si="222"/>
        <v>44679.897916666669</v>
      </c>
      <c r="AX1081" s="1856">
        <f t="shared" si="223"/>
        <v>44679.249305555561</v>
      </c>
      <c r="AY1081" s="1856">
        <f t="shared" si="224"/>
        <v>44679.772222222222</v>
      </c>
      <c r="AZ1081" s="1853">
        <v>7.0000000000000007E-2</v>
      </c>
    </row>
    <row r="1082" spans="42:52">
      <c r="AP1082" s="1855">
        <f t="shared" si="225"/>
        <v>44679</v>
      </c>
      <c r="AQ1082" s="925" t="str">
        <f t="shared" si="226"/>
        <v/>
      </c>
      <c r="AR1082" s="1856" t="str">
        <f t="shared" si="227"/>
        <v/>
      </c>
      <c r="AS1082" s="927" t="s">
        <v>252</v>
      </c>
      <c r="AT1082" s="1856" t="str">
        <f t="shared" si="219"/>
        <v/>
      </c>
      <c r="AU1082" s="1856" t="str">
        <f t="shared" si="220"/>
        <v/>
      </c>
      <c r="AV1082" s="1856" t="str">
        <f t="shared" si="221"/>
        <v/>
      </c>
      <c r="AW1082" s="1856" t="str">
        <f t="shared" si="222"/>
        <v/>
      </c>
      <c r="AX1082" s="1856" t="str">
        <f t="shared" si="223"/>
        <v/>
      </c>
      <c r="AY1082" s="1856" t="str">
        <f t="shared" si="224"/>
        <v/>
      </c>
    </row>
    <row r="1083" spans="42:52">
      <c r="AP1083" s="1855">
        <f t="shared" si="225"/>
        <v>44679</v>
      </c>
      <c r="AQ1083" s="925" t="str">
        <f t="shared" si="226"/>
        <v/>
      </c>
      <c r="AR1083" s="1856" t="str">
        <f t="shared" si="227"/>
        <v/>
      </c>
      <c r="AT1083" s="1856" t="str">
        <f t="shared" si="219"/>
        <v/>
      </c>
      <c r="AU1083" s="1856" t="str">
        <f t="shared" si="220"/>
        <v/>
      </c>
      <c r="AV1083" s="1856" t="str">
        <f t="shared" si="221"/>
        <v/>
      </c>
      <c r="AW1083" s="1856" t="str">
        <f t="shared" si="222"/>
        <v/>
      </c>
      <c r="AX1083" s="1856" t="str">
        <f t="shared" si="223"/>
        <v/>
      </c>
      <c r="AY1083" s="1856" t="str">
        <f t="shared" si="224"/>
        <v/>
      </c>
    </row>
    <row r="1084" spans="42:52">
      <c r="AP1084" s="1855">
        <f t="shared" si="225"/>
        <v>44679</v>
      </c>
      <c r="AQ1084" s="925" t="str">
        <f t="shared" si="226"/>
        <v>BMNT</v>
      </c>
      <c r="AR1084" s="1856">
        <f t="shared" si="227"/>
        <v>44679.243055555555</v>
      </c>
      <c r="AS1084" s="927" t="s">
        <v>1715</v>
      </c>
      <c r="AT1084" s="1856" t="str">
        <f t="shared" si="219"/>
        <v/>
      </c>
      <c r="AU1084" s="1856" t="str">
        <f t="shared" si="220"/>
        <v/>
      </c>
      <c r="AV1084" s="1856" t="str">
        <f t="shared" si="221"/>
        <v/>
      </c>
      <c r="AW1084" s="1856" t="str">
        <f t="shared" si="222"/>
        <v/>
      </c>
      <c r="AX1084" s="1856" t="str">
        <f t="shared" si="223"/>
        <v/>
      </c>
      <c r="AY1084" s="1856" t="str">
        <f t="shared" si="224"/>
        <v/>
      </c>
    </row>
    <row r="1085" spans="42:52">
      <c r="AP1085" s="1855">
        <f t="shared" si="225"/>
        <v>44679</v>
      </c>
      <c r="AQ1085" s="925" t="str">
        <f t="shared" si="226"/>
        <v>MR</v>
      </c>
      <c r="AR1085" s="1856">
        <f t="shared" si="227"/>
        <v>44679.249305555561</v>
      </c>
      <c r="AS1085" s="927" t="s">
        <v>1716</v>
      </c>
      <c r="AT1085" s="1856" t="str">
        <f t="shared" si="219"/>
        <v/>
      </c>
      <c r="AU1085" s="1856" t="str">
        <f t="shared" si="220"/>
        <v/>
      </c>
      <c r="AV1085" s="1856" t="str">
        <f t="shared" si="221"/>
        <v/>
      </c>
      <c r="AW1085" s="1856" t="str">
        <f t="shared" si="222"/>
        <v/>
      </c>
      <c r="AX1085" s="1856" t="str">
        <f t="shared" si="223"/>
        <v/>
      </c>
      <c r="AY1085" s="1856" t="str">
        <f t="shared" si="224"/>
        <v/>
      </c>
    </row>
    <row r="1086" spans="42:52">
      <c r="AP1086" s="1855">
        <f t="shared" si="225"/>
        <v>44679</v>
      </c>
      <c r="AQ1086" s="925" t="str">
        <f t="shared" si="226"/>
        <v>SR</v>
      </c>
      <c r="AR1086" s="1856">
        <f t="shared" si="227"/>
        <v>44679.286111111112</v>
      </c>
      <c r="AS1086" s="927" t="s">
        <v>1717</v>
      </c>
      <c r="AT1086" s="1856" t="str">
        <f t="shared" si="219"/>
        <v/>
      </c>
      <c r="AU1086" s="1856" t="str">
        <f t="shared" si="220"/>
        <v/>
      </c>
      <c r="AV1086" s="1856" t="str">
        <f t="shared" si="221"/>
        <v/>
      </c>
      <c r="AW1086" s="1856" t="str">
        <f t="shared" si="222"/>
        <v/>
      </c>
      <c r="AX1086" s="1856" t="str">
        <f t="shared" si="223"/>
        <v/>
      </c>
      <c r="AY1086" s="1856" t="str">
        <f t="shared" si="224"/>
        <v/>
      </c>
    </row>
    <row r="1087" spans="42:52">
      <c r="AP1087" s="1855">
        <f t="shared" si="225"/>
        <v>44679</v>
      </c>
      <c r="AQ1087" s="925" t="str">
        <f t="shared" si="226"/>
        <v>MS</v>
      </c>
      <c r="AR1087" s="1856">
        <f t="shared" si="227"/>
        <v>44679.772222222222</v>
      </c>
      <c r="AS1087" s="927" t="s">
        <v>1718</v>
      </c>
      <c r="AT1087" s="1856" t="str">
        <f t="shared" si="219"/>
        <v/>
      </c>
      <c r="AU1087" s="1856" t="str">
        <f t="shared" si="220"/>
        <v/>
      </c>
      <c r="AV1087" s="1856" t="str">
        <f t="shared" si="221"/>
        <v/>
      </c>
      <c r="AW1087" s="1856" t="str">
        <f t="shared" si="222"/>
        <v/>
      </c>
      <c r="AX1087" s="1856" t="str">
        <f t="shared" si="223"/>
        <v/>
      </c>
      <c r="AY1087" s="1856" t="str">
        <f t="shared" si="224"/>
        <v/>
      </c>
    </row>
    <row r="1088" spans="42:52">
      <c r="AP1088" s="1855">
        <f t="shared" si="225"/>
        <v>44679</v>
      </c>
      <c r="AQ1088" s="925" t="str">
        <f t="shared" si="226"/>
        <v>SS</v>
      </c>
      <c r="AR1088" s="1856">
        <f t="shared" si="227"/>
        <v>44679.854861111111</v>
      </c>
      <c r="AS1088" s="927" t="s">
        <v>1719</v>
      </c>
      <c r="AT1088" s="1856" t="str">
        <f t="shared" si="219"/>
        <v/>
      </c>
      <c r="AU1088" s="1856" t="str">
        <f t="shared" si="220"/>
        <v/>
      </c>
      <c r="AV1088" s="1856" t="str">
        <f t="shared" si="221"/>
        <v/>
      </c>
      <c r="AW1088" s="1856" t="str">
        <f t="shared" si="222"/>
        <v/>
      </c>
      <c r="AX1088" s="1856" t="str">
        <f t="shared" si="223"/>
        <v/>
      </c>
      <c r="AY1088" s="1856" t="str">
        <f t="shared" si="224"/>
        <v/>
      </c>
    </row>
    <row r="1089" spans="42:52">
      <c r="AP1089" s="1855">
        <f t="shared" si="225"/>
        <v>44679</v>
      </c>
      <c r="AQ1089" s="925" t="str">
        <f t="shared" si="226"/>
        <v>EENT</v>
      </c>
      <c r="AR1089" s="1856">
        <f t="shared" si="227"/>
        <v>44679.897916666669</v>
      </c>
      <c r="AS1089" s="927" t="s">
        <v>1720</v>
      </c>
      <c r="AT1089" s="1856" t="str">
        <f t="shared" si="219"/>
        <v/>
      </c>
      <c r="AU1089" s="1856" t="str">
        <f t="shared" si="220"/>
        <v/>
      </c>
      <c r="AV1089" s="1856" t="str">
        <f t="shared" si="221"/>
        <v/>
      </c>
      <c r="AW1089" s="1856" t="str">
        <f t="shared" si="222"/>
        <v/>
      </c>
      <c r="AX1089" s="1856" t="str">
        <f t="shared" si="223"/>
        <v/>
      </c>
      <c r="AY1089" s="1856" t="str">
        <f t="shared" si="224"/>
        <v/>
      </c>
    </row>
    <row r="1090" spans="42:52">
      <c r="AP1090" s="1855">
        <f t="shared" si="225"/>
        <v>44680</v>
      </c>
      <c r="AQ1090" s="925" t="str">
        <f t="shared" si="226"/>
        <v/>
      </c>
      <c r="AR1090" s="1856" t="str">
        <f t="shared" si="227"/>
        <v/>
      </c>
      <c r="AS1090" s="927">
        <v>29</v>
      </c>
      <c r="AT1090" s="1856">
        <f t="shared" si="219"/>
        <v>44680.242361111115</v>
      </c>
      <c r="AU1090" s="1856">
        <f t="shared" si="220"/>
        <v>44680.285416666666</v>
      </c>
      <c r="AV1090" s="1856">
        <f t="shared" si="221"/>
        <v>44680.855555555558</v>
      </c>
      <c r="AW1090" s="1856">
        <f t="shared" si="222"/>
        <v>44680.898611111108</v>
      </c>
      <c r="AX1090" s="1856">
        <f t="shared" si="223"/>
        <v>44680.265972222223</v>
      </c>
      <c r="AY1090" s="1856">
        <f t="shared" si="224"/>
        <v>44680.815972222219</v>
      </c>
      <c r="AZ1090" s="1853">
        <v>0.03</v>
      </c>
    </row>
    <row r="1091" spans="42:52">
      <c r="AP1091" s="1855">
        <f t="shared" si="225"/>
        <v>44680</v>
      </c>
      <c r="AQ1091" s="925" t="str">
        <f t="shared" si="226"/>
        <v/>
      </c>
      <c r="AR1091" s="1856" t="str">
        <f t="shared" si="227"/>
        <v/>
      </c>
      <c r="AS1091" s="927" t="s">
        <v>252</v>
      </c>
      <c r="AT1091" s="1856" t="str">
        <f t="shared" si="219"/>
        <v/>
      </c>
      <c r="AU1091" s="1856" t="str">
        <f t="shared" si="220"/>
        <v/>
      </c>
      <c r="AV1091" s="1856" t="str">
        <f t="shared" si="221"/>
        <v/>
      </c>
      <c r="AW1091" s="1856" t="str">
        <f t="shared" si="222"/>
        <v/>
      </c>
      <c r="AX1091" s="1856" t="str">
        <f t="shared" si="223"/>
        <v/>
      </c>
      <c r="AY1091" s="1856" t="str">
        <f t="shared" si="224"/>
        <v/>
      </c>
    </row>
    <row r="1092" spans="42:52">
      <c r="AP1092" s="1855">
        <f t="shared" si="225"/>
        <v>44680</v>
      </c>
      <c r="AQ1092" s="925" t="str">
        <f t="shared" si="226"/>
        <v/>
      </c>
      <c r="AR1092" s="1856" t="str">
        <f t="shared" si="227"/>
        <v/>
      </c>
      <c r="AT1092" s="1856" t="str">
        <f t="shared" si="219"/>
        <v/>
      </c>
      <c r="AU1092" s="1856" t="str">
        <f t="shared" si="220"/>
        <v/>
      </c>
      <c r="AV1092" s="1856" t="str">
        <f t="shared" si="221"/>
        <v/>
      </c>
      <c r="AW1092" s="1856" t="str">
        <f t="shared" si="222"/>
        <v/>
      </c>
      <c r="AX1092" s="1856" t="str">
        <f t="shared" si="223"/>
        <v/>
      </c>
      <c r="AY1092" s="1856" t="str">
        <f t="shared" si="224"/>
        <v/>
      </c>
    </row>
    <row r="1093" spans="42:52">
      <c r="AP1093" s="1855">
        <f t="shared" si="225"/>
        <v>44680</v>
      </c>
      <c r="AQ1093" s="925" t="str">
        <f t="shared" si="226"/>
        <v>BMNT</v>
      </c>
      <c r="AR1093" s="1856">
        <f t="shared" si="227"/>
        <v>44680.242361111115</v>
      </c>
      <c r="AS1093" s="927" t="s">
        <v>1721</v>
      </c>
      <c r="AT1093" s="1856" t="str">
        <f t="shared" si="219"/>
        <v/>
      </c>
      <c r="AU1093" s="1856" t="str">
        <f t="shared" si="220"/>
        <v/>
      </c>
      <c r="AV1093" s="1856" t="str">
        <f t="shared" si="221"/>
        <v/>
      </c>
      <c r="AW1093" s="1856" t="str">
        <f t="shared" si="222"/>
        <v/>
      </c>
      <c r="AX1093" s="1856" t="str">
        <f t="shared" si="223"/>
        <v/>
      </c>
      <c r="AY1093" s="1856" t="str">
        <f t="shared" si="224"/>
        <v/>
      </c>
    </row>
    <row r="1094" spans="42:52">
      <c r="AP1094" s="1855">
        <f t="shared" si="225"/>
        <v>44680</v>
      </c>
      <c r="AQ1094" s="925" t="str">
        <f t="shared" si="226"/>
        <v>MR</v>
      </c>
      <c r="AR1094" s="1856">
        <f t="shared" si="227"/>
        <v>44680.265972222223</v>
      </c>
      <c r="AS1094" s="927" t="s">
        <v>1722</v>
      </c>
      <c r="AT1094" s="1856" t="str">
        <f t="shared" si="219"/>
        <v/>
      </c>
      <c r="AU1094" s="1856" t="str">
        <f t="shared" si="220"/>
        <v/>
      </c>
      <c r="AV1094" s="1856" t="str">
        <f t="shared" si="221"/>
        <v/>
      </c>
      <c r="AW1094" s="1856" t="str">
        <f t="shared" si="222"/>
        <v/>
      </c>
      <c r="AX1094" s="1856" t="str">
        <f t="shared" si="223"/>
        <v/>
      </c>
      <c r="AY1094" s="1856" t="str">
        <f t="shared" si="224"/>
        <v/>
      </c>
    </row>
    <row r="1095" spans="42:52">
      <c r="AP1095" s="1855">
        <f t="shared" si="225"/>
        <v>44680</v>
      </c>
      <c r="AQ1095" s="925" t="str">
        <f t="shared" si="226"/>
        <v>SR</v>
      </c>
      <c r="AR1095" s="1856">
        <f t="shared" si="227"/>
        <v>44680.285416666666</v>
      </c>
      <c r="AS1095" s="927" t="s">
        <v>1723</v>
      </c>
      <c r="AT1095" s="1856" t="str">
        <f t="shared" si="219"/>
        <v/>
      </c>
      <c r="AU1095" s="1856" t="str">
        <f t="shared" si="220"/>
        <v/>
      </c>
      <c r="AV1095" s="1856" t="str">
        <f t="shared" si="221"/>
        <v/>
      </c>
      <c r="AW1095" s="1856" t="str">
        <f t="shared" si="222"/>
        <v/>
      </c>
      <c r="AX1095" s="1856" t="str">
        <f t="shared" si="223"/>
        <v/>
      </c>
      <c r="AY1095" s="1856" t="str">
        <f t="shared" si="224"/>
        <v/>
      </c>
    </row>
    <row r="1096" spans="42:52">
      <c r="AP1096" s="1855">
        <f t="shared" si="225"/>
        <v>44680</v>
      </c>
      <c r="AQ1096" s="925" t="str">
        <f t="shared" si="226"/>
        <v>MS</v>
      </c>
      <c r="AR1096" s="1856">
        <f t="shared" si="227"/>
        <v>44680.815972222219</v>
      </c>
      <c r="AS1096" s="927" t="s">
        <v>1724</v>
      </c>
      <c r="AT1096" s="1856" t="str">
        <f t="shared" si="219"/>
        <v/>
      </c>
      <c r="AU1096" s="1856" t="str">
        <f t="shared" si="220"/>
        <v/>
      </c>
      <c r="AV1096" s="1856" t="str">
        <f t="shared" si="221"/>
        <v/>
      </c>
      <c r="AW1096" s="1856" t="str">
        <f t="shared" si="222"/>
        <v/>
      </c>
      <c r="AX1096" s="1856" t="str">
        <f t="shared" si="223"/>
        <v/>
      </c>
      <c r="AY1096" s="1856" t="str">
        <f t="shared" si="224"/>
        <v/>
      </c>
    </row>
    <row r="1097" spans="42:52">
      <c r="AP1097" s="1855">
        <f t="shared" si="225"/>
        <v>44680</v>
      </c>
      <c r="AQ1097" s="925" t="str">
        <f t="shared" si="226"/>
        <v>SS</v>
      </c>
      <c r="AR1097" s="1856">
        <f t="shared" si="227"/>
        <v>44680.855555555558</v>
      </c>
      <c r="AS1097" s="927" t="s">
        <v>1725</v>
      </c>
      <c r="AT1097" s="1856" t="str">
        <f t="shared" si="219"/>
        <v/>
      </c>
      <c r="AU1097" s="1856" t="str">
        <f t="shared" si="220"/>
        <v/>
      </c>
      <c r="AV1097" s="1856" t="str">
        <f t="shared" si="221"/>
        <v/>
      </c>
      <c r="AW1097" s="1856" t="str">
        <f t="shared" si="222"/>
        <v/>
      </c>
      <c r="AX1097" s="1856" t="str">
        <f t="shared" si="223"/>
        <v/>
      </c>
      <c r="AY1097" s="1856" t="str">
        <f t="shared" si="224"/>
        <v/>
      </c>
    </row>
    <row r="1098" spans="42:52">
      <c r="AP1098" s="1855">
        <f t="shared" si="225"/>
        <v>44680</v>
      </c>
      <c r="AQ1098" s="925" t="str">
        <f t="shared" si="226"/>
        <v>EENT</v>
      </c>
      <c r="AR1098" s="1856">
        <f t="shared" si="227"/>
        <v>44680.898611111108</v>
      </c>
      <c r="AS1098" s="927" t="s">
        <v>1726</v>
      </c>
      <c r="AT1098" s="1856" t="str">
        <f t="shared" si="219"/>
        <v/>
      </c>
      <c r="AU1098" s="1856" t="str">
        <f t="shared" si="220"/>
        <v/>
      </c>
      <c r="AV1098" s="1856" t="str">
        <f t="shared" si="221"/>
        <v/>
      </c>
      <c r="AW1098" s="1856" t="str">
        <f t="shared" si="222"/>
        <v/>
      </c>
      <c r="AX1098" s="1856" t="str">
        <f t="shared" si="223"/>
        <v/>
      </c>
      <c r="AY1098" s="1856" t="str">
        <f t="shared" si="224"/>
        <v/>
      </c>
    </row>
    <row r="1099" spans="42:52">
      <c r="AP1099" s="1855">
        <f t="shared" si="225"/>
        <v>44681</v>
      </c>
      <c r="AQ1099" s="925" t="str">
        <f t="shared" si="226"/>
        <v/>
      </c>
      <c r="AR1099" s="1856" t="str">
        <f t="shared" si="227"/>
        <v/>
      </c>
      <c r="AS1099" s="927">
        <v>30</v>
      </c>
      <c r="AT1099" s="1856">
        <f t="shared" si="219"/>
        <v>44681.240972222222</v>
      </c>
      <c r="AU1099" s="1856">
        <f t="shared" si="220"/>
        <v>44681.284722222219</v>
      </c>
      <c r="AV1099" s="1856">
        <f t="shared" si="221"/>
        <v>44681.856250000004</v>
      </c>
      <c r="AW1099" s="1856">
        <f t="shared" si="222"/>
        <v>44681.899305555555</v>
      </c>
      <c r="AX1099" s="1856">
        <f t="shared" si="223"/>
        <v>44681.283333333333</v>
      </c>
      <c r="AY1099" s="1856">
        <f t="shared" si="224"/>
        <v>44681.859722222223</v>
      </c>
      <c r="AZ1099" s="1853">
        <v>0.01</v>
      </c>
    </row>
    <row r="1100" spans="42:52">
      <c r="AP1100" s="1855">
        <f t="shared" si="225"/>
        <v>44681</v>
      </c>
      <c r="AQ1100" s="925" t="str">
        <f t="shared" si="226"/>
        <v/>
      </c>
      <c r="AR1100" s="1856" t="str">
        <f t="shared" si="227"/>
        <v/>
      </c>
      <c r="AS1100" s="927" t="s">
        <v>252</v>
      </c>
      <c r="AT1100" s="1856" t="str">
        <f t="shared" si="219"/>
        <v/>
      </c>
      <c r="AU1100" s="1856" t="str">
        <f t="shared" si="220"/>
        <v/>
      </c>
      <c r="AV1100" s="1856" t="str">
        <f t="shared" si="221"/>
        <v/>
      </c>
      <c r="AW1100" s="1856" t="str">
        <f t="shared" si="222"/>
        <v/>
      </c>
      <c r="AX1100" s="1856" t="str">
        <f t="shared" si="223"/>
        <v/>
      </c>
      <c r="AY1100" s="1856" t="str">
        <f t="shared" si="224"/>
        <v/>
      </c>
    </row>
    <row r="1101" spans="42:52">
      <c r="AP1101" s="1855">
        <f t="shared" si="225"/>
        <v>44681</v>
      </c>
      <c r="AQ1101" s="925" t="str">
        <f t="shared" si="226"/>
        <v/>
      </c>
      <c r="AR1101" s="1856" t="str">
        <f t="shared" si="227"/>
        <v/>
      </c>
      <c r="AT1101" s="1856" t="str">
        <f t="shared" si="219"/>
        <v/>
      </c>
      <c r="AU1101" s="1856" t="str">
        <f t="shared" si="220"/>
        <v/>
      </c>
      <c r="AV1101" s="1856" t="str">
        <f t="shared" si="221"/>
        <v/>
      </c>
      <c r="AW1101" s="1856" t="str">
        <f t="shared" si="222"/>
        <v/>
      </c>
      <c r="AX1101" s="1856" t="str">
        <f t="shared" si="223"/>
        <v/>
      </c>
      <c r="AY1101" s="1856" t="str">
        <f t="shared" si="224"/>
        <v/>
      </c>
    </row>
    <row r="1102" spans="42:52">
      <c r="AP1102" s="1855">
        <f t="shared" si="225"/>
        <v>44681</v>
      </c>
      <c r="AQ1102" s="925" t="str">
        <f t="shared" si="226"/>
        <v>BMNT</v>
      </c>
      <c r="AR1102" s="1856">
        <f t="shared" si="227"/>
        <v>44681.240972222222</v>
      </c>
      <c r="AS1102" s="927" t="s">
        <v>1727</v>
      </c>
      <c r="AT1102" s="1856" t="str">
        <f t="shared" si="219"/>
        <v/>
      </c>
      <c r="AU1102" s="1856" t="str">
        <f t="shared" si="220"/>
        <v/>
      </c>
      <c r="AV1102" s="1856" t="str">
        <f t="shared" si="221"/>
        <v/>
      </c>
      <c r="AW1102" s="1856" t="str">
        <f t="shared" si="222"/>
        <v/>
      </c>
      <c r="AX1102" s="1856" t="str">
        <f t="shared" si="223"/>
        <v/>
      </c>
      <c r="AY1102" s="1856" t="str">
        <f t="shared" si="224"/>
        <v/>
      </c>
    </row>
    <row r="1103" spans="42:52">
      <c r="AP1103" s="1855">
        <f t="shared" si="225"/>
        <v>44681</v>
      </c>
      <c r="AQ1103" s="925" t="str">
        <f t="shared" si="226"/>
        <v>MR</v>
      </c>
      <c r="AR1103" s="1856">
        <f t="shared" si="227"/>
        <v>44681.283333333333</v>
      </c>
      <c r="AS1103" s="927" t="s">
        <v>1728</v>
      </c>
      <c r="AT1103" s="1856" t="str">
        <f t="shared" si="219"/>
        <v/>
      </c>
      <c r="AU1103" s="1856" t="str">
        <f t="shared" si="220"/>
        <v/>
      </c>
      <c r="AV1103" s="1856" t="str">
        <f t="shared" si="221"/>
        <v/>
      </c>
      <c r="AW1103" s="1856" t="str">
        <f t="shared" si="222"/>
        <v/>
      </c>
      <c r="AX1103" s="1856" t="str">
        <f t="shared" si="223"/>
        <v/>
      </c>
      <c r="AY1103" s="1856" t="str">
        <f t="shared" si="224"/>
        <v/>
      </c>
    </row>
    <row r="1104" spans="42:52">
      <c r="AP1104" s="1855">
        <f t="shared" si="225"/>
        <v>44681</v>
      </c>
      <c r="AQ1104" s="925" t="str">
        <f t="shared" si="226"/>
        <v>SR</v>
      </c>
      <c r="AR1104" s="1856">
        <f t="shared" si="227"/>
        <v>44681.284722222219</v>
      </c>
      <c r="AS1104" s="927" t="s">
        <v>1729</v>
      </c>
      <c r="AT1104" s="1856" t="str">
        <f t="shared" si="219"/>
        <v/>
      </c>
      <c r="AU1104" s="1856" t="str">
        <f t="shared" si="220"/>
        <v/>
      </c>
      <c r="AV1104" s="1856" t="str">
        <f t="shared" si="221"/>
        <v/>
      </c>
      <c r="AW1104" s="1856" t="str">
        <f t="shared" si="222"/>
        <v/>
      </c>
      <c r="AX1104" s="1856" t="str">
        <f t="shared" si="223"/>
        <v/>
      </c>
      <c r="AY1104" s="1856" t="str">
        <f t="shared" si="224"/>
        <v/>
      </c>
    </row>
    <row r="1105" spans="42:52">
      <c r="AP1105" s="1855">
        <f t="shared" si="225"/>
        <v>44681</v>
      </c>
      <c r="AQ1105" s="925" t="str">
        <f t="shared" si="226"/>
        <v>SS</v>
      </c>
      <c r="AR1105" s="1856">
        <f t="shared" si="227"/>
        <v>44681.856250000004</v>
      </c>
      <c r="AS1105" s="927" t="s">
        <v>1730</v>
      </c>
      <c r="AT1105" s="1856" t="str">
        <f t="shared" si="219"/>
        <v/>
      </c>
      <c r="AU1105" s="1856" t="str">
        <f t="shared" si="220"/>
        <v/>
      </c>
      <c r="AV1105" s="1856" t="str">
        <f t="shared" si="221"/>
        <v/>
      </c>
      <c r="AW1105" s="1856" t="str">
        <f t="shared" si="222"/>
        <v/>
      </c>
      <c r="AX1105" s="1856" t="str">
        <f t="shared" si="223"/>
        <v/>
      </c>
      <c r="AY1105" s="1856" t="str">
        <f t="shared" si="224"/>
        <v/>
      </c>
    </row>
    <row r="1106" spans="42:52">
      <c r="AP1106" s="1855">
        <f t="shared" si="225"/>
        <v>44681</v>
      </c>
      <c r="AQ1106" s="925" t="str">
        <f t="shared" si="226"/>
        <v>MS</v>
      </c>
      <c r="AR1106" s="1856">
        <f t="shared" si="227"/>
        <v>44681.859722222223</v>
      </c>
      <c r="AS1106" s="927" t="s">
        <v>1731</v>
      </c>
      <c r="AT1106" s="1856" t="str">
        <f t="shared" si="219"/>
        <v/>
      </c>
      <c r="AU1106" s="1856" t="str">
        <f t="shared" si="220"/>
        <v/>
      </c>
      <c r="AV1106" s="1856" t="str">
        <f t="shared" si="221"/>
        <v/>
      </c>
      <c r="AW1106" s="1856" t="str">
        <f t="shared" si="222"/>
        <v/>
      </c>
      <c r="AX1106" s="1856" t="str">
        <f t="shared" si="223"/>
        <v/>
      </c>
      <c r="AY1106" s="1856" t="str">
        <f t="shared" si="224"/>
        <v/>
      </c>
    </row>
    <row r="1107" spans="42:52">
      <c r="AP1107" s="1855">
        <f t="shared" si="225"/>
        <v>44681</v>
      </c>
      <c r="AQ1107" s="925" t="str">
        <f t="shared" si="226"/>
        <v>EENT</v>
      </c>
      <c r="AR1107" s="1856">
        <f t="shared" si="227"/>
        <v>44681.899305555555</v>
      </c>
      <c r="AS1107" s="927" t="s">
        <v>1732</v>
      </c>
      <c r="AT1107" s="1856" t="str">
        <f t="shared" si="219"/>
        <v/>
      </c>
      <c r="AU1107" s="1856" t="str">
        <f t="shared" si="220"/>
        <v/>
      </c>
      <c r="AV1107" s="1856" t="str">
        <f t="shared" si="221"/>
        <v/>
      </c>
      <c r="AW1107" s="1856" t="str">
        <f t="shared" si="222"/>
        <v/>
      </c>
      <c r="AX1107" s="1856" t="str">
        <f t="shared" si="223"/>
        <v/>
      </c>
      <c r="AY1107" s="1856" t="str">
        <f t="shared" si="224"/>
        <v/>
      </c>
    </row>
    <row r="1108" spans="42:52">
      <c r="AP1108" s="1855">
        <f t="shared" si="225"/>
        <v>44682</v>
      </c>
      <c r="AQ1108" s="925" t="str">
        <f t="shared" si="226"/>
        <v/>
      </c>
      <c r="AR1108" s="1856" t="str">
        <f t="shared" si="227"/>
        <v/>
      </c>
      <c r="AS1108" s="927">
        <v>1</v>
      </c>
      <c r="AT1108" s="1856">
        <f t="shared" si="219"/>
        <v>44682.240277777782</v>
      </c>
      <c r="AU1108" s="1856">
        <f t="shared" si="220"/>
        <v>44682.283333333333</v>
      </c>
      <c r="AV1108" s="1856">
        <f t="shared" si="221"/>
        <v>44682.856944444444</v>
      </c>
      <c r="AW1108" s="1856">
        <f t="shared" si="222"/>
        <v>44682.9</v>
      </c>
      <c r="AX1108" s="1856">
        <f t="shared" si="223"/>
        <v>44682.302777777775</v>
      </c>
      <c r="AY1108" s="1856">
        <f t="shared" si="224"/>
        <v>44682.902777777781</v>
      </c>
      <c r="AZ1108" s="1853">
        <v>0</v>
      </c>
    </row>
    <row r="1109" spans="42:52">
      <c r="AP1109" s="1855">
        <f t="shared" si="225"/>
        <v>44682</v>
      </c>
      <c r="AQ1109" s="925" t="str">
        <f t="shared" si="226"/>
        <v/>
      </c>
      <c r="AR1109" s="1856" t="str">
        <f t="shared" si="227"/>
        <v/>
      </c>
      <c r="AS1109" s="927" t="s">
        <v>252</v>
      </c>
      <c r="AT1109" s="1856" t="str">
        <f t="shared" si="219"/>
        <v/>
      </c>
      <c r="AU1109" s="1856" t="str">
        <f t="shared" si="220"/>
        <v/>
      </c>
      <c r="AV1109" s="1856" t="str">
        <f t="shared" si="221"/>
        <v/>
      </c>
      <c r="AW1109" s="1856" t="str">
        <f t="shared" si="222"/>
        <v/>
      </c>
      <c r="AX1109" s="1856" t="str">
        <f t="shared" si="223"/>
        <v/>
      </c>
      <c r="AY1109" s="1856" t="str">
        <f t="shared" si="224"/>
        <v/>
      </c>
    </row>
    <row r="1110" spans="42:52">
      <c r="AP1110" s="1855">
        <f t="shared" si="225"/>
        <v>44682</v>
      </c>
      <c r="AQ1110" s="925" t="str">
        <f t="shared" si="226"/>
        <v/>
      </c>
      <c r="AR1110" s="1856" t="str">
        <f t="shared" si="227"/>
        <v/>
      </c>
      <c r="AT1110" s="1856" t="str">
        <f t="shared" si="219"/>
        <v/>
      </c>
      <c r="AU1110" s="1856" t="str">
        <f t="shared" si="220"/>
        <v/>
      </c>
      <c r="AV1110" s="1856" t="str">
        <f t="shared" si="221"/>
        <v/>
      </c>
      <c r="AW1110" s="1856" t="str">
        <f t="shared" si="222"/>
        <v/>
      </c>
      <c r="AX1110" s="1856" t="str">
        <f t="shared" si="223"/>
        <v/>
      </c>
      <c r="AY1110" s="1856" t="str">
        <f t="shared" si="224"/>
        <v/>
      </c>
    </row>
    <row r="1111" spans="42:52">
      <c r="AP1111" s="1855">
        <f t="shared" si="225"/>
        <v>44682</v>
      </c>
      <c r="AQ1111" s="925" t="str">
        <f t="shared" si="226"/>
        <v>BMNT</v>
      </c>
      <c r="AR1111" s="1856">
        <f t="shared" si="227"/>
        <v>44682.240277777782</v>
      </c>
      <c r="AS1111" s="927" t="s">
        <v>1733</v>
      </c>
      <c r="AT1111" s="1856" t="str">
        <f t="shared" si="219"/>
        <v/>
      </c>
      <c r="AU1111" s="1856" t="str">
        <f t="shared" si="220"/>
        <v/>
      </c>
      <c r="AV1111" s="1856" t="str">
        <f t="shared" si="221"/>
        <v/>
      </c>
      <c r="AW1111" s="1856" t="str">
        <f t="shared" si="222"/>
        <v/>
      </c>
      <c r="AX1111" s="1856" t="str">
        <f t="shared" si="223"/>
        <v/>
      </c>
      <c r="AY1111" s="1856" t="str">
        <f t="shared" si="224"/>
        <v/>
      </c>
    </row>
    <row r="1112" spans="42:52">
      <c r="AP1112" s="1855">
        <f t="shared" si="225"/>
        <v>44682</v>
      </c>
      <c r="AQ1112" s="925" t="str">
        <f t="shared" si="226"/>
        <v>SR</v>
      </c>
      <c r="AR1112" s="1856">
        <f t="shared" si="227"/>
        <v>44682.283333333333</v>
      </c>
      <c r="AS1112" s="927" t="s">
        <v>1734</v>
      </c>
      <c r="AT1112" s="1856" t="str">
        <f t="shared" si="219"/>
        <v/>
      </c>
      <c r="AU1112" s="1856" t="str">
        <f t="shared" si="220"/>
        <v/>
      </c>
      <c r="AV1112" s="1856" t="str">
        <f t="shared" si="221"/>
        <v/>
      </c>
      <c r="AW1112" s="1856" t="str">
        <f t="shared" si="222"/>
        <v/>
      </c>
      <c r="AX1112" s="1856" t="str">
        <f t="shared" si="223"/>
        <v/>
      </c>
      <c r="AY1112" s="1856" t="str">
        <f t="shared" si="224"/>
        <v/>
      </c>
    </row>
    <row r="1113" spans="42:52">
      <c r="AP1113" s="1855">
        <f t="shared" si="225"/>
        <v>44682</v>
      </c>
      <c r="AQ1113" s="925" t="str">
        <f t="shared" si="226"/>
        <v>MR</v>
      </c>
      <c r="AR1113" s="1856">
        <f t="shared" si="227"/>
        <v>44682.302777777775</v>
      </c>
      <c r="AS1113" s="927" t="s">
        <v>1735</v>
      </c>
      <c r="AT1113" s="1856" t="str">
        <f t="shared" si="219"/>
        <v/>
      </c>
      <c r="AU1113" s="1856" t="str">
        <f t="shared" si="220"/>
        <v/>
      </c>
      <c r="AV1113" s="1856" t="str">
        <f t="shared" si="221"/>
        <v/>
      </c>
      <c r="AW1113" s="1856" t="str">
        <f t="shared" si="222"/>
        <v/>
      </c>
      <c r="AX1113" s="1856" t="str">
        <f t="shared" si="223"/>
        <v/>
      </c>
      <c r="AY1113" s="1856" t="str">
        <f t="shared" si="224"/>
        <v/>
      </c>
    </row>
    <row r="1114" spans="42:52">
      <c r="AP1114" s="1855">
        <f t="shared" si="225"/>
        <v>44682</v>
      </c>
      <c r="AQ1114" s="925" t="str">
        <f t="shared" si="226"/>
        <v>SS</v>
      </c>
      <c r="AR1114" s="1856">
        <f t="shared" si="227"/>
        <v>44682.856944444444</v>
      </c>
      <c r="AS1114" s="927" t="s">
        <v>1736</v>
      </c>
      <c r="AT1114" s="1856" t="str">
        <f t="shared" si="219"/>
        <v/>
      </c>
      <c r="AU1114" s="1856" t="str">
        <f t="shared" si="220"/>
        <v/>
      </c>
      <c r="AV1114" s="1856" t="str">
        <f t="shared" si="221"/>
        <v/>
      </c>
      <c r="AW1114" s="1856" t="str">
        <f t="shared" si="222"/>
        <v/>
      </c>
      <c r="AX1114" s="1856" t="str">
        <f t="shared" si="223"/>
        <v/>
      </c>
      <c r="AY1114" s="1856" t="str">
        <f t="shared" si="224"/>
        <v/>
      </c>
    </row>
    <row r="1115" spans="42:52">
      <c r="AP1115" s="1855">
        <f t="shared" si="225"/>
        <v>44682</v>
      </c>
      <c r="AQ1115" s="925" t="str">
        <f t="shared" si="226"/>
        <v>EENT</v>
      </c>
      <c r="AR1115" s="1856">
        <f t="shared" si="227"/>
        <v>44682.9</v>
      </c>
      <c r="AS1115" s="927" t="s">
        <v>1737</v>
      </c>
      <c r="AT1115" s="1856" t="str">
        <f t="shared" si="219"/>
        <v/>
      </c>
      <c r="AU1115" s="1856" t="str">
        <f t="shared" si="220"/>
        <v/>
      </c>
      <c r="AV1115" s="1856" t="str">
        <f t="shared" si="221"/>
        <v/>
      </c>
      <c r="AW1115" s="1856" t="str">
        <f t="shared" si="222"/>
        <v/>
      </c>
      <c r="AX1115" s="1856" t="str">
        <f t="shared" si="223"/>
        <v/>
      </c>
      <c r="AY1115" s="1856" t="str">
        <f t="shared" si="224"/>
        <v/>
      </c>
    </row>
    <row r="1116" spans="42:52">
      <c r="AP1116" s="1855">
        <f t="shared" si="225"/>
        <v>44682</v>
      </c>
      <c r="AQ1116" s="925" t="str">
        <f t="shared" si="226"/>
        <v>MS</v>
      </c>
      <c r="AR1116" s="1856">
        <f t="shared" si="227"/>
        <v>44682.902777777781</v>
      </c>
      <c r="AS1116" s="927" t="s">
        <v>1738</v>
      </c>
      <c r="AT1116" s="1856" t="str">
        <f t="shared" ref="AT1116:AT1179" si="228">IF(ISNUMBER(AS1116),INDEX(AR1117:AR1127,MATCH($AT$27,AQ1117:AQ1127,0)),"")</f>
        <v/>
      </c>
      <c r="AU1116" s="1856" t="str">
        <f t="shared" ref="AU1116:AU1179" si="229">IF(AT1116="","",INDEX(AR1117:AR1127,MATCH($AU$27,AQ1117:AQ1127,0)))</f>
        <v/>
      </c>
      <c r="AV1116" s="1856" t="str">
        <f t="shared" ref="AV1116:AV1179" si="230">IF(AT1116="","",INDEX(AR1117:AR1127,MATCH($AV$27,AQ1117:AQ1127,0)))</f>
        <v/>
      </c>
      <c r="AW1116" s="1856" t="str">
        <f t="shared" ref="AW1116:AW1179" si="231">IF(AT1116="","",INDEX(AR1117:AR1127,MATCH($AW$27,AQ1117:AQ1127,0)))</f>
        <v/>
      </c>
      <c r="AX1116" s="1856" t="str">
        <f t="shared" ref="AX1116:AX1179" si="232">IF(AT1116="","",INDEX(AR1117:AR1127,MATCH($AX$27,AQ1117:AQ1127,0)))</f>
        <v/>
      </c>
      <c r="AY1116" s="1856" t="str">
        <f t="shared" ref="AY1116:AY1179" si="233">IF(AT1116="","",INDEX(AR1117:AR1127,MATCH($AY$27,AQ1117:AQ1127,0)))</f>
        <v/>
      </c>
    </row>
    <row r="1117" spans="42:52">
      <c r="AP1117" s="1855">
        <f t="shared" si="225"/>
        <v>44683</v>
      </c>
      <c r="AQ1117" s="925" t="str">
        <f t="shared" si="226"/>
        <v/>
      </c>
      <c r="AR1117" s="1856" t="str">
        <f t="shared" si="227"/>
        <v/>
      </c>
      <c r="AS1117" s="927">
        <v>2</v>
      </c>
      <c r="AT1117" s="1856">
        <f t="shared" si="228"/>
        <v>44683.239583333336</v>
      </c>
      <c r="AU1117" s="1856">
        <f t="shared" si="229"/>
        <v>44683.282638888886</v>
      </c>
      <c r="AV1117" s="1856">
        <f t="shared" si="230"/>
        <v>44683.857638888891</v>
      </c>
      <c r="AW1117" s="1856">
        <f t="shared" si="231"/>
        <v>44683.900694444441</v>
      </c>
      <c r="AX1117" s="1856">
        <f t="shared" si="232"/>
        <v>44683.32430555555</v>
      </c>
      <c r="AY1117" s="1856">
        <f t="shared" si="233"/>
        <v>44683.945138888885</v>
      </c>
      <c r="AZ1117" s="1853">
        <v>0.02</v>
      </c>
    </row>
    <row r="1118" spans="42:52">
      <c r="AP1118" s="1855">
        <f t="shared" si="225"/>
        <v>44683</v>
      </c>
      <c r="AQ1118" s="925" t="str">
        <f t="shared" si="226"/>
        <v/>
      </c>
      <c r="AR1118" s="1856" t="str">
        <f t="shared" si="227"/>
        <v/>
      </c>
      <c r="AS1118" s="927" t="s">
        <v>252</v>
      </c>
      <c r="AT1118" s="1856" t="str">
        <f t="shared" si="228"/>
        <v/>
      </c>
      <c r="AU1118" s="1856" t="str">
        <f t="shared" si="229"/>
        <v/>
      </c>
      <c r="AV1118" s="1856" t="str">
        <f t="shared" si="230"/>
        <v/>
      </c>
      <c r="AW1118" s="1856" t="str">
        <f t="shared" si="231"/>
        <v/>
      </c>
      <c r="AX1118" s="1856" t="str">
        <f t="shared" si="232"/>
        <v/>
      </c>
      <c r="AY1118" s="1856" t="str">
        <f t="shared" si="233"/>
        <v/>
      </c>
    </row>
    <row r="1119" spans="42:52">
      <c r="AP1119" s="1855">
        <f t="shared" si="225"/>
        <v>44683</v>
      </c>
      <c r="AQ1119" s="925" t="str">
        <f t="shared" si="226"/>
        <v/>
      </c>
      <c r="AR1119" s="1856" t="str">
        <f t="shared" si="227"/>
        <v/>
      </c>
      <c r="AT1119" s="1856" t="str">
        <f t="shared" si="228"/>
        <v/>
      </c>
      <c r="AU1119" s="1856" t="str">
        <f t="shared" si="229"/>
        <v/>
      </c>
      <c r="AV1119" s="1856" t="str">
        <f t="shared" si="230"/>
        <v/>
      </c>
      <c r="AW1119" s="1856" t="str">
        <f t="shared" si="231"/>
        <v/>
      </c>
      <c r="AX1119" s="1856" t="str">
        <f t="shared" si="232"/>
        <v/>
      </c>
      <c r="AY1119" s="1856" t="str">
        <f t="shared" si="233"/>
        <v/>
      </c>
    </row>
    <row r="1120" spans="42:52">
      <c r="AP1120" s="1855">
        <f t="shared" si="225"/>
        <v>44683</v>
      </c>
      <c r="AQ1120" s="925" t="str">
        <f t="shared" si="226"/>
        <v>BMNT</v>
      </c>
      <c r="AR1120" s="1856">
        <f t="shared" si="227"/>
        <v>44683.239583333336</v>
      </c>
      <c r="AS1120" s="927" t="s">
        <v>1739</v>
      </c>
      <c r="AT1120" s="1856" t="str">
        <f t="shared" si="228"/>
        <v/>
      </c>
      <c r="AU1120" s="1856" t="str">
        <f t="shared" si="229"/>
        <v/>
      </c>
      <c r="AV1120" s="1856" t="str">
        <f t="shared" si="230"/>
        <v/>
      </c>
      <c r="AW1120" s="1856" t="str">
        <f t="shared" si="231"/>
        <v/>
      </c>
      <c r="AX1120" s="1856" t="str">
        <f t="shared" si="232"/>
        <v/>
      </c>
      <c r="AY1120" s="1856" t="str">
        <f t="shared" si="233"/>
        <v/>
      </c>
    </row>
    <row r="1121" spans="42:52">
      <c r="AP1121" s="1855">
        <f t="shared" si="225"/>
        <v>44683</v>
      </c>
      <c r="AQ1121" s="925" t="str">
        <f t="shared" si="226"/>
        <v>SR</v>
      </c>
      <c r="AR1121" s="1856">
        <f t="shared" si="227"/>
        <v>44683.282638888886</v>
      </c>
      <c r="AS1121" s="927" t="s">
        <v>1740</v>
      </c>
      <c r="AT1121" s="1856" t="str">
        <f t="shared" si="228"/>
        <v/>
      </c>
      <c r="AU1121" s="1856" t="str">
        <f t="shared" si="229"/>
        <v/>
      </c>
      <c r="AV1121" s="1856" t="str">
        <f t="shared" si="230"/>
        <v/>
      </c>
      <c r="AW1121" s="1856" t="str">
        <f t="shared" si="231"/>
        <v/>
      </c>
      <c r="AX1121" s="1856" t="str">
        <f t="shared" si="232"/>
        <v/>
      </c>
      <c r="AY1121" s="1856" t="str">
        <f t="shared" si="233"/>
        <v/>
      </c>
    </row>
    <row r="1122" spans="42:52">
      <c r="AP1122" s="1855">
        <f t="shared" si="225"/>
        <v>44683</v>
      </c>
      <c r="AQ1122" s="925" t="str">
        <f t="shared" si="226"/>
        <v>MR</v>
      </c>
      <c r="AR1122" s="1856">
        <f t="shared" si="227"/>
        <v>44683.32430555555</v>
      </c>
      <c r="AS1122" s="927" t="s">
        <v>1741</v>
      </c>
      <c r="AT1122" s="1856" t="str">
        <f t="shared" si="228"/>
        <v/>
      </c>
      <c r="AU1122" s="1856" t="str">
        <f t="shared" si="229"/>
        <v/>
      </c>
      <c r="AV1122" s="1856" t="str">
        <f t="shared" si="230"/>
        <v/>
      </c>
      <c r="AW1122" s="1856" t="str">
        <f t="shared" si="231"/>
        <v/>
      </c>
      <c r="AX1122" s="1856" t="str">
        <f t="shared" si="232"/>
        <v/>
      </c>
      <c r="AY1122" s="1856" t="str">
        <f t="shared" si="233"/>
        <v/>
      </c>
    </row>
    <row r="1123" spans="42:52">
      <c r="AP1123" s="1855">
        <f t="shared" si="225"/>
        <v>44683</v>
      </c>
      <c r="AQ1123" s="925" t="str">
        <f t="shared" si="226"/>
        <v>SS</v>
      </c>
      <c r="AR1123" s="1856">
        <f t="shared" si="227"/>
        <v>44683.857638888891</v>
      </c>
      <c r="AS1123" s="927" t="s">
        <v>1742</v>
      </c>
      <c r="AT1123" s="1856" t="str">
        <f t="shared" si="228"/>
        <v/>
      </c>
      <c r="AU1123" s="1856" t="str">
        <f t="shared" si="229"/>
        <v/>
      </c>
      <c r="AV1123" s="1856" t="str">
        <f t="shared" si="230"/>
        <v/>
      </c>
      <c r="AW1123" s="1856" t="str">
        <f t="shared" si="231"/>
        <v/>
      </c>
      <c r="AX1123" s="1856" t="str">
        <f t="shared" si="232"/>
        <v/>
      </c>
      <c r="AY1123" s="1856" t="str">
        <f t="shared" si="233"/>
        <v/>
      </c>
    </row>
    <row r="1124" spans="42:52">
      <c r="AP1124" s="1855">
        <f t="shared" si="225"/>
        <v>44683</v>
      </c>
      <c r="AQ1124" s="925" t="str">
        <f t="shared" si="226"/>
        <v>EENT</v>
      </c>
      <c r="AR1124" s="1856">
        <f t="shared" si="227"/>
        <v>44683.900694444441</v>
      </c>
      <c r="AS1124" s="927" t="s">
        <v>1743</v>
      </c>
      <c r="AT1124" s="1856" t="str">
        <f t="shared" si="228"/>
        <v/>
      </c>
      <c r="AU1124" s="1856" t="str">
        <f t="shared" si="229"/>
        <v/>
      </c>
      <c r="AV1124" s="1856" t="str">
        <f t="shared" si="230"/>
        <v/>
      </c>
      <c r="AW1124" s="1856" t="str">
        <f t="shared" si="231"/>
        <v/>
      </c>
      <c r="AX1124" s="1856" t="str">
        <f t="shared" si="232"/>
        <v/>
      </c>
      <c r="AY1124" s="1856" t="str">
        <f t="shared" si="233"/>
        <v/>
      </c>
    </row>
    <row r="1125" spans="42:52">
      <c r="AP1125" s="1855">
        <f t="shared" ref="AP1125:AP1188" si="234">IF(ISNUMBER(AS1125),AP1124+1,AP1124)</f>
        <v>44683</v>
      </c>
      <c r="AQ1125" s="925" t="str">
        <f t="shared" ref="AQ1125:AQ1138" si="235">IF(NOT(ISNUMBER(FIND(":",AS1125))),"",IF(ISNUMBER(FIND("Sunr",AS1125)),"SR", IF(ISNUMBER(FIND("Suns",AS1125)),"SS",IF(ISNUMBER(FIND("Moonr",AS1125)),"MR",IF(ISNUMBER(FIND("Moons",AS1125)),"MS",IF(ISNUMBER(FIND("Twi",AS1125)),IF(HOUR(AR1125)&lt;12,"BMNT","EENT")))))))</f>
        <v>MS</v>
      </c>
      <c r="AR1125" s="1856">
        <f t="shared" si="227"/>
        <v>44683.945138888885</v>
      </c>
      <c r="AS1125" s="927" t="s">
        <v>1744</v>
      </c>
      <c r="AT1125" s="1856" t="str">
        <f t="shared" si="228"/>
        <v/>
      </c>
      <c r="AU1125" s="1856" t="str">
        <f t="shared" si="229"/>
        <v/>
      </c>
      <c r="AV1125" s="1856" t="str">
        <f t="shared" si="230"/>
        <v/>
      </c>
      <c r="AW1125" s="1856" t="str">
        <f t="shared" si="231"/>
        <v/>
      </c>
      <c r="AX1125" s="1856" t="str">
        <f t="shared" si="232"/>
        <v/>
      </c>
      <c r="AY1125" s="1856" t="str">
        <f t="shared" si="233"/>
        <v/>
      </c>
    </row>
    <row r="1126" spans="42:52">
      <c r="AP1126" s="1855">
        <f t="shared" si="234"/>
        <v>44684</v>
      </c>
      <c r="AQ1126" s="925" t="str">
        <f t="shared" si="235"/>
        <v/>
      </c>
      <c r="AR1126" s="1856" t="str">
        <f t="shared" si="227"/>
        <v/>
      </c>
      <c r="AS1126" s="927">
        <v>3</v>
      </c>
      <c r="AT1126" s="1856">
        <f t="shared" si="228"/>
        <v>44684.23819444445</v>
      </c>
      <c r="AU1126" s="1856">
        <f t="shared" si="229"/>
        <v>44684.281944444447</v>
      </c>
      <c r="AV1126" s="1856">
        <f t="shared" si="230"/>
        <v>44684.857638888891</v>
      </c>
      <c r="AW1126" s="1856">
        <f t="shared" si="231"/>
        <v>44684.901388888888</v>
      </c>
      <c r="AX1126" s="1856">
        <f t="shared" si="232"/>
        <v>44684.348611111112</v>
      </c>
      <c r="AY1126" s="1856">
        <f t="shared" si="233"/>
        <v>44684.986805555556</v>
      </c>
      <c r="AZ1126" s="1853">
        <v>0.05</v>
      </c>
    </row>
    <row r="1127" spans="42:52">
      <c r="AP1127" s="1855">
        <f t="shared" si="234"/>
        <v>44684</v>
      </c>
      <c r="AQ1127" s="925" t="str">
        <f t="shared" si="235"/>
        <v/>
      </c>
      <c r="AR1127" s="1856" t="str">
        <f t="shared" si="227"/>
        <v/>
      </c>
      <c r="AS1127" s="927" t="s">
        <v>252</v>
      </c>
      <c r="AT1127" s="1856" t="str">
        <f t="shared" si="228"/>
        <v/>
      </c>
      <c r="AU1127" s="1856" t="str">
        <f t="shared" si="229"/>
        <v/>
      </c>
      <c r="AV1127" s="1856" t="str">
        <f t="shared" si="230"/>
        <v/>
      </c>
      <c r="AW1127" s="1856" t="str">
        <f t="shared" si="231"/>
        <v/>
      </c>
      <c r="AX1127" s="1856" t="str">
        <f t="shared" si="232"/>
        <v/>
      </c>
      <c r="AY1127" s="1856" t="str">
        <f t="shared" si="233"/>
        <v/>
      </c>
    </row>
    <row r="1128" spans="42:52">
      <c r="AP1128" s="1855">
        <f t="shared" si="234"/>
        <v>44684</v>
      </c>
      <c r="AQ1128" s="925" t="str">
        <f t="shared" si="235"/>
        <v/>
      </c>
      <c r="AR1128" s="1856" t="str">
        <f t="shared" si="227"/>
        <v/>
      </c>
      <c r="AT1128" s="1856" t="str">
        <f t="shared" si="228"/>
        <v/>
      </c>
      <c r="AU1128" s="1856" t="str">
        <f t="shared" si="229"/>
        <v/>
      </c>
      <c r="AV1128" s="1856" t="str">
        <f t="shared" si="230"/>
        <v/>
      </c>
      <c r="AW1128" s="1856" t="str">
        <f t="shared" si="231"/>
        <v/>
      </c>
      <c r="AX1128" s="1856" t="str">
        <f t="shared" si="232"/>
        <v/>
      </c>
      <c r="AY1128" s="1856" t="str">
        <f t="shared" si="233"/>
        <v/>
      </c>
    </row>
    <row r="1129" spans="42:52">
      <c r="AP1129" s="1855">
        <f t="shared" si="234"/>
        <v>44684</v>
      </c>
      <c r="AQ1129" s="925" t="str">
        <f t="shared" si="235"/>
        <v>BMNT</v>
      </c>
      <c r="AR1129" s="1856">
        <f t="shared" ref="AR1129:AR1192" si="236">IF(NOT(ISNUMBER(FIND(":",AS1129))),"",IF(ISNUMBER(FIND(" none",AS1129)),"NONE",AP1129+LEFT(RIGHT(AS1129,5),2)/24+RIGHT(AS1129,2)/1440))</f>
        <v>44684.23819444445</v>
      </c>
      <c r="AS1129" s="927" t="s">
        <v>1745</v>
      </c>
      <c r="AT1129" s="1856" t="str">
        <f t="shared" si="228"/>
        <v/>
      </c>
      <c r="AU1129" s="1856" t="str">
        <f t="shared" si="229"/>
        <v/>
      </c>
      <c r="AV1129" s="1856" t="str">
        <f t="shared" si="230"/>
        <v/>
      </c>
      <c r="AW1129" s="1856" t="str">
        <f t="shared" si="231"/>
        <v/>
      </c>
      <c r="AX1129" s="1856" t="str">
        <f t="shared" si="232"/>
        <v/>
      </c>
      <c r="AY1129" s="1856" t="str">
        <f t="shared" si="233"/>
        <v/>
      </c>
    </row>
    <row r="1130" spans="42:52">
      <c r="AP1130" s="1855">
        <f t="shared" si="234"/>
        <v>44684</v>
      </c>
      <c r="AQ1130" s="925" t="str">
        <f t="shared" si="235"/>
        <v>SR</v>
      </c>
      <c r="AR1130" s="1856">
        <f t="shared" si="236"/>
        <v>44684.281944444447</v>
      </c>
      <c r="AS1130" s="927" t="s">
        <v>1746</v>
      </c>
      <c r="AT1130" s="1856" t="str">
        <f t="shared" si="228"/>
        <v/>
      </c>
      <c r="AU1130" s="1856" t="str">
        <f t="shared" si="229"/>
        <v/>
      </c>
      <c r="AV1130" s="1856" t="str">
        <f t="shared" si="230"/>
        <v/>
      </c>
      <c r="AW1130" s="1856" t="str">
        <f t="shared" si="231"/>
        <v/>
      </c>
      <c r="AX1130" s="1856" t="str">
        <f t="shared" si="232"/>
        <v/>
      </c>
      <c r="AY1130" s="1856" t="str">
        <f t="shared" si="233"/>
        <v/>
      </c>
    </row>
    <row r="1131" spans="42:52">
      <c r="AP1131" s="1855">
        <f t="shared" si="234"/>
        <v>44684</v>
      </c>
      <c r="AQ1131" s="925" t="str">
        <f t="shared" si="235"/>
        <v>MR</v>
      </c>
      <c r="AR1131" s="1856">
        <f t="shared" si="236"/>
        <v>44684.348611111112</v>
      </c>
      <c r="AS1131" s="927" t="s">
        <v>1747</v>
      </c>
      <c r="AT1131" s="1856" t="str">
        <f t="shared" si="228"/>
        <v/>
      </c>
      <c r="AU1131" s="1856" t="str">
        <f t="shared" si="229"/>
        <v/>
      </c>
      <c r="AV1131" s="1856" t="str">
        <f t="shared" si="230"/>
        <v/>
      </c>
      <c r="AW1131" s="1856" t="str">
        <f t="shared" si="231"/>
        <v/>
      </c>
      <c r="AX1131" s="1856" t="str">
        <f t="shared" si="232"/>
        <v/>
      </c>
      <c r="AY1131" s="1856" t="str">
        <f t="shared" si="233"/>
        <v/>
      </c>
    </row>
    <row r="1132" spans="42:52">
      <c r="AP1132" s="1855">
        <f t="shared" si="234"/>
        <v>44684</v>
      </c>
      <c r="AQ1132" s="925" t="str">
        <f t="shared" si="235"/>
        <v>SS</v>
      </c>
      <c r="AR1132" s="1856">
        <f t="shared" si="236"/>
        <v>44684.857638888891</v>
      </c>
      <c r="AS1132" s="927" t="s">
        <v>1742</v>
      </c>
      <c r="AT1132" s="1856" t="str">
        <f t="shared" si="228"/>
        <v/>
      </c>
      <c r="AU1132" s="1856" t="str">
        <f t="shared" si="229"/>
        <v/>
      </c>
      <c r="AV1132" s="1856" t="str">
        <f t="shared" si="230"/>
        <v/>
      </c>
      <c r="AW1132" s="1856" t="str">
        <f t="shared" si="231"/>
        <v/>
      </c>
      <c r="AX1132" s="1856" t="str">
        <f t="shared" si="232"/>
        <v/>
      </c>
      <c r="AY1132" s="1856" t="str">
        <f t="shared" si="233"/>
        <v/>
      </c>
    </row>
    <row r="1133" spans="42:52">
      <c r="AP1133" s="1855">
        <f t="shared" si="234"/>
        <v>44684</v>
      </c>
      <c r="AQ1133" s="925" t="str">
        <f t="shared" si="235"/>
        <v>EENT</v>
      </c>
      <c r="AR1133" s="1856">
        <f t="shared" si="236"/>
        <v>44684.901388888888</v>
      </c>
      <c r="AS1133" s="927" t="s">
        <v>1748</v>
      </c>
      <c r="AT1133" s="1856" t="str">
        <f t="shared" si="228"/>
        <v/>
      </c>
      <c r="AU1133" s="1856" t="str">
        <f t="shared" si="229"/>
        <v/>
      </c>
      <c r="AV1133" s="1856" t="str">
        <f t="shared" si="230"/>
        <v/>
      </c>
      <c r="AW1133" s="1856" t="str">
        <f t="shared" si="231"/>
        <v/>
      </c>
      <c r="AX1133" s="1856" t="str">
        <f t="shared" si="232"/>
        <v/>
      </c>
      <c r="AY1133" s="1856" t="str">
        <f t="shared" si="233"/>
        <v/>
      </c>
    </row>
    <row r="1134" spans="42:52">
      <c r="AP1134" s="1855">
        <f t="shared" si="234"/>
        <v>44684</v>
      </c>
      <c r="AQ1134" s="925" t="str">
        <f t="shared" si="235"/>
        <v>MS</v>
      </c>
      <c r="AR1134" s="1856">
        <f t="shared" si="236"/>
        <v>44684.986805555556</v>
      </c>
      <c r="AS1134" s="927" t="s">
        <v>1749</v>
      </c>
      <c r="AT1134" s="1856" t="str">
        <f t="shared" si="228"/>
        <v/>
      </c>
      <c r="AU1134" s="1856" t="str">
        <f t="shared" si="229"/>
        <v/>
      </c>
      <c r="AV1134" s="1856" t="str">
        <f t="shared" si="230"/>
        <v/>
      </c>
      <c r="AW1134" s="1856" t="str">
        <f t="shared" si="231"/>
        <v/>
      </c>
      <c r="AX1134" s="1856" t="str">
        <f t="shared" si="232"/>
        <v/>
      </c>
      <c r="AY1134" s="1856" t="str">
        <f t="shared" si="233"/>
        <v/>
      </c>
    </row>
    <row r="1135" spans="42:52">
      <c r="AP1135" s="1855">
        <f t="shared" si="234"/>
        <v>44685</v>
      </c>
      <c r="AQ1135" s="925" t="str">
        <f t="shared" si="235"/>
        <v/>
      </c>
      <c r="AR1135" s="1856" t="str">
        <f t="shared" si="236"/>
        <v/>
      </c>
      <c r="AS1135" s="927">
        <v>4</v>
      </c>
      <c r="AT1135" s="1856">
        <f t="shared" si="228"/>
        <v>44685.237500000003</v>
      </c>
      <c r="AU1135" s="1856">
        <f t="shared" si="229"/>
        <v>44685.28125</v>
      </c>
      <c r="AV1135" s="1856">
        <f t="shared" si="230"/>
        <v>44685.858333333337</v>
      </c>
      <c r="AW1135" s="1856">
        <f t="shared" si="231"/>
        <v>44685.902777777781</v>
      </c>
      <c r="AX1135" s="1856">
        <f t="shared" si="232"/>
        <v>44685.377083333333</v>
      </c>
      <c r="AY1135" s="1856" t="str">
        <f t="shared" si="233"/>
        <v>NONE</v>
      </c>
      <c r="AZ1135" s="1853">
        <v>0.1</v>
      </c>
    </row>
    <row r="1136" spans="42:52">
      <c r="AP1136" s="1855">
        <f t="shared" si="234"/>
        <v>44685</v>
      </c>
      <c r="AQ1136" s="925" t="str">
        <f t="shared" si="235"/>
        <v/>
      </c>
      <c r="AR1136" s="1856" t="str">
        <f t="shared" si="236"/>
        <v/>
      </c>
      <c r="AS1136" s="927" t="s">
        <v>252</v>
      </c>
      <c r="AT1136" s="1856" t="str">
        <f t="shared" si="228"/>
        <v/>
      </c>
      <c r="AU1136" s="1856" t="str">
        <f t="shared" si="229"/>
        <v/>
      </c>
      <c r="AV1136" s="1856" t="str">
        <f t="shared" si="230"/>
        <v/>
      </c>
      <c r="AW1136" s="1856" t="str">
        <f t="shared" si="231"/>
        <v/>
      </c>
      <c r="AX1136" s="1856" t="str">
        <f t="shared" si="232"/>
        <v/>
      </c>
      <c r="AY1136" s="1856" t="str">
        <f t="shared" si="233"/>
        <v/>
      </c>
    </row>
    <row r="1137" spans="42:52">
      <c r="AP1137" s="1855">
        <f t="shared" si="234"/>
        <v>44685</v>
      </c>
      <c r="AQ1137" s="925" t="str">
        <f t="shared" si="235"/>
        <v/>
      </c>
      <c r="AR1137" s="1856" t="str">
        <f t="shared" si="236"/>
        <v/>
      </c>
      <c r="AT1137" s="1856" t="str">
        <f t="shared" si="228"/>
        <v/>
      </c>
      <c r="AU1137" s="1856" t="str">
        <f t="shared" si="229"/>
        <v/>
      </c>
      <c r="AV1137" s="1856" t="str">
        <f t="shared" si="230"/>
        <v/>
      </c>
      <c r="AW1137" s="1856" t="str">
        <f t="shared" si="231"/>
        <v/>
      </c>
      <c r="AX1137" s="1856" t="str">
        <f t="shared" si="232"/>
        <v/>
      </c>
      <c r="AY1137" s="1856" t="str">
        <f t="shared" si="233"/>
        <v/>
      </c>
    </row>
    <row r="1138" spans="42:52">
      <c r="AP1138" s="1855">
        <f t="shared" si="234"/>
        <v>44685</v>
      </c>
      <c r="AQ1138" s="925" t="str">
        <f t="shared" si="235"/>
        <v>BMNT</v>
      </c>
      <c r="AR1138" s="1856">
        <f t="shared" si="236"/>
        <v>44685.237500000003</v>
      </c>
      <c r="AS1138" s="927" t="s">
        <v>1750</v>
      </c>
      <c r="AT1138" s="1856" t="str">
        <f t="shared" si="228"/>
        <v/>
      </c>
      <c r="AU1138" s="1856" t="str">
        <f t="shared" si="229"/>
        <v/>
      </c>
      <c r="AV1138" s="1856" t="str">
        <f t="shared" si="230"/>
        <v/>
      </c>
      <c r="AW1138" s="1856" t="str">
        <f t="shared" si="231"/>
        <v/>
      </c>
      <c r="AX1138" s="1856" t="str">
        <f t="shared" si="232"/>
        <v/>
      </c>
      <c r="AY1138" s="1856" t="str">
        <f t="shared" si="233"/>
        <v/>
      </c>
    </row>
    <row r="1139" spans="42:52">
      <c r="AP1139" s="1855">
        <f t="shared" si="234"/>
        <v>44685</v>
      </c>
      <c r="AQ1139" s="925" t="str">
        <f>IF(NOT(ISNUMBER(FIND(":",AS1139))),"",IF(ISNUMBER(FIND("Sunr",AS1139)),"SR", IF(ISNUMBER(FIND("Suns",AS1139)),"SS",IF(ISNUMBER(FIND("Moonr",AS1139)),"MR",IF(ISNUMBER(FIND("Moons",AS1139)),"MS",IF(ISNUMBER(FIND("Twi",AS1139)),IF(HOUR(AR1139)&lt;12,"BMNT","EENT")))))))</f>
        <v>SR</v>
      </c>
      <c r="AR1139" s="1856">
        <f t="shared" si="236"/>
        <v>44685.28125</v>
      </c>
      <c r="AS1139" s="927" t="s">
        <v>1751</v>
      </c>
      <c r="AT1139" s="1856" t="str">
        <f t="shared" si="228"/>
        <v/>
      </c>
      <c r="AU1139" s="1856" t="str">
        <f t="shared" si="229"/>
        <v/>
      </c>
      <c r="AV1139" s="1856" t="str">
        <f t="shared" si="230"/>
        <v/>
      </c>
      <c r="AW1139" s="1856" t="str">
        <f t="shared" si="231"/>
        <v/>
      </c>
      <c r="AX1139" s="1856" t="str">
        <f t="shared" si="232"/>
        <v/>
      </c>
      <c r="AY1139" s="1856" t="str">
        <f t="shared" si="233"/>
        <v/>
      </c>
    </row>
    <row r="1140" spans="42:52">
      <c r="AP1140" s="1855">
        <f t="shared" si="234"/>
        <v>44685</v>
      </c>
      <c r="AQ1140" s="925" t="str">
        <f t="shared" ref="AQ1140:AQ1203" si="237">IF(NOT(ISNUMBER(FIND(":",AS1140))),"",IF(ISNUMBER(FIND("Sunr",AS1140)),"SR", IF(ISNUMBER(FIND("Suns",AS1140)),"SS",IF(ISNUMBER(FIND("Moonr",AS1140)),"MR",IF(ISNUMBER(FIND("Moons",AS1140)),"MS",IF(ISNUMBER(FIND("Twi",AS1140)),IF(HOUR(AR1140)&lt;12,"BMNT","EENT")))))))</f>
        <v>MR</v>
      </c>
      <c r="AR1140" s="1856">
        <f t="shared" si="236"/>
        <v>44685.377083333333</v>
      </c>
      <c r="AS1140" s="927" t="s">
        <v>1752</v>
      </c>
      <c r="AT1140" s="1856" t="str">
        <f t="shared" si="228"/>
        <v/>
      </c>
      <c r="AU1140" s="1856" t="str">
        <f t="shared" si="229"/>
        <v/>
      </c>
      <c r="AV1140" s="1856" t="str">
        <f t="shared" si="230"/>
        <v/>
      </c>
      <c r="AW1140" s="1856" t="str">
        <f t="shared" si="231"/>
        <v/>
      </c>
      <c r="AX1140" s="1856" t="str">
        <f t="shared" si="232"/>
        <v/>
      </c>
      <c r="AY1140" s="1856" t="str">
        <f t="shared" si="233"/>
        <v/>
      </c>
    </row>
    <row r="1141" spans="42:52">
      <c r="AP1141" s="1855">
        <f t="shared" si="234"/>
        <v>44685</v>
      </c>
      <c r="AQ1141" s="925" t="str">
        <f t="shared" si="237"/>
        <v>SS</v>
      </c>
      <c r="AR1141" s="1856">
        <f t="shared" si="236"/>
        <v>44685.858333333337</v>
      </c>
      <c r="AS1141" s="927" t="s">
        <v>1753</v>
      </c>
      <c r="AT1141" s="1856" t="str">
        <f t="shared" si="228"/>
        <v/>
      </c>
      <c r="AU1141" s="1856" t="str">
        <f t="shared" si="229"/>
        <v/>
      </c>
      <c r="AV1141" s="1856" t="str">
        <f t="shared" si="230"/>
        <v/>
      </c>
      <c r="AW1141" s="1856" t="str">
        <f t="shared" si="231"/>
        <v/>
      </c>
      <c r="AX1141" s="1856" t="str">
        <f t="shared" si="232"/>
        <v/>
      </c>
      <c r="AY1141" s="1856" t="str">
        <f t="shared" si="233"/>
        <v/>
      </c>
    </row>
    <row r="1142" spans="42:52">
      <c r="AP1142" s="1855">
        <f t="shared" si="234"/>
        <v>44685</v>
      </c>
      <c r="AQ1142" s="925" t="str">
        <f t="shared" si="237"/>
        <v>EENT</v>
      </c>
      <c r="AR1142" s="1856">
        <f t="shared" si="236"/>
        <v>44685.902777777781</v>
      </c>
      <c r="AS1142" s="927" t="s">
        <v>1754</v>
      </c>
      <c r="AT1142" s="1856" t="str">
        <f t="shared" si="228"/>
        <v/>
      </c>
      <c r="AU1142" s="1856" t="str">
        <f t="shared" si="229"/>
        <v/>
      </c>
      <c r="AV1142" s="1856" t="str">
        <f t="shared" si="230"/>
        <v/>
      </c>
      <c r="AW1142" s="1856" t="str">
        <f t="shared" si="231"/>
        <v/>
      </c>
      <c r="AX1142" s="1856" t="str">
        <f t="shared" si="232"/>
        <v/>
      </c>
      <c r="AY1142" s="1856" t="str">
        <f t="shared" si="233"/>
        <v/>
      </c>
    </row>
    <row r="1143" spans="42:52">
      <c r="AP1143" s="1855">
        <f t="shared" si="234"/>
        <v>44685</v>
      </c>
      <c r="AQ1143" s="925" t="str">
        <f t="shared" si="237"/>
        <v>MS</v>
      </c>
      <c r="AR1143" s="1856" t="str">
        <f t="shared" si="236"/>
        <v>NONE</v>
      </c>
      <c r="AS1143" s="927" t="s">
        <v>948</v>
      </c>
      <c r="AT1143" s="1856" t="str">
        <f t="shared" si="228"/>
        <v/>
      </c>
      <c r="AU1143" s="1856" t="str">
        <f t="shared" si="229"/>
        <v/>
      </c>
      <c r="AV1143" s="1856" t="str">
        <f t="shared" si="230"/>
        <v/>
      </c>
      <c r="AW1143" s="1856" t="str">
        <f t="shared" si="231"/>
        <v/>
      </c>
      <c r="AX1143" s="1856" t="str">
        <f t="shared" si="232"/>
        <v/>
      </c>
      <c r="AY1143" s="1856" t="str">
        <f t="shared" si="233"/>
        <v/>
      </c>
    </row>
    <row r="1144" spans="42:52">
      <c r="AP1144" s="1855">
        <f t="shared" si="234"/>
        <v>44686</v>
      </c>
      <c r="AQ1144" s="925" t="str">
        <f t="shared" si="237"/>
        <v/>
      </c>
      <c r="AR1144" s="1856" t="str">
        <f t="shared" si="236"/>
        <v/>
      </c>
      <c r="AS1144" s="927">
        <v>5</v>
      </c>
      <c r="AT1144" s="1856">
        <f t="shared" si="228"/>
        <v>44686.236805555556</v>
      </c>
      <c r="AU1144" s="1856">
        <f t="shared" si="229"/>
        <v>44686.280555555553</v>
      </c>
      <c r="AV1144" s="1856">
        <f t="shared" si="230"/>
        <v>44686.859027777777</v>
      </c>
      <c r="AW1144" s="1856">
        <f t="shared" si="231"/>
        <v>44686.90347222222</v>
      </c>
      <c r="AX1144" s="1856">
        <f t="shared" si="232"/>
        <v>44686.410416666666</v>
      </c>
      <c r="AY1144" s="1856">
        <f t="shared" si="233"/>
        <v>44686.025694444441</v>
      </c>
      <c r="AZ1144" s="1853">
        <v>0.17</v>
      </c>
    </row>
    <row r="1145" spans="42:52">
      <c r="AP1145" s="1855">
        <f t="shared" si="234"/>
        <v>44686</v>
      </c>
      <c r="AQ1145" s="925" t="str">
        <f t="shared" si="237"/>
        <v/>
      </c>
      <c r="AR1145" s="1856" t="str">
        <f t="shared" si="236"/>
        <v/>
      </c>
      <c r="AS1145" s="927" t="s">
        <v>252</v>
      </c>
      <c r="AT1145" s="1856" t="str">
        <f t="shared" si="228"/>
        <v/>
      </c>
      <c r="AU1145" s="1856" t="str">
        <f t="shared" si="229"/>
        <v/>
      </c>
      <c r="AV1145" s="1856" t="str">
        <f t="shared" si="230"/>
        <v/>
      </c>
      <c r="AW1145" s="1856" t="str">
        <f t="shared" si="231"/>
        <v/>
      </c>
      <c r="AX1145" s="1856" t="str">
        <f t="shared" si="232"/>
        <v/>
      </c>
      <c r="AY1145" s="1856" t="str">
        <f t="shared" si="233"/>
        <v/>
      </c>
    </row>
    <row r="1146" spans="42:52">
      <c r="AP1146" s="1855">
        <f t="shared" si="234"/>
        <v>44686</v>
      </c>
      <c r="AQ1146" s="925" t="str">
        <f t="shared" si="237"/>
        <v/>
      </c>
      <c r="AR1146" s="1856" t="str">
        <f t="shared" si="236"/>
        <v/>
      </c>
      <c r="AT1146" s="1856" t="str">
        <f t="shared" si="228"/>
        <v/>
      </c>
      <c r="AU1146" s="1856" t="str">
        <f t="shared" si="229"/>
        <v/>
      </c>
      <c r="AV1146" s="1856" t="str">
        <f t="shared" si="230"/>
        <v/>
      </c>
      <c r="AW1146" s="1856" t="str">
        <f t="shared" si="231"/>
        <v/>
      </c>
      <c r="AX1146" s="1856" t="str">
        <f t="shared" si="232"/>
        <v/>
      </c>
      <c r="AY1146" s="1856" t="str">
        <f t="shared" si="233"/>
        <v/>
      </c>
    </row>
    <row r="1147" spans="42:52">
      <c r="AP1147" s="1855">
        <f t="shared" si="234"/>
        <v>44686</v>
      </c>
      <c r="AQ1147" s="925" t="str">
        <f t="shared" si="237"/>
        <v>MS</v>
      </c>
      <c r="AR1147" s="1856">
        <f t="shared" si="236"/>
        <v>44686.025694444441</v>
      </c>
      <c r="AS1147" s="927" t="s">
        <v>1755</v>
      </c>
      <c r="AT1147" s="1856" t="str">
        <f t="shared" si="228"/>
        <v/>
      </c>
      <c r="AU1147" s="1856" t="str">
        <f t="shared" si="229"/>
        <v/>
      </c>
      <c r="AV1147" s="1856" t="str">
        <f t="shared" si="230"/>
        <v/>
      </c>
      <c r="AW1147" s="1856" t="str">
        <f t="shared" si="231"/>
        <v/>
      </c>
      <c r="AX1147" s="1856" t="str">
        <f t="shared" si="232"/>
        <v/>
      </c>
      <c r="AY1147" s="1856" t="str">
        <f t="shared" si="233"/>
        <v/>
      </c>
    </row>
    <row r="1148" spans="42:52">
      <c r="AP1148" s="1855">
        <f t="shared" si="234"/>
        <v>44686</v>
      </c>
      <c r="AQ1148" s="925" t="str">
        <f t="shared" si="237"/>
        <v>BMNT</v>
      </c>
      <c r="AR1148" s="1856">
        <f t="shared" si="236"/>
        <v>44686.236805555556</v>
      </c>
      <c r="AS1148" s="927" t="s">
        <v>1756</v>
      </c>
      <c r="AT1148" s="1856" t="str">
        <f t="shared" si="228"/>
        <v/>
      </c>
      <c r="AU1148" s="1856" t="str">
        <f t="shared" si="229"/>
        <v/>
      </c>
      <c r="AV1148" s="1856" t="str">
        <f t="shared" si="230"/>
        <v/>
      </c>
      <c r="AW1148" s="1856" t="str">
        <f t="shared" si="231"/>
        <v/>
      </c>
      <c r="AX1148" s="1856" t="str">
        <f t="shared" si="232"/>
        <v/>
      </c>
      <c r="AY1148" s="1856" t="str">
        <f t="shared" si="233"/>
        <v/>
      </c>
    </row>
    <row r="1149" spans="42:52">
      <c r="AP1149" s="1855">
        <f t="shared" si="234"/>
        <v>44686</v>
      </c>
      <c r="AQ1149" s="925" t="str">
        <f t="shared" si="237"/>
        <v>SR</v>
      </c>
      <c r="AR1149" s="1856">
        <f t="shared" si="236"/>
        <v>44686.280555555553</v>
      </c>
      <c r="AS1149" s="927" t="s">
        <v>1757</v>
      </c>
      <c r="AT1149" s="1856" t="str">
        <f t="shared" si="228"/>
        <v/>
      </c>
      <c r="AU1149" s="1856" t="str">
        <f t="shared" si="229"/>
        <v/>
      </c>
      <c r="AV1149" s="1856" t="str">
        <f t="shared" si="230"/>
        <v/>
      </c>
      <c r="AW1149" s="1856" t="str">
        <f t="shared" si="231"/>
        <v/>
      </c>
      <c r="AX1149" s="1856" t="str">
        <f t="shared" si="232"/>
        <v/>
      </c>
      <c r="AY1149" s="1856" t="str">
        <f t="shared" si="233"/>
        <v/>
      </c>
    </row>
    <row r="1150" spans="42:52">
      <c r="AP1150" s="1855">
        <f t="shared" si="234"/>
        <v>44686</v>
      </c>
      <c r="AQ1150" s="925" t="str">
        <f t="shared" si="237"/>
        <v>MR</v>
      </c>
      <c r="AR1150" s="1856">
        <f t="shared" si="236"/>
        <v>44686.410416666666</v>
      </c>
      <c r="AS1150" s="927" t="s">
        <v>1758</v>
      </c>
      <c r="AT1150" s="1856" t="str">
        <f t="shared" si="228"/>
        <v/>
      </c>
      <c r="AU1150" s="1856" t="str">
        <f t="shared" si="229"/>
        <v/>
      </c>
      <c r="AV1150" s="1856" t="str">
        <f t="shared" si="230"/>
        <v/>
      </c>
      <c r="AW1150" s="1856" t="str">
        <f t="shared" si="231"/>
        <v/>
      </c>
      <c r="AX1150" s="1856" t="str">
        <f t="shared" si="232"/>
        <v/>
      </c>
      <c r="AY1150" s="1856" t="str">
        <f t="shared" si="233"/>
        <v/>
      </c>
    </row>
    <row r="1151" spans="42:52">
      <c r="AP1151" s="1855">
        <f t="shared" si="234"/>
        <v>44686</v>
      </c>
      <c r="AQ1151" s="925" t="str">
        <f t="shared" si="237"/>
        <v>SS</v>
      </c>
      <c r="AR1151" s="1856">
        <f t="shared" si="236"/>
        <v>44686.859027777777</v>
      </c>
      <c r="AS1151" s="927" t="s">
        <v>1759</v>
      </c>
      <c r="AT1151" s="1856" t="str">
        <f t="shared" si="228"/>
        <v/>
      </c>
      <c r="AU1151" s="1856" t="str">
        <f t="shared" si="229"/>
        <v/>
      </c>
      <c r="AV1151" s="1856" t="str">
        <f t="shared" si="230"/>
        <v/>
      </c>
      <c r="AW1151" s="1856" t="str">
        <f t="shared" si="231"/>
        <v/>
      </c>
      <c r="AX1151" s="1856" t="str">
        <f t="shared" si="232"/>
        <v/>
      </c>
      <c r="AY1151" s="1856" t="str">
        <f t="shared" si="233"/>
        <v/>
      </c>
    </row>
    <row r="1152" spans="42:52">
      <c r="AP1152" s="1855">
        <f t="shared" si="234"/>
        <v>44686</v>
      </c>
      <c r="AQ1152" s="925" t="str">
        <f t="shared" si="237"/>
        <v>EENT</v>
      </c>
      <c r="AR1152" s="1856">
        <f t="shared" si="236"/>
        <v>44686.90347222222</v>
      </c>
      <c r="AS1152" s="927" t="s">
        <v>1760</v>
      </c>
      <c r="AT1152" s="1856" t="str">
        <f t="shared" si="228"/>
        <v/>
      </c>
      <c r="AU1152" s="1856" t="str">
        <f t="shared" si="229"/>
        <v/>
      </c>
      <c r="AV1152" s="1856" t="str">
        <f t="shared" si="230"/>
        <v/>
      </c>
      <c r="AW1152" s="1856" t="str">
        <f t="shared" si="231"/>
        <v/>
      </c>
      <c r="AX1152" s="1856" t="str">
        <f t="shared" si="232"/>
        <v/>
      </c>
      <c r="AY1152" s="1856" t="str">
        <f t="shared" si="233"/>
        <v/>
      </c>
    </row>
    <row r="1153" spans="42:52">
      <c r="AP1153" s="1855">
        <f t="shared" si="234"/>
        <v>44687</v>
      </c>
      <c r="AQ1153" s="925" t="str">
        <f t="shared" si="237"/>
        <v/>
      </c>
      <c r="AR1153" s="1856" t="str">
        <f t="shared" si="236"/>
        <v/>
      </c>
      <c r="AS1153" s="927">
        <v>6</v>
      </c>
      <c r="AT1153" s="1856">
        <f t="shared" si="228"/>
        <v>44687.23541666667</v>
      </c>
      <c r="AU1153" s="1856">
        <f t="shared" si="229"/>
        <v>44687.279861111114</v>
      </c>
      <c r="AV1153" s="1856">
        <f t="shared" si="230"/>
        <v>44687.859722222223</v>
      </c>
      <c r="AW1153" s="1856">
        <f t="shared" si="231"/>
        <v>44687.904166666667</v>
      </c>
      <c r="AX1153" s="1856">
        <f t="shared" si="232"/>
        <v>44687.446527777778</v>
      </c>
      <c r="AY1153" s="1856">
        <f t="shared" si="233"/>
        <v>44687.060416666667</v>
      </c>
      <c r="AZ1153" s="1853">
        <v>0.25</v>
      </c>
    </row>
    <row r="1154" spans="42:52">
      <c r="AP1154" s="1855">
        <f t="shared" si="234"/>
        <v>44687</v>
      </c>
      <c r="AQ1154" s="925" t="str">
        <f t="shared" si="237"/>
        <v/>
      </c>
      <c r="AR1154" s="1856" t="str">
        <f t="shared" si="236"/>
        <v/>
      </c>
      <c r="AS1154" s="927" t="s">
        <v>252</v>
      </c>
      <c r="AT1154" s="1856" t="str">
        <f t="shared" si="228"/>
        <v/>
      </c>
      <c r="AU1154" s="1856" t="str">
        <f t="shared" si="229"/>
        <v/>
      </c>
      <c r="AV1154" s="1856" t="str">
        <f t="shared" si="230"/>
        <v/>
      </c>
      <c r="AW1154" s="1856" t="str">
        <f t="shared" si="231"/>
        <v/>
      </c>
      <c r="AX1154" s="1856" t="str">
        <f t="shared" si="232"/>
        <v/>
      </c>
      <c r="AY1154" s="1856" t="str">
        <f t="shared" si="233"/>
        <v/>
      </c>
    </row>
    <row r="1155" spans="42:52">
      <c r="AP1155" s="1855">
        <f t="shared" si="234"/>
        <v>44687</v>
      </c>
      <c r="AQ1155" s="925" t="str">
        <f t="shared" si="237"/>
        <v/>
      </c>
      <c r="AR1155" s="1856" t="str">
        <f t="shared" si="236"/>
        <v/>
      </c>
      <c r="AT1155" s="1856" t="str">
        <f t="shared" si="228"/>
        <v/>
      </c>
      <c r="AU1155" s="1856" t="str">
        <f t="shared" si="229"/>
        <v/>
      </c>
      <c r="AV1155" s="1856" t="str">
        <f t="shared" si="230"/>
        <v/>
      </c>
      <c r="AW1155" s="1856" t="str">
        <f t="shared" si="231"/>
        <v/>
      </c>
      <c r="AX1155" s="1856" t="str">
        <f t="shared" si="232"/>
        <v/>
      </c>
      <c r="AY1155" s="1856" t="str">
        <f t="shared" si="233"/>
        <v/>
      </c>
    </row>
    <row r="1156" spans="42:52">
      <c r="AP1156" s="1855">
        <f t="shared" si="234"/>
        <v>44687</v>
      </c>
      <c r="AQ1156" s="925" t="str">
        <f t="shared" si="237"/>
        <v>MS</v>
      </c>
      <c r="AR1156" s="1856">
        <f t="shared" si="236"/>
        <v>44687.060416666667</v>
      </c>
      <c r="AS1156" s="927" t="s">
        <v>1761</v>
      </c>
      <c r="AT1156" s="1856" t="str">
        <f t="shared" si="228"/>
        <v/>
      </c>
      <c r="AU1156" s="1856" t="str">
        <f t="shared" si="229"/>
        <v/>
      </c>
      <c r="AV1156" s="1856" t="str">
        <f t="shared" si="230"/>
        <v/>
      </c>
      <c r="AW1156" s="1856" t="str">
        <f t="shared" si="231"/>
        <v/>
      </c>
      <c r="AX1156" s="1856" t="str">
        <f t="shared" si="232"/>
        <v/>
      </c>
      <c r="AY1156" s="1856" t="str">
        <f t="shared" si="233"/>
        <v/>
      </c>
    </row>
    <row r="1157" spans="42:52">
      <c r="AP1157" s="1855">
        <f t="shared" si="234"/>
        <v>44687</v>
      </c>
      <c r="AQ1157" s="925" t="str">
        <f t="shared" si="237"/>
        <v>BMNT</v>
      </c>
      <c r="AR1157" s="1856">
        <f t="shared" si="236"/>
        <v>44687.23541666667</v>
      </c>
      <c r="AS1157" s="927" t="s">
        <v>1762</v>
      </c>
      <c r="AT1157" s="1856" t="str">
        <f t="shared" si="228"/>
        <v/>
      </c>
      <c r="AU1157" s="1856" t="str">
        <f t="shared" si="229"/>
        <v/>
      </c>
      <c r="AV1157" s="1856" t="str">
        <f t="shared" si="230"/>
        <v/>
      </c>
      <c r="AW1157" s="1856" t="str">
        <f t="shared" si="231"/>
        <v/>
      </c>
      <c r="AX1157" s="1856" t="str">
        <f t="shared" si="232"/>
        <v/>
      </c>
      <c r="AY1157" s="1856" t="str">
        <f t="shared" si="233"/>
        <v/>
      </c>
    </row>
    <row r="1158" spans="42:52">
      <c r="AP1158" s="1855">
        <f t="shared" si="234"/>
        <v>44687</v>
      </c>
      <c r="AQ1158" s="925" t="str">
        <f t="shared" si="237"/>
        <v>SR</v>
      </c>
      <c r="AR1158" s="1856">
        <f t="shared" si="236"/>
        <v>44687.279861111114</v>
      </c>
      <c r="AS1158" s="927" t="s">
        <v>1763</v>
      </c>
      <c r="AT1158" s="1856" t="str">
        <f t="shared" si="228"/>
        <v/>
      </c>
      <c r="AU1158" s="1856" t="str">
        <f t="shared" si="229"/>
        <v/>
      </c>
      <c r="AV1158" s="1856" t="str">
        <f t="shared" si="230"/>
        <v/>
      </c>
      <c r="AW1158" s="1856" t="str">
        <f t="shared" si="231"/>
        <v/>
      </c>
      <c r="AX1158" s="1856" t="str">
        <f t="shared" si="232"/>
        <v/>
      </c>
      <c r="AY1158" s="1856" t="str">
        <f t="shared" si="233"/>
        <v/>
      </c>
    </row>
    <row r="1159" spans="42:52">
      <c r="AP1159" s="1855">
        <f t="shared" si="234"/>
        <v>44687</v>
      </c>
      <c r="AQ1159" s="925" t="str">
        <f t="shared" si="237"/>
        <v>MR</v>
      </c>
      <c r="AR1159" s="1856">
        <f t="shared" si="236"/>
        <v>44687.446527777778</v>
      </c>
      <c r="AS1159" s="927" t="s">
        <v>1764</v>
      </c>
      <c r="AT1159" s="1856" t="str">
        <f t="shared" si="228"/>
        <v/>
      </c>
      <c r="AU1159" s="1856" t="str">
        <f t="shared" si="229"/>
        <v/>
      </c>
      <c r="AV1159" s="1856" t="str">
        <f t="shared" si="230"/>
        <v/>
      </c>
      <c r="AW1159" s="1856" t="str">
        <f t="shared" si="231"/>
        <v/>
      </c>
      <c r="AX1159" s="1856" t="str">
        <f t="shared" si="232"/>
        <v/>
      </c>
      <c r="AY1159" s="1856" t="str">
        <f t="shared" si="233"/>
        <v/>
      </c>
    </row>
    <row r="1160" spans="42:52">
      <c r="AP1160" s="1855">
        <f t="shared" si="234"/>
        <v>44687</v>
      </c>
      <c r="AQ1160" s="925" t="str">
        <f t="shared" si="237"/>
        <v>SS</v>
      </c>
      <c r="AR1160" s="1856">
        <f t="shared" si="236"/>
        <v>44687.859722222223</v>
      </c>
      <c r="AS1160" s="927" t="s">
        <v>1765</v>
      </c>
      <c r="AT1160" s="1856" t="str">
        <f t="shared" si="228"/>
        <v/>
      </c>
      <c r="AU1160" s="1856" t="str">
        <f t="shared" si="229"/>
        <v/>
      </c>
      <c r="AV1160" s="1856" t="str">
        <f t="shared" si="230"/>
        <v/>
      </c>
      <c r="AW1160" s="1856" t="str">
        <f t="shared" si="231"/>
        <v/>
      </c>
      <c r="AX1160" s="1856" t="str">
        <f t="shared" si="232"/>
        <v/>
      </c>
      <c r="AY1160" s="1856" t="str">
        <f t="shared" si="233"/>
        <v/>
      </c>
    </row>
    <row r="1161" spans="42:52">
      <c r="AP1161" s="1855">
        <f t="shared" si="234"/>
        <v>44687</v>
      </c>
      <c r="AQ1161" s="925" t="str">
        <f t="shared" si="237"/>
        <v>EENT</v>
      </c>
      <c r="AR1161" s="1856">
        <f t="shared" si="236"/>
        <v>44687.904166666667</v>
      </c>
      <c r="AS1161" s="927" t="s">
        <v>1766</v>
      </c>
      <c r="AT1161" s="1856" t="str">
        <f t="shared" si="228"/>
        <v/>
      </c>
      <c r="AU1161" s="1856" t="str">
        <f t="shared" si="229"/>
        <v/>
      </c>
      <c r="AV1161" s="1856" t="str">
        <f t="shared" si="230"/>
        <v/>
      </c>
      <c r="AW1161" s="1856" t="str">
        <f t="shared" si="231"/>
        <v/>
      </c>
      <c r="AX1161" s="1856" t="str">
        <f t="shared" si="232"/>
        <v/>
      </c>
      <c r="AY1161" s="1856" t="str">
        <f t="shared" si="233"/>
        <v/>
      </c>
    </row>
    <row r="1162" spans="42:52">
      <c r="AP1162" s="1855">
        <f t="shared" si="234"/>
        <v>44688</v>
      </c>
      <c r="AQ1162" s="925" t="str">
        <f t="shared" si="237"/>
        <v/>
      </c>
      <c r="AR1162" s="1856" t="str">
        <f t="shared" si="236"/>
        <v/>
      </c>
      <c r="AS1162" s="927">
        <v>7</v>
      </c>
      <c r="AT1162" s="1856">
        <f t="shared" si="228"/>
        <v>44688.234722222223</v>
      </c>
      <c r="AU1162" s="1856">
        <f t="shared" si="229"/>
        <v>44688.279166666667</v>
      </c>
      <c r="AV1162" s="1856">
        <f t="shared" si="230"/>
        <v>44688.86041666667</v>
      </c>
      <c r="AW1162" s="1856">
        <f t="shared" si="231"/>
        <v>44688.904861111114</v>
      </c>
      <c r="AX1162" s="1856">
        <f t="shared" si="232"/>
        <v>44688.486805555556</v>
      </c>
      <c r="AY1162" s="1856">
        <f t="shared" si="233"/>
        <v>44688.090972222228</v>
      </c>
      <c r="AZ1162" s="1853">
        <v>0.33</v>
      </c>
    </row>
    <row r="1163" spans="42:52">
      <c r="AP1163" s="1855">
        <f t="shared" si="234"/>
        <v>44688</v>
      </c>
      <c r="AQ1163" s="925" t="str">
        <f t="shared" si="237"/>
        <v/>
      </c>
      <c r="AR1163" s="1856" t="str">
        <f t="shared" si="236"/>
        <v/>
      </c>
      <c r="AS1163" s="927" t="s">
        <v>252</v>
      </c>
      <c r="AT1163" s="1856" t="str">
        <f t="shared" si="228"/>
        <v/>
      </c>
      <c r="AU1163" s="1856" t="str">
        <f t="shared" si="229"/>
        <v/>
      </c>
      <c r="AV1163" s="1856" t="str">
        <f t="shared" si="230"/>
        <v/>
      </c>
      <c r="AW1163" s="1856" t="str">
        <f t="shared" si="231"/>
        <v/>
      </c>
      <c r="AX1163" s="1856" t="str">
        <f t="shared" si="232"/>
        <v/>
      </c>
      <c r="AY1163" s="1856" t="str">
        <f t="shared" si="233"/>
        <v/>
      </c>
    </row>
    <row r="1164" spans="42:52">
      <c r="AP1164" s="1855">
        <f t="shared" si="234"/>
        <v>44688</v>
      </c>
      <c r="AQ1164" s="925" t="str">
        <f t="shared" si="237"/>
        <v/>
      </c>
      <c r="AR1164" s="1856" t="str">
        <f t="shared" si="236"/>
        <v/>
      </c>
      <c r="AT1164" s="1856" t="str">
        <f t="shared" si="228"/>
        <v/>
      </c>
      <c r="AU1164" s="1856" t="str">
        <f t="shared" si="229"/>
        <v/>
      </c>
      <c r="AV1164" s="1856" t="str">
        <f t="shared" si="230"/>
        <v/>
      </c>
      <c r="AW1164" s="1856" t="str">
        <f t="shared" si="231"/>
        <v/>
      </c>
      <c r="AX1164" s="1856" t="str">
        <f t="shared" si="232"/>
        <v/>
      </c>
      <c r="AY1164" s="1856" t="str">
        <f t="shared" si="233"/>
        <v/>
      </c>
    </row>
    <row r="1165" spans="42:52">
      <c r="AP1165" s="1855">
        <f t="shared" si="234"/>
        <v>44688</v>
      </c>
      <c r="AQ1165" s="925" t="str">
        <f t="shared" si="237"/>
        <v>MS</v>
      </c>
      <c r="AR1165" s="1856">
        <f t="shared" si="236"/>
        <v>44688.090972222228</v>
      </c>
      <c r="AS1165" s="927" t="s">
        <v>1767</v>
      </c>
      <c r="AT1165" s="1856" t="str">
        <f t="shared" si="228"/>
        <v/>
      </c>
      <c r="AU1165" s="1856" t="str">
        <f t="shared" si="229"/>
        <v/>
      </c>
      <c r="AV1165" s="1856" t="str">
        <f t="shared" si="230"/>
        <v/>
      </c>
      <c r="AW1165" s="1856" t="str">
        <f t="shared" si="231"/>
        <v/>
      </c>
      <c r="AX1165" s="1856" t="str">
        <f t="shared" si="232"/>
        <v/>
      </c>
      <c r="AY1165" s="1856" t="str">
        <f t="shared" si="233"/>
        <v/>
      </c>
    </row>
    <row r="1166" spans="42:52">
      <c r="AP1166" s="1855">
        <f t="shared" si="234"/>
        <v>44688</v>
      </c>
      <c r="AQ1166" s="925" t="str">
        <f t="shared" si="237"/>
        <v>BMNT</v>
      </c>
      <c r="AR1166" s="1856">
        <f t="shared" si="236"/>
        <v>44688.234722222223</v>
      </c>
      <c r="AS1166" s="927" t="s">
        <v>1768</v>
      </c>
      <c r="AT1166" s="1856" t="str">
        <f t="shared" si="228"/>
        <v/>
      </c>
      <c r="AU1166" s="1856" t="str">
        <f t="shared" si="229"/>
        <v/>
      </c>
      <c r="AV1166" s="1856" t="str">
        <f t="shared" si="230"/>
        <v/>
      </c>
      <c r="AW1166" s="1856" t="str">
        <f t="shared" si="231"/>
        <v/>
      </c>
      <c r="AX1166" s="1856" t="str">
        <f t="shared" si="232"/>
        <v/>
      </c>
      <c r="AY1166" s="1856" t="str">
        <f t="shared" si="233"/>
        <v/>
      </c>
    </row>
    <row r="1167" spans="42:52">
      <c r="AP1167" s="1855">
        <f t="shared" si="234"/>
        <v>44688</v>
      </c>
      <c r="AQ1167" s="925" t="str">
        <f t="shared" si="237"/>
        <v>SR</v>
      </c>
      <c r="AR1167" s="1856">
        <f t="shared" si="236"/>
        <v>44688.279166666667</v>
      </c>
      <c r="AS1167" s="927" t="s">
        <v>1769</v>
      </c>
      <c r="AT1167" s="1856" t="str">
        <f t="shared" si="228"/>
        <v/>
      </c>
      <c r="AU1167" s="1856" t="str">
        <f t="shared" si="229"/>
        <v/>
      </c>
      <c r="AV1167" s="1856" t="str">
        <f t="shared" si="230"/>
        <v/>
      </c>
      <c r="AW1167" s="1856" t="str">
        <f t="shared" si="231"/>
        <v/>
      </c>
      <c r="AX1167" s="1856" t="str">
        <f t="shared" si="232"/>
        <v/>
      </c>
      <c r="AY1167" s="1856" t="str">
        <f t="shared" si="233"/>
        <v/>
      </c>
    </row>
    <row r="1168" spans="42:52">
      <c r="AP1168" s="1855">
        <f t="shared" si="234"/>
        <v>44688</v>
      </c>
      <c r="AQ1168" s="925" t="str">
        <f t="shared" si="237"/>
        <v>MR</v>
      </c>
      <c r="AR1168" s="1856">
        <f t="shared" si="236"/>
        <v>44688.486805555556</v>
      </c>
      <c r="AS1168" s="927" t="s">
        <v>926</v>
      </c>
      <c r="AT1168" s="1856" t="str">
        <f t="shared" si="228"/>
        <v/>
      </c>
      <c r="AU1168" s="1856" t="str">
        <f t="shared" si="229"/>
        <v/>
      </c>
      <c r="AV1168" s="1856" t="str">
        <f t="shared" si="230"/>
        <v/>
      </c>
      <c r="AW1168" s="1856" t="str">
        <f t="shared" si="231"/>
        <v/>
      </c>
      <c r="AX1168" s="1856" t="str">
        <f t="shared" si="232"/>
        <v/>
      </c>
      <c r="AY1168" s="1856" t="str">
        <f t="shared" si="233"/>
        <v/>
      </c>
    </row>
    <row r="1169" spans="42:52">
      <c r="AP1169" s="1855">
        <f t="shared" si="234"/>
        <v>44688</v>
      </c>
      <c r="AQ1169" s="925" t="str">
        <f t="shared" si="237"/>
        <v>SS</v>
      </c>
      <c r="AR1169" s="1856">
        <f t="shared" si="236"/>
        <v>44688.86041666667</v>
      </c>
      <c r="AS1169" s="927" t="s">
        <v>1770</v>
      </c>
      <c r="AT1169" s="1856" t="str">
        <f t="shared" si="228"/>
        <v/>
      </c>
      <c r="AU1169" s="1856" t="str">
        <f t="shared" si="229"/>
        <v/>
      </c>
      <c r="AV1169" s="1856" t="str">
        <f t="shared" si="230"/>
        <v/>
      </c>
      <c r="AW1169" s="1856" t="str">
        <f t="shared" si="231"/>
        <v/>
      </c>
      <c r="AX1169" s="1856" t="str">
        <f t="shared" si="232"/>
        <v/>
      </c>
      <c r="AY1169" s="1856" t="str">
        <f t="shared" si="233"/>
        <v/>
      </c>
    </row>
    <row r="1170" spans="42:52">
      <c r="AP1170" s="1855">
        <f t="shared" si="234"/>
        <v>44688</v>
      </c>
      <c r="AQ1170" s="925" t="str">
        <f t="shared" si="237"/>
        <v>EENT</v>
      </c>
      <c r="AR1170" s="1856">
        <f t="shared" si="236"/>
        <v>44688.904861111114</v>
      </c>
      <c r="AS1170" s="927" t="s">
        <v>1771</v>
      </c>
      <c r="AT1170" s="1856" t="str">
        <f t="shared" si="228"/>
        <v/>
      </c>
      <c r="AU1170" s="1856" t="str">
        <f t="shared" si="229"/>
        <v/>
      </c>
      <c r="AV1170" s="1856" t="str">
        <f t="shared" si="230"/>
        <v/>
      </c>
      <c r="AW1170" s="1856" t="str">
        <f t="shared" si="231"/>
        <v/>
      </c>
      <c r="AX1170" s="1856" t="str">
        <f t="shared" si="232"/>
        <v/>
      </c>
      <c r="AY1170" s="1856" t="str">
        <f t="shared" si="233"/>
        <v/>
      </c>
    </row>
    <row r="1171" spans="42:52">
      <c r="AP1171" s="1855">
        <f t="shared" si="234"/>
        <v>44689</v>
      </c>
      <c r="AQ1171" s="925" t="str">
        <f t="shared" si="237"/>
        <v/>
      </c>
      <c r="AR1171" s="1856" t="str">
        <f t="shared" si="236"/>
        <v/>
      </c>
      <c r="AS1171" s="927">
        <v>8</v>
      </c>
      <c r="AT1171" s="1856">
        <f t="shared" si="228"/>
        <v>44689.234027777777</v>
      </c>
      <c r="AU1171" s="1856">
        <f t="shared" si="229"/>
        <v>44689.27847222222</v>
      </c>
      <c r="AV1171" s="1856">
        <f t="shared" si="230"/>
        <v>44689.861111111117</v>
      </c>
      <c r="AW1171" s="1856">
        <f t="shared" si="231"/>
        <v>44689.905555555553</v>
      </c>
      <c r="AX1171" s="1856">
        <f t="shared" si="232"/>
        <v>44689.52847222222</v>
      </c>
      <c r="AY1171" s="1856">
        <f t="shared" si="233"/>
        <v>44689.117361111115</v>
      </c>
      <c r="AZ1171" s="1853">
        <v>0.42</v>
      </c>
    </row>
    <row r="1172" spans="42:52">
      <c r="AP1172" s="1855">
        <f t="shared" si="234"/>
        <v>44689</v>
      </c>
      <c r="AQ1172" s="925" t="str">
        <f t="shared" si="237"/>
        <v/>
      </c>
      <c r="AR1172" s="1856" t="str">
        <f t="shared" si="236"/>
        <v/>
      </c>
      <c r="AS1172" s="927" t="s">
        <v>252</v>
      </c>
      <c r="AT1172" s="1856" t="str">
        <f t="shared" si="228"/>
        <v/>
      </c>
      <c r="AU1172" s="1856" t="str">
        <f t="shared" si="229"/>
        <v/>
      </c>
      <c r="AV1172" s="1856" t="str">
        <f t="shared" si="230"/>
        <v/>
      </c>
      <c r="AW1172" s="1856" t="str">
        <f t="shared" si="231"/>
        <v/>
      </c>
      <c r="AX1172" s="1856" t="str">
        <f t="shared" si="232"/>
        <v/>
      </c>
      <c r="AY1172" s="1856" t="str">
        <f t="shared" si="233"/>
        <v/>
      </c>
    </row>
    <row r="1173" spans="42:52">
      <c r="AP1173" s="1855">
        <f t="shared" si="234"/>
        <v>44689</v>
      </c>
      <c r="AQ1173" s="925" t="str">
        <f t="shared" si="237"/>
        <v/>
      </c>
      <c r="AR1173" s="1856" t="str">
        <f t="shared" si="236"/>
        <v/>
      </c>
      <c r="AT1173" s="1856" t="str">
        <f t="shared" si="228"/>
        <v/>
      </c>
      <c r="AU1173" s="1856" t="str">
        <f t="shared" si="229"/>
        <v/>
      </c>
      <c r="AV1173" s="1856" t="str">
        <f t="shared" si="230"/>
        <v/>
      </c>
      <c r="AW1173" s="1856" t="str">
        <f t="shared" si="231"/>
        <v/>
      </c>
      <c r="AX1173" s="1856" t="str">
        <f t="shared" si="232"/>
        <v/>
      </c>
      <c r="AY1173" s="1856" t="str">
        <f t="shared" si="233"/>
        <v/>
      </c>
    </row>
    <row r="1174" spans="42:52">
      <c r="AP1174" s="1855">
        <f t="shared" si="234"/>
        <v>44689</v>
      </c>
      <c r="AQ1174" s="925" t="str">
        <f t="shared" si="237"/>
        <v>MS</v>
      </c>
      <c r="AR1174" s="1856">
        <f t="shared" si="236"/>
        <v>44689.117361111115</v>
      </c>
      <c r="AS1174" s="927" t="s">
        <v>1772</v>
      </c>
      <c r="AT1174" s="1856" t="str">
        <f t="shared" si="228"/>
        <v/>
      </c>
      <c r="AU1174" s="1856" t="str">
        <f t="shared" si="229"/>
        <v/>
      </c>
      <c r="AV1174" s="1856" t="str">
        <f t="shared" si="230"/>
        <v/>
      </c>
      <c r="AW1174" s="1856" t="str">
        <f t="shared" si="231"/>
        <v/>
      </c>
      <c r="AX1174" s="1856" t="str">
        <f t="shared" si="232"/>
        <v/>
      </c>
      <c r="AY1174" s="1856" t="str">
        <f t="shared" si="233"/>
        <v/>
      </c>
    </row>
    <row r="1175" spans="42:52">
      <c r="AP1175" s="1855">
        <f t="shared" si="234"/>
        <v>44689</v>
      </c>
      <c r="AQ1175" s="925" t="str">
        <f t="shared" si="237"/>
        <v>BMNT</v>
      </c>
      <c r="AR1175" s="1856">
        <f t="shared" si="236"/>
        <v>44689.234027777777</v>
      </c>
      <c r="AS1175" s="927" t="s">
        <v>1773</v>
      </c>
      <c r="AT1175" s="1856" t="str">
        <f t="shared" si="228"/>
        <v/>
      </c>
      <c r="AU1175" s="1856" t="str">
        <f t="shared" si="229"/>
        <v/>
      </c>
      <c r="AV1175" s="1856" t="str">
        <f t="shared" si="230"/>
        <v/>
      </c>
      <c r="AW1175" s="1856" t="str">
        <f t="shared" si="231"/>
        <v/>
      </c>
      <c r="AX1175" s="1856" t="str">
        <f t="shared" si="232"/>
        <v/>
      </c>
      <c r="AY1175" s="1856" t="str">
        <f t="shared" si="233"/>
        <v/>
      </c>
    </row>
    <row r="1176" spans="42:52">
      <c r="AP1176" s="1855">
        <f t="shared" si="234"/>
        <v>44689</v>
      </c>
      <c r="AQ1176" s="925" t="str">
        <f t="shared" si="237"/>
        <v>SR</v>
      </c>
      <c r="AR1176" s="1856">
        <f t="shared" si="236"/>
        <v>44689.27847222222</v>
      </c>
      <c r="AS1176" s="927" t="s">
        <v>1774</v>
      </c>
      <c r="AT1176" s="1856" t="str">
        <f t="shared" si="228"/>
        <v/>
      </c>
      <c r="AU1176" s="1856" t="str">
        <f t="shared" si="229"/>
        <v/>
      </c>
      <c r="AV1176" s="1856" t="str">
        <f t="shared" si="230"/>
        <v/>
      </c>
      <c r="AW1176" s="1856" t="str">
        <f t="shared" si="231"/>
        <v/>
      </c>
      <c r="AX1176" s="1856" t="str">
        <f t="shared" si="232"/>
        <v/>
      </c>
      <c r="AY1176" s="1856" t="str">
        <f t="shared" si="233"/>
        <v/>
      </c>
    </row>
    <row r="1177" spans="42:52">
      <c r="AP1177" s="1855">
        <f t="shared" si="234"/>
        <v>44689</v>
      </c>
      <c r="AQ1177" s="925" t="str">
        <f t="shared" si="237"/>
        <v>MR</v>
      </c>
      <c r="AR1177" s="1856">
        <f t="shared" si="236"/>
        <v>44689.52847222222</v>
      </c>
      <c r="AS1177" s="927" t="s">
        <v>1775</v>
      </c>
      <c r="AT1177" s="1856" t="str">
        <f t="shared" si="228"/>
        <v/>
      </c>
      <c r="AU1177" s="1856" t="str">
        <f t="shared" si="229"/>
        <v/>
      </c>
      <c r="AV1177" s="1856" t="str">
        <f t="shared" si="230"/>
        <v/>
      </c>
      <c r="AW1177" s="1856" t="str">
        <f t="shared" si="231"/>
        <v/>
      </c>
      <c r="AX1177" s="1856" t="str">
        <f t="shared" si="232"/>
        <v/>
      </c>
      <c r="AY1177" s="1856" t="str">
        <f t="shared" si="233"/>
        <v/>
      </c>
    </row>
    <row r="1178" spans="42:52">
      <c r="AP1178" s="1855">
        <f t="shared" si="234"/>
        <v>44689</v>
      </c>
      <c r="AQ1178" s="925" t="str">
        <f t="shared" si="237"/>
        <v>SS</v>
      </c>
      <c r="AR1178" s="1856">
        <f t="shared" si="236"/>
        <v>44689.861111111117</v>
      </c>
      <c r="AS1178" s="927" t="s">
        <v>1776</v>
      </c>
      <c r="AT1178" s="1856" t="str">
        <f t="shared" si="228"/>
        <v/>
      </c>
      <c r="AU1178" s="1856" t="str">
        <f t="shared" si="229"/>
        <v/>
      </c>
      <c r="AV1178" s="1856" t="str">
        <f t="shared" si="230"/>
        <v/>
      </c>
      <c r="AW1178" s="1856" t="str">
        <f t="shared" si="231"/>
        <v/>
      </c>
      <c r="AX1178" s="1856" t="str">
        <f t="shared" si="232"/>
        <v/>
      </c>
      <c r="AY1178" s="1856" t="str">
        <f t="shared" si="233"/>
        <v/>
      </c>
    </row>
    <row r="1179" spans="42:52">
      <c r="AP1179" s="1855">
        <f t="shared" si="234"/>
        <v>44689</v>
      </c>
      <c r="AQ1179" s="925" t="str">
        <f t="shared" si="237"/>
        <v>EENT</v>
      </c>
      <c r="AR1179" s="1856">
        <f t="shared" si="236"/>
        <v>44689.905555555553</v>
      </c>
      <c r="AS1179" s="927" t="s">
        <v>1777</v>
      </c>
      <c r="AT1179" s="1856" t="str">
        <f t="shared" si="228"/>
        <v/>
      </c>
      <c r="AU1179" s="1856" t="str">
        <f t="shared" si="229"/>
        <v/>
      </c>
      <c r="AV1179" s="1856" t="str">
        <f t="shared" si="230"/>
        <v/>
      </c>
      <c r="AW1179" s="1856" t="str">
        <f t="shared" si="231"/>
        <v/>
      </c>
      <c r="AX1179" s="1856" t="str">
        <f t="shared" si="232"/>
        <v/>
      </c>
      <c r="AY1179" s="1856" t="str">
        <f t="shared" si="233"/>
        <v/>
      </c>
    </row>
    <row r="1180" spans="42:52">
      <c r="AP1180" s="1855">
        <f t="shared" si="234"/>
        <v>44690</v>
      </c>
      <c r="AQ1180" s="925" t="str">
        <f t="shared" si="237"/>
        <v/>
      </c>
      <c r="AR1180" s="1856" t="str">
        <f t="shared" si="236"/>
        <v/>
      </c>
      <c r="AS1180" s="927">
        <v>9</v>
      </c>
      <c r="AT1180" s="1856">
        <f t="shared" ref="AT1180:AT1243" si="238">IF(ISNUMBER(AS1180),INDEX(AR1181:AR1191,MATCH($AT$27,AQ1181:AQ1191,0)),"")</f>
        <v>44690.232638888891</v>
      </c>
      <c r="AU1180" s="1856">
        <f t="shared" ref="AU1180:AU1243" si="239">IF(AT1180="","",INDEX(AR1181:AR1191,MATCH($AU$27,AQ1181:AQ1191,0)))</f>
        <v>44690.277777777781</v>
      </c>
      <c r="AV1180" s="1856">
        <f t="shared" ref="AV1180:AV1243" si="240">IF(AT1180="","",INDEX(AR1181:AR1191,MATCH($AV$27,AQ1181:AQ1191,0)))</f>
        <v>44690.861805555556</v>
      </c>
      <c r="AW1180" s="1856">
        <f t="shared" ref="AW1180:AW1243" si="241">IF(AT1180="","",INDEX(AR1181:AR1191,MATCH($AW$27,AQ1181:AQ1191,0)))</f>
        <v>44690.90625</v>
      </c>
      <c r="AX1180" s="1856">
        <f t="shared" ref="AX1180:AX1243" si="242">IF(AT1180="","",INDEX(AR1181:AR1191,MATCH($AX$27,AQ1181:AQ1191,0)))</f>
        <v>44690.572222222218</v>
      </c>
      <c r="AY1180" s="1856">
        <f t="shared" ref="AY1180:AY1243" si="243">IF(AT1180="","",INDEX(AR1181:AR1191,MATCH($AY$27,AQ1181:AQ1191,0)))</f>
        <v>44690.140277777777</v>
      </c>
      <c r="AZ1180" s="1853">
        <v>0.52</v>
      </c>
    </row>
    <row r="1181" spans="42:52">
      <c r="AP1181" s="1855">
        <f t="shared" si="234"/>
        <v>44690</v>
      </c>
      <c r="AQ1181" s="925" t="str">
        <f t="shared" si="237"/>
        <v/>
      </c>
      <c r="AR1181" s="1856" t="str">
        <f t="shared" si="236"/>
        <v/>
      </c>
      <c r="AS1181" s="927" t="s">
        <v>252</v>
      </c>
      <c r="AT1181" s="1856" t="str">
        <f t="shared" si="238"/>
        <v/>
      </c>
      <c r="AU1181" s="1856" t="str">
        <f t="shared" si="239"/>
        <v/>
      </c>
      <c r="AV1181" s="1856" t="str">
        <f t="shared" si="240"/>
        <v/>
      </c>
      <c r="AW1181" s="1856" t="str">
        <f t="shared" si="241"/>
        <v/>
      </c>
      <c r="AX1181" s="1856" t="str">
        <f t="shared" si="242"/>
        <v/>
      </c>
      <c r="AY1181" s="1856" t="str">
        <f t="shared" si="243"/>
        <v/>
      </c>
    </row>
    <row r="1182" spans="42:52">
      <c r="AP1182" s="1855">
        <f t="shared" si="234"/>
        <v>44690</v>
      </c>
      <c r="AQ1182" s="925" t="str">
        <f t="shared" si="237"/>
        <v/>
      </c>
      <c r="AR1182" s="1856" t="str">
        <f t="shared" si="236"/>
        <v/>
      </c>
      <c r="AT1182" s="1856" t="str">
        <f t="shared" si="238"/>
        <v/>
      </c>
      <c r="AU1182" s="1856" t="str">
        <f t="shared" si="239"/>
        <v/>
      </c>
      <c r="AV1182" s="1856" t="str">
        <f t="shared" si="240"/>
        <v/>
      </c>
      <c r="AW1182" s="1856" t="str">
        <f t="shared" si="241"/>
        <v/>
      </c>
      <c r="AX1182" s="1856" t="str">
        <f t="shared" si="242"/>
        <v/>
      </c>
      <c r="AY1182" s="1856" t="str">
        <f t="shared" si="243"/>
        <v/>
      </c>
    </row>
    <row r="1183" spans="42:52">
      <c r="AP1183" s="1855">
        <f t="shared" si="234"/>
        <v>44690</v>
      </c>
      <c r="AQ1183" s="925" t="str">
        <f t="shared" si="237"/>
        <v>MS</v>
      </c>
      <c r="AR1183" s="1856">
        <f t="shared" si="236"/>
        <v>44690.140277777777</v>
      </c>
      <c r="AS1183" s="927" t="s">
        <v>1778</v>
      </c>
      <c r="AT1183" s="1856" t="str">
        <f t="shared" si="238"/>
        <v/>
      </c>
      <c r="AU1183" s="1856" t="str">
        <f t="shared" si="239"/>
        <v/>
      </c>
      <c r="AV1183" s="1856" t="str">
        <f t="shared" si="240"/>
        <v/>
      </c>
      <c r="AW1183" s="1856" t="str">
        <f t="shared" si="241"/>
        <v/>
      </c>
      <c r="AX1183" s="1856" t="str">
        <f t="shared" si="242"/>
        <v/>
      </c>
      <c r="AY1183" s="1856" t="str">
        <f t="shared" si="243"/>
        <v/>
      </c>
    </row>
    <row r="1184" spans="42:52">
      <c r="AP1184" s="1855">
        <f t="shared" si="234"/>
        <v>44690</v>
      </c>
      <c r="AQ1184" s="925" t="str">
        <f t="shared" si="237"/>
        <v>BMNT</v>
      </c>
      <c r="AR1184" s="1856">
        <f t="shared" si="236"/>
        <v>44690.232638888891</v>
      </c>
      <c r="AS1184" s="927" t="s">
        <v>1779</v>
      </c>
      <c r="AT1184" s="1856" t="str">
        <f t="shared" si="238"/>
        <v/>
      </c>
      <c r="AU1184" s="1856" t="str">
        <f t="shared" si="239"/>
        <v/>
      </c>
      <c r="AV1184" s="1856" t="str">
        <f t="shared" si="240"/>
        <v/>
      </c>
      <c r="AW1184" s="1856" t="str">
        <f t="shared" si="241"/>
        <v/>
      </c>
      <c r="AX1184" s="1856" t="str">
        <f t="shared" si="242"/>
        <v/>
      </c>
      <c r="AY1184" s="1856" t="str">
        <f t="shared" si="243"/>
        <v/>
      </c>
    </row>
    <row r="1185" spans="42:52">
      <c r="AP1185" s="1855">
        <f t="shared" si="234"/>
        <v>44690</v>
      </c>
      <c r="AQ1185" s="925" t="str">
        <f t="shared" si="237"/>
        <v>SR</v>
      </c>
      <c r="AR1185" s="1856">
        <f t="shared" si="236"/>
        <v>44690.277777777781</v>
      </c>
      <c r="AS1185" s="927" t="s">
        <v>1780</v>
      </c>
      <c r="AT1185" s="1856" t="str">
        <f t="shared" si="238"/>
        <v/>
      </c>
      <c r="AU1185" s="1856" t="str">
        <f t="shared" si="239"/>
        <v/>
      </c>
      <c r="AV1185" s="1856" t="str">
        <f t="shared" si="240"/>
        <v/>
      </c>
      <c r="AW1185" s="1856" t="str">
        <f t="shared" si="241"/>
        <v/>
      </c>
      <c r="AX1185" s="1856" t="str">
        <f t="shared" si="242"/>
        <v/>
      </c>
      <c r="AY1185" s="1856" t="str">
        <f t="shared" si="243"/>
        <v/>
      </c>
    </row>
    <row r="1186" spans="42:52">
      <c r="AP1186" s="1855">
        <f t="shared" si="234"/>
        <v>44690</v>
      </c>
      <c r="AQ1186" s="925" t="str">
        <f t="shared" si="237"/>
        <v>MR</v>
      </c>
      <c r="AR1186" s="1856">
        <f t="shared" si="236"/>
        <v>44690.572222222218</v>
      </c>
      <c r="AS1186" s="927" t="s">
        <v>1781</v>
      </c>
      <c r="AT1186" s="1856" t="str">
        <f t="shared" si="238"/>
        <v/>
      </c>
      <c r="AU1186" s="1856" t="str">
        <f t="shared" si="239"/>
        <v/>
      </c>
      <c r="AV1186" s="1856" t="str">
        <f t="shared" si="240"/>
        <v/>
      </c>
      <c r="AW1186" s="1856" t="str">
        <f t="shared" si="241"/>
        <v/>
      </c>
      <c r="AX1186" s="1856" t="str">
        <f t="shared" si="242"/>
        <v/>
      </c>
      <c r="AY1186" s="1856" t="str">
        <f t="shared" si="243"/>
        <v/>
      </c>
    </row>
    <row r="1187" spans="42:52">
      <c r="AP1187" s="1855">
        <f t="shared" si="234"/>
        <v>44690</v>
      </c>
      <c r="AQ1187" s="925" t="str">
        <f t="shared" si="237"/>
        <v>SS</v>
      </c>
      <c r="AR1187" s="1856">
        <f t="shared" si="236"/>
        <v>44690.861805555556</v>
      </c>
      <c r="AS1187" s="927" t="s">
        <v>1782</v>
      </c>
      <c r="AT1187" s="1856" t="str">
        <f t="shared" si="238"/>
        <v/>
      </c>
      <c r="AU1187" s="1856" t="str">
        <f t="shared" si="239"/>
        <v/>
      </c>
      <c r="AV1187" s="1856" t="str">
        <f t="shared" si="240"/>
        <v/>
      </c>
      <c r="AW1187" s="1856" t="str">
        <f t="shared" si="241"/>
        <v/>
      </c>
      <c r="AX1187" s="1856" t="str">
        <f t="shared" si="242"/>
        <v/>
      </c>
      <c r="AY1187" s="1856" t="str">
        <f t="shared" si="243"/>
        <v/>
      </c>
    </row>
    <row r="1188" spans="42:52">
      <c r="AP1188" s="1855">
        <f t="shared" si="234"/>
        <v>44690</v>
      </c>
      <c r="AQ1188" s="925" t="str">
        <f t="shared" si="237"/>
        <v>EENT</v>
      </c>
      <c r="AR1188" s="1856">
        <f t="shared" si="236"/>
        <v>44690.90625</v>
      </c>
      <c r="AS1188" s="927" t="s">
        <v>1783</v>
      </c>
      <c r="AT1188" s="1856" t="str">
        <f t="shared" si="238"/>
        <v/>
      </c>
      <c r="AU1188" s="1856" t="str">
        <f t="shared" si="239"/>
        <v/>
      </c>
      <c r="AV1188" s="1856" t="str">
        <f t="shared" si="240"/>
        <v/>
      </c>
      <c r="AW1188" s="1856" t="str">
        <f t="shared" si="241"/>
        <v/>
      </c>
      <c r="AX1188" s="1856" t="str">
        <f t="shared" si="242"/>
        <v/>
      </c>
      <c r="AY1188" s="1856" t="str">
        <f t="shared" si="243"/>
        <v/>
      </c>
    </row>
    <row r="1189" spans="42:52">
      <c r="AP1189" s="1855">
        <f t="shared" ref="AP1189:AP1252" si="244">IF(ISNUMBER(AS1189),AP1188+1,AP1188)</f>
        <v>44691</v>
      </c>
      <c r="AQ1189" s="925" t="str">
        <f t="shared" si="237"/>
        <v/>
      </c>
      <c r="AR1189" s="1856" t="str">
        <f t="shared" si="236"/>
        <v/>
      </c>
      <c r="AS1189" s="927">
        <v>10</v>
      </c>
      <c r="AT1189" s="1856">
        <f t="shared" si="238"/>
        <v>44691.231944444444</v>
      </c>
      <c r="AU1189" s="1856">
        <f t="shared" si="239"/>
        <v>44691.277083333334</v>
      </c>
      <c r="AV1189" s="1856">
        <f t="shared" si="240"/>
        <v>44691.862500000003</v>
      </c>
      <c r="AW1189" s="1856">
        <f t="shared" si="241"/>
        <v>44691.906944444447</v>
      </c>
      <c r="AX1189" s="1856">
        <f t="shared" si="242"/>
        <v>44691.615972222222</v>
      </c>
      <c r="AY1189" s="1856">
        <f t="shared" si="243"/>
        <v>44691.160416666666</v>
      </c>
      <c r="AZ1189" s="1853">
        <v>0.62</v>
      </c>
    </row>
    <row r="1190" spans="42:52">
      <c r="AP1190" s="1855">
        <f t="shared" si="244"/>
        <v>44691</v>
      </c>
      <c r="AQ1190" s="925" t="str">
        <f t="shared" si="237"/>
        <v/>
      </c>
      <c r="AR1190" s="1856" t="str">
        <f t="shared" si="236"/>
        <v/>
      </c>
      <c r="AS1190" s="927" t="s">
        <v>252</v>
      </c>
      <c r="AT1190" s="1856" t="str">
        <f t="shared" si="238"/>
        <v/>
      </c>
      <c r="AU1190" s="1856" t="str">
        <f t="shared" si="239"/>
        <v/>
      </c>
      <c r="AV1190" s="1856" t="str">
        <f t="shared" si="240"/>
        <v/>
      </c>
      <c r="AW1190" s="1856" t="str">
        <f t="shared" si="241"/>
        <v/>
      </c>
      <c r="AX1190" s="1856" t="str">
        <f t="shared" si="242"/>
        <v/>
      </c>
      <c r="AY1190" s="1856" t="str">
        <f t="shared" si="243"/>
        <v/>
      </c>
    </row>
    <row r="1191" spans="42:52">
      <c r="AP1191" s="1855">
        <f t="shared" si="244"/>
        <v>44691</v>
      </c>
      <c r="AQ1191" s="925" t="str">
        <f t="shared" si="237"/>
        <v/>
      </c>
      <c r="AR1191" s="1856" t="str">
        <f t="shared" si="236"/>
        <v/>
      </c>
      <c r="AT1191" s="1856" t="str">
        <f t="shared" si="238"/>
        <v/>
      </c>
      <c r="AU1191" s="1856" t="str">
        <f t="shared" si="239"/>
        <v/>
      </c>
      <c r="AV1191" s="1856" t="str">
        <f t="shared" si="240"/>
        <v/>
      </c>
      <c r="AW1191" s="1856" t="str">
        <f t="shared" si="241"/>
        <v/>
      </c>
      <c r="AX1191" s="1856" t="str">
        <f t="shared" si="242"/>
        <v/>
      </c>
      <c r="AY1191" s="1856" t="str">
        <f t="shared" si="243"/>
        <v/>
      </c>
    </row>
    <row r="1192" spans="42:52">
      <c r="AP1192" s="1855">
        <f t="shared" si="244"/>
        <v>44691</v>
      </c>
      <c r="AQ1192" s="925" t="str">
        <f t="shared" si="237"/>
        <v>MS</v>
      </c>
      <c r="AR1192" s="1856">
        <f t="shared" si="236"/>
        <v>44691.160416666666</v>
      </c>
      <c r="AS1192" s="927" t="s">
        <v>1509</v>
      </c>
      <c r="AT1192" s="1856" t="str">
        <f t="shared" si="238"/>
        <v/>
      </c>
      <c r="AU1192" s="1856" t="str">
        <f t="shared" si="239"/>
        <v/>
      </c>
      <c r="AV1192" s="1856" t="str">
        <f t="shared" si="240"/>
        <v/>
      </c>
      <c r="AW1192" s="1856" t="str">
        <f t="shared" si="241"/>
        <v/>
      </c>
      <c r="AX1192" s="1856" t="str">
        <f t="shared" si="242"/>
        <v/>
      </c>
      <c r="AY1192" s="1856" t="str">
        <f t="shared" si="243"/>
        <v/>
      </c>
    </row>
    <row r="1193" spans="42:52">
      <c r="AP1193" s="1855">
        <f t="shared" si="244"/>
        <v>44691</v>
      </c>
      <c r="AQ1193" s="925" t="str">
        <f t="shared" si="237"/>
        <v>BMNT</v>
      </c>
      <c r="AR1193" s="1856">
        <f t="shared" ref="AR1193:AR1256" si="245">IF(NOT(ISNUMBER(FIND(":",AS1193))),"",IF(ISNUMBER(FIND(" none",AS1193)),"NONE",AP1193+LEFT(RIGHT(AS1193,5),2)/24+RIGHT(AS1193,2)/1440))</f>
        <v>44691.231944444444</v>
      </c>
      <c r="AS1193" s="927" t="s">
        <v>1784</v>
      </c>
      <c r="AT1193" s="1856" t="str">
        <f t="shared" si="238"/>
        <v/>
      </c>
      <c r="AU1193" s="1856" t="str">
        <f t="shared" si="239"/>
        <v/>
      </c>
      <c r="AV1193" s="1856" t="str">
        <f t="shared" si="240"/>
        <v/>
      </c>
      <c r="AW1193" s="1856" t="str">
        <f t="shared" si="241"/>
        <v/>
      </c>
      <c r="AX1193" s="1856" t="str">
        <f t="shared" si="242"/>
        <v/>
      </c>
      <c r="AY1193" s="1856" t="str">
        <f t="shared" si="243"/>
        <v/>
      </c>
    </row>
    <row r="1194" spans="42:52">
      <c r="AP1194" s="1855">
        <f t="shared" si="244"/>
        <v>44691</v>
      </c>
      <c r="AQ1194" s="925" t="str">
        <f t="shared" si="237"/>
        <v>SR</v>
      </c>
      <c r="AR1194" s="1856">
        <f t="shared" si="245"/>
        <v>44691.277083333334</v>
      </c>
      <c r="AS1194" s="927" t="s">
        <v>1785</v>
      </c>
      <c r="AT1194" s="1856" t="str">
        <f t="shared" si="238"/>
        <v/>
      </c>
      <c r="AU1194" s="1856" t="str">
        <f t="shared" si="239"/>
        <v/>
      </c>
      <c r="AV1194" s="1856" t="str">
        <f t="shared" si="240"/>
        <v/>
      </c>
      <c r="AW1194" s="1856" t="str">
        <f t="shared" si="241"/>
        <v/>
      </c>
      <c r="AX1194" s="1856" t="str">
        <f t="shared" si="242"/>
        <v/>
      </c>
      <c r="AY1194" s="1856" t="str">
        <f t="shared" si="243"/>
        <v/>
      </c>
    </row>
    <row r="1195" spans="42:52">
      <c r="AP1195" s="1855">
        <f t="shared" si="244"/>
        <v>44691</v>
      </c>
      <c r="AQ1195" s="925" t="str">
        <f t="shared" si="237"/>
        <v>MR</v>
      </c>
      <c r="AR1195" s="1856">
        <f t="shared" si="245"/>
        <v>44691.615972222222</v>
      </c>
      <c r="AS1195" s="927" t="s">
        <v>1786</v>
      </c>
      <c r="AT1195" s="1856" t="str">
        <f t="shared" si="238"/>
        <v/>
      </c>
      <c r="AU1195" s="1856" t="str">
        <f t="shared" si="239"/>
        <v/>
      </c>
      <c r="AV1195" s="1856" t="str">
        <f t="shared" si="240"/>
        <v/>
      </c>
      <c r="AW1195" s="1856" t="str">
        <f t="shared" si="241"/>
        <v/>
      </c>
      <c r="AX1195" s="1856" t="str">
        <f t="shared" si="242"/>
        <v/>
      </c>
      <c r="AY1195" s="1856" t="str">
        <f t="shared" si="243"/>
        <v/>
      </c>
    </row>
    <row r="1196" spans="42:52">
      <c r="AP1196" s="1855">
        <f t="shared" si="244"/>
        <v>44691</v>
      </c>
      <c r="AQ1196" s="925" t="str">
        <f t="shared" si="237"/>
        <v>SS</v>
      </c>
      <c r="AR1196" s="1856">
        <f t="shared" si="245"/>
        <v>44691.862500000003</v>
      </c>
      <c r="AS1196" s="927" t="s">
        <v>1787</v>
      </c>
      <c r="AT1196" s="1856" t="str">
        <f t="shared" si="238"/>
        <v/>
      </c>
      <c r="AU1196" s="1856" t="str">
        <f t="shared" si="239"/>
        <v/>
      </c>
      <c r="AV1196" s="1856" t="str">
        <f t="shared" si="240"/>
        <v/>
      </c>
      <c r="AW1196" s="1856" t="str">
        <f t="shared" si="241"/>
        <v/>
      </c>
      <c r="AX1196" s="1856" t="str">
        <f t="shared" si="242"/>
        <v/>
      </c>
      <c r="AY1196" s="1856" t="str">
        <f t="shared" si="243"/>
        <v/>
      </c>
    </row>
    <row r="1197" spans="42:52">
      <c r="AP1197" s="1855">
        <f t="shared" si="244"/>
        <v>44691</v>
      </c>
      <c r="AQ1197" s="925" t="str">
        <f t="shared" si="237"/>
        <v>EENT</v>
      </c>
      <c r="AR1197" s="1856">
        <f t="shared" si="245"/>
        <v>44691.906944444447</v>
      </c>
      <c r="AS1197" s="927" t="s">
        <v>1788</v>
      </c>
      <c r="AT1197" s="1856" t="str">
        <f t="shared" si="238"/>
        <v/>
      </c>
      <c r="AU1197" s="1856" t="str">
        <f t="shared" si="239"/>
        <v/>
      </c>
      <c r="AV1197" s="1856" t="str">
        <f t="shared" si="240"/>
        <v/>
      </c>
      <c r="AW1197" s="1856" t="str">
        <f t="shared" si="241"/>
        <v/>
      </c>
      <c r="AX1197" s="1856" t="str">
        <f t="shared" si="242"/>
        <v/>
      </c>
      <c r="AY1197" s="1856" t="str">
        <f t="shared" si="243"/>
        <v/>
      </c>
    </row>
    <row r="1198" spans="42:52">
      <c r="AP1198" s="1855">
        <f t="shared" si="244"/>
        <v>44692</v>
      </c>
      <c r="AQ1198" s="925" t="str">
        <f t="shared" si="237"/>
        <v/>
      </c>
      <c r="AR1198" s="1856" t="str">
        <f t="shared" si="245"/>
        <v/>
      </c>
      <c r="AS1198" s="927">
        <v>11</v>
      </c>
      <c r="AT1198" s="1856">
        <f t="shared" si="238"/>
        <v>44692.231250000004</v>
      </c>
      <c r="AU1198" s="1856">
        <f t="shared" si="239"/>
        <v>44692.276388888888</v>
      </c>
      <c r="AV1198" s="1856">
        <f t="shared" si="240"/>
        <v>44692.86319444445</v>
      </c>
      <c r="AW1198" s="1856">
        <f t="shared" si="241"/>
        <v>44692.907638888886</v>
      </c>
      <c r="AX1198" s="1856">
        <f t="shared" si="242"/>
        <v>44692.660416666666</v>
      </c>
      <c r="AY1198" s="1856">
        <f t="shared" si="243"/>
        <v>44692.179166666661</v>
      </c>
      <c r="AZ1198" s="1853">
        <v>0.72</v>
      </c>
    </row>
    <row r="1199" spans="42:52">
      <c r="AP1199" s="1855">
        <f t="shared" si="244"/>
        <v>44692</v>
      </c>
      <c r="AQ1199" s="925" t="str">
        <f t="shared" si="237"/>
        <v/>
      </c>
      <c r="AR1199" s="1856" t="str">
        <f t="shared" si="245"/>
        <v/>
      </c>
      <c r="AS1199" s="927" t="s">
        <v>252</v>
      </c>
      <c r="AT1199" s="1856" t="str">
        <f t="shared" si="238"/>
        <v/>
      </c>
      <c r="AU1199" s="1856" t="str">
        <f t="shared" si="239"/>
        <v/>
      </c>
      <c r="AV1199" s="1856" t="str">
        <f t="shared" si="240"/>
        <v/>
      </c>
      <c r="AW1199" s="1856" t="str">
        <f t="shared" si="241"/>
        <v/>
      </c>
      <c r="AX1199" s="1856" t="str">
        <f t="shared" si="242"/>
        <v/>
      </c>
      <c r="AY1199" s="1856" t="str">
        <f t="shared" si="243"/>
        <v/>
      </c>
    </row>
    <row r="1200" spans="42:52">
      <c r="AP1200" s="1855">
        <f t="shared" si="244"/>
        <v>44692</v>
      </c>
      <c r="AQ1200" s="925" t="str">
        <f t="shared" si="237"/>
        <v/>
      </c>
      <c r="AR1200" s="1856" t="str">
        <f t="shared" si="245"/>
        <v/>
      </c>
      <c r="AT1200" s="1856" t="str">
        <f t="shared" si="238"/>
        <v/>
      </c>
      <c r="AU1200" s="1856" t="str">
        <f t="shared" si="239"/>
        <v/>
      </c>
      <c r="AV1200" s="1856" t="str">
        <f t="shared" si="240"/>
        <v/>
      </c>
      <c r="AW1200" s="1856" t="str">
        <f t="shared" si="241"/>
        <v/>
      </c>
      <c r="AX1200" s="1856" t="str">
        <f t="shared" si="242"/>
        <v/>
      </c>
      <c r="AY1200" s="1856" t="str">
        <f t="shared" si="243"/>
        <v/>
      </c>
    </row>
    <row r="1201" spans="42:52">
      <c r="AP1201" s="1855">
        <f t="shared" si="244"/>
        <v>44692</v>
      </c>
      <c r="AQ1201" s="925" t="str">
        <f t="shared" si="237"/>
        <v>MS</v>
      </c>
      <c r="AR1201" s="1856">
        <f t="shared" si="245"/>
        <v>44692.179166666661</v>
      </c>
      <c r="AS1201" s="927" t="s">
        <v>1789</v>
      </c>
      <c r="AT1201" s="1856" t="str">
        <f t="shared" si="238"/>
        <v/>
      </c>
      <c r="AU1201" s="1856" t="str">
        <f t="shared" si="239"/>
        <v/>
      </c>
      <c r="AV1201" s="1856" t="str">
        <f t="shared" si="240"/>
        <v/>
      </c>
      <c r="AW1201" s="1856" t="str">
        <f t="shared" si="241"/>
        <v/>
      </c>
      <c r="AX1201" s="1856" t="str">
        <f t="shared" si="242"/>
        <v/>
      </c>
      <c r="AY1201" s="1856" t="str">
        <f t="shared" si="243"/>
        <v/>
      </c>
    </row>
    <row r="1202" spans="42:52">
      <c r="AP1202" s="1855">
        <f t="shared" si="244"/>
        <v>44692</v>
      </c>
      <c r="AQ1202" s="925" t="str">
        <f t="shared" si="237"/>
        <v>BMNT</v>
      </c>
      <c r="AR1202" s="1856">
        <f t="shared" si="245"/>
        <v>44692.231250000004</v>
      </c>
      <c r="AS1202" s="927" t="s">
        <v>1790</v>
      </c>
      <c r="AT1202" s="1856" t="str">
        <f t="shared" si="238"/>
        <v/>
      </c>
      <c r="AU1202" s="1856" t="str">
        <f t="shared" si="239"/>
        <v/>
      </c>
      <c r="AV1202" s="1856" t="str">
        <f t="shared" si="240"/>
        <v/>
      </c>
      <c r="AW1202" s="1856" t="str">
        <f t="shared" si="241"/>
        <v/>
      </c>
      <c r="AX1202" s="1856" t="str">
        <f t="shared" si="242"/>
        <v/>
      </c>
      <c r="AY1202" s="1856" t="str">
        <f t="shared" si="243"/>
        <v/>
      </c>
    </row>
    <row r="1203" spans="42:52">
      <c r="AP1203" s="1855">
        <f t="shared" si="244"/>
        <v>44692</v>
      </c>
      <c r="AQ1203" s="925" t="str">
        <f t="shared" si="237"/>
        <v>SR</v>
      </c>
      <c r="AR1203" s="1856">
        <f t="shared" si="245"/>
        <v>44692.276388888888</v>
      </c>
      <c r="AS1203" s="927" t="s">
        <v>1791</v>
      </c>
      <c r="AT1203" s="1856" t="str">
        <f t="shared" si="238"/>
        <v/>
      </c>
      <c r="AU1203" s="1856" t="str">
        <f t="shared" si="239"/>
        <v/>
      </c>
      <c r="AV1203" s="1856" t="str">
        <f t="shared" si="240"/>
        <v/>
      </c>
      <c r="AW1203" s="1856" t="str">
        <f t="shared" si="241"/>
        <v/>
      </c>
      <c r="AX1203" s="1856" t="str">
        <f t="shared" si="242"/>
        <v/>
      </c>
      <c r="AY1203" s="1856" t="str">
        <f t="shared" si="243"/>
        <v/>
      </c>
    </row>
    <row r="1204" spans="42:52">
      <c r="AP1204" s="1855">
        <f t="shared" si="244"/>
        <v>44692</v>
      </c>
      <c r="AQ1204" s="925" t="str">
        <f t="shared" ref="AQ1204:AQ1267" si="246">IF(NOT(ISNUMBER(FIND(":",AS1204))),"",IF(ISNUMBER(FIND("Sunr",AS1204)),"SR", IF(ISNUMBER(FIND("Suns",AS1204)),"SS",IF(ISNUMBER(FIND("Moonr",AS1204)),"MR",IF(ISNUMBER(FIND("Moons",AS1204)),"MS",IF(ISNUMBER(FIND("Twi",AS1204)),IF(HOUR(AR1204)&lt;12,"BMNT","EENT")))))))</f>
        <v>MR</v>
      </c>
      <c r="AR1204" s="1856">
        <f t="shared" si="245"/>
        <v>44692.660416666666</v>
      </c>
      <c r="AS1204" s="927" t="s">
        <v>1792</v>
      </c>
      <c r="AT1204" s="1856" t="str">
        <f t="shared" si="238"/>
        <v/>
      </c>
      <c r="AU1204" s="1856" t="str">
        <f t="shared" si="239"/>
        <v/>
      </c>
      <c r="AV1204" s="1856" t="str">
        <f t="shared" si="240"/>
        <v/>
      </c>
      <c r="AW1204" s="1856" t="str">
        <f t="shared" si="241"/>
        <v/>
      </c>
      <c r="AX1204" s="1856" t="str">
        <f t="shared" si="242"/>
        <v/>
      </c>
      <c r="AY1204" s="1856" t="str">
        <f t="shared" si="243"/>
        <v/>
      </c>
    </row>
    <row r="1205" spans="42:52">
      <c r="AP1205" s="1855">
        <f t="shared" si="244"/>
        <v>44692</v>
      </c>
      <c r="AQ1205" s="925" t="str">
        <f t="shared" si="246"/>
        <v>SS</v>
      </c>
      <c r="AR1205" s="1856">
        <f t="shared" si="245"/>
        <v>44692.86319444445</v>
      </c>
      <c r="AS1205" s="927" t="s">
        <v>1793</v>
      </c>
      <c r="AT1205" s="1856" t="str">
        <f t="shared" si="238"/>
        <v/>
      </c>
      <c r="AU1205" s="1856" t="str">
        <f t="shared" si="239"/>
        <v/>
      </c>
      <c r="AV1205" s="1856" t="str">
        <f t="shared" si="240"/>
        <v/>
      </c>
      <c r="AW1205" s="1856" t="str">
        <f t="shared" si="241"/>
        <v/>
      </c>
      <c r="AX1205" s="1856" t="str">
        <f t="shared" si="242"/>
        <v/>
      </c>
      <c r="AY1205" s="1856" t="str">
        <f t="shared" si="243"/>
        <v/>
      </c>
    </row>
    <row r="1206" spans="42:52">
      <c r="AP1206" s="1855">
        <f t="shared" si="244"/>
        <v>44692</v>
      </c>
      <c r="AQ1206" s="925" t="str">
        <f t="shared" si="246"/>
        <v>EENT</v>
      </c>
      <c r="AR1206" s="1856">
        <f t="shared" si="245"/>
        <v>44692.907638888886</v>
      </c>
      <c r="AS1206" s="927" t="s">
        <v>1794</v>
      </c>
      <c r="AT1206" s="1856" t="str">
        <f t="shared" si="238"/>
        <v/>
      </c>
      <c r="AU1206" s="1856" t="str">
        <f t="shared" si="239"/>
        <v/>
      </c>
      <c r="AV1206" s="1856" t="str">
        <f t="shared" si="240"/>
        <v/>
      </c>
      <c r="AW1206" s="1856" t="str">
        <f t="shared" si="241"/>
        <v/>
      </c>
      <c r="AX1206" s="1856" t="str">
        <f t="shared" si="242"/>
        <v/>
      </c>
      <c r="AY1206" s="1856" t="str">
        <f t="shared" si="243"/>
        <v/>
      </c>
    </row>
    <row r="1207" spans="42:52">
      <c r="AP1207" s="1855">
        <f t="shared" si="244"/>
        <v>44693</v>
      </c>
      <c r="AQ1207" s="925" t="str">
        <f t="shared" si="246"/>
        <v/>
      </c>
      <c r="AR1207" s="1856" t="str">
        <f t="shared" si="245"/>
        <v/>
      </c>
      <c r="AS1207" s="927">
        <v>12</v>
      </c>
      <c r="AT1207" s="1856">
        <f t="shared" si="238"/>
        <v>44693.230555555558</v>
      </c>
      <c r="AU1207" s="1856">
        <f t="shared" si="239"/>
        <v>44693.275694444441</v>
      </c>
      <c r="AV1207" s="1856">
        <f t="shared" si="240"/>
        <v>44693.863888888889</v>
      </c>
      <c r="AW1207" s="1856">
        <f t="shared" si="241"/>
        <v>44693.90902777778</v>
      </c>
      <c r="AX1207" s="1856">
        <f t="shared" si="242"/>
        <v>44693.706944444442</v>
      </c>
      <c r="AY1207" s="1856">
        <f t="shared" si="243"/>
        <v>44693.197222222218</v>
      </c>
      <c r="AZ1207" s="1853">
        <v>0.81</v>
      </c>
    </row>
    <row r="1208" spans="42:52">
      <c r="AP1208" s="1855">
        <f t="shared" si="244"/>
        <v>44693</v>
      </c>
      <c r="AQ1208" s="925" t="str">
        <f t="shared" si="246"/>
        <v/>
      </c>
      <c r="AR1208" s="1856" t="str">
        <f t="shared" si="245"/>
        <v/>
      </c>
      <c r="AS1208" s="927" t="s">
        <v>252</v>
      </c>
      <c r="AT1208" s="1856" t="str">
        <f t="shared" si="238"/>
        <v/>
      </c>
      <c r="AU1208" s="1856" t="str">
        <f t="shared" si="239"/>
        <v/>
      </c>
      <c r="AV1208" s="1856" t="str">
        <f t="shared" si="240"/>
        <v/>
      </c>
      <c r="AW1208" s="1856" t="str">
        <f t="shared" si="241"/>
        <v/>
      </c>
      <c r="AX1208" s="1856" t="str">
        <f t="shared" si="242"/>
        <v/>
      </c>
      <c r="AY1208" s="1856" t="str">
        <f t="shared" si="243"/>
        <v/>
      </c>
    </row>
    <row r="1209" spans="42:52">
      <c r="AP1209" s="1855">
        <f t="shared" si="244"/>
        <v>44693</v>
      </c>
      <c r="AQ1209" s="925" t="str">
        <f t="shared" si="246"/>
        <v/>
      </c>
      <c r="AR1209" s="1856" t="str">
        <f t="shared" si="245"/>
        <v/>
      </c>
      <c r="AT1209" s="1856" t="str">
        <f t="shared" si="238"/>
        <v/>
      </c>
      <c r="AU1209" s="1856" t="str">
        <f t="shared" si="239"/>
        <v/>
      </c>
      <c r="AV1209" s="1856" t="str">
        <f t="shared" si="240"/>
        <v/>
      </c>
      <c r="AW1209" s="1856" t="str">
        <f t="shared" si="241"/>
        <v/>
      </c>
      <c r="AX1209" s="1856" t="str">
        <f t="shared" si="242"/>
        <v/>
      </c>
      <c r="AY1209" s="1856" t="str">
        <f t="shared" si="243"/>
        <v/>
      </c>
    </row>
    <row r="1210" spans="42:52">
      <c r="AP1210" s="1855">
        <f t="shared" si="244"/>
        <v>44693</v>
      </c>
      <c r="AQ1210" s="925" t="str">
        <f t="shared" si="246"/>
        <v>MS</v>
      </c>
      <c r="AR1210" s="1856">
        <f t="shared" si="245"/>
        <v>44693.197222222218</v>
      </c>
      <c r="AS1210" s="927" t="s">
        <v>1795</v>
      </c>
      <c r="AT1210" s="1856" t="str">
        <f t="shared" si="238"/>
        <v/>
      </c>
      <c r="AU1210" s="1856" t="str">
        <f t="shared" si="239"/>
        <v/>
      </c>
      <c r="AV1210" s="1856" t="str">
        <f t="shared" si="240"/>
        <v/>
      </c>
      <c r="AW1210" s="1856" t="str">
        <f t="shared" si="241"/>
        <v/>
      </c>
      <c r="AX1210" s="1856" t="str">
        <f t="shared" si="242"/>
        <v/>
      </c>
      <c r="AY1210" s="1856" t="str">
        <f t="shared" si="243"/>
        <v/>
      </c>
    </row>
    <row r="1211" spans="42:52">
      <c r="AP1211" s="1855">
        <f t="shared" si="244"/>
        <v>44693</v>
      </c>
      <c r="AQ1211" s="925" t="str">
        <f t="shared" si="246"/>
        <v>BMNT</v>
      </c>
      <c r="AR1211" s="1856">
        <f t="shared" si="245"/>
        <v>44693.230555555558</v>
      </c>
      <c r="AS1211" s="927" t="s">
        <v>1796</v>
      </c>
      <c r="AT1211" s="1856" t="str">
        <f t="shared" si="238"/>
        <v/>
      </c>
      <c r="AU1211" s="1856" t="str">
        <f t="shared" si="239"/>
        <v/>
      </c>
      <c r="AV1211" s="1856" t="str">
        <f t="shared" si="240"/>
        <v/>
      </c>
      <c r="AW1211" s="1856" t="str">
        <f t="shared" si="241"/>
        <v/>
      </c>
      <c r="AX1211" s="1856" t="str">
        <f t="shared" si="242"/>
        <v/>
      </c>
      <c r="AY1211" s="1856" t="str">
        <f t="shared" si="243"/>
        <v/>
      </c>
    </row>
    <row r="1212" spans="42:52">
      <c r="AP1212" s="1855">
        <f t="shared" si="244"/>
        <v>44693</v>
      </c>
      <c r="AQ1212" s="925" t="str">
        <f t="shared" si="246"/>
        <v>SR</v>
      </c>
      <c r="AR1212" s="1856">
        <f t="shared" si="245"/>
        <v>44693.275694444441</v>
      </c>
      <c r="AS1212" s="927" t="s">
        <v>1797</v>
      </c>
      <c r="AT1212" s="1856" t="str">
        <f t="shared" si="238"/>
        <v/>
      </c>
      <c r="AU1212" s="1856" t="str">
        <f t="shared" si="239"/>
        <v/>
      </c>
      <c r="AV1212" s="1856" t="str">
        <f t="shared" si="240"/>
        <v/>
      </c>
      <c r="AW1212" s="1856" t="str">
        <f t="shared" si="241"/>
        <v/>
      </c>
      <c r="AX1212" s="1856" t="str">
        <f t="shared" si="242"/>
        <v/>
      </c>
      <c r="AY1212" s="1856" t="str">
        <f t="shared" si="243"/>
        <v/>
      </c>
    </row>
    <row r="1213" spans="42:52">
      <c r="AP1213" s="1855">
        <f t="shared" si="244"/>
        <v>44693</v>
      </c>
      <c r="AQ1213" s="925" t="str">
        <f t="shared" si="246"/>
        <v>MR</v>
      </c>
      <c r="AR1213" s="1856">
        <f t="shared" si="245"/>
        <v>44693.706944444442</v>
      </c>
      <c r="AS1213" s="927" t="s">
        <v>1798</v>
      </c>
      <c r="AT1213" s="1856" t="str">
        <f t="shared" si="238"/>
        <v/>
      </c>
      <c r="AU1213" s="1856" t="str">
        <f t="shared" si="239"/>
        <v/>
      </c>
      <c r="AV1213" s="1856" t="str">
        <f t="shared" si="240"/>
        <v/>
      </c>
      <c r="AW1213" s="1856" t="str">
        <f t="shared" si="241"/>
        <v/>
      </c>
      <c r="AX1213" s="1856" t="str">
        <f t="shared" si="242"/>
        <v/>
      </c>
      <c r="AY1213" s="1856" t="str">
        <f t="shared" si="243"/>
        <v/>
      </c>
    </row>
    <row r="1214" spans="42:52">
      <c r="AP1214" s="1855">
        <f t="shared" si="244"/>
        <v>44693</v>
      </c>
      <c r="AQ1214" s="925" t="str">
        <f t="shared" si="246"/>
        <v>SS</v>
      </c>
      <c r="AR1214" s="1856">
        <f t="shared" si="245"/>
        <v>44693.863888888889</v>
      </c>
      <c r="AS1214" s="927" t="s">
        <v>1799</v>
      </c>
      <c r="AT1214" s="1856" t="str">
        <f t="shared" si="238"/>
        <v/>
      </c>
      <c r="AU1214" s="1856" t="str">
        <f t="shared" si="239"/>
        <v/>
      </c>
      <c r="AV1214" s="1856" t="str">
        <f t="shared" si="240"/>
        <v/>
      </c>
      <c r="AW1214" s="1856" t="str">
        <f t="shared" si="241"/>
        <v/>
      </c>
      <c r="AX1214" s="1856" t="str">
        <f t="shared" si="242"/>
        <v/>
      </c>
      <c r="AY1214" s="1856" t="str">
        <f t="shared" si="243"/>
        <v/>
      </c>
    </row>
    <row r="1215" spans="42:52">
      <c r="AP1215" s="1855">
        <f t="shared" si="244"/>
        <v>44693</v>
      </c>
      <c r="AQ1215" s="925" t="str">
        <f t="shared" si="246"/>
        <v>EENT</v>
      </c>
      <c r="AR1215" s="1856">
        <f t="shared" si="245"/>
        <v>44693.90902777778</v>
      </c>
      <c r="AS1215" s="927" t="s">
        <v>1800</v>
      </c>
      <c r="AT1215" s="1856" t="str">
        <f t="shared" si="238"/>
        <v/>
      </c>
      <c r="AU1215" s="1856" t="str">
        <f t="shared" si="239"/>
        <v/>
      </c>
      <c r="AV1215" s="1856" t="str">
        <f t="shared" si="240"/>
        <v/>
      </c>
      <c r="AW1215" s="1856" t="str">
        <f t="shared" si="241"/>
        <v/>
      </c>
      <c r="AX1215" s="1856" t="str">
        <f t="shared" si="242"/>
        <v/>
      </c>
      <c r="AY1215" s="1856" t="str">
        <f t="shared" si="243"/>
        <v/>
      </c>
    </row>
    <row r="1216" spans="42:52">
      <c r="AP1216" s="1855">
        <f t="shared" si="244"/>
        <v>44694</v>
      </c>
      <c r="AQ1216" s="925" t="str">
        <f t="shared" si="246"/>
        <v/>
      </c>
      <c r="AR1216" s="1856" t="str">
        <f t="shared" si="245"/>
        <v/>
      </c>
      <c r="AS1216" s="927">
        <v>13</v>
      </c>
      <c r="AT1216" s="1856">
        <f t="shared" si="238"/>
        <v>44694.229861111111</v>
      </c>
      <c r="AU1216" s="1856">
        <f t="shared" si="239"/>
        <v>44694.275000000001</v>
      </c>
      <c r="AV1216" s="1856">
        <f t="shared" si="240"/>
        <v>44694.864583333336</v>
      </c>
      <c r="AW1216" s="1856">
        <f t="shared" si="241"/>
        <v>44694.909722222219</v>
      </c>
      <c r="AX1216" s="1856">
        <f t="shared" si="242"/>
        <v>44694.754166666666</v>
      </c>
      <c r="AY1216" s="1856">
        <f t="shared" si="243"/>
        <v>44694.215277777781</v>
      </c>
      <c r="AZ1216" s="1853">
        <v>0.88</v>
      </c>
    </row>
    <row r="1217" spans="42:52">
      <c r="AP1217" s="1855">
        <f t="shared" si="244"/>
        <v>44694</v>
      </c>
      <c r="AQ1217" s="925" t="str">
        <f t="shared" si="246"/>
        <v/>
      </c>
      <c r="AR1217" s="1856" t="str">
        <f t="shared" si="245"/>
        <v/>
      </c>
      <c r="AS1217" s="927" t="s">
        <v>252</v>
      </c>
      <c r="AT1217" s="1856" t="str">
        <f t="shared" si="238"/>
        <v/>
      </c>
      <c r="AU1217" s="1856" t="str">
        <f t="shared" si="239"/>
        <v/>
      </c>
      <c r="AV1217" s="1856" t="str">
        <f t="shared" si="240"/>
        <v/>
      </c>
      <c r="AW1217" s="1856" t="str">
        <f t="shared" si="241"/>
        <v/>
      </c>
      <c r="AX1217" s="1856" t="str">
        <f t="shared" si="242"/>
        <v/>
      </c>
      <c r="AY1217" s="1856" t="str">
        <f t="shared" si="243"/>
        <v/>
      </c>
    </row>
    <row r="1218" spans="42:52">
      <c r="AP1218" s="1855">
        <f t="shared" si="244"/>
        <v>44694</v>
      </c>
      <c r="AQ1218" s="925" t="str">
        <f t="shared" si="246"/>
        <v/>
      </c>
      <c r="AR1218" s="1856" t="str">
        <f t="shared" si="245"/>
        <v/>
      </c>
      <c r="AT1218" s="1856" t="str">
        <f t="shared" si="238"/>
        <v/>
      </c>
      <c r="AU1218" s="1856" t="str">
        <f t="shared" si="239"/>
        <v/>
      </c>
      <c r="AV1218" s="1856" t="str">
        <f t="shared" si="240"/>
        <v/>
      </c>
      <c r="AW1218" s="1856" t="str">
        <f t="shared" si="241"/>
        <v/>
      </c>
      <c r="AX1218" s="1856" t="str">
        <f t="shared" si="242"/>
        <v/>
      </c>
      <c r="AY1218" s="1856" t="str">
        <f t="shared" si="243"/>
        <v/>
      </c>
    </row>
    <row r="1219" spans="42:52">
      <c r="AP1219" s="1855">
        <f t="shared" si="244"/>
        <v>44694</v>
      </c>
      <c r="AQ1219" s="925" t="str">
        <f t="shared" si="246"/>
        <v>MS</v>
      </c>
      <c r="AR1219" s="1856">
        <f t="shared" si="245"/>
        <v>44694.215277777781</v>
      </c>
      <c r="AS1219" s="927" t="s">
        <v>1801</v>
      </c>
      <c r="AT1219" s="1856" t="str">
        <f t="shared" si="238"/>
        <v/>
      </c>
      <c r="AU1219" s="1856" t="str">
        <f t="shared" si="239"/>
        <v/>
      </c>
      <c r="AV1219" s="1856" t="str">
        <f t="shared" si="240"/>
        <v/>
      </c>
      <c r="AW1219" s="1856" t="str">
        <f t="shared" si="241"/>
        <v/>
      </c>
      <c r="AX1219" s="1856" t="str">
        <f t="shared" si="242"/>
        <v/>
      </c>
      <c r="AY1219" s="1856" t="str">
        <f t="shared" si="243"/>
        <v/>
      </c>
    </row>
    <row r="1220" spans="42:52">
      <c r="AP1220" s="1855">
        <f t="shared" si="244"/>
        <v>44694</v>
      </c>
      <c r="AQ1220" s="925" t="str">
        <f t="shared" si="246"/>
        <v>BMNT</v>
      </c>
      <c r="AR1220" s="1856">
        <f t="shared" si="245"/>
        <v>44694.229861111111</v>
      </c>
      <c r="AS1220" s="927" t="s">
        <v>1802</v>
      </c>
      <c r="AT1220" s="1856" t="str">
        <f t="shared" si="238"/>
        <v/>
      </c>
      <c r="AU1220" s="1856" t="str">
        <f t="shared" si="239"/>
        <v/>
      </c>
      <c r="AV1220" s="1856" t="str">
        <f t="shared" si="240"/>
        <v/>
      </c>
      <c r="AW1220" s="1856" t="str">
        <f t="shared" si="241"/>
        <v/>
      </c>
      <c r="AX1220" s="1856" t="str">
        <f t="shared" si="242"/>
        <v/>
      </c>
      <c r="AY1220" s="1856" t="str">
        <f t="shared" si="243"/>
        <v/>
      </c>
    </row>
    <row r="1221" spans="42:52">
      <c r="AP1221" s="1855">
        <f t="shared" si="244"/>
        <v>44694</v>
      </c>
      <c r="AQ1221" s="925" t="str">
        <f t="shared" si="246"/>
        <v>SR</v>
      </c>
      <c r="AR1221" s="1856">
        <f t="shared" si="245"/>
        <v>44694.275000000001</v>
      </c>
      <c r="AS1221" s="927" t="s">
        <v>1803</v>
      </c>
      <c r="AT1221" s="1856" t="str">
        <f t="shared" si="238"/>
        <v/>
      </c>
      <c r="AU1221" s="1856" t="str">
        <f t="shared" si="239"/>
        <v/>
      </c>
      <c r="AV1221" s="1856" t="str">
        <f t="shared" si="240"/>
        <v/>
      </c>
      <c r="AW1221" s="1856" t="str">
        <f t="shared" si="241"/>
        <v/>
      </c>
      <c r="AX1221" s="1856" t="str">
        <f t="shared" si="242"/>
        <v/>
      </c>
      <c r="AY1221" s="1856" t="str">
        <f t="shared" si="243"/>
        <v/>
      </c>
    </row>
    <row r="1222" spans="42:52">
      <c r="AP1222" s="1855">
        <f t="shared" si="244"/>
        <v>44694</v>
      </c>
      <c r="AQ1222" s="925" t="str">
        <f t="shared" si="246"/>
        <v>MR</v>
      </c>
      <c r="AR1222" s="1856">
        <f t="shared" si="245"/>
        <v>44694.754166666666</v>
      </c>
      <c r="AS1222" s="927" t="s">
        <v>1804</v>
      </c>
      <c r="AT1222" s="1856" t="str">
        <f t="shared" si="238"/>
        <v/>
      </c>
      <c r="AU1222" s="1856" t="str">
        <f t="shared" si="239"/>
        <v/>
      </c>
      <c r="AV1222" s="1856" t="str">
        <f t="shared" si="240"/>
        <v/>
      </c>
      <c r="AW1222" s="1856" t="str">
        <f t="shared" si="241"/>
        <v/>
      </c>
      <c r="AX1222" s="1856" t="str">
        <f t="shared" si="242"/>
        <v/>
      </c>
      <c r="AY1222" s="1856" t="str">
        <f t="shared" si="243"/>
        <v/>
      </c>
    </row>
    <row r="1223" spans="42:52">
      <c r="AP1223" s="1855">
        <f t="shared" si="244"/>
        <v>44694</v>
      </c>
      <c r="AQ1223" s="925" t="str">
        <f t="shared" si="246"/>
        <v>SS</v>
      </c>
      <c r="AR1223" s="1856">
        <f t="shared" si="245"/>
        <v>44694.864583333336</v>
      </c>
      <c r="AS1223" s="927" t="s">
        <v>1805</v>
      </c>
      <c r="AT1223" s="1856" t="str">
        <f t="shared" si="238"/>
        <v/>
      </c>
      <c r="AU1223" s="1856" t="str">
        <f t="shared" si="239"/>
        <v/>
      </c>
      <c r="AV1223" s="1856" t="str">
        <f t="shared" si="240"/>
        <v/>
      </c>
      <c r="AW1223" s="1856" t="str">
        <f t="shared" si="241"/>
        <v/>
      </c>
      <c r="AX1223" s="1856" t="str">
        <f t="shared" si="242"/>
        <v/>
      </c>
      <c r="AY1223" s="1856" t="str">
        <f t="shared" si="243"/>
        <v/>
      </c>
    </row>
    <row r="1224" spans="42:52">
      <c r="AP1224" s="1855">
        <f t="shared" si="244"/>
        <v>44694</v>
      </c>
      <c r="AQ1224" s="925" t="str">
        <f t="shared" si="246"/>
        <v>EENT</v>
      </c>
      <c r="AR1224" s="1856">
        <f t="shared" si="245"/>
        <v>44694.909722222219</v>
      </c>
      <c r="AS1224" s="927" t="s">
        <v>1806</v>
      </c>
      <c r="AT1224" s="1856" t="str">
        <f t="shared" si="238"/>
        <v/>
      </c>
      <c r="AU1224" s="1856" t="str">
        <f t="shared" si="239"/>
        <v/>
      </c>
      <c r="AV1224" s="1856" t="str">
        <f t="shared" si="240"/>
        <v/>
      </c>
      <c r="AW1224" s="1856" t="str">
        <f t="shared" si="241"/>
        <v/>
      </c>
      <c r="AX1224" s="1856" t="str">
        <f t="shared" si="242"/>
        <v/>
      </c>
      <c r="AY1224" s="1856" t="str">
        <f t="shared" si="243"/>
        <v/>
      </c>
    </row>
    <row r="1225" spans="42:52">
      <c r="AP1225" s="1855">
        <f t="shared" si="244"/>
        <v>44695</v>
      </c>
      <c r="AQ1225" s="925" t="str">
        <f t="shared" si="246"/>
        <v/>
      </c>
      <c r="AR1225" s="1856" t="str">
        <f t="shared" si="245"/>
        <v/>
      </c>
      <c r="AS1225" s="927">
        <v>14</v>
      </c>
      <c r="AT1225" s="1856">
        <f t="shared" si="238"/>
        <v>44695.229166666672</v>
      </c>
      <c r="AU1225" s="1856">
        <f t="shared" si="239"/>
        <v>44695.274305555555</v>
      </c>
      <c r="AV1225" s="1856">
        <f t="shared" si="240"/>
        <v>44695.864583333336</v>
      </c>
      <c r="AW1225" s="1856">
        <f t="shared" si="241"/>
        <v>44695.910416666666</v>
      </c>
      <c r="AX1225" s="1856">
        <f t="shared" si="242"/>
        <v>44695.804166666661</v>
      </c>
      <c r="AY1225" s="1856">
        <f t="shared" si="243"/>
        <v>44695.234722222223</v>
      </c>
      <c r="AZ1225" s="1853">
        <v>0.95</v>
      </c>
    </row>
    <row r="1226" spans="42:52">
      <c r="AP1226" s="1855">
        <f t="shared" si="244"/>
        <v>44695</v>
      </c>
      <c r="AQ1226" s="925" t="str">
        <f t="shared" si="246"/>
        <v/>
      </c>
      <c r="AR1226" s="1856" t="str">
        <f t="shared" si="245"/>
        <v/>
      </c>
      <c r="AS1226" s="927" t="s">
        <v>252</v>
      </c>
      <c r="AT1226" s="1856" t="str">
        <f t="shared" si="238"/>
        <v/>
      </c>
      <c r="AU1226" s="1856" t="str">
        <f t="shared" si="239"/>
        <v/>
      </c>
      <c r="AV1226" s="1856" t="str">
        <f t="shared" si="240"/>
        <v/>
      </c>
      <c r="AW1226" s="1856" t="str">
        <f t="shared" si="241"/>
        <v/>
      </c>
      <c r="AX1226" s="1856" t="str">
        <f t="shared" si="242"/>
        <v/>
      </c>
      <c r="AY1226" s="1856" t="str">
        <f t="shared" si="243"/>
        <v/>
      </c>
    </row>
    <row r="1227" spans="42:52">
      <c r="AP1227" s="1855">
        <f t="shared" si="244"/>
        <v>44695</v>
      </c>
      <c r="AQ1227" s="925" t="str">
        <f t="shared" si="246"/>
        <v/>
      </c>
      <c r="AR1227" s="1856" t="str">
        <f t="shared" si="245"/>
        <v/>
      </c>
      <c r="AT1227" s="1856" t="str">
        <f t="shared" si="238"/>
        <v/>
      </c>
      <c r="AU1227" s="1856" t="str">
        <f t="shared" si="239"/>
        <v/>
      </c>
      <c r="AV1227" s="1856" t="str">
        <f t="shared" si="240"/>
        <v/>
      </c>
      <c r="AW1227" s="1856" t="str">
        <f t="shared" si="241"/>
        <v/>
      </c>
      <c r="AX1227" s="1856" t="str">
        <f t="shared" si="242"/>
        <v/>
      </c>
      <c r="AY1227" s="1856" t="str">
        <f t="shared" si="243"/>
        <v/>
      </c>
    </row>
    <row r="1228" spans="42:52">
      <c r="AP1228" s="1855">
        <f t="shared" si="244"/>
        <v>44695</v>
      </c>
      <c r="AQ1228" s="925" t="str">
        <f t="shared" si="246"/>
        <v>BMNT</v>
      </c>
      <c r="AR1228" s="1856">
        <f t="shared" si="245"/>
        <v>44695.229166666672</v>
      </c>
      <c r="AS1228" s="927" t="s">
        <v>1807</v>
      </c>
      <c r="AT1228" s="1856" t="str">
        <f t="shared" si="238"/>
        <v/>
      </c>
      <c r="AU1228" s="1856" t="str">
        <f t="shared" si="239"/>
        <v/>
      </c>
      <c r="AV1228" s="1856" t="str">
        <f t="shared" si="240"/>
        <v/>
      </c>
      <c r="AW1228" s="1856" t="str">
        <f t="shared" si="241"/>
        <v/>
      </c>
      <c r="AX1228" s="1856" t="str">
        <f t="shared" si="242"/>
        <v/>
      </c>
      <c r="AY1228" s="1856" t="str">
        <f t="shared" si="243"/>
        <v/>
      </c>
    </row>
    <row r="1229" spans="42:52">
      <c r="AP1229" s="1855">
        <f t="shared" si="244"/>
        <v>44695</v>
      </c>
      <c r="AQ1229" s="925" t="str">
        <f t="shared" si="246"/>
        <v>MS</v>
      </c>
      <c r="AR1229" s="1856">
        <f t="shared" si="245"/>
        <v>44695.234722222223</v>
      </c>
      <c r="AS1229" s="927" t="s">
        <v>1808</v>
      </c>
      <c r="AT1229" s="1856" t="str">
        <f t="shared" si="238"/>
        <v/>
      </c>
      <c r="AU1229" s="1856" t="str">
        <f t="shared" si="239"/>
        <v/>
      </c>
      <c r="AV1229" s="1856" t="str">
        <f t="shared" si="240"/>
        <v/>
      </c>
      <c r="AW1229" s="1856" t="str">
        <f t="shared" si="241"/>
        <v/>
      </c>
      <c r="AX1229" s="1856" t="str">
        <f t="shared" si="242"/>
        <v/>
      </c>
      <c r="AY1229" s="1856" t="str">
        <f t="shared" si="243"/>
        <v/>
      </c>
    </row>
    <row r="1230" spans="42:52">
      <c r="AP1230" s="1855">
        <f t="shared" si="244"/>
        <v>44695</v>
      </c>
      <c r="AQ1230" s="925" t="str">
        <f t="shared" si="246"/>
        <v>SR</v>
      </c>
      <c r="AR1230" s="1856">
        <f t="shared" si="245"/>
        <v>44695.274305555555</v>
      </c>
      <c r="AS1230" s="927" t="s">
        <v>1809</v>
      </c>
      <c r="AT1230" s="1856" t="str">
        <f t="shared" si="238"/>
        <v/>
      </c>
      <c r="AU1230" s="1856" t="str">
        <f t="shared" si="239"/>
        <v/>
      </c>
      <c r="AV1230" s="1856" t="str">
        <f t="shared" si="240"/>
        <v/>
      </c>
      <c r="AW1230" s="1856" t="str">
        <f t="shared" si="241"/>
        <v/>
      </c>
      <c r="AX1230" s="1856" t="str">
        <f t="shared" si="242"/>
        <v/>
      </c>
      <c r="AY1230" s="1856" t="str">
        <f t="shared" si="243"/>
        <v/>
      </c>
    </row>
    <row r="1231" spans="42:52">
      <c r="AP1231" s="1855">
        <f t="shared" si="244"/>
        <v>44695</v>
      </c>
      <c r="AQ1231" s="925" t="str">
        <f t="shared" si="246"/>
        <v>MR</v>
      </c>
      <c r="AR1231" s="1856">
        <f t="shared" si="245"/>
        <v>44695.804166666661</v>
      </c>
      <c r="AS1231" s="927" t="s">
        <v>1810</v>
      </c>
      <c r="AT1231" s="1856" t="str">
        <f t="shared" si="238"/>
        <v/>
      </c>
      <c r="AU1231" s="1856" t="str">
        <f t="shared" si="239"/>
        <v/>
      </c>
      <c r="AV1231" s="1856" t="str">
        <f t="shared" si="240"/>
        <v/>
      </c>
      <c r="AW1231" s="1856" t="str">
        <f t="shared" si="241"/>
        <v/>
      </c>
      <c r="AX1231" s="1856" t="str">
        <f t="shared" si="242"/>
        <v/>
      </c>
      <c r="AY1231" s="1856" t="str">
        <f t="shared" si="243"/>
        <v/>
      </c>
    </row>
    <row r="1232" spans="42:52">
      <c r="AP1232" s="1855">
        <f t="shared" si="244"/>
        <v>44695</v>
      </c>
      <c r="AQ1232" s="925" t="str">
        <f t="shared" si="246"/>
        <v>SS</v>
      </c>
      <c r="AR1232" s="1856">
        <f t="shared" si="245"/>
        <v>44695.864583333336</v>
      </c>
      <c r="AS1232" s="927" t="s">
        <v>1805</v>
      </c>
      <c r="AT1232" s="1856" t="str">
        <f t="shared" si="238"/>
        <v/>
      </c>
      <c r="AU1232" s="1856" t="str">
        <f t="shared" si="239"/>
        <v/>
      </c>
      <c r="AV1232" s="1856" t="str">
        <f t="shared" si="240"/>
        <v/>
      </c>
      <c r="AW1232" s="1856" t="str">
        <f t="shared" si="241"/>
        <v/>
      </c>
      <c r="AX1232" s="1856" t="str">
        <f t="shared" si="242"/>
        <v/>
      </c>
      <c r="AY1232" s="1856" t="str">
        <f t="shared" si="243"/>
        <v/>
      </c>
    </row>
    <row r="1233" spans="42:52">
      <c r="AP1233" s="1855">
        <f t="shared" si="244"/>
        <v>44695</v>
      </c>
      <c r="AQ1233" s="925" t="str">
        <f t="shared" si="246"/>
        <v>EENT</v>
      </c>
      <c r="AR1233" s="1856">
        <f t="shared" si="245"/>
        <v>44695.910416666666</v>
      </c>
      <c r="AS1233" s="927" t="s">
        <v>1811</v>
      </c>
      <c r="AT1233" s="1856" t="str">
        <f t="shared" si="238"/>
        <v/>
      </c>
      <c r="AU1233" s="1856" t="str">
        <f t="shared" si="239"/>
        <v/>
      </c>
      <c r="AV1233" s="1856" t="str">
        <f t="shared" si="240"/>
        <v/>
      </c>
      <c r="AW1233" s="1856" t="str">
        <f t="shared" si="241"/>
        <v/>
      </c>
      <c r="AX1233" s="1856" t="str">
        <f t="shared" si="242"/>
        <v/>
      </c>
      <c r="AY1233" s="1856" t="str">
        <f t="shared" si="243"/>
        <v/>
      </c>
    </row>
    <row r="1234" spans="42:52">
      <c r="AP1234" s="1855">
        <f t="shared" si="244"/>
        <v>44696</v>
      </c>
      <c r="AQ1234" s="925" t="str">
        <f t="shared" si="246"/>
        <v/>
      </c>
      <c r="AR1234" s="1856" t="str">
        <f t="shared" si="245"/>
        <v/>
      </c>
      <c r="AS1234" s="927">
        <v>15</v>
      </c>
      <c r="AT1234" s="1856">
        <f t="shared" si="238"/>
        <v>44696.228472222225</v>
      </c>
      <c r="AU1234" s="1856">
        <f t="shared" si="239"/>
        <v>44696.273611111108</v>
      </c>
      <c r="AV1234" s="1856">
        <f t="shared" si="240"/>
        <v>44696.865277777782</v>
      </c>
      <c r="AW1234" s="1856">
        <f t="shared" si="241"/>
        <v>44696.911111111112</v>
      </c>
      <c r="AX1234" s="1856">
        <f t="shared" si="242"/>
        <v>44696.856944444444</v>
      </c>
      <c r="AY1234" s="1856">
        <f t="shared" si="243"/>
        <v>44696.256249999999</v>
      </c>
      <c r="AZ1234" s="1853">
        <v>0.99</v>
      </c>
    </row>
    <row r="1235" spans="42:52">
      <c r="AP1235" s="1855">
        <f t="shared" si="244"/>
        <v>44696</v>
      </c>
      <c r="AQ1235" s="925" t="str">
        <f t="shared" si="246"/>
        <v/>
      </c>
      <c r="AR1235" s="1856" t="str">
        <f t="shared" si="245"/>
        <v/>
      </c>
      <c r="AS1235" s="927" t="s">
        <v>252</v>
      </c>
      <c r="AT1235" s="1856" t="str">
        <f t="shared" si="238"/>
        <v/>
      </c>
      <c r="AU1235" s="1856" t="str">
        <f t="shared" si="239"/>
        <v/>
      </c>
      <c r="AV1235" s="1856" t="str">
        <f t="shared" si="240"/>
        <v/>
      </c>
      <c r="AW1235" s="1856" t="str">
        <f t="shared" si="241"/>
        <v/>
      </c>
      <c r="AX1235" s="1856" t="str">
        <f t="shared" si="242"/>
        <v/>
      </c>
      <c r="AY1235" s="1856" t="str">
        <f t="shared" si="243"/>
        <v/>
      </c>
    </row>
    <row r="1236" spans="42:52">
      <c r="AP1236" s="1855">
        <f t="shared" si="244"/>
        <v>44696</v>
      </c>
      <c r="AQ1236" s="925" t="str">
        <f t="shared" si="246"/>
        <v/>
      </c>
      <c r="AR1236" s="1856" t="str">
        <f t="shared" si="245"/>
        <v/>
      </c>
      <c r="AT1236" s="1856" t="str">
        <f t="shared" si="238"/>
        <v/>
      </c>
      <c r="AU1236" s="1856" t="str">
        <f t="shared" si="239"/>
        <v/>
      </c>
      <c r="AV1236" s="1856" t="str">
        <f t="shared" si="240"/>
        <v/>
      </c>
      <c r="AW1236" s="1856" t="str">
        <f t="shared" si="241"/>
        <v/>
      </c>
      <c r="AX1236" s="1856" t="str">
        <f t="shared" si="242"/>
        <v/>
      </c>
      <c r="AY1236" s="1856" t="str">
        <f t="shared" si="243"/>
        <v/>
      </c>
    </row>
    <row r="1237" spans="42:52">
      <c r="AP1237" s="1855">
        <f t="shared" si="244"/>
        <v>44696</v>
      </c>
      <c r="AQ1237" s="925" t="str">
        <f t="shared" si="246"/>
        <v>BMNT</v>
      </c>
      <c r="AR1237" s="1856">
        <f t="shared" si="245"/>
        <v>44696.228472222225</v>
      </c>
      <c r="AS1237" s="927" t="s">
        <v>1812</v>
      </c>
      <c r="AT1237" s="1856" t="str">
        <f t="shared" si="238"/>
        <v/>
      </c>
      <c r="AU1237" s="1856" t="str">
        <f t="shared" si="239"/>
        <v/>
      </c>
      <c r="AV1237" s="1856" t="str">
        <f t="shared" si="240"/>
        <v/>
      </c>
      <c r="AW1237" s="1856" t="str">
        <f t="shared" si="241"/>
        <v/>
      </c>
      <c r="AX1237" s="1856" t="str">
        <f t="shared" si="242"/>
        <v/>
      </c>
      <c r="AY1237" s="1856" t="str">
        <f t="shared" si="243"/>
        <v/>
      </c>
    </row>
    <row r="1238" spans="42:52">
      <c r="AP1238" s="1855">
        <f t="shared" si="244"/>
        <v>44696</v>
      </c>
      <c r="AQ1238" s="925" t="str">
        <f t="shared" si="246"/>
        <v>MS</v>
      </c>
      <c r="AR1238" s="1856">
        <f t="shared" si="245"/>
        <v>44696.256249999999</v>
      </c>
      <c r="AS1238" s="927" t="s">
        <v>1813</v>
      </c>
      <c r="AT1238" s="1856" t="str">
        <f t="shared" si="238"/>
        <v/>
      </c>
      <c r="AU1238" s="1856" t="str">
        <f t="shared" si="239"/>
        <v/>
      </c>
      <c r="AV1238" s="1856" t="str">
        <f t="shared" si="240"/>
        <v/>
      </c>
      <c r="AW1238" s="1856" t="str">
        <f t="shared" si="241"/>
        <v/>
      </c>
      <c r="AX1238" s="1856" t="str">
        <f t="shared" si="242"/>
        <v/>
      </c>
      <c r="AY1238" s="1856" t="str">
        <f t="shared" si="243"/>
        <v/>
      </c>
    </row>
    <row r="1239" spans="42:52">
      <c r="AP1239" s="1855">
        <f t="shared" si="244"/>
        <v>44696</v>
      </c>
      <c r="AQ1239" s="925" t="str">
        <f t="shared" si="246"/>
        <v>SR</v>
      </c>
      <c r="AR1239" s="1856">
        <f t="shared" si="245"/>
        <v>44696.273611111108</v>
      </c>
      <c r="AS1239" s="927" t="s">
        <v>1814</v>
      </c>
      <c r="AT1239" s="1856" t="str">
        <f t="shared" si="238"/>
        <v/>
      </c>
      <c r="AU1239" s="1856" t="str">
        <f t="shared" si="239"/>
        <v/>
      </c>
      <c r="AV1239" s="1856" t="str">
        <f t="shared" si="240"/>
        <v/>
      </c>
      <c r="AW1239" s="1856" t="str">
        <f t="shared" si="241"/>
        <v/>
      </c>
      <c r="AX1239" s="1856" t="str">
        <f t="shared" si="242"/>
        <v/>
      </c>
      <c r="AY1239" s="1856" t="str">
        <f t="shared" si="243"/>
        <v/>
      </c>
    </row>
    <row r="1240" spans="42:52">
      <c r="AP1240" s="1855">
        <f t="shared" si="244"/>
        <v>44696</v>
      </c>
      <c r="AQ1240" s="925" t="str">
        <f t="shared" si="246"/>
        <v>MR</v>
      </c>
      <c r="AR1240" s="1856">
        <f t="shared" si="245"/>
        <v>44696.856944444444</v>
      </c>
      <c r="AS1240" s="927" t="s">
        <v>1815</v>
      </c>
      <c r="AT1240" s="1856" t="str">
        <f t="shared" si="238"/>
        <v/>
      </c>
      <c r="AU1240" s="1856" t="str">
        <f t="shared" si="239"/>
        <v/>
      </c>
      <c r="AV1240" s="1856" t="str">
        <f t="shared" si="240"/>
        <v/>
      </c>
      <c r="AW1240" s="1856" t="str">
        <f t="shared" si="241"/>
        <v/>
      </c>
      <c r="AX1240" s="1856" t="str">
        <f t="shared" si="242"/>
        <v/>
      </c>
      <c r="AY1240" s="1856" t="str">
        <f t="shared" si="243"/>
        <v/>
      </c>
    </row>
    <row r="1241" spans="42:52">
      <c r="AP1241" s="1855">
        <f t="shared" si="244"/>
        <v>44696</v>
      </c>
      <c r="AQ1241" s="925" t="str">
        <f t="shared" si="246"/>
        <v>SS</v>
      </c>
      <c r="AR1241" s="1856">
        <f t="shared" si="245"/>
        <v>44696.865277777782</v>
      </c>
      <c r="AS1241" s="927" t="s">
        <v>1816</v>
      </c>
      <c r="AT1241" s="1856" t="str">
        <f t="shared" si="238"/>
        <v/>
      </c>
      <c r="AU1241" s="1856" t="str">
        <f t="shared" si="239"/>
        <v/>
      </c>
      <c r="AV1241" s="1856" t="str">
        <f t="shared" si="240"/>
        <v/>
      </c>
      <c r="AW1241" s="1856" t="str">
        <f t="shared" si="241"/>
        <v/>
      </c>
      <c r="AX1241" s="1856" t="str">
        <f t="shared" si="242"/>
        <v/>
      </c>
      <c r="AY1241" s="1856" t="str">
        <f t="shared" si="243"/>
        <v/>
      </c>
    </row>
    <row r="1242" spans="42:52">
      <c r="AP1242" s="1855">
        <f t="shared" si="244"/>
        <v>44696</v>
      </c>
      <c r="AQ1242" s="925" t="str">
        <f t="shared" si="246"/>
        <v>EENT</v>
      </c>
      <c r="AR1242" s="1856">
        <f t="shared" si="245"/>
        <v>44696.911111111112</v>
      </c>
      <c r="AS1242" s="927" t="s">
        <v>1817</v>
      </c>
      <c r="AT1242" s="1856" t="str">
        <f t="shared" si="238"/>
        <v/>
      </c>
      <c r="AU1242" s="1856" t="str">
        <f t="shared" si="239"/>
        <v/>
      </c>
      <c r="AV1242" s="1856" t="str">
        <f t="shared" si="240"/>
        <v/>
      </c>
      <c r="AW1242" s="1856" t="str">
        <f t="shared" si="241"/>
        <v/>
      </c>
      <c r="AX1242" s="1856" t="str">
        <f t="shared" si="242"/>
        <v/>
      </c>
      <c r="AY1242" s="1856" t="str">
        <f t="shared" si="243"/>
        <v/>
      </c>
    </row>
    <row r="1243" spans="42:52">
      <c r="AP1243" s="1855">
        <f t="shared" si="244"/>
        <v>44697</v>
      </c>
      <c r="AQ1243" s="925" t="str">
        <f t="shared" si="246"/>
        <v/>
      </c>
      <c r="AR1243" s="1856" t="str">
        <f t="shared" si="245"/>
        <v/>
      </c>
      <c r="AS1243" s="927">
        <v>16</v>
      </c>
      <c r="AT1243" s="1856">
        <f t="shared" si="238"/>
        <v>44697.227083333339</v>
      </c>
      <c r="AU1243" s="1856">
        <f t="shared" si="239"/>
        <v>44697.272916666669</v>
      </c>
      <c r="AV1243" s="1856">
        <f t="shared" si="240"/>
        <v>44697.865972222222</v>
      </c>
      <c r="AW1243" s="1856">
        <f t="shared" si="241"/>
        <v>44697.911805555559</v>
      </c>
      <c r="AX1243" s="1856">
        <f t="shared" si="242"/>
        <v>44697.911111111112</v>
      </c>
      <c r="AY1243" s="1856">
        <f t="shared" si="243"/>
        <v>44697.282638888886</v>
      </c>
      <c r="AZ1243" s="1853">
        <v>1</v>
      </c>
    </row>
    <row r="1244" spans="42:52">
      <c r="AP1244" s="1855">
        <f t="shared" si="244"/>
        <v>44697</v>
      </c>
      <c r="AQ1244" s="925" t="str">
        <f t="shared" si="246"/>
        <v/>
      </c>
      <c r="AR1244" s="1856" t="str">
        <f t="shared" si="245"/>
        <v/>
      </c>
      <c r="AS1244" s="927" t="s">
        <v>252</v>
      </c>
      <c r="AT1244" s="1856" t="str">
        <f t="shared" ref="AT1244:AT1307" si="247">IF(ISNUMBER(AS1244),INDEX(AR1245:AR1255,MATCH($AT$27,AQ1245:AQ1255,0)),"")</f>
        <v/>
      </c>
      <c r="AU1244" s="1856" t="str">
        <f t="shared" ref="AU1244:AU1307" si="248">IF(AT1244="","",INDEX(AR1245:AR1255,MATCH($AU$27,AQ1245:AQ1255,0)))</f>
        <v/>
      </c>
      <c r="AV1244" s="1856" t="str">
        <f t="shared" ref="AV1244:AV1307" si="249">IF(AT1244="","",INDEX(AR1245:AR1255,MATCH($AV$27,AQ1245:AQ1255,0)))</f>
        <v/>
      </c>
      <c r="AW1244" s="1856" t="str">
        <f t="shared" ref="AW1244:AW1307" si="250">IF(AT1244="","",INDEX(AR1245:AR1255,MATCH($AW$27,AQ1245:AQ1255,0)))</f>
        <v/>
      </c>
      <c r="AX1244" s="1856" t="str">
        <f t="shared" ref="AX1244:AX1307" si="251">IF(AT1244="","",INDEX(AR1245:AR1255,MATCH($AX$27,AQ1245:AQ1255,0)))</f>
        <v/>
      </c>
      <c r="AY1244" s="1856" t="str">
        <f t="shared" ref="AY1244:AY1307" si="252">IF(AT1244="","",INDEX(AR1245:AR1255,MATCH($AY$27,AQ1245:AQ1255,0)))</f>
        <v/>
      </c>
    </row>
    <row r="1245" spans="42:52">
      <c r="AP1245" s="1855">
        <f t="shared" si="244"/>
        <v>44697</v>
      </c>
      <c r="AQ1245" s="925" t="str">
        <f t="shared" si="246"/>
        <v/>
      </c>
      <c r="AR1245" s="1856" t="str">
        <f t="shared" si="245"/>
        <v/>
      </c>
      <c r="AT1245" s="1856" t="str">
        <f t="shared" si="247"/>
        <v/>
      </c>
      <c r="AU1245" s="1856" t="str">
        <f t="shared" si="248"/>
        <v/>
      </c>
      <c r="AV1245" s="1856" t="str">
        <f t="shared" si="249"/>
        <v/>
      </c>
      <c r="AW1245" s="1856" t="str">
        <f t="shared" si="250"/>
        <v/>
      </c>
      <c r="AX1245" s="1856" t="str">
        <f t="shared" si="251"/>
        <v/>
      </c>
      <c r="AY1245" s="1856" t="str">
        <f t="shared" si="252"/>
        <v/>
      </c>
    </row>
    <row r="1246" spans="42:52">
      <c r="AP1246" s="1855">
        <f t="shared" si="244"/>
        <v>44697</v>
      </c>
      <c r="AQ1246" s="925" t="str">
        <f t="shared" si="246"/>
        <v>BMNT</v>
      </c>
      <c r="AR1246" s="1856">
        <f t="shared" si="245"/>
        <v>44697.227083333339</v>
      </c>
      <c r="AS1246" s="927" t="s">
        <v>1818</v>
      </c>
      <c r="AT1246" s="1856" t="str">
        <f t="shared" si="247"/>
        <v/>
      </c>
      <c r="AU1246" s="1856" t="str">
        <f t="shared" si="248"/>
        <v/>
      </c>
      <c r="AV1246" s="1856" t="str">
        <f t="shared" si="249"/>
        <v/>
      </c>
      <c r="AW1246" s="1856" t="str">
        <f t="shared" si="250"/>
        <v/>
      </c>
      <c r="AX1246" s="1856" t="str">
        <f t="shared" si="251"/>
        <v/>
      </c>
      <c r="AY1246" s="1856" t="str">
        <f t="shared" si="252"/>
        <v/>
      </c>
    </row>
    <row r="1247" spans="42:52">
      <c r="AP1247" s="1855">
        <f t="shared" si="244"/>
        <v>44697</v>
      </c>
      <c r="AQ1247" s="925" t="str">
        <f t="shared" si="246"/>
        <v>SR</v>
      </c>
      <c r="AR1247" s="1856">
        <f t="shared" si="245"/>
        <v>44697.272916666669</v>
      </c>
      <c r="AS1247" s="927" t="s">
        <v>1819</v>
      </c>
      <c r="AT1247" s="1856" t="str">
        <f t="shared" si="247"/>
        <v/>
      </c>
      <c r="AU1247" s="1856" t="str">
        <f t="shared" si="248"/>
        <v/>
      </c>
      <c r="AV1247" s="1856" t="str">
        <f t="shared" si="249"/>
        <v/>
      </c>
      <c r="AW1247" s="1856" t="str">
        <f t="shared" si="250"/>
        <v/>
      </c>
      <c r="AX1247" s="1856" t="str">
        <f t="shared" si="251"/>
        <v/>
      </c>
      <c r="AY1247" s="1856" t="str">
        <f t="shared" si="252"/>
        <v/>
      </c>
    </row>
    <row r="1248" spans="42:52">
      <c r="AP1248" s="1855">
        <f t="shared" si="244"/>
        <v>44697</v>
      </c>
      <c r="AQ1248" s="925" t="str">
        <f t="shared" si="246"/>
        <v>MS</v>
      </c>
      <c r="AR1248" s="1856">
        <f t="shared" si="245"/>
        <v>44697.282638888886</v>
      </c>
      <c r="AS1248" s="927" t="s">
        <v>1820</v>
      </c>
      <c r="AT1248" s="1856" t="str">
        <f t="shared" si="247"/>
        <v/>
      </c>
      <c r="AU1248" s="1856" t="str">
        <f t="shared" si="248"/>
        <v/>
      </c>
      <c r="AV1248" s="1856" t="str">
        <f t="shared" si="249"/>
        <v/>
      </c>
      <c r="AW1248" s="1856" t="str">
        <f t="shared" si="250"/>
        <v/>
      </c>
      <c r="AX1248" s="1856" t="str">
        <f t="shared" si="251"/>
        <v/>
      </c>
      <c r="AY1248" s="1856" t="str">
        <f t="shared" si="252"/>
        <v/>
      </c>
    </row>
    <row r="1249" spans="42:52">
      <c r="AP1249" s="1855">
        <f t="shared" si="244"/>
        <v>44697</v>
      </c>
      <c r="AQ1249" s="925" t="str">
        <f t="shared" si="246"/>
        <v>SS</v>
      </c>
      <c r="AR1249" s="1856">
        <f t="shared" si="245"/>
        <v>44697.865972222222</v>
      </c>
      <c r="AS1249" s="927" t="s">
        <v>1821</v>
      </c>
      <c r="AT1249" s="1856" t="str">
        <f t="shared" si="247"/>
        <v/>
      </c>
      <c r="AU1249" s="1856" t="str">
        <f t="shared" si="248"/>
        <v/>
      </c>
      <c r="AV1249" s="1856" t="str">
        <f t="shared" si="249"/>
        <v/>
      </c>
      <c r="AW1249" s="1856" t="str">
        <f t="shared" si="250"/>
        <v/>
      </c>
      <c r="AX1249" s="1856" t="str">
        <f t="shared" si="251"/>
        <v/>
      </c>
      <c r="AY1249" s="1856" t="str">
        <f t="shared" si="252"/>
        <v/>
      </c>
    </row>
    <row r="1250" spans="42:52">
      <c r="AP1250" s="1855">
        <f t="shared" si="244"/>
        <v>44697</v>
      </c>
      <c r="AQ1250" s="925" t="str">
        <f t="shared" si="246"/>
        <v>MR</v>
      </c>
      <c r="AR1250" s="1856">
        <f t="shared" si="245"/>
        <v>44697.911111111112</v>
      </c>
      <c r="AS1250" s="927" t="s">
        <v>1822</v>
      </c>
      <c r="AT1250" s="1856" t="str">
        <f t="shared" si="247"/>
        <v/>
      </c>
      <c r="AU1250" s="1856" t="str">
        <f t="shared" si="248"/>
        <v/>
      </c>
      <c r="AV1250" s="1856" t="str">
        <f t="shared" si="249"/>
        <v/>
      </c>
      <c r="AW1250" s="1856" t="str">
        <f t="shared" si="250"/>
        <v/>
      </c>
      <c r="AX1250" s="1856" t="str">
        <f t="shared" si="251"/>
        <v/>
      </c>
      <c r="AY1250" s="1856" t="str">
        <f t="shared" si="252"/>
        <v/>
      </c>
    </row>
    <row r="1251" spans="42:52">
      <c r="AP1251" s="1855">
        <f t="shared" si="244"/>
        <v>44697</v>
      </c>
      <c r="AQ1251" s="925" t="str">
        <f t="shared" si="246"/>
        <v>EENT</v>
      </c>
      <c r="AR1251" s="1856">
        <f t="shared" si="245"/>
        <v>44697.911805555559</v>
      </c>
      <c r="AS1251" s="927" t="s">
        <v>1823</v>
      </c>
      <c r="AT1251" s="1856" t="str">
        <f t="shared" si="247"/>
        <v/>
      </c>
      <c r="AU1251" s="1856" t="str">
        <f t="shared" si="248"/>
        <v/>
      </c>
      <c r="AV1251" s="1856" t="str">
        <f t="shared" si="249"/>
        <v/>
      </c>
      <c r="AW1251" s="1856" t="str">
        <f t="shared" si="250"/>
        <v/>
      </c>
      <c r="AX1251" s="1856" t="str">
        <f t="shared" si="251"/>
        <v/>
      </c>
      <c r="AY1251" s="1856" t="str">
        <f t="shared" si="252"/>
        <v/>
      </c>
    </row>
    <row r="1252" spans="42:52">
      <c r="AP1252" s="1855">
        <f t="shared" si="244"/>
        <v>44698</v>
      </c>
      <c r="AQ1252" s="925" t="str">
        <f t="shared" si="246"/>
        <v/>
      </c>
      <c r="AR1252" s="1856" t="str">
        <f t="shared" si="245"/>
        <v/>
      </c>
      <c r="AS1252" s="927">
        <v>17</v>
      </c>
      <c r="AT1252" s="1856">
        <f t="shared" si="247"/>
        <v>44698.226388888892</v>
      </c>
      <c r="AU1252" s="1856">
        <f t="shared" si="248"/>
        <v>44698.272222222222</v>
      </c>
      <c r="AV1252" s="1856">
        <f t="shared" si="249"/>
        <v>44698.866666666669</v>
      </c>
      <c r="AW1252" s="1856">
        <f t="shared" si="250"/>
        <v>44698.912499999999</v>
      </c>
      <c r="AX1252" s="1856">
        <f t="shared" si="251"/>
        <v>44698.963194444448</v>
      </c>
      <c r="AY1252" s="1856">
        <f t="shared" si="252"/>
        <v>44698.313888888886</v>
      </c>
      <c r="AZ1252" s="1853">
        <v>0.98</v>
      </c>
    </row>
    <row r="1253" spans="42:52">
      <c r="AP1253" s="1855">
        <f t="shared" ref="AP1253:AP1316" si="253">IF(ISNUMBER(AS1253),AP1252+1,AP1252)</f>
        <v>44698</v>
      </c>
      <c r="AQ1253" s="925" t="str">
        <f t="shared" si="246"/>
        <v/>
      </c>
      <c r="AR1253" s="1856" t="str">
        <f t="shared" si="245"/>
        <v/>
      </c>
      <c r="AS1253" s="927" t="s">
        <v>252</v>
      </c>
      <c r="AT1253" s="1856" t="str">
        <f t="shared" si="247"/>
        <v/>
      </c>
      <c r="AU1253" s="1856" t="str">
        <f t="shared" si="248"/>
        <v/>
      </c>
      <c r="AV1253" s="1856" t="str">
        <f t="shared" si="249"/>
        <v/>
      </c>
      <c r="AW1253" s="1856" t="str">
        <f t="shared" si="250"/>
        <v/>
      </c>
      <c r="AX1253" s="1856" t="str">
        <f t="shared" si="251"/>
        <v/>
      </c>
      <c r="AY1253" s="1856" t="str">
        <f t="shared" si="252"/>
        <v/>
      </c>
    </row>
    <row r="1254" spans="42:52">
      <c r="AP1254" s="1855">
        <f t="shared" si="253"/>
        <v>44698</v>
      </c>
      <c r="AQ1254" s="925" t="str">
        <f t="shared" si="246"/>
        <v/>
      </c>
      <c r="AR1254" s="1856" t="str">
        <f t="shared" si="245"/>
        <v/>
      </c>
      <c r="AT1254" s="1856" t="str">
        <f t="shared" si="247"/>
        <v/>
      </c>
      <c r="AU1254" s="1856" t="str">
        <f t="shared" si="248"/>
        <v/>
      </c>
      <c r="AV1254" s="1856" t="str">
        <f t="shared" si="249"/>
        <v/>
      </c>
      <c r="AW1254" s="1856" t="str">
        <f t="shared" si="250"/>
        <v/>
      </c>
      <c r="AX1254" s="1856" t="str">
        <f t="shared" si="251"/>
        <v/>
      </c>
      <c r="AY1254" s="1856" t="str">
        <f t="shared" si="252"/>
        <v/>
      </c>
    </row>
    <row r="1255" spans="42:52">
      <c r="AP1255" s="1855">
        <f t="shared" si="253"/>
        <v>44698</v>
      </c>
      <c r="AQ1255" s="925" t="str">
        <f t="shared" si="246"/>
        <v>BMNT</v>
      </c>
      <c r="AR1255" s="1856">
        <f t="shared" si="245"/>
        <v>44698.226388888892</v>
      </c>
      <c r="AS1255" s="927" t="s">
        <v>1824</v>
      </c>
      <c r="AT1255" s="1856" t="str">
        <f t="shared" si="247"/>
        <v/>
      </c>
      <c r="AU1255" s="1856" t="str">
        <f t="shared" si="248"/>
        <v/>
      </c>
      <c r="AV1255" s="1856" t="str">
        <f t="shared" si="249"/>
        <v/>
      </c>
      <c r="AW1255" s="1856" t="str">
        <f t="shared" si="250"/>
        <v/>
      </c>
      <c r="AX1255" s="1856" t="str">
        <f t="shared" si="251"/>
        <v/>
      </c>
      <c r="AY1255" s="1856" t="str">
        <f t="shared" si="252"/>
        <v/>
      </c>
    </row>
    <row r="1256" spans="42:52">
      <c r="AP1256" s="1855">
        <f t="shared" si="253"/>
        <v>44698</v>
      </c>
      <c r="AQ1256" s="925" t="str">
        <f t="shared" si="246"/>
        <v>SR</v>
      </c>
      <c r="AR1256" s="1856">
        <f t="shared" si="245"/>
        <v>44698.272222222222</v>
      </c>
      <c r="AS1256" s="927" t="s">
        <v>1825</v>
      </c>
      <c r="AT1256" s="1856" t="str">
        <f t="shared" si="247"/>
        <v/>
      </c>
      <c r="AU1256" s="1856" t="str">
        <f t="shared" si="248"/>
        <v/>
      </c>
      <c r="AV1256" s="1856" t="str">
        <f t="shared" si="249"/>
        <v/>
      </c>
      <c r="AW1256" s="1856" t="str">
        <f t="shared" si="250"/>
        <v/>
      </c>
      <c r="AX1256" s="1856" t="str">
        <f t="shared" si="251"/>
        <v/>
      </c>
      <c r="AY1256" s="1856" t="str">
        <f t="shared" si="252"/>
        <v/>
      </c>
    </row>
    <row r="1257" spans="42:52">
      <c r="AP1257" s="1855">
        <f t="shared" si="253"/>
        <v>44698</v>
      </c>
      <c r="AQ1257" s="925" t="str">
        <f t="shared" si="246"/>
        <v>MS</v>
      </c>
      <c r="AR1257" s="1856">
        <f t="shared" ref="AR1257:AR1320" si="254">IF(NOT(ISNUMBER(FIND(":",AS1257))),"",IF(ISNUMBER(FIND(" none",AS1257)),"NONE",AP1257+LEFT(RIGHT(AS1257,5),2)/24+RIGHT(AS1257,2)/1440))</f>
        <v>44698.313888888886</v>
      </c>
      <c r="AS1257" s="927" t="s">
        <v>1826</v>
      </c>
      <c r="AT1257" s="1856" t="str">
        <f t="shared" si="247"/>
        <v/>
      </c>
      <c r="AU1257" s="1856" t="str">
        <f t="shared" si="248"/>
        <v/>
      </c>
      <c r="AV1257" s="1856" t="str">
        <f t="shared" si="249"/>
        <v/>
      </c>
      <c r="AW1257" s="1856" t="str">
        <f t="shared" si="250"/>
        <v/>
      </c>
      <c r="AX1257" s="1856" t="str">
        <f t="shared" si="251"/>
        <v/>
      </c>
      <c r="AY1257" s="1856" t="str">
        <f t="shared" si="252"/>
        <v/>
      </c>
    </row>
    <row r="1258" spans="42:52">
      <c r="AP1258" s="1855">
        <f t="shared" si="253"/>
        <v>44698</v>
      </c>
      <c r="AQ1258" s="925" t="str">
        <f t="shared" si="246"/>
        <v>SS</v>
      </c>
      <c r="AR1258" s="1856">
        <f t="shared" si="254"/>
        <v>44698.866666666669</v>
      </c>
      <c r="AS1258" s="927" t="s">
        <v>1827</v>
      </c>
      <c r="AT1258" s="1856" t="str">
        <f t="shared" si="247"/>
        <v/>
      </c>
      <c r="AU1258" s="1856" t="str">
        <f t="shared" si="248"/>
        <v/>
      </c>
      <c r="AV1258" s="1856" t="str">
        <f t="shared" si="249"/>
        <v/>
      </c>
      <c r="AW1258" s="1856" t="str">
        <f t="shared" si="250"/>
        <v/>
      </c>
      <c r="AX1258" s="1856" t="str">
        <f t="shared" si="251"/>
        <v/>
      </c>
      <c r="AY1258" s="1856" t="str">
        <f t="shared" si="252"/>
        <v/>
      </c>
    </row>
    <row r="1259" spans="42:52">
      <c r="AP1259" s="1855">
        <f t="shared" si="253"/>
        <v>44698</v>
      </c>
      <c r="AQ1259" s="925" t="str">
        <f t="shared" si="246"/>
        <v>EENT</v>
      </c>
      <c r="AR1259" s="1856">
        <f t="shared" si="254"/>
        <v>44698.912499999999</v>
      </c>
      <c r="AS1259" s="927" t="s">
        <v>1828</v>
      </c>
      <c r="AT1259" s="1856" t="str">
        <f t="shared" si="247"/>
        <v/>
      </c>
      <c r="AU1259" s="1856" t="str">
        <f t="shared" si="248"/>
        <v/>
      </c>
      <c r="AV1259" s="1856" t="str">
        <f t="shared" si="249"/>
        <v/>
      </c>
      <c r="AW1259" s="1856" t="str">
        <f t="shared" si="250"/>
        <v/>
      </c>
      <c r="AX1259" s="1856" t="str">
        <f t="shared" si="251"/>
        <v/>
      </c>
      <c r="AY1259" s="1856" t="str">
        <f t="shared" si="252"/>
        <v/>
      </c>
    </row>
    <row r="1260" spans="42:52">
      <c r="AP1260" s="1855">
        <f t="shared" si="253"/>
        <v>44698</v>
      </c>
      <c r="AQ1260" s="925" t="str">
        <f t="shared" si="246"/>
        <v>MR</v>
      </c>
      <c r="AR1260" s="1856">
        <f t="shared" si="254"/>
        <v>44698.963194444448</v>
      </c>
      <c r="AS1260" s="927" t="s">
        <v>1829</v>
      </c>
      <c r="AT1260" s="1856" t="str">
        <f t="shared" si="247"/>
        <v/>
      </c>
      <c r="AU1260" s="1856" t="str">
        <f t="shared" si="248"/>
        <v/>
      </c>
      <c r="AV1260" s="1856" t="str">
        <f t="shared" si="249"/>
        <v/>
      </c>
      <c r="AW1260" s="1856" t="str">
        <f t="shared" si="250"/>
        <v/>
      </c>
      <c r="AX1260" s="1856" t="str">
        <f t="shared" si="251"/>
        <v/>
      </c>
      <c r="AY1260" s="1856" t="str">
        <f t="shared" si="252"/>
        <v/>
      </c>
    </row>
    <row r="1261" spans="42:52">
      <c r="AP1261" s="1855">
        <f t="shared" si="253"/>
        <v>44699</v>
      </c>
      <c r="AQ1261" s="925" t="str">
        <f t="shared" si="246"/>
        <v/>
      </c>
      <c r="AR1261" s="1856" t="str">
        <f t="shared" si="254"/>
        <v/>
      </c>
      <c r="AS1261" s="927">
        <v>18</v>
      </c>
      <c r="AT1261" s="1856">
        <f t="shared" si="247"/>
        <v>44699.225694444445</v>
      </c>
      <c r="AU1261" s="1856">
        <f t="shared" si="248"/>
        <v>44699.272222222222</v>
      </c>
      <c r="AV1261" s="1856">
        <f t="shared" si="249"/>
        <v>44699.867361111115</v>
      </c>
      <c r="AW1261" s="1856">
        <f t="shared" si="250"/>
        <v>44699.913194444445</v>
      </c>
      <c r="AX1261" s="1856" t="str">
        <f t="shared" si="251"/>
        <v>NONE</v>
      </c>
      <c r="AY1261" s="1856">
        <f t="shared" si="252"/>
        <v>44699.352777777778</v>
      </c>
      <c r="AZ1261" s="1853">
        <v>0.94</v>
      </c>
    </row>
    <row r="1262" spans="42:52">
      <c r="AP1262" s="1855">
        <f t="shared" si="253"/>
        <v>44699</v>
      </c>
      <c r="AQ1262" s="925" t="str">
        <f t="shared" si="246"/>
        <v/>
      </c>
      <c r="AR1262" s="1856" t="str">
        <f t="shared" si="254"/>
        <v/>
      </c>
      <c r="AS1262" s="927" t="s">
        <v>252</v>
      </c>
      <c r="AT1262" s="1856" t="str">
        <f t="shared" si="247"/>
        <v/>
      </c>
      <c r="AU1262" s="1856" t="str">
        <f t="shared" si="248"/>
        <v/>
      </c>
      <c r="AV1262" s="1856" t="str">
        <f t="shared" si="249"/>
        <v/>
      </c>
      <c r="AW1262" s="1856" t="str">
        <f t="shared" si="250"/>
        <v/>
      </c>
      <c r="AX1262" s="1856" t="str">
        <f t="shared" si="251"/>
        <v/>
      </c>
      <c r="AY1262" s="1856" t="str">
        <f t="shared" si="252"/>
        <v/>
      </c>
    </row>
    <row r="1263" spans="42:52">
      <c r="AP1263" s="1855">
        <f t="shared" si="253"/>
        <v>44699</v>
      </c>
      <c r="AQ1263" s="925" t="str">
        <f t="shared" si="246"/>
        <v/>
      </c>
      <c r="AR1263" s="1856" t="str">
        <f t="shared" si="254"/>
        <v/>
      </c>
      <c r="AT1263" s="1856" t="str">
        <f t="shared" si="247"/>
        <v/>
      </c>
      <c r="AU1263" s="1856" t="str">
        <f t="shared" si="248"/>
        <v/>
      </c>
      <c r="AV1263" s="1856" t="str">
        <f t="shared" si="249"/>
        <v/>
      </c>
      <c r="AW1263" s="1856" t="str">
        <f t="shared" si="250"/>
        <v/>
      </c>
      <c r="AX1263" s="1856" t="str">
        <f t="shared" si="251"/>
        <v/>
      </c>
      <c r="AY1263" s="1856" t="str">
        <f t="shared" si="252"/>
        <v/>
      </c>
    </row>
    <row r="1264" spans="42:52">
      <c r="AP1264" s="1855">
        <f t="shared" si="253"/>
        <v>44699</v>
      </c>
      <c r="AQ1264" s="925" t="str">
        <f t="shared" si="246"/>
        <v>BMNT</v>
      </c>
      <c r="AR1264" s="1856">
        <f t="shared" si="254"/>
        <v>44699.225694444445</v>
      </c>
      <c r="AS1264" s="927" t="s">
        <v>1830</v>
      </c>
      <c r="AT1264" s="1856" t="str">
        <f t="shared" si="247"/>
        <v/>
      </c>
      <c r="AU1264" s="1856" t="str">
        <f t="shared" si="248"/>
        <v/>
      </c>
      <c r="AV1264" s="1856" t="str">
        <f t="shared" si="249"/>
        <v/>
      </c>
      <c r="AW1264" s="1856" t="str">
        <f t="shared" si="250"/>
        <v/>
      </c>
      <c r="AX1264" s="1856" t="str">
        <f t="shared" si="251"/>
        <v/>
      </c>
      <c r="AY1264" s="1856" t="str">
        <f t="shared" si="252"/>
        <v/>
      </c>
    </row>
    <row r="1265" spans="42:52">
      <c r="AP1265" s="1855">
        <f t="shared" si="253"/>
        <v>44699</v>
      </c>
      <c r="AQ1265" s="925" t="str">
        <f t="shared" si="246"/>
        <v>SR</v>
      </c>
      <c r="AR1265" s="1856">
        <f t="shared" si="254"/>
        <v>44699.272222222222</v>
      </c>
      <c r="AS1265" s="927" t="s">
        <v>1825</v>
      </c>
      <c r="AT1265" s="1856" t="str">
        <f t="shared" si="247"/>
        <v/>
      </c>
      <c r="AU1265" s="1856" t="str">
        <f t="shared" si="248"/>
        <v/>
      </c>
      <c r="AV1265" s="1856" t="str">
        <f t="shared" si="249"/>
        <v/>
      </c>
      <c r="AW1265" s="1856" t="str">
        <f t="shared" si="250"/>
        <v/>
      </c>
      <c r="AX1265" s="1856" t="str">
        <f t="shared" si="251"/>
        <v/>
      </c>
      <c r="AY1265" s="1856" t="str">
        <f t="shared" si="252"/>
        <v/>
      </c>
    </row>
    <row r="1266" spans="42:52">
      <c r="AP1266" s="1855">
        <f t="shared" si="253"/>
        <v>44699</v>
      </c>
      <c r="AQ1266" s="925" t="str">
        <f t="shared" si="246"/>
        <v>MS</v>
      </c>
      <c r="AR1266" s="1856">
        <f t="shared" si="254"/>
        <v>44699.352777777778</v>
      </c>
      <c r="AS1266" s="927" t="s">
        <v>1831</v>
      </c>
      <c r="AT1266" s="1856" t="str">
        <f t="shared" si="247"/>
        <v/>
      </c>
      <c r="AU1266" s="1856" t="str">
        <f t="shared" si="248"/>
        <v/>
      </c>
      <c r="AV1266" s="1856" t="str">
        <f t="shared" si="249"/>
        <v/>
      </c>
      <c r="AW1266" s="1856" t="str">
        <f t="shared" si="250"/>
        <v/>
      </c>
      <c r="AX1266" s="1856" t="str">
        <f t="shared" si="251"/>
        <v/>
      </c>
      <c r="AY1266" s="1856" t="str">
        <f t="shared" si="252"/>
        <v/>
      </c>
    </row>
    <row r="1267" spans="42:52">
      <c r="AP1267" s="1855">
        <f t="shared" si="253"/>
        <v>44699</v>
      </c>
      <c r="AQ1267" s="925" t="str">
        <f t="shared" si="246"/>
        <v>SS</v>
      </c>
      <c r="AR1267" s="1856">
        <f t="shared" si="254"/>
        <v>44699.867361111115</v>
      </c>
      <c r="AS1267" s="927" t="s">
        <v>1832</v>
      </c>
      <c r="AT1267" s="1856" t="str">
        <f t="shared" si="247"/>
        <v/>
      </c>
      <c r="AU1267" s="1856" t="str">
        <f t="shared" si="248"/>
        <v/>
      </c>
      <c r="AV1267" s="1856" t="str">
        <f t="shared" si="249"/>
        <v/>
      </c>
      <c r="AW1267" s="1856" t="str">
        <f t="shared" si="250"/>
        <v/>
      </c>
      <c r="AX1267" s="1856" t="str">
        <f t="shared" si="251"/>
        <v/>
      </c>
      <c r="AY1267" s="1856" t="str">
        <f t="shared" si="252"/>
        <v/>
      </c>
    </row>
    <row r="1268" spans="42:52">
      <c r="AP1268" s="1855">
        <f t="shared" si="253"/>
        <v>44699</v>
      </c>
      <c r="AQ1268" s="925" t="str">
        <f t="shared" ref="AQ1268:AQ1331" si="255">IF(NOT(ISNUMBER(FIND(":",AS1268))),"",IF(ISNUMBER(FIND("Sunr",AS1268)),"SR", IF(ISNUMBER(FIND("Suns",AS1268)),"SS",IF(ISNUMBER(FIND("Moonr",AS1268)),"MR",IF(ISNUMBER(FIND("Moons",AS1268)),"MS",IF(ISNUMBER(FIND("Twi",AS1268)),IF(HOUR(AR1268)&lt;12,"BMNT","EENT")))))))</f>
        <v>EENT</v>
      </c>
      <c r="AR1268" s="1856">
        <f t="shared" si="254"/>
        <v>44699.913194444445</v>
      </c>
      <c r="AS1268" s="927" t="s">
        <v>1833</v>
      </c>
      <c r="AT1268" s="1856" t="str">
        <f t="shared" si="247"/>
        <v/>
      </c>
      <c r="AU1268" s="1856" t="str">
        <f t="shared" si="248"/>
        <v/>
      </c>
      <c r="AV1268" s="1856" t="str">
        <f t="shared" si="249"/>
        <v/>
      </c>
      <c r="AW1268" s="1856" t="str">
        <f t="shared" si="250"/>
        <v/>
      </c>
      <c r="AX1268" s="1856" t="str">
        <f t="shared" si="251"/>
        <v/>
      </c>
      <c r="AY1268" s="1856" t="str">
        <f t="shared" si="252"/>
        <v/>
      </c>
    </row>
    <row r="1269" spans="42:52">
      <c r="AP1269" s="1855">
        <f t="shared" si="253"/>
        <v>44699</v>
      </c>
      <c r="AQ1269" s="925" t="str">
        <f t="shared" si="255"/>
        <v>MR</v>
      </c>
      <c r="AR1269" s="1856" t="str">
        <f t="shared" si="254"/>
        <v>NONE</v>
      </c>
      <c r="AS1269" s="927" t="s">
        <v>1153</v>
      </c>
      <c r="AT1269" s="1856" t="str">
        <f t="shared" si="247"/>
        <v/>
      </c>
      <c r="AU1269" s="1856" t="str">
        <f t="shared" si="248"/>
        <v/>
      </c>
      <c r="AV1269" s="1856" t="str">
        <f t="shared" si="249"/>
        <v/>
      </c>
      <c r="AW1269" s="1856" t="str">
        <f t="shared" si="250"/>
        <v/>
      </c>
      <c r="AX1269" s="1856" t="str">
        <f t="shared" si="251"/>
        <v/>
      </c>
      <c r="AY1269" s="1856" t="str">
        <f t="shared" si="252"/>
        <v/>
      </c>
    </row>
    <row r="1270" spans="42:52">
      <c r="AP1270" s="1855">
        <f t="shared" si="253"/>
        <v>44700</v>
      </c>
      <c r="AQ1270" s="925" t="str">
        <f t="shared" si="255"/>
        <v/>
      </c>
      <c r="AR1270" s="1856" t="str">
        <f t="shared" si="254"/>
        <v/>
      </c>
      <c r="AS1270" s="927">
        <v>19</v>
      </c>
      <c r="AT1270" s="1856">
        <f t="shared" si="247"/>
        <v>44700.225000000006</v>
      </c>
      <c r="AU1270" s="1856">
        <f t="shared" si="248"/>
        <v>44700.271527777775</v>
      </c>
      <c r="AV1270" s="1856">
        <f t="shared" si="249"/>
        <v>44700.868055555555</v>
      </c>
      <c r="AW1270" s="1856">
        <f t="shared" si="250"/>
        <v>44700.913888888892</v>
      </c>
      <c r="AX1270" s="1856">
        <f t="shared" si="251"/>
        <v>44700.011111111111</v>
      </c>
      <c r="AY1270" s="1856">
        <f t="shared" si="252"/>
        <v>44700.397916666669</v>
      </c>
      <c r="AZ1270" s="1853">
        <v>0.87</v>
      </c>
    </row>
    <row r="1271" spans="42:52">
      <c r="AP1271" s="1855">
        <f t="shared" si="253"/>
        <v>44700</v>
      </c>
      <c r="AQ1271" s="925" t="str">
        <f t="shared" si="255"/>
        <v/>
      </c>
      <c r="AR1271" s="1856" t="str">
        <f t="shared" si="254"/>
        <v/>
      </c>
      <c r="AS1271" s="927" t="s">
        <v>252</v>
      </c>
      <c r="AT1271" s="1856" t="str">
        <f t="shared" si="247"/>
        <v/>
      </c>
      <c r="AU1271" s="1856" t="str">
        <f t="shared" si="248"/>
        <v/>
      </c>
      <c r="AV1271" s="1856" t="str">
        <f t="shared" si="249"/>
        <v/>
      </c>
      <c r="AW1271" s="1856" t="str">
        <f t="shared" si="250"/>
        <v/>
      </c>
      <c r="AX1271" s="1856" t="str">
        <f t="shared" si="251"/>
        <v/>
      </c>
      <c r="AY1271" s="1856" t="str">
        <f t="shared" si="252"/>
        <v/>
      </c>
    </row>
    <row r="1272" spans="42:52">
      <c r="AP1272" s="1855">
        <f t="shared" si="253"/>
        <v>44700</v>
      </c>
      <c r="AQ1272" s="925" t="str">
        <f t="shared" si="255"/>
        <v/>
      </c>
      <c r="AR1272" s="1856" t="str">
        <f t="shared" si="254"/>
        <v/>
      </c>
      <c r="AT1272" s="1856" t="str">
        <f t="shared" si="247"/>
        <v/>
      </c>
      <c r="AU1272" s="1856" t="str">
        <f t="shared" si="248"/>
        <v/>
      </c>
      <c r="AV1272" s="1856" t="str">
        <f t="shared" si="249"/>
        <v/>
      </c>
      <c r="AW1272" s="1856" t="str">
        <f t="shared" si="250"/>
        <v/>
      </c>
      <c r="AX1272" s="1856" t="str">
        <f t="shared" si="251"/>
        <v/>
      </c>
      <c r="AY1272" s="1856" t="str">
        <f t="shared" si="252"/>
        <v/>
      </c>
    </row>
    <row r="1273" spans="42:52">
      <c r="AP1273" s="1855">
        <f t="shared" si="253"/>
        <v>44700</v>
      </c>
      <c r="AQ1273" s="925" t="str">
        <f t="shared" si="255"/>
        <v>MR</v>
      </c>
      <c r="AR1273" s="1856">
        <f t="shared" si="254"/>
        <v>44700.011111111111</v>
      </c>
      <c r="AS1273" s="927" t="s">
        <v>1834</v>
      </c>
      <c r="AT1273" s="1856" t="str">
        <f t="shared" si="247"/>
        <v/>
      </c>
      <c r="AU1273" s="1856" t="str">
        <f t="shared" si="248"/>
        <v/>
      </c>
      <c r="AV1273" s="1856" t="str">
        <f t="shared" si="249"/>
        <v/>
      </c>
      <c r="AW1273" s="1856" t="str">
        <f t="shared" si="250"/>
        <v/>
      </c>
      <c r="AX1273" s="1856" t="str">
        <f t="shared" si="251"/>
        <v/>
      </c>
      <c r="AY1273" s="1856" t="str">
        <f t="shared" si="252"/>
        <v/>
      </c>
    </row>
    <row r="1274" spans="42:52">
      <c r="AP1274" s="1855">
        <f t="shared" si="253"/>
        <v>44700</v>
      </c>
      <c r="AQ1274" s="925" t="str">
        <f t="shared" si="255"/>
        <v>BMNT</v>
      </c>
      <c r="AR1274" s="1856">
        <f t="shared" si="254"/>
        <v>44700.225000000006</v>
      </c>
      <c r="AS1274" s="927" t="s">
        <v>1835</v>
      </c>
      <c r="AT1274" s="1856" t="str">
        <f t="shared" si="247"/>
        <v/>
      </c>
      <c r="AU1274" s="1856" t="str">
        <f t="shared" si="248"/>
        <v/>
      </c>
      <c r="AV1274" s="1856" t="str">
        <f t="shared" si="249"/>
        <v/>
      </c>
      <c r="AW1274" s="1856" t="str">
        <f t="shared" si="250"/>
        <v/>
      </c>
      <c r="AX1274" s="1856" t="str">
        <f t="shared" si="251"/>
        <v/>
      </c>
      <c r="AY1274" s="1856" t="str">
        <f t="shared" si="252"/>
        <v/>
      </c>
    </row>
    <row r="1275" spans="42:52">
      <c r="AP1275" s="1855">
        <f t="shared" si="253"/>
        <v>44700</v>
      </c>
      <c r="AQ1275" s="925" t="str">
        <f t="shared" si="255"/>
        <v>SR</v>
      </c>
      <c r="AR1275" s="1856">
        <f t="shared" si="254"/>
        <v>44700.271527777775</v>
      </c>
      <c r="AS1275" s="927" t="s">
        <v>1836</v>
      </c>
      <c r="AT1275" s="1856" t="str">
        <f t="shared" si="247"/>
        <v/>
      </c>
      <c r="AU1275" s="1856" t="str">
        <f t="shared" si="248"/>
        <v/>
      </c>
      <c r="AV1275" s="1856" t="str">
        <f t="shared" si="249"/>
        <v/>
      </c>
      <c r="AW1275" s="1856" t="str">
        <f t="shared" si="250"/>
        <v/>
      </c>
      <c r="AX1275" s="1856" t="str">
        <f t="shared" si="251"/>
        <v/>
      </c>
      <c r="AY1275" s="1856" t="str">
        <f t="shared" si="252"/>
        <v/>
      </c>
    </row>
    <row r="1276" spans="42:52">
      <c r="AP1276" s="1855">
        <f t="shared" si="253"/>
        <v>44700</v>
      </c>
      <c r="AQ1276" s="925" t="str">
        <f t="shared" si="255"/>
        <v>MS</v>
      </c>
      <c r="AR1276" s="1856">
        <f t="shared" si="254"/>
        <v>44700.397916666669</v>
      </c>
      <c r="AS1276" s="927" t="s">
        <v>1837</v>
      </c>
      <c r="AT1276" s="1856" t="str">
        <f t="shared" si="247"/>
        <v/>
      </c>
      <c r="AU1276" s="1856" t="str">
        <f t="shared" si="248"/>
        <v/>
      </c>
      <c r="AV1276" s="1856" t="str">
        <f t="shared" si="249"/>
        <v/>
      </c>
      <c r="AW1276" s="1856" t="str">
        <f t="shared" si="250"/>
        <v/>
      </c>
      <c r="AX1276" s="1856" t="str">
        <f t="shared" si="251"/>
        <v/>
      </c>
      <c r="AY1276" s="1856" t="str">
        <f t="shared" si="252"/>
        <v/>
      </c>
    </row>
    <row r="1277" spans="42:52">
      <c r="AP1277" s="1855">
        <f t="shared" si="253"/>
        <v>44700</v>
      </c>
      <c r="AQ1277" s="925" t="str">
        <f t="shared" si="255"/>
        <v>SS</v>
      </c>
      <c r="AR1277" s="1856">
        <f t="shared" si="254"/>
        <v>44700.868055555555</v>
      </c>
      <c r="AS1277" s="927" t="s">
        <v>1838</v>
      </c>
      <c r="AT1277" s="1856" t="str">
        <f t="shared" si="247"/>
        <v/>
      </c>
      <c r="AU1277" s="1856" t="str">
        <f t="shared" si="248"/>
        <v/>
      </c>
      <c r="AV1277" s="1856" t="str">
        <f t="shared" si="249"/>
        <v/>
      </c>
      <c r="AW1277" s="1856" t="str">
        <f t="shared" si="250"/>
        <v/>
      </c>
      <c r="AX1277" s="1856" t="str">
        <f t="shared" si="251"/>
        <v/>
      </c>
      <c r="AY1277" s="1856" t="str">
        <f t="shared" si="252"/>
        <v/>
      </c>
    </row>
    <row r="1278" spans="42:52">
      <c r="AP1278" s="1855">
        <f t="shared" si="253"/>
        <v>44700</v>
      </c>
      <c r="AQ1278" s="925" t="str">
        <f t="shared" si="255"/>
        <v>EENT</v>
      </c>
      <c r="AR1278" s="1856">
        <f t="shared" si="254"/>
        <v>44700.913888888892</v>
      </c>
      <c r="AS1278" s="927" t="s">
        <v>1839</v>
      </c>
      <c r="AT1278" s="1856" t="str">
        <f t="shared" si="247"/>
        <v/>
      </c>
      <c r="AU1278" s="1856" t="str">
        <f t="shared" si="248"/>
        <v/>
      </c>
      <c r="AV1278" s="1856" t="str">
        <f t="shared" si="249"/>
        <v/>
      </c>
      <c r="AW1278" s="1856" t="str">
        <f t="shared" si="250"/>
        <v/>
      </c>
      <c r="AX1278" s="1856" t="str">
        <f t="shared" si="251"/>
        <v/>
      </c>
      <c r="AY1278" s="1856" t="str">
        <f t="shared" si="252"/>
        <v/>
      </c>
    </row>
    <row r="1279" spans="42:52">
      <c r="AP1279" s="1855">
        <f t="shared" si="253"/>
        <v>44701</v>
      </c>
      <c r="AQ1279" s="925" t="str">
        <f t="shared" si="255"/>
        <v/>
      </c>
      <c r="AR1279" s="1856" t="str">
        <f t="shared" si="254"/>
        <v/>
      </c>
      <c r="AS1279" s="927">
        <v>20</v>
      </c>
      <c r="AT1279" s="1856">
        <f t="shared" si="247"/>
        <v>44701.224305555559</v>
      </c>
      <c r="AU1279" s="1856">
        <f t="shared" si="248"/>
        <v>44701.270833333336</v>
      </c>
      <c r="AV1279" s="1856">
        <f t="shared" si="249"/>
        <v>44701.868750000001</v>
      </c>
      <c r="AW1279" s="1856">
        <f t="shared" si="250"/>
        <v>44701.914583333331</v>
      </c>
      <c r="AX1279" s="1856">
        <f t="shared" si="251"/>
        <v>44701.051388888889</v>
      </c>
      <c r="AY1279" s="1856">
        <f t="shared" si="252"/>
        <v>44701.447222222218</v>
      </c>
      <c r="AZ1279" s="1853">
        <v>0.78</v>
      </c>
    </row>
    <row r="1280" spans="42:52">
      <c r="AP1280" s="1855">
        <f t="shared" si="253"/>
        <v>44701</v>
      </c>
      <c r="AQ1280" s="925" t="str">
        <f t="shared" si="255"/>
        <v/>
      </c>
      <c r="AR1280" s="1856" t="str">
        <f t="shared" si="254"/>
        <v/>
      </c>
      <c r="AS1280" s="927" t="s">
        <v>252</v>
      </c>
      <c r="AT1280" s="1856" t="str">
        <f t="shared" si="247"/>
        <v/>
      </c>
      <c r="AU1280" s="1856" t="str">
        <f t="shared" si="248"/>
        <v/>
      </c>
      <c r="AV1280" s="1856" t="str">
        <f t="shared" si="249"/>
        <v/>
      </c>
      <c r="AW1280" s="1856" t="str">
        <f t="shared" si="250"/>
        <v/>
      </c>
      <c r="AX1280" s="1856" t="str">
        <f t="shared" si="251"/>
        <v/>
      </c>
      <c r="AY1280" s="1856" t="str">
        <f t="shared" si="252"/>
        <v/>
      </c>
    </row>
    <row r="1281" spans="42:52">
      <c r="AP1281" s="1855">
        <f t="shared" si="253"/>
        <v>44701</v>
      </c>
      <c r="AQ1281" s="925" t="str">
        <f t="shared" si="255"/>
        <v/>
      </c>
      <c r="AR1281" s="1856" t="str">
        <f t="shared" si="254"/>
        <v/>
      </c>
      <c r="AT1281" s="1856" t="str">
        <f t="shared" si="247"/>
        <v/>
      </c>
      <c r="AU1281" s="1856" t="str">
        <f t="shared" si="248"/>
        <v/>
      </c>
      <c r="AV1281" s="1856" t="str">
        <f t="shared" si="249"/>
        <v/>
      </c>
      <c r="AW1281" s="1856" t="str">
        <f t="shared" si="250"/>
        <v/>
      </c>
      <c r="AX1281" s="1856" t="str">
        <f t="shared" si="251"/>
        <v/>
      </c>
      <c r="AY1281" s="1856" t="str">
        <f t="shared" si="252"/>
        <v/>
      </c>
    </row>
    <row r="1282" spans="42:52">
      <c r="AP1282" s="1855">
        <f t="shared" si="253"/>
        <v>44701</v>
      </c>
      <c r="AQ1282" s="925" t="str">
        <f t="shared" si="255"/>
        <v>MR</v>
      </c>
      <c r="AR1282" s="1856">
        <f t="shared" si="254"/>
        <v>44701.051388888889</v>
      </c>
      <c r="AS1282" s="927" t="s">
        <v>1840</v>
      </c>
      <c r="AT1282" s="1856" t="str">
        <f t="shared" si="247"/>
        <v/>
      </c>
      <c r="AU1282" s="1856" t="str">
        <f t="shared" si="248"/>
        <v/>
      </c>
      <c r="AV1282" s="1856" t="str">
        <f t="shared" si="249"/>
        <v/>
      </c>
      <c r="AW1282" s="1856" t="str">
        <f t="shared" si="250"/>
        <v/>
      </c>
      <c r="AX1282" s="1856" t="str">
        <f t="shared" si="251"/>
        <v/>
      </c>
      <c r="AY1282" s="1856" t="str">
        <f t="shared" si="252"/>
        <v/>
      </c>
    </row>
    <row r="1283" spans="42:52">
      <c r="AP1283" s="1855">
        <f t="shared" si="253"/>
        <v>44701</v>
      </c>
      <c r="AQ1283" s="925" t="str">
        <f t="shared" si="255"/>
        <v>BMNT</v>
      </c>
      <c r="AR1283" s="1856">
        <f t="shared" si="254"/>
        <v>44701.224305555559</v>
      </c>
      <c r="AS1283" s="927" t="s">
        <v>1841</v>
      </c>
      <c r="AT1283" s="1856" t="str">
        <f t="shared" si="247"/>
        <v/>
      </c>
      <c r="AU1283" s="1856" t="str">
        <f t="shared" si="248"/>
        <v/>
      </c>
      <c r="AV1283" s="1856" t="str">
        <f t="shared" si="249"/>
        <v/>
      </c>
      <c r="AW1283" s="1856" t="str">
        <f t="shared" si="250"/>
        <v/>
      </c>
      <c r="AX1283" s="1856" t="str">
        <f t="shared" si="251"/>
        <v/>
      </c>
      <c r="AY1283" s="1856" t="str">
        <f t="shared" si="252"/>
        <v/>
      </c>
    </row>
    <row r="1284" spans="42:52">
      <c r="AP1284" s="1855">
        <f t="shared" si="253"/>
        <v>44701</v>
      </c>
      <c r="AQ1284" s="925" t="str">
        <f t="shared" si="255"/>
        <v>SR</v>
      </c>
      <c r="AR1284" s="1856">
        <f t="shared" si="254"/>
        <v>44701.270833333336</v>
      </c>
      <c r="AS1284" s="927" t="s">
        <v>1842</v>
      </c>
      <c r="AT1284" s="1856" t="str">
        <f t="shared" si="247"/>
        <v/>
      </c>
      <c r="AU1284" s="1856" t="str">
        <f t="shared" si="248"/>
        <v/>
      </c>
      <c r="AV1284" s="1856" t="str">
        <f t="shared" si="249"/>
        <v/>
      </c>
      <c r="AW1284" s="1856" t="str">
        <f t="shared" si="250"/>
        <v/>
      </c>
      <c r="AX1284" s="1856" t="str">
        <f t="shared" si="251"/>
        <v/>
      </c>
      <c r="AY1284" s="1856" t="str">
        <f t="shared" si="252"/>
        <v/>
      </c>
    </row>
    <row r="1285" spans="42:52">
      <c r="AP1285" s="1855">
        <f t="shared" si="253"/>
        <v>44701</v>
      </c>
      <c r="AQ1285" s="925" t="str">
        <f t="shared" si="255"/>
        <v>MS</v>
      </c>
      <c r="AR1285" s="1856">
        <f t="shared" si="254"/>
        <v>44701.447222222218</v>
      </c>
      <c r="AS1285" s="927" t="s">
        <v>1843</v>
      </c>
      <c r="AT1285" s="1856" t="str">
        <f t="shared" si="247"/>
        <v/>
      </c>
      <c r="AU1285" s="1856" t="str">
        <f t="shared" si="248"/>
        <v/>
      </c>
      <c r="AV1285" s="1856" t="str">
        <f t="shared" si="249"/>
        <v/>
      </c>
      <c r="AW1285" s="1856" t="str">
        <f t="shared" si="250"/>
        <v/>
      </c>
      <c r="AX1285" s="1856" t="str">
        <f t="shared" si="251"/>
        <v/>
      </c>
      <c r="AY1285" s="1856" t="str">
        <f t="shared" si="252"/>
        <v/>
      </c>
    </row>
    <row r="1286" spans="42:52">
      <c r="AP1286" s="1855">
        <f t="shared" si="253"/>
        <v>44701</v>
      </c>
      <c r="AQ1286" s="925" t="str">
        <f t="shared" si="255"/>
        <v>SS</v>
      </c>
      <c r="AR1286" s="1856">
        <f t="shared" si="254"/>
        <v>44701.868750000001</v>
      </c>
      <c r="AS1286" s="927" t="s">
        <v>1844</v>
      </c>
      <c r="AT1286" s="1856" t="str">
        <f t="shared" si="247"/>
        <v/>
      </c>
      <c r="AU1286" s="1856" t="str">
        <f t="shared" si="248"/>
        <v/>
      </c>
      <c r="AV1286" s="1856" t="str">
        <f t="shared" si="249"/>
        <v/>
      </c>
      <c r="AW1286" s="1856" t="str">
        <f t="shared" si="250"/>
        <v/>
      </c>
      <c r="AX1286" s="1856" t="str">
        <f t="shared" si="251"/>
        <v/>
      </c>
      <c r="AY1286" s="1856" t="str">
        <f t="shared" si="252"/>
        <v/>
      </c>
    </row>
    <row r="1287" spans="42:52">
      <c r="AP1287" s="1855">
        <f t="shared" si="253"/>
        <v>44701</v>
      </c>
      <c r="AQ1287" s="925" t="str">
        <f t="shared" si="255"/>
        <v>EENT</v>
      </c>
      <c r="AR1287" s="1856">
        <f t="shared" si="254"/>
        <v>44701.914583333331</v>
      </c>
      <c r="AS1287" s="927" t="s">
        <v>1845</v>
      </c>
      <c r="AT1287" s="1856" t="str">
        <f t="shared" si="247"/>
        <v/>
      </c>
      <c r="AU1287" s="1856" t="str">
        <f t="shared" si="248"/>
        <v/>
      </c>
      <c r="AV1287" s="1856" t="str">
        <f t="shared" si="249"/>
        <v/>
      </c>
      <c r="AW1287" s="1856" t="str">
        <f t="shared" si="250"/>
        <v/>
      </c>
      <c r="AX1287" s="1856" t="str">
        <f t="shared" si="251"/>
        <v/>
      </c>
      <c r="AY1287" s="1856" t="str">
        <f t="shared" si="252"/>
        <v/>
      </c>
    </row>
    <row r="1288" spans="42:52">
      <c r="AP1288" s="1855">
        <f t="shared" si="253"/>
        <v>44702</v>
      </c>
      <c r="AQ1288" s="925" t="str">
        <f t="shared" si="255"/>
        <v/>
      </c>
      <c r="AR1288" s="1856" t="str">
        <f t="shared" si="254"/>
        <v/>
      </c>
      <c r="AS1288" s="927">
        <v>21</v>
      </c>
      <c r="AT1288" s="1856">
        <f t="shared" si="247"/>
        <v>44702.224305555559</v>
      </c>
      <c r="AU1288" s="1856">
        <f t="shared" si="248"/>
        <v>44702.270138888889</v>
      </c>
      <c r="AV1288" s="1856">
        <f t="shared" si="249"/>
        <v>44702.868750000001</v>
      </c>
      <c r="AW1288" s="1856">
        <f t="shared" si="250"/>
        <v>44702.915277777778</v>
      </c>
      <c r="AX1288" s="1856">
        <f t="shared" si="251"/>
        <v>44702.084722222222</v>
      </c>
      <c r="AY1288" s="1856">
        <f t="shared" si="252"/>
        <v>44702.497916666667</v>
      </c>
      <c r="AZ1288" s="1853">
        <v>0.68</v>
      </c>
    </row>
    <row r="1289" spans="42:52">
      <c r="AP1289" s="1855">
        <f t="shared" si="253"/>
        <v>44702</v>
      </c>
      <c r="AQ1289" s="925" t="str">
        <f t="shared" si="255"/>
        <v/>
      </c>
      <c r="AR1289" s="1856" t="str">
        <f t="shared" si="254"/>
        <v/>
      </c>
      <c r="AS1289" s="927" t="s">
        <v>252</v>
      </c>
      <c r="AT1289" s="1856" t="str">
        <f t="shared" si="247"/>
        <v/>
      </c>
      <c r="AU1289" s="1856" t="str">
        <f t="shared" si="248"/>
        <v/>
      </c>
      <c r="AV1289" s="1856" t="str">
        <f t="shared" si="249"/>
        <v/>
      </c>
      <c r="AW1289" s="1856" t="str">
        <f t="shared" si="250"/>
        <v/>
      </c>
      <c r="AX1289" s="1856" t="str">
        <f t="shared" si="251"/>
        <v/>
      </c>
      <c r="AY1289" s="1856" t="str">
        <f t="shared" si="252"/>
        <v/>
      </c>
    </row>
    <row r="1290" spans="42:52">
      <c r="AP1290" s="1855">
        <f t="shared" si="253"/>
        <v>44702</v>
      </c>
      <c r="AQ1290" s="925" t="str">
        <f t="shared" si="255"/>
        <v/>
      </c>
      <c r="AR1290" s="1856" t="str">
        <f t="shared" si="254"/>
        <v/>
      </c>
      <c r="AT1290" s="1856" t="str">
        <f t="shared" si="247"/>
        <v/>
      </c>
      <c r="AU1290" s="1856" t="str">
        <f t="shared" si="248"/>
        <v/>
      </c>
      <c r="AV1290" s="1856" t="str">
        <f t="shared" si="249"/>
        <v/>
      </c>
      <c r="AW1290" s="1856" t="str">
        <f t="shared" si="250"/>
        <v/>
      </c>
      <c r="AX1290" s="1856" t="str">
        <f t="shared" si="251"/>
        <v/>
      </c>
      <c r="AY1290" s="1856" t="str">
        <f t="shared" si="252"/>
        <v/>
      </c>
    </row>
    <row r="1291" spans="42:52">
      <c r="AP1291" s="1855">
        <f t="shared" si="253"/>
        <v>44702</v>
      </c>
      <c r="AQ1291" s="925" t="str">
        <f t="shared" si="255"/>
        <v>MR</v>
      </c>
      <c r="AR1291" s="1856">
        <f t="shared" si="254"/>
        <v>44702.084722222222</v>
      </c>
      <c r="AS1291" s="927" t="s">
        <v>1846</v>
      </c>
      <c r="AT1291" s="1856" t="str">
        <f t="shared" si="247"/>
        <v/>
      </c>
      <c r="AU1291" s="1856" t="str">
        <f t="shared" si="248"/>
        <v/>
      </c>
      <c r="AV1291" s="1856" t="str">
        <f t="shared" si="249"/>
        <v/>
      </c>
      <c r="AW1291" s="1856" t="str">
        <f t="shared" si="250"/>
        <v/>
      </c>
      <c r="AX1291" s="1856" t="str">
        <f t="shared" si="251"/>
        <v/>
      </c>
      <c r="AY1291" s="1856" t="str">
        <f t="shared" si="252"/>
        <v/>
      </c>
    </row>
    <row r="1292" spans="42:52">
      <c r="AP1292" s="1855">
        <f t="shared" si="253"/>
        <v>44702</v>
      </c>
      <c r="AQ1292" s="925" t="str">
        <f t="shared" si="255"/>
        <v>BMNT</v>
      </c>
      <c r="AR1292" s="1856">
        <f t="shared" si="254"/>
        <v>44702.224305555559</v>
      </c>
      <c r="AS1292" s="927" t="s">
        <v>1841</v>
      </c>
      <c r="AT1292" s="1856" t="str">
        <f t="shared" si="247"/>
        <v/>
      </c>
      <c r="AU1292" s="1856" t="str">
        <f t="shared" si="248"/>
        <v/>
      </c>
      <c r="AV1292" s="1856" t="str">
        <f t="shared" si="249"/>
        <v/>
      </c>
      <c r="AW1292" s="1856" t="str">
        <f t="shared" si="250"/>
        <v/>
      </c>
      <c r="AX1292" s="1856" t="str">
        <f t="shared" si="251"/>
        <v/>
      </c>
      <c r="AY1292" s="1856" t="str">
        <f t="shared" si="252"/>
        <v/>
      </c>
    </row>
    <row r="1293" spans="42:52">
      <c r="AP1293" s="1855">
        <f t="shared" si="253"/>
        <v>44702</v>
      </c>
      <c r="AQ1293" s="925" t="str">
        <f t="shared" si="255"/>
        <v>SR</v>
      </c>
      <c r="AR1293" s="1856">
        <f t="shared" si="254"/>
        <v>44702.270138888889</v>
      </c>
      <c r="AS1293" s="927" t="s">
        <v>1847</v>
      </c>
      <c r="AT1293" s="1856" t="str">
        <f t="shared" si="247"/>
        <v/>
      </c>
      <c r="AU1293" s="1856" t="str">
        <f t="shared" si="248"/>
        <v/>
      </c>
      <c r="AV1293" s="1856" t="str">
        <f t="shared" si="249"/>
        <v/>
      </c>
      <c r="AW1293" s="1856" t="str">
        <f t="shared" si="250"/>
        <v/>
      </c>
      <c r="AX1293" s="1856" t="str">
        <f t="shared" si="251"/>
        <v/>
      </c>
      <c r="AY1293" s="1856" t="str">
        <f t="shared" si="252"/>
        <v/>
      </c>
    </row>
    <row r="1294" spans="42:52">
      <c r="AP1294" s="1855">
        <f t="shared" si="253"/>
        <v>44702</v>
      </c>
      <c r="AQ1294" s="925" t="str">
        <f t="shared" si="255"/>
        <v>MS</v>
      </c>
      <c r="AR1294" s="1856">
        <f t="shared" si="254"/>
        <v>44702.497916666667</v>
      </c>
      <c r="AS1294" s="927" t="s">
        <v>1848</v>
      </c>
      <c r="AT1294" s="1856" t="str">
        <f t="shared" si="247"/>
        <v/>
      </c>
      <c r="AU1294" s="1856" t="str">
        <f t="shared" si="248"/>
        <v/>
      </c>
      <c r="AV1294" s="1856" t="str">
        <f t="shared" si="249"/>
        <v/>
      </c>
      <c r="AW1294" s="1856" t="str">
        <f t="shared" si="250"/>
        <v/>
      </c>
      <c r="AX1294" s="1856" t="str">
        <f t="shared" si="251"/>
        <v/>
      </c>
      <c r="AY1294" s="1856" t="str">
        <f t="shared" si="252"/>
        <v/>
      </c>
    </row>
    <row r="1295" spans="42:52">
      <c r="AP1295" s="1855">
        <f t="shared" si="253"/>
        <v>44702</v>
      </c>
      <c r="AQ1295" s="925" t="str">
        <f t="shared" si="255"/>
        <v>SS</v>
      </c>
      <c r="AR1295" s="1856">
        <f t="shared" si="254"/>
        <v>44702.868750000001</v>
      </c>
      <c r="AS1295" s="927" t="s">
        <v>1844</v>
      </c>
      <c r="AT1295" s="1856" t="str">
        <f t="shared" si="247"/>
        <v/>
      </c>
      <c r="AU1295" s="1856" t="str">
        <f t="shared" si="248"/>
        <v/>
      </c>
      <c r="AV1295" s="1856" t="str">
        <f t="shared" si="249"/>
        <v/>
      </c>
      <c r="AW1295" s="1856" t="str">
        <f t="shared" si="250"/>
        <v/>
      </c>
      <c r="AX1295" s="1856" t="str">
        <f t="shared" si="251"/>
        <v/>
      </c>
      <c r="AY1295" s="1856" t="str">
        <f t="shared" si="252"/>
        <v/>
      </c>
    </row>
    <row r="1296" spans="42:52">
      <c r="AP1296" s="1855">
        <f t="shared" si="253"/>
        <v>44702</v>
      </c>
      <c r="AQ1296" s="925" t="str">
        <f t="shared" si="255"/>
        <v>EENT</v>
      </c>
      <c r="AR1296" s="1856">
        <f t="shared" si="254"/>
        <v>44702.915277777778</v>
      </c>
      <c r="AS1296" s="927" t="s">
        <v>1849</v>
      </c>
      <c r="AT1296" s="1856" t="str">
        <f t="shared" si="247"/>
        <v/>
      </c>
      <c r="AU1296" s="1856" t="str">
        <f t="shared" si="248"/>
        <v/>
      </c>
      <c r="AV1296" s="1856" t="str">
        <f t="shared" si="249"/>
        <v/>
      </c>
      <c r="AW1296" s="1856" t="str">
        <f t="shared" si="250"/>
        <v/>
      </c>
      <c r="AX1296" s="1856" t="str">
        <f t="shared" si="251"/>
        <v/>
      </c>
      <c r="AY1296" s="1856" t="str">
        <f t="shared" si="252"/>
        <v/>
      </c>
    </row>
    <row r="1297" spans="42:52">
      <c r="AP1297" s="1855">
        <f t="shared" si="253"/>
        <v>44703</v>
      </c>
      <c r="AQ1297" s="925" t="str">
        <f t="shared" si="255"/>
        <v/>
      </c>
      <c r="AR1297" s="1856" t="str">
        <f t="shared" si="254"/>
        <v/>
      </c>
      <c r="AS1297" s="927">
        <v>22</v>
      </c>
      <c r="AT1297" s="1856">
        <f t="shared" si="247"/>
        <v>44703.223611111112</v>
      </c>
      <c r="AU1297" s="1856">
        <f t="shared" si="248"/>
        <v>44703.270138888889</v>
      </c>
      <c r="AV1297" s="1856">
        <f t="shared" si="249"/>
        <v>44703.869444444448</v>
      </c>
      <c r="AW1297" s="1856">
        <f t="shared" si="250"/>
        <v>44703.915972222225</v>
      </c>
      <c r="AX1297" s="1856">
        <f t="shared" si="251"/>
        <v>44703.111111111117</v>
      </c>
      <c r="AY1297" s="1856">
        <f t="shared" si="252"/>
        <v>44703.547916666663</v>
      </c>
      <c r="AZ1297" s="1853">
        <v>0.56999999999999995</v>
      </c>
    </row>
    <row r="1298" spans="42:52">
      <c r="AP1298" s="1855">
        <f t="shared" si="253"/>
        <v>44703</v>
      </c>
      <c r="AQ1298" s="925" t="str">
        <f t="shared" si="255"/>
        <v/>
      </c>
      <c r="AR1298" s="1856" t="str">
        <f t="shared" si="254"/>
        <v/>
      </c>
      <c r="AS1298" s="927" t="s">
        <v>252</v>
      </c>
      <c r="AT1298" s="1856" t="str">
        <f t="shared" si="247"/>
        <v/>
      </c>
      <c r="AU1298" s="1856" t="str">
        <f t="shared" si="248"/>
        <v/>
      </c>
      <c r="AV1298" s="1856" t="str">
        <f t="shared" si="249"/>
        <v/>
      </c>
      <c r="AW1298" s="1856" t="str">
        <f t="shared" si="250"/>
        <v/>
      </c>
      <c r="AX1298" s="1856" t="str">
        <f t="shared" si="251"/>
        <v/>
      </c>
      <c r="AY1298" s="1856" t="str">
        <f t="shared" si="252"/>
        <v/>
      </c>
    </row>
    <row r="1299" spans="42:52">
      <c r="AP1299" s="1855">
        <f t="shared" si="253"/>
        <v>44703</v>
      </c>
      <c r="AQ1299" s="925" t="str">
        <f t="shared" si="255"/>
        <v/>
      </c>
      <c r="AR1299" s="1856" t="str">
        <f t="shared" si="254"/>
        <v/>
      </c>
      <c r="AT1299" s="1856" t="str">
        <f t="shared" si="247"/>
        <v/>
      </c>
      <c r="AU1299" s="1856" t="str">
        <f t="shared" si="248"/>
        <v/>
      </c>
      <c r="AV1299" s="1856" t="str">
        <f t="shared" si="249"/>
        <v/>
      </c>
      <c r="AW1299" s="1856" t="str">
        <f t="shared" si="250"/>
        <v/>
      </c>
      <c r="AX1299" s="1856" t="str">
        <f t="shared" si="251"/>
        <v/>
      </c>
      <c r="AY1299" s="1856" t="str">
        <f t="shared" si="252"/>
        <v/>
      </c>
    </row>
    <row r="1300" spans="42:52">
      <c r="AP1300" s="1855">
        <f t="shared" si="253"/>
        <v>44703</v>
      </c>
      <c r="AQ1300" s="925" t="str">
        <f t="shared" si="255"/>
        <v>MR</v>
      </c>
      <c r="AR1300" s="1856">
        <f t="shared" si="254"/>
        <v>44703.111111111117</v>
      </c>
      <c r="AS1300" s="927" t="s">
        <v>1850</v>
      </c>
      <c r="AT1300" s="1856" t="str">
        <f t="shared" si="247"/>
        <v/>
      </c>
      <c r="AU1300" s="1856" t="str">
        <f t="shared" si="248"/>
        <v/>
      </c>
      <c r="AV1300" s="1856" t="str">
        <f t="shared" si="249"/>
        <v/>
      </c>
      <c r="AW1300" s="1856" t="str">
        <f t="shared" si="250"/>
        <v/>
      </c>
      <c r="AX1300" s="1856" t="str">
        <f t="shared" si="251"/>
        <v/>
      </c>
      <c r="AY1300" s="1856" t="str">
        <f t="shared" si="252"/>
        <v/>
      </c>
    </row>
    <row r="1301" spans="42:52">
      <c r="AP1301" s="1855">
        <f t="shared" si="253"/>
        <v>44703</v>
      </c>
      <c r="AQ1301" s="925" t="str">
        <f t="shared" si="255"/>
        <v>BMNT</v>
      </c>
      <c r="AR1301" s="1856">
        <f t="shared" si="254"/>
        <v>44703.223611111112</v>
      </c>
      <c r="AS1301" s="927" t="s">
        <v>1851</v>
      </c>
      <c r="AT1301" s="1856" t="str">
        <f t="shared" si="247"/>
        <v/>
      </c>
      <c r="AU1301" s="1856" t="str">
        <f t="shared" si="248"/>
        <v/>
      </c>
      <c r="AV1301" s="1856" t="str">
        <f t="shared" si="249"/>
        <v/>
      </c>
      <c r="AW1301" s="1856" t="str">
        <f t="shared" si="250"/>
        <v/>
      </c>
      <c r="AX1301" s="1856" t="str">
        <f t="shared" si="251"/>
        <v/>
      </c>
      <c r="AY1301" s="1856" t="str">
        <f t="shared" si="252"/>
        <v/>
      </c>
    </row>
    <row r="1302" spans="42:52">
      <c r="AP1302" s="1855">
        <f t="shared" si="253"/>
        <v>44703</v>
      </c>
      <c r="AQ1302" s="925" t="str">
        <f t="shared" si="255"/>
        <v>SR</v>
      </c>
      <c r="AR1302" s="1856">
        <f t="shared" si="254"/>
        <v>44703.270138888889</v>
      </c>
      <c r="AS1302" s="927" t="s">
        <v>1847</v>
      </c>
      <c r="AT1302" s="1856" t="str">
        <f t="shared" si="247"/>
        <v/>
      </c>
      <c r="AU1302" s="1856" t="str">
        <f t="shared" si="248"/>
        <v/>
      </c>
      <c r="AV1302" s="1856" t="str">
        <f t="shared" si="249"/>
        <v/>
      </c>
      <c r="AW1302" s="1856" t="str">
        <f t="shared" si="250"/>
        <v/>
      </c>
      <c r="AX1302" s="1856" t="str">
        <f t="shared" si="251"/>
        <v/>
      </c>
      <c r="AY1302" s="1856" t="str">
        <f t="shared" si="252"/>
        <v/>
      </c>
    </row>
    <row r="1303" spans="42:52">
      <c r="AP1303" s="1855">
        <f t="shared" si="253"/>
        <v>44703</v>
      </c>
      <c r="AQ1303" s="925" t="str">
        <f t="shared" si="255"/>
        <v>MS</v>
      </c>
      <c r="AR1303" s="1856">
        <f t="shared" si="254"/>
        <v>44703.547916666663</v>
      </c>
      <c r="AS1303" s="927" t="s">
        <v>1852</v>
      </c>
      <c r="AT1303" s="1856" t="str">
        <f t="shared" si="247"/>
        <v/>
      </c>
      <c r="AU1303" s="1856" t="str">
        <f t="shared" si="248"/>
        <v/>
      </c>
      <c r="AV1303" s="1856" t="str">
        <f t="shared" si="249"/>
        <v/>
      </c>
      <c r="AW1303" s="1856" t="str">
        <f t="shared" si="250"/>
        <v/>
      </c>
      <c r="AX1303" s="1856" t="str">
        <f t="shared" si="251"/>
        <v/>
      </c>
      <c r="AY1303" s="1856" t="str">
        <f t="shared" si="252"/>
        <v/>
      </c>
    </row>
    <row r="1304" spans="42:52">
      <c r="AP1304" s="1855">
        <f t="shared" si="253"/>
        <v>44703</v>
      </c>
      <c r="AQ1304" s="925" t="str">
        <f t="shared" si="255"/>
        <v>SS</v>
      </c>
      <c r="AR1304" s="1856">
        <f t="shared" si="254"/>
        <v>44703.869444444448</v>
      </c>
      <c r="AS1304" s="927" t="s">
        <v>1853</v>
      </c>
      <c r="AT1304" s="1856" t="str">
        <f t="shared" si="247"/>
        <v/>
      </c>
      <c r="AU1304" s="1856" t="str">
        <f t="shared" si="248"/>
        <v/>
      </c>
      <c r="AV1304" s="1856" t="str">
        <f t="shared" si="249"/>
        <v/>
      </c>
      <c r="AW1304" s="1856" t="str">
        <f t="shared" si="250"/>
        <v/>
      </c>
      <c r="AX1304" s="1856" t="str">
        <f t="shared" si="251"/>
        <v/>
      </c>
      <c r="AY1304" s="1856" t="str">
        <f t="shared" si="252"/>
        <v/>
      </c>
    </row>
    <row r="1305" spans="42:52">
      <c r="AP1305" s="1855">
        <f t="shared" si="253"/>
        <v>44703</v>
      </c>
      <c r="AQ1305" s="925" t="str">
        <f t="shared" si="255"/>
        <v>EENT</v>
      </c>
      <c r="AR1305" s="1856">
        <f t="shared" si="254"/>
        <v>44703.915972222225</v>
      </c>
      <c r="AS1305" s="927" t="s">
        <v>1854</v>
      </c>
      <c r="AT1305" s="1856" t="str">
        <f t="shared" si="247"/>
        <v/>
      </c>
      <c r="AU1305" s="1856" t="str">
        <f t="shared" si="248"/>
        <v/>
      </c>
      <c r="AV1305" s="1856" t="str">
        <f t="shared" si="249"/>
        <v/>
      </c>
      <c r="AW1305" s="1856" t="str">
        <f t="shared" si="250"/>
        <v/>
      </c>
      <c r="AX1305" s="1856" t="str">
        <f t="shared" si="251"/>
        <v/>
      </c>
      <c r="AY1305" s="1856" t="str">
        <f t="shared" si="252"/>
        <v/>
      </c>
    </row>
    <row r="1306" spans="42:52">
      <c r="AP1306" s="1855">
        <f t="shared" si="253"/>
        <v>44704</v>
      </c>
      <c r="AQ1306" s="925" t="str">
        <f t="shared" si="255"/>
        <v/>
      </c>
      <c r="AR1306" s="1856" t="str">
        <f t="shared" si="254"/>
        <v/>
      </c>
      <c r="AS1306" s="927">
        <v>23</v>
      </c>
      <c r="AT1306" s="1856">
        <f t="shared" si="247"/>
        <v>44704.222916666666</v>
      </c>
      <c r="AU1306" s="1856">
        <f t="shared" si="248"/>
        <v>44704.269444444442</v>
      </c>
      <c r="AV1306" s="1856">
        <f t="shared" si="249"/>
        <v>44704.870138888895</v>
      </c>
      <c r="AW1306" s="1856">
        <f t="shared" si="250"/>
        <v>44704.916666666664</v>
      </c>
      <c r="AX1306" s="1856">
        <f t="shared" si="251"/>
        <v>44704.133333333331</v>
      </c>
      <c r="AY1306" s="1856">
        <f t="shared" si="252"/>
        <v>44704.595138888893</v>
      </c>
      <c r="AZ1306" s="1853">
        <v>0.45</v>
      </c>
    </row>
    <row r="1307" spans="42:52">
      <c r="AP1307" s="1855">
        <f t="shared" si="253"/>
        <v>44704</v>
      </c>
      <c r="AQ1307" s="925" t="str">
        <f t="shared" si="255"/>
        <v/>
      </c>
      <c r="AR1307" s="1856" t="str">
        <f t="shared" si="254"/>
        <v/>
      </c>
      <c r="AS1307" s="927" t="s">
        <v>252</v>
      </c>
      <c r="AT1307" s="1856" t="str">
        <f t="shared" si="247"/>
        <v/>
      </c>
      <c r="AU1307" s="1856" t="str">
        <f t="shared" si="248"/>
        <v/>
      </c>
      <c r="AV1307" s="1856" t="str">
        <f t="shared" si="249"/>
        <v/>
      </c>
      <c r="AW1307" s="1856" t="str">
        <f t="shared" si="250"/>
        <v/>
      </c>
      <c r="AX1307" s="1856" t="str">
        <f t="shared" si="251"/>
        <v/>
      </c>
      <c r="AY1307" s="1856" t="str">
        <f t="shared" si="252"/>
        <v/>
      </c>
    </row>
    <row r="1308" spans="42:52">
      <c r="AP1308" s="1855">
        <f t="shared" si="253"/>
        <v>44704</v>
      </c>
      <c r="AQ1308" s="925" t="str">
        <f t="shared" si="255"/>
        <v/>
      </c>
      <c r="AR1308" s="1856" t="str">
        <f t="shared" si="254"/>
        <v/>
      </c>
      <c r="AT1308" s="1856" t="str">
        <f t="shared" ref="AT1308:AT1371" si="256">IF(ISNUMBER(AS1308),INDEX(AR1309:AR1319,MATCH($AT$27,AQ1309:AQ1319,0)),"")</f>
        <v/>
      </c>
      <c r="AU1308" s="1856" t="str">
        <f t="shared" ref="AU1308:AU1371" si="257">IF(AT1308="","",INDEX(AR1309:AR1319,MATCH($AU$27,AQ1309:AQ1319,0)))</f>
        <v/>
      </c>
      <c r="AV1308" s="1856" t="str">
        <f t="shared" ref="AV1308:AV1371" si="258">IF(AT1308="","",INDEX(AR1309:AR1319,MATCH($AV$27,AQ1309:AQ1319,0)))</f>
        <v/>
      </c>
      <c r="AW1308" s="1856" t="str">
        <f t="shared" ref="AW1308:AW1371" si="259">IF(AT1308="","",INDEX(AR1309:AR1319,MATCH($AW$27,AQ1309:AQ1319,0)))</f>
        <v/>
      </c>
      <c r="AX1308" s="1856" t="str">
        <f t="shared" ref="AX1308:AX1371" si="260">IF(AT1308="","",INDEX(AR1309:AR1319,MATCH($AX$27,AQ1309:AQ1319,0)))</f>
        <v/>
      </c>
      <c r="AY1308" s="1856" t="str">
        <f t="shared" ref="AY1308:AY1371" si="261">IF(AT1308="","",INDEX(AR1309:AR1319,MATCH($AY$27,AQ1309:AQ1319,0)))</f>
        <v/>
      </c>
    </row>
    <row r="1309" spans="42:52">
      <c r="AP1309" s="1855">
        <f t="shared" si="253"/>
        <v>44704</v>
      </c>
      <c r="AQ1309" s="925" t="str">
        <f t="shared" si="255"/>
        <v>MR</v>
      </c>
      <c r="AR1309" s="1856">
        <f t="shared" si="254"/>
        <v>44704.133333333331</v>
      </c>
      <c r="AS1309" s="927" t="s">
        <v>1855</v>
      </c>
      <c r="AT1309" s="1856" t="str">
        <f t="shared" si="256"/>
        <v/>
      </c>
      <c r="AU1309" s="1856" t="str">
        <f t="shared" si="257"/>
        <v/>
      </c>
      <c r="AV1309" s="1856" t="str">
        <f t="shared" si="258"/>
        <v/>
      </c>
      <c r="AW1309" s="1856" t="str">
        <f t="shared" si="259"/>
        <v/>
      </c>
      <c r="AX1309" s="1856" t="str">
        <f t="shared" si="260"/>
        <v/>
      </c>
      <c r="AY1309" s="1856" t="str">
        <f t="shared" si="261"/>
        <v/>
      </c>
    </row>
    <row r="1310" spans="42:52">
      <c r="AP1310" s="1855">
        <f t="shared" si="253"/>
        <v>44704</v>
      </c>
      <c r="AQ1310" s="925" t="str">
        <f t="shared" si="255"/>
        <v>BMNT</v>
      </c>
      <c r="AR1310" s="1856">
        <f t="shared" si="254"/>
        <v>44704.222916666666</v>
      </c>
      <c r="AS1310" s="927" t="s">
        <v>1856</v>
      </c>
      <c r="AT1310" s="1856" t="str">
        <f t="shared" si="256"/>
        <v/>
      </c>
      <c r="AU1310" s="1856" t="str">
        <f t="shared" si="257"/>
        <v/>
      </c>
      <c r="AV1310" s="1856" t="str">
        <f t="shared" si="258"/>
        <v/>
      </c>
      <c r="AW1310" s="1856" t="str">
        <f t="shared" si="259"/>
        <v/>
      </c>
      <c r="AX1310" s="1856" t="str">
        <f t="shared" si="260"/>
        <v/>
      </c>
      <c r="AY1310" s="1856" t="str">
        <f t="shared" si="261"/>
        <v/>
      </c>
    </row>
    <row r="1311" spans="42:52">
      <c r="AP1311" s="1855">
        <f t="shared" si="253"/>
        <v>44704</v>
      </c>
      <c r="AQ1311" s="925" t="str">
        <f t="shared" si="255"/>
        <v>SR</v>
      </c>
      <c r="AR1311" s="1856">
        <f t="shared" si="254"/>
        <v>44704.269444444442</v>
      </c>
      <c r="AS1311" s="927" t="s">
        <v>1857</v>
      </c>
      <c r="AT1311" s="1856" t="str">
        <f t="shared" si="256"/>
        <v/>
      </c>
      <c r="AU1311" s="1856" t="str">
        <f t="shared" si="257"/>
        <v/>
      </c>
      <c r="AV1311" s="1856" t="str">
        <f t="shared" si="258"/>
        <v/>
      </c>
      <c r="AW1311" s="1856" t="str">
        <f t="shared" si="259"/>
        <v/>
      </c>
      <c r="AX1311" s="1856" t="str">
        <f t="shared" si="260"/>
        <v/>
      </c>
      <c r="AY1311" s="1856" t="str">
        <f t="shared" si="261"/>
        <v/>
      </c>
    </row>
    <row r="1312" spans="42:52">
      <c r="AP1312" s="1855">
        <f t="shared" si="253"/>
        <v>44704</v>
      </c>
      <c r="AQ1312" s="925" t="str">
        <f t="shared" si="255"/>
        <v>MS</v>
      </c>
      <c r="AR1312" s="1856">
        <f t="shared" si="254"/>
        <v>44704.595138888893</v>
      </c>
      <c r="AS1312" s="927" t="s">
        <v>1858</v>
      </c>
      <c r="AT1312" s="1856" t="str">
        <f t="shared" si="256"/>
        <v/>
      </c>
      <c r="AU1312" s="1856" t="str">
        <f t="shared" si="257"/>
        <v/>
      </c>
      <c r="AV1312" s="1856" t="str">
        <f t="shared" si="258"/>
        <v/>
      </c>
      <c r="AW1312" s="1856" t="str">
        <f t="shared" si="259"/>
        <v/>
      </c>
      <c r="AX1312" s="1856" t="str">
        <f t="shared" si="260"/>
        <v/>
      </c>
      <c r="AY1312" s="1856" t="str">
        <f t="shared" si="261"/>
        <v/>
      </c>
    </row>
    <row r="1313" spans="42:52">
      <c r="AP1313" s="1855">
        <f t="shared" si="253"/>
        <v>44704</v>
      </c>
      <c r="AQ1313" s="925" t="str">
        <f t="shared" si="255"/>
        <v>SS</v>
      </c>
      <c r="AR1313" s="1856">
        <f t="shared" si="254"/>
        <v>44704.870138888895</v>
      </c>
      <c r="AS1313" s="927" t="s">
        <v>1859</v>
      </c>
      <c r="AT1313" s="1856" t="str">
        <f t="shared" si="256"/>
        <v/>
      </c>
      <c r="AU1313" s="1856" t="str">
        <f t="shared" si="257"/>
        <v/>
      </c>
      <c r="AV1313" s="1856" t="str">
        <f t="shared" si="258"/>
        <v/>
      </c>
      <c r="AW1313" s="1856" t="str">
        <f t="shared" si="259"/>
        <v/>
      </c>
      <c r="AX1313" s="1856" t="str">
        <f t="shared" si="260"/>
        <v/>
      </c>
      <c r="AY1313" s="1856" t="str">
        <f t="shared" si="261"/>
        <v/>
      </c>
    </row>
    <row r="1314" spans="42:52">
      <c r="AP1314" s="1855">
        <f t="shared" si="253"/>
        <v>44704</v>
      </c>
      <c r="AQ1314" s="925" t="str">
        <f t="shared" si="255"/>
        <v>EENT</v>
      </c>
      <c r="AR1314" s="1856">
        <f t="shared" si="254"/>
        <v>44704.916666666664</v>
      </c>
      <c r="AS1314" s="927" t="s">
        <v>1860</v>
      </c>
      <c r="AT1314" s="1856" t="str">
        <f t="shared" si="256"/>
        <v/>
      </c>
      <c r="AU1314" s="1856" t="str">
        <f t="shared" si="257"/>
        <v/>
      </c>
      <c r="AV1314" s="1856" t="str">
        <f t="shared" si="258"/>
        <v/>
      </c>
      <c r="AW1314" s="1856" t="str">
        <f t="shared" si="259"/>
        <v/>
      </c>
      <c r="AX1314" s="1856" t="str">
        <f t="shared" si="260"/>
        <v/>
      </c>
      <c r="AY1314" s="1856" t="str">
        <f t="shared" si="261"/>
        <v/>
      </c>
    </row>
    <row r="1315" spans="42:52">
      <c r="AP1315" s="1855">
        <f t="shared" si="253"/>
        <v>44705</v>
      </c>
      <c r="AQ1315" s="925" t="str">
        <f t="shared" si="255"/>
        <v/>
      </c>
      <c r="AR1315" s="1856" t="str">
        <f t="shared" si="254"/>
        <v/>
      </c>
      <c r="AS1315" s="927">
        <v>24</v>
      </c>
      <c r="AT1315" s="1856">
        <f t="shared" si="256"/>
        <v>44705.222222222226</v>
      </c>
      <c r="AU1315" s="1856">
        <f t="shared" si="257"/>
        <v>44705.268750000003</v>
      </c>
      <c r="AV1315" s="1856">
        <f t="shared" si="258"/>
        <v>44705.870833333334</v>
      </c>
      <c r="AW1315" s="1856">
        <f t="shared" si="259"/>
        <v>44705.917361111111</v>
      </c>
      <c r="AX1315" s="1856">
        <f t="shared" si="260"/>
        <v>44705.152083333334</v>
      </c>
      <c r="AY1315" s="1856">
        <f t="shared" si="261"/>
        <v>44705.640277777777</v>
      </c>
      <c r="AZ1315" s="1853">
        <v>0.35</v>
      </c>
    </row>
    <row r="1316" spans="42:52">
      <c r="AP1316" s="1855">
        <f t="shared" si="253"/>
        <v>44705</v>
      </c>
      <c r="AQ1316" s="925" t="str">
        <f t="shared" si="255"/>
        <v/>
      </c>
      <c r="AR1316" s="1856" t="str">
        <f t="shared" si="254"/>
        <v/>
      </c>
      <c r="AS1316" s="927" t="s">
        <v>252</v>
      </c>
      <c r="AT1316" s="1856" t="str">
        <f t="shared" si="256"/>
        <v/>
      </c>
      <c r="AU1316" s="1856" t="str">
        <f t="shared" si="257"/>
        <v/>
      </c>
      <c r="AV1316" s="1856" t="str">
        <f t="shared" si="258"/>
        <v/>
      </c>
      <c r="AW1316" s="1856" t="str">
        <f t="shared" si="259"/>
        <v/>
      </c>
      <c r="AX1316" s="1856" t="str">
        <f t="shared" si="260"/>
        <v/>
      </c>
      <c r="AY1316" s="1856" t="str">
        <f t="shared" si="261"/>
        <v/>
      </c>
    </row>
    <row r="1317" spans="42:52">
      <c r="AP1317" s="1855">
        <f t="shared" ref="AP1317:AP1380" si="262">IF(ISNUMBER(AS1317),AP1316+1,AP1316)</f>
        <v>44705</v>
      </c>
      <c r="AQ1317" s="925" t="str">
        <f t="shared" si="255"/>
        <v/>
      </c>
      <c r="AR1317" s="1856" t="str">
        <f t="shared" si="254"/>
        <v/>
      </c>
      <c r="AT1317" s="1856" t="str">
        <f t="shared" si="256"/>
        <v/>
      </c>
      <c r="AU1317" s="1856" t="str">
        <f t="shared" si="257"/>
        <v/>
      </c>
      <c r="AV1317" s="1856" t="str">
        <f t="shared" si="258"/>
        <v/>
      </c>
      <c r="AW1317" s="1856" t="str">
        <f t="shared" si="259"/>
        <v/>
      </c>
      <c r="AX1317" s="1856" t="str">
        <f t="shared" si="260"/>
        <v/>
      </c>
      <c r="AY1317" s="1856" t="str">
        <f t="shared" si="261"/>
        <v/>
      </c>
    </row>
    <row r="1318" spans="42:52">
      <c r="AP1318" s="1855">
        <f t="shared" si="262"/>
        <v>44705</v>
      </c>
      <c r="AQ1318" s="925" t="str">
        <f t="shared" si="255"/>
        <v>MR</v>
      </c>
      <c r="AR1318" s="1856">
        <f t="shared" si="254"/>
        <v>44705.152083333334</v>
      </c>
      <c r="AS1318" s="927" t="s">
        <v>1861</v>
      </c>
      <c r="AT1318" s="1856" t="str">
        <f t="shared" si="256"/>
        <v/>
      </c>
      <c r="AU1318" s="1856" t="str">
        <f t="shared" si="257"/>
        <v/>
      </c>
      <c r="AV1318" s="1856" t="str">
        <f t="shared" si="258"/>
        <v/>
      </c>
      <c r="AW1318" s="1856" t="str">
        <f t="shared" si="259"/>
        <v/>
      </c>
      <c r="AX1318" s="1856" t="str">
        <f t="shared" si="260"/>
        <v/>
      </c>
      <c r="AY1318" s="1856" t="str">
        <f t="shared" si="261"/>
        <v/>
      </c>
    </row>
    <row r="1319" spans="42:52">
      <c r="AP1319" s="1855">
        <f t="shared" si="262"/>
        <v>44705</v>
      </c>
      <c r="AQ1319" s="925" t="str">
        <f t="shared" si="255"/>
        <v>BMNT</v>
      </c>
      <c r="AR1319" s="1856">
        <f t="shared" si="254"/>
        <v>44705.222222222226</v>
      </c>
      <c r="AS1319" s="927" t="s">
        <v>1862</v>
      </c>
      <c r="AT1319" s="1856" t="str">
        <f t="shared" si="256"/>
        <v/>
      </c>
      <c r="AU1319" s="1856" t="str">
        <f t="shared" si="257"/>
        <v/>
      </c>
      <c r="AV1319" s="1856" t="str">
        <f t="shared" si="258"/>
        <v/>
      </c>
      <c r="AW1319" s="1856" t="str">
        <f t="shared" si="259"/>
        <v/>
      </c>
      <c r="AX1319" s="1856" t="str">
        <f t="shared" si="260"/>
        <v/>
      </c>
      <c r="AY1319" s="1856" t="str">
        <f t="shared" si="261"/>
        <v/>
      </c>
    </row>
    <row r="1320" spans="42:52">
      <c r="AP1320" s="1855">
        <f t="shared" si="262"/>
        <v>44705</v>
      </c>
      <c r="AQ1320" s="925" t="str">
        <f t="shared" si="255"/>
        <v>SR</v>
      </c>
      <c r="AR1320" s="1856">
        <f t="shared" si="254"/>
        <v>44705.268750000003</v>
      </c>
      <c r="AS1320" s="927" t="s">
        <v>1863</v>
      </c>
      <c r="AT1320" s="1856" t="str">
        <f t="shared" si="256"/>
        <v/>
      </c>
      <c r="AU1320" s="1856" t="str">
        <f t="shared" si="257"/>
        <v/>
      </c>
      <c r="AV1320" s="1856" t="str">
        <f t="shared" si="258"/>
        <v/>
      </c>
      <c r="AW1320" s="1856" t="str">
        <f t="shared" si="259"/>
        <v/>
      </c>
      <c r="AX1320" s="1856" t="str">
        <f t="shared" si="260"/>
        <v/>
      </c>
      <c r="AY1320" s="1856" t="str">
        <f t="shared" si="261"/>
        <v/>
      </c>
    </row>
    <row r="1321" spans="42:52">
      <c r="AP1321" s="1855">
        <f t="shared" si="262"/>
        <v>44705</v>
      </c>
      <c r="AQ1321" s="925" t="str">
        <f t="shared" si="255"/>
        <v>MS</v>
      </c>
      <c r="AR1321" s="1856">
        <f t="shared" ref="AR1321:AR1384" si="263">IF(NOT(ISNUMBER(FIND(":",AS1321))),"",IF(ISNUMBER(FIND(" none",AS1321)),"NONE",AP1321+LEFT(RIGHT(AS1321,5),2)/24+RIGHT(AS1321,2)/1440))</f>
        <v>44705.640277777777</v>
      </c>
      <c r="AS1321" s="927" t="s">
        <v>1864</v>
      </c>
      <c r="AT1321" s="1856" t="str">
        <f t="shared" si="256"/>
        <v/>
      </c>
      <c r="AU1321" s="1856" t="str">
        <f t="shared" si="257"/>
        <v/>
      </c>
      <c r="AV1321" s="1856" t="str">
        <f t="shared" si="258"/>
        <v/>
      </c>
      <c r="AW1321" s="1856" t="str">
        <f t="shared" si="259"/>
        <v/>
      </c>
      <c r="AX1321" s="1856" t="str">
        <f t="shared" si="260"/>
        <v/>
      </c>
      <c r="AY1321" s="1856" t="str">
        <f t="shared" si="261"/>
        <v/>
      </c>
    </row>
    <row r="1322" spans="42:52">
      <c r="AP1322" s="1855">
        <f t="shared" si="262"/>
        <v>44705</v>
      </c>
      <c r="AQ1322" s="925" t="str">
        <f t="shared" si="255"/>
        <v>SS</v>
      </c>
      <c r="AR1322" s="1856">
        <f t="shared" si="263"/>
        <v>44705.870833333334</v>
      </c>
      <c r="AS1322" s="927" t="s">
        <v>1865</v>
      </c>
      <c r="AT1322" s="1856" t="str">
        <f t="shared" si="256"/>
        <v/>
      </c>
      <c r="AU1322" s="1856" t="str">
        <f t="shared" si="257"/>
        <v/>
      </c>
      <c r="AV1322" s="1856" t="str">
        <f t="shared" si="258"/>
        <v/>
      </c>
      <c r="AW1322" s="1856" t="str">
        <f t="shared" si="259"/>
        <v/>
      </c>
      <c r="AX1322" s="1856" t="str">
        <f t="shared" si="260"/>
        <v/>
      </c>
      <c r="AY1322" s="1856" t="str">
        <f t="shared" si="261"/>
        <v/>
      </c>
    </row>
    <row r="1323" spans="42:52">
      <c r="AP1323" s="1855">
        <f t="shared" si="262"/>
        <v>44705</v>
      </c>
      <c r="AQ1323" s="925" t="str">
        <f t="shared" si="255"/>
        <v>EENT</v>
      </c>
      <c r="AR1323" s="1856">
        <f t="shared" si="263"/>
        <v>44705.917361111111</v>
      </c>
      <c r="AS1323" s="927" t="s">
        <v>1866</v>
      </c>
      <c r="AT1323" s="1856" t="str">
        <f t="shared" si="256"/>
        <v/>
      </c>
      <c r="AU1323" s="1856" t="str">
        <f t="shared" si="257"/>
        <v/>
      </c>
      <c r="AV1323" s="1856" t="str">
        <f t="shared" si="258"/>
        <v/>
      </c>
      <c r="AW1323" s="1856" t="str">
        <f t="shared" si="259"/>
        <v/>
      </c>
      <c r="AX1323" s="1856" t="str">
        <f t="shared" si="260"/>
        <v/>
      </c>
      <c r="AY1323" s="1856" t="str">
        <f t="shared" si="261"/>
        <v/>
      </c>
    </row>
    <row r="1324" spans="42:52">
      <c r="AP1324" s="1855">
        <f t="shared" si="262"/>
        <v>44706</v>
      </c>
      <c r="AQ1324" s="925" t="str">
        <f t="shared" si="255"/>
        <v/>
      </c>
      <c r="AR1324" s="1856" t="str">
        <f t="shared" si="263"/>
        <v/>
      </c>
      <c r="AS1324" s="927">
        <v>25</v>
      </c>
      <c r="AT1324" s="1856">
        <f t="shared" si="256"/>
        <v>44706.22152777778</v>
      </c>
      <c r="AU1324" s="1856">
        <f t="shared" si="257"/>
        <v>44706.268750000003</v>
      </c>
      <c r="AV1324" s="1856">
        <f t="shared" si="258"/>
        <v>44706.871527777781</v>
      </c>
      <c r="AW1324" s="1856">
        <f t="shared" si="259"/>
        <v>44706.91805555555</v>
      </c>
      <c r="AX1324" s="1856">
        <f t="shared" si="260"/>
        <v>44706.169444444444</v>
      </c>
      <c r="AY1324" s="1856">
        <f t="shared" si="261"/>
        <v>44706.684027777774</v>
      </c>
      <c r="AZ1324" s="1853">
        <v>0.25</v>
      </c>
    </row>
    <row r="1325" spans="42:52">
      <c r="AP1325" s="1855">
        <f t="shared" si="262"/>
        <v>44706</v>
      </c>
      <c r="AQ1325" s="925" t="str">
        <f t="shared" si="255"/>
        <v/>
      </c>
      <c r="AR1325" s="1856" t="str">
        <f t="shared" si="263"/>
        <v/>
      </c>
      <c r="AS1325" s="927" t="s">
        <v>252</v>
      </c>
      <c r="AT1325" s="1856" t="str">
        <f t="shared" si="256"/>
        <v/>
      </c>
      <c r="AU1325" s="1856" t="str">
        <f t="shared" si="257"/>
        <v/>
      </c>
      <c r="AV1325" s="1856" t="str">
        <f t="shared" si="258"/>
        <v/>
      </c>
      <c r="AW1325" s="1856" t="str">
        <f t="shared" si="259"/>
        <v/>
      </c>
      <c r="AX1325" s="1856" t="str">
        <f t="shared" si="260"/>
        <v/>
      </c>
      <c r="AY1325" s="1856" t="str">
        <f t="shared" si="261"/>
        <v/>
      </c>
    </row>
    <row r="1326" spans="42:52">
      <c r="AP1326" s="1855">
        <f t="shared" si="262"/>
        <v>44706</v>
      </c>
      <c r="AQ1326" s="925" t="str">
        <f t="shared" si="255"/>
        <v/>
      </c>
      <c r="AR1326" s="1856" t="str">
        <f t="shared" si="263"/>
        <v/>
      </c>
      <c r="AT1326" s="1856" t="str">
        <f t="shared" si="256"/>
        <v/>
      </c>
      <c r="AU1326" s="1856" t="str">
        <f t="shared" si="257"/>
        <v/>
      </c>
      <c r="AV1326" s="1856" t="str">
        <f t="shared" si="258"/>
        <v/>
      </c>
      <c r="AW1326" s="1856" t="str">
        <f t="shared" si="259"/>
        <v/>
      </c>
      <c r="AX1326" s="1856" t="str">
        <f t="shared" si="260"/>
        <v/>
      </c>
      <c r="AY1326" s="1856" t="str">
        <f t="shared" si="261"/>
        <v/>
      </c>
    </row>
    <row r="1327" spans="42:52">
      <c r="AP1327" s="1855">
        <f t="shared" si="262"/>
        <v>44706</v>
      </c>
      <c r="AQ1327" s="925" t="str">
        <f t="shared" si="255"/>
        <v>MR</v>
      </c>
      <c r="AR1327" s="1856">
        <f t="shared" si="263"/>
        <v>44706.169444444444</v>
      </c>
      <c r="AS1327" s="927" t="s">
        <v>1867</v>
      </c>
      <c r="AT1327" s="1856" t="str">
        <f t="shared" si="256"/>
        <v/>
      </c>
      <c r="AU1327" s="1856" t="str">
        <f t="shared" si="257"/>
        <v/>
      </c>
      <c r="AV1327" s="1856" t="str">
        <f t="shared" si="258"/>
        <v/>
      </c>
      <c r="AW1327" s="1856" t="str">
        <f t="shared" si="259"/>
        <v/>
      </c>
      <c r="AX1327" s="1856" t="str">
        <f t="shared" si="260"/>
        <v/>
      </c>
      <c r="AY1327" s="1856" t="str">
        <f t="shared" si="261"/>
        <v/>
      </c>
    </row>
    <row r="1328" spans="42:52">
      <c r="AP1328" s="1855">
        <f t="shared" si="262"/>
        <v>44706</v>
      </c>
      <c r="AQ1328" s="925" t="str">
        <f t="shared" si="255"/>
        <v>BMNT</v>
      </c>
      <c r="AR1328" s="1856">
        <f t="shared" si="263"/>
        <v>44706.22152777778</v>
      </c>
      <c r="AS1328" s="927" t="s">
        <v>1868</v>
      </c>
      <c r="AT1328" s="1856" t="str">
        <f t="shared" si="256"/>
        <v/>
      </c>
      <c r="AU1328" s="1856" t="str">
        <f t="shared" si="257"/>
        <v/>
      </c>
      <c r="AV1328" s="1856" t="str">
        <f t="shared" si="258"/>
        <v/>
      </c>
      <c r="AW1328" s="1856" t="str">
        <f t="shared" si="259"/>
        <v/>
      </c>
      <c r="AX1328" s="1856" t="str">
        <f t="shared" si="260"/>
        <v/>
      </c>
      <c r="AY1328" s="1856" t="str">
        <f t="shared" si="261"/>
        <v/>
      </c>
    </row>
    <row r="1329" spans="42:52">
      <c r="AP1329" s="1855">
        <f t="shared" si="262"/>
        <v>44706</v>
      </c>
      <c r="AQ1329" s="925" t="str">
        <f t="shared" si="255"/>
        <v>SR</v>
      </c>
      <c r="AR1329" s="1856">
        <f t="shared" si="263"/>
        <v>44706.268750000003</v>
      </c>
      <c r="AS1329" s="927" t="s">
        <v>1863</v>
      </c>
      <c r="AT1329" s="1856" t="str">
        <f t="shared" si="256"/>
        <v/>
      </c>
      <c r="AU1329" s="1856" t="str">
        <f t="shared" si="257"/>
        <v/>
      </c>
      <c r="AV1329" s="1856" t="str">
        <f t="shared" si="258"/>
        <v/>
      </c>
      <c r="AW1329" s="1856" t="str">
        <f t="shared" si="259"/>
        <v/>
      </c>
      <c r="AX1329" s="1856" t="str">
        <f t="shared" si="260"/>
        <v/>
      </c>
      <c r="AY1329" s="1856" t="str">
        <f t="shared" si="261"/>
        <v/>
      </c>
    </row>
    <row r="1330" spans="42:52">
      <c r="AP1330" s="1855">
        <f t="shared" si="262"/>
        <v>44706</v>
      </c>
      <c r="AQ1330" s="925" t="str">
        <f t="shared" si="255"/>
        <v>MS</v>
      </c>
      <c r="AR1330" s="1856">
        <f t="shared" si="263"/>
        <v>44706.684027777774</v>
      </c>
      <c r="AS1330" s="927" t="s">
        <v>1869</v>
      </c>
      <c r="AT1330" s="1856" t="str">
        <f t="shared" si="256"/>
        <v/>
      </c>
      <c r="AU1330" s="1856" t="str">
        <f t="shared" si="257"/>
        <v/>
      </c>
      <c r="AV1330" s="1856" t="str">
        <f t="shared" si="258"/>
        <v/>
      </c>
      <c r="AW1330" s="1856" t="str">
        <f t="shared" si="259"/>
        <v/>
      </c>
      <c r="AX1330" s="1856" t="str">
        <f t="shared" si="260"/>
        <v/>
      </c>
      <c r="AY1330" s="1856" t="str">
        <f t="shared" si="261"/>
        <v/>
      </c>
    </row>
    <row r="1331" spans="42:52">
      <c r="AP1331" s="1855">
        <f t="shared" si="262"/>
        <v>44706</v>
      </c>
      <c r="AQ1331" s="925" t="str">
        <f t="shared" si="255"/>
        <v>SS</v>
      </c>
      <c r="AR1331" s="1856">
        <f t="shared" si="263"/>
        <v>44706.871527777781</v>
      </c>
      <c r="AS1331" s="927" t="s">
        <v>1870</v>
      </c>
      <c r="AT1331" s="1856" t="str">
        <f t="shared" si="256"/>
        <v/>
      </c>
      <c r="AU1331" s="1856" t="str">
        <f t="shared" si="257"/>
        <v/>
      </c>
      <c r="AV1331" s="1856" t="str">
        <f t="shared" si="258"/>
        <v/>
      </c>
      <c r="AW1331" s="1856" t="str">
        <f t="shared" si="259"/>
        <v/>
      </c>
      <c r="AX1331" s="1856" t="str">
        <f t="shared" si="260"/>
        <v/>
      </c>
      <c r="AY1331" s="1856" t="str">
        <f t="shared" si="261"/>
        <v/>
      </c>
    </row>
    <row r="1332" spans="42:52">
      <c r="AP1332" s="1855">
        <f t="shared" si="262"/>
        <v>44706</v>
      </c>
      <c r="AQ1332" s="925" t="str">
        <f t="shared" ref="AQ1332:AQ1395" si="264">IF(NOT(ISNUMBER(FIND(":",AS1332))),"",IF(ISNUMBER(FIND("Sunr",AS1332)),"SR", IF(ISNUMBER(FIND("Suns",AS1332)),"SS",IF(ISNUMBER(FIND("Moonr",AS1332)),"MR",IF(ISNUMBER(FIND("Moons",AS1332)),"MS",IF(ISNUMBER(FIND("Twi",AS1332)),IF(HOUR(AR1332)&lt;12,"BMNT","EENT")))))))</f>
        <v>EENT</v>
      </c>
      <c r="AR1332" s="1856">
        <f t="shared" si="263"/>
        <v>44706.91805555555</v>
      </c>
      <c r="AS1332" s="927" t="s">
        <v>1871</v>
      </c>
      <c r="AT1332" s="1856" t="str">
        <f t="shared" si="256"/>
        <v/>
      </c>
      <c r="AU1332" s="1856" t="str">
        <f t="shared" si="257"/>
        <v/>
      </c>
      <c r="AV1332" s="1856" t="str">
        <f t="shared" si="258"/>
        <v/>
      </c>
      <c r="AW1332" s="1856" t="str">
        <f t="shared" si="259"/>
        <v/>
      </c>
      <c r="AX1332" s="1856" t="str">
        <f t="shared" si="260"/>
        <v/>
      </c>
      <c r="AY1332" s="1856" t="str">
        <f t="shared" si="261"/>
        <v/>
      </c>
    </row>
    <row r="1333" spans="42:52">
      <c r="AP1333" s="1855">
        <f t="shared" si="262"/>
        <v>44707</v>
      </c>
      <c r="AQ1333" s="925" t="str">
        <f t="shared" si="264"/>
        <v/>
      </c>
      <c r="AR1333" s="1856" t="str">
        <f t="shared" si="263"/>
        <v/>
      </c>
      <c r="AS1333" s="927">
        <v>26</v>
      </c>
      <c r="AT1333" s="1856">
        <f t="shared" si="256"/>
        <v>44707.220833333333</v>
      </c>
      <c r="AU1333" s="1856">
        <f t="shared" si="257"/>
        <v>44707.268055555556</v>
      </c>
      <c r="AV1333" s="1856">
        <f t="shared" si="258"/>
        <v>44707.871527777781</v>
      </c>
      <c r="AW1333" s="1856">
        <f t="shared" si="259"/>
        <v>44707.918749999997</v>
      </c>
      <c r="AX1333" s="1856">
        <f t="shared" si="260"/>
        <v>44707.186111111107</v>
      </c>
      <c r="AY1333" s="1856">
        <f t="shared" si="261"/>
        <v>44707.727083333339</v>
      </c>
      <c r="AZ1333" s="1853">
        <v>0.17</v>
      </c>
    </row>
    <row r="1334" spans="42:52">
      <c r="AP1334" s="1855">
        <f t="shared" si="262"/>
        <v>44707</v>
      </c>
      <c r="AQ1334" s="925" t="str">
        <f t="shared" si="264"/>
        <v/>
      </c>
      <c r="AR1334" s="1856" t="str">
        <f t="shared" si="263"/>
        <v/>
      </c>
      <c r="AS1334" s="927" t="s">
        <v>252</v>
      </c>
      <c r="AT1334" s="1856" t="str">
        <f t="shared" si="256"/>
        <v/>
      </c>
      <c r="AU1334" s="1856" t="str">
        <f t="shared" si="257"/>
        <v/>
      </c>
      <c r="AV1334" s="1856" t="str">
        <f t="shared" si="258"/>
        <v/>
      </c>
      <c r="AW1334" s="1856" t="str">
        <f t="shared" si="259"/>
        <v/>
      </c>
      <c r="AX1334" s="1856" t="str">
        <f t="shared" si="260"/>
        <v/>
      </c>
      <c r="AY1334" s="1856" t="str">
        <f t="shared" si="261"/>
        <v/>
      </c>
    </row>
    <row r="1335" spans="42:52">
      <c r="AP1335" s="1855">
        <f t="shared" si="262"/>
        <v>44707</v>
      </c>
      <c r="AQ1335" s="925" t="str">
        <f t="shared" si="264"/>
        <v/>
      </c>
      <c r="AR1335" s="1856" t="str">
        <f t="shared" si="263"/>
        <v/>
      </c>
      <c r="AT1335" s="1856" t="str">
        <f t="shared" si="256"/>
        <v/>
      </c>
      <c r="AU1335" s="1856" t="str">
        <f t="shared" si="257"/>
        <v/>
      </c>
      <c r="AV1335" s="1856" t="str">
        <f t="shared" si="258"/>
        <v/>
      </c>
      <c r="AW1335" s="1856" t="str">
        <f t="shared" si="259"/>
        <v/>
      </c>
      <c r="AX1335" s="1856" t="str">
        <f t="shared" si="260"/>
        <v/>
      </c>
      <c r="AY1335" s="1856" t="str">
        <f t="shared" si="261"/>
        <v/>
      </c>
    </row>
    <row r="1336" spans="42:52">
      <c r="AP1336" s="1855">
        <f t="shared" si="262"/>
        <v>44707</v>
      </c>
      <c r="AQ1336" s="925" t="str">
        <f t="shared" si="264"/>
        <v>MR</v>
      </c>
      <c r="AR1336" s="1856">
        <f t="shared" si="263"/>
        <v>44707.186111111107</v>
      </c>
      <c r="AS1336" s="927" t="s">
        <v>1872</v>
      </c>
      <c r="AT1336" s="1856" t="str">
        <f t="shared" si="256"/>
        <v/>
      </c>
      <c r="AU1336" s="1856" t="str">
        <f t="shared" si="257"/>
        <v/>
      </c>
      <c r="AV1336" s="1856" t="str">
        <f t="shared" si="258"/>
        <v/>
      </c>
      <c r="AW1336" s="1856" t="str">
        <f t="shared" si="259"/>
        <v/>
      </c>
      <c r="AX1336" s="1856" t="str">
        <f t="shared" si="260"/>
        <v/>
      </c>
      <c r="AY1336" s="1856" t="str">
        <f t="shared" si="261"/>
        <v/>
      </c>
    </row>
    <row r="1337" spans="42:52">
      <c r="AP1337" s="1855">
        <f t="shared" si="262"/>
        <v>44707</v>
      </c>
      <c r="AQ1337" s="925" t="str">
        <f t="shared" si="264"/>
        <v>BMNT</v>
      </c>
      <c r="AR1337" s="1856">
        <f t="shared" si="263"/>
        <v>44707.220833333333</v>
      </c>
      <c r="AS1337" s="927" t="s">
        <v>1873</v>
      </c>
      <c r="AT1337" s="1856" t="str">
        <f t="shared" si="256"/>
        <v/>
      </c>
      <c r="AU1337" s="1856" t="str">
        <f t="shared" si="257"/>
        <v/>
      </c>
      <c r="AV1337" s="1856" t="str">
        <f t="shared" si="258"/>
        <v/>
      </c>
      <c r="AW1337" s="1856" t="str">
        <f t="shared" si="259"/>
        <v/>
      </c>
      <c r="AX1337" s="1856" t="str">
        <f t="shared" si="260"/>
        <v/>
      </c>
      <c r="AY1337" s="1856" t="str">
        <f t="shared" si="261"/>
        <v/>
      </c>
    </row>
    <row r="1338" spans="42:52">
      <c r="AP1338" s="1855">
        <f t="shared" si="262"/>
        <v>44707</v>
      </c>
      <c r="AQ1338" s="925" t="str">
        <f t="shared" si="264"/>
        <v>SR</v>
      </c>
      <c r="AR1338" s="1856">
        <f t="shared" si="263"/>
        <v>44707.268055555556</v>
      </c>
      <c r="AS1338" s="927" t="s">
        <v>1874</v>
      </c>
      <c r="AT1338" s="1856" t="str">
        <f t="shared" si="256"/>
        <v/>
      </c>
      <c r="AU1338" s="1856" t="str">
        <f t="shared" si="257"/>
        <v/>
      </c>
      <c r="AV1338" s="1856" t="str">
        <f t="shared" si="258"/>
        <v/>
      </c>
      <c r="AW1338" s="1856" t="str">
        <f t="shared" si="259"/>
        <v/>
      </c>
      <c r="AX1338" s="1856" t="str">
        <f t="shared" si="260"/>
        <v/>
      </c>
      <c r="AY1338" s="1856" t="str">
        <f t="shared" si="261"/>
        <v/>
      </c>
    </row>
    <row r="1339" spans="42:52">
      <c r="AP1339" s="1855">
        <f t="shared" si="262"/>
        <v>44707</v>
      </c>
      <c r="AQ1339" s="925" t="str">
        <f t="shared" si="264"/>
        <v>MS</v>
      </c>
      <c r="AR1339" s="1856">
        <f t="shared" si="263"/>
        <v>44707.727083333339</v>
      </c>
      <c r="AS1339" s="927" t="s">
        <v>1581</v>
      </c>
      <c r="AT1339" s="1856" t="str">
        <f t="shared" si="256"/>
        <v/>
      </c>
      <c r="AU1339" s="1856" t="str">
        <f t="shared" si="257"/>
        <v/>
      </c>
      <c r="AV1339" s="1856" t="str">
        <f t="shared" si="258"/>
        <v/>
      </c>
      <c r="AW1339" s="1856" t="str">
        <f t="shared" si="259"/>
        <v/>
      </c>
      <c r="AX1339" s="1856" t="str">
        <f t="shared" si="260"/>
        <v/>
      </c>
      <c r="AY1339" s="1856" t="str">
        <f t="shared" si="261"/>
        <v/>
      </c>
    </row>
    <row r="1340" spans="42:52">
      <c r="AP1340" s="1855">
        <f t="shared" si="262"/>
        <v>44707</v>
      </c>
      <c r="AQ1340" s="925" t="str">
        <f t="shared" si="264"/>
        <v>SS</v>
      </c>
      <c r="AR1340" s="1856">
        <f t="shared" si="263"/>
        <v>44707.871527777781</v>
      </c>
      <c r="AS1340" s="927" t="s">
        <v>1870</v>
      </c>
      <c r="AT1340" s="1856" t="str">
        <f t="shared" si="256"/>
        <v/>
      </c>
      <c r="AU1340" s="1856" t="str">
        <f t="shared" si="257"/>
        <v/>
      </c>
      <c r="AV1340" s="1856" t="str">
        <f t="shared" si="258"/>
        <v/>
      </c>
      <c r="AW1340" s="1856" t="str">
        <f t="shared" si="259"/>
        <v/>
      </c>
      <c r="AX1340" s="1856" t="str">
        <f t="shared" si="260"/>
        <v/>
      </c>
      <c r="AY1340" s="1856" t="str">
        <f t="shared" si="261"/>
        <v/>
      </c>
    </row>
    <row r="1341" spans="42:52">
      <c r="AP1341" s="1855">
        <f t="shared" si="262"/>
        <v>44707</v>
      </c>
      <c r="AQ1341" s="925" t="str">
        <f t="shared" si="264"/>
        <v>EENT</v>
      </c>
      <c r="AR1341" s="1856">
        <f t="shared" si="263"/>
        <v>44707.918749999997</v>
      </c>
      <c r="AS1341" s="927" t="s">
        <v>1875</v>
      </c>
      <c r="AT1341" s="1856" t="str">
        <f t="shared" si="256"/>
        <v/>
      </c>
      <c r="AU1341" s="1856" t="str">
        <f t="shared" si="257"/>
        <v/>
      </c>
      <c r="AV1341" s="1856" t="str">
        <f t="shared" si="258"/>
        <v/>
      </c>
      <c r="AW1341" s="1856" t="str">
        <f t="shared" si="259"/>
        <v/>
      </c>
      <c r="AX1341" s="1856" t="str">
        <f t="shared" si="260"/>
        <v/>
      </c>
      <c r="AY1341" s="1856" t="str">
        <f t="shared" si="261"/>
        <v/>
      </c>
    </row>
    <row r="1342" spans="42:52">
      <c r="AP1342" s="1855">
        <f t="shared" si="262"/>
        <v>44708</v>
      </c>
      <c r="AQ1342" s="925" t="str">
        <f t="shared" si="264"/>
        <v/>
      </c>
      <c r="AR1342" s="1856" t="str">
        <f t="shared" si="263"/>
        <v/>
      </c>
      <c r="AS1342" s="927">
        <v>27</v>
      </c>
      <c r="AT1342" s="1856">
        <f t="shared" si="256"/>
        <v>44708.220833333333</v>
      </c>
      <c r="AU1342" s="1856">
        <f t="shared" si="257"/>
        <v>44708.268055555556</v>
      </c>
      <c r="AV1342" s="1856">
        <f t="shared" si="258"/>
        <v>44708.872222222228</v>
      </c>
      <c r="AW1342" s="1856">
        <f t="shared" si="259"/>
        <v>44708.919444444444</v>
      </c>
      <c r="AX1342" s="1856">
        <f t="shared" si="260"/>
        <v>44708.202777777777</v>
      </c>
      <c r="AY1342" s="1856">
        <f t="shared" si="261"/>
        <v>44708.770138888889</v>
      </c>
      <c r="AZ1342" s="1853">
        <v>0.1</v>
      </c>
    </row>
    <row r="1343" spans="42:52">
      <c r="AP1343" s="1855">
        <f t="shared" si="262"/>
        <v>44708</v>
      </c>
      <c r="AQ1343" s="925" t="str">
        <f t="shared" si="264"/>
        <v/>
      </c>
      <c r="AR1343" s="1856" t="str">
        <f t="shared" si="263"/>
        <v/>
      </c>
      <c r="AS1343" s="927" t="s">
        <v>252</v>
      </c>
      <c r="AT1343" s="1856" t="str">
        <f t="shared" si="256"/>
        <v/>
      </c>
      <c r="AU1343" s="1856" t="str">
        <f t="shared" si="257"/>
        <v/>
      </c>
      <c r="AV1343" s="1856" t="str">
        <f t="shared" si="258"/>
        <v/>
      </c>
      <c r="AW1343" s="1856" t="str">
        <f t="shared" si="259"/>
        <v/>
      </c>
      <c r="AX1343" s="1856" t="str">
        <f t="shared" si="260"/>
        <v/>
      </c>
      <c r="AY1343" s="1856" t="str">
        <f t="shared" si="261"/>
        <v/>
      </c>
    </row>
    <row r="1344" spans="42:52">
      <c r="AP1344" s="1855">
        <f t="shared" si="262"/>
        <v>44708</v>
      </c>
      <c r="AQ1344" s="925" t="str">
        <f t="shared" si="264"/>
        <v/>
      </c>
      <c r="AR1344" s="1856" t="str">
        <f t="shared" si="263"/>
        <v/>
      </c>
      <c r="AT1344" s="1856" t="str">
        <f t="shared" si="256"/>
        <v/>
      </c>
      <c r="AU1344" s="1856" t="str">
        <f t="shared" si="257"/>
        <v/>
      </c>
      <c r="AV1344" s="1856" t="str">
        <f t="shared" si="258"/>
        <v/>
      </c>
      <c r="AW1344" s="1856" t="str">
        <f t="shared" si="259"/>
        <v/>
      </c>
      <c r="AX1344" s="1856" t="str">
        <f t="shared" si="260"/>
        <v/>
      </c>
      <c r="AY1344" s="1856" t="str">
        <f t="shared" si="261"/>
        <v/>
      </c>
    </row>
    <row r="1345" spans="42:52">
      <c r="AP1345" s="1855">
        <f t="shared" si="262"/>
        <v>44708</v>
      </c>
      <c r="AQ1345" s="925" t="str">
        <f t="shared" si="264"/>
        <v>MR</v>
      </c>
      <c r="AR1345" s="1856">
        <f t="shared" si="263"/>
        <v>44708.202777777777</v>
      </c>
      <c r="AS1345" s="927" t="s">
        <v>1876</v>
      </c>
      <c r="AT1345" s="1856" t="str">
        <f t="shared" si="256"/>
        <v/>
      </c>
      <c r="AU1345" s="1856" t="str">
        <f t="shared" si="257"/>
        <v/>
      </c>
      <c r="AV1345" s="1856" t="str">
        <f t="shared" si="258"/>
        <v/>
      </c>
      <c r="AW1345" s="1856" t="str">
        <f t="shared" si="259"/>
        <v/>
      </c>
      <c r="AX1345" s="1856" t="str">
        <f t="shared" si="260"/>
        <v/>
      </c>
      <c r="AY1345" s="1856" t="str">
        <f t="shared" si="261"/>
        <v/>
      </c>
    </row>
    <row r="1346" spans="42:52">
      <c r="AP1346" s="1855">
        <f t="shared" si="262"/>
        <v>44708</v>
      </c>
      <c r="AQ1346" s="925" t="str">
        <f t="shared" si="264"/>
        <v>BMNT</v>
      </c>
      <c r="AR1346" s="1856">
        <f t="shared" si="263"/>
        <v>44708.220833333333</v>
      </c>
      <c r="AS1346" s="927" t="s">
        <v>1873</v>
      </c>
      <c r="AT1346" s="1856" t="str">
        <f t="shared" si="256"/>
        <v/>
      </c>
      <c r="AU1346" s="1856" t="str">
        <f t="shared" si="257"/>
        <v/>
      </c>
      <c r="AV1346" s="1856" t="str">
        <f t="shared" si="258"/>
        <v/>
      </c>
      <c r="AW1346" s="1856" t="str">
        <f t="shared" si="259"/>
        <v/>
      </c>
      <c r="AX1346" s="1856" t="str">
        <f t="shared" si="260"/>
        <v/>
      </c>
      <c r="AY1346" s="1856" t="str">
        <f t="shared" si="261"/>
        <v/>
      </c>
    </row>
    <row r="1347" spans="42:52">
      <c r="AP1347" s="1855">
        <f t="shared" si="262"/>
        <v>44708</v>
      </c>
      <c r="AQ1347" s="925" t="str">
        <f t="shared" si="264"/>
        <v>SR</v>
      </c>
      <c r="AR1347" s="1856">
        <f t="shared" si="263"/>
        <v>44708.268055555556</v>
      </c>
      <c r="AS1347" s="927" t="s">
        <v>1874</v>
      </c>
      <c r="AT1347" s="1856" t="str">
        <f t="shared" si="256"/>
        <v/>
      </c>
      <c r="AU1347" s="1856" t="str">
        <f t="shared" si="257"/>
        <v/>
      </c>
      <c r="AV1347" s="1856" t="str">
        <f t="shared" si="258"/>
        <v/>
      </c>
      <c r="AW1347" s="1856" t="str">
        <f t="shared" si="259"/>
        <v/>
      </c>
      <c r="AX1347" s="1856" t="str">
        <f t="shared" si="260"/>
        <v/>
      </c>
      <c r="AY1347" s="1856" t="str">
        <f t="shared" si="261"/>
        <v/>
      </c>
    </row>
    <row r="1348" spans="42:52">
      <c r="AP1348" s="1855">
        <f t="shared" si="262"/>
        <v>44708</v>
      </c>
      <c r="AQ1348" s="925" t="str">
        <f t="shared" si="264"/>
        <v>MS</v>
      </c>
      <c r="AR1348" s="1856">
        <f t="shared" si="263"/>
        <v>44708.770138888889</v>
      </c>
      <c r="AS1348" s="927" t="s">
        <v>1877</v>
      </c>
      <c r="AT1348" s="1856" t="str">
        <f t="shared" si="256"/>
        <v/>
      </c>
      <c r="AU1348" s="1856" t="str">
        <f t="shared" si="257"/>
        <v/>
      </c>
      <c r="AV1348" s="1856" t="str">
        <f t="shared" si="258"/>
        <v/>
      </c>
      <c r="AW1348" s="1856" t="str">
        <f t="shared" si="259"/>
        <v/>
      </c>
      <c r="AX1348" s="1856" t="str">
        <f t="shared" si="260"/>
        <v/>
      </c>
      <c r="AY1348" s="1856" t="str">
        <f t="shared" si="261"/>
        <v/>
      </c>
    </row>
    <row r="1349" spans="42:52">
      <c r="AP1349" s="1855">
        <f t="shared" si="262"/>
        <v>44708</v>
      </c>
      <c r="AQ1349" s="925" t="str">
        <f t="shared" si="264"/>
        <v>SS</v>
      </c>
      <c r="AR1349" s="1856">
        <f t="shared" si="263"/>
        <v>44708.872222222228</v>
      </c>
      <c r="AS1349" s="927" t="s">
        <v>1878</v>
      </c>
      <c r="AT1349" s="1856" t="str">
        <f t="shared" si="256"/>
        <v/>
      </c>
      <c r="AU1349" s="1856" t="str">
        <f t="shared" si="257"/>
        <v/>
      </c>
      <c r="AV1349" s="1856" t="str">
        <f t="shared" si="258"/>
        <v/>
      </c>
      <c r="AW1349" s="1856" t="str">
        <f t="shared" si="259"/>
        <v/>
      </c>
      <c r="AX1349" s="1856" t="str">
        <f t="shared" si="260"/>
        <v/>
      </c>
      <c r="AY1349" s="1856" t="str">
        <f t="shared" si="261"/>
        <v/>
      </c>
    </row>
    <row r="1350" spans="42:52">
      <c r="AP1350" s="1855">
        <f t="shared" si="262"/>
        <v>44708</v>
      </c>
      <c r="AQ1350" s="925" t="str">
        <f t="shared" si="264"/>
        <v>EENT</v>
      </c>
      <c r="AR1350" s="1856">
        <f t="shared" si="263"/>
        <v>44708.919444444444</v>
      </c>
      <c r="AS1350" s="927" t="s">
        <v>1879</v>
      </c>
      <c r="AT1350" s="1856" t="str">
        <f t="shared" si="256"/>
        <v/>
      </c>
      <c r="AU1350" s="1856" t="str">
        <f t="shared" si="257"/>
        <v/>
      </c>
      <c r="AV1350" s="1856" t="str">
        <f t="shared" si="258"/>
        <v/>
      </c>
      <c r="AW1350" s="1856" t="str">
        <f t="shared" si="259"/>
        <v/>
      </c>
      <c r="AX1350" s="1856" t="str">
        <f t="shared" si="260"/>
        <v/>
      </c>
      <c r="AY1350" s="1856" t="str">
        <f t="shared" si="261"/>
        <v/>
      </c>
    </row>
    <row r="1351" spans="42:52">
      <c r="AP1351" s="1855">
        <f t="shared" si="262"/>
        <v>44709</v>
      </c>
      <c r="AQ1351" s="925" t="str">
        <f t="shared" si="264"/>
        <v/>
      </c>
      <c r="AR1351" s="1856" t="str">
        <f t="shared" si="263"/>
        <v/>
      </c>
      <c r="AS1351" s="927">
        <v>28</v>
      </c>
      <c r="AT1351" s="1856">
        <f t="shared" si="256"/>
        <v>44709.220138888893</v>
      </c>
      <c r="AU1351" s="1856">
        <f t="shared" si="257"/>
        <v>44709.267361111109</v>
      </c>
      <c r="AV1351" s="1856">
        <f t="shared" si="258"/>
        <v>44709.872916666667</v>
      </c>
      <c r="AW1351" s="1856">
        <f t="shared" si="259"/>
        <v>44709.920138888883</v>
      </c>
      <c r="AX1351" s="1856">
        <f t="shared" si="260"/>
        <v>44709.22152777778</v>
      </c>
      <c r="AY1351" s="1856">
        <f t="shared" si="261"/>
        <v>44709.813194444439</v>
      </c>
      <c r="AZ1351" s="1853">
        <v>0.05</v>
      </c>
    </row>
    <row r="1352" spans="42:52">
      <c r="AP1352" s="1855">
        <f t="shared" si="262"/>
        <v>44709</v>
      </c>
      <c r="AQ1352" s="925" t="str">
        <f t="shared" si="264"/>
        <v/>
      </c>
      <c r="AR1352" s="1856" t="str">
        <f t="shared" si="263"/>
        <v/>
      </c>
      <c r="AS1352" s="927" t="s">
        <v>252</v>
      </c>
      <c r="AT1352" s="1856" t="str">
        <f t="shared" si="256"/>
        <v/>
      </c>
      <c r="AU1352" s="1856" t="str">
        <f t="shared" si="257"/>
        <v/>
      </c>
      <c r="AV1352" s="1856" t="str">
        <f t="shared" si="258"/>
        <v/>
      </c>
      <c r="AW1352" s="1856" t="str">
        <f t="shared" si="259"/>
        <v/>
      </c>
      <c r="AX1352" s="1856" t="str">
        <f t="shared" si="260"/>
        <v/>
      </c>
      <c r="AY1352" s="1856" t="str">
        <f t="shared" si="261"/>
        <v/>
      </c>
    </row>
    <row r="1353" spans="42:52">
      <c r="AP1353" s="1855">
        <f t="shared" si="262"/>
        <v>44709</v>
      </c>
      <c r="AQ1353" s="925" t="str">
        <f t="shared" si="264"/>
        <v/>
      </c>
      <c r="AR1353" s="1856" t="str">
        <f t="shared" si="263"/>
        <v/>
      </c>
      <c r="AT1353" s="1856" t="str">
        <f t="shared" si="256"/>
        <v/>
      </c>
      <c r="AU1353" s="1856" t="str">
        <f t="shared" si="257"/>
        <v/>
      </c>
      <c r="AV1353" s="1856" t="str">
        <f t="shared" si="258"/>
        <v/>
      </c>
      <c r="AW1353" s="1856" t="str">
        <f t="shared" si="259"/>
        <v/>
      </c>
      <c r="AX1353" s="1856" t="str">
        <f t="shared" si="260"/>
        <v/>
      </c>
      <c r="AY1353" s="1856" t="str">
        <f t="shared" si="261"/>
        <v/>
      </c>
    </row>
    <row r="1354" spans="42:52">
      <c r="AP1354" s="1855">
        <f t="shared" si="262"/>
        <v>44709</v>
      </c>
      <c r="AQ1354" s="925" t="str">
        <f t="shared" si="264"/>
        <v>BMNT</v>
      </c>
      <c r="AR1354" s="1856">
        <f t="shared" si="263"/>
        <v>44709.220138888893</v>
      </c>
      <c r="AS1354" s="927" t="s">
        <v>1880</v>
      </c>
      <c r="AT1354" s="1856" t="str">
        <f t="shared" si="256"/>
        <v/>
      </c>
      <c r="AU1354" s="1856" t="str">
        <f t="shared" si="257"/>
        <v/>
      </c>
      <c r="AV1354" s="1856" t="str">
        <f t="shared" si="258"/>
        <v/>
      </c>
      <c r="AW1354" s="1856" t="str">
        <f t="shared" si="259"/>
        <v/>
      </c>
      <c r="AX1354" s="1856" t="str">
        <f t="shared" si="260"/>
        <v/>
      </c>
      <c r="AY1354" s="1856" t="str">
        <f t="shared" si="261"/>
        <v/>
      </c>
    </row>
    <row r="1355" spans="42:52">
      <c r="AP1355" s="1855">
        <f t="shared" si="262"/>
        <v>44709</v>
      </c>
      <c r="AQ1355" s="925" t="str">
        <f t="shared" si="264"/>
        <v>MR</v>
      </c>
      <c r="AR1355" s="1856">
        <f t="shared" si="263"/>
        <v>44709.22152777778</v>
      </c>
      <c r="AS1355" s="927" t="s">
        <v>1881</v>
      </c>
      <c r="AT1355" s="1856" t="str">
        <f t="shared" si="256"/>
        <v/>
      </c>
      <c r="AU1355" s="1856" t="str">
        <f t="shared" si="257"/>
        <v/>
      </c>
      <c r="AV1355" s="1856" t="str">
        <f t="shared" si="258"/>
        <v/>
      </c>
      <c r="AW1355" s="1856" t="str">
        <f t="shared" si="259"/>
        <v/>
      </c>
      <c r="AX1355" s="1856" t="str">
        <f t="shared" si="260"/>
        <v/>
      </c>
      <c r="AY1355" s="1856" t="str">
        <f t="shared" si="261"/>
        <v/>
      </c>
    </row>
    <row r="1356" spans="42:52">
      <c r="AP1356" s="1855">
        <f t="shared" si="262"/>
        <v>44709</v>
      </c>
      <c r="AQ1356" s="925" t="str">
        <f t="shared" si="264"/>
        <v>SR</v>
      </c>
      <c r="AR1356" s="1856">
        <f t="shared" si="263"/>
        <v>44709.267361111109</v>
      </c>
      <c r="AS1356" s="927" t="s">
        <v>1882</v>
      </c>
      <c r="AT1356" s="1856" t="str">
        <f t="shared" si="256"/>
        <v/>
      </c>
      <c r="AU1356" s="1856" t="str">
        <f t="shared" si="257"/>
        <v/>
      </c>
      <c r="AV1356" s="1856" t="str">
        <f t="shared" si="258"/>
        <v/>
      </c>
      <c r="AW1356" s="1856" t="str">
        <f t="shared" si="259"/>
        <v/>
      </c>
      <c r="AX1356" s="1856" t="str">
        <f t="shared" si="260"/>
        <v/>
      </c>
      <c r="AY1356" s="1856" t="str">
        <f t="shared" si="261"/>
        <v/>
      </c>
    </row>
    <row r="1357" spans="42:52">
      <c r="AP1357" s="1855">
        <f t="shared" si="262"/>
        <v>44709</v>
      </c>
      <c r="AQ1357" s="925" t="str">
        <f t="shared" si="264"/>
        <v>MS</v>
      </c>
      <c r="AR1357" s="1856">
        <f t="shared" si="263"/>
        <v>44709.813194444439</v>
      </c>
      <c r="AS1357" s="927" t="s">
        <v>1883</v>
      </c>
      <c r="AT1357" s="1856" t="str">
        <f t="shared" si="256"/>
        <v/>
      </c>
      <c r="AU1357" s="1856" t="str">
        <f t="shared" si="257"/>
        <v/>
      </c>
      <c r="AV1357" s="1856" t="str">
        <f t="shared" si="258"/>
        <v/>
      </c>
      <c r="AW1357" s="1856" t="str">
        <f t="shared" si="259"/>
        <v/>
      </c>
      <c r="AX1357" s="1856" t="str">
        <f t="shared" si="260"/>
        <v/>
      </c>
      <c r="AY1357" s="1856" t="str">
        <f t="shared" si="261"/>
        <v/>
      </c>
    </row>
    <row r="1358" spans="42:52">
      <c r="AP1358" s="1855">
        <f t="shared" si="262"/>
        <v>44709</v>
      </c>
      <c r="AQ1358" s="925" t="str">
        <f t="shared" si="264"/>
        <v>SS</v>
      </c>
      <c r="AR1358" s="1856">
        <f t="shared" si="263"/>
        <v>44709.872916666667</v>
      </c>
      <c r="AS1358" s="927" t="s">
        <v>1884</v>
      </c>
      <c r="AT1358" s="1856" t="str">
        <f t="shared" si="256"/>
        <v/>
      </c>
      <c r="AU1358" s="1856" t="str">
        <f t="shared" si="257"/>
        <v/>
      </c>
      <c r="AV1358" s="1856" t="str">
        <f t="shared" si="258"/>
        <v/>
      </c>
      <c r="AW1358" s="1856" t="str">
        <f t="shared" si="259"/>
        <v/>
      </c>
      <c r="AX1358" s="1856" t="str">
        <f t="shared" si="260"/>
        <v/>
      </c>
      <c r="AY1358" s="1856" t="str">
        <f t="shared" si="261"/>
        <v/>
      </c>
    </row>
    <row r="1359" spans="42:52">
      <c r="AP1359" s="1855">
        <f t="shared" si="262"/>
        <v>44709</v>
      </c>
      <c r="AQ1359" s="925" t="str">
        <f t="shared" si="264"/>
        <v>EENT</v>
      </c>
      <c r="AR1359" s="1856">
        <f t="shared" si="263"/>
        <v>44709.920138888883</v>
      </c>
      <c r="AS1359" s="927" t="s">
        <v>1885</v>
      </c>
      <c r="AT1359" s="1856" t="str">
        <f t="shared" si="256"/>
        <v/>
      </c>
      <c r="AU1359" s="1856" t="str">
        <f t="shared" si="257"/>
        <v/>
      </c>
      <c r="AV1359" s="1856" t="str">
        <f t="shared" si="258"/>
        <v/>
      </c>
      <c r="AW1359" s="1856" t="str">
        <f t="shared" si="259"/>
        <v/>
      </c>
      <c r="AX1359" s="1856" t="str">
        <f t="shared" si="260"/>
        <v/>
      </c>
      <c r="AY1359" s="1856" t="str">
        <f t="shared" si="261"/>
        <v/>
      </c>
    </row>
    <row r="1360" spans="42:52">
      <c r="AP1360" s="1855">
        <f t="shared" si="262"/>
        <v>44710</v>
      </c>
      <c r="AQ1360" s="925" t="str">
        <f t="shared" si="264"/>
        <v/>
      </c>
      <c r="AR1360" s="1856" t="str">
        <f t="shared" si="263"/>
        <v/>
      </c>
      <c r="AS1360" s="927">
        <v>29</v>
      </c>
      <c r="AT1360" s="1856">
        <f t="shared" si="256"/>
        <v>44710.219444444447</v>
      </c>
      <c r="AU1360" s="1856">
        <f t="shared" si="257"/>
        <v>44710.267361111109</v>
      </c>
      <c r="AV1360" s="1856">
        <f t="shared" si="258"/>
        <v>44710.873611111114</v>
      </c>
      <c r="AW1360" s="1856">
        <f t="shared" si="259"/>
        <v>44710.92083333333</v>
      </c>
      <c r="AX1360" s="1856">
        <f t="shared" si="260"/>
        <v>44710.241666666669</v>
      </c>
      <c r="AY1360" s="1856">
        <f t="shared" si="261"/>
        <v>44710.855555555558</v>
      </c>
      <c r="AZ1360" s="1853">
        <v>0.02</v>
      </c>
    </row>
    <row r="1361" spans="42:52">
      <c r="AP1361" s="1855">
        <f t="shared" si="262"/>
        <v>44710</v>
      </c>
      <c r="AQ1361" s="925" t="str">
        <f t="shared" si="264"/>
        <v/>
      </c>
      <c r="AR1361" s="1856" t="str">
        <f t="shared" si="263"/>
        <v/>
      </c>
      <c r="AS1361" s="927" t="s">
        <v>252</v>
      </c>
      <c r="AT1361" s="1856" t="str">
        <f t="shared" si="256"/>
        <v/>
      </c>
      <c r="AU1361" s="1856" t="str">
        <f t="shared" si="257"/>
        <v/>
      </c>
      <c r="AV1361" s="1856" t="str">
        <f t="shared" si="258"/>
        <v/>
      </c>
      <c r="AW1361" s="1856" t="str">
        <f t="shared" si="259"/>
        <v/>
      </c>
      <c r="AX1361" s="1856" t="str">
        <f t="shared" si="260"/>
        <v/>
      </c>
      <c r="AY1361" s="1856" t="str">
        <f t="shared" si="261"/>
        <v/>
      </c>
    </row>
    <row r="1362" spans="42:52">
      <c r="AP1362" s="1855">
        <f t="shared" si="262"/>
        <v>44710</v>
      </c>
      <c r="AQ1362" s="925" t="str">
        <f t="shared" si="264"/>
        <v/>
      </c>
      <c r="AR1362" s="1856" t="str">
        <f t="shared" si="263"/>
        <v/>
      </c>
      <c r="AT1362" s="1856" t="str">
        <f t="shared" si="256"/>
        <v/>
      </c>
      <c r="AU1362" s="1856" t="str">
        <f t="shared" si="257"/>
        <v/>
      </c>
      <c r="AV1362" s="1856" t="str">
        <f t="shared" si="258"/>
        <v/>
      </c>
      <c r="AW1362" s="1856" t="str">
        <f t="shared" si="259"/>
        <v/>
      </c>
      <c r="AX1362" s="1856" t="str">
        <f t="shared" si="260"/>
        <v/>
      </c>
      <c r="AY1362" s="1856" t="str">
        <f t="shared" si="261"/>
        <v/>
      </c>
    </row>
    <row r="1363" spans="42:52">
      <c r="AP1363" s="1855">
        <f t="shared" si="262"/>
        <v>44710</v>
      </c>
      <c r="AQ1363" s="925" t="str">
        <f t="shared" si="264"/>
        <v>BMNT</v>
      </c>
      <c r="AR1363" s="1856">
        <f t="shared" si="263"/>
        <v>44710.219444444447</v>
      </c>
      <c r="AS1363" s="927" t="s">
        <v>1886</v>
      </c>
      <c r="AT1363" s="1856" t="str">
        <f t="shared" si="256"/>
        <v/>
      </c>
      <c r="AU1363" s="1856" t="str">
        <f t="shared" si="257"/>
        <v/>
      </c>
      <c r="AV1363" s="1856" t="str">
        <f t="shared" si="258"/>
        <v/>
      </c>
      <c r="AW1363" s="1856" t="str">
        <f t="shared" si="259"/>
        <v/>
      </c>
      <c r="AX1363" s="1856" t="str">
        <f t="shared" si="260"/>
        <v/>
      </c>
      <c r="AY1363" s="1856" t="str">
        <f t="shared" si="261"/>
        <v/>
      </c>
    </row>
    <row r="1364" spans="42:52">
      <c r="AP1364" s="1855">
        <f t="shared" si="262"/>
        <v>44710</v>
      </c>
      <c r="AQ1364" s="925" t="str">
        <f t="shared" si="264"/>
        <v>MR</v>
      </c>
      <c r="AR1364" s="1856">
        <f t="shared" si="263"/>
        <v>44710.241666666669</v>
      </c>
      <c r="AS1364" s="927" t="s">
        <v>1887</v>
      </c>
      <c r="AT1364" s="1856" t="str">
        <f t="shared" si="256"/>
        <v/>
      </c>
      <c r="AU1364" s="1856" t="str">
        <f t="shared" si="257"/>
        <v/>
      </c>
      <c r="AV1364" s="1856" t="str">
        <f t="shared" si="258"/>
        <v/>
      </c>
      <c r="AW1364" s="1856" t="str">
        <f t="shared" si="259"/>
        <v/>
      </c>
      <c r="AX1364" s="1856" t="str">
        <f t="shared" si="260"/>
        <v/>
      </c>
      <c r="AY1364" s="1856" t="str">
        <f t="shared" si="261"/>
        <v/>
      </c>
    </row>
    <row r="1365" spans="42:52">
      <c r="AP1365" s="1855">
        <f t="shared" si="262"/>
        <v>44710</v>
      </c>
      <c r="AQ1365" s="925" t="str">
        <f t="shared" si="264"/>
        <v>SR</v>
      </c>
      <c r="AR1365" s="1856">
        <f t="shared" si="263"/>
        <v>44710.267361111109</v>
      </c>
      <c r="AS1365" s="927" t="s">
        <v>1882</v>
      </c>
      <c r="AT1365" s="1856" t="str">
        <f t="shared" si="256"/>
        <v/>
      </c>
      <c r="AU1365" s="1856" t="str">
        <f t="shared" si="257"/>
        <v/>
      </c>
      <c r="AV1365" s="1856" t="str">
        <f t="shared" si="258"/>
        <v/>
      </c>
      <c r="AW1365" s="1856" t="str">
        <f t="shared" si="259"/>
        <v/>
      </c>
      <c r="AX1365" s="1856" t="str">
        <f t="shared" si="260"/>
        <v/>
      </c>
      <c r="AY1365" s="1856" t="str">
        <f t="shared" si="261"/>
        <v/>
      </c>
    </row>
    <row r="1366" spans="42:52">
      <c r="AP1366" s="1855">
        <f t="shared" si="262"/>
        <v>44710</v>
      </c>
      <c r="AQ1366" s="925" t="str">
        <f t="shared" si="264"/>
        <v>MS</v>
      </c>
      <c r="AR1366" s="1856">
        <f t="shared" si="263"/>
        <v>44710.855555555558</v>
      </c>
      <c r="AS1366" s="927" t="s">
        <v>1888</v>
      </c>
      <c r="AT1366" s="1856" t="str">
        <f t="shared" si="256"/>
        <v/>
      </c>
      <c r="AU1366" s="1856" t="str">
        <f t="shared" si="257"/>
        <v/>
      </c>
      <c r="AV1366" s="1856" t="str">
        <f t="shared" si="258"/>
        <v/>
      </c>
      <c r="AW1366" s="1856" t="str">
        <f t="shared" si="259"/>
        <v/>
      </c>
      <c r="AX1366" s="1856" t="str">
        <f t="shared" si="260"/>
        <v/>
      </c>
      <c r="AY1366" s="1856" t="str">
        <f t="shared" si="261"/>
        <v/>
      </c>
    </row>
    <row r="1367" spans="42:52">
      <c r="AP1367" s="1855">
        <f t="shared" si="262"/>
        <v>44710</v>
      </c>
      <c r="AQ1367" s="925" t="str">
        <f t="shared" si="264"/>
        <v>SS</v>
      </c>
      <c r="AR1367" s="1856">
        <f t="shared" si="263"/>
        <v>44710.873611111114</v>
      </c>
      <c r="AS1367" s="927" t="s">
        <v>1889</v>
      </c>
      <c r="AT1367" s="1856" t="str">
        <f t="shared" si="256"/>
        <v/>
      </c>
      <c r="AU1367" s="1856" t="str">
        <f t="shared" si="257"/>
        <v/>
      </c>
      <c r="AV1367" s="1856" t="str">
        <f t="shared" si="258"/>
        <v/>
      </c>
      <c r="AW1367" s="1856" t="str">
        <f t="shared" si="259"/>
        <v/>
      </c>
      <c r="AX1367" s="1856" t="str">
        <f t="shared" si="260"/>
        <v/>
      </c>
      <c r="AY1367" s="1856" t="str">
        <f t="shared" si="261"/>
        <v/>
      </c>
    </row>
    <row r="1368" spans="42:52">
      <c r="AP1368" s="1855">
        <f t="shared" si="262"/>
        <v>44710</v>
      </c>
      <c r="AQ1368" s="925" t="str">
        <f t="shared" si="264"/>
        <v>EENT</v>
      </c>
      <c r="AR1368" s="1856">
        <f t="shared" si="263"/>
        <v>44710.92083333333</v>
      </c>
      <c r="AS1368" s="927" t="s">
        <v>1890</v>
      </c>
      <c r="AT1368" s="1856" t="str">
        <f t="shared" si="256"/>
        <v/>
      </c>
      <c r="AU1368" s="1856" t="str">
        <f t="shared" si="257"/>
        <v/>
      </c>
      <c r="AV1368" s="1856" t="str">
        <f t="shared" si="258"/>
        <v/>
      </c>
      <c r="AW1368" s="1856" t="str">
        <f t="shared" si="259"/>
        <v/>
      </c>
      <c r="AX1368" s="1856" t="str">
        <f t="shared" si="260"/>
        <v/>
      </c>
      <c r="AY1368" s="1856" t="str">
        <f t="shared" si="261"/>
        <v/>
      </c>
    </row>
    <row r="1369" spans="42:52">
      <c r="AP1369" s="1855">
        <f t="shared" si="262"/>
        <v>44711</v>
      </c>
      <c r="AQ1369" s="925" t="str">
        <f t="shared" si="264"/>
        <v/>
      </c>
      <c r="AR1369" s="1856" t="str">
        <f t="shared" si="263"/>
        <v/>
      </c>
      <c r="AS1369" s="927">
        <v>30</v>
      </c>
      <c r="AT1369" s="1856">
        <f t="shared" si="256"/>
        <v>44711.219444444447</v>
      </c>
      <c r="AU1369" s="1856">
        <f t="shared" si="257"/>
        <v>44711.26666666667</v>
      </c>
      <c r="AV1369" s="1856">
        <f t="shared" si="258"/>
        <v>44711.873611111114</v>
      </c>
      <c r="AW1369" s="1856">
        <f t="shared" si="259"/>
        <v>44711.921527777777</v>
      </c>
      <c r="AX1369" s="1856">
        <f t="shared" si="260"/>
        <v>44711.26458333333</v>
      </c>
      <c r="AY1369" s="1856">
        <f t="shared" si="261"/>
        <v>44711.897222222222</v>
      </c>
      <c r="AZ1369" s="1853">
        <v>0</v>
      </c>
    </row>
    <row r="1370" spans="42:52">
      <c r="AP1370" s="1855">
        <f t="shared" si="262"/>
        <v>44711</v>
      </c>
      <c r="AQ1370" s="925" t="str">
        <f t="shared" si="264"/>
        <v/>
      </c>
      <c r="AR1370" s="1856" t="str">
        <f t="shared" si="263"/>
        <v/>
      </c>
      <c r="AS1370" s="927" t="s">
        <v>252</v>
      </c>
      <c r="AT1370" s="1856" t="str">
        <f t="shared" si="256"/>
        <v/>
      </c>
      <c r="AU1370" s="1856" t="str">
        <f t="shared" si="257"/>
        <v/>
      </c>
      <c r="AV1370" s="1856" t="str">
        <f t="shared" si="258"/>
        <v/>
      </c>
      <c r="AW1370" s="1856" t="str">
        <f t="shared" si="259"/>
        <v/>
      </c>
      <c r="AX1370" s="1856" t="str">
        <f t="shared" si="260"/>
        <v/>
      </c>
      <c r="AY1370" s="1856" t="str">
        <f t="shared" si="261"/>
        <v/>
      </c>
    </row>
    <row r="1371" spans="42:52">
      <c r="AP1371" s="1855">
        <f t="shared" si="262"/>
        <v>44711</v>
      </c>
      <c r="AQ1371" s="925" t="str">
        <f t="shared" si="264"/>
        <v/>
      </c>
      <c r="AR1371" s="1856" t="str">
        <f t="shared" si="263"/>
        <v/>
      </c>
      <c r="AT1371" s="1856" t="str">
        <f t="shared" si="256"/>
        <v/>
      </c>
      <c r="AU1371" s="1856" t="str">
        <f t="shared" si="257"/>
        <v/>
      </c>
      <c r="AV1371" s="1856" t="str">
        <f t="shared" si="258"/>
        <v/>
      </c>
      <c r="AW1371" s="1856" t="str">
        <f t="shared" si="259"/>
        <v/>
      </c>
      <c r="AX1371" s="1856" t="str">
        <f t="shared" si="260"/>
        <v/>
      </c>
      <c r="AY1371" s="1856" t="str">
        <f t="shared" si="261"/>
        <v/>
      </c>
    </row>
    <row r="1372" spans="42:52">
      <c r="AP1372" s="1855">
        <f t="shared" si="262"/>
        <v>44711</v>
      </c>
      <c r="AQ1372" s="925" t="str">
        <f t="shared" si="264"/>
        <v>BMNT</v>
      </c>
      <c r="AR1372" s="1856">
        <f t="shared" si="263"/>
        <v>44711.219444444447</v>
      </c>
      <c r="AS1372" s="927" t="s">
        <v>1886</v>
      </c>
      <c r="AT1372" s="1856" t="str">
        <f t="shared" ref="AT1372:AT1435" si="265">IF(ISNUMBER(AS1372),INDEX(AR1373:AR1383,MATCH($AT$27,AQ1373:AQ1383,0)),"")</f>
        <v/>
      </c>
      <c r="AU1372" s="1856" t="str">
        <f t="shared" ref="AU1372:AU1435" si="266">IF(AT1372="","",INDEX(AR1373:AR1383,MATCH($AU$27,AQ1373:AQ1383,0)))</f>
        <v/>
      </c>
      <c r="AV1372" s="1856" t="str">
        <f t="shared" ref="AV1372:AV1435" si="267">IF(AT1372="","",INDEX(AR1373:AR1383,MATCH($AV$27,AQ1373:AQ1383,0)))</f>
        <v/>
      </c>
      <c r="AW1372" s="1856" t="str">
        <f t="shared" ref="AW1372:AW1435" si="268">IF(AT1372="","",INDEX(AR1373:AR1383,MATCH($AW$27,AQ1373:AQ1383,0)))</f>
        <v/>
      </c>
      <c r="AX1372" s="1856" t="str">
        <f t="shared" ref="AX1372:AX1435" si="269">IF(AT1372="","",INDEX(AR1373:AR1383,MATCH($AX$27,AQ1373:AQ1383,0)))</f>
        <v/>
      </c>
      <c r="AY1372" s="1856" t="str">
        <f t="shared" ref="AY1372:AY1435" si="270">IF(AT1372="","",INDEX(AR1373:AR1383,MATCH($AY$27,AQ1373:AQ1383,0)))</f>
        <v/>
      </c>
    </row>
    <row r="1373" spans="42:52">
      <c r="AP1373" s="1855">
        <f t="shared" si="262"/>
        <v>44711</v>
      </c>
      <c r="AQ1373" s="925" t="str">
        <f t="shared" si="264"/>
        <v>MR</v>
      </c>
      <c r="AR1373" s="1856">
        <f t="shared" si="263"/>
        <v>44711.26458333333</v>
      </c>
      <c r="AS1373" s="927" t="s">
        <v>1891</v>
      </c>
      <c r="AT1373" s="1856" t="str">
        <f t="shared" si="265"/>
        <v/>
      </c>
      <c r="AU1373" s="1856" t="str">
        <f t="shared" si="266"/>
        <v/>
      </c>
      <c r="AV1373" s="1856" t="str">
        <f t="shared" si="267"/>
        <v/>
      </c>
      <c r="AW1373" s="1856" t="str">
        <f t="shared" si="268"/>
        <v/>
      </c>
      <c r="AX1373" s="1856" t="str">
        <f t="shared" si="269"/>
        <v/>
      </c>
      <c r="AY1373" s="1856" t="str">
        <f t="shared" si="270"/>
        <v/>
      </c>
    </row>
    <row r="1374" spans="42:52">
      <c r="AP1374" s="1855">
        <f t="shared" si="262"/>
        <v>44711</v>
      </c>
      <c r="AQ1374" s="925" t="str">
        <f t="shared" si="264"/>
        <v>SR</v>
      </c>
      <c r="AR1374" s="1856">
        <f t="shared" si="263"/>
        <v>44711.26666666667</v>
      </c>
      <c r="AS1374" s="927" t="s">
        <v>1892</v>
      </c>
      <c r="AT1374" s="1856" t="str">
        <f t="shared" si="265"/>
        <v/>
      </c>
      <c r="AU1374" s="1856" t="str">
        <f t="shared" si="266"/>
        <v/>
      </c>
      <c r="AV1374" s="1856" t="str">
        <f t="shared" si="267"/>
        <v/>
      </c>
      <c r="AW1374" s="1856" t="str">
        <f t="shared" si="268"/>
        <v/>
      </c>
      <c r="AX1374" s="1856" t="str">
        <f t="shared" si="269"/>
        <v/>
      </c>
      <c r="AY1374" s="1856" t="str">
        <f t="shared" si="270"/>
        <v/>
      </c>
    </row>
    <row r="1375" spans="42:52">
      <c r="AP1375" s="1855">
        <f t="shared" si="262"/>
        <v>44711</v>
      </c>
      <c r="AQ1375" s="925" t="str">
        <f t="shared" si="264"/>
        <v>SS</v>
      </c>
      <c r="AR1375" s="1856">
        <f t="shared" si="263"/>
        <v>44711.873611111114</v>
      </c>
      <c r="AS1375" s="927" t="s">
        <v>1889</v>
      </c>
      <c r="AT1375" s="1856" t="str">
        <f t="shared" si="265"/>
        <v/>
      </c>
      <c r="AU1375" s="1856" t="str">
        <f t="shared" si="266"/>
        <v/>
      </c>
      <c r="AV1375" s="1856" t="str">
        <f t="shared" si="267"/>
        <v/>
      </c>
      <c r="AW1375" s="1856" t="str">
        <f t="shared" si="268"/>
        <v/>
      </c>
      <c r="AX1375" s="1856" t="str">
        <f t="shared" si="269"/>
        <v/>
      </c>
      <c r="AY1375" s="1856" t="str">
        <f t="shared" si="270"/>
        <v/>
      </c>
    </row>
    <row r="1376" spans="42:52">
      <c r="AP1376" s="1855">
        <f t="shared" si="262"/>
        <v>44711</v>
      </c>
      <c r="AQ1376" s="925" t="str">
        <f t="shared" si="264"/>
        <v>MS</v>
      </c>
      <c r="AR1376" s="1856">
        <f t="shared" si="263"/>
        <v>44711.897222222222</v>
      </c>
      <c r="AS1376" s="927" t="s">
        <v>1893</v>
      </c>
      <c r="AT1376" s="1856" t="str">
        <f t="shared" si="265"/>
        <v/>
      </c>
      <c r="AU1376" s="1856" t="str">
        <f t="shared" si="266"/>
        <v/>
      </c>
      <c r="AV1376" s="1856" t="str">
        <f t="shared" si="267"/>
        <v/>
      </c>
      <c r="AW1376" s="1856" t="str">
        <f t="shared" si="268"/>
        <v/>
      </c>
      <c r="AX1376" s="1856" t="str">
        <f t="shared" si="269"/>
        <v/>
      </c>
      <c r="AY1376" s="1856" t="str">
        <f t="shared" si="270"/>
        <v/>
      </c>
    </row>
    <row r="1377" spans="42:52">
      <c r="AP1377" s="1855">
        <f t="shared" si="262"/>
        <v>44711</v>
      </c>
      <c r="AQ1377" s="925" t="str">
        <f t="shared" si="264"/>
        <v>EENT</v>
      </c>
      <c r="AR1377" s="1856">
        <f t="shared" si="263"/>
        <v>44711.921527777777</v>
      </c>
      <c r="AS1377" s="927" t="s">
        <v>1894</v>
      </c>
      <c r="AT1377" s="1856" t="str">
        <f t="shared" si="265"/>
        <v/>
      </c>
      <c r="AU1377" s="1856" t="str">
        <f t="shared" si="266"/>
        <v/>
      </c>
      <c r="AV1377" s="1856" t="str">
        <f t="shared" si="267"/>
        <v/>
      </c>
      <c r="AW1377" s="1856" t="str">
        <f t="shared" si="268"/>
        <v/>
      </c>
      <c r="AX1377" s="1856" t="str">
        <f t="shared" si="269"/>
        <v/>
      </c>
      <c r="AY1377" s="1856" t="str">
        <f t="shared" si="270"/>
        <v/>
      </c>
    </row>
    <row r="1378" spans="42:52">
      <c r="AP1378" s="1855">
        <f t="shared" si="262"/>
        <v>44712</v>
      </c>
      <c r="AQ1378" s="925" t="str">
        <f t="shared" si="264"/>
        <v/>
      </c>
      <c r="AR1378" s="1856" t="str">
        <f t="shared" si="263"/>
        <v/>
      </c>
      <c r="AS1378" s="927">
        <v>31</v>
      </c>
      <c r="AT1378" s="1856">
        <f t="shared" si="265"/>
        <v>44712.21875</v>
      </c>
      <c r="AU1378" s="1856">
        <f t="shared" si="266"/>
        <v>44712.26666666667</v>
      </c>
      <c r="AV1378" s="1856">
        <f t="shared" si="267"/>
        <v>44712.874305555561</v>
      </c>
      <c r="AW1378" s="1856">
        <f t="shared" si="268"/>
        <v>44712.922222222223</v>
      </c>
      <c r="AX1378" s="1856">
        <f t="shared" si="269"/>
        <v>44712.291666666664</v>
      </c>
      <c r="AY1378" s="1856">
        <f t="shared" si="270"/>
        <v>44712.9375</v>
      </c>
      <c r="AZ1378" s="1853">
        <v>0.01</v>
      </c>
    </row>
    <row r="1379" spans="42:52">
      <c r="AP1379" s="1855">
        <f t="shared" si="262"/>
        <v>44712</v>
      </c>
      <c r="AQ1379" s="925" t="str">
        <f t="shared" si="264"/>
        <v/>
      </c>
      <c r="AR1379" s="1856" t="str">
        <f t="shared" si="263"/>
        <v/>
      </c>
      <c r="AS1379" s="927" t="s">
        <v>252</v>
      </c>
      <c r="AT1379" s="1856" t="str">
        <f t="shared" si="265"/>
        <v/>
      </c>
      <c r="AU1379" s="1856" t="str">
        <f t="shared" si="266"/>
        <v/>
      </c>
      <c r="AV1379" s="1856" t="str">
        <f t="shared" si="267"/>
        <v/>
      </c>
      <c r="AW1379" s="1856" t="str">
        <f t="shared" si="268"/>
        <v/>
      </c>
      <c r="AX1379" s="1856" t="str">
        <f t="shared" si="269"/>
        <v/>
      </c>
      <c r="AY1379" s="1856" t="str">
        <f t="shared" si="270"/>
        <v/>
      </c>
    </row>
    <row r="1380" spans="42:52">
      <c r="AP1380" s="1855">
        <f t="shared" si="262"/>
        <v>44712</v>
      </c>
      <c r="AQ1380" s="925" t="str">
        <f t="shared" si="264"/>
        <v/>
      </c>
      <c r="AR1380" s="1856" t="str">
        <f t="shared" si="263"/>
        <v/>
      </c>
      <c r="AT1380" s="1856" t="str">
        <f t="shared" si="265"/>
        <v/>
      </c>
      <c r="AU1380" s="1856" t="str">
        <f t="shared" si="266"/>
        <v/>
      </c>
      <c r="AV1380" s="1856" t="str">
        <f t="shared" si="267"/>
        <v/>
      </c>
      <c r="AW1380" s="1856" t="str">
        <f t="shared" si="268"/>
        <v/>
      </c>
      <c r="AX1380" s="1856" t="str">
        <f t="shared" si="269"/>
        <v/>
      </c>
      <c r="AY1380" s="1856" t="str">
        <f t="shared" si="270"/>
        <v/>
      </c>
    </row>
    <row r="1381" spans="42:52">
      <c r="AP1381" s="1855">
        <f t="shared" ref="AP1381:AP1444" si="271">IF(ISNUMBER(AS1381),AP1380+1,AP1380)</f>
        <v>44712</v>
      </c>
      <c r="AQ1381" s="925" t="str">
        <f t="shared" si="264"/>
        <v>BMNT</v>
      </c>
      <c r="AR1381" s="1856">
        <f t="shared" si="263"/>
        <v>44712.21875</v>
      </c>
      <c r="AS1381" s="927" t="s">
        <v>1895</v>
      </c>
      <c r="AT1381" s="1856" t="str">
        <f t="shared" si="265"/>
        <v/>
      </c>
      <c r="AU1381" s="1856" t="str">
        <f t="shared" si="266"/>
        <v/>
      </c>
      <c r="AV1381" s="1856" t="str">
        <f t="shared" si="267"/>
        <v/>
      </c>
      <c r="AW1381" s="1856" t="str">
        <f t="shared" si="268"/>
        <v/>
      </c>
      <c r="AX1381" s="1856" t="str">
        <f t="shared" si="269"/>
        <v/>
      </c>
      <c r="AY1381" s="1856" t="str">
        <f t="shared" si="270"/>
        <v/>
      </c>
    </row>
    <row r="1382" spans="42:52">
      <c r="AP1382" s="1855">
        <f t="shared" si="271"/>
        <v>44712</v>
      </c>
      <c r="AQ1382" s="925" t="str">
        <f t="shared" si="264"/>
        <v>SR</v>
      </c>
      <c r="AR1382" s="1856">
        <f t="shared" si="263"/>
        <v>44712.26666666667</v>
      </c>
      <c r="AS1382" s="927" t="s">
        <v>1892</v>
      </c>
      <c r="AT1382" s="1856" t="str">
        <f t="shared" si="265"/>
        <v/>
      </c>
      <c r="AU1382" s="1856" t="str">
        <f t="shared" si="266"/>
        <v/>
      </c>
      <c r="AV1382" s="1856" t="str">
        <f t="shared" si="267"/>
        <v/>
      </c>
      <c r="AW1382" s="1856" t="str">
        <f t="shared" si="268"/>
        <v/>
      </c>
      <c r="AX1382" s="1856" t="str">
        <f t="shared" si="269"/>
        <v/>
      </c>
      <c r="AY1382" s="1856" t="str">
        <f t="shared" si="270"/>
        <v/>
      </c>
    </row>
    <row r="1383" spans="42:52">
      <c r="AP1383" s="1855">
        <f t="shared" si="271"/>
        <v>44712</v>
      </c>
      <c r="AQ1383" s="925" t="str">
        <f t="shared" si="264"/>
        <v>MR</v>
      </c>
      <c r="AR1383" s="1856">
        <f t="shared" si="263"/>
        <v>44712.291666666664</v>
      </c>
      <c r="AS1383" s="927" t="s">
        <v>1896</v>
      </c>
      <c r="AT1383" s="1856" t="str">
        <f t="shared" si="265"/>
        <v/>
      </c>
      <c r="AU1383" s="1856" t="str">
        <f t="shared" si="266"/>
        <v/>
      </c>
      <c r="AV1383" s="1856" t="str">
        <f t="shared" si="267"/>
        <v/>
      </c>
      <c r="AW1383" s="1856" t="str">
        <f t="shared" si="268"/>
        <v/>
      </c>
      <c r="AX1383" s="1856" t="str">
        <f t="shared" si="269"/>
        <v/>
      </c>
      <c r="AY1383" s="1856" t="str">
        <f t="shared" si="270"/>
        <v/>
      </c>
    </row>
    <row r="1384" spans="42:52">
      <c r="AP1384" s="1855">
        <f t="shared" si="271"/>
        <v>44712</v>
      </c>
      <c r="AQ1384" s="925" t="str">
        <f t="shared" si="264"/>
        <v>SS</v>
      </c>
      <c r="AR1384" s="1856">
        <f t="shared" si="263"/>
        <v>44712.874305555561</v>
      </c>
      <c r="AS1384" s="927" t="s">
        <v>1897</v>
      </c>
      <c r="AT1384" s="1856" t="str">
        <f t="shared" si="265"/>
        <v/>
      </c>
      <c r="AU1384" s="1856" t="str">
        <f t="shared" si="266"/>
        <v/>
      </c>
      <c r="AV1384" s="1856" t="str">
        <f t="shared" si="267"/>
        <v/>
      </c>
      <c r="AW1384" s="1856" t="str">
        <f t="shared" si="268"/>
        <v/>
      </c>
      <c r="AX1384" s="1856" t="str">
        <f t="shared" si="269"/>
        <v/>
      </c>
      <c r="AY1384" s="1856" t="str">
        <f t="shared" si="270"/>
        <v/>
      </c>
    </row>
    <row r="1385" spans="42:52">
      <c r="AP1385" s="1855">
        <f t="shared" si="271"/>
        <v>44712</v>
      </c>
      <c r="AQ1385" s="925" t="str">
        <f t="shared" si="264"/>
        <v>EENT</v>
      </c>
      <c r="AR1385" s="1856">
        <f t="shared" ref="AR1385:AR1448" si="272">IF(NOT(ISNUMBER(FIND(":",AS1385))),"",IF(ISNUMBER(FIND(" none",AS1385)),"NONE",AP1385+LEFT(RIGHT(AS1385,5),2)/24+RIGHT(AS1385,2)/1440))</f>
        <v>44712.922222222223</v>
      </c>
      <c r="AS1385" s="927" t="s">
        <v>1898</v>
      </c>
      <c r="AT1385" s="1856" t="str">
        <f t="shared" si="265"/>
        <v/>
      </c>
      <c r="AU1385" s="1856" t="str">
        <f t="shared" si="266"/>
        <v/>
      </c>
      <c r="AV1385" s="1856" t="str">
        <f t="shared" si="267"/>
        <v/>
      </c>
      <c r="AW1385" s="1856" t="str">
        <f t="shared" si="268"/>
        <v/>
      </c>
      <c r="AX1385" s="1856" t="str">
        <f t="shared" si="269"/>
        <v/>
      </c>
      <c r="AY1385" s="1856" t="str">
        <f t="shared" si="270"/>
        <v/>
      </c>
    </row>
    <row r="1386" spans="42:52">
      <c r="AP1386" s="1855">
        <f t="shared" si="271"/>
        <v>44712</v>
      </c>
      <c r="AQ1386" s="925" t="str">
        <f t="shared" si="264"/>
        <v>MS</v>
      </c>
      <c r="AR1386" s="1856">
        <f t="shared" si="272"/>
        <v>44712.9375</v>
      </c>
      <c r="AS1386" s="927" t="s">
        <v>1899</v>
      </c>
      <c r="AT1386" s="1856" t="str">
        <f t="shared" si="265"/>
        <v/>
      </c>
      <c r="AU1386" s="1856" t="str">
        <f t="shared" si="266"/>
        <v/>
      </c>
      <c r="AV1386" s="1856" t="str">
        <f t="shared" si="267"/>
        <v/>
      </c>
      <c r="AW1386" s="1856" t="str">
        <f t="shared" si="268"/>
        <v/>
      </c>
      <c r="AX1386" s="1856" t="str">
        <f t="shared" si="269"/>
        <v/>
      </c>
      <c r="AY1386" s="1856" t="str">
        <f t="shared" si="270"/>
        <v/>
      </c>
    </row>
    <row r="1387" spans="42:52">
      <c r="AP1387" s="1855">
        <f t="shared" si="271"/>
        <v>44713</v>
      </c>
      <c r="AQ1387" s="925" t="str">
        <f t="shared" si="264"/>
        <v/>
      </c>
      <c r="AR1387" s="1856" t="str">
        <f t="shared" si="272"/>
        <v/>
      </c>
      <c r="AS1387" s="927">
        <v>1</v>
      </c>
      <c r="AT1387" s="1856">
        <f t="shared" si="265"/>
        <v>44713.218055555561</v>
      </c>
      <c r="AU1387" s="1856">
        <f t="shared" si="266"/>
        <v>44713.265972222223</v>
      </c>
      <c r="AV1387" s="1856">
        <f t="shared" si="267"/>
        <v>44713.875</v>
      </c>
      <c r="AW1387" s="1856">
        <f t="shared" si="268"/>
        <v>44713.922916666663</v>
      </c>
      <c r="AX1387" s="1856">
        <f t="shared" si="269"/>
        <v>44713.323611111111</v>
      </c>
      <c r="AY1387" s="1856">
        <f t="shared" si="270"/>
        <v>44713.973611111112</v>
      </c>
      <c r="AZ1387" s="1853">
        <v>0.03</v>
      </c>
    </row>
    <row r="1388" spans="42:52">
      <c r="AP1388" s="1855">
        <f t="shared" si="271"/>
        <v>44713</v>
      </c>
      <c r="AQ1388" s="925" t="str">
        <f t="shared" si="264"/>
        <v/>
      </c>
      <c r="AR1388" s="1856" t="str">
        <f t="shared" si="272"/>
        <v/>
      </c>
      <c r="AS1388" s="927" t="s">
        <v>252</v>
      </c>
      <c r="AT1388" s="1856" t="str">
        <f t="shared" si="265"/>
        <v/>
      </c>
      <c r="AU1388" s="1856" t="str">
        <f t="shared" si="266"/>
        <v/>
      </c>
      <c r="AV1388" s="1856" t="str">
        <f t="shared" si="267"/>
        <v/>
      </c>
      <c r="AW1388" s="1856" t="str">
        <f t="shared" si="268"/>
        <v/>
      </c>
      <c r="AX1388" s="1856" t="str">
        <f t="shared" si="269"/>
        <v/>
      </c>
      <c r="AY1388" s="1856" t="str">
        <f t="shared" si="270"/>
        <v/>
      </c>
    </row>
    <row r="1389" spans="42:52">
      <c r="AP1389" s="1855">
        <f t="shared" si="271"/>
        <v>44713</v>
      </c>
      <c r="AQ1389" s="925" t="str">
        <f t="shared" si="264"/>
        <v/>
      </c>
      <c r="AR1389" s="1856" t="str">
        <f t="shared" si="272"/>
        <v/>
      </c>
      <c r="AT1389" s="1856" t="str">
        <f t="shared" si="265"/>
        <v/>
      </c>
      <c r="AU1389" s="1856" t="str">
        <f t="shared" si="266"/>
        <v/>
      </c>
      <c r="AV1389" s="1856" t="str">
        <f t="shared" si="267"/>
        <v/>
      </c>
      <c r="AW1389" s="1856" t="str">
        <f t="shared" si="268"/>
        <v/>
      </c>
      <c r="AX1389" s="1856" t="str">
        <f t="shared" si="269"/>
        <v/>
      </c>
      <c r="AY1389" s="1856" t="str">
        <f t="shared" si="270"/>
        <v/>
      </c>
    </row>
    <row r="1390" spans="42:52">
      <c r="AP1390" s="1855">
        <f t="shared" si="271"/>
        <v>44713</v>
      </c>
      <c r="AQ1390" s="925" t="str">
        <f t="shared" si="264"/>
        <v>BMNT</v>
      </c>
      <c r="AR1390" s="1856">
        <f t="shared" si="272"/>
        <v>44713.218055555561</v>
      </c>
      <c r="AS1390" s="927" t="s">
        <v>1900</v>
      </c>
      <c r="AT1390" s="1856" t="str">
        <f t="shared" si="265"/>
        <v/>
      </c>
      <c r="AU1390" s="1856" t="str">
        <f t="shared" si="266"/>
        <v/>
      </c>
      <c r="AV1390" s="1856" t="str">
        <f t="shared" si="267"/>
        <v/>
      </c>
      <c r="AW1390" s="1856" t="str">
        <f t="shared" si="268"/>
        <v/>
      </c>
      <c r="AX1390" s="1856" t="str">
        <f t="shared" si="269"/>
        <v/>
      </c>
      <c r="AY1390" s="1856" t="str">
        <f t="shared" si="270"/>
        <v/>
      </c>
    </row>
    <row r="1391" spans="42:52">
      <c r="AP1391" s="1855">
        <f t="shared" si="271"/>
        <v>44713</v>
      </c>
      <c r="AQ1391" s="925" t="str">
        <f t="shared" si="264"/>
        <v>SR</v>
      </c>
      <c r="AR1391" s="1856">
        <f t="shared" si="272"/>
        <v>44713.265972222223</v>
      </c>
      <c r="AS1391" s="927" t="s">
        <v>1901</v>
      </c>
      <c r="AT1391" s="1856" t="str">
        <f t="shared" si="265"/>
        <v/>
      </c>
      <c r="AU1391" s="1856" t="str">
        <f t="shared" si="266"/>
        <v/>
      </c>
      <c r="AV1391" s="1856" t="str">
        <f t="shared" si="267"/>
        <v/>
      </c>
      <c r="AW1391" s="1856" t="str">
        <f t="shared" si="268"/>
        <v/>
      </c>
      <c r="AX1391" s="1856" t="str">
        <f t="shared" si="269"/>
        <v/>
      </c>
      <c r="AY1391" s="1856" t="str">
        <f t="shared" si="270"/>
        <v/>
      </c>
    </row>
    <row r="1392" spans="42:52">
      <c r="AP1392" s="1855">
        <f t="shared" si="271"/>
        <v>44713</v>
      </c>
      <c r="AQ1392" s="925" t="str">
        <f t="shared" si="264"/>
        <v>MR</v>
      </c>
      <c r="AR1392" s="1856">
        <f t="shared" si="272"/>
        <v>44713.323611111111</v>
      </c>
      <c r="AS1392" s="927" t="s">
        <v>1902</v>
      </c>
      <c r="AT1392" s="1856" t="str">
        <f t="shared" si="265"/>
        <v/>
      </c>
      <c r="AU1392" s="1856" t="str">
        <f t="shared" si="266"/>
        <v/>
      </c>
      <c r="AV1392" s="1856" t="str">
        <f t="shared" si="267"/>
        <v/>
      </c>
      <c r="AW1392" s="1856" t="str">
        <f t="shared" si="268"/>
        <v/>
      </c>
      <c r="AX1392" s="1856" t="str">
        <f t="shared" si="269"/>
        <v/>
      </c>
      <c r="AY1392" s="1856" t="str">
        <f t="shared" si="270"/>
        <v/>
      </c>
    </row>
    <row r="1393" spans="42:52">
      <c r="AP1393" s="1855">
        <f t="shared" si="271"/>
        <v>44713</v>
      </c>
      <c r="AQ1393" s="925" t="str">
        <f t="shared" si="264"/>
        <v>SS</v>
      </c>
      <c r="AR1393" s="1856">
        <f t="shared" si="272"/>
        <v>44713.875</v>
      </c>
      <c r="AS1393" s="927" t="s">
        <v>1903</v>
      </c>
      <c r="AT1393" s="1856" t="str">
        <f t="shared" si="265"/>
        <v/>
      </c>
      <c r="AU1393" s="1856" t="str">
        <f t="shared" si="266"/>
        <v/>
      </c>
      <c r="AV1393" s="1856" t="str">
        <f t="shared" si="267"/>
        <v/>
      </c>
      <c r="AW1393" s="1856" t="str">
        <f t="shared" si="268"/>
        <v/>
      </c>
      <c r="AX1393" s="1856" t="str">
        <f t="shared" si="269"/>
        <v/>
      </c>
      <c r="AY1393" s="1856" t="str">
        <f t="shared" si="270"/>
        <v/>
      </c>
    </row>
    <row r="1394" spans="42:52">
      <c r="AP1394" s="1855">
        <f t="shared" si="271"/>
        <v>44713</v>
      </c>
      <c r="AQ1394" s="925" t="str">
        <f t="shared" si="264"/>
        <v>EENT</v>
      </c>
      <c r="AR1394" s="1856">
        <f t="shared" si="272"/>
        <v>44713.922916666663</v>
      </c>
      <c r="AS1394" s="927" t="s">
        <v>1904</v>
      </c>
      <c r="AT1394" s="1856" t="str">
        <f t="shared" si="265"/>
        <v/>
      </c>
      <c r="AU1394" s="1856" t="str">
        <f t="shared" si="266"/>
        <v/>
      </c>
      <c r="AV1394" s="1856" t="str">
        <f t="shared" si="267"/>
        <v/>
      </c>
      <c r="AW1394" s="1856" t="str">
        <f t="shared" si="268"/>
        <v/>
      </c>
      <c r="AX1394" s="1856" t="str">
        <f t="shared" si="269"/>
        <v/>
      </c>
      <c r="AY1394" s="1856" t="str">
        <f t="shared" si="270"/>
        <v/>
      </c>
    </row>
    <row r="1395" spans="42:52">
      <c r="AP1395" s="1855">
        <f t="shared" si="271"/>
        <v>44713</v>
      </c>
      <c r="AQ1395" s="925" t="str">
        <f t="shared" si="264"/>
        <v>MS</v>
      </c>
      <c r="AR1395" s="1856">
        <f t="shared" si="272"/>
        <v>44713.973611111112</v>
      </c>
      <c r="AS1395" s="927" t="s">
        <v>1905</v>
      </c>
      <c r="AT1395" s="1856" t="str">
        <f t="shared" si="265"/>
        <v/>
      </c>
      <c r="AU1395" s="1856" t="str">
        <f t="shared" si="266"/>
        <v/>
      </c>
      <c r="AV1395" s="1856" t="str">
        <f t="shared" si="267"/>
        <v/>
      </c>
      <c r="AW1395" s="1856" t="str">
        <f t="shared" si="268"/>
        <v/>
      </c>
      <c r="AX1395" s="1856" t="str">
        <f t="shared" si="269"/>
        <v/>
      </c>
      <c r="AY1395" s="1856" t="str">
        <f t="shared" si="270"/>
        <v/>
      </c>
    </row>
    <row r="1396" spans="42:52">
      <c r="AP1396" s="1855">
        <f t="shared" si="271"/>
        <v>44714</v>
      </c>
      <c r="AQ1396" s="925" t="str">
        <f t="shared" ref="AQ1396:AQ1459" si="273">IF(NOT(ISNUMBER(FIND(":",AS1396))),"",IF(ISNUMBER(FIND("Sunr",AS1396)),"SR", IF(ISNUMBER(FIND("Suns",AS1396)),"SS",IF(ISNUMBER(FIND("Moonr",AS1396)),"MR",IF(ISNUMBER(FIND("Moons",AS1396)),"MS",IF(ISNUMBER(FIND("Twi",AS1396)),IF(HOUR(AR1396)&lt;12,"BMNT","EENT")))))))</f>
        <v/>
      </c>
      <c r="AR1396" s="1856" t="str">
        <f t="shared" si="272"/>
        <v/>
      </c>
      <c r="AS1396" s="927">
        <v>2</v>
      </c>
      <c r="AT1396" s="1856">
        <f t="shared" si="265"/>
        <v>44714.218055555561</v>
      </c>
      <c r="AU1396" s="1856">
        <f t="shared" si="266"/>
        <v>44714.265972222223</v>
      </c>
      <c r="AV1396" s="1856">
        <f t="shared" si="267"/>
        <v>44714.875</v>
      </c>
      <c r="AW1396" s="1856">
        <f t="shared" si="268"/>
        <v>44714.923611111109</v>
      </c>
      <c r="AX1396" s="1856">
        <f t="shared" si="269"/>
        <v>44714.359027777777</v>
      </c>
      <c r="AY1396" s="1856" t="str">
        <f t="shared" si="270"/>
        <v>NONE</v>
      </c>
      <c r="AZ1396" s="1853">
        <v>7.0000000000000007E-2</v>
      </c>
    </row>
    <row r="1397" spans="42:52">
      <c r="AP1397" s="1855">
        <f t="shared" si="271"/>
        <v>44714</v>
      </c>
      <c r="AQ1397" s="925" t="str">
        <f t="shared" si="273"/>
        <v/>
      </c>
      <c r="AR1397" s="1856" t="str">
        <f t="shared" si="272"/>
        <v/>
      </c>
      <c r="AS1397" s="927" t="s">
        <v>252</v>
      </c>
      <c r="AT1397" s="1856" t="str">
        <f t="shared" si="265"/>
        <v/>
      </c>
      <c r="AU1397" s="1856" t="str">
        <f t="shared" si="266"/>
        <v/>
      </c>
      <c r="AV1397" s="1856" t="str">
        <f t="shared" si="267"/>
        <v/>
      </c>
      <c r="AW1397" s="1856" t="str">
        <f t="shared" si="268"/>
        <v/>
      </c>
      <c r="AX1397" s="1856" t="str">
        <f t="shared" si="269"/>
        <v/>
      </c>
      <c r="AY1397" s="1856" t="str">
        <f t="shared" si="270"/>
        <v/>
      </c>
    </row>
    <row r="1398" spans="42:52">
      <c r="AP1398" s="1855">
        <f t="shared" si="271"/>
        <v>44714</v>
      </c>
      <c r="AQ1398" s="925" t="str">
        <f t="shared" si="273"/>
        <v/>
      </c>
      <c r="AR1398" s="1856" t="str">
        <f t="shared" si="272"/>
        <v/>
      </c>
      <c r="AT1398" s="1856" t="str">
        <f t="shared" si="265"/>
        <v/>
      </c>
      <c r="AU1398" s="1856" t="str">
        <f t="shared" si="266"/>
        <v/>
      </c>
      <c r="AV1398" s="1856" t="str">
        <f t="shared" si="267"/>
        <v/>
      </c>
      <c r="AW1398" s="1856" t="str">
        <f t="shared" si="268"/>
        <v/>
      </c>
      <c r="AX1398" s="1856" t="str">
        <f t="shared" si="269"/>
        <v/>
      </c>
      <c r="AY1398" s="1856" t="str">
        <f t="shared" si="270"/>
        <v/>
      </c>
    </row>
    <row r="1399" spans="42:52">
      <c r="AP1399" s="1855">
        <f t="shared" si="271"/>
        <v>44714</v>
      </c>
      <c r="AQ1399" s="925" t="str">
        <f t="shared" si="273"/>
        <v>BMNT</v>
      </c>
      <c r="AR1399" s="1856">
        <f t="shared" si="272"/>
        <v>44714.218055555561</v>
      </c>
      <c r="AS1399" s="927" t="s">
        <v>1900</v>
      </c>
      <c r="AT1399" s="1856" t="str">
        <f t="shared" si="265"/>
        <v/>
      </c>
      <c r="AU1399" s="1856" t="str">
        <f t="shared" si="266"/>
        <v/>
      </c>
      <c r="AV1399" s="1856" t="str">
        <f t="shared" si="267"/>
        <v/>
      </c>
      <c r="AW1399" s="1856" t="str">
        <f t="shared" si="268"/>
        <v/>
      </c>
      <c r="AX1399" s="1856" t="str">
        <f t="shared" si="269"/>
        <v/>
      </c>
      <c r="AY1399" s="1856" t="str">
        <f t="shared" si="270"/>
        <v/>
      </c>
    </row>
    <row r="1400" spans="42:52">
      <c r="AP1400" s="1855">
        <f t="shared" si="271"/>
        <v>44714</v>
      </c>
      <c r="AQ1400" s="925" t="str">
        <f t="shared" si="273"/>
        <v>SR</v>
      </c>
      <c r="AR1400" s="1856">
        <f t="shared" si="272"/>
        <v>44714.265972222223</v>
      </c>
      <c r="AS1400" s="927" t="s">
        <v>1901</v>
      </c>
      <c r="AT1400" s="1856" t="str">
        <f t="shared" si="265"/>
        <v/>
      </c>
      <c r="AU1400" s="1856" t="str">
        <f t="shared" si="266"/>
        <v/>
      </c>
      <c r="AV1400" s="1856" t="str">
        <f t="shared" si="267"/>
        <v/>
      </c>
      <c r="AW1400" s="1856" t="str">
        <f t="shared" si="268"/>
        <v/>
      </c>
      <c r="AX1400" s="1856" t="str">
        <f t="shared" si="269"/>
        <v/>
      </c>
      <c r="AY1400" s="1856" t="str">
        <f t="shared" si="270"/>
        <v/>
      </c>
    </row>
    <row r="1401" spans="42:52">
      <c r="AP1401" s="1855">
        <f t="shared" si="271"/>
        <v>44714</v>
      </c>
      <c r="AQ1401" s="925" t="str">
        <f t="shared" si="273"/>
        <v>MR</v>
      </c>
      <c r="AR1401" s="1856">
        <f t="shared" si="272"/>
        <v>44714.359027777777</v>
      </c>
      <c r="AS1401" s="927" t="s">
        <v>1906</v>
      </c>
      <c r="AT1401" s="1856" t="str">
        <f t="shared" si="265"/>
        <v/>
      </c>
      <c r="AU1401" s="1856" t="str">
        <f t="shared" si="266"/>
        <v/>
      </c>
      <c r="AV1401" s="1856" t="str">
        <f t="shared" si="267"/>
        <v/>
      </c>
      <c r="AW1401" s="1856" t="str">
        <f t="shared" si="268"/>
        <v/>
      </c>
      <c r="AX1401" s="1856" t="str">
        <f t="shared" si="269"/>
        <v/>
      </c>
      <c r="AY1401" s="1856" t="str">
        <f t="shared" si="270"/>
        <v/>
      </c>
    </row>
    <row r="1402" spans="42:52">
      <c r="AP1402" s="1855">
        <f t="shared" si="271"/>
        <v>44714</v>
      </c>
      <c r="AQ1402" s="925" t="str">
        <f t="shared" si="273"/>
        <v>SS</v>
      </c>
      <c r="AR1402" s="1856">
        <f t="shared" si="272"/>
        <v>44714.875</v>
      </c>
      <c r="AS1402" s="927" t="s">
        <v>1903</v>
      </c>
      <c r="AT1402" s="1856" t="str">
        <f t="shared" si="265"/>
        <v/>
      </c>
      <c r="AU1402" s="1856" t="str">
        <f t="shared" si="266"/>
        <v/>
      </c>
      <c r="AV1402" s="1856" t="str">
        <f t="shared" si="267"/>
        <v/>
      </c>
      <c r="AW1402" s="1856" t="str">
        <f t="shared" si="268"/>
        <v/>
      </c>
      <c r="AX1402" s="1856" t="str">
        <f t="shared" si="269"/>
        <v/>
      </c>
      <c r="AY1402" s="1856" t="str">
        <f t="shared" si="270"/>
        <v/>
      </c>
    </row>
    <row r="1403" spans="42:52">
      <c r="AP1403" s="1855">
        <f t="shared" si="271"/>
        <v>44714</v>
      </c>
      <c r="AQ1403" s="925" t="str">
        <f t="shared" si="273"/>
        <v>EENT</v>
      </c>
      <c r="AR1403" s="1856">
        <f t="shared" si="272"/>
        <v>44714.923611111109</v>
      </c>
      <c r="AS1403" s="927" t="s">
        <v>1907</v>
      </c>
      <c r="AT1403" s="1856" t="str">
        <f t="shared" si="265"/>
        <v/>
      </c>
      <c r="AU1403" s="1856" t="str">
        <f t="shared" si="266"/>
        <v/>
      </c>
      <c r="AV1403" s="1856" t="str">
        <f t="shared" si="267"/>
        <v/>
      </c>
      <c r="AW1403" s="1856" t="str">
        <f t="shared" si="268"/>
        <v/>
      </c>
      <c r="AX1403" s="1856" t="str">
        <f t="shared" si="269"/>
        <v/>
      </c>
      <c r="AY1403" s="1856" t="str">
        <f t="shared" si="270"/>
        <v/>
      </c>
    </row>
    <row r="1404" spans="42:52">
      <c r="AP1404" s="1855">
        <f t="shared" si="271"/>
        <v>44714</v>
      </c>
      <c r="AQ1404" s="925" t="str">
        <f t="shared" si="273"/>
        <v>MS</v>
      </c>
      <c r="AR1404" s="1856" t="str">
        <f t="shared" si="272"/>
        <v>NONE</v>
      </c>
      <c r="AS1404" s="927" t="s">
        <v>948</v>
      </c>
      <c r="AT1404" s="1856" t="str">
        <f t="shared" si="265"/>
        <v/>
      </c>
      <c r="AU1404" s="1856" t="str">
        <f t="shared" si="266"/>
        <v/>
      </c>
      <c r="AV1404" s="1856" t="str">
        <f t="shared" si="267"/>
        <v/>
      </c>
      <c r="AW1404" s="1856" t="str">
        <f t="shared" si="268"/>
        <v/>
      </c>
      <c r="AX1404" s="1856" t="str">
        <f t="shared" si="269"/>
        <v/>
      </c>
      <c r="AY1404" s="1856" t="str">
        <f t="shared" si="270"/>
        <v/>
      </c>
    </row>
    <row r="1405" spans="42:52">
      <c r="AP1405" s="1855">
        <f t="shared" si="271"/>
        <v>44715</v>
      </c>
      <c r="AQ1405" s="925" t="str">
        <f t="shared" si="273"/>
        <v/>
      </c>
      <c r="AR1405" s="1856" t="str">
        <f t="shared" si="272"/>
        <v/>
      </c>
      <c r="AS1405" s="927">
        <v>3</v>
      </c>
      <c r="AT1405" s="1856">
        <f t="shared" si="265"/>
        <v>44715.217361111114</v>
      </c>
      <c r="AU1405" s="1856">
        <f t="shared" si="266"/>
        <v>44715.265972222223</v>
      </c>
      <c r="AV1405" s="1856">
        <f t="shared" si="267"/>
        <v>44715.875694444447</v>
      </c>
      <c r="AW1405" s="1856">
        <f t="shared" si="268"/>
        <v>44715.923611111109</v>
      </c>
      <c r="AX1405" s="1856">
        <f t="shared" si="269"/>
        <v>44715.397916666669</v>
      </c>
      <c r="AY1405" s="1856">
        <f t="shared" si="270"/>
        <v>44715.006249999999</v>
      </c>
      <c r="AZ1405" s="1853">
        <v>0.12</v>
      </c>
    </row>
    <row r="1406" spans="42:52">
      <c r="AP1406" s="1855">
        <f t="shared" si="271"/>
        <v>44715</v>
      </c>
      <c r="AQ1406" s="925" t="str">
        <f t="shared" si="273"/>
        <v/>
      </c>
      <c r="AR1406" s="1856" t="str">
        <f t="shared" si="272"/>
        <v/>
      </c>
      <c r="AS1406" s="927" t="s">
        <v>252</v>
      </c>
      <c r="AT1406" s="1856" t="str">
        <f t="shared" si="265"/>
        <v/>
      </c>
      <c r="AU1406" s="1856" t="str">
        <f t="shared" si="266"/>
        <v/>
      </c>
      <c r="AV1406" s="1856" t="str">
        <f t="shared" si="267"/>
        <v/>
      </c>
      <c r="AW1406" s="1856" t="str">
        <f t="shared" si="268"/>
        <v/>
      </c>
      <c r="AX1406" s="1856" t="str">
        <f t="shared" si="269"/>
        <v/>
      </c>
      <c r="AY1406" s="1856" t="str">
        <f t="shared" si="270"/>
        <v/>
      </c>
    </row>
    <row r="1407" spans="42:52">
      <c r="AP1407" s="1855">
        <f t="shared" si="271"/>
        <v>44715</v>
      </c>
      <c r="AQ1407" s="925" t="str">
        <f t="shared" si="273"/>
        <v/>
      </c>
      <c r="AR1407" s="1856" t="str">
        <f t="shared" si="272"/>
        <v/>
      </c>
      <c r="AT1407" s="1856" t="str">
        <f t="shared" si="265"/>
        <v/>
      </c>
      <c r="AU1407" s="1856" t="str">
        <f t="shared" si="266"/>
        <v/>
      </c>
      <c r="AV1407" s="1856" t="str">
        <f t="shared" si="267"/>
        <v/>
      </c>
      <c r="AW1407" s="1856" t="str">
        <f t="shared" si="268"/>
        <v/>
      </c>
      <c r="AX1407" s="1856" t="str">
        <f t="shared" si="269"/>
        <v/>
      </c>
      <c r="AY1407" s="1856" t="str">
        <f t="shared" si="270"/>
        <v/>
      </c>
    </row>
    <row r="1408" spans="42:52">
      <c r="AP1408" s="1855">
        <f t="shared" si="271"/>
        <v>44715</v>
      </c>
      <c r="AQ1408" s="925" t="str">
        <f t="shared" si="273"/>
        <v>MS</v>
      </c>
      <c r="AR1408" s="1856">
        <f t="shared" si="272"/>
        <v>44715.006249999999</v>
      </c>
      <c r="AS1408" s="927" t="s">
        <v>1908</v>
      </c>
      <c r="AT1408" s="1856" t="str">
        <f t="shared" si="265"/>
        <v/>
      </c>
      <c r="AU1408" s="1856" t="str">
        <f t="shared" si="266"/>
        <v/>
      </c>
      <c r="AV1408" s="1856" t="str">
        <f t="shared" si="267"/>
        <v/>
      </c>
      <c r="AW1408" s="1856" t="str">
        <f t="shared" si="268"/>
        <v/>
      </c>
      <c r="AX1408" s="1856" t="str">
        <f t="shared" si="269"/>
        <v/>
      </c>
      <c r="AY1408" s="1856" t="str">
        <f t="shared" si="270"/>
        <v/>
      </c>
    </row>
    <row r="1409" spans="42:52">
      <c r="AP1409" s="1855">
        <f t="shared" si="271"/>
        <v>44715</v>
      </c>
      <c r="AQ1409" s="925" t="str">
        <f t="shared" si="273"/>
        <v>BMNT</v>
      </c>
      <c r="AR1409" s="1856">
        <f t="shared" si="272"/>
        <v>44715.217361111114</v>
      </c>
      <c r="AS1409" s="927" t="s">
        <v>1909</v>
      </c>
      <c r="AT1409" s="1856" t="str">
        <f t="shared" si="265"/>
        <v/>
      </c>
      <c r="AU1409" s="1856" t="str">
        <f t="shared" si="266"/>
        <v/>
      </c>
      <c r="AV1409" s="1856" t="str">
        <f t="shared" si="267"/>
        <v/>
      </c>
      <c r="AW1409" s="1856" t="str">
        <f t="shared" si="268"/>
        <v/>
      </c>
      <c r="AX1409" s="1856" t="str">
        <f t="shared" si="269"/>
        <v/>
      </c>
      <c r="AY1409" s="1856" t="str">
        <f t="shared" si="270"/>
        <v/>
      </c>
    </row>
    <row r="1410" spans="42:52">
      <c r="AP1410" s="1855">
        <f t="shared" si="271"/>
        <v>44715</v>
      </c>
      <c r="AQ1410" s="925" t="str">
        <f t="shared" si="273"/>
        <v>SR</v>
      </c>
      <c r="AR1410" s="1856">
        <f t="shared" si="272"/>
        <v>44715.265972222223</v>
      </c>
      <c r="AS1410" s="927" t="s">
        <v>1901</v>
      </c>
      <c r="AT1410" s="1856" t="str">
        <f t="shared" si="265"/>
        <v/>
      </c>
      <c r="AU1410" s="1856" t="str">
        <f t="shared" si="266"/>
        <v/>
      </c>
      <c r="AV1410" s="1856" t="str">
        <f t="shared" si="267"/>
        <v/>
      </c>
      <c r="AW1410" s="1856" t="str">
        <f t="shared" si="268"/>
        <v/>
      </c>
      <c r="AX1410" s="1856" t="str">
        <f t="shared" si="269"/>
        <v/>
      </c>
      <c r="AY1410" s="1856" t="str">
        <f t="shared" si="270"/>
        <v/>
      </c>
    </row>
    <row r="1411" spans="42:52">
      <c r="AP1411" s="1855">
        <f t="shared" si="271"/>
        <v>44715</v>
      </c>
      <c r="AQ1411" s="925" t="str">
        <f t="shared" si="273"/>
        <v>MR</v>
      </c>
      <c r="AR1411" s="1856">
        <f t="shared" si="272"/>
        <v>44715.397916666669</v>
      </c>
      <c r="AS1411" s="927" t="s">
        <v>1910</v>
      </c>
      <c r="AT1411" s="1856" t="str">
        <f t="shared" si="265"/>
        <v/>
      </c>
      <c r="AU1411" s="1856" t="str">
        <f t="shared" si="266"/>
        <v/>
      </c>
      <c r="AV1411" s="1856" t="str">
        <f t="shared" si="267"/>
        <v/>
      </c>
      <c r="AW1411" s="1856" t="str">
        <f t="shared" si="268"/>
        <v/>
      </c>
      <c r="AX1411" s="1856" t="str">
        <f t="shared" si="269"/>
        <v/>
      </c>
      <c r="AY1411" s="1856" t="str">
        <f t="shared" si="270"/>
        <v/>
      </c>
    </row>
    <row r="1412" spans="42:52">
      <c r="AP1412" s="1855">
        <f t="shared" si="271"/>
        <v>44715</v>
      </c>
      <c r="AQ1412" s="925" t="str">
        <f t="shared" si="273"/>
        <v>SS</v>
      </c>
      <c r="AR1412" s="1856">
        <f t="shared" si="272"/>
        <v>44715.875694444447</v>
      </c>
      <c r="AS1412" s="927" t="s">
        <v>1911</v>
      </c>
      <c r="AT1412" s="1856" t="str">
        <f t="shared" si="265"/>
        <v/>
      </c>
      <c r="AU1412" s="1856" t="str">
        <f t="shared" si="266"/>
        <v/>
      </c>
      <c r="AV1412" s="1856" t="str">
        <f t="shared" si="267"/>
        <v/>
      </c>
      <c r="AW1412" s="1856" t="str">
        <f t="shared" si="268"/>
        <v/>
      </c>
      <c r="AX1412" s="1856" t="str">
        <f t="shared" si="269"/>
        <v/>
      </c>
      <c r="AY1412" s="1856" t="str">
        <f t="shared" si="270"/>
        <v/>
      </c>
    </row>
    <row r="1413" spans="42:52">
      <c r="AP1413" s="1855">
        <f t="shared" si="271"/>
        <v>44715</v>
      </c>
      <c r="AQ1413" s="925" t="str">
        <f t="shared" si="273"/>
        <v>EENT</v>
      </c>
      <c r="AR1413" s="1856">
        <f t="shared" si="272"/>
        <v>44715.923611111109</v>
      </c>
      <c r="AS1413" s="927" t="s">
        <v>1907</v>
      </c>
      <c r="AT1413" s="1856" t="str">
        <f t="shared" si="265"/>
        <v/>
      </c>
      <c r="AU1413" s="1856" t="str">
        <f t="shared" si="266"/>
        <v/>
      </c>
      <c r="AV1413" s="1856" t="str">
        <f t="shared" si="267"/>
        <v/>
      </c>
      <c r="AW1413" s="1856" t="str">
        <f t="shared" si="268"/>
        <v/>
      </c>
      <c r="AX1413" s="1856" t="str">
        <f t="shared" si="269"/>
        <v/>
      </c>
      <c r="AY1413" s="1856" t="str">
        <f t="shared" si="270"/>
        <v/>
      </c>
    </row>
    <row r="1414" spans="42:52">
      <c r="AP1414" s="1855">
        <f t="shared" si="271"/>
        <v>44716</v>
      </c>
      <c r="AQ1414" s="925" t="str">
        <f t="shared" si="273"/>
        <v/>
      </c>
      <c r="AR1414" s="1856" t="str">
        <f t="shared" si="272"/>
        <v/>
      </c>
      <c r="AS1414" s="927">
        <v>4</v>
      </c>
      <c r="AT1414" s="1856">
        <f t="shared" si="265"/>
        <v>44716.217361111114</v>
      </c>
      <c r="AU1414" s="1856">
        <f t="shared" si="266"/>
        <v>44716.265277777777</v>
      </c>
      <c r="AV1414" s="1856">
        <f t="shared" si="267"/>
        <v>44716.876388888886</v>
      </c>
      <c r="AW1414" s="1856">
        <f t="shared" si="268"/>
        <v>44716.924305555556</v>
      </c>
      <c r="AX1414" s="1856">
        <f t="shared" si="269"/>
        <v>44716.438888888886</v>
      </c>
      <c r="AY1414" s="1856">
        <f t="shared" si="270"/>
        <v>44716.03402777778</v>
      </c>
      <c r="AZ1414" s="1853">
        <v>0.19</v>
      </c>
    </row>
    <row r="1415" spans="42:52">
      <c r="AP1415" s="1855">
        <f t="shared" si="271"/>
        <v>44716</v>
      </c>
      <c r="AQ1415" s="925" t="str">
        <f t="shared" si="273"/>
        <v/>
      </c>
      <c r="AR1415" s="1856" t="str">
        <f t="shared" si="272"/>
        <v/>
      </c>
      <c r="AS1415" s="927" t="s">
        <v>252</v>
      </c>
      <c r="AT1415" s="1856" t="str">
        <f t="shared" si="265"/>
        <v/>
      </c>
      <c r="AU1415" s="1856" t="str">
        <f t="shared" si="266"/>
        <v/>
      </c>
      <c r="AV1415" s="1856" t="str">
        <f t="shared" si="267"/>
        <v/>
      </c>
      <c r="AW1415" s="1856" t="str">
        <f t="shared" si="268"/>
        <v/>
      </c>
      <c r="AX1415" s="1856" t="str">
        <f t="shared" si="269"/>
        <v/>
      </c>
      <c r="AY1415" s="1856" t="str">
        <f t="shared" si="270"/>
        <v/>
      </c>
    </row>
    <row r="1416" spans="42:52">
      <c r="AP1416" s="1855">
        <f t="shared" si="271"/>
        <v>44716</v>
      </c>
      <c r="AQ1416" s="925" t="str">
        <f t="shared" si="273"/>
        <v/>
      </c>
      <c r="AR1416" s="1856" t="str">
        <f t="shared" si="272"/>
        <v/>
      </c>
      <c r="AT1416" s="1856" t="str">
        <f t="shared" si="265"/>
        <v/>
      </c>
      <c r="AU1416" s="1856" t="str">
        <f t="shared" si="266"/>
        <v/>
      </c>
      <c r="AV1416" s="1856" t="str">
        <f t="shared" si="267"/>
        <v/>
      </c>
      <c r="AW1416" s="1856" t="str">
        <f t="shared" si="268"/>
        <v/>
      </c>
      <c r="AX1416" s="1856" t="str">
        <f t="shared" si="269"/>
        <v/>
      </c>
      <c r="AY1416" s="1856" t="str">
        <f t="shared" si="270"/>
        <v/>
      </c>
    </row>
    <row r="1417" spans="42:52">
      <c r="AP1417" s="1855">
        <f t="shared" si="271"/>
        <v>44716</v>
      </c>
      <c r="AQ1417" s="925" t="str">
        <f t="shared" si="273"/>
        <v>MS</v>
      </c>
      <c r="AR1417" s="1856">
        <f t="shared" si="272"/>
        <v>44716.03402777778</v>
      </c>
      <c r="AS1417" s="927" t="s">
        <v>1912</v>
      </c>
      <c r="AT1417" s="1856" t="str">
        <f t="shared" si="265"/>
        <v/>
      </c>
      <c r="AU1417" s="1856" t="str">
        <f t="shared" si="266"/>
        <v/>
      </c>
      <c r="AV1417" s="1856" t="str">
        <f t="shared" si="267"/>
        <v/>
      </c>
      <c r="AW1417" s="1856" t="str">
        <f t="shared" si="268"/>
        <v/>
      </c>
      <c r="AX1417" s="1856" t="str">
        <f t="shared" si="269"/>
        <v/>
      </c>
      <c r="AY1417" s="1856" t="str">
        <f t="shared" si="270"/>
        <v/>
      </c>
    </row>
    <row r="1418" spans="42:52">
      <c r="AP1418" s="1855">
        <f t="shared" si="271"/>
        <v>44716</v>
      </c>
      <c r="AQ1418" s="925" t="str">
        <f t="shared" si="273"/>
        <v>BMNT</v>
      </c>
      <c r="AR1418" s="1856">
        <f t="shared" si="272"/>
        <v>44716.217361111114</v>
      </c>
      <c r="AS1418" s="927" t="s">
        <v>1909</v>
      </c>
      <c r="AT1418" s="1856" t="str">
        <f t="shared" si="265"/>
        <v/>
      </c>
      <c r="AU1418" s="1856" t="str">
        <f t="shared" si="266"/>
        <v/>
      </c>
      <c r="AV1418" s="1856" t="str">
        <f t="shared" si="267"/>
        <v/>
      </c>
      <c r="AW1418" s="1856" t="str">
        <f t="shared" si="268"/>
        <v/>
      </c>
      <c r="AX1418" s="1856" t="str">
        <f t="shared" si="269"/>
        <v/>
      </c>
      <c r="AY1418" s="1856" t="str">
        <f t="shared" si="270"/>
        <v/>
      </c>
    </row>
    <row r="1419" spans="42:52">
      <c r="AP1419" s="1855">
        <f t="shared" si="271"/>
        <v>44716</v>
      </c>
      <c r="AQ1419" s="925" t="str">
        <f t="shared" si="273"/>
        <v>SR</v>
      </c>
      <c r="AR1419" s="1856">
        <f t="shared" si="272"/>
        <v>44716.265277777777</v>
      </c>
      <c r="AS1419" s="927" t="s">
        <v>1913</v>
      </c>
      <c r="AT1419" s="1856" t="str">
        <f t="shared" si="265"/>
        <v/>
      </c>
      <c r="AU1419" s="1856" t="str">
        <f t="shared" si="266"/>
        <v/>
      </c>
      <c r="AV1419" s="1856" t="str">
        <f t="shared" si="267"/>
        <v/>
      </c>
      <c r="AW1419" s="1856" t="str">
        <f t="shared" si="268"/>
        <v/>
      </c>
      <c r="AX1419" s="1856" t="str">
        <f t="shared" si="269"/>
        <v/>
      </c>
      <c r="AY1419" s="1856" t="str">
        <f t="shared" si="270"/>
        <v/>
      </c>
    </row>
    <row r="1420" spans="42:52">
      <c r="AP1420" s="1855">
        <f t="shared" si="271"/>
        <v>44716</v>
      </c>
      <c r="AQ1420" s="925" t="str">
        <f t="shared" si="273"/>
        <v>MR</v>
      </c>
      <c r="AR1420" s="1856">
        <f t="shared" si="272"/>
        <v>44716.438888888886</v>
      </c>
      <c r="AS1420" s="927" t="s">
        <v>1914</v>
      </c>
      <c r="AT1420" s="1856" t="str">
        <f t="shared" si="265"/>
        <v/>
      </c>
      <c r="AU1420" s="1856" t="str">
        <f t="shared" si="266"/>
        <v/>
      </c>
      <c r="AV1420" s="1856" t="str">
        <f t="shared" si="267"/>
        <v/>
      </c>
      <c r="AW1420" s="1856" t="str">
        <f t="shared" si="268"/>
        <v/>
      </c>
      <c r="AX1420" s="1856" t="str">
        <f t="shared" si="269"/>
        <v/>
      </c>
      <c r="AY1420" s="1856" t="str">
        <f t="shared" si="270"/>
        <v/>
      </c>
    </row>
    <row r="1421" spans="42:52">
      <c r="AP1421" s="1855">
        <f t="shared" si="271"/>
        <v>44716</v>
      </c>
      <c r="AQ1421" s="925" t="str">
        <f t="shared" si="273"/>
        <v>SS</v>
      </c>
      <c r="AR1421" s="1856">
        <f t="shared" si="272"/>
        <v>44716.876388888886</v>
      </c>
      <c r="AS1421" s="927" t="s">
        <v>1915</v>
      </c>
      <c r="AT1421" s="1856" t="str">
        <f t="shared" si="265"/>
        <v/>
      </c>
      <c r="AU1421" s="1856" t="str">
        <f t="shared" si="266"/>
        <v/>
      </c>
      <c r="AV1421" s="1856" t="str">
        <f t="shared" si="267"/>
        <v/>
      </c>
      <c r="AW1421" s="1856" t="str">
        <f t="shared" si="268"/>
        <v/>
      </c>
      <c r="AX1421" s="1856" t="str">
        <f t="shared" si="269"/>
        <v/>
      </c>
      <c r="AY1421" s="1856" t="str">
        <f t="shared" si="270"/>
        <v/>
      </c>
    </row>
    <row r="1422" spans="42:52">
      <c r="AP1422" s="1855">
        <f t="shared" si="271"/>
        <v>44716</v>
      </c>
      <c r="AQ1422" s="925" t="str">
        <f t="shared" si="273"/>
        <v>EENT</v>
      </c>
      <c r="AR1422" s="1856">
        <f t="shared" si="272"/>
        <v>44716.924305555556</v>
      </c>
      <c r="AS1422" s="927" t="s">
        <v>1916</v>
      </c>
      <c r="AT1422" s="1856" t="str">
        <f t="shared" si="265"/>
        <v/>
      </c>
      <c r="AU1422" s="1856" t="str">
        <f t="shared" si="266"/>
        <v/>
      </c>
      <c r="AV1422" s="1856" t="str">
        <f t="shared" si="267"/>
        <v/>
      </c>
      <c r="AW1422" s="1856" t="str">
        <f t="shared" si="268"/>
        <v/>
      </c>
      <c r="AX1422" s="1856" t="str">
        <f t="shared" si="269"/>
        <v/>
      </c>
      <c r="AY1422" s="1856" t="str">
        <f t="shared" si="270"/>
        <v/>
      </c>
    </row>
    <row r="1423" spans="42:52">
      <c r="AP1423" s="1855">
        <f t="shared" si="271"/>
        <v>44717</v>
      </c>
      <c r="AQ1423" s="925" t="str">
        <f t="shared" si="273"/>
        <v/>
      </c>
      <c r="AR1423" s="1856" t="str">
        <f t="shared" si="272"/>
        <v/>
      </c>
      <c r="AS1423" s="927">
        <v>5</v>
      </c>
      <c r="AT1423" s="1856">
        <f t="shared" si="265"/>
        <v>44717.217361111114</v>
      </c>
      <c r="AU1423" s="1856">
        <f t="shared" si="266"/>
        <v>44717.265277777777</v>
      </c>
      <c r="AV1423" s="1856">
        <f t="shared" si="267"/>
        <v>44717.876388888886</v>
      </c>
      <c r="AW1423" s="1856">
        <f t="shared" si="268"/>
        <v>44717.924999999996</v>
      </c>
      <c r="AX1423" s="1856">
        <f t="shared" si="269"/>
        <v>44717.481250000004</v>
      </c>
      <c r="AY1423" s="1856">
        <f t="shared" si="270"/>
        <v>44717.057638888888</v>
      </c>
      <c r="AZ1423" s="1853">
        <v>0.27</v>
      </c>
    </row>
    <row r="1424" spans="42:52">
      <c r="AP1424" s="1855">
        <f t="shared" si="271"/>
        <v>44717</v>
      </c>
      <c r="AQ1424" s="925" t="str">
        <f t="shared" si="273"/>
        <v/>
      </c>
      <c r="AR1424" s="1856" t="str">
        <f t="shared" si="272"/>
        <v/>
      </c>
      <c r="AS1424" s="927" t="s">
        <v>252</v>
      </c>
      <c r="AT1424" s="1856" t="str">
        <f t="shared" si="265"/>
        <v/>
      </c>
      <c r="AU1424" s="1856" t="str">
        <f t="shared" si="266"/>
        <v/>
      </c>
      <c r="AV1424" s="1856" t="str">
        <f t="shared" si="267"/>
        <v/>
      </c>
      <c r="AW1424" s="1856" t="str">
        <f t="shared" si="268"/>
        <v/>
      </c>
      <c r="AX1424" s="1856" t="str">
        <f t="shared" si="269"/>
        <v/>
      </c>
      <c r="AY1424" s="1856" t="str">
        <f t="shared" si="270"/>
        <v/>
      </c>
    </row>
    <row r="1425" spans="42:52">
      <c r="AP1425" s="1855">
        <f t="shared" si="271"/>
        <v>44717</v>
      </c>
      <c r="AQ1425" s="925" t="str">
        <f t="shared" si="273"/>
        <v/>
      </c>
      <c r="AR1425" s="1856" t="str">
        <f t="shared" si="272"/>
        <v/>
      </c>
      <c r="AT1425" s="1856" t="str">
        <f t="shared" si="265"/>
        <v/>
      </c>
      <c r="AU1425" s="1856" t="str">
        <f t="shared" si="266"/>
        <v/>
      </c>
      <c r="AV1425" s="1856" t="str">
        <f t="shared" si="267"/>
        <v/>
      </c>
      <c r="AW1425" s="1856" t="str">
        <f t="shared" si="268"/>
        <v/>
      </c>
      <c r="AX1425" s="1856" t="str">
        <f t="shared" si="269"/>
        <v/>
      </c>
      <c r="AY1425" s="1856" t="str">
        <f t="shared" si="270"/>
        <v/>
      </c>
    </row>
    <row r="1426" spans="42:52">
      <c r="AP1426" s="1855">
        <f t="shared" si="271"/>
        <v>44717</v>
      </c>
      <c r="AQ1426" s="925" t="str">
        <f t="shared" si="273"/>
        <v>MS</v>
      </c>
      <c r="AR1426" s="1856">
        <f t="shared" si="272"/>
        <v>44717.057638888888</v>
      </c>
      <c r="AS1426" s="927" t="s">
        <v>1917</v>
      </c>
      <c r="AT1426" s="1856" t="str">
        <f t="shared" si="265"/>
        <v/>
      </c>
      <c r="AU1426" s="1856" t="str">
        <f t="shared" si="266"/>
        <v/>
      </c>
      <c r="AV1426" s="1856" t="str">
        <f t="shared" si="267"/>
        <v/>
      </c>
      <c r="AW1426" s="1856" t="str">
        <f t="shared" si="268"/>
        <v/>
      </c>
      <c r="AX1426" s="1856" t="str">
        <f t="shared" si="269"/>
        <v/>
      </c>
      <c r="AY1426" s="1856" t="str">
        <f t="shared" si="270"/>
        <v/>
      </c>
    </row>
    <row r="1427" spans="42:52">
      <c r="AP1427" s="1855">
        <f t="shared" si="271"/>
        <v>44717</v>
      </c>
      <c r="AQ1427" s="925" t="str">
        <f t="shared" si="273"/>
        <v>BMNT</v>
      </c>
      <c r="AR1427" s="1856">
        <f t="shared" si="272"/>
        <v>44717.217361111114</v>
      </c>
      <c r="AS1427" s="927" t="s">
        <v>1909</v>
      </c>
      <c r="AT1427" s="1856" t="str">
        <f t="shared" si="265"/>
        <v/>
      </c>
      <c r="AU1427" s="1856" t="str">
        <f t="shared" si="266"/>
        <v/>
      </c>
      <c r="AV1427" s="1856" t="str">
        <f t="shared" si="267"/>
        <v/>
      </c>
      <c r="AW1427" s="1856" t="str">
        <f t="shared" si="268"/>
        <v/>
      </c>
      <c r="AX1427" s="1856" t="str">
        <f t="shared" si="269"/>
        <v/>
      </c>
      <c r="AY1427" s="1856" t="str">
        <f t="shared" si="270"/>
        <v/>
      </c>
    </row>
    <row r="1428" spans="42:52">
      <c r="AP1428" s="1855">
        <f t="shared" si="271"/>
        <v>44717</v>
      </c>
      <c r="AQ1428" s="925" t="str">
        <f t="shared" si="273"/>
        <v>SR</v>
      </c>
      <c r="AR1428" s="1856">
        <f t="shared" si="272"/>
        <v>44717.265277777777</v>
      </c>
      <c r="AS1428" s="927" t="s">
        <v>1913</v>
      </c>
      <c r="AT1428" s="1856" t="str">
        <f t="shared" si="265"/>
        <v/>
      </c>
      <c r="AU1428" s="1856" t="str">
        <f t="shared" si="266"/>
        <v/>
      </c>
      <c r="AV1428" s="1856" t="str">
        <f t="shared" si="267"/>
        <v/>
      </c>
      <c r="AW1428" s="1856" t="str">
        <f t="shared" si="268"/>
        <v/>
      </c>
      <c r="AX1428" s="1856" t="str">
        <f t="shared" si="269"/>
        <v/>
      </c>
      <c r="AY1428" s="1856" t="str">
        <f t="shared" si="270"/>
        <v/>
      </c>
    </row>
    <row r="1429" spans="42:52">
      <c r="AP1429" s="1855">
        <f t="shared" si="271"/>
        <v>44717</v>
      </c>
      <c r="AQ1429" s="925" t="str">
        <f t="shared" si="273"/>
        <v>MR</v>
      </c>
      <c r="AR1429" s="1856">
        <f t="shared" si="272"/>
        <v>44717.481250000004</v>
      </c>
      <c r="AS1429" s="927" t="s">
        <v>1918</v>
      </c>
      <c r="AT1429" s="1856" t="str">
        <f t="shared" si="265"/>
        <v/>
      </c>
      <c r="AU1429" s="1856" t="str">
        <f t="shared" si="266"/>
        <v/>
      </c>
      <c r="AV1429" s="1856" t="str">
        <f t="shared" si="267"/>
        <v/>
      </c>
      <c r="AW1429" s="1856" t="str">
        <f t="shared" si="268"/>
        <v/>
      </c>
      <c r="AX1429" s="1856" t="str">
        <f t="shared" si="269"/>
        <v/>
      </c>
      <c r="AY1429" s="1856" t="str">
        <f t="shared" si="270"/>
        <v/>
      </c>
    </row>
    <row r="1430" spans="42:52">
      <c r="AP1430" s="1855">
        <f t="shared" si="271"/>
        <v>44717</v>
      </c>
      <c r="AQ1430" s="925" t="str">
        <f t="shared" si="273"/>
        <v>SS</v>
      </c>
      <c r="AR1430" s="1856">
        <f t="shared" si="272"/>
        <v>44717.876388888886</v>
      </c>
      <c r="AS1430" s="927" t="s">
        <v>1915</v>
      </c>
      <c r="AT1430" s="1856" t="str">
        <f t="shared" si="265"/>
        <v/>
      </c>
      <c r="AU1430" s="1856" t="str">
        <f t="shared" si="266"/>
        <v/>
      </c>
      <c r="AV1430" s="1856" t="str">
        <f t="shared" si="267"/>
        <v/>
      </c>
      <c r="AW1430" s="1856" t="str">
        <f t="shared" si="268"/>
        <v/>
      </c>
      <c r="AX1430" s="1856" t="str">
        <f t="shared" si="269"/>
        <v/>
      </c>
      <c r="AY1430" s="1856" t="str">
        <f t="shared" si="270"/>
        <v/>
      </c>
    </row>
    <row r="1431" spans="42:52">
      <c r="AP1431" s="1855">
        <f t="shared" si="271"/>
        <v>44717</v>
      </c>
      <c r="AQ1431" s="925" t="str">
        <f t="shared" si="273"/>
        <v>EENT</v>
      </c>
      <c r="AR1431" s="1856">
        <f t="shared" si="272"/>
        <v>44717.924999999996</v>
      </c>
      <c r="AS1431" s="927" t="s">
        <v>1919</v>
      </c>
      <c r="AT1431" s="1856" t="str">
        <f t="shared" si="265"/>
        <v/>
      </c>
      <c r="AU1431" s="1856" t="str">
        <f t="shared" si="266"/>
        <v/>
      </c>
      <c r="AV1431" s="1856" t="str">
        <f t="shared" si="267"/>
        <v/>
      </c>
      <c r="AW1431" s="1856" t="str">
        <f t="shared" si="268"/>
        <v/>
      </c>
      <c r="AX1431" s="1856" t="str">
        <f t="shared" si="269"/>
        <v/>
      </c>
      <c r="AY1431" s="1856" t="str">
        <f t="shared" si="270"/>
        <v/>
      </c>
    </row>
    <row r="1432" spans="42:52">
      <c r="AP1432" s="1855">
        <f t="shared" si="271"/>
        <v>44718</v>
      </c>
      <c r="AQ1432" s="925" t="str">
        <f t="shared" si="273"/>
        <v/>
      </c>
      <c r="AR1432" s="1856" t="str">
        <f t="shared" si="272"/>
        <v/>
      </c>
      <c r="AS1432" s="927">
        <v>6</v>
      </c>
      <c r="AT1432" s="1856">
        <f t="shared" si="265"/>
        <v>44718.216666666667</v>
      </c>
      <c r="AU1432" s="1856">
        <f t="shared" si="266"/>
        <v>44718.265277777777</v>
      </c>
      <c r="AV1432" s="1856">
        <f t="shared" si="267"/>
        <v>44718.877083333333</v>
      </c>
      <c r="AW1432" s="1856">
        <f t="shared" si="268"/>
        <v>44718.925694444442</v>
      </c>
      <c r="AX1432" s="1856">
        <f t="shared" si="269"/>
        <v>44718.523611111108</v>
      </c>
      <c r="AY1432" s="1856">
        <f t="shared" si="270"/>
        <v>44718.078472222223</v>
      </c>
      <c r="AZ1432" s="1853">
        <v>0.36</v>
      </c>
    </row>
    <row r="1433" spans="42:52">
      <c r="AP1433" s="1855">
        <f t="shared" si="271"/>
        <v>44718</v>
      </c>
      <c r="AQ1433" s="925" t="str">
        <f t="shared" si="273"/>
        <v/>
      </c>
      <c r="AR1433" s="1856" t="str">
        <f t="shared" si="272"/>
        <v/>
      </c>
      <c r="AS1433" s="927" t="s">
        <v>252</v>
      </c>
      <c r="AT1433" s="1856" t="str">
        <f t="shared" si="265"/>
        <v/>
      </c>
      <c r="AU1433" s="1856" t="str">
        <f t="shared" si="266"/>
        <v/>
      </c>
      <c r="AV1433" s="1856" t="str">
        <f t="shared" si="267"/>
        <v/>
      </c>
      <c r="AW1433" s="1856" t="str">
        <f t="shared" si="268"/>
        <v/>
      </c>
      <c r="AX1433" s="1856" t="str">
        <f t="shared" si="269"/>
        <v/>
      </c>
      <c r="AY1433" s="1856" t="str">
        <f t="shared" si="270"/>
        <v/>
      </c>
    </row>
    <row r="1434" spans="42:52">
      <c r="AP1434" s="1855">
        <f t="shared" si="271"/>
        <v>44718</v>
      </c>
      <c r="AQ1434" s="925" t="str">
        <f t="shared" si="273"/>
        <v/>
      </c>
      <c r="AR1434" s="1856" t="str">
        <f t="shared" si="272"/>
        <v/>
      </c>
      <c r="AT1434" s="1856" t="str">
        <f t="shared" si="265"/>
        <v/>
      </c>
      <c r="AU1434" s="1856" t="str">
        <f t="shared" si="266"/>
        <v/>
      </c>
      <c r="AV1434" s="1856" t="str">
        <f t="shared" si="267"/>
        <v/>
      </c>
      <c r="AW1434" s="1856" t="str">
        <f t="shared" si="268"/>
        <v/>
      </c>
      <c r="AX1434" s="1856" t="str">
        <f t="shared" si="269"/>
        <v/>
      </c>
      <c r="AY1434" s="1856" t="str">
        <f t="shared" si="270"/>
        <v/>
      </c>
    </row>
    <row r="1435" spans="42:52">
      <c r="AP1435" s="1855">
        <f t="shared" si="271"/>
        <v>44718</v>
      </c>
      <c r="AQ1435" s="925" t="str">
        <f t="shared" si="273"/>
        <v>MS</v>
      </c>
      <c r="AR1435" s="1856">
        <f t="shared" si="272"/>
        <v>44718.078472222223</v>
      </c>
      <c r="AS1435" s="927" t="s">
        <v>1920</v>
      </c>
      <c r="AT1435" s="1856" t="str">
        <f t="shared" si="265"/>
        <v/>
      </c>
      <c r="AU1435" s="1856" t="str">
        <f t="shared" si="266"/>
        <v/>
      </c>
      <c r="AV1435" s="1856" t="str">
        <f t="shared" si="267"/>
        <v/>
      </c>
      <c r="AW1435" s="1856" t="str">
        <f t="shared" si="268"/>
        <v/>
      </c>
      <c r="AX1435" s="1856" t="str">
        <f t="shared" si="269"/>
        <v/>
      </c>
      <c r="AY1435" s="1856" t="str">
        <f t="shared" si="270"/>
        <v/>
      </c>
    </row>
    <row r="1436" spans="42:52">
      <c r="AP1436" s="1855">
        <f t="shared" si="271"/>
        <v>44718</v>
      </c>
      <c r="AQ1436" s="925" t="str">
        <f t="shared" si="273"/>
        <v>BMNT</v>
      </c>
      <c r="AR1436" s="1856">
        <f t="shared" si="272"/>
        <v>44718.216666666667</v>
      </c>
      <c r="AS1436" s="927" t="s">
        <v>1921</v>
      </c>
      <c r="AT1436" s="1856" t="str">
        <f t="shared" ref="AT1436:AT1499" si="274">IF(ISNUMBER(AS1436),INDEX(AR1437:AR1447,MATCH($AT$27,AQ1437:AQ1447,0)),"")</f>
        <v/>
      </c>
      <c r="AU1436" s="1856" t="str">
        <f t="shared" ref="AU1436:AU1499" si="275">IF(AT1436="","",INDEX(AR1437:AR1447,MATCH($AU$27,AQ1437:AQ1447,0)))</f>
        <v/>
      </c>
      <c r="AV1436" s="1856" t="str">
        <f t="shared" ref="AV1436:AV1499" si="276">IF(AT1436="","",INDEX(AR1437:AR1447,MATCH($AV$27,AQ1437:AQ1447,0)))</f>
        <v/>
      </c>
      <c r="AW1436" s="1856" t="str">
        <f t="shared" ref="AW1436:AW1499" si="277">IF(AT1436="","",INDEX(AR1437:AR1447,MATCH($AW$27,AQ1437:AQ1447,0)))</f>
        <v/>
      </c>
      <c r="AX1436" s="1856" t="str">
        <f t="shared" ref="AX1436:AX1499" si="278">IF(AT1436="","",INDEX(AR1437:AR1447,MATCH($AX$27,AQ1437:AQ1447,0)))</f>
        <v/>
      </c>
      <c r="AY1436" s="1856" t="str">
        <f t="shared" ref="AY1436:AY1499" si="279">IF(AT1436="","",INDEX(AR1437:AR1447,MATCH($AY$27,AQ1437:AQ1447,0)))</f>
        <v/>
      </c>
    </row>
    <row r="1437" spans="42:52">
      <c r="AP1437" s="1855">
        <f t="shared" si="271"/>
        <v>44718</v>
      </c>
      <c r="AQ1437" s="925" t="str">
        <f t="shared" si="273"/>
        <v>SR</v>
      </c>
      <c r="AR1437" s="1856">
        <f t="shared" si="272"/>
        <v>44718.265277777777</v>
      </c>
      <c r="AS1437" s="927" t="s">
        <v>1913</v>
      </c>
      <c r="AT1437" s="1856" t="str">
        <f t="shared" si="274"/>
        <v/>
      </c>
      <c r="AU1437" s="1856" t="str">
        <f t="shared" si="275"/>
        <v/>
      </c>
      <c r="AV1437" s="1856" t="str">
        <f t="shared" si="276"/>
        <v/>
      </c>
      <c r="AW1437" s="1856" t="str">
        <f t="shared" si="277"/>
        <v/>
      </c>
      <c r="AX1437" s="1856" t="str">
        <f t="shared" si="278"/>
        <v/>
      </c>
      <c r="AY1437" s="1856" t="str">
        <f t="shared" si="279"/>
        <v/>
      </c>
    </row>
    <row r="1438" spans="42:52">
      <c r="AP1438" s="1855">
        <f t="shared" si="271"/>
        <v>44718</v>
      </c>
      <c r="AQ1438" s="925" t="str">
        <f t="shared" si="273"/>
        <v>MR</v>
      </c>
      <c r="AR1438" s="1856">
        <f t="shared" si="272"/>
        <v>44718.523611111108</v>
      </c>
      <c r="AS1438" s="927" t="s">
        <v>1922</v>
      </c>
      <c r="AT1438" s="1856" t="str">
        <f t="shared" si="274"/>
        <v/>
      </c>
      <c r="AU1438" s="1856" t="str">
        <f t="shared" si="275"/>
        <v/>
      </c>
      <c r="AV1438" s="1856" t="str">
        <f t="shared" si="276"/>
        <v/>
      </c>
      <c r="AW1438" s="1856" t="str">
        <f t="shared" si="277"/>
        <v/>
      </c>
      <c r="AX1438" s="1856" t="str">
        <f t="shared" si="278"/>
        <v/>
      </c>
      <c r="AY1438" s="1856" t="str">
        <f t="shared" si="279"/>
        <v/>
      </c>
    </row>
    <row r="1439" spans="42:52">
      <c r="AP1439" s="1855">
        <f t="shared" si="271"/>
        <v>44718</v>
      </c>
      <c r="AQ1439" s="925" t="str">
        <f t="shared" si="273"/>
        <v>SS</v>
      </c>
      <c r="AR1439" s="1856">
        <f t="shared" si="272"/>
        <v>44718.877083333333</v>
      </c>
      <c r="AS1439" s="927" t="s">
        <v>1923</v>
      </c>
      <c r="AT1439" s="1856" t="str">
        <f t="shared" si="274"/>
        <v/>
      </c>
      <c r="AU1439" s="1856" t="str">
        <f t="shared" si="275"/>
        <v/>
      </c>
      <c r="AV1439" s="1856" t="str">
        <f t="shared" si="276"/>
        <v/>
      </c>
      <c r="AW1439" s="1856" t="str">
        <f t="shared" si="277"/>
        <v/>
      </c>
      <c r="AX1439" s="1856" t="str">
        <f t="shared" si="278"/>
        <v/>
      </c>
      <c r="AY1439" s="1856" t="str">
        <f t="shared" si="279"/>
        <v/>
      </c>
    </row>
    <row r="1440" spans="42:52">
      <c r="AP1440" s="1855">
        <f t="shared" si="271"/>
        <v>44718</v>
      </c>
      <c r="AQ1440" s="925" t="str">
        <f t="shared" si="273"/>
        <v>EENT</v>
      </c>
      <c r="AR1440" s="1856">
        <f t="shared" si="272"/>
        <v>44718.925694444442</v>
      </c>
      <c r="AS1440" s="927" t="s">
        <v>1924</v>
      </c>
      <c r="AT1440" s="1856" t="str">
        <f t="shared" si="274"/>
        <v/>
      </c>
      <c r="AU1440" s="1856" t="str">
        <f t="shared" si="275"/>
        <v/>
      </c>
      <c r="AV1440" s="1856" t="str">
        <f t="shared" si="276"/>
        <v/>
      </c>
      <c r="AW1440" s="1856" t="str">
        <f t="shared" si="277"/>
        <v/>
      </c>
      <c r="AX1440" s="1856" t="str">
        <f t="shared" si="278"/>
        <v/>
      </c>
      <c r="AY1440" s="1856" t="str">
        <f t="shared" si="279"/>
        <v/>
      </c>
    </row>
    <row r="1441" spans="42:52">
      <c r="AP1441" s="1855">
        <f t="shared" si="271"/>
        <v>44719</v>
      </c>
      <c r="AQ1441" s="925" t="str">
        <f t="shared" si="273"/>
        <v/>
      </c>
      <c r="AR1441" s="1856" t="str">
        <f t="shared" si="272"/>
        <v/>
      </c>
      <c r="AS1441" s="927">
        <v>7</v>
      </c>
      <c r="AT1441" s="1856">
        <f t="shared" si="274"/>
        <v>44719.216666666667</v>
      </c>
      <c r="AU1441" s="1856">
        <f t="shared" si="275"/>
        <v>44719.265277777777</v>
      </c>
      <c r="AV1441" s="1856">
        <f t="shared" si="276"/>
        <v>44719.87777777778</v>
      </c>
      <c r="AW1441" s="1856">
        <f t="shared" si="277"/>
        <v>44719.925694444442</v>
      </c>
      <c r="AX1441" s="1856">
        <f t="shared" si="278"/>
        <v>44719.566666666666</v>
      </c>
      <c r="AY1441" s="1856">
        <f t="shared" si="279"/>
        <v>44719.097222222226</v>
      </c>
      <c r="AZ1441" s="1853">
        <v>0.46</v>
      </c>
    </row>
    <row r="1442" spans="42:52">
      <c r="AP1442" s="1855">
        <f t="shared" si="271"/>
        <v>44719</v>
      </c>
      <c r="AQ1442" s="925" t="str">
        <f t="shared" si="273"/>
        <v/>
      </c>
      <c r="AR1442" s="1856" t="str">
        <f t="shared" si="272"/>
        <v/>
      </c>
      <c r="AS1442" s="927" t="s">
        <v>252</v>
      </c>
      <c r="AT1442" s="1856" t="str">
        <f t="shared" si="274"/>
        <v/>
      </c>
      <c r="AU1442" s="1856" t="str">
        <f t="shared" si="275"/>
        <v/>
      </c>
      <c r="AV1442" s="1856" t="str">
        <f t="shared" si="276"/>
        <v/>
      </c>
      <c r="AW1442" s="1856" t="str">
        <f t="shared" si="277"/>
        <v/>
      </c>
      <c r="AX1442" s="1856" t="str">
        <f t="shared" si="278"/>
        <v/>
      </c>
      <c r="AY1442" s="1856" t="str">
        <f t="shared" si="279"/>
        <v/>
      </c>
    </row>
    <row r="1443" spans="42:52">
      <c r="AP1443" s="1855">
        <f t="shared" si="271"/>
        <v>44719</v>
      </c>
      <c r="AQ1443" s="925" t="str">
        <f t="shared" si="273"/>
        <v/>
      </c>
      <c r="AR1443" s="1856" t="str">
        <f t="shared" si="272"/>
        <v/>
      </c>
      <c r="AT1443" s="1856" t="str">
        <f t="shared" si="274"/>
        <v/>
      </c>
      <c r="AU1443" s="1856" t="str">
        <f t="shared" si="275"/>
        <v/>
      </c>
      <c r="AV1443" s="1856" t="str">
        <f t="shared" si="276"/>
        <v/>
      </c>
      <c r="AW1443" s="1856" t="str">
        <f t="shared" si="277"/>
        <v/>
      </c>
      <c r="AX1443" s="1856" t="str">
        <f t="shared" si="278"/>
        <v/>
      </c>
      <c r="AY1443" s="1856" t="str">
        <f t="shared" si="279"/>
        <v/>
      </c>
    </row>
    <row r="1444" spans="42:52">
      <c r="AP1444" s="1855">
        <f t="shared" si="271"/>
        <v>44719</v>
      </c>
      <c r="AQ1444" s="925" t="str">
        <f t="shared" si="273"/>
        <v>MS</v>
      </c>
      <c r="AR1444" s="1856">
        <f t="shared" si="272"/>
        <v>44719.097222222226</v>
      </c>
      <c r="AS1444" s="927" t="s">
        <v>1925</v>
      </c>
      <c r="AT1444" s="1856" t="str">
        <f t="shared" si="274"/>
        <v/>
      </c>
      <c r="AU1444" s="1856" t="str">
        <f t="shared" si="275"/>
        <v/>
      </c>
      <c r="AV1444" s="1856" t="str">
        <f t="shared" si="276"/>
        <v/>
      </c>
      <c r="AW1444" s="1856" t="str">
        <f t="shared" si="277"/>
        <v/>
      </c>
      <c r="AX1444" s="1856" t="str">
        <f t="shared" si="278"/>
        <v/>
      </c>
      <c r="AY1444" s="1856" t="str">
        <f t="shared" si="279"/>
        <v/>
      </c>
    </row>
    <row r="1445" spans="42:52">
      <c r="AP1445" s="1855">
        <f t="shared" ref="AP1445:AP1508" si="280">IF(ISNUMBER(AS1445),AP1444+1,AP1444)</f>
        <v>44719</v>
      </c>
      <c r="AQ1445" s="925" t="str">
        <f t="shared" si="273"/>
        <v>BMNT</v>
      </c>
      <c r="AR1445" s="1856">
        <f t="shared" si="272"/>
        <v>44719.216666666667</v>
      </c>
      <c r="AS1445" s="927" t="s">
        <v>1921</v>
      </c>
      <c r="AT1445" s="1856" t="str">
        <f t="shared" si="274"/>
        <v/>
      </c>
      <c r="AU1445" s="1856" t="str">
        <f t="shared" si="275"/>
        <v/>
      </c>
      <c r="AV1445" s="1856" t="str">
        <f t="shared" si="276"/>
        <v/>
      </c>
      <c r="AW1445" s="1856" t="str">
        <f t="shared" si="277"/>
        <v/>
      </c>
      <c r="AX1445" s="1856" t="str">
        <f t="shared" si="278"/>
        <v/>
      </c>
      <c r="AY1445" s="1856" t="str">
        <f t="shared" si="279"/>
        <v/>
      </c>
    </row>
    <row r="1446" spans="42:52">
      <c r="AP1446" s="1855">
        <f t="shared" si="280"/>
        <v>44719</v>
      </c>
      <c r="AQ1446" s="925" t="str">
        <f t="shared" si="273"/>
        <v>SR</v>
      </c>
      <c r="AR1446" s="1856">
        <f t="shared" si="272"/>
        <v>44719.265277777777</v>
      </c>
      <c r="AS1446" s="927" t="s">
        <v>1913</v>
      </c>
      <c r="AT1446" s="1856" t="str">
        <f t="shared" si="274"/>
        <v/>
      </c>
      <c r="AU1446" s="1856" t="str">
        <f t="shared" si="275"/>
        <v/>
      </c>
      <c r="AV1446" s="1856" t="str">
        <f t="shared" si="276"/>
        <v/>
      </c>
      <c r="AW1446" s="1856" t="str">
        <f t="shared" si="277"/>
        <v/>
      </c>
      <c r="AX1446" s="1856" t="str">
        <f t="shared" si="278"/>
        <v/>
      </c>
      <c r="AY1446" s="1856" t="str">
        <f t="shared" si="279"/>
        <v/>
      </c>
    </row>
    <row r="1447" spans="42:52">
      <c r="AP1447" s="1855">
        <f t="shared" si="280"/>
        <v>44719</v>
      </c>
      <c r="AQ1447" s="925" t="str">
        <f t="shared" si="273"/>
        <v>MR</v>
      </c>
      <c r="AR1447" s="1856">
        <f t="shared" si="272"/>
        <v>44719.566666666666</v>
      </c>
      <c r="AS1447" s="927" t="s">
        <v>1926</v>
      </c>
      <c r="AT1447" s="1856" t="str">
        <f t="shared" si="274"/>
        <v/>
      </c>
      <c r="AU1447" s="1856" t="str">
        <f t="shared" si="275"/>
        <v/>
      </c>
      <c r="AV1447" s="1856" t="str">
        <f t="shared" si="276"/>
        <v/>
      </c>
      <c r="AW1447" s="1856" t="str">
        <f t="shared" si="277"/>
        <v/>
      </c>
      <c r="AX1447" s="1856" t="str">
        <f t="shared" si="278"/>
        <v/>
      </c>
      <c r="AY1447" s="1856" t="str">
        <f t="shared" si="279"/>
        <v/>
      </c>
    </row>
    <row r="1448" spans="42:52">
      <c r="AP1448" s="1855">
        <f t="shared" si="280"/>
        <v>44719</v>
      </c>
      <c r="AQ1448" s="925" t="str">
        <f t="shared" si="273"/>
        <v>SS</v>
      </c>
      <c r="AR1448" s="1856">
        <f t="shared" si="272"/>
        <v>44719.87777777778</v>
      </c>
      <c r="AS1448" s="927" t="s">
        <v>1927</v>
      </c>
      <c r="AT1448" s="1856" t="str">
        <f t="shared" si="274"/>
        <v/>
      </c>
      <c r="AU1448" s="1856" t="str">
        <f t="shared" si="275"/>
        <v/>
      </c>
      <c r="AV1448" s="1856" t="str">
        <f t="shared" si="276"/>
        <v/>
      </c>
      <c r="AW1448" s="1856" t="str">
        <f t="shared" si="277"/>
        <v/>
      </c>
      <c r="AX1448" s="1856" t="str">
        <f t="shared" si="278"/>
        <v/>
      </c>
      <c r="AY1448" s="1856" t="str">
        <f t="shared" si="279"/>
        <v/>
      </c>
    </row>
    <row r="1449" spans="42:52">
      <c r="AP1449" s="1855">
        <f t="shared" si="280"/>
        <v>44719</v>
      </c>
      <c r="AQ1449" s="925" t="str">
        <f t="shared" si="273"/>
        <v>EENT</v>
      </c>
      <c r="AR1449" s="1856">
        <f t="shared" ref="AR1449:AR1512" si="281">IF(NOT(ISNUMBER(FIND(":",AS1449))),"",IF(ISNUMBER(FIND(" none",AS1449)),"NONE",AP1449+LEFT(RIGHT(AS1449,5),2)/24+RIGHT(AS1449,2)/1440))</f>
        <v>44719.925694444442</v>
      </c>
      <c r="AS1449" s="927" t="s">
        <v>1924</v>
      </c>
      <c r="AT1449" s="1856" t="str">
        <f t="shared" si="274"/>
        <v/>
      </c>
      <c r="AU1449" s="1856" t="str">
        <f t="shared" si="275"/>
        <v/>
      </c>
      <c r="AV1449" s="1856" t="str">
        <f t="shared" si="276"/>
        <v/>
      </c>
      <c r="AW1449" s="1856" t="str">
        <f t="shared" si="277"/>
        <v/>
      </c>
      <c r="AX1449" s="1856" t="str">
        <f t="shared" si="278"/>
        <v/>
      </c>
      <c r="AY1449" s="1856" t="str">
        <f t="shared" si="279"/>
        <v/>
      </c>
    </row>
    <row r="1450" spans="42:52">
      <c r="AP1450" s="1855">
        <f t="shared" si="280"/>
        <v>44720</v>
      </c>
      <c r="AQ1450" s="925" t="str">
        <f t="shared" si="273"/>
        <v/>
      </c>
      <c r="AR1450" s="1856" t="str">
        <f t="shared" si="281"/>
        <v/>
      </c>
      <c r="AS1450" s="927">
        <v>8</v>
      </c>
      <c r="AT1450" s="1856">
        <f t="shared" si="274"/>
        <v>44720.215972222228</v>
      </c>
      <c r="AU1450" s="1856">
        <f t="shared" si="275"/>
        <v>44720.26458333333</v>
      </c>
      <c r="AV1450" s="1856">
        <f t="shared" si="276"/>
        <v>44720.87777777778</v>
      </c>
      <c r="AW1450" s="1856">
        <f t="shared" si="277"/>
        <v>44720.926388888889</v>
      </c>
      <c r="AX1450" s="1856">
        <f t="shared" si="278"/>
        <v>44720.61041666667</v>
      </c>
      <c r="AY1450" s="1856">
        <f t="shared" si="279"/>
        <v>44720.114583333336</v>
      </c>
      <c r="AZ1450" s="1853">
        <v>0.56000000000000005</v>
      </c>
    </row>
    <row r="1451" spans="42:52">
      <c r="AP1451" s="1855">
        <f t="shared" si="280"/>
        <v>44720</v>
      </c>
      <c r="AQ1451" s="925" t="str">
        <f t="shared" si="273"/>
        <v/>
      </c>
      <c r="AR1451" s="1856" t="str">
        <f t="shared" si="281"/>
        <v/>
      </c>
      <c r="AS1451" s="927" t="s">
        <v>252</v>
      </c>
      <c r="AT1451" s="1856" t="str">
        <f t="shared" si="274"/>
        <v/>
      </c>
      <c r="AU1451" s="1856" t="str">
        <f t="shared" si="275"/>
        <v/>
      </c>
      <c r="AV1451" s="1856" t="str">
        <f t="shared" si="276"/>
        <v/>
      </c>
      <c r="AW1451" s="1856" t="str">
        <f t="shared" si="277"/>
        <v/>
      </c>
      <c r="AX1451" s="1856" t="str">
        <f t="shared" si="278"/>
        <v/>
      </c>
      <c r="AY1451" s="1856" t="str">
        <f t="shared" si="279"/>
        <v/>
      </c>
    </row>
    <row r="1452" spans="42:52">
      <c r="AP1452" s="1855">
        <f t="shared" si="280"/>
        <v>44720</v>
      </c>
      <c r="AQ1452" s="925" t="str">
        <f t="shared" si="273"/>
        <v/>
      </c>
      <c r="AR1452" s="1856" t="str">
        <f t="shared" si="281"/>
        <v/>
      </c>
      <c r="AT1452" s="1856" t="str">
        <f t="shared" si="274"/>
        <v/>
      </c>
      <c r="AU1452" s="1856" t="str">
        <f t="shared" si="275"/>
        <v/>
      </c>
      <c r="AV1452" s="1856" t="str">
        <f t="shared" si="276"/>
        <v/>
      </c>
      <c r="AW1452" s="1856" t="str">
        <f t="shared" si="277"/>
        <v/>
      </c>
      <c r="AX1452" s="1856" t="str">
        <f t="shared" si="278"/>
        <v/>
      </c>
      <c r="AY1452" s="1856" t="str">
        <f t="shared" si="279"/>
        <v/>
      </c>
    </row>
    <row r="1453" spans="42:52">
      <c r="AP1453" s="1855">
        <f t="shared" si="280"/>
        <v>44720</v>
      </c>
      <c r="AQ1453" s="925" t="str">
        <f t="shared" si="273"/>
        <v>MS</v>
      </c>
      <c r="AR1453" s="1856">
        <f t="shared" si="281"/>
        <v>44720.114583333336</v>
      </c>
      <c r="AS1453" s="927" t="s">
        <v>1928</v>
      </c>
      <c r="AT1453" s="1856" t="str">
        <f t="shared" si="274"/>
        <v/>
      </c>
      <c r="AU1453" s="1856" t="str">
        <f t="shared" si="275"/>
        <v/>
      </c>
      <c r="AV1453" s="1856" t="str">
        <f t="shared" si="276"/>
        <v/>
      </c>
      <c r="AW1453" s="1856" t="str">
        <f t="shared" si="277"/>
        <v/>
      </c>
      <c r="AX1453" s="1856" t="str">
        <f t="shared" si="278"/>
        <v/>
      </c>
      <c r="AY1453" s="1856" t="str">
        <f t="shared" si="279"/>
        <v/>
      </c>
    </row>
    <row r="1454" spans="42:52">
      <c r="AP1454" s="1855">
        <f t="shared" si="280"/>
        <v>44720</v>
      </c>
      <c r="AQ1454" s="925" t="str">
        <f t="shared" si="273"/>
        <v>BMNT</v>
      </c>
      <c r="AR1454" s="1856">
        <f t="shared" si="281"/>
        <v>44720.215972222228</v>
      </c>
      <c r="AS1454" s="927" t="s">
        <v>1929</v>
      </c>
      <c r="AT1454" s="1856" t="str">
        <f t="shared" si="274"/>
        <v/>
      </c>
      <c r="AU1454" s="1856" t="str">
        <f t="shared" si="275"/>
        <v/>
      </c>
      <c r="AV1454" s="1856" t="str">
        <f t="shared" si="276"/>
        <v/>
      </c>
      <c r="AW1454" s="1856" t="str">
        <f t="shared" si="277"/>
        <v/>
      </c>
      <c r="AX1454" s="1856" t="str">
        <f t="shared" si="278"/>
        <v/>
      </c>
      <c r="AY1454" s="1856" t="str">
        <f t="shared" si="279"/>
        <v/>
      </c>
    </row>
    <row r="1455" spans="42:52">
      <c r="AP1455" s="1855">
        <f t="shared" si="280"/>
        <v>44720</v>
      </c>
      <c r="AQ1455" s="925" t="str">
        <f t="shared" si="273"/>
        <v>SR</v>
      </c>
      <c r="AR1455" s="1856">
        <f t="shared" si="281"/>
        <v>44720.26458333333</v>
      </c>
      <c r="AS1455" s="927" t="s">
        <v>1930</v>
      </c>
      <c r="AT1455" s="1856" t="str">
        <f t="shared" si="274"/>
        <v/>
      </c>
      <c r="AU1455" s="1856" t="str">
        <f t="shared" si="275"/>
        <v/>
      </c>
      <c r="AV1455" s="1856" t="str">
        <f t="shared" si="276"/>
        <v/>
      </c>
      <c r="AW1455" s="1856" t="str">
        <f t="shared" si="277"/>
        <v/>
      </c>
      <c r="AX1455" s="1856" t="str">
        <f t="shared" si="278"/>
        <v/>
      </c>
      <c r="AY1455" s="1856" t="str">
        <f t="shared" si="279"/>
        <v/>
      </c>
    </row>
    <row r="1456" spans="42:52">
      <c r="AP1456" s="1855">
        <f t="shared" si="280"/>
        <v>44720</v>
      </c>
      <c r="AQ1456" s="925" t="str">
        <f t="shared" si="273"/>
        <v>MR</v>
      </c>
      <c r="AR1456" s="1856">
        <f t="shared" si="281"/>
        <v>44720.61041666667</v>
      </c>
      <c r="AS1456" s="927" t="s">
        <v>1931</v>
      </c>
      <c r="AT1456" s="1856" t="str">
        <f t="shared" si="274"/>
        <v/>
      </c>
      <c r="AU1456" s="1856" t="str">
        <f t="shared" si="275"/>
        <v/>
      </c>
      <c r="AV1456" s="1856" t="str">
        <f t="shared" si="276"/>
        <v/>
      </c>
      <c r="AW1456" s="1856" t="str">
        <f t="shared" si="277"/>
        <v/>
      </c>
      <c r="AX1456" s="1856" t="str">
        <f t="shared" si="278"/>
        <v/>
      </c>
      <c r="AY1456" s="1856" t="str">
        <f t="shared" si="279"/>
        <v/>
      </c>
    </row>
    <row r="1457" spans="42:52">
      <c r="AP1457" s="1855">
        <f t="shared" si="280"/>
        <v>44720</v>
      </c>
      <c r="AQ1457" s="925" t="str">
        <f t="shared" si="273"/>
        <v>SS</v>
      </c>
      <c r="AR1457" s="1856">
        <f t="shared" si="281"/>
        <v>44720.87777777778</v>
      </c>
      <c r="AS1457" s="927" t="s">
        <v>1927</v>
      </c>
      <c r="AT1457" s="1856" t="str">
        <f t="shared" si="274"/>
        <v/>
      </c>
      <c r="AU1457" s="1856" t="str">
        <f t="shared" si="275"/>
        <v/>
      </c>
      <c r="AV1457" s="1856" t="str">
        <f t="shared" si="276"/>
        <v/>
      </c>
      <c r="AW1457" s="1856" t="str">
        <f t="shared" si="277"/>
        <v/>
      </c>
      <c r="AX1457" s="1856" t="str">
        <f t="shared" si="278"/>
        <v/>
      </c>
      <c r="AY1457" s="1856" t="str">
        <f t="shared" si="279"/>
        <v/>
      </c>
    </row>
    <row r="1458" spans="42:52">
      <c r="AP1458" s="1855">
        <f t="shared" si="280"/>
        <v>44720</v>
      </c>
      <c r="AQ1458" s="925" t="str">
        <f t="shared" si="273"/>
        <v>EENT</v>
      </c>
      <c r="AR1458" s="1856">
        <f t="shared" si="281"/>
        <v>44720.926388888889</v>
      </c>
      <c r="AS1458" s="927" t="s">
        <v>1932</v>
      </c>
      <c r="AT1458" s="1856" t="str">
        <f t="shared" si="274"/>
        <v/>
      </c>
      <c r="AU1458" s="1856" t="str">
        <f t="shared" si="275"/>
        <v/>
      </c>
      <c r="AV1458" s="1856" t="str">
        <f t="shared" si="276"/>
        <v/>
      </c>
      <c r="AW1458" s="1856" t="str">
        <f t="shared" si="277"/>
        <v/>
      </c>
      <c r="AX1458" s="1856" t="str">
        <f t="shared" si="278"/>
        <v/>
      </c>
      <c r="AY1458" s="1856" t="str">
        <f t="shared" si="279"/>
        <v/>
      </c>
    </row>
    <row r="1459" spans="42:52">
      <c r="AP1459" s="1855">
        <f t="shared" si="280"/>
        <v>44721</v>
      </c>
      <c r="AQ1459" s="925" t="str">
        <f t="shared" si="273"/>
        <v/>
      </c>
      <c r="AR1459" s="1856" t="str">
        <f t="shared" si="281"/>
        <v/>
      </c>
      <c r="AS1459" s="927">
        <v>9</v>
      </c>
      <c r="AT1459" s="1856">
        <f t="shared" si="274"/>
        <v>44721.215972222228</v>
      </c>
      <c r="AU1459" s="1856">
        <f t="shared" si="275"/>
        <v>44721.26458333333</v>
      </c>
      <c r="AV1459" s="1856">
        <f t="shared" si="276"/>
        <v>44721.878472222219</v>
      </c>
      <c r="AW1459" s="1856">
        <f t="shared" si="277"/>
        <v>44721.927083333328</v>
      </c>
      <c r="AX1459" s="1856">
        <f t="shared" si="278"/>
        <v>44721.65625</v>
      </c>
      <c r="AY1459" s="1856">
        <f t="shared" si="279"/>
        <v>44721.131249999999</v>
      </c>
      <c r="AZ1459" s="1853">
        <v>0.66</v>
      </c>
    </row>
    <row r="1460" spans="42:52">
      <c r="AP1460" s="1855">
        <f t="shared" si="280"/>
        <v>44721</v>
      </c>
      <c r="AQ1460" s="925" t="str">
        <f t="shared" ref="AQ1460:AQ1523" si="282">IF(NOT(ISNUMBER(FIND(":",AS1460))),"",IF(ISNUMBER(FIND("Sunr",AS1460)),"SR", IF(ISNUMBER(FIND("Suns",AS1460)),"SS",IF(ISNUMBER(FIND("Moonr",AS1460)),"MR",IF(ISNUMBER(FIND("Moons",AS1460)),"MS",IF(ISNUMBER(FIND("Twi",AS1460)),IF(HOUR(AR1460)&lt;12,"BMNT","EENT")))))))</f>
        <v/>
      </c>
      <c r="AR1460" s="1856" t="str">
        <f t="shared" si="281"/>
        <v/>
      </c>
      <c r="AS1460" s="927" t="s">
        <v>252</v>
      </c>
      <c r="AT1460" s="1856" t="str">
        <f t="shared" si="274"/>
        <v/>
      </c>
      <c r="AU1460" s="1856" t="str">
        <f t="shared" si="275"/>
        <v/>
      </c>
      <c r="AV1460" s="1856" t="str">
        <f t="shared" si="276"/>
        <v/>
      </c>
      <c r="AW1460" s="1856" t="str">
        <f t="shared" si="277"/>
        <v/>
      </c>
      <c r="AX1460" s="1856" t="str">
        <f t="shared" si="278"/>
        <v/>
      </c>
      <c r="AY1460" s="1856" t="str">
        <f t="shared" si="279"/>
        <v/>
      </c>
    </row>
    <row r="1461" spans="42:52">
      <c r="AP1461" s="1855">
        <f t="shared" si="280"/>
        <v>44721</v>
      </c>
      <c r="AQ1461" s="925" t="str">
        <f t="shared" si="282"/>
        <v/>
      </c>
      <c r="AR1461" s="1856" t="str">
        <f t="shared" si="281"/>
        <v/>
      </c>
      <c r="AT1461" s="1856" t="str">
        <f t="shared" si="274"/>
        <v/>
      </c>
      <c r="AU1461" s="1856" t="str">
        <f t="shared" si="275"/>
        <v/>
      </c>
      <c r="AV1461" s="1856" t="str">
        <f t="shared" si="276"/>
        <v/>
      </c>
      <c r="AW1461" s="1856" t="str">
        <f t="shared" si="277"/>
        <v/>
      </c>
      <c r="AX1461" s="1856" t="str">
        <f t="shared" si="278"/>
        <v/>
      </c>
      <c r="AY1461" s="1856" t="str">
        <f t="shared" si="279"/>
        <v/>
      </c>
    </row>
    <row r="1462" spans="42:52">
      <c r="AP1462" s="1855">
        <f t="shared" si="280"/>
        <v>44721</v>
      </c>
      <c r="AQ1462" s="925" t="str">
        <f t="shared" si="282"/>
        <v>MS</v>
      </c>
      <c r="AR1462" s="1856">
        <f t="shared" si="281"/>
        <v>44721.131249999999</v>
      </c>
      <c r="AS1462" s="927" t="s">
        <v>1933</v>
      </c>
      <c r="AT1462" s="1856" t="str">
        <f t="shared" si="274"/>
        <v/>
      </c>
      <c r="AU1462" s="1856" t="str">
        <f t="shared" si="275"/>
        <v/>
      </c>
      <c r="AV1462" s="1856" t="str">
        <f t="shared" si="276"/>
        <v/>
      </c>
      <c r="AW1462" s="1856" t="str">
        <f t="shared" si="277"/>
        <v/>
      </c>
      <c r="AX1462" s="1856" t="str">
        <f t="shared" si="278"/>
        <v/>
      </c>
      <c r="AY1462" s="1856" t="str">
        <f t="shared" si="279"/>
        <v/>
      </c>
    </row>
    <row r="1463" spans="42:52">
      <c r="AP1463" s="1855">
        <f t="shared" si="280"/>
        <v>44721</v>
      </c>
      <c r="AQ1463" s="925" t="str">
        <f t="shared" si="282"/>
        <v>BMNT</v>
      </c>
      <c r="AR1463" s="1856">
        <f t="shared" si="281"/>
        <v>44721.215972222228</v>
      </c>
      <c r="AS1463" s="927" t="s">
        <v>1929</v>
      </c>
      <c r="AT1463" s="1856" t="str">
        <f t="shared" si="274"/>
        <v/>
      </c>
      <c r="AU1463" s="1856" t="str">
        <f t="shared" si="275"/>
        <v/>
      </c>
      <c r="AV1463" s="1856" t="str">
        <f t="shared" si="276"/>
        <v/>
      </c>
      <c r="AW1463" s="1856" t="str">
        <f t="shared" si="277"/>
        <v/>
      </c>
      <c r="AX1463" s="1856" t="str">
        <f t="shared" si="278"/>
        <v/>
      </c>
      <c r="AY1463" s="1856" t="str">
        <f t="shared" si="279"/>
        <v/>
      </c>
    </row>
    <row r="1464" spans="42:52">
      <c r="AP1464" s="1855">
        <f t="shared" si="280"/>
        <v>44721</v>
      </c>
      <c r="AQ1464" s="925" t="str">
        <f t="shared" si="282"/>
        <v>SR</v>
      </c>
      <c r="AR1464" s="1856">
        <f t="shared" si="281"/>
        <v>44721.26458333333</v>
      </c>
      <c r="AS1464" s="927" t="s">
        <v>1930</v>
      </c>
      <c r="AT1464" s="1856" t="str">
        <f t="shared" si="274"/>
        <v/>
      </c>
      <c r="AU1464" s="1856" t="str">
        <f t="shared" si="275"/>
        <v/>
      </c>
      <c r="AV1464" s="1856" t="str">
        <f t="shared" si="276"/>
        <v/>
      </c>
      <c r="AW1464" s="1856" t="str">
        <f t="shared" si="277"/>
        <v/>
      </c>
      <c r="AX1464" s="1856" t="str">
        <f t="shared" si="278"/>
        <v/>
      </c>
      <c r="AY1464" s="1856" t="str">
        <f t="shared" si="279"/>
        <v/>
      </c>
    </row>
    <row r="1465" spans="42:52">
      <c r="AP1465" s="1855">
        <f t="shared" si="280"/>
        <v>44721</v>
      </c>
      <c r="AQ1465" s="925" t="str">
        <f t="shared" si="282"/>
        <v>MR</v>
      </c>
      <c r="AR1465" s="1856">
        <f t="shared" si="281"/>
        <v>44721.65625</v>
      </c>
      <c r="AS1465" s="927" t="s">
        <v>1934</v>
      </c>
      <c r="AT1465" s="1856" t="str">
        <f t="shared" si="274"/>
        <v/>
      </c>
      <c r="AU1465" s="1856" t="str">
        <f t="shared" si="275"/>
        <v/>
      </c>
      <c r="AV1465" s="1856" t="str">
        <f t="shared" si="276"/>
        <v/>
      </c>
      <c r="AW1465" s="1856" t="str">
        <f t="shared" si="277"/>
        <v/>
      </c>
      <c r="AX1465" s="1856" t="str">
        <f t="shared" si="278"/>
        <v/>
      </c>
      <c r="AY1465" s="1856" t="str">
        <f t="shared" si="279"/>
        <v/>
      </c>
    </row>
    <row r="1466" spans="42:52">
      <c r="AP1466" s="1855">
        <f t="shared" si="280"/>
        <v>44721</v>
      </c>
      <c r="AQ1466" s="925" t="str">
        <f t="shared" si="282"/>
        <v>SS</v>
      </c>
      <c r="AR1466" s="1856">
        <f t="shared" si="281"/>
        <v>44721.878472222219</v>
      </c>
      <c r="AS1466" s="927" t="s">
        <v>1935</v>
      </c>
      <c r="AT1466" s="1856" t="str">
        <f t="shared" si="274"/>
        <v/>
      </c>
      <c r="AU1466" s="1856" t="str">
        <f t="shared" si="275"/>
        <v/>
      </c>
      <c r="AV1466" s="1856" t="str">
        <f t="shared" si="276"/>
        <v/>
      </c>
      <c r="AW1466" s="1856" t="str">
        <f t="shared" si="277"/>
        <v/>
      </c>
      <c r="AX1466" s="1856" t="str">
        <f t="shared" si="278"/>
        <v/>
      </c>
      <c r="AY1466" s="1856" t="str">
        <f t="shared" si="279"/>
        <v/>
      </c>
    </row>
    <row r="1467" spans="42:52">
      <c r="AP1467" s="1855">
        <f t="shared" si="280"/>
        <v>44721</v>
      </c>
      <c r="AQ1467" s="925" t="str">
        <f t="shared" si="282"/>
        <v>EENT</v>
      </c>
      <c r="AR1467" s="1856">
        <f t="shared" si="281"/>
        <v>44721.927083333328</v>
      </c>
      <c r="AS1467" s="927" t="s">
        <v>1936</v>
      </c>
      <c r="AT1467" s="1856" t="str">
        <f t="shared" si="274"/>
        <v/>
      </c>
      <c r="AU1467" s="1856" t="str">
        <f t="shared" si="275"/>
        <v/>
      </c>
      <c r="AV1467" s="1856" t="str">
        <f t="shared" si="276"/>
        <v/>
      </c>
      <c r="AW1467" s="1856" t="str">
        <f t="shared" si="277"/>
        <v/>
      </c>
      <c r="AX1467" s="1856" t="str">
        <f t="shared" si="278"/>
        <v/>
      </c>
      <c r="AY1467" s="1856" t="str">
        <f t="shared" si="279"/>
        <v/>
      </c>
    </row>
    <row r="1468" spans="42:52">
      <c r="AP1468" s="1855">
        <f t="shared" si="280"/>
        <v>44722</v>
      </c>
      <c r="AQ1468" s="925" t="str">
        <f t="shared" si="282"/>
        <v/>
      </c>
      <c r="AR1468" s="1856" t="str">
        <f t="shared" si="281"/>
        <v/>
      </c>
      <c r="AS1468" s="927">
        <v>10</v>
      </c>
      <c r="AT1468" s="1856">
        <f t="shared" si="274"/>
        <v>44722.215972222228</v>
      </c>
      <c r="AU1468" s="1856">
        <f t="shared" si="275"/>
        <v>44722.26458333333</v>
      </c>
      <c r="AV1468" s="1856">
        <f t="shared" si="276"/>
        <v>44722.878472222219</v>
      </c>
      <c r="AW1468" s="1856">
        <f t="shared" si="277"/>
        <v>44722.927083333328</v>
      </c>
      <c r="AX1468" s="1856">
        <f t="shared" si="278"/>
        <v>44722.704166666663</v>
      </c>
      <c r="AY1468" s="1856">
        <f t="shared" si="279"/>
        <v>44722.149305555555</v>
      </c>
      <c r="AZ1468" s="1853">
        <v>0.76</v>
      </c>
    </row>
    <row r="1469" spans="42:52">
      <c r="AP1469" s="1855">
        <f t="shared" si="280"/>
        <v>44722</v>
      </c>
      <c r="AQ1469" s="925" t="str">
        <f t="shared" si="282"/>
        <v/>
      </c>
      <c r="AR1469" s="1856" t="str">
        <f t="shared" si="281"/>
        <v/>
      </c>
      <c r="AS1469" s="927" t="s">
        <v>252</v>
      </c>
      <c r="AT1469" s="1856" t="str">
        <f t="shared" si="274"/>
        <v/>
      </c>
      <c r="AU1469" s="1856" t="str">
        <f t="shared" si="275"/>
        <v/>
      </c>
      <c r="AV1469" s="1856" t="str">
        <f t="shared" si="276"/>
        <v/>
      </c>
      <c r="AW1469" s="1856" t="str">
        <f t="shared" si="277"/>
        <v/>
      </c>
      <c r="AX1469" s="1856" t="str">
        <f t="shared" si="278"/>
        <v/>
      </c>
      <c r="AY1469" s="1856" t="str">
        <f t="shared" si="279"/>
        <v/>
      </c>
    </row>
    <row r="1470" spans="42:52">
      <c r="AP1470" s="1855">
        <f t="shared" si="280"/>
        <v>44722</v>
      </c>
      <c r="AQ1470" s="925" t="str">
        <f t="shared" si="282"/>
        <v/>
      </c>
      <c r="AR1470" s="1856" t="str">
        <f t="shared" si="281"/>
        <v/>
      </c>
      <c r="AT1470" s="1856" t="str">
        <f t="shared" si="274"/>
        <v/>
      </c>
      <c r="AU1470" s="1856" t="str">
        <f t="shared" si="275"/>
        <v/>
      </c>
      <c r="AV1470" s="1856" t="str">
        <f t="shared" si="276"/>
        <v/>
      </c>
      <c r="AW1470" s="1856" t="str">
        <f t="shared" si="277"/>
        <v/>
      </c>
      <c r="AX1470" s="1856" t="str">
        <f t="shared" si="278"/>
        <v/>
      </c>
      <c r="AY1470" s="1856" t="str">
        <f t="shared" si="279"/>
        <v/>
      </c>
    </row>
    <row r="1471" spans="42:52">
      <c r="AP1471" s="1855">
        <f t="shared" si="280"/>
        <v>44722</v>
      </c>
      <c r="AQ1471" s="925" t="str">
        <f t="shared" si="282"/>
        <v>MS</v>
      </c>
      <c r="AR1471" s="1856">
        <f t="shared" si="281"/>
        <v>44722.149305555555</v>
      </c>
      <c r="AS1471" s="927" t="s">
        <v>1937</v>
      </c>
      <c r="AT1471" s="1856" t="str">
        <f t="shared" si="274"/>
        <v/>
      </c>
      <c r="AU1471" s="1856" t="str">
        <f t="shared" si="275"/>
        <v/>
      </c>
      <c r="AV1471" s="1856" t="str">
        <f t="shared" si="276"/>
        <v/>
      </c>
      <c r="AW1471" s="1856" t="str">
        <f t="shared" si="277"/>
        <v/>
      </c>
      <c r="AX1471" s="1856" t="str">
        <f t="shared" si="278"/>
        <v/>
      </c>
      <c r="AY1471" s="1856" t="str">
        <f t="shared" si="279"/>
        <v/>
      </c>
    </row>
    <row r="1472" spans="42:52">
      <c r="AP1472" s="1855">
        <f t="shared" si="280"/>
        <v>44722</v>
      </c>
      <c r="AQ1472" s="925" t="str">
        <f t="shared" si="282"/>
        <v>BMNT</v>
      </c>
      <c r="AR1472" s="1856">
        <f t="shared" si="281"/>
        <v>44722.215972222228</v>
      </c>
      <c r="AS1472" s="927" t="s">
        <v>1929</v>
      </c>
      <c r="AT1472" s="1856" t="str">
        <f t="shared" si="274"/>
        <v/>
      </c>
      <c r="AU1472" s="1856" t="str">
        <f t="shared" si="275"/>
        <v/>
      </c>
      <c r="AV1472" s="1856" t="str">
        <f t="shared" si="276"/>
        <v/>
      </c>
      <c r="AW1472" s="1856" t="str">
        <f t="shared" si="277"/>
        <v/>
      </c>
      <c r="AX1472" s="1856" t="str">
        <f t="shared" si="278"/>
        <v/>
      </c>
      <c r="AY1472" s="1856" t="str">
        <f t="shared" si="279"/>
        <v/>
      </c>
    </row>
    <row r="1473" spans="42:52">
      <c r="AP1473" s="1855">
        <f t="shared" si="280"/>
        <v>44722</v>
      </c>
      <c r="AQ1473" s="925" t="str">
        <f t="shared" si="282"/>
        <v>SR</v>
      </c>
      <c r="AR1473" s="1856">
        <f t="shared" si="281"/>
        <v>44722.26458333333</v>
      </c>
      <c r="AS1473" s="927" t="s">
        <v>1930</v>
      </c>
      <c r="AT1473" s="1856" t="str">
        <f t="shared" si="274"/>
        <v/>
      </c>
      <c r="AU1473" s="1856" t="str">
        <f t="shared" si="275"/>
        <v/>
      </c>
      <c r="AV1473" s="1856" t="str">
        <f t="shared" si="276"/>
        <v/>
      </c>
      <c r="AW1473" s="1856" t="str">
        <f t="shared" si="277"/>
        <v/>
      </c>
      <c r="AX1473" s="1856" t="str">
        <f t="shared" si="278"/>
        <v/>
      </c>
      <c r="AY1473" s="1856" t="str">
        <f t="shared" si="279"/>
        <v/>
      </c>
    </row>
    <row r="1474" spans="42:52">
      <c r="AP1474" s="1855">
        <f t="shared" si="280"/>
        <v>44722</v>
      </c>
      <c r="AQ1474" s="925" t="str">
        <f t="shared" si="282"/>
        <v>MR</v>
      </c>
      <c r="AR1474" s="1856">
        <f t="shared" si="281"/>
        <v>44722.704166666663</v>
      </c>
      <c r="AS1474" s="927" t="s">
        <v>1938</v>
      </c>
      <c r="AT1474" s="1856" t="str">
        <f t="shared" si="274"/>
        <v/>
      </c>
      <c r="AU1474" s="1856" t="str">
        <f t="shared" si="275"/>
        <v/>
      </c>
      <c r="AV1474" s="1856" t="str">
        <f t="shared" si="276"/>
        <v/>
      </c>
      <c r="AW1474" s="1856" t="str">
        <f t="shared" si="277"/>
        <v/>
      </c>
      <c r="AX1474" s="1856" t="str">
        <f t="shared" si="278"/>
        <v/>
      </c>
      <c r="AY1474" s="1856" t="str">
        <f t="shared" si="279"/>
        <v/>
      </c>
    </row>
    <row r="1475" spans="42:52">
      <c r="AP1475" s="1855">
        <f t="shared" si="280"/>
        <v>44722</v>
      </c>
      <c r="AQ1475" s="925" t="str">
        <f t="shared" si="282"/>
        <v>SS</v>
      </c>
      <c r="AR1475" s="1856">
        <f t="shared" si="281"/>
        <v>44722.878472222219</v>
      </c>
      <c r="AS1475" s="927" t="s">
        <v>1935</v>
      </c>
      <c r="AT1475" s="1856" t="str">
        <f t="shared" si="274"/>
        <v/>
      </c>
      <c r="AU1475" s="1856" t="str">
        <f t="shared" si="275"/>
        <v/>
      </c>
      <c r="AV1475" s="1856" t="str">
        <f t="shared" si="276"/>
        <v/>
      </c>
      <c r="AW1475" s="1856" t="str">
        <f t="shared" si="277"/>
        <v/>
      </c>
      <c r="AX1475" s="1856" t="str">
        <f t="shared" si="278"/>
        <v/>
      </c>
      <c r="AY1475" s="1856" t="str">
        <f t="shared" si="279"/>
        <v/>
      </c>
    </row>
    <row r="1476" spans="42:52">
      <c r="AP1476" s="1855">
        <f t="shared" si="280"/>
        <v>44722</v>
      </c>
      <c r="AQ1476" s="925" t="str">
        <f t="shared" si="282"/>
        <v>EENT</v>
      </c>
      <c r="AR1476" s="1856">
        <f t="shared" si="281"/>
        <v>44722.927083333328</v>
      </c>
      <c r="AS1476" s="927" t="s">
        <v>1936</v>
      </c>
      <c r="AT1476" s="1856" t="str">
        <f t="shared" si="274"/>
        <v/>
      </c>
      <c r="AU1476" s="1856" t="str">
        <f t="shared" si="275"/>
        <v/>
      </c>
      <c r="AV1476" s="1856" t="str">
        <f t="shared" si="276"/>
        <v/>
      </c>
      <c r="AW1476" s="1856" t="str">
        <f t="shared" si="277"/>
        <v/>
      </c>
      <c r="AX1476" s="1856" t="str">
        <f t="shared" si="278"/>
        <v/>
      </c>
      <c r="AY1476" s="1856" t="str">
        <f t="shared" si="279"/>
        <v/>
      </c>
    </row>
    <row r="1477" spans="42:52">
      <c r="AP1477" s="1855">
        <f t="shared" si="280"/>
        <v>44723</v>
      </c>
      <c r="AQ1477" s="925" t="str">
        <f t="shared" si="282"/>
        <v/>
      </c>
      <c r="AR1477" s="1856" t="str">
        <f t="shared" si="281"/>
        <v/>
      </c>
      <c r="AS1477" s="927">
        <v>11</v>
      </c>
      <c r="AT1477" s="1856">
        <f t="shared" si="274"/>
        <v>44723.215972222228</v>
      </c>
      <c r="AU1477" s="1856">
        <f t="shared" si="275"/>
        <v>44723.26458333333</v>
      </c>
      <c r="AV1477" s="1856">
        <f t="shared" si="276"/>
        <v>44723.879166666666</v>
      </c>
      <c r="AW1477" s="1856">
        <f t="shared" si="277"/>
        <v>44723.927777777775</v>
      </c>
      <c r="AX1477" s="1856">
        <f t="shared" si="278"/>
        <v>44723.754166666666</v>
      </c>
      <c r="AY1477" s="1856">
        <f t="shared" si="279"/>
        <v>44723.169444444444</v>
      </c>
      <c r="AZ1477" s="1853">
        <v>0.85</v>
      </c>
    </row>
    <row r="1478" spans="42:52">
      <c r="AP1478" s="1855">
        <f t="shared" si="280"/>
        <v>44723</v>
      </c>
      <c r="AQ1478" s="925" t="str">
        <f t="shared" si="282"/>
        <v/>
      </c>
      <c r="AR1478" s="1856" t="str">
        <f t="shared" si="281"/>
        <v/>
      </c>
      <c r="AS1478" s="927" t="s">
        <v>252</v>
      </c>
      <c r="AT1478" s="1856" t="str">
        <f t="shared" si="274"/>
        <v/>
      </c>
      <c r="AU1478" s="1856" t="str">
        <f t="shared" si="275"/>
        <v/>
      </c>
      <c r="AV1478" s="1856" t="str">
        <f t="shared" si="276"/>
        <v/>
      </c>
      <c r="AW1478" s="1856" t="str">
        <f t="shared" si="277"/>
        <v/>
      </c>
      <c r="AX1478" s="1856" t="str">
        <f t="shared" si="278"/>
        <v/>
      </c>
      <c r="AY1478" s="1856" t="str">
        <f t="shared" si="279"/>
        <v/>
      </c>
    </row>
    <row r="1479" spans="42:52">
      <c r="AP1479" s="1855">
        <f t="shared" si="280"/>
        <v>44723</v>
      </c>
      <c r="AQ1479" s="925" t="str">
        <f t="shared" si="282"/>
        <v/>
      </c>
      <c r="AR1479" s="1856" t="str">
        <f t="shared" si="281"/>
        <v/>
      </c>
      <c r="AT1479" s="1856" t="str">
        <f t="shared" si="274"/>
        <v/>
      </c>
      <c r="AU1479" s="1856" t="str">
        <f t="shared" si="275"/>
        <v/>
      </c>
      <c r="AV1479" s="1856" t="str">
        <f t="shared" si="276"/>
        <v/>
      </c>
      <c r="AW1479" s="1856" t="str">
        <f t="shared" si="277"/>
        <v/>
      </c>
      <c r="AX1479" s="1856" t="str">
        <f t="shared" si="278"/>
        <v/>
      </c>
      <c r="AY1479" s="1856" t="str">
        <f t="shared" si="279"/>
        <v/>
      </c>
    </row>
    <row r="1480" spans="42:52">
      <c r="AP1480" s="1855">
        <f t="shared" si="280"/>
        <v>44723</v>
      </c>
      <c r="AQ1480" s="925" t="str">
        <f t="shared" si="282"/>
        <v>MS</v>
      </c>
      <c r="AR1480" s="1856">
        <f t="shared" si="281"/>
        <v>44723.169444444444</v>
      </c>
      <c r="AS1480" s="927" t="s">
        <v>1939</v>
      </c>
      <c r="AT1480" s="1856" t="str">
        <f t="shared" si="274"/>
        <v/>
      </c>
      <c r="AU1480" s="1856" t="str">
        <f t="shared" si="275"/>
        <v/>
      </c>
      <c r="AV1480" s="1856" t="str">
        <f t="shared" si="276"/>
        <v/>
      </c>
      <c r="AW1480" s="1856" t="str">
        <f t="shared" si="277"/>
        <v/>
      </c>
      <c r="AX1480" s="1856" t="str">
        <f t="shared" si="278"/>
        <v/>
      </c>
      <c r="AY1480" s="1856" t="str">
        <f t="shared" si="279"/>
        <v/>
      </c>
    </row>
    <row r="1481" spans="42:52">
      <c r="AP1481" s="1855">
        <f t="shared" si="280"/>
        <v>44723</v>
      </c>
      <c r="AQ1481" s="925" t="str">
        <f t="shared" si="282"/>
        <v>BMNT</v>
      </c>
      <c r="AR1481" s="1856">
        <f t="shared" si="281"/>
        <v>44723.215972222228</v>
      </c>
      <c r="AS1481" s="927" t="s">
        <v>1929</v>
      </c>
      <c r="AT1481" s="1856" t="str">
        <f t="shared" si="274"/>
        <v/>
      </c>
      <c r="AU1481" s="1856" t="str">
        <f t="shared" si="275"/>
        <v/>
      </c>
      <c r="AV1481" s="1856" t="str">
        <f t="shared" si="276"/>
        <v/>
      </c>
      <c r="AW1481" s="1856" t="str">
        <f t="shared" si="277"/>
        <v/>
      </c>
      <c r="AX1481" s="1856" t="str">
        <f t="shared" si="278"/>
        <v/>
      </c>
      <c r="AY1481" s="1856" t="str">
        <f t="shared" si="279"/>
        <v/>
      </c>
    </row>
    <row r="1482" spans="42:52">
      <c r="AP1482" s="1855">
        <f t="shared" si="280"/>
        <v>44723</v>
      </c>
      <c r="AQ1482" s="925" t="str">
        <f t="shared" si="282"/>
        <v>SR</v>
      </c>
      <c r="AR1482" s="1856">
        <f t="shared" si="281"/>
        <v>44723.26458333333</v>
      </c>
      <c r="AS1482" s="927" t="s">
        <v>1930</v>
      </c>
      <c r="AT1482" s="1856" t="str">
        <f t="shared" si="274"/>
        <v/>
      </c>
      <c r="AU1482" s="1856" t="str">
        <f t="shared" si="275"/>
        <v/>
      </c>
      <c r="AV1482" s="1856" t="str">
        <f t="shared" si="276"/>
        <v/>
      </c>
      <c r="AW1482" s="1856" t="str">
        <f t="shared" si="277"/>
        <v/>
      </c>
      <c r="AX1482" s="1856" t="str">
        <f t="shared" si="278"/>
        <v/>
      </c>
      <c r="AY1482" s="1856" t="str">
        <f t="shared" si="279"/>
        <v/>
      </c>
    </row>
    <row r="1483" spans="42:52">
      <c r="AP1483" s="1855">
        <f t="shared" si="280"/>
        <v>44723</v>
      </c>
      <c r="AQ1483" s="925" t="str">
        <f t="shared" si="282"/>
        <v>MR</v>
      </c>
      <c r="AR1483" s="1856">
        <f t="shared" si="281"/>
        <v>44723.754166666666</v>
      </c>
      <c r="AS1483" s="927" t="s">
        <v>1804</v>
      </c>
      <c r="AT1483" s="1856" t="str">
        <f t="shared" si="274"/>
        <v/>
      </c>
      <c r="AU1483" s="1856" t="str">
        <f t="shared" si="275"/>
        <v/>
      </c>
      <c r="AV1483" s="1856" t="str">
        <f t="shared" si="276"/>
        <v/>
      </c>
      <c r="AW1483" s="1856" t="str">
        <f t="shared" si="277"/>
        <v/>
      </c>
      <c r="AX1483" s="1856" t="str">
        <f t="shared" si="278"/>
        <v/>
      </c>
      <c r="AY1483" s="1856" t="str">
        <f t="shared" si="279"/>
        <v/>
      </c>
    </row>
    <row r="1484" spans="42:52">
      <c r="AP1484" s="1855">
        <f t="shared" si="280"/>
        <v>44723</v>
      </c>
      <c r="AQ1484" s="925" t="str">
        <f t="shared" si="282"/>
        <v>SS</v>
      </c>
      <c r="AR1484" s="1856">
        <f t="shared" si="281"/>
        <v>44723.879166666666</v>
      </c>
      <c r="AS1484" s="927" t="s">
        <v>1940</v>
      </c>
      <c r="AT1484" s="1856" t="str">
        <f t="shared" si="274"/>
        <v/>
      </c>
      <c r="AU1484" s="1856" t="str">
        <f t="shared" si="275"/>
        <v/>
      </c>
      <c r="AV1484" s="1856" t="str">
        <f t="shared" si="276"/>
        <v/>
      </c>
      <c r="AW1484" s="1856" t="str">
        <f t="shared" si="277"/>
        <v/>
      </c>
      <c r="AX1484" s="1856" t="str">
        <f t="shared" si="278"/>
        <v/>
      </c>
      <c r="AY1484" s="1856" t="str">
        <f t="shared" si="279"/>
        <v/>
      </c>
    </row>
    <row r="1485" spans="42:52">
      <c r="AP1485" s="1855">
        <f t="shared" si="280"/>
        <v>44723</v>
      </c>
      <c r="AQ1485" s="925" t="str">
        <f t="shared" si="282"/>
        <v>EENT</v>
      </c>
      <c r="AR1485" s="1856">
        <f t="shared" si="281"/>
        <v>44723.927777777775</v>
      </c>
      <c r="AS1485" s="927" t="s">
        <v>1941</v>
      </c>
      <c r="AT1485" s="1856" t="str">
        <f t="shared" si="274"/>
        <v/>
      </c>
      <c r="AU1485" s="1856" t="str">
        <f t="shared" si="275"/>
        <v/>
      </c>
      <c r="AV1485" s="1856" t="str">
        <f t="shared" si="276"/>
        <v/>
      </c>
      <c r="AW1485" s="1856" t="str">
        <f t="shared" si="277"/>
        <v/>
      </c>
      <c r="AX1485" s="1856" t="str">
        <f t="shared" si="278"/>
        <v/>
      </c>
      <c r="AY1485" s="1856" t="str">
        <f t="shared" si="279"/>
        <v/>
      </c>
    </row>
    <row r="1486" spans="42:52">
      <c r="AP1486" s="1855">
        <f t="shared" si="280"/>
        <v>44724</v>
      </c>
      <c r="AQ1486" s="925" t="str">
        <f t="shared" si="282"/>
        <v/>
      </c>
      <c r="AR1486" s="1856" t="str">
        <f t="shared" si="281"/>
        <v/>
      </c>
      <c r="AS1486" s="927">
        <v>12</v>
      </c>
      <c r="AT1486" s="1856">
        <f t="shared" si="274"/>
        <v>44724.215972222228</v>
      </c>
      <c r="AU1486" s="1856">
        <f t="shared" si="275"/>
        <v>44724.26458333333</v>
      </c>
      <c r="AV1486" s="1856">
        <f t="shared" si="276"/>
        <v>44724.879166666666</v>
      </c>
      <c r="AW1486" s="1856">
        <f t="shared" si="277"/>
        <v>44724.928472222222</v>
      </c>
      <c r="AX1486" s="1856">
        <f t="shared" si="278"/>
        <v>44724.807638888888</v>
      </c>
      <c r="AY1486" s="1856">
        <f t="shared" si="279"/>
        <v>44724.193055555552</v>
      </c>
      <c r="AZ1486" s="1853">
        <v>0.92</v>
      </c>
    </row>
    <row r="1487" spans="42:52">
      <c r="AP1487" s="1855">
        <f t="shared" si="280"/>
        <v>44724</v>
      </c>
      <c r="AQ1487" s="925" t="str">
        <f t="shared" si="282"/>
        <v/>
      </c>
      <c r="AR1487" s="1856" t="str">
        <f t="shared" si="281"/>
        <v/>
      </c>
      <c r="AS1487" s="927" t="s">
        <v>252</v>
      </c>
      <c r="AT1487" s="1856" t="str">
        <f t="shared" si="274"/>
        <v/>
      </c>
      <c r="AU1487" s="1856" t="str">
        <f t="shared" si="275"/>
        <v/>
      </c>
      <c r="AV1487" s="1856" t="str">
        <f t="shared" si="276"/>
        <v/>
      </c>
      <c r="AW1487" s="1856" t="str">
        <f t="shared" si="277"/>
        <v/>
      </c>
      <c r="AX1487" s="1856" t="str">
        <f t="shared" si="278"/>
        <v/>
      </c>
      <c r="AY1487" s="1856" t="str">
        <f t="shared" si="279"/>
        <v/>
      </c>
    </row>
    <row r="1488" spans="42:52">
      <c r="AP1488" s="1855">
        <f t="shared" si="280"/>
        <v>44724</v>
      </c>
      <c r="AQ1488" s="925" t="str">
        <f t="shared" si="282"/>
        <v/>
      </c>
      <c r="AR1488" s="1856" t="str">
        <f t="shared" si="281"/>
        <v/>
      </c>
      <c r="AT1488" s="1856" t="str">
        <f t="shared" si="274"/>
        <v/>
      </c>
      <c r="AU1488" s="1856" t="str">
        <f t="shared" si="275"/>
        <v/>
      </c>
      <c r="AV1488" s="1856" t="str">
        <f t="shared" si="276"/>
        <v/>
      </c>
      <c r="AW1488" s="1856" t="str">
        <f t="shared" si="277"/>
        <v/>
      </c>
      <c r="AX1488" s="1856" t="str">
        <f t="shared" si="278"/>
        <v/>
      </c>
      <c r="AY1488" s="1856" t="str">
        <f t="shared" si="279"/>
        <v/>
      </c>
    </row>
    <row r="1489" spans="42:52">
      <c r="AP1489" s="1855">
        <f t="shared" si="280"/>
        <v>44724</v>
      </c>
      <c r="AQ1489" s="925" t="str">
        <f t="shared" si="282"/>
        <v>MS</v>
      </c>
      <c r="AR1489" s="1856">
        <f t="shared" si="281"/>
        <v>44724.193055555552</v>
      </c>
      <c r="AS1489" s="927" t="s">
        <v>1942</v>
      </c>
      <c r="AT1489" s="1856" t="str">
        <f t="shared" si="274"/>
        <v/>
      </c>
      <c r="AU1489" s="1856" t="str">
        <f t="shared" si="275"/>
        <v/>
      </c>
      <c r="AV1489" s="1856" t="str">
        <f t="shared" si="276"/>
        <v/>
      </c>
      <c r="AW1489" s="1856" t="str">
        <f t="shared" si="277"/>
        <v/>
      </c>
      <c r="AX1489" s="1856" t="str">
        <f t="shared" si="278"/>
        <v/>
      </c>
      <c r="AY1489" s="1856" t="str">
        <f t="shared" si="279"/>
        <v/>
      </c>
    </row>
    <row r="1490" spans="42:52">
      <c r="AP1490" s="1855">
        <f t="shared" si="280"/>
        <v>44724</v>
      </c>
      <c r="AQ1490" s="925" t="str">
        <f t="shared" si="282"/>
        <v>BMNT</v>
      </c>
      <c r="AR1490" s="1856">
        <f t="shared" si="281"/>
        <v>44724.215972222228</v>
      </c>
      <c r="AS1490" s="927" t="s">
        <v>1929</v>
      </c>
      <c r="AT1490" s="1856" t="str">
        <f t="shared" si="274"/>
        <v/>
      </c>
      <c r="AU1490" s="1856" t="str">
        <f t="shared" si="275"/>
        <v/>
      </c>
      <c r="AV1490" s="1856" t="str">
        <f t="shared" si="276"/>
        <v/>
      </c>
      <c r="AW1490" s="1856" t="str">
        <f t="shared" si="277"/>
        <v/>
      </c>
      <c r="AX1490" s="1856" t="str">
        <f t="shared" si="278"/>
        <v/>
      </c>
      <c r="AY1490" s="1856" t="str">
        <f t="shared" si="279"/>
        <v/>
      </c>
    </row>
    <row r="1491" spans="42:52">
      <c r="AP1491" s="1855">
        <f t="shared" si="280"/>
        <v>44724</v>
      </c>
      <c r="AQ1491" s="925" t="str">
        <f t="shared" si="282"/>
        <v>SR</v>
      </c>
      <c r="AR1491" s="1856">
        <f t="shared" si="281"/>
        <v>44724.26458333333</v>
      </c>
      <c r="AS1491" s="927" t="s">
        <v>1930</v>
      </c>
      <c r="AT1491" s="1856" t="str">
        <f t="shared" si="274"/>
        <v/>
      </c>
      <c r="AU1491" s="1856" t="str">
        <f t="shared" si="275"/>
        <v/>
      </c>
      <c r="AV1491" s="1856" t="str">
        <f t="shared" si="276"/>
        <v/>
      </c>
      <c r="AW1491" s="1856" t="str">
        <f t="shared" si="277"/>
        <v/>
      </c>
      <c r="AX1491" s="1856" t="str">
        <f t="shared" si="278"/>
        <v/>
      </c>
      <c r="AY1491" s="1856" t="str">
        <f t="shared" si="279"/>
        <v/>
      </c>
    </row>
    <row r="1492" spans="42:52">
      <c r="AP1492" s="1855">
        <f t="shared" si="280"/>
        <v>44724</v>
      </c>
      <c r="AQ1492" s="925" t="str">
        <f t="shared" si="282"/>
        <v>MR</v>
      </c>
      <c r="AR1492" s="1856">
        <f t="shared" si="281"/>
        <v>44724.807638888888</v>
      </c>
      <c r="AS1492" s="927" t="s">
        <v>1943</v>
      </c>
      <c r="AT1492" s="1856" t="str">
        <f t="shared" si="274"/>
        <v/>
      </c>
      <c r="AU1492" s="1856" t="str">
        <f t="shared" si="275"/>
        <v/>
      </c>
      <c r="AV1492" s="1856" t="str">
        <f t="shared" si="276"/>
        <v/>
      </c>
      <c r="AW1492" s="1856" t="str">
        <f t="shared" si="277"/>
        <v/>
      </c>
      <c r="AX1492" s="1856" t="str">
        <f t="shared" si="278"/>
        <v/>
      </c>
      <c r="AY1492" s="1856" t="str">
        <f t="shared" si="279"/>
        <v/>
      </c>
    </row>
    <row r="1493" spans="42:52">
      <c r="AP1493" s="1855">
        <f t="shared" si="280"/>
        <v>44724</v>
      </c>
      <c r="AQ1493" s="925" t="str">
        <f t="shared" si="282"/>
        <v>SS</v>
      </c>
      <c r="AR1493" s="1856">
        <f t="shared" si="281"/>
        <v>44724.879166666666</v>
      </c>
      <c r="AS1493" s="927" t="s">
        <v>1940</v>
      </c>
      <c r="AT1493" s="1856" t="str">
        <f t="shared" si="274"/>
        <v/>
      </c>
      <c r="AU1493" s="1856" t="str">
        <f t="shared" si="275"/>
        <v/>
      </c>
      <c r="AV1493" s="1856" t="str">
        <f t="shared" si="276"/>
        <v/>
      </c>
      <c r="AW1493" s="1856" t="str">
        <f t="shared" si="277"/>
        <v/>
      </c>
      <c r="AX1493" s="1856" t="str">
        <f t="shared" si="278"/>
        <v/>
      </c>
      <c r="AY1493" s="1856" t="str">
        <f t="shared" si="279"/>
        <v/>
      </c>
    </row>
    <row r="1494" spans="42:52">
      <c r="AP1494" s="1855">
        <f t="shared" si="280"/>
        <v>44724</v>
      </c>
      <c r="AQ1494" s="925" t="str">
        <f t="shared" si="282"/>
        <v>EENT</v>
      </c>
      <c r="AR1494" s="1856">
        <f t="shared" si="281"/>
        <v>44724.928472222222</v>
      </c>
      <c r="AS1494" s="927" t="s">
        <v>1944</v>
      </c>
      <c r="AT1494" s="1856" t="str">
        <f t="shared" si="274"/>
        <v/>
      </c>
      <c r="AU1494" s="1856" t="str">
        <f t="shared" si="275"/>
        <v/>
      </c>
      <c r="AV1494" s="1856" t="str">
        <f t="shared" si="276"/>
        <v/>
      </c>
      <c r="AW1494" s="1856" t="str">
        <f t="shared" si="277"/>
        <v/>
      </c>
      <c r="AX1494" s="1856" t="str">
        <f t="shared" si="278"/>
        <v/>
      </c>
      <c r="AY1494" s="1856" t="str">
        <f t="shared" si="279"/>
        <v/>
      </c>
    </row>
    <row r="1495" spans="42:52">
      <c r="AP1495" s="1855">
        <f t="shared" si="280"/>
        <v>44725</v>
      </c>
      <c r="AQ1495" s="925" t="str">
        <f t="shared" si="282"/>
        <v/>
      </c>
      <c r="AR1495" s="1856" t="str">
        <f t="shared" si="281"/>
        <v/>
      </c>
      <c r="AS1495" s="927">
        <v>13</v>
      </c>
      <c r="AT1495" s="1856">
        <f t="shared" si="274"/>
        <v>44725.215972222228</v>
      </c>
      <c r="AU1495" s="1856">
        <f t="shared" si="275"/>
        <v>44725.26458333333</v>
      </c>
      <c r="AV1495" s="1856">
        <f t="shared" si="276"/>
        <v>44725.879861111112</v>
      </c>
      <c r="AW1495" s="1856">
        <f t="shared" si="277"/>
        <v>44725.928472222222</v>
      </c>
      <c r="AX1495" s="1856">
        <f t="shared" si="278"/>
        <v>44725.861805555556</v>
      </c>
      <c r="AY1495" s="1856">
        <f t="shared" si="279"/>
        <v>44725.22152777778</v>
      </c>
      <c r="AZ1495" s="1853">
        <v>0.98</v>
      </c>
    </row>
    <row r="1496" spans="42:52">
      <c r="AP1496" s="1855">
        <f t="shared" si="280"/>
        <v>44725</v>
      </c>
      <c r="AQ1496" s="925" t="str">
        <f t="shared" si="282"/>
        <v/>
      </c>
      <c r="AR1496" s="1856" t="str">
        <f t="shared" si="281"/>
        <v/>
      </c>
      <c r="AS1496" s="927" t="s">
        <v>252</v>
      </c>
      <c r="AT1496" s="1856" t="str">
        <f t="shared" si="274"/>
        <v/>
      </c>
      <c r="AU1496" s="1856" t="str">
        <f t="shared" si="275"/>
        <v/>
      </c>
      <c r="AV1496" s="1856" t="str">
        <f t="shared" si="276"/>
        <v/>
      </c>
      <c r="AW1496" s="1856" t="str">
        <f t="shared" si="277"/>
        <v/>
      </c>
      <c r="AX1496" s="1856" t="str">
        <f t="shared" si="278"/>
        <v/>
      </c>
      <c r="AY1496" s="1856" t="str">
        <f t="shared" si="279"/>
        <v/>
      </c>
    </row>
    <row r="1497" spans="42:52">
      <c r="AP1497" s="1855">
        <f t="shared" si="280"/>
        <v>44725</v>
      </c>
      <c r="AQ1497" s="925" t="str">
        <f t="shared" si="282"/>
        <v/>
      </c>
      <c r="AR1497" s="1856" t="str">
        <f t="shared" si="281"/>
        <v/>
      </c>
      <c r="AT1497" s="1856" t="str">
        <f t="shared" si="274"/>
        <v/>
      </c>
      <c r="AU1497" s="1856" t="str">
        <f t="shared" si="275"/>
        <v/>
      </c>
      <c r="AV1497" s="1856" t="str">
        <f t="shared" si="276"/>
        <v/>
      </c>
      <c r="AW1497" s="1856" t="str">
        <f t="shared" si="277"/>
        <v/>
      </c>
      <c r="AX1497" s="1856" t="str">
        <f t="shared" si="278"/>
        <v/>
      </c>
      <c r="AY1497" s="1856" t="str">
        <f t="shared" si="279"/>
        <v/>
      </c>
    </row>
    <row r="1498" spans="42:52">
      <c r="AP1498" s="1855">
        <f t="shared" si="280"/>
        <v>44725</v>
      </c>
      <c r="AQ1498" s="925" t="str">
        <f t="shared" si="282"/>
        <v>BMNT</v>
      </c>
      <c r="AR1498" s="1856">
        <f t="shared" si="281"/>
        <v>44725.215972222228</v>
      </c>
      <c r="AS1498" s="927" t="s">
        <v>1929</v>
      </c>
      <c r="AT1498" s="1856" t="str">
        <f t="shared" si="274"/>
        <v/>
      </c>
      <c r="AU1498" s="1856" t="str">
        <f t="shared" si="275"/>
        <v/>
      </c>
      <c r="AV1498" s="1856" t="str">
        <f t="shared" si="276"/>
        <v/>
      </c>
      <c r="AW1498" s="1856" t="str">
        <f t="shared" si="277"/>
        <v/>
      </c>
      <c r="AX1498" s="1856" t="str">
        <f t="shared" si="278"/>
        <v/>
      </c>
      <c r="AY1498" s="1856" t="str">
        <f t="shared" si="279"/>
        <v/>
      </c>
    </row>
    <row r="1499" spans="42:52">
      <c r="AP1499" s="1855">
        <f t="shared" si="280"/>
        <v>44725</v>
      </c>
      <c r="AQ1499" s="925" t="str">
        <f t="shared" si="282"/>
        <v>MS</v>
      </c>
      <c r="AR1499" s="1856">
        <f t="shared" si="281"/>
        <v>44725.22152777778</v>
      </c>
      <c r="AS1499" s="927" t="s">
        <v>1945</v>
      </c>
      <c r="AT1499" s="1856" t="str">
        <f t="shared" si="274"/>
        <v/>
      </c>
      <c r="AU1499" s="1856" t="str">
        <f t="shared" si="275"/>
        <v/>
      </c>
      <c r="AV1499" s="1856" t="str">
        <f t="shared" si="276"/>
        <v/>
      </c>
      <c r="AW1499" s="1856" t="str">
        <f t="shared" si="277"/>
        <v/>
      </c>
      <c r="AX1499" s="1856" t="str">
        <f t="shared" si="278"/>
        <v/>
      </c>
      <c r="AY1499" s="1856" t="str">
        <f t="shared" si="279"/>
        <v/>
      </c>
    </row>
    <row r="1500" spans="42:52">
      <c r="AP1500" s="1855">
        <f t="shared" si="280"/>
        <v>44725</v>
      </c>
      <c r="AQ1500" s="925" t="str">
        <f t="shared" si="282"/>
        <v>SR</v>
      </c>
      <c r="AR1500" s="1856">
        <f t="shared" si="281"/>
        <v>44725.26458333333</v>
      </c>
      <c r="AS1500" s="927" t="s">
        <v>1930</v>
      </c>
      <c r="AT1500" s="1856" t="str">
        <f t="shared" ref="AT1500:AT1563" si="283">IF(ISNUMBER(AS1500),INDEX(AR1501:AR1511,MATCH($AT$27,AQ1501:AQ1511,0)),"")</f>
        <v/>
      </c>
      <c r="AU1500" s="1856" t="str">
        <f t="shared" ref="AU1500:AU1563" si="284">IF(AT1500="","",INDEX(AR1501:AR1511,MATCH($AU$27,AQ1501:AQ1511,0)))</f>
        <v/>
      </c>
      <c r="AV1500" s="1856" t="str">
        <f t="shared" ref="AV1500:AV1563" si="285">IF(AT1500="","",INDEX(AR1501:AR1511,MATCH($AV$27,AQ1501:AQ1511,0)))</f>
        <v/>
      </c>
      <c r="AW1500" s="1856" t="str">
        <f t="shared" ref="AW1500:AW1563" si="286">IF(AT1500="","",INDEX(AR1501:AR1511,MATCH($AW$27,AQ1501:AQ1511,0)))</f>
        <v/>
      </c>
      <c r="AX1500" s="1856" t="str">
        <f t="shared" ref="AX1500:AX1563" si="287">IF(AT1500="","",INDEX(AR1501:AR1511,MATCH($AX$27,AQ1501:AQ1511,0)))</f>
        <v/>
      </c>
      <c r="AY1500" s="1856" t="str">
        <f t="shared" ref="AY1500:AY1563" si="288">IF(AT1500="","",INDEX(AR1501:AR1511,MATCH($AY$27,AQ1501:AQ1511,0)))</f>
        <v/>
      </c>
    </row>
    <row r="1501" spans="42:52">
      <c r="AP1501" s="1855">
        <f t="shared" si="280"/>
        <v>44725</v>
      </c>
      <c r="AQ1501" s="925" t="str">
        <f t="shared" si="282"/>
        <v>MR</v>
      </c>
      <c r="AR1501" s="1856">
        <f t="shared" si="281"/>
        <v>44725.861805555556</v>
      </c>
      <c r="AS1501" s="927" t="s">
        <v>1946</v>
      </c>
      <c r="AT1501" s="1856" t="str">
        <f t="shared" si="283"/>
        <v/>
      </c>
      <c r="AU1501" s="1856" t="str">
        <f t="shared" si="284"/>
        <v/>
      </c>
      <c r="AV1501" s="1856" t="str">
        <f t="shared" si="285"/>
        <v/>
      </c>
      <c r="AW1501" s="1856" t="str">
        <f t="shared" si="286"/>
        <v/>
      </c>
      <c r="AX1501" s="1856" t="str">
        <f t="shared" si="287"/>
        <v/>
      </c>
      <c r="AY1501" s="1856" t="str">
        <f t="shared" si="288"/>
        <v/>
      </c>
    </row>
    <row r="1502" spans="42:52">
      <c r="AP1502" s="1855">
        <f t="shared" si="280"/>
        <v>44725</v>
      </c>
      <c r="AQ1502" s="925" t="str">
        <f t="shared" si="282"/>
        <v>SS</v>
      </c>
      <c r="AR1502" s="1856">
        <f t="shared" si="281"/>
        <v>44725.879861111112</v>
      </c>
      <c r="AS1502" s="927" t="s">
        <v>1947</v>
      </c>
      <c r="AT1502" s="1856" t="str">
        <f t="shared" si="283"/>
        <v/>
      </c>
      <c r="AU1502" s="1856" t="str">
        <f t="shared" si="284"/>
        <v/>
      </c>
      <c r="AV1502" s="1856" t="str">
        <f t="shared" si="285"/>
        <v/>
      </c>
      <c r="AW1502" s="1856" t="str">
        <f t="shared" si="286"/>
        <v/>
      </c>
      <c r="AX1502" s="1856" t="str">
        <f t="shared" si="287"/>
        <v/>
      </c>
      <c r="AY1502" s="1856" t="str">
        <f t="shared" si="288"/>
        <v/>
      </c>
    </row>
    <row r="1503" spans="42:52">
      <c r="AP1503" s="1855">
        <f t="shared" si="280"/>
        <v>44725</v>
      </c>
      <c r="AQ1503" s="925" t="str">
        <f t="shared" si="282"/>
        <v>EENT</v>
      </c>
      <c r="AR1503" s="1856">
        <f t="shared" si="281"/>
        <v>44725.928472222222</v>
      </c>
      <c r="AS1503" s="927" t="s">
        <v>1944</v>
      </c>
      <c r="AT1503" s="1856" t="str">
        <f t="shared" si="283"/>
        <v/>
      </c>
      <c r="AU1503" s="1856" t="str">
        <f t="shared" si="284"/>
        <v/>
      </c>
      <c r="AV1503" s="1856" t="str">
        <f t="shared" si="285"/>
        <v/>
      </c>
      <c r="AW1503" s="1856" t="str">
        <f t="shared" si="286"/>
        <v/>
      </c>
      <c r="AX1503" s="1856" t="str">
        <f t="shared" si="287"/>
        <v/>
      </c>
      <c r="AY1503" s="1856" t="str">
        <f t="shared" si="288"/>
        <v/>
      </c>
    </row>
    <row r="1504" spans="42:52">
      <c r="AP1504" s="1855">
        <f t="shared" si="280"/>
        <v>44726</v>
      </c>
      <c r="AQ1504" s="925" t="str">
        <f t="shared" si="282"/>
        <v/>
      </c>
      <c r="AR1504" s="1856" t="str">
        <f t="shared" si="281"/>
        <v/>
      </c>
      <c r="AS1504" s="927">
        <v>14</v>
      </c>
      <c r="AT1504" s="1856">
        <f t="shared" si="283"/>
        <v>44726.215277777781</v>
      </c>
      <c r="AU1504" s="1856">
        <f t="shared" si="284"/>
        <v>44726.26458333333</v>
      </c>
      <c r="AV1504" s="1856">
        <f t="shared" si="285"/>
        <v>44726.879861111112</v>
      </c>
      <c r="AW1504" s="1856">
        <f t="shared" si="286"/>
        <v>44726.929166666661</v>
      </c>
      <c r="AX1504" s="1856">
        <f t="shared" si="287"/>
        <v>44726.913194444445</v>
      </c>
      <c r="AY1504" s="1856">
        <f t="shared" si="288"/>
        <v>44726.256944444445</v>
      </c>
      <c r="AZ1504" s="1853">
        <v>1</v>
      </c>
    </row>
    <row r="1505" spans="42:52">
      <c r="AP1505" s="1855">
        <f t="shared" si="280"/>
        <v>44726</v>
      </c>
      <c r="AQ1505" s="925" t="str">
        <f t="shared" si="282"/>
        <v/>
      </c>
      <c r="AR1505" s="1856" t="str">
        <f t="shared" si="281"/>
        <v/>
      </c>
      <c r="AS1505" s="927" t="s">
        <v>252</v>
      </c>
      <c r="AT1505" s="1856" t="str">
        <f t="shared" si="283"/>
        <v/>
      </c>
      <c r="AU1505" s="1856" t="str">
        <f t="shared" si="284"/>
        <v/>
      </c>
      <c r="AV1505" s="1856" t="str">
        <f t="shared" si="285"/>
        <v/>
      </c>
      <c r="AW1505" s="1856" t="str">
        <f t="shared" si="286"/>
        <v/>
      </c>
      <c r="AX1505" s="1856" t="str">
        <f t="shared" si="287"/>
        <v/>
      </c>
      <c r="AY1505" s="1856" t="str">
        <f t="shared" si="288"/>
        <v/>
      </c>
    </row>
    <row r="1506" spans="42:52">
      <c r="AP1506" s="1855">
        <f t="shared" si="280"/>
        <v>44726</v>
      </c>
      <c r="AQ1506" s="925" t="str">
        <f t="shared" si="282"/>
        <v/>
      </c>
      <c r="AR1506" s="1856" t="str">
        <f t="shared" si="281"/>
        <v/>
      </c>
      <c r="AT1506" s="1856" t="str">
        <f t="shared" si="283"/>
        <v/>
      </c>
      <c r="AU1506" s="1856" t="str">
        <f t="shared" si="284"/>
        <v/>
      </c>
      <c r="AV1506" s="1856" t="str">
        <f t="shared" si="285"/>
        <v/>
      </c>
      <c r="AW1506" s="1856" t="str">
        <f t="shared" si="286"/>
        <v/>
      </c>
      <c r="AX1506" s="1856" t="str">
        <f t="shared" si="287"/>
        <v/>
      </c>
      <c r="AY1506" s="1856" t="str">
        <f t="shared" si="288"/>
        <v/>
      </c>
    </row>
    <row r="1507" spans="42:52">
      <c r="AP1507" s="1855">
        <f t="shared" si="280"/>
        <v>44726</v>
      </c>
      <c r="AQ1507" s="925" t="str">
        <f t="shared" si="282"/>
        <v>BMNT</v>
      </c>
      <c r="AR1507" s="1856">
        <f t="shared" si="281"/>
        <v>44726.215277777781</v>
      </c>
      <c r="AS1507" s="927" t="s">
        <v>1948</v>
      </c>
      <c r="AT1507" s="1856" t="str">
        <f t="shared" si="283"/>
        <v/>
      </c>
      <c r="AU1507" s="1856" t="str">
        <f t="shared" si="284"/>
        <v/>
      </c>
      <c r="AV1507" s="1856" t="str">
        <f t="shared" si="285"/>
        <v/>
      </c>
      <c r="AW1507" s="1856" t="str">
        <f t="shared" si="286"/>
        <v/>
      </c>
      <c r="AX1507" s="1856" t="str">
        <f t="shared" si="287"/>
        <v/>
      </c>
      <c r="AY1507" s="1856" t="str">
        <f t="shared" si="288"/>
        <v/>
      </c>
    </row>
    <row r="1508" spans="42:52">
      <c r="AP1508" s="1855">
        <f t="shared" si="280"/>
        <v>44726</v>
      </c>
      <c r="AQ1508" s="925" t="str">
        <f t="shared" si="282"/>
        <v>MS</v>
      </c>
      <c r="AR1508" s="1856">
        <f t="shared" si="281"/>
        <v>44726.256944444445</v>
      </c>
      <c r="AS1508" s="927" t="s">
        <v>1949</v>
      </c>
      <c r="AT1508" s="1856" t="str">
        <f t="shared" si="283"/>
        <v/>
      </c>
      <c r="AU1508" s="1856" t="str">
        <f t="shared" si="284"/>
        <v/>
      </c>
      <c r="AV1508" s="1856" t="str">
        <f t="shared" si="285"/>
        <v/>
      </c>
      <c r="AW1508" s="1856" t="str">
        <f t="shared" si="286"/>
        <v/>
      </c>
      <c r="AX1508" s="1856" t="str">
        <f t="shared" si="287"/>
        <v/>
      </c>
      <c r="AY1508" s="1856" t="str">
        <f t="shared" si="288"/>
        <v/>
      </c>
    </row>
    <row r="1509" spans="42:52">
      <c r="AP1509" s="1855">
        <f t="shared" ref="AP1509:AP1572" si="289">IF(ISNUMBER(AS1509),AP1508+1,AP1508)</f>
        <v>44726</v>
      </c>
      <c r="AQ1509" s="925" t="str">
        <f t="shared" si="282"/>
        <v>SR</v>
      </c>
      <c r="AR1509" s="1856">
        <f t="shared" si="281"/>
        <v>44726.26458333333</v>
      </c>
      <c r="AS1509" s="927" t="s">
        <v>1930</v>
      </c>
      <c r="AT1509" s="1856" t="str">
        <f t="shared" si="283"/>
        <v/>
      </c>
      <c r="AU1509" s="1856" t="str">
        <f t="shared" si="284"/>
        <v/>
      </c>
      <c r="AV1509" s="1856" t="str">
        <f t="shared" si="285"/>
        <v/>
      </c>
      <c r="AW1509" s="1856" t="str">
        <f t="shared" si="286"/>
        <v/>
      </c>
      <c r="AX1509" s="1856" t="str">
        <f t="shared" si="287"/>
        <v/>
      </c>
      <c r="AY1509" s="1856" t="str">
        <f t="shared" si="288"/>
        <v/>
      </c>
    </row>
    <row r="1510" spans="42:52">
      <c r="AP1510" s="1855">
        <f t="shared" si="289"/>
        <v>44726</v>
      </c>
      <c r="AQ1510" s="925" t="str">
        <f t="shared" si="282"/>
        <v>SS</v>
      </c>
      <c r="AR1510" s="1856">
        <f t="shared" si="281"/>
        <v>44726.879861111112</v>
      </c>
      <c r="AS1510" s="927" t="s">
        <v>1947</v>
      </c>
      <c r="AT1510" s="1856" t="str">
        <f t="shared" si="283"/>
        <v/>
      </c>
      <c r="AU1510" s="1856" t="str">
        <f t="shared" si="284"/>
        <v/>
      </c>
      <c r="AV1510" s="1856" t="str">
        <f t="shared" si="285"/>
        <v/>
      </c>
      <c r="AW1510" s="1856" t="str">
        <f t="shared" si="286"/>
        <v/>
      </c>
      <c r="AX1510" s="1856" t="str">
        <f t="shared" si="287"/>
        <v/>
      </c>
      <c r="AY1510" s="1856" t="str">
        <f t="shared" si="288"/>
        <v/>
      </c>
    </row>
    <row r="1511" spans="42:52">
      <c r="AP1511" s="1855">
        <f t="shared" si="289"/>
        <v>44726</v>
      </c>
      <c r="AQ1511" s="925" t="str">
        <f t="shared" si="282"/>
        <v>MR</v>
      </c>
      <c r="AR1511" s="1856">
        <f t="shared" si="281"/>
        <v>44726.913194444445</v>
      </c>
      <c r="AS1511" s="927" t="s">
        <v>1950</v>
      </c>
      <c r="AT1511" s="1856" t="str">
        <f t="shared" si="283"/>
        <v/>
      </c>
      <c r="AU1511" s="1856" t="str">
        <f t="shared" si="284"/>
        <v/>
      </c>
      <c r="AV1511" s="1856" t="str">
        <f t="shared" si="285"/>
        <v/>
      </c>
      <c r="AW1511" s="1856" t="str">
        <f t="shared" si="286"/>
        <v/>
      </c>
      <c r="AX1511" s="1856" t="str">
        <f t="shared" si="287"/>
        <v/>
      </c>
      <c r="AY1511" s="1856" t="str">
        <f t="shared" si="288"/>
        <v/>
      </c>
    </row>
    <row r="1512" spans="42:52">
      <c r="AP1512" s="1855">
        <f t="shared" si="289"/>
        <v>44726</v>
      </c>
      <c r="AQ1512" s="925" t="str">
        <f t="shared" si="282"/>
        <v>EENT</v>
      </c>
      <c r="AR1512" s="1856">
        <f t="shared" si="281"/>
        <v>44726.929166666661</v>
      </c>
      <c r="AS1512" s="927" t="s">
        <v>1951</v>
      </c>
      <c r="AT1512" s="1856" t="str">
        <f t="shared" si="283"/>
        <v/>
      </c>
      <c r="AU1512" s="1856" t="str">
        <f t="shared" si="284"/>
        <v/>
      </c>
      <c r="AV1512" s="1856" t="str">
        <f t="shared" si="285"/>
        <v/>
      </c>
      <c r="AW1512" s="1856" t="str">
        <f t="shared" si="286"/>
        <v/>
      </c>
      <c r="AX1512" s="1856" t="str">
        <f t="shared" si="287"/>
        <v/>
      </c>
      <c r="AY1512" s="1856" t="str">
        <f t="shared" si="288"/>
        <v/>
      </c>
    </row>
    <row r="1513" spans="42:52">
      <c r="AP1513" s="1855">
        <f t="shared" si="289"/>
        <v>44727</v>
      </c>
      <c r="AQ1513" s="925" t="str">
        <f t="shared" si="282"/>
        <v/>
      </c>
      <c r="AR1513" s="1856" t="str">
        <f t="shared" ref="AR1513:AR1576" si="290">IF(NOT(ISNUMBER(FIND(":",AS1513))),"",IF(ISNUMBER(FIND(" none",AS1513)),"NONE",AP1513+LEFT(RIGHT(AS1513,5),2)/24+RIGHT(AS1513,2)/1440))</f>
        <v/>
      </c>
      <c r="AS1513" s="927">
        <v>15</v>
      </c>
      <c r="AT1513" s="1856">
        <f t="shared" si="283"/>
        <v>44727.215277777781</v>
      </c>
      <c r="AU1513" s="1856">
        <f t="shared" si="284"/>
        <v>44727.26458333333</v>
      </c>
      <c r="AV1513" s="1856">
        <f t="shared" si="285"/>
        <v>44727.879861111112</v>
      </c>
      <c r="AW1513" s="1856">
        <f t="shared" si="286"/>
        <v>44727.929166666661</v>
      </c>
      <c r="AX1513" s="1856">
        <f t="shared" si="287"/>
        <v>44727.958333333336</v>
      </c>
      <c r="AY1513" s="1856">
        <f t="shared" si="288"/>
        <v>44727.300694444442</v>
      </c>
      <c r="AZ1513" s="1853">
        <v>0.99</v>
      </c>
    </row>
    <row r="1514" spans="42:52">
      <c r="AP1514" s="1855">
        <f t="shared" si="289"/>
        <v>44727</v>
      </c>
      <c r="AQ1514" s="925" t="str">
        <f t="shared" si="282"/>
        <v/>
      </c>
      <c r="AR1514" s="1856" t="str">
        <f t="shared" si="290"/>
        <v/>
      </c>
      <c r="AS1514" s="927" t="s">
        <v>252</v>
      </c>
      <c r="AT1514" s="1856" t="str">
        <f t="shared" si="283"/>
        <v/>
      </c>
      <c r="AU1514" s="1856" t="str">
        <f t="shared" si="284"/>
        <v/>
      </c>
      <c r="AV1514" s="1856" t="str">
        <f t="shared" si="285"/>
        <v/>
      </c>
      <c r="AW1514" s="1856" t="str">
        <f t="shared" si="286"/>
        <v/>
      </c>
      <c r="AX1514" s="1856" t="str">
        <f t="shared" si="287"/>
        <v/>
      </c>
      <c r="AY1514" s="1856" t="str">
        <f t="shared" si="288"/>
        <v/>
      </c>
    </row>
    <row r="1515" spans="42:52">
      <c r="AP1515" s="1855">
        <f t="shared" si="289"/>
        <v>44727</v>
      </c>
      <c r="AQ1515" s="925" t="str">
        <f t="shared" si="282"/>
        <v/>
      </c>
      <c r="AR1515" s="1856" t="str">
        <f t="shared" si="290"/>
        <v/>
      </c>
      <c r="AT1515" s="1856" t="str">
        <f t="shared" si="283"/>
        <v/>
      </c>
      <c r="AU1515" s="1856" t="str">
        <f t="shared" si="284"/>
        <v/>
      </c>
      <c r="AV1515" s="1856" t="str">
        <f t="shared" si="285"/>
        <v/>
      </c>
      <c r="AW1515" s="1856" t="str">
        <f t="shared" si="286"/>
        <v/>
      </c>
      <c r="AX1515" s="1856" t="str">
        <f t="shared" si="287"/>
        <v/>
      </c>
      <c r="AY1515" s="1856" t="str">
        <f t="shared" si="288"/>
        <v/>
      </c>
    </row>
    <row r="1516" spans="42:52">
      <c r="AP1516" s="1855">
        <f t="shared" si="289"/>
        <v>44727</v>
      </c>
      <c r="AQ1516" s="925" t="str">
        <f t="shared" si="282"/>
        <v>BMNT</v>
      </c>
      <c r="AR1516" s="1856">
        <f t="shared" si="290"/>
        <v>44727.215277777781</v>
      </c>
      <c r="AS1516" s="927" t="s">
        <v>1948</v>
      </c>
      <c r="AT1516" s="1856" t="str">
        <f t="shared" si="283"/>
        <v/>
      </c>
      <c r="AU1516" s="1856" t="str">
        <f t="shared" si="284"/>
        <v/>
      </c>
      <c r="AV1516" s="1856" t="str">
        <f t="shared" si="285"/>
        <v/>
      </c>
      <c r="AW1516" s="1856" t="str">
        <f t="shared" si="286"/>
        <v/>
      </c>
      <c r="AX1516" s="1856" t="str">
        <f t="shared" si="287"/>
        <v/>
      </c>
      <c r="AY1516" s="1856" t="str">
        <f t="shared" si="288"/>
        <v/>
      </c>
    </row>
    <row r="1517" spans="42:52">
      <c r="AP1517" s="1855">
        <f t="shared" si="289"/>
        <v>44727</v>
      </c>
      <c r="AQ1517" s="925" t="str">
        <f t="shared" si="282"/>
        <v>SR</v>
      </c>
      <c r="AR1517" s="1856">
        <f t="shared" si="290"/>
        <v>44727.26458333333</v>
      </c>
      <c r="AS1517" s="927" t="s">
        <v>1930</v>
      </c>
      <c r="AT1517" s="1856" t="str">
        <f t="shared" si="283"/>
        <v/>
      </c>
      <c r="AU1517" s="1856" t="str">
        <f t="shared" si="284"/>
        <v/>
      </c>
      <c r="AV1517" s="1856" t="str">
        <f t="shared" si="285"/>
        <v/>
      </c>
      <c r="AW1517" s="1856" t="str">
        <f t="shared" si="286"/>
        <v/>
      </c>
      <c r="AX1517" s="1856" t="str">
        <f t="shared" si="287"/>
        <v/>
      </c>
      <c r="AY1517" s="1856" t="str">
        <f t="shared" si="288"/>
        <v/>
      </c>
    </row>
    <row r="1518" spans="42:52">
      <c r="AP1518" s="1855">
        <f t="shared" si="289"/>
        <v>44727</v>
      </c>
      <c r="AQ1518" s="925" t="str">
        <f t="shared" si="282"/>
        <v>MS</v>
      </c>
      <c r="AR1518" s="1856">
        <f t="shared" si="290"/>
        <v>44727.300694444442</v>
      </c>
      <c r="AS1518" s="927" t="s">
        <v>1952</v>
      </c>
      <c r="AT1518" s="1856" t="str">
        <f t="shared" si="283"/>
        <v/>
      </c>
      <c r="AU1518" s="1856" t="str">
        <f t="shared" si="284"/>
        <v/>
      </c>
      <c r="AV1518" s="1856" t="str">
        <f t="shared" si="285"/>
        <v/>
      </c>
      <c r="AW1518" s="1856" t="str">
        <f t="shared" si="286"/>
        <v/>
      </c>
      <c r="AX1518" s="1856" t="str">
        <f t="shared" si="287"/>
        <v/>
      </c>
      <c r="AY1518" s="1856" t="str">
        <f t="shared" si="288"/>
        <v/>
      </c>
    </row>
    <row r="1519" spans="42:52">
      <c r="AP1519" s="1855">
        <f t="shared" si="289"/>
        <v>44727</v>
      </c>
      <c r="AQ1519" s="925" t="str">
        <f t="shared" si="282"/>
        <v>SS</v>
      </c>
      <c r="AR1519" s="1856">
        <f t="shared" si="290"/>
        <v>44727.879861111112</v>
      </c>
      <c r="AS1519" s="927" t="s">
        <v>1947</v>
      </c>
      <c r="AT1519" s="1856" t="str">
        <f t="shared" si="283"/>
        <v/>
      </c>
      <c r="AU1519" s="1856" t="str">
        <f t="shared" si="284"/>
        <v/>
      </c>
      <c r="AV1519" s="1856" t="str">
        <f t="shared" si="285"/>
        <v/>
      </c>
      <c r="AW1519" s="1856" t="str">
        <f t="shared" si="286"/>
        <v/>
      </c>
      <c r="AX1519" s="1856" t="str">
        <f t="shared" si="287"/>
        <v/>
      </c>
      <c r="AY1519" s="1856" t="str">
        <f t="shared" si="288"/>
        <v/>
      </c>
    </row>
    <row r="1520" spans="42:52">
      <c r="AP1520" s="1855">
        <f t="shared" si="289"/>
        <v>44727</v>
      </c>
      <c r="AQ1520" s="925" t="str">
        <f t="shared" si="282"/>
        <v>EENT</v>
      </c>
      <c r="AR1520" s="1856">
        <f t="shared" si="290"/>
        <v>44727.929166666661</v>
      </c>
      <c r="AS1520" s="927" t="s">
        <v>1951</v>
      </c>
      <c r="AT1520" s="1856" t="str">
        <f t="shared" si="283"/>
        <v/>
      </c>
      <c r="AU1520" s="1856" t="str">
        <f t="shared" si="284"/>
        <v/>
      </c>
      <c r="AV1520" s="1856" t="str">
        <f t="shared" si="285"/>
        <v/>
      </c>
      <c r="AW1520" s="1856" t="str">
        <f t="shared" si="286"/>
        <v/>
      </c>
      <c r="AX1520" s="1856" t="str">
        <f t="shared" si="287"/>
        <v/>
      </c>
      <c r="AY1520" s="1856" t="str">
        <f t="shared" si="288"/>
        <v/>
      </c>
    </row>
    <row r="1521" spans="42:52">
      <c r="AP1521" s="1855">
        <f t="shared" si="289"/>
        <v>44727</v>
      </c>
      <c r="AQ1521" s="925" t="str">
        <f t="shared" si="282"/>
        <v>MR</v>
      </c>
      <c r="AR1521" s="1856">
        <f t="shared" si="290"/>
        <v>44727.958333333336</v>
      </c>
      <c r="AS1521" s="927" t="s">
        <v>1953</v>
      </c>
      <c r="AT1521" s="1856" t="str">
        <f t="shared" si="283"/>
        <v/>
      </c>
      <c r="AU1521" s="1856" t="str">
        <f t="shared" si="284"/>
        <v/>
      </c>
      <c r="AV1521" s="1856" t="str">
        <f t="shared" si="285"/>
        <v/>
      </c>
      <c r="AW1521" s="1856" t="str">
        <f t="shared" si="286"/>
        <v/>
      </c>
      <c r="AX1521" s="1856" t="str">
        <f t="shared" si="287"/>
        <v/>
      </c>
      <c r="AY1521" s="1856" t="str">
        <f t="shared" si="288"/>
        <v/>
      </c>
    </row>
    <row r="1522" spans="42:52">
      <c r="AP1522" s="1855">
        <f t="shared" si="289"/>
        <v>44728</v>
      </c>
      <c r="AQ1522" s="925" t="str">
        <f t="shared" si="282"/>
        <v/>
      </c>
      <c r="AR1522" s="1856" t="str">
        <f t="shared" si="290"/>
        <v/>
      </c>
      <c r="AS1522" s="927">
        <v>16</v>
      </c>
      <c r="AT1522" s="1856">
        <f t="shared" si="283"/>
        <v>44728.215277777781</v>
      </c>
      <c r="AU1522" s="1856">
        <f t="shared" si="284"/>
        <v>44728.26458333333</v>
      </c>
      <c r="AV1522" s="1856">
        <f t="shared" si="285"/>
        <v>44728.880555555559</v>
      </c>
      <c r="AW1522" s="1856">
        <f t="shared" si="286"/>
        <v>44728.929861111108</v>
      </c>
      <c r="AX1522" s="1856">
        <f t="shared" si="287"/>
        <v>44728.995833333334</v>
      </c>
      <c r="AY1522" s="1856">
        <f t="shared" si="288"/>
        <v>44728.350000000006</v>
      </c>
      <c r="AZ1522" s="1853">
        <v>0.95</v>
      </c>
    </row>
    <row r="1523" spans="42:52">
      <c r="AP1523" s="1855">
        <f t="shared" si="289"/>
        <v>44728</v>
      </c>
      <c r="AQ1523" s="925" t="str">
        <f t="shared" si="282"/>
        <v/>
      </c>
      <c r="AR1523" s="1856" t="str">
        <f t="shared" si="290"/>
        <v/>
      </c>
      <c r="AS1523" s="927" t="s">
        <v>252</v>
      </c>
      <c r="AT1523" s="1856" t="str">
        <f t="shared" si="283"/>
        <v/>
      </c>
      <c r="AU1523" s="1856" t="str">
        <f t="shared" si="284"/>
        <v/>
      </c>
      <c r="AV1523" s="1856" t="str">
        <f t="shared" si="285"/>
        <v/>
      </c>
      <c r="AW1523" s="1856" t="str">
        <f t="shared" si="286"/>
        <v/>
      </c>
      <c r="AX1523" s="1856" t="str">
        <f t="shared" si="287"/>
        <v/>
      </c>
      <c r="AY1523" s="1856" t="str">
        <f t="shared" si="288"/>
        <v/>
      </c>
    </row>
    <row r="1524" spans="42:52">
      <c r="AP1524" s="1855">
        <f t="shared" si="289"/>
        <v>44728</v>
      </c>
      <c r="AQ1524" s="925" t="str">
        <f t="shared" ref="AQ1524:AQ1587" si="291">IF(NOT(ISNUMBER(FIND(":",AS1524))),"",IF(ISNUMBER(FIND("Sunr",AS1524)),"SR", IF(ISNUMBER(FIND("Suns",AS1524)),"SS",IF(ISNUMBER(FIND("Moonr",AS1524)),"MR",IF(ISNUMBER(FIND("Moons",AS1524)),"MS",IF(ISNUMBER(FIND("Twi",AS1524)),IF(HOUR(AR1524)&lt;12,"BMNT","EENT")))))))</f>
        <v/>
      </c>
      <c r="AR1524" s="1856" t="str">
        <f t="shared" si="290"/>
        <v/>
      </c>
      <c r="AT1524" s="1856" t="str">
        <f t="shared" si="283"/>
        <v/>
      </c>
      <c r="AU1524" s="1856" t="str">
        <f t="shared" si="284"/>
        <v/>
      </c>
      <c r="AV1524" s="1856" t="str">
        <f t="shared" si="285"/>
        <v/>
      </c>
      <c r="AW1524" s="1856" t="str">
        <f t="shared" si="286"/>
        <v/>
      </c>
      <c r="AX1524" s="1856" t="str">
        <f t="shared" si="287"/>
        <v/>
      </c>
      <c r="AY1524" s="1856" t="str">
        <f t="shared" si="288"/>
        <v/>
      </c>
    </row>
    <row r="1525" spans="42:52">
      <c r="AP1525" s="1855">
        <f t="shared" si="289"/>
        <v>44728</v>
      </c>
      <c r="AQ1525" s="925" t="str">
        <f t="shared" si="291"/>
        <v>BMNT</v>
      </c>
      <c r="AR1525" s="1856">
        <f t="shared" si="290"/>
        <v>44728.215277777781</v>
      </c>
      <c r="AS1525" s="927" t="s">
        <v>1948</v>
      </c>
      <c r="AT1525" s="1856" t="str">
        <f t="shared" si="283"/>
        <v/>
      </c>
      <c r="AU1525" s="1856" t="str">
        <f t="shared" si="284"/>
        <v/>
      </c>
      <c r="AV1525" s="1856" t="str">
        <f t="shared" si="285"/>
        <v/>
      </c>
      <c r="AW1525" s="1856" t="str">
        <f t="shared" si="286"/>
        <v/>
      </c>
      <c r="AX1525" s="1856" t="str">
        <f t="shared" si="287"/>
        <v/>
      </c>
      <c r="AY1525" s="1856" t="str">
        <f t="shared" si="288"/>
        <v/>
      </c>
    </row>
    <row r="1526" spans="42:52">
      <c r="AP1526" s="1855">
        <f t="shared" si="289"/>
        <v>44728</v>
      </c>
      <c r="AQ1526" s="925" t="str">
        <f t="shared" si="291"/>
        <v>SR</v>
      </c>
      <c r="AR1526" s="1856">
        <f t="shared" si="290"/>
        <v>44728.26458333333</v>
      </c>
      <c r="AS1526" s="927" t="s">
        <v>1930</v>
      </c>
      <c r="AT1526" s="1856" t="str">
        <f t="shared" si="283"/>
        <v/>
      </c>
      <c r="AU1526" s="1856" t="str">
        <f t="shared" si="284"/>
        <v/>
      </c>
      <c r="AV1526" s="1856" t="str">
        <f t="shared" si="285"/>
        <v/>
      </c>
      <c r="AW1526" s="1856" t="str">
        <f t="shared" si="286"/>
        <v/>
      </c>
      <c r="AX1526" s="1856" t="str">
        <f t="shared" si="287"/>
        <v/>
      </c>
      <c r="AY1526" s="1856" t="str">
        <f t="shared" si="288"/>
        <v/>
      </c>
    </row>
    <row r="1527" spans="42:52">
      <c r="AP1527" s="1855">
        <f t="shared" si="289"/>
        <v>44728</v>
      </c>
      <c r="AQ1527" s="925" t="str">
        <f t="shared" si="291"/>
        <v>MS</v>
      </c>
      <c r="AR1527" s="1856">
        <f t="shared" si="290"/>
        <v>44728.350000000006</v>
      </c>
      <c r="AS1527" s="927" t="s">
        <v>1379</v>
      </c>
      <c r="AT1527" s="1856" t="str">
        <f t="shared" si="283"/>
        <v/>
      </c>
      <c r="AU1527" s="1856" t="str">
        <f t="shared" si="284"/>
        <v/>
      </c>
      <c r="AV1527" s="1856" t="str">
        <f t="shared" si="285"/>
        <v/>
      </c>
      <c r="AW1527" s="1856" t="str">
        <f t="shared" si="286"/>
        <v/>
      </c>
      <c r="AX1527" s="1856" t="str">
        <f t="shared" si="287"/>
        <v/>
      </c>
      <c r="AY1527" s="1856" t="str">
        <f t="shared" si="288"/>
        <v/>
      </c>
    </row>
    <row r="1528" spans="42:52">
      <c r="AP1528" s="1855">
        <f t="shared" si="289"/>
        <v>44728</v>
      </c>
      <c r="AQ1528" s="925" t="str">
        <f t="shared" si="291"/>
        <v>SS</v>
      </c>
      <c r="AR1528" s="1856">
        <f t="shared" si="290"/>
        <v>44728.880555555559</v>
      </c>
      <c r="AS1528" s="927" t="s">
        <v>1954</v>
      </c>
      <c r="AT1528" s="1856" t="str">
        <f t="shared" si="283"/>
        <v/>
      </c>
      <c r="AU1528" s="1856" t="str">
        <f t="shared" si="284"/>
        <v/>
      </c>
      <c r="AV1528" s="1856" t="str">
        <f t="shared" si="285"/>
        <v/>
      </c>
      <c r="AW1528" s="1856" t="str">
        <f t="shared" si="286"/>
        <v/>
      </c>
      <c r="AX1528" s="1856" t="str">
        <f t="shared" si="287"/>
        <v/>
      </c>
      <c r="AY1528" s="1856" t="str">
        <f t="shared" si="288"/>
        <v/>
      </c>
    </row>
    <row r="1529" spans="42:52">
      <c r="AP1529" s="1855">
        <f t="shared" si="289"/>
        <v>44728</v>
      </c>
      <c r="AQ1529" s="925" t="str">
        <f t="shared" si="291"/>
        <v>EENT</v>
      </c>
      <c r="AR1529" s="1856">
        <f t="shared" si="290"/>
        <v>44728.929861111108</v>
      </c>
      <c r="AS1529" s="927" t="s">
        <v>1955</v>
      </c>
      <c r="AT1529" s="1856" t="str">
        <f t="shared" si="283"/>
        <v/>
      </c>
      <c r="AU1529" s="1856" t="str">
        <f t="shared" si="284"/>
        <v/>
      </c>
      <c r="AV1529" s="1856" t="str">
        <f t="shared" si="285"/>
        <v/>
      </c>
      <c r="AW1529" s="1856" t="str">
        <f t="shared" si="286"/>
        <v/>
      </c>
      <c r="AX1529" s="1856" t="str">
        <f t="shared" si="287"/>
        <v/>
      </c>
      <c r="AY1529" s="1856" t="str">
        <f t="shared" si="288"/>
        <v/>
      </c>
    </row>
    <row r="1530" spans="42:52">
      <c r="AP1530" s="1855">
        <f t="shared" si="289"/>
        <v>44728</v>
      </c>
      <c r="AQ1530" s="925" t="str">
        <f t="shared" si="291"/>
        <v>MR</v>
      </c>
      <c r="AR1530" s="1856">
        <f t="shared" si="290"/>
        <v>44728.995833333334</v>
      </c>
      <c r="AS1530" s="927" t="s">
        <v>1956</v>
      </c>
      <c r="AT1530" s="1856" t="str">
        <f t="shared" si="283"/>
        <v/>
      </c>
      <c r="AU1530" s="1856" t="str">
        <f t="shared" si="284"/>
        <v/>
      </c>
      <c r="AV1530" s="1856" t="str">
        <f t="shared" si="285"/>
        <v/>
      </c>
      <c r="AW1530" s="1856" t="str">
        <f t="shared" si="286"/>
        <v/>
      </c>
      <c r="AX1530" s="1856" t="str">
        <f t="shared" si="287"/>
        <v/>
      </c>
      <c r="AY1530" s="1856" t="str">
        <f t="shared" si="288"/>
        <v/>
      </c>
    </row>
    <row r="1531" spans="42:52">
      <c r="AP1531" s="1855">
        <f t="shared" si="289"/>
        <v>44729</v>
      </c>
      <c r="AQ1531" s="925" t="str">
        <f t="shared" si="291"/>
        <v/>
      </c>
      <c r="AR1531" s="1856" t="str">
        <f t="shared" si="290"/>
        <v/>
      </c>
      <c r="AS1531" s="927">
        <v>17</v>
      </c>
      <c r="AT1531" s="1856">
        <f t="shared" si="283"/>
        <v>44729.215277777781</v>
      </c>
      <c r="AU1531" s="1856">
        <f t="shared" si="284"/>
        <v>44729.26458333333</v>
      </c>
      <c r="AV1531" s="1856">
        <f t="shared" si="285"/>
        <v>44729.880555555559</v>
      </c>
      <c r="AW1531" s="1856">
        <f t="shared" si="286"/>
        <v>44729.929861111108</v>
      </c>
      <c r="AX1531" s="1856" t="str">
        <f t="shared" si="287"/>
        <v>NONE</v>
      </c>
      <c r="AY1531" s="1856">
        <f t="shared" si="288"/>
        <v>44729.402083333334</v>
      </c>
      <c r="AZ1531" s="1853">
        <v>0.89</v>
      </c>
    </row>
    <row r="1532" spans="42:52">
      <c r="AP1532" s="1855">
        <f t="shared" si="289"/>
        <v>44729</v>
      </c>
      <c r="AQ1532" s="925" t="str">
        <f t="shared" si="291"/>
        <v/>
      </c>
      <c r="AR1532" s="1856" t="str">
        <f t="shared" si="290"/>
        <v/>
      </c>
      <c r="AS1532" s="927" t="s">
        <v>252</v>
      </c>
      <c r="AT1532" s="1856" t="str">
        <f t="shared" si="283"/>
        <v/>
      </c>
      <c r="AU1532" s="1856" t="str">
        <f t="shared" si="284"/>
        <v/>
      </c>
      <c r="AV1532" s="1856" t="str">
        <f t="shared" si="285"/>
        <v/>
      </c>
      <c r="AW1532" s="1856" t="str">
        <f t="shared" si="286"/>
        <v/>
      </c>
      <c r="AX1532" s="1856" t="str">
        <f t="shared" si="287"/>
        <v/>
      </c>
      <c r="AY1532" s="1856" t="str">
        <f t="shared" si="288"/>
        <v/>
      </c>
    </row>
    <row r="1533" spans="42:52">
      <c r="AP1533" s="1855">
        <f t="shared" si="289"/>
        <v>44729</v>
      </c>
      <c r="AQ1533" s="925" t="str">
        <f t="shared" si="291"/>
        <v/>
      </c>
      <c r="AR1533" s="1856" t="str">
        <f t="shared" si="290"/>
        <v/>
      </c>
      <c r="AT1533" s="1856" t="str">
        <f t="shared" si="283"/>
        <v/>
      </c>
      <c r="AU1533" s="1856" t="str">
        <f t="shared" si="284"/>
        <v/>
      </c>
      <c r="AV1533" s="1856" t="str">
        <f t="shared" si="285"/>
        <v/>
      </c>
      <c r="AW1533" s="1856" t="str">
        <f t="shared" si="286"/>
        <v/>
      </c>
      <c r="AX1533" s="1856" t="str">
        <f t="shared" si="287"/>
        <v/>
      </c>
      <c r="AY1533" s="1856" t="str">
        <f t="shared" si="288"/>
        <v/>
      </c>
    </row>
    <row r="1534" spans="42:52">
      <c r="AP1534" s="1855">
        <f t="shared" si="289"/>
        <v>44729</v>
      </c>
      <c r="AQ1534" s="925" t="str">
        <f t="shared" si="291"/>
        <v>BMNT</v>
      </c>
      <c r="AR1534" s="1856">
        <f t="shared" si="290"/>
        <v>44729.215277777781</v>
      </c>
      <c r="AS1534" s="927" t="s">
        <v>1948</v>
      </c>
      <c r="AT1534" s="1856" t="str">
        <f t="shared" si="283"/>
        <v/>
      </c>
      <c r="AU1534" s="1856" t="str">
        <f t="shared" si="284"/>
        <v/>
      </c>
      <c r="AV1534" s="1856" t="str">
        <f t="shared" si="285"/>
        <v/>
      </c>
      <c r="AW1534" s="1856" t="str">
        <f t="shared" si="286"/>
        <v/>
      </c>
      <c r="AX1534" s="1856" t="str">
        <f t="shared" si="287"/>
        <v/>
      </c>
      <c r="AY1534" s="1856" t="str">
        <f t="shared" si="288"/>
        <v/>
      </c>
    </row>
    <row r="1535" spans="42:52">
      <c r="AP1535" s="1855">
        <f t="shared" si="289"/>
        <v>44729</v>
      </c>
      <c r="AQ1535" s="925" t="str">
        <f t="shared" si="291"/>
        <v>SR</v>
      </c>
      <c r="AR1535" s="1856">
        <f t="shared" si="290"/>
        <v>44729.26458333333</v>
      </c>
      <c r="AS1535" s="927" t="s">
        <v>1930</v>
      </c>
      <c r="AT1535" s="1856" t="str">
        <f t="shared" si="283"/>
        <v/>
      </c>
      <c r="AU1535" s="1856" t="str">
        <f t="shared" si="284"/>
        <v/>
      </c>
      <c r="AV1535" s="1856" t="str">
        <f t="shared" si="285"/>
        <v/>
      </c>
      <c r="AW1535" s="1856" t="str">
        <f t="shared" si="286"/>
        <v/>
      </c>
      <c r="AX1535" s="1856" t="str">
        <f t="shared" si="287"/>
        <v/>
      </c>
      <c r="AY1535" s="1856" t="str">
        <f t="shared" si="288"/>
        <v/>
      </c>
    </row>
    <row r="1536" spans="42:52">
      <c r="AP1536" s="1855">
        <f t="shared" si="289"/>
        <v>44729</v>
      </c>
      <c r="AQ1536" s="925" t="str">
        <f t="shared" si="291"/>
        <v>MS</v>
      </c>
      <c r="AR1536" s="1856">
        <f t="shared" si="290"/>
        <v>44729.402083333334</v>
      </c>
      <c r="AS1536" s="927" t="s">
        <v>1957</v>
      </c>
      <c r="AT1536" s="1856" t="str">
        <f t="shared" si="283"/>
        <v/>
      </c>
      <c r="AU1536" s="1856" t="str">
        <f t="shared" si="284"/>
        <v/>
      </c>
      <c r="AV1536" s="1856" t="str">
        <f t="shared" si="285"/>
        <v/>
      </c>
      <c r="AW1536" s="1856" t="str">
        <f t="shared" si="286"/>
        <v/>
      </c>
      <c r="AX1536" s="1856" t="str">
        <f t="shared" si="287"/>
        <v/>
      </c>
      <c r="AY1536" s="1856" t="str">
        <f t="shared" si="288"/>
        <v/>
      </c>
    </row>
    <row r="1537" spans="42:52">
      <c r="AP1537" s="1855">
        <f t="shared" si="289"/>
        <v>44729</v>
      </c>
      <c r="AQ1537" s="925" t="str">
        <f t="shared" si="291"/>
        <v>SS</v>
      </c>
      <c r="AR1537" s="1856">
        <f t="shared" si="290"/>
        <v>44729.880555555559</v>
      </c>
      <c r="AS1537" s="927" t="s">
        <v>1954</v>
      </c>
      <c r="AT1537" s="1856" t="str">
        <f t="shared" si="283"/>
        <v/>
      </c>
      <c r="AU1537" s="1856" t="str">
        <f t="shared" si="284"/>
        <v/>
      </c>
      <c r="AV1537" s="1856" t="str">
        <f t="shared" si="285"/>
        <v/>
      </c>
      <c r="AW1537" s="1856" t="str">
        <f t="shared" si="286"/>
        <v/>
      </c>
      <c r="AX1537" s="1856" t="str">
        <f t="shared" si="287"/>
        <v/>
      </c>
      <c r="AY1537" s="1856" t="str">
        <f t="shared" si="288"/>
        <v/>
      </c>
    </row>
    <row r="1538" spans="42:52">
      <c r="AP1538" s="1855">
        <f t="shared" si="289"/>
        <v>44729</v>
      </c>
      <c r="AQ1538" s="925" t="str">
        <f t="shared" si="291"/>
        <v>EENT</v>
      </c>
      <c r="AR1538" s="1856">
        <f t="shared" si="290"/>
        <v>44729.929861111108</v>
      </c>
      <c r="AS1538" s="927" t="s">
        <v>1955</v>
      </c>
      <c r="AT1538" s="1856" t="str">
        <f t="shared" si="283"/>
        <v/>
      </c>
      <c r="AU1538" s="1856" t="str">
        <f t="shared" si="284"/>
        <v/>
      </c>
      <c r="AV1538" s="1856" t="str">
        <f t="shared" si="285"/>
        <v/>
      </c>
      <c r="AW1538" s="1856" t="str">
        <f t="shared" si="286"/>
        <v/>
      </c>
      <c r="AX1538" s="1856" t="str">
        <f t="shared" si="287"/>
        <v/>
      </c>
      <c r="AY1538" s="1856" t="str">
        <f t="shared" si="288"/>
        <v/>
      </c>
    </row>
    <row r="1539" spans="42:52">
      <c r="AP1539" s="1855">
        <f t="shared" si="289"/>
        <v>44729</v>
      </c>
      <c r="AQ1539" s="925" t="str">
        <f t="shared" si="291"/>
        <v>MR</v>
      </c>
      <c r="AR1539" s="1856" t="str">
        <f t="shared" si="290"/>
        <v>NONE</v>
      </c>
      <c r="AS1539" s="927" t="s">
        <v>1153</v>
      </c>
      <c r="AT1539" s="1856" t="str">
        <f t="shared" si="283"/>
        <v/>
      </c>
      <c r="AU1539" s="1856" t="str">
        <f t="shared" si="284"/>
        <v/>
      </c>
      <c r="AV1539" s="1856" t="str">
        <f t="shared" si="285"/>
        <v/>
      </c>
      <c r="AW1539" s="1856" t="str">
        <f t="shared" si="286"/>
        <v/>
      </c>
      <c r="AX1539" s="1856" t="str">
        <f t="shared" si="287"/>
        <v/>
      </c>
      <c r="AY1539" s="1856" t="str">
        <f t="shared" si="288"/>
        <v/>
      </c>
    </row>
    <row r="1540" spans="42:52">
      <c r="AP1540" s="1855">
        <f t="shared" si="289"/>
        <v>44730</v>
      </c>
      <c r="AQ1540" s="925" t="str">
        <f t="shared" si="291"/>
        <v/>
      </c>
      <c r="AR1540" s="1856" t="str">
        <f t="shared" si="290"/>
        <v/>
      </c>
      <c r="AS1540" s="927">
        <v>18</v>
      </c>
      <c r="AT1540" s="1856">
        <f t="shared" si="283"/>
        <v>44730.215972222228</v>
      </c>
      <c r="AU1540" s="1856">
        <f t="shared" si="284"/>
        <v>44730.26458333333</v>
      </c>
      <c r="AV1540" s="1856">
        <f t="shared" si="285"/>
        <v>44730.881249999999</v>
      </c>
      <c r="AW1540" s="1856">
        <f t="shared" si="286"/>
        <v>44730.929861111108</v>
      </c>
      <c r="AX1540" s="1856">
        <f t="shared" si="287"/>
        <v>44730.026388888888</v>
      </c>
      <c r="AY1540" s="1856">
        <f t="shared" si="288"/>
        <v>44730.454166666663</v>
      </c>
      <c r="AZ1540" s="1853">
        <v>0.81</v>
      </c>
    </row>
    <row r="1541" spans="42:52">
      <c r="AP1541" s="1855">
        <f t="shared" si="289"/>
        <v>44730</v>
      </c>
      <c r="AQ1541" s="925" t="str">
        <f t="shared" si="291"/>
        <v/>
      </c>
      <c r="AR1541" s="1856" t="str">
        <f t="shared" si="290"/>
        <v/>
      </c>
      <c r="AS1541" s="927" t="s">
        <v>252</v>
      </c>
      <c r="AT1541" s="1856" t="str">
        <f t="shared" si="283"/>
        <v/>
      </c>
      <c r="AU1541" s="1856" t="str">
        <f t="shared" si="284"/>
        <v/>
      </c>
      <c r="AV1541" s="1856" t="str">
        <f t="shared" si="285"/>
        <v/>
      </c>
      <c r="AW1541" s="1856" t="str">
        <f t="shared" si="286"/>
        <v/>
      </c>
      <c r="AX1541" s="1856" t="str">
        <f t="shared" si="287"/>
        <v/>
      </c>
      <c r="AY1541" s="1856" t="str">
        <f t="shared" si="288"/>
        <v/>
      </c>
    </row>
    <row r="1542" spans="42:52">
      <c r="AP1542" s="1855">
        <f t="shared" si="289"/>
        <v>44730</v>
      </c>
      <c r="AQ1542" s="925" t="str">
        <f t="shared" si="291"/>
        <v/>
      </c>
      <c r="AR1542" s="1856" t="str">
        <f t="shared" si="290"/>
        <v/>
      </c>
      <c r="AT1542" s="1856" t="str">
        <f t="shared" si="283"/>
        <v/>
      </c>
      <c r="AU1542" s="1856" t="str">
        <f t="shared" si="284"/>
        <v/>
      </c>
      <c r="AV1542" s="1856" t="str">
        <f t="shared" si="285"/>
        <v/>
      </c>
      <c r="AW1542" s="1856" t="str">
        <f t="shared" si="286"/>
        <v/>
      </c>
      <c r="AX1542" s="1856" t="str">
        <f t="shared" si="287"/>
        <v/>
      </c>
      <c r="AY1542" s="1856" t="str">
        <f t="shared" si="288"/>
        <v/>
      </c>
    </row>
    <row r="1543" spans="42:52">
      <c r="AP1543" s="1855">
        <f t="shared" si="289"/>
        <v>44730</v>
      </c>
      <c r="AQ1543" s="925" t="str">
        <f t="shared" si="291"/>
        <v>MR</v>
      </c>
      <c r="AR1543" s="1856">
        <f t="shared" si="290"/>
        <v>44730.026388888888</v>
      </c>
      <c r="AS1543" s="927" t="s">
        <v>1958</v>
      </c>
      <c r="AT1543" s="1856" t="str">
        <f t="shared" si="283"/>
        <v/>
      </c>
      <c r="AU1543" s="1856" t="str">
        <f t="shared" si="284"/>
        <v/>
      </c>
      <c r="AV1543" s="1856" t="str">
        <f t="shared" si="285"/>
        <v/>
      </c>
      <c r="AW1543" s="1856" t="str">
        <f t="shared" si="286"/>
        <v/>
      </c>
      <c r="AX1543" s="1856" t="str">
        <f t="shared" si="287"/>
        <v/>
      </c>
      <c r="AY1543" s="1856" t="str">
        <f t="shared" si="288"/>
        <v/>
      </c>
    </row>
    <row r="1544" spans="42:52">
      <c r="AP1544" s="1855">
        <f t="shared" si="289"/>
        <v>44730</v>
      </c>
      <c r="AQ1544" s="925" t="str">
        <f t="shared" si="291"/>
        <v>BMNT</v>
      </c>
      <c r="AR1544" s="1856">
        <f t="shared" si="290"/>
        <v>44730.215972222228</v>
      </c>
      <c r="AS1544" s="927" t="s">
        <v>1929</v>
      </c>
      <c r="AT1544" s="1856" t="str">
        <f t="shared" si="283"/>
        <v/>
      </c>
      <c r="AU1544" s="1856" t="str">
        <f t="shared" si="284"/>
        <v/>
      </c>
      <c r="AV1544" s="1856" t="str">
        <f t="shared" si="285"/>
        <v/>
      </c>
      <c r="AW1544" s="1856" t="str">
        <f t="shared" si="286"/>
        <v/>
      </c>
      <c r="AX1544" s="1856" t="str">
        <f t="shared" si="287"/>
        <v/>
      </c>
      <c r="AY1544" s="1856" t="str">
        <f t="shared" si="288"/>
        <v/>
      </c>
    </row>
    <row r="1545" spans="42:52">
      <c r="AP1545" s="1855">
        <f t="shared" si="289"/>
        <v>44730</v>
      </c>
      <c r="AQ1545" s="925" t="str">
        <f t="shared" si="291"/>
        <v>SR</v>
      </c>
      <c r="AR1545" s="1856">
        <f t="shared" si="290"/>
        <v>44730.26458333333</v>
      </c>
      <c r="AS1545" s="927" t="s">
        <v>1930</v>
      </c>
      <c r="AT1545" s="1856" t="str">
        <f t="shared" si="283"/>
        <v/>
      </c>
      <c r="AU1545" s="1856" t="str">
        <f t="shared" si="284"/>
        <v/>
      </c>
      <c r="AV1545" s="1856" t="str">
        <f t="shared" si="285"/>
        <v/>
      </c>
      <c r="AW1545" s="1856" t="str">
        <f t="shared" si="286"/>
        <v/>
      </c>
      <c r="AX1545" s="1856" t="str">
        <f t="shared" si="287"/>
        <v/>
      </c>
      <c r="AY1545" s="1856" t="str">
        <f t="shared" si="288"/>
        <v/>
      </c>
    </row>
    <row r="1546" spans="42:52">
      <c r="AP1546" s="1855">
        <f t="shared" si="289"/>
        <v>44730</v>
      </c>
      <c r="AQ1546" s="925" t="str">
        <f t="shared" si="291"/>
        <v>MS</v>
      </c>
      <c r="AR1546" s="1856">
        <f t="shared" si="290"/>
        <v>44730.454166666663</v>
      </c>
      <c r="AS1546" s="927" t="s">
        <v>1959</v>
      </c>
      <c r="AT1546" s="1856" t="str">
        <f t="shared" si="283"/>
        <v/>
      </c>
      <c r="AU1546" s="1856" t="str">
        <f t="shared" si="284"/>
        <v/>
      </c>
      <c r="AV1546" s="1856" t="str">
        <f t="shared" si="285"/>
        <v/>
      </c>
      <c r="AW1546" s="1856" t="str">
        <f t="shared" si="286"/>
        <v/>
      </c>
      <c r="AX1546" s="1856" t="str">
        <f t="shared" si="287"/>
        <v/>
      </c>
      <c r="AY1546" s="1856" t="str">
        <f t="shared" si="288"/>
        <v/>
      </c>
    </row>
    <row r="1547" spans="42:52">
      <c r="AP1547" s="1855">
        <f t="shared" si="289"/>
        <v>44730</v>
      </c>
      <c r="AQ1547" s="925" t="str">
        <f t="shared" si="291"/>
        <v>SS</v>
      </c>
      <c r="AR1547" s="1856">
        <f t="shared" si="290"/>
        <v>44730.881249999999</v>
      </c>
      <c r="AS1547" s="927" t="s">
        <v>1960</v>
      </c>
      <c r="AT1547" s="1856" t="str">
        <f t="shared" si="283"/>
        <v/>
      </c>
      <c r="AU1547" s="1856" t="str">
        <f t="shared" si="284"/>
        <v/>
      </c>
      <c r="AV1547" s="1856" t="str">
        <f t="shared" si="285"/>
        <v/>
      </c>
      <c r="AW1547" s="1856" t="str">
        <f t="shared" si="286"/>
        <v/>
      </c>
      <c r="AX1547" s="1856" t="str">
        <f t="shared" si="287"/>
        <v/>
      </c>
      <c r="AY1547" s="1856" t="str">
        <f t="shared" si="288"/>
        <v/>
      </c>
    </row>
    <row r="1548" spans="42:52">
      <c r="AP1548" s="1855">
        <f t="shared" si="289"/>
        <v>44730</v>
      </c>
      <c r="AQ1548" s="925" t="str">
        <f t="shared" si="291"/>
        <v>EENT</v>
      </c>
      <c r="AR1548" s="1856">
        <f t="shared" si="290"/>
        <v>44730.929861111108</v>
      </c>
      <c r="AS1548" s="927" t="s">
        <v>1955</v>
      </c>
      <c r="AT1548" s="1856" t="str">
        <f t="shared" si="283"/>
        <v/>
      </c>
      <c r="AU1548" s="1856" t="str">
        <f t="shared" si="284"/>
        <v/>
      </c>
      <c r="AV1548" s="1856" t="str">
        <f t="shared" si="285"/>
        <v/>
      </c>
      <c r="AW1548" s="1856" t="str">
        <f t="shared" si="286"/>
        <v/>
      </c>
      <c r="AX1548" s="1856" t="str">
        <f t="shared" si="287"/>
        <v/>
      </c>
      <c r="AY1548" s="1856" t="str">
        <f t="shared" si="288"/>
        <v/>
      </c>
    </row>
    <row r="1549" spans="42:52">
      <c r="AP1549" s="1855">
        <f t="shared" si="289"/>
        <v>44731</v>
      </c>
      <c r="AQ1549" s="925" t="str">
        <f t="shared" si="291"/>
        <v/>
      </c>
      <c r="AR1549" s="1856" t="str">
        <f t="shared" si="290"/>
        <v/>
      </c>
      <c r="AS1549" s="927">
        <v>19</v>
      </c>
      <c r="AT1549" s="1856">
        <f t="shared" si="283"/>
        <v>44731.215972222228</v>
      </c>
      <c r="AU1549" s="1856">
        <f t="shared" si="284"/>
        <v>44731.26458333333</v>
      </c>
      <c r="AV1549" s="1856">
        <f t="shared" si="285"/>
        <v>44731.881249999999</v>
      </c>
      <c r="AW1549" s="1856">
        <f t="shared" si="286"/>
        <v>44731.930555555555</v>
      </c>
      <c r="AX1549" s="1856">
        <f t="shared" si="287"/>
        <v>44731.050694444442</v>
      </c>
      <c r="AY1549" s="1856">
        <f t="shared" si="288"/>
        <v>44731.504166666666</v>
      </c>
      <c r="AZ1549" s="1853">
        <v>0.71</v>
      </c>
    </row>
    <row r="1550" spans="42:52">
      <c r="AP1550" s="1855">
        <f t="shared" si="289"/>
        <v>44731</v>
      </c>
      <c r="AQ1550" s="925" t="str">
        <f t="shared" si="291"/>
        <v/>
      </c>
      <c r="AR1550" s="1856" t="str">
        <f t="shared" si="290"/>
        <v/>
      </c>
      <c r="AS1550" s="927" t="s">
        <v>252</v>
      </c>
      <c r="AT1550" s="1856" t="str">
        <f t="shared" si="283"/>
        <v/>
      </c>
      <c r="AU1550" s="1856" t="str">
        <f t="shared" si="284"/>
        <v/>
      </c>
      <c r="AV1550" s="1856" t="str">
        <f t="shared" si="285"/>
        <v/>
      </c>
      <c r="AW1550" s="1856" t="str">
        <f t="shared" si="286"/>
        <v/>
      </c>
      <c r="AX1550" s="1856" t="str">
        <f t="shared" si="287"/>
        <v/>
      </c>
      <c r="AY1550" s="1856" t="str">
        <f t="shared" si="288"/>
        <v/>
      </c>
    </row>
    <row r="1551" spans="42:52">
      <c r="AP1551" s="1855">
        <f t="shared" si="289"/>
        <v>44731</v>
      </c>
      <c r="AQ1551" s="925" t="str">
        <f t="shared" si="291"/>
        <v/>
      </c>
      <c r="AR1551" s="1856" t="str">
        <f t="shared" si="290"/>
        <v/>
      </c>
      <c r="AT1551" s="1856" t="str">
        <f t="shared" si="283"/>
        <v/>
      </c>
      <c r="AU1551" s="1856" t="str">
        <f t="shared" si="284"/>
        <v/>
      </c>
      <c r="AV1551" s="1856" t="str">
        <f t="shared" si="285"/>
        <v/>
      </c>
      <c r="AW1551" s="1856" t="str">
        <f t="shared" si="286"/>
        <v/>
      </c>
      <c r="AX1551" s="1856" t="str">
        <f t="shared" si="287"/>
        <v/>
      </c>
      <c r="AY1551" s="1856" t="str">
        <f t="shared" si="288"/>
        <v/>
      </c>
    </row>
    <row r="1552" spans="42:52">
      <c r="AP1552" s="1855">
        <f t="shared" si="289"/>
        <v>44731</v>
      </c>
      <c r="AQ1552" s="925" t="str">
        <f t="shared" si="291"/>
        <v>MR</v>
      </c>
      <c r="AR1552" s="1856">
        <f t="shared" si="290"/>
        <v>44731.050694444442</v>
      </c>
      <c r="AS1552" s="927" t="s">
        <v>1556</v>
      </c>
      <c r="AT1552" s="1856" t="str">
        <f t="shared" si="283"/>
        <v/>
      </c>
      <c r="AU1552" s="1856" t="str">
        <f t="shared" si="284"/>
        <v/>
      </c>
      <c r="AV1552" s="1856" t="str">
        <f t="shared" si="285"/>
        <v/>
      </c>
      <c r="AW1552" s="1856" t="str">
        <f t="shared" si="286"/>
        <v/>
      </c>
      <c r="AX1552" s="1856" t="str">
        <f t="shared" si="287"/>
        <v/>
      </c>
      <c r="AY1552" s="1856" t="str">
        <f t="shared" si="288"/>
        <v/>
      </c>
    </row>
    <row r="1553" spans="42:52">
      <c r="AP1553" s="1855">
        <f t="shared" si="289"/>
        <v>44731</v>
      </c>
      <c r="AQ1553" s="925" t="str">
        <f t="shared" si="291"/>
        <v>BMNT</v>
      </c>
      <c r="AR1553" s="1856">
        <f t="shared" si="290"/>
        <v>44731.215972222228</v>
      </c>
      <c r="AS1553" s="927" t="s">
        <v>1929</v>
      </c>
      <c r="AT1553" s="1856" t="str">
        <f t="shared" si="283"/>
        <v/>
      </c>
      <c r="AU1553" s="1856" t="str">
        <f t="shared" si="284"/>
        <v/>
      </c>
      <c r="AV1553" s="1856" t="str">
        <f t="shared" si="285"/>
        <v/>
      </c>
      <c r="AW1553" s="1856" t="str">
        <f t="shared" si="286"/>
        <v/>
      </c>
      <c r="AX1553" s="1856" t="str">
        <f t="shared" si="287"/>
        <v/>
      </c>
      <c r="AY1553" s="1856" t="str">
        <f t="shared" si="288"/>
        <v/>
      </c>
    </row>
    <row r="1554" spans="42:52">
      <c r="AP1554" s="1855">
        <f t="shared" si="289"/>
        <v>44731</v>
      </c>
      <c r="AQ1554" s="925" t="str">
        <f t="shared" si="291"/>
        <v>SR</v>
      </c>
      <c r="AR1554" s="1856">
        <f t="shared" si="290"/>
        <v>44731.26458333333</v>
      </c>
      <c r="AS1554" s="927" t="s">
        <v>1930</v>
      </c>
      <c r="AT1554" s="1856" t="str">
        <f t="shared" si="283"/>
        <v/>
      </c>
      <c r="AU1554" s="1856" t="str">
        <f t="shared" si="284"/>
        <v/>
      </c>
      <c r="AV1554" s="1856" t="str">
        <f t="shared" si="285"/>
        <v/>
      </c>
      <c r="AW1554" s="1856" t="str">
        <f t="shared" si="286"/>
        <v/>
      </c>
      <c r="AX1554" s="1856" t="str">
        <f t="shared" si="287"/>
        <v/>
      </c>
      <c r="AY1554" s="1856" t="str">
        <f t="shared" si="288"/>
        <v/>
      </c>
    </row>
    <row r="1555" spans="42:52">
      <c r="AP1555" s="1855">
        <f t="shared" si="289"/>
        <v>44731</v>
      </c>
      <c r="AQ1555" s="925" t="str">
        <f t="shared" si="291"/>
        <v>MS</v>
      </c>
      <c r="AR1555" s="1856">
        <f t="shared" si="290"/>
        <v>44731.504166666666</v>
      </c>
      <c r="AS1555" s="927" t="s">
        <v>1961</v>
      </c>
      <c r="AT1555" s="1856" t="str">
        <f t="shared" si="283"/>
        <v/>
      </c>
      <c r="AU1555" s="1856" t="str">
        <f t="shared" si="284"/>
        <v/>
      </c>
      <c r="AV1555" s="1856" t="str">
        <f t="shared" si="285"/>
        <v/>
      </c>
      <c r="AW1555" s="1856" t="str">
        <f t="shared" si="286"/>
        <v/>
      </c>
      <c r="AX1555" s="1856" t="str">
        <f t="shared" si="287"/>
        <v/>
      </c>
      <c r="AY1555" s="1856" t="str">
        <f t="shared" si="288"/>
        <v/>
      </c>
    </row>
    <row r="1556" spans="42:52">
      <c r="AP1556" s="1855">
        <f t="shared" si="289"/>
        <v>44731</v>
      </c>
      <c r="AQ1556" s="925" t="str">
        <f t="shared" si="291"/>
        <v>SS</v>
      </c>
      <c r="AR1556" s="1856">
        <f t="shared" si="290"/>
        <v>44731.881249999999</v>
      </c>
      <c r="AS1556" s="927" t="s">
        <v>1960</v>
      </c>
      <c r="AT1556" s="1856" t="str">
        <f t="shared" si="283"/>
        <v/>
      </c>
      <c r="AU1556" s="1856" t="str">
        <f t="shared" si="284"/>
        <v/>
      </c>
      <c r="AV1556" s="1856" t="str">
        <f t="shared" si="285"/>
        <v/>
      </c>
      <c r="AW1556" s="1856" t="str">
        <f t="shared" si="286"/>
        <v/>
      </c>
      <c r="AX1556" s="1856" t="str">
        <f t="shared" si="287"/>
        <v/>
      </c>
      <c r="AY1556" s="1856" t="str">
        <f t="shared" si="288"/>
        <v/>
      </c>
    </row>
    <row r="1557" spans="42:52">
      <c r="AP1557" s="1855">
        <f t="shared" si="289"/>
        <v>44731</v>
      </c>
      <c r="AQ1557" s="925" t="str">
        <f t="shared" si="291"/>
        <v>EENT</v>
      </c>
      <c r="AR1557" s="1856">
        <f t="shared" si="290"/>
        <v>44731.930555555555</v>
      </c>
      <c r="AS1557" s="927" t="s">
        <v>1962</v>
      </c>
      <c r="AT1557" s="1856" t="str">
        <f t="shared" si="283"/>
        <v/>
      </c>
      <c r="AU1557" s="1856" t="str">
        <f t="shared" si="284"/>
        <v/>
      </c>
      <c r="AV1557" s="1856" t="str">
        <f t="shared" si="285"/>
        <v/>
      </c>
      <c r="AW1557" s="1856" t="str">
        <f t="shared" si="286"/>
        <v/>
      </c>
      <c r="AX1557" s="1856" t="str">
        <f t="shared" si="287"/>
        <v/>
      </c>
      <c r="AY1557" s="1856" t="str">
        <f t="shared" si="288"/>
        <v/>
      </c>
    </row>
    <row r="1558" spans="42:52">
      <c r="AP1558" s="1855">
        <f t="shared" si="289"/>
        <v>44732</v>
      </c>
      <c r="AQ1558" s="925" t="str">
        <f t="shared" si="291"/>
        <v/>
      </c>
      <c r="AR1558" s="1856" t="str">
        <f t="shared" si="290"/>
        <v/>
      </c>
      <c r="AS1558" s="927">
        <v>20</v>
      </c>
      <c r="AT1558" s="1856">
        <f t="shared" si="283"/>
        <v>44732.215972222228</v>
      </c>
      <c r="AU1558" s="1856">
        <f t="shared" si="284"/>
        <v>44732.265277777777</v>
      </c>
      <c r="AV1558" s="1856">
        <f t="shared" si="285"/>
        <v>44732.881249999999</v>
      </c>
      <c r="AW1558" s="1856">
        <f t="shared" si="286"/>
        <v>44732.930555555555</v>
      </c>
      <c r="AX1558" s="1856">
        <f t="shared" si="287"/>
        <v>44732.071527777778</v>
      </c>
      <c r="AY1558" s="1856">
        <f t="shared" si="288"/>
        <v>44732.551388888889</v>
      </c>
      <c r="AZ1558" s="1853">
        <v>0.6</v>
      </c>
    </row>
    <row r="1559" spans="42:52">
      <c r="AP1559" s="1855">
        <f t="shared" si="289"/>
        <v>44732</v>
      </c>
      <c r="AQ1559" s="925" t="str">
        <f t="shared" si="291"/>
        <v/>
      </c>
      <c r="AR1559" s="1856" t="str">
        <f t="shared" si="290"/>
        <v/>
      </c>
      <c r="AS1559" s="927" t="s">
        <v>252</v>
      </c>
      <c r="AT1559" s="1856" t="str">
        <f t="shared" si="283"/>
        <v/>
      </c>
      <c r="AU1559" s="1856" t="str">
        <f t="shared" si="284"/>
        <v/>
      </c>
      <c r="AV1559" s="1856" t="str">
        <f t="shared" si="285"/>
        <v/>
      </c>
      <c r="AW1559" s="1856" t="str">
        <f t="shared" si="286"/>
        <v/>
      </c>
      <c r="AX1559" s="1856" t="str">
        <f t="shared" si="287"/>
        <v/>
      </c>
      <c r="AY1559" s="1856" t="str">
        <f t="shared" si="288"/>
        <v/>
      </c>
    </row>
    <row r="1560" spans="42:52">
      <c r="AP1560" s="1855">
        <f t="shared" si="289"/>
        <v>44732</v>
      </c>
      <c r="AQ1560" s="925" t="str">
        <f t="shared" si="291"/>
        <v/>
      </c>
      <c r="AR1560" s="1856" t="str">
        <f t="shared" si="290"/>
        <v/>
      </c>
      <c r="AT1560" s="1856" t="str">
        <f t="shared" si="283"/>
        <v/>
      </c>
      <c r="AU1560" s="1856" t="str">
        <f t="shared" si="284"/>
        <v/>
      </c>
      <c r="AV1560" s="1856" t="str">
        <f t="shared" si="285"/>
        <v/>
      </c>
      <c r="AW1560" s="1856" t="str">
        <f t="shared" si="286"/>
        <v/>
      </c>
      <c r="AX1560" s="1856" t="str">
        <f t="shared" si="287"/>
        <v/>
      </c>
      <c r="AY1560" s="1856" t="str">
        <f t="shared" si="288"/>
        <v/>
      </c>
    </row>
    <row r="1561" spans="42:52">
      <c r="AP1561" s="1855">
        <f t="shared" si="289"/>
        <v>44732</v>
      </c>
      <c r="AQ1561" s="925" t="str">
        <f t="shared" si="291"/>
        <v>MR</v>
      </c>
      <c r="AR1561" s="1856">
        <f t="shared" si="290"/>
        <v>44732.071527777778</v>
      </c>
      <c r="AS1561" s="927" t="s">
        <v>1963</v>
      </c>
      <c r="AT1561" s="1856" t="str">
        <f t="shared" si="283"/>
        <v/>
      </c>
      <c r="AU1561" s="1856" t="str">
        <f t="shared" si="284"/>
        <v/>
      </c>
      <c r="AV1561" s="1856" t="str">
        <f t="shared" si="285"/>
        <v/>
      </c>
      <c r="AW1561" s="1856" t="str">
        <f t="shared" si="286"/>
        <v/>
      </c>
      <c r="AX1561" s="1856" t="str">
        <f t="shared" si="287"/>
        <v/>
      </c>
      <c r="AY1561" s="1856" t="str">
        <f t="shared" si="288"/>
        <v/>
      </c>
    </row>
    <row r="1562" spans="42:52">
      <c r="AP1562" s="1855">
        <f t="shared" si="289"/>
        <v>44732</v>
      </c>
      <c r="AQ1562" s="925" t="str">
        <f t="shared" si="291"/>
        <v>BMNT</v>
      </c>
      <c r="AR1562" s="1856">
        <f t="shared" si="290"/>
        <v>44732.215972222228</v>
      </c>
      <c r="AS1562" s="927" t="s">
        <v>1929</v>
      </c>
      <c r="AT1562" s="1856" t="str">
        <f t="shared" si="283"/>
        <v/>
      </c>
      <c r="AU1562" s="1856" t="str">
        <f t="shared" si="284"/>
        <v/>
      </c>
      <c r="AV1562" s="1856" t="str">
        <f t="shared" si="285"/>
        <v/>
      </c>
      <c r="AW1562" s="1856" t="str">
        <f t="shared" si="286"/>
        <v/>
      </c>
      <c r="AX1562" s="1856" t="str">
        <f t="shared" si="287"/>
        <v/>
      </c>
      <c r="AY1562" s="1856" t="str">
        <f t="shared" si="288"/>
        <v/>
      </c>
    </row>
    <row r="1563" spans="42:52">
      <c r="AP1563" s="1855">
        <f t="shared" si="289"/>
        <v>44732</v>
      </c>
      <c r="AQ1563" s="925" t="str">
        <f t="shared" si="291"/>
        <v>SR</v>
      </c>
      <c r="AR1563" s="1856">
        <f t="shared" si="290"/>
        <v>44732.265277777777</v>
      </c>
      <c r="AS1563" s="927" t="s">
        <v>1913</v>
      </c>
      <c r="AT1563" s="1856" t="str">
        <f t="shared" si="283"/>
        <v/>
      </c>
      <c r="AU1563" s="1856" t="str">
        <f t="shared" si="284"/>
        <v/>
      </c>
      <c r="AV1563" s="1856" t="str">
        <f t="shared" si="285"/>
        <v/>
      </c>
      <c r="AW1563" s="1856" t="str">
        <f t="shared" si="286"/>
        <v/>
      </c>
      <c r="AX1563" s="1856" t="str">
        <f t="shared" si="287"/>
        <v/>
      </c>
      <c r="AY1563" s="1856" t="str">
        <f t="shared" si="288"/>
        <v/>
      </c>
    </row>
    <row r="1564" spans="42:52">
      <c r="AP1564" s="1855">
        <f t="shared" si="289"/>
        <v>44732</v>
      </c>
      <c r="AQ1564" s="925" t="str">
        <f t="shared" si="291"/>
        <v>MS</v>
      </c>
      <c r="AR1564" s="1856">
        <f t="shared" si="290"/>
        <v>44732.551388888889</v>
      </c>
      <c r="AS1564" s="927" t="s">
        <v>1964</v>
      </c>
      <c r="AT1564" s="1856" t="str">
        <f t="shared" ref="AT1564:AT1627" si="292">IF(ISNUMBER(AS1564),INDEX(AR1565:AR1575,MATCH($AT$27,AQ1565:AQ1575,0)),"")</f>
        <v/>
      </c>
      <c r="AU1564" s="1856" t="str">
        <f t="shared" ref="AU1564:AU1627" si="293">IF(AT1564="","",INDEX(AR1565:AR1575,MATCH($AU$27,AQ1565:AQ1575,0)))</f>
        <v/>
      </c>
      <c r="AV1564" s="1856" t="str">
        <f t="shared" ref="AV1564:AV1627" si="294">IF(AT1564="","",INDEX(AR1565:AR1575,MATCH($AV$27,AQ1565:AQ1575,0)))</f>
        <v/>
      </c>
      <c r="AW1564" s="1856" t="str">
        <f t="shared" ref="AW1564:AW1627" si="295">IF(AT1564="","",INDEX(AR1565:AR1575,MATCH($AW$27,AQ1565:AQ1575,0)))</f>
        <v/>
      </c>
      <c r="AX1564" s="1856" t="str">
        <f t="shared" ref="AX1564:AX1627" si="296">IF(AT1564="","",INDEX(AR1565:AR1575,MATCH($AX$27,AQ1565:AQ1575,0)))</f>
        <v/>
      </c>
      <c r="AY1564" s="1856" t="str">
        <f t="shared" ref="AY1564:AY1627" si="297">IF(AT1564="","",INDEX(AR1565:AR1575,MATCH($AY$27,AQ1565:AQ1575,0)))</f>
        <v/>
      </c>
    </row>
    <row r="1565" spans="42:52">
      <c r="AP1565" s="1855">
        <f t="shared" si="289"/>
        <v>44732</v>
      </c>
      <c r="AQ1565" s="925" t="str">
        <f t="shared" si="291"/>
        <v>SS</v>
      </c>
      <c r="AR1565" s="1856">
        <f t="shared" si="290"/>
        <v>44732.881249999999</v>
      </c>
      <c r="AS1565" s="927" t="s">
        <v>1960</v>
      </c>
      <c r="AT1565" s="1856" t="str">
        <f t="shared" si="292"/>
        <v/>
      </c>
      <c r="AU1565" s="1856" t="str">
        <f t="shared" si="293"/>
        <v/>
      </c>
      <c r="AV1565" s="1856" t="str">
        <f t="shared" si="294"/>
        <v/>
      </c>
      <c r="AW1565" s="1856" t="str">
        <f t="shared" si="295"/>
        <v/>
      </c>
      <c r="AX1565" s="1856" t="str">
        <f t="shared" si="296"/>
        <v/>
      </c>
      <c r="AY1565" s="1856" t="str">
        <f t="shared" si="297"/>
        <v/>
      </c>
    </row>
    <row r="1566" spans="42:52">
      <c r="AP1566" s="1855">
        <f t="shared" si="289"/>
        <v>44732</v>
      </c>
      <c r="AQ1566" s="925" t="str">
        <f t="shared" si="291"/>
        <v>EENT</v>
      </c>
      <c r="AR1566" s="1856">
        <f t="shared" si="290"/>
        <v>44732.930555555555</v>
      </c>
      <c r="AS1566" s="927" t="s">
        <v>1962</v>
      </c>
      <c r="AT1566" s="1856" t="str">
        <f t="shared" si="292"/>
        <v/>
      </c>
      <c r="AU1566" s="1856" t="str">
        <f t="shared" si="293"/>
        <v/>
      </c>
      <c r="AV1566" s="1856" t="str">
        <f t="shared" si="294"/>
        <v/>
      </c>
      <c r="AW1566" s="1856" t="str">
        <f t="shared" si="295"/>
        <v/>
      </c>
      <c r="AX1566" s="1856" t="str">
        <f t="shared" si="296"/>
        <v/>
      </c>
      <c r="AY1566" s="1856" t="str">
        <f t="shared" si="297"/>
        <v/>
      </c>
    </row>
    <row r="1567" spans="42:52">
      <c r="AP1567" s="1855">
        <f t="shared" si="289"/>
        <v>44733</v>
      </c>
      <c r="AQ1567" s="925" t="str">
        <f t="shared" si="291"/>
        <v/>
      </c>
      <c r="AR1567" s="1856" t="str">
        <f t="shared" si="290"/>
        <v/>
      </c>
      <c r="AS1567" s="927">
        <v>21</v>
      </c>
      <c r="AT1567" s="1856">
        <f t="shared" si="292"/>
        <v>44733.215972222228</v>
      </c>
      <c r="AU1567" s="1856">
        <f t="shared" si="293"/>
        <v>44733.265277777777</v>
      </c>
      <c r="AV1567" s="1856">
        <f t="shared" si="294"/>
        <v>44733.881249999999</v>
      </c>
      <c r="AW1567" s="1856">
        <f t="shared" si="295"/>
        <v>44733.930555555555</v>
      </c>
      <c r="AX1567" s="1856">
        <f t="shared" si="296"/>
        <v>44733.089583333334</v>
      </c>
      <c r="AY1567" s="1856">
        <f t="shared" si="297"/>
        <v>44733.59652777778</v>
      </c>
      <c r="AZ1567" s="1853">
        <v>0.49</v>
      </c>
    </row>
    <row r="1568" spans="42:52">
      <c r="AP1568" s="1855">
        <f t="shared" si="289"/>
        <v>44733</v>
      </c>
      <c r="AQ1568" s="925" t="str">
        <f t="shared" si="291"/>
        <v/>
      </c>
      <c r="AR1568" s="1856" t="str">
        <f t="shared" si="290"/>
        <v/>
      </c>
      <c r="AS1568" s="927" t="s">
        <v>252</v>
      </c>
      <c r="AT1568" s="1856" t="str">
        <f t="shared" si="292"/>
        <v/>
      </c>
      <c r="AU1568" s="1856" t="str">
        <f t="shared" si="293"/>
        <v/>
      </c>
      <c r="AV1568" s="1856" t="str">
        <f t="shared" si="294"/>
        <v/>
      </c>
      <c r="AW1568" s="1856" t="str">
        <f t="shared" si="295"/>
        <v/>
      </c>
      <c r="AX1568" s="1856" t="str">
        <f t="shared" si="296"/>
        <v/>
      </c>
      <c r="AY1568" s="1856" t="str">
        <f t="shared" si="297"/>
        <v/>
      </c>
    </row>
    <row r="1569" spans="42:52">
      <c r="AP1569" s="1855">
        <f t="shared" si="289"/>
        <v>44733</v>
      </c>
      <c r="AQ1569" s="925" t="str">
        <f t="shared" si="291"/>
        <v/>
      </c>
      <c r="AR1569" s="1856" t="str">
        <f t="shared" si="290"/>
        <v/>
      </c>
      <c r="AT1569" s="1856" t="str">
        <f t="shared" si="292"/>
        <v/>
      </c>
      <c r="AU1569" s="1856" t="str">
        <f t="shared" si="293"/>
        <v/>
      </c>
      <c r="AV1569" s="1856" t="str">
        <f t="shared" si="294"/>
        <v/>
      </c>
      <c r="AW1569" s="1856" t="str">
        <f t="shared" si="295"/>
        <v/>
      </c>
      <c r="AX1569" s="1856" t="str">
        <f t="shared" si="296"/>
        <v/>
      </c>
      <c r="AY1569" s="1856" t="str">
        <f t="shared" si="297"/>
        <v/>
      </c>
    </row>
    <row r="1570" spans="42:52">
      <c r="AP1570" s="1855">
        <f t="shared" si="289"/>
        <v>44733</v>
      </c>
      <c r="AQ1570" s="925" t="str">
        <f t="shared" si="291"/>
        <v>MR</v>
      </c>
      <c r="AR1570" s="1856">
        <f t="shared" si="290"/>
        <v>44733.089583333334</v>
      </c>
      <c r="AS1570" s="927" t="s">
        <v>1965</v>
      </c>
      <c r="AT1570" s="1856" t="str">
        <f t="shared" si="292"/>
        <v/>
      </c>
      <c r="AU1570" s="1856" t="str">
        <f t="shared" si="293"/>
        <v/>
      </c>
      <c r="AV1570" s="1856" t="str">
        <f t="shared" si="294"/>
        <v/>
      </c>
      <c r="AW1570" s="1856" t="str">
        <f t="shared" si="295"/>
        <v/>
      </c>
      <c r="AX1570" s="1856" t="str">
        <f t="shared" si="296"/>
        <v/>
      </c>
      <c r="AY1570" s="1856" t="str">
        <f t="shared" si="297"/>
        <v/>
      </c>
    </row>
    <row r="1571" spans="42:52">
      <c r="AP1571" s="1855">
        <f t="shared" si="289"/>
        <v>44733</v>
      </c>
      <c r="AQ1571" s="925" t="str">
        <f t="shared" si="291"/>
        <v>BMNT</v>
      </c>
      <c r="AR1571" s="1856">
        <f t="shared" si="290"/>
        <v>44733.215972222228</v>
      </c>
      <c r="AS1571" s="927" t="s">
        <v>1929</v>
      </c>
      <c r="AT1571" s="1856" t="str">
        <f t="shared" si="292"/>
        <v/>
      </c>
      <c r="AU1571" s="1856" t="str">
        <f t="shared" si="293"/>
        <v/>
      </c>
      <c r="AV1571" s="1856" t="str">
        <f t="shared" si="294"/>
        <v/>
      </c>
      <c r="AW1571" s="1856" t="str">
        <f t="shared" si="295"/>
        <v/>
      </c>
      <c r="AX1571" s="1856" t="str">
        <f t="shared" si="296"/>
        <v/>
      </c>
      <c r="AY1571" s="1856" t="str">
        <f t="shared" si="297"/>
        <v/>
      </c>
    </row>
    <row r="1572" spans="42:52">
      <c r="AP1572" s="1855">
        <f t="shared" si="289"/>
        <v>44733</v>
      </c>
      <c r="AQ1572" s="925" t="str">
        <f t="shared" si="291"/>
        <v>SR</v>
      </c>
      <c r="AR1572" s="1856">
        <f t="shared" si="290"/>
        <v>44733.265277777777</v>
      </c>
      <c r="AS1572" s="927" t="s">
        <v>1913</v>
      </c>
      <c r="AT1572" s="1856" t="str">
        <f t="shared" si="292"/>
        <v/>
      </c>
      <c r="AU1572" s="1856" t="str">
        <f t="shared" si="293"/>
        <v/>
      </c>
      <c r="AV1572" s="1856" t="str">
        <f t="shared" si="294"/>
        <v/>
      </c>
      <c r="AW1572" s="1856" t="str">
        <f t="shared" si="295"/>
        <v/>
      </c>
      <c r="AX1572" s="1856" t="str">
        <f t="shared" si="296"/>
        <v/>
      </c>
      <c r="AY1572" s="1856" t="str">
        <f t="shared" si="297"/>
        <v/>
      </c>
    </row>
    <row r="1573" spans="42:52">
      <c r="AP1573" s="1855">
        <f t="shared" ref="AP1573:AP1636" si="298">IF(ISNUMBER(AS1573),AP1572+1,AP1572)</f>
        <v>44733</v>
      </c>
      <c r="AQ1573" s="925" t="str">
        <f t="shared" si="291"/>
        <v>MS</v>
      </c>
      <c r="AR1573" s="1856">
        <f t="shared" si="290"/>
        <v>44733.59652777778</v>
      </c>
      <c r="AS1573" s="927" t="s">
        <v>1966</v>
      </c>
      <c r="AT1573" s="1856" t="str">
        <f t="shared" si="292"/>
        <v/>
      </c>
      <c r="AU1573" s="1856" t="str">
        <f t="shared" si="293"/>
        <v/>
      </c>
      <c r="AV1573" s="1856" t="str">
        <f t="shared" si="294"/>
        <v/>
      </c>
      <c r="AW1573" s="1856" t="str">
        <f t="shared" si="295"/>
        <v/>
      </c>
      <c r="AX1573" s="1856" t="str">
        <f t="shared" si="296"/>
        <v/>
      </c>
      <c r="AY1573" s="1856" t="str">
        <f t="shared" si="297"/>
        <v/>
      </c>
    </row>
    <row r="1574" spans="42:52">
      <c r="AP1574" s="1855">
        <f t="shared" si="298"/>
        <v>44733</v>
      </c>
      <c r="AQ1574" s="925" t="str">
        <f t="shared" si="291"/>
        <v>SS</v>
      </c>
      <c r="AR1574" s="1856">
        <f t="shared" si="290"/>
        <v>44733.881249999999</v>
      </c>
      <c r="AS1574" s="927" t="s">
        <v>1960</v>
      </c>
      <c r="AT1574" s="1856" t="str">
        <f t="shared" si="292"/>
        <v/>
      </c>
      <c r="AU1574" s="1856" t="str">
        <f t="shared" si="293"/>
        <v/>
      </c>
      <c r="AV1574" s="1856" t="str">
        <f t="shared" si="294"/>
        <v/>
      </c>
      <c r="AW1574" s="1856" t="str">
        <f t="shared" si="295"/>
        <v/>
      </c>
      <c r="AX1574" s="1856" t="str">
        <f t="shared" si="296"/>
        <v/>
      </c>
      <c r="AY1574" s="1856" t="str">
        <f t="shared" si="297"/>
        <v/>
      </c>
    </row>
    <row r="1575" spans="42:52">
      <c r="AP1575" s="1855">
        <f t="shared" si="298"/>
        <v>44733</v>
      </c>
      <c r="AQ1575" s="925" t="str">
        <f t="shared" si="291"/>
        <v>EENT</v>
      </c>
      <c r="AR1575" s="1856">
        <f t="shared" si="290"/>
        <v>44733.930555555555</v>
      </c>
      <c r="AS1575" s="927" t="s">
        <v>1962</v>
      </c>
      <c r="AT1575" s="1856" t="str">
        <f t="shared" si="292"/>
        <v/>
      </c>
      <c r="AU1575" s="1856" t="str">
        <f t="shared" si="293"/>
        <v/>
      </c>
      <c r="AV1575" s="1856" t="str">
        <f t="shared" si="294"/>
        <v/>
      </c>
      <c r="AW1575" s="1856" t="str">
        <f t="shared" si="295"/>
        <v/>
      </c>
      <c r="AX1575" s="1856" t="str">
        <f t="shared" si="296"/>
        <v/>
      </c>
      <c r="AY1575" s="1856" t="str">
        <f t="shared" si="297"/>
        <v/>
      </c>
    </row>
    <row r="1576" spans="42:52">
      <c r="AP1576" s="1855">
        <f t="shared" si="298"/>
        <v>44734</v>
      </c>
      <c r="AQ1576" s="925" t="str">
        <f t="shared" si="291"/>
        <v/>
      </c>
      <c r="AR1576" s="1856" t="str">
        <f t="shared" si="290"/>
        <v/>
      </c>
      <c r="AS1576" s="927">
        <v>22</v>
      </c>
      <c r="AT1576" s="1856">
        <f t="shared" si="292"/>
        <v>44734.215972222228</v>
      </c>
      <c r="AU1576" s="1856">
        <f t="shared" si="293"/>
        <v>44734.265277777777</v>
      </c>
      <c r="AV1576" s="1856">
        <f t="shared" si="294"/>
        <v>44734.881944444445</v>
      </c>
      <c r="AW1576" s="1856">
        <f t="shared" si="295"/>
        <v>44734.930555555555</v>
      </c>
      <c r="AX1576" s="1856">
        <f t="shared" si="296"/>
        <v>44734.106250000004</v>
      </c>
      <c r="AY1576" s="1856">
        <f t="shared" si="297"/>
        <v>44734.63958333333</v>
      </c>
      <c r="AZ1576" s="1853">
        <v>0.39</v>
      </c>
    </row>
    <row r="1577" spans="42:52">
      <c r="AP1577" s="1855">
        <f t="shared" si="298"/>
        <v>44734</v>
      </c>
      <c r="AQ1577" s="925" t="str">
        <f t="shared" si="291"/>
        <v/>
      </c>
      <c r="AR1577" s="1856" t="str">
        <f t="shared" ref="AR1577:AR1640" si="299">IF(NOT(ISNUMBER(FIND(":",AS1577))),"",IF(ISNUMBER(FIND(" none",AS1577)),"NONE",AP1577+LEFT(RIGHT(AS1577,5),2)/24+RIGHT(AS1577,2)/1440))</f>
        <v/>
      </c>
      <c r="AS1577" s="927" t="s">
        <v>252</v>
      </c>
      <c r="AT1577" s="1856" t="str">
        <f t="shared" si="292"/>
        <v/>
      </c>
      <c r="AU1577" s="1856" t="str">
        <f t="shared" si="293"/>
        <v/>
      </c>
      <c r="AV1577" s="1856" t="str">
        <f t="shared" si="294"/>
        <v/>
      </c>
      <c r="AW1577" s="1856" t="str">
        <f t="shared" si="295"/>
        <v/>
      </c>
      <c r="AX1577" s="1856" t="str">
        <f t="shared" si="296"/>
        <v/>
      </c>
      <c r="AY1577" s="1856" t="str">
        <f t="shared" si="297"/>
        <v/>
      </c>
    </row>
    <row r="1578" spans="42:52">
      <c r="AP1578" s="1855">
        <f t="shared" si="298"/>
        <v>44734</v>
      </c>
      <c r="AQ1578" s="925" t="str">
        <f t="shared" si="291"/>
        <v/>
      </c>
      <c r="AR1578" s="1856" t="str">
        <f t="shared" si="299"/>
        <v/>
      </c>
      <c r="AT1578" s="1856" t="str">
        <f t="shared" si="292"/>
        <v/>
      </c>
      <c r="AU1578" s="1856" t="str">
        <f t="shared" si="293"/>
        <v/>
      </c>
      <c r="AV1578" s="1856" t="str">
        <f t="shared" si="294"/>
        <v/>
      </c>
      <c r="AW1578" s="1856" t="str">
        <f t="shared" si="295"/>
        <v/>
      </c>
      <c r="AX1578" s="1856" t="str">
        <f t="shared" si="296"/>
        <v/>
      </c>
      <c r="AY1578" s="1856" t="str">
        <f t="shared" si="297"/>
        <v/>
      </c>
    </row>
    <row r="1579" spans="42:52">
      <c r="AP1579" s="1855">
        <f t="shared" si="298"/>
        <v>44734</v>
      </c>
      <c r="AQ1579" s="925" t="str">
        <f t="shared" si="291"/>
        <v>MR</v>
      </c>
      <c r="AR1579" s="1856">
        <f t="shared" si="299"/>
        <v>44734.106250000004</v>
      </c>
      <c r="AS1579" s="927" t="s">
        <v>1967</v>
      </c>
      <c r="AT1579" s="1856" t="str">
        <f t="shared" si="292"/>
        <v/>
      </c>
      <c r="AU1579" s="1856" t="str">
        <f t="shared" si="293"/>
        <v/>
      </c>
      <c r="AV1579" s="1856" t="str">
        <f t="shared" si="294"/>
        <v/>
      </c>
      <c r="AW1579" s="1856" t="str">
        <f t="shared" si="295"/>
        <v/>
      </c>
      <c r="AX1579" s="1856" t="str">
        <f t="shared" si="296"/>
        <v/>
      </c>
      <c r="AY1579" s="1856" t="str">
        <f t="shared" si="297"/>
        <v/>
      </c>
    </row>
    <row r="1580" spans="42:52">
      <c r="AP1580" s="1855">
        <f t="shared" si="298"/>
        <v>44734</v>
      </c>
      <c r="AQ1580" s="925" t="str">
        <f t="shared" si="291"/>
        <v>BMNT</v>
      </c>
      <c r="AR1580" s="1856">
        <f t="shared" si="299"/>
        <v>44734.215972222228</v>
      </c>
      <c r="AS1580" s="927" t="s">
        <v>1929</v>
      </c>
      <c r="AT1580" s="1856" t="str">
        <f t="shared" si="292"/>
        <v/>
      </c>
      <c r="AU1580" s="1856" t="str">
        <f t="shared" si="293"/>
        <v/>
      </c>
      <c r="AV1580" s="1856" t="str">
        <f t="shared" si="294"/>
        <v/>
      </c>
      <c r="AW1580" s="1856" t="str">
        <f t="shared" si="295"/>
        <v/>
      </c>
      <c r="AX1580" s="1856" t="str">
        <f t="shared" si="296"/>
        <v/>
      </c>
      <c r="AY1580" s="1856" t="str">
        <f t="shared" si="297"/>
        <v/>
      </c>
    </row>
    <row r="1581" spans="42:52">
      <c r="AP1581" s="1855">
        <f t="shared" si="298"/>
        <v>44734</v>
      </c>
      <c r="AQ1581" s="925" t="str">
        <f t="shared" si="291"/>
        <v>SR</v>
      </c>
      <c r="AR1581" s="1856">
        <f t="shared" si="299"/>
        <v>44734.265277777777</v>
      </c>
      <c r="AS1581" s="927" t="s">
        <v>1913</v>
      </c>
      <c r="AT1581" s="1856" t="str">
        <f t="shared" si="292"/>
        <v/>
      </c>
      <c r="AU1581" s="1856" t="str">
        <f t="shared" si="293"/>
        <v/>
      </c>
      <c r="AV1581" s="1856" t="str">
        <f t="shared" si="294"/>
        <v/>
      </c>
      <c r="AW1581" s="1856" t="str">
        <f t="shared" si="295"/>
        <v/>
      </c>
      <c r="AX1581" s="1856" t="str">
        <f t="shared" si="296"/>
        <v/>
      </c>
      <c r="AY1581" s="1856" t="str">
        <f t="shared" si="297"/>
        <v/>
      </c>
    </row>
    <row r="1582" spans="42:52">
      <c r="AP1582" s="1855">
        <f t="shared" si="298"/>
        <v>44734</v>
      </c>
      <c r="AQ1582" s="925" t="str">
        <f t="shared" si="291"/>
        <v>MS</v>
      </c>
      <c r="AR1582" s="1856">
        <f t="shared" si="299"/>
        <v>44734.63958333333</v>
      </c>
      <c r="AS1582" s="927" t="s">
        <v>1968</v>
      </c>
      <c r="AT1582" s="1856" t="str">
        <f t="shared" si="292"/>
        <v/>
      </c>
      <c r="AU1582" s="1856" t="str">
        <f t="shared" si="293"/>
        <v/>
      </c>
      <c r="AV1582" s="1856" t="str">
        <f t="shared" si="294"/>
        <v/>
      </c>
      <c r="AW1582" s="1856" t="str">
        <f t="shared" si="295"/>
        <v/>
      </c>
      <c r="AX1582" s="1856" t="str">
        <f t="shared" si="296"/>
        <v/>
      </c>
      <c r="AY1582" s="1856" t="str">
        <f t="shared" si="297"/>
        <v/>
      </c>
    </row>
    <row r="1583" spans="42:52">
      <c r="AP1583" s="1855">
        <f t="shared" si="298"/>
        <v>44734</v>
      </c>
      <c r="AQ1583" s="925" t="str">
        <f t="shared" si="291"/>
        <v>SS</v>
      </c>
      <c r="AR1583" s="1856">
        <f t="shared" si="299"/>
        <v>44734.881944444445</v>
      </c>
      <c r="AS1583" s="927" t="s">
        <v>1969</v>
      </c>
      <c r="AT1583" s="1856" t="str">
        <f t="shared" si="292"/>
        <v/>
      </c>
      <c r="AU1583" s="1856" t="str">
        <f t="shared" si="293"/>
        <v/>
      </c>
      <c r="AV1583" s="1856" t="str">
        <f t="shared" si="294"/>
        <v/>
      </c>
      <c r="AW1583" s="1856" t="str">
        <f t="shared" si="295"/>
        <v/>
      </c>
      <c r="AX1583" s="1856" t="str">
        <f t="shared" si="296"/>
        <v/>
      </c>
      <c r="AY1583" s="1856" t="str">
        <f t="shared" si="297"/>
        <v/>
      </c>
    </row>
    <row r="1584" spans="42:52">
      <c r="AP1584" s="1855">
        <f t="shared" si="298"/>
        <v>44734</v>
      </c>
      <c r="AQ1584" s="925" t="str">
        <f t="shared" si="291"/>
        <v>EENT</v>
      </c>
      <c r="AR1584" s="1856">
        <f t="shared" si="299"/>
        <v>44734.930555555555</v>
      </c>
      <c r="AS1584" s="927" t="s">
        <v>1962</v>
      </c>
      <c r="AT1584" s="1856" t="str">
        <f t="shared" si="292"/>
        <v/>
      </c>
      <c r="AU1584" s="1856" t="str">
        <f t="shared" si="293"/>
        <v/>
      </c>
      <c r="AV1584" s="1856" t="str">
        <f t="shared" si="294"/>
        <v/>
      </c>
      <c r="AW1584" s="1856" t="str">
        <f t="shared" si="295"/>
        <v/>
      </c>
      <c r="AX1584" s="1856" t="str">
        <f t="shared" si="296"/>
        <v/>
      </c>
      <c r="AY1584" s="1856" t="str">
        <f t="shared" si="297"/>
        <v/>
      </c>
    </row>
    <row r="1585" spans="42:52">
      <c r="AP1585" s="1855">
        <f t="shared" si="298"/>
        <v>44735</v>
      </c>
      <c r="AQ1585" s="925" t="str">
        <f t="shared" si="291"/>
        <v/>
      </c>
      <c r="AR1585" s="1856" t="str">
        <f t="shared" si="299"/>
        <v/>
      </c>
      <c r="AS1585" s="927">
        <v>23</v>
      </c>
      <c r="AT1585" s="1856">
        <f t="shared" si="292"/>
        <v>44735.215972222228</v>
      </c>
      <c r="AU1585" s="1856">
        <f t="shared" si="293"/>
        <v>44735.265277777777</v>
      </c>
      <c r="AV1585" s="1856">
        <f t="shared" si="294"/>
        <v>44735.881944444445</v>
      </c>
      <c r="AW1585" s="1856">
        <f t="shared" si="295"/>
        <v>44735.931249999994</v>
      </c>
      <c r="AX1585" s="1856">
        <f t="shared" si="296"/>
        <v>44735.122916666667</v>
      </c>
      <c r="AY1585" s="1856">
        <f t="shared" si="297"/>
        <v>44735.682638888888</v>
      </c>
      <c r="AZ1585" s="1853">
        <v>0.28999999999999998</v>
      </c>
    </row>
    <row r="1586" spans="42:52">
      <c r="AP1586" s="1855">
        <f t="shared" si="298"/>
        <v>44735</v>
      </c>
      <c r="AQ1586" s="925" t="str">
        <f t="shared" si="291"/>
        <v/>
      </c>
      <c r="AR1586" s="1856" t="str">
        <f t="shared" si="299"/>
        <v/>
      </c>
      <c r="AS1586" s="927" t="s">
        <v>252</v>
      </c>
      <c r="AT1586" s="1856" t="str">
        <f t="shared" si="292"/>
        <v/>
      </c>
      <c r="AU1586" s="1856" t="str">
        <f t="shared" si="293"/>
        <v/>
      </c>
      <c r="AV1586" s="1856" t="str">
        <f t="shared" si="294"/>
        <v/>
      </c>
      <c r="AW1586" s="1856" t="str">
        <f t="shared" si="295"/>
        <v/>
      </c>
      <c r="AX1586" s="1856" t="str">
        <f t="shared" si="296"/>
        <v/>
      </c>
      <c r="AY1586" s="1856" t="str">
        <f t="shared" si="297"/>
        <v/>
      </c>
    </row>
    <row r="1587" spans="42:52">
      <c r="AP1587" s="1855">
        <f t="shared" si="298"/>
        <v>44735</v>
      </c>
      <c r="AQ1587" s="925" t="str">
        <f t="shared" si="291"/>
        <v/>
      </c>
      <c r="AR1587" s="1856" t="str">
        <f t="shared" si="299"/>
        <v/>
      </c>
      <c r="AT1587" s="1856" t="str">
        <f t="shared" si="292"/>
        <v/>
      </c>
      <c r="AU1587" s="1856" t="str">
        <f t="shared" si="293"/>
        <v/>
      </c>
      <c r="AV1587" s="1856" t="str">
        <f t="shared" si="294"/>
        <v/>
      </c>
      <c r="AW1587" s="1856" t="str">
        <f t="shared" si="295"/>
        <v/>
      </c>
      <c r="AX1587" s="1856" t="str">
        <f t="shared" si="296"/>
        <v/>
      </c>
      <c r="AY1587" s="1856" t="str">
        <f t="shared" si="297"/>
        <v/>
      </c>
    </row>
    <row r="1588" spans="42:52">
      <c r="AP1588" s="1855">
        <f t="shared" si="298"/>
        <v>44735</v>
      </c>
      <c r="AQ1588" s="925" t="str">
        <f t="shared" ref="AQ1588:AQ1651" si="300">IF(NOT(ISNUMBER(FIND(":",AS1588))),"",IF(ISNUMBER(FIND("Sunr",AS1588)),"SR", IF(ISNUMBER(FIND("Suns",AS1588)),"SS",IF(ISNUMBER(FIND("Moonr",AS1588)),"MR",IF(ISNUMBER(FIND("Moons",AS1588)),"MS",IF(ISNUMBER(FIND("Twi",AS1588)),IF(HOUR(AR1588)&lt;12,"BMNT","EENT")))))))</f>
        <v>MR</v>
      </c>
      <c r="AR1588" s="1856">
        <f t="shared" si="299"/>
        <v>44735.122916666667</v>
      </c>
      <c r="AS1588" s="927" t="s">
        <v>1970</v>
      </c>
      <c r="AT1588" s="1856" t="str">
        <f t="shared" si="292"/>
        <v/>
      </c>
      <c r="AU1588" s="1856" t="str">
        <f t="shared" si="293"/>
        <v/>
      </c>
      <c r="AV1588" s="1856" t="str">
        <f t="shared" si="294"/>
        <v/>
      </c>
      <c r="AW1588" s="1856" t="str">
        <f t="shared" si="295"/>
        <v/>
      </c>
      <c r="AX1588" s="1856" t="str">
        <f t="shared" si="296"/>
        <v/>
      </c>
      <c r="AY1588" s="1856" t="str">
        <f t="shared" si="297"/>
        <v/>
      </c>
    </row>
    <row r="1589" spans="42:52">
      <c r="AP1589" s="1855">
        <f t="shared" si="298"/>
        <v>44735</v>
      </c>
      <c r="AQ1589" s="925" t="str">
        <f t="shared" si="300"/>
        <v>BMNT</v>
      </c>
      <c r="AR1589" s="1856">
        <f t="shared" si="299"/>
        <v>44735.215972222228</v>
      </c>
      <c r="AS1589" s="927" t="s">
        <v>1929</v>
      </c>
      <c r="AT1589" s="1856" t="str">
        <f t="shared" si="292"/>
        <v/>
      </c>
      <c r="AU1589" s="1856" t="str">
        <f t="shared" si="293"/>
        <v/>
      </c>
      <c r="AV1589" s="1856" t="str">
        <f t="shared" si="294"/>
        <v/>
      </c>
      <c r="AW1589" s="1856" t="str">
        <f t="shared" si="295"/>
        <v/>
      </c>
      <c r="AX1589" s="1856" t="str">
        <f t="shared" si="296"/>
        <v/>
      </c>
      <c r="AY1589" s="1856" t="str">
        <f t="shared" si="297"/>
        <v/>
      </c>
    </row>
    <row r="1590" spans="42:52">
      <c r="AP1590" s="1855">
        <f t="shared" si="298"/>
        <v>44735</v>
      </c>
      <c r="AQ1590" s="925" t="str">
        <f t="shared" si="300"/>
        <v>SR</v>
      </c>
      <c r="AR1590" s="1856">
        <f t="shared" si="299"/>
        <v>44735.265277777777</v>
      </c>
      <c r="AS1590" s="927" t="s">
        <v>1913</v>
      </c>
      <c r="AT1590" s="1856" t="str">
        <f t="shared" si="292"/>
        <v/>
      </c>
      <c r="AU1590" s="1856" t="str">
        <f t="shared" si="293"/>
        <v/>
      </c>
      <c r="AV1590" s="1856" t="str">
        <f t="shared" si="294"/>
        <v/>
      </c>
      <c r="AW1590" s="1856" t="str">
        <f t="shared" si="295"/>
        <v/>
      </c>
      <c r="AX1590" s="1856" t="str">
        <f t="shared" si="296"/>
        <v/>
      </c>
      <c r="AY1590" s="1856" t="str">
        <f t="shared" si="297"/>
        <v/>
      </c>
    </row>
    <row r="1591" spans="42:52">
      <c r="AP1591" s="1855">
        <f t="shared" si="298"/>
        <v>44735</v>
      </c>
      <c r="AQ1591" s="925" t="str">
        <f t="shared" si="300"/>
        <v>MS</v>
      </c>
      <c r="AR1591" s="1856">
        <f t="shared" si="299"/>
        <v>44735.682638888888</v>
      </c>
      <c r="AS1591" s="927" t="s">
        <v>1971</v>
      </c>
      <c r="AT1591" s="1856" t="str">
        <f t="shared" si="292"/>
        <v/>
      </c>
      <c r="AU1591" s="1856" t="str">
        <f t="shared" si="293"/>
        <v/>
      </c>
      <c r="AV1591" s="1856" t="str">
        <f t="shared" si="294"/>
        <v/>
      </c>
      <c r="AW1591" s="1856" t="str">
        <f t="shared" si="295"/>
        <v/>
      </c>
      <c r="AX1591" s="1856" t="str">
        <f t="shared" si="296"/>
        <v/>
      </c>
      <c r="AY1591" s="1856" t="str">
        <f t="shared" si="297"/>
        <v/>
      </c>
    </row>
    <row r="1592" spans="42:52">
      <c r="AP1592" s="1855">
        <f t="shared" si="298"/>
        <v>44735</v>
      </c>
      <c r="AQ1592" s="925" t="str">
        <f t="shared" si="300"/>
        <v>SS</v>
      </c>
      <c r="AR1592" s="1856">
        <f t="shared" si="299"/>
        <v>44735.881944444445</v>
      </c>
      <c r="AS1592" s="927" t="s">
        <v>1969</v>
      </c>
      <c r="AT1592" s="1856" t="str">
        <f t="shared" si="292"/>
        <v/>
      </c>
      <c r="AU1592" s="1856" t="str">
        <f t="shared" si="293"/>
        <v/>
      </c>
      <c r="AV1592" s="1856" t="str">
        <f t="shared" si="294"/>
        <v/>
      </c>
      <c r="AW1592" s="1856" t="str">
        <f t="shared" si="295"/>
        <v/>
      </c>
      <c r="AX1592" s="1856" t="str">
        <f t="shared" si="296"/>
        <v/>
      </c>
      <c r="AY1592" s="1856" t="str">
        <f t="shared" si="297"/>
        <v/>
      </c>
    </row>
    <row r="1593" spans="42:52">
      <c r="AP1593" s="1855">
        <f t="shared" si="298"/>
        <v>44735</v>
      </c>
      <c r="AQ1593" s="925" t="str">
        <f t="shared" si="300"/>
        <v>EENT</v>
      </c>
      <c r="AR1593" s="1856">
        <f t="shared" si="299"/>
        <v>44735.931249999994</v>
      </c>
      <c r="AS1593" s="927" t="s">
        <v>1972</v>
      </c>
      <c r="AT1593" s="1856" t="str">
        <f t="shared" si="292"/>
        <v/>
      </c>
      <c r="AU1593" s="1856" t="str">
        <f t="shared" si="293"/>
        <v/>
      </c>
      <c r="AV1593" s="1856" t="str">
        <f t="shared" si="294"/>
        <v/>
      </c>
      <c r="AW1593" s="1856" t="str">
        <f t="shared" si="295"/>
        <v/>
      </c>
      <c r="AX1593" s="1856" t="str">
        <f t="shared" si="296"/>
        <v/>
      </c>
      <c r="AY1593" s="1856" t="str">
        <f t="shared" si="297"/>
        <v/>
      </c>
    </row>
    <row r="1594" spans="42:52">
      <c r="AP1594" s="1855">
        <f t="shared" si="298"/>
        <v>44736</v>
      </c>
      <c r="AQ1594" s="925" t="str">
        <f t="shared" si="300"/>
        <v/>
      </c>
      <c r="AR1594" s="1856" t="str">
        <f t="shared" si="299"/>
        <v/>
      </c>
      <c r="AS1594" s="927">
        <v>24</v>
      </c>
      <c r="AT1594" s="1856">
        <f t="shared" si="292"/>
        <v>44736.216666666667</v>
      </c>
      <c r="AU1594" s="1856">
        <f t="shared" si="293"/>
        <v>44736.265972222223</v>
      </c>
      <c r="AV1594" s="1856">
        <f t="shared" si="294"/>
        <v>44736.881944444445</v>
      </c>
      <c r="AW1594" s="1856">
        <f t="shared" si="295"/>
        <v>44736.931249999994</v>
      </c>
      <c r="AX1594" s="1856">
        <f t="shared" si="296"/>
        <v>44736.140972222223</v>
      </c>
      <c r="AY1594" s="1856">
        <f t="shared" si="297"/>
        <v>44736.725000000006</v>
      </c>
      <c r="AZ1594" s="1853">
        <v>0.21</v>
      </c>
    </row>
    <row r="1595" spans="42:52">
      <c r="AP1595" s="1855">
        <f t="shared" si="298"/>
        <v>44736</v>
      </c>
      <c r="AQ1595" s="925" t="str">
        <f t="shared" si="300"/>
        <v/>
      </c>
      <c r="AR1595" s="1856" t="str">
        <f t="shared" si="299"/>
        <v/>
      </c>
      <c r="AS1595" s="927" t="s">
        <v>252</v>
      </c>
      <c r="AT1595" s="1856" t="str">
        <f t="shared" si="292"/>
        <v/>
      </c>
      <c r="AU1595" s="1856" t="str">
        <f t="shared" si="293"/>
        <v/>
      </c>
      <c r="AV1595" s="1856" t="str">
        <f t="shared" si="294"/>
        <v/>
      </c>
      <c r="AW1595" s="1856" t="str">
        <f t="shared" si="295"/>
        <v/>
      </c>
      <c r="AX1595" s="1856" t="str">
        <f t="shared" si="296"/>
        <v/>
      </c>
      <c r="AY1595" s="1856" t="str">
        <f t="shared" si="297"/>
        <v/>
      </c>
    </row>
    <row r="1596" spans="42:52">
      <c r="AP1596" s="1855">
        <f t="shared" si="298"/>
        <v>44736</v>
      </c>
      <c r="AQ1596" s="925" t="str">
        <f t="shared" si="300"/>
        <v/>
      </c>
      <c r="AR1596" s="1856" t="str">
        <f t="shared" si="299"/>
        <v/>
      </c>
      <c r="AT1596" s="1856" t="str">
        <f t="shared" si="292"/>
        <v/>
      </c>
      <c r="AU1596" s="1856" t="str">
        <f t="shared" si="293"/>
        <v/>
      </c>
      <c r="AV1596" s="1856" t="str">
        <f t="shared" si="294"/>
        <v/>
      </c>
      <c r="AW1596" s="1856" t="str">
        <f t="shared" si="295"/>
        <v/>
      </c>
      <c r="AX1596" s="1856" t="str">
        <f t="shared" si="296"/>
        <v/>
      </c>
      <c r="AY1596" s="1856" t="str">
        <f t="shared" si="297"/>
        <v/>
      </c>
    </row>
    <row r="1597" spans="42:52">
      <c r="AP1597" s="1855">
        <f t="shared" si="298"/>
        <v>44736</v>
      </c>
      <c r="AQ1597" s="925" t="str">
        <f t="shared" si="300"/>
        <v>MR</v>
      </c>
      <c r="AR1597" s="1856">
        <f t="shared" si="299"/>
        <v>44736.140972222223</v>
      </c>
      <c r="AS1597" s="927" t="s">
        <v>1973</v>
      </c>
      <c r="AT1597" s="1856" t="str">
        <f t="shared" si="292"/>
        <v/>
      </c>
      <c r="AU1597" s="1856" t="str">
        <f t="shared" si="293"/>
        <v/>
      </c>
      <c r="AV1597" s="1856" t="str">
        <f t="shared" si="294"/>
        <v/>
      </c>
      <c r="AW1597" s="1856" t="str">
        <f t="shared" si="295"/>
        <v/>
      </c>
      <c r="AX1597" s="1856" t="str">
        <f t="shared" si="296"/>
        <v/>
      </c>
      <c r="AY1597" s="1856" t="str">
        <f t="shared" si="297"/>
        <v/>
      </c>
    </row>
    <row r="1598" spans="42:52">
      <c r="AP1598" s="1855">
        <f t="shared" si="298"/>
        <v>44736</v>
      </c>
      <c r="AQ1598" s="925" t="str">
        <f t="shared" si="300"/>
        <v>BMNT</v>
      </c>
      <c r="AR1598" s="1856">
        <f t="shared" si="299"/>
        <v>44736.216666666667</v>
      </c>
      <c r="AS1598" s="927" t="s">
        <v>1921</v>
      </c>
      <c r="AT1598" s="1856" t="str">
        <f t="shared" si="292"/>
        <v/>
      </c>
      <c r="AU1598" s="1856" t="str">
        <f t="shared" si="293"/>
        <v/>
      </c>
      <c r="AV1598" s="1856" t="str">
        <f t="shared" si="294"/>
        <v/>
      </c>
      <c r="AW1598" s="1856" t="str">
        <f t="shared" si="295"/>
        <v/>
      </c>
      <c r="AX1598" s="1856" t="str">
        <f t="shared" si="296"/>
        <v/>
      </c>
      <c r="AY1598" s="1856" t="str">
        <f t="shared" si="297"/>
        <v/>
      </c>
    </row>
    <row r="1599" spans="42:52">
      <c r="AP1599" s="1855">
        <f t="shared" si="298"/>
        <v>44736</v>
      </c>
      <c r="AQ1599" s="925" t="str">
        <f t="shared" si="300"/>
        <v>SR</v>
      </c>
      <c r="AR1599" s="1856">
        <f t="shared" si="299"/>
        <v>44736.265972222223</v>
      </c>
      <c r="AS1599" s="927" t="s">
        <v>1901</v>
      </c>
      <c r="AT1599" s="1856" t="str">
        <f t="shared" si="292"/>
        <v/>
      </c>
      <c r="AU1599" s="1856" t="str">
        <f t="shared" si="293"/>
        <v/>
      </c>
      <c r="AV1599" s="1856" t="str">
        <f t="shared" si="294"/>
        <v/>
      </c>
      <c r="AW1599" s="1856" t="str">
        <f t="shared" si="295"/>
        <v/>
      </c>
      <c r="AX1599" s="1856" t="str">
        <f t="shared" si="296"/>
        <v/>
      </c>
      <c r="AY1599" s="1856" t="str">
        <f t="shared" si="297"/>
        <v/>
      </c>
    </row>
    <row r="1600" spans="42:52">
      <c r="AP1600" s="1855">
        <f t="shared" si="298"/>
        <v>44736</v>
      </c>
      <c r="AQ1600" s="925" t="str">
        <f t="shared" si="300"/>
        <v>MS</v>
      </c>
      <c r="AR1600" s="1856">
        <f t="shared" si="299"/>
        <v>44736.725000000006</v>
      </c>
      <c r="AS1600" s="927" t="s">
        <v>1974</v>
      </c>
      <c r="AT1600" s="1856" t="str">
        <f t="shared" si="292"/>
        <v/>
      </c>
      <c r="AU1600" s="1856" t="str">
        <f t="shared" si="293"/>
        <v/>
      </c>
      <c r="AV1600" s="1856" t="str">
        <f t="shared" si="294"/>
        <v/>
      </c>
      <c r="AW1600" s="1856" t="str">
        <f t="shared" si="295"/>
        <v/>
      </c>
      <c r="AX1600" s="1856" t="str">
        <f t="shared" si="296"/>
        <v/>
      </c>
      <c r="AY1600" s="1856" t="str">
        <f t="shared" si="297"/>
        <v/>
      </c>
    </row>
    <row r="1601" spans="42:52">
      <c r="AP1601" s="1855">
        <f t="shared" si="298"/>
        <v>44736</v>
      </c>
      <c r="AQ1601" s="925" t="str">
        <f t="shared" si="300"/>
        <v>SS</v>
      </c>
      <c r="AR1601" s="1856">
        <f t="shared" si="299"/>
        <v>44736.881944444445</v>
      </c>
      <c r="AS1601" s="927" t="s">
        <v>1969</v>
      </c>
      <c r="AT1601" s="1856" t="str">
        <f t="shared" si="292"/>
        <v/>
      </c>
      <c r="AU1601" s="1856" t="str">
        <f t="shared" si="293"/>
        <v/>
      </c>
      <c r="AV1601" s="1856" t="str">
        <f t="shared" si="294"/>
        <v/>
      </c>
      <c r="AW1601" s="1856" t="str">
        <f t="shared" si="295"/>
        <v/>
      </c>
      <c r="AX1601" s="1856" t="str">
        <f t="shared" si="296"/>
        <v/>
      </c>
      <c r="AY1601" s="1856" t="str">
        <f t="shared" si="297"/>
        <v/>
      </c>
    </row>
    <row r="1602" spans="42:52">
      <c r="AP1602" s="1855">
        <f t="shared" si="298"/>
        <v>44736</v>
      </c>
      <c r="AQ1602" s="925" t="str">
        <f t="shared" si="300"/>
        <v>EENT</v>
      </c>
      <c r="AR1602" s="1856">
        <f t="shared" si="299"/>
        <v>44736.931249999994</v>
      </c>
      <c r="AS1602" s="927" t="s">
        <v>1972</v>
      </c>
      <c r="AT1602" s="1856" t="str">
        <f t="shared" si="292"/>
        <v/>
      </c>
      <c r="AU1602" s="1856" t="str">
        <f t="shared" si="293"/>
        <v/>
      </c>
      <c r="AV1602" s="1856" t="str">
        <f t="shared" si="294"/>
        <v/>
      </c>
      <c r="AW1602" s="1856" t="str">
        <f t="shared" si="295"/>
        <v/>
      </c>
      <c r="AX1602" s="1856" t="str">
        <f t="shared" si="296"/>
        <v/>
      </c>
      <c r="AY1602" s="1856" t="str">
        <f t="shared" si="297"/>
        <v/>
      </c>
    </row>
    <row r="1603" spans="42:52">
      <c r="AP1603" s="1855">
        <f t="shared" si="298"/>
        <v>44737</v>
      </c>
      <c r="AQ1603" s="925" t="str">
        <f t="shared" si="300"/>
        <v/>
      </c>
      <c r="AR1603" s="1856" t="str">
        <f t="shared" si="299"/>
        <v/>
      </c>
      <c r="AS1603" s="927">
        <v>25</v>
      </c>
      <c r="AT1603" s="1856">
        <f t="shared" si="292"/>
        <v>44737.216666666667</v>
      </c>
      <c r="AU1603" s="1856">
        <f t="shared" si="293"/>
        <v>44737.265972222223</v>
      </c>
      <c r="AV1603" s="1856">
        <f t="shared" si="294"/>
        <v>44737.881944444445</v>
      </c>
      <c r="AW1603" s="1856">
        <f t="shared" si="295"/>
        <v>44737.931249999994</v>
      </c>
      <c r="AX1603" s="1856">
        <f t="shared" si="296"/>
        <v>44737.160416666666</v>
      </c>
      <c r="AY1603" s="1856">
        <f t="shared" si="297"/>
        <v>44737.767361111109</v>
      </c>
      <c r="AZ1603" s="1853">
        <v>0.13</v>
      </c>
    </row>
    <row r="1604" spans="42:52">
      <c r="AP1604" s="1855">
        <f t="shared" si="298"/>
        <v>44737</v>
      </c>
      <c r="AQ1604" s="925" t="str">
        <f t="shared" si="300"/>
        <v/>
      </c>
      <c r="AR1604" s="1856" t="str">
        <f t="shared" si="299"/>
        <v/>
      </c>
      <c r="AS1604" s="927" t="s">
        <v>252</v>
      </c>
      <c r="AT1604" s="1856" t="str">
        <f t="shared" si="292"/>
        <v/>
      </c>
      <c r="AU1604" s="1856" t="str">
        <f t="shared" si="293"/>
        <v/>
      </c>
      <c r="AV1604" s="1856" t="str">
        <f t="shared" si="294"/>
        <v/>
      </c>
      <c r="AW1604" s="1856" t="str">
        <f t="shared" si="295"/>
        <v/>
      </c>
      <c r="AX1604" s="1856" t="str">
        <f t="shared" si="296"/>
        <v/>
      </c>
      <c r="AY1604" s="1856" t="str">
        <f t="shared" si="297"/>
        <v/>
      </c>
    </row>
    <row r="1605" spans="42:52">
      <c r="AP1605" s="1855">
        <f t="shared" si="298"/>
        <v>44737</v>
      </c>
      <c r="AQ1605" s="925" t="str">
        <f t="shared" si="300"/>
        <v/>
      </c>
      <c r="AR1605" s="1856" t="str">
        <f t="shared" si="299"/>
        <v/>
      </c>
      <c r="AT1605" s="1856" t="str">
        <f t="shared" si="292"/>
        <v/>
      </c>
      <c r="AU1605" s="1856" t="str">
        <f t="shared" si="293"/>
        <v/>
      </c>
      <c r="AV1605" s="1856" t="str">
        <f t="shared" si="294"/>
        <v/>
      </c>
      <c r="AW1605" s="1856" t="str">
        <f t="shared" si="295"/>
        <v/>
      </c>
      <c r="AX1605" s="1856" t="str">
        <f t="shared" si="296"/>
        <v/>
      </c>
      <c r="AY1605" s="1856" t="str">
        <f t="shared" si="297"/>
        <v/>
      </c>
    </row>
    <row r="1606" spans="42:52">
      <c r="AP1606" s="1855">
        <f t="shared" si="298"/>
        <v>44737</v>
      </c>
      <c r="AQ1606" s="925" t="str">
        <f t="shared" si="300"/>
        <v>MR</v>
      </c>
      <c r="AR1606" s="1856">
        <f t="shared" si="299"/>
        <v>44737.160416666666</v>
      </c>
      <c r="AS1606" s="927" t="s">
        <v>1975</v>
      </c>
      <c r="AT1606" s="1856" t="str">
        <f t="shared" si="292"/>
        <v/>
      </c>
      <c r="AU1606" s="1856" t="str">
        <f t="shared" si="293"/>
        <v/>
      </c>
      <c r="AV1606" s="1856" t="str">
        <f t="shared" si="294"/>
        <v/>
      </c>
      <c r="AW1606" s="1856" t="str">
        <f t="shared" si="295"/>
        <v/>
      </c>
      <c r="AX1606" s="1856" t="str">
        <f t="shared" si="296"/>
        <v/>
      </c>
      <c r="AY1606" s="1856" t="str">
        <f t="shared" si="297"/>
        <v/>
      </c>
    </row>
    <row r="1607" spans="42:52">
      <c r="AP1607" s="1855">
        <f t="shared" si="298"/>
        <v>44737</v>
      </c>
      <c r="AQ1607" s="925" t="str">
        <f t="shared" si="300"/>
        <v>BMNT</v>
      </c>
      <c r="AR1607" s="1856">
        <f t="shared" si="299"/>
        <v>44737.216666666667</v>
      </c>
      <c r="AS1607" s="927" t="s">
        <v>1921</v>
      </c>
      <c r="AT1607" s="1856" t="str">
        <f t="shared" si="292"/>
        <v/>
      </c>
      <c r="AU1607" s="1856" t="str">
        <f t="shared" si="293"/>
        <v/>
      </c>
      <c r="AV1607" s="1856" t="str">
        <f t="shared" si="294"/>
        <v/>
      </c>
      <c r="AW1607" s="1856" t="str">
        <f t="shared" si="295"/>
        <v/>
      </c>
      <c r="AX1607" s="1856" t="str">
        <f t="shared" si="296"/>
        <v/>
      </c>
      <c r="AY1607" s="1856" t="str">
        <f t="shared" si="297"/>
        <v/>
      </c>
    </row>
    <row r="1608" spans="42:52">
      <c r="AP1608" s="1855">
        <f t="shared" si="298"/>
        <v>44737</v>
      </c>
      <c r="AQ1608" s="925" t="str">
        <f t="shared" si="300"/>
        <v>SR</v>
      </c>
      <c r="AR1608" s="1856">
        <f t="shared" si="299"/>
        <v>44737.265972222223</v>
      </c>
      <c r="AS1608" s="927" t="s">
        <v>1901</v>
      </c>
      <c r="AT1608" s="1856" t="str">
        <f t="shared" si="292"/>
        <v/>
      </c>
      <c r="AU1608" s="1856" t="str">
        <f t="shared" si="293"/>
        <v/>
      </c>
      <c r="AV1608" s="1856" t="str">
        <f t="shared" si="294"/>
        <v/>
      </c>
      <c r="AW1608" s="1856" t="str">
        <f t="shared" si="295"/>
        <v/>
      </c>
      <c r="AX1608" s="1856" t="str">
        <f t="shared" si="296"/>
        <v/>
      </c>
      <c r="AY1608" s="1856" t="str">
        <f t="shared" si="297"/>
        <v/>
      </c>
    </row>
    <row r="1609" spans="42:52">
      <c r="AP1609" s="1855">
        <f t="shared" si="298"/>
        <v>44737</v>
      </c>
      <c r="AQ1609" s="925" t="str">
        <f t="shared" si="300"/>
        <v>MS</v>
      </c>
      <c r="AR1609" s="1856">
        <f t="shared" si="299"/>
        <v>44737.767361111109</v>
      </c>
      <c r="AS1609" s="927" t="s">
        <v>1976</v>
      </c>
      <c r="AT1609" s="1856" t="str">
        <f t="shared" si="292"/>
        <v/>
      </c>
      <c r="AU1609" s="1856" t="str">
        <f t="shared" si="293"/>
        <v/>
      </c>
      <c r="AV1609" s="1856" t="str">
        <f t="shared" si="294"/>
        <v/>
      </c>
      <c r="AW1609" s="1856" t="str">
        <f t="shared" si="295"/>
        <v/>
      </c>
      <c r="AX1609" s="1856" t="str">
        <f t="shared" si="296"/>
        <v/>
      </c>
      <c r="AY1609" s="1856" t="str">
        <f t="shared" si="297"/>
        <v/>
      </c>
    </row>
    <row r="1610" spans="42:52">
      <c r="AP1610" s="1855">
        <f t="shared" si="298"/>
        <v>44737</v>
      </c>
      <c r="AQ1610" s="925" t="str">
        <f t="shared" si="300"/>
        <v>SS</v>
      </c>
      <c r="AR1610" s="1856">
        <f t="shared" si="299"/>
        <v>44737.881944444445</v>
      </c>
      <c r="AS1610" s="927" t="s">
        <v>1969</v>
      </c>
      <c r="AT1610" s="1856" t="str">
        <f t="shared" si="292"/>
        <v/>
      </c>
      <c r="AU1610" s="1856" t="str">
        <f t="shared" si="293"/>
        <v/>
      </c>
      <c r="AV1610" s="1856" t="str">
        <f t="shared" si="294"/>
        <v/>
      </c>
      <c r="AW1610" s="1856" t="str">
        <f t="shared" si="295"/>
        <v/>
      </c>
      <c r="AX1610" s="1856" t="str">
        <f t="shared" si="296"/>
        <v/>
      </c>
      <c r="AY1610" s="1856" t="str">
        <f t="shared" si="297"/>
        <v/>
      </c>
    </row>
    <row r="1611" spans="42:52">
      <c r="AP1611" s="1855">
        <f t="shared" si="298"/>
        <v>44737</v>
      </c>
      <c r="AQ1611" s="925" t="str">
        <f t="shared" si="300"/>
        <v>EENT</v>
      </c>
      <c r="AR1611" s="1856">
        <f t="shared" si="299"/>
        <v>44737.931249999994</v>
      </c>
      <c r="AS1611" s="927" t="s">
        <v>1972</v>
      </c>
      <c r="AT1611" s="1856" t="str">
        <f t="shared" si="292"/>
        <v/>
      </c>
      <c r="AU1611" s="1856" t="str">
        <f t="shared" si="293"/>
        <v/>
      </c>
      <c r="AV1611" s="1856" t="str">
        <f t="shared" si="294"/>
        <v/>
      </c>
      <c r="AW1611" s="1856" t="str">
        <f t="shared" si="295"/>
        <v/>
      </c>
      <c r="AX1611" s="1856" t="str">
        <f t="shared" si="296"/>
        <v/>
      </c>
      <c r="AY1611" s="1856" t="str">
        <f t="shared" si="297"/>
        <v/>
      </c>
    </row>
    <row r="1612" spans="42:52">
      <c r="AP1612" s="1855">
        <f t="shared" si="298"/>
        <v>44738</v>
      </c>
      <c r="AQ1612" s="925" t="str">
        <f t="shared" si="300"/>
        <v/>
      </c>
      <c r="AR1612" s="1856" t="str">
        <f t="shared" si="299"/>
        <v/>
      </c>
      <c r="AS1612" s="927">
        <v>26</v>
      </c>
      <c r="AT1612" s="1856">
        <f t="shared" si="292"/>
        <v>44738.216666666667</v>
      </c>
      <c r="AU1612" s="1856">
        <f t="shared" si="293"/>
        <v>44738.265972222223</v>
      </c>
      <c r="AV1612" s="1856">
        <f t="shared" si="294"/>
        <v>44738.881944444445</v>
      </c>
      <c r="AW1612" s="1856">
        <f t="shared" si="295"/>
        <v>44738.931249999994</v>
      </c>
      <c r="AX1612" s="1856">
        <f t="shared" si="296"/>
        <v>44738.181944444441</v>
      </c>
      <c r="AY1612" s="1856">
        <f t="shared" si="297"/>
        <v>44738.809027777774</v>
      </c>
      <c r="AZ1612" s="1853">
        <v>0.08</v>
      </c>
    </row>
    <row r="1613" spans="42:52">
      <c r="AP1613" s="1855">
        <f t="shared" si="298"/>
        <v>44738</v>
      </c>
      <c r="AQ1613" s="925" t="str">
        <f t="shared" si="300"/>
        <v/>
      </c>
      <c r="AR1613" s="1856" t="str">
        <f t="shared" si="299"/>
        <v/>
      </c>
      <c r="AS1613" s="927" t="s">
        <v>252</v>
      </c>
      <c r="AT1613" s="1856" t="str">
        <f t="shared" si="292"/>
        <v/>
      </c>
      <c r="AU1613" s="1856" t="str">
        <f t="shared" si="293"/>
        <v/>
      </c>
      <c r="AV1613" s="1856" t="str">
        <f t="shared" si="294"/>
        <v/>
      </c>
      <c r="AW1613" s="1856" t="str">
        <f t="shared" si="295"/>
        <v/>
      </c>
      <c r="AX1613" s="1856" t="str">
        <f t="shared" si="296"/>
        <v/>
      </c>
      <c r="AY1613" s="1856" t="str">
        <f t="shared" si="297"/>
        <v/>
      </c>
    </row>
    <row r="1614" spans="42:52">
      <c r="AP1614" s="1855">
        <f t="shared" si="298"/>
        <v>44738</v>
      </c>
      <c r="AQ1614" s="925" t="str">
        <f t="shared" si="300"/>
        <v/>
      </c>
      <c r="AR1614" s="1856" t="str">
        <f t="shared" si="299"/>
        <v/>
      </c>
      <c r="AT1614" s="1856" t="str">
        <f t="shared" si="292"/>
        <v/>
      </c>
      <c r="AU1614" s="1856" t="str">
        <f t="shared" si="293"/>
        <v/>
      </c>
      <c r="AV1614" s="1856" t="str">
        <f t="shared" si="294"/>
        <v/>
      </c>
      <c r="AW1614" s="1856" t="str">
        <f t="shared" si="295"/>
        <v/>
      </c>
      <c r="AX1614" s="1856" t="str">
        <f t="shared" si="296"/>
        <v/>
      </c>
      <c r="AY1614" s="1856" t="str">
        <f t="shared" si="297"/>
        <v/>
      </c>
    </row>
    <row r="1615" spans="42:52">
      <c r="AP1615" s="1855">
        <f t="shared" si="298"/>
        <v>44738</v>
      </c>
      <c r="AQ1615" s="925" t="str">
        <f t="shared" si="300"/>
        <v>MR</v>
      </c>
      <c r="AR1615" s="1856">
        <f t="shared" si="299"/>
        <v>44738.181944444441</v>
      </c>
      <c r="AS1615" s="927" t="s">
        <v>1977</v>
      </c>
      <c r="AT1615" s="1856" t="str">
        <f t="shared" si="292"/>
        <v/>
      </c>
      <c r="AU1615" s="1856" t="str">
        <f t="shared" si="293"/>
        <v/>
      </c>
      <c r="AV1615" s="1856" t="str">
        <f t="shared" si="294"/>
        <v/>
      </c>
      <c r="AW1615" s="1856" t="str">
        <f t="shared" si="295"/>
        <v/>
      </c>
      <c r="AX1615" s="1856" t="str">
        <f t="shared" si="296"/>
        <v/>
      </c>
      <c r="AY1615" s="1856" t="str">
        <f t="shared" si="297"/>
        <v/>
      </c>
    </row>
    <row r="1616" spans="42:52">
      <c r="AP1616" s="1855">
        <f t="shared" si="298"/>
        <v>44738</v>
      </c>
      <c r="AQ1616" s="925" t="str">
        <f t="shared" si="300"/>
        <v>BMNT</v>
      </c>
      <c r="AR1616" s="1856">
        <f t="shared" si="299"/>
        <v>44738.216666666667</v>
      </c>
      <c r="AS1616" s="927" t="s">
        <v>1921</v>
      </c>
      <c r="AT1616" s="1856" t="str">
        <f t="shared" si="292"/>
        <v/>
      </c>
      <c r="AU1616" s="1856" t="str">
        <f t="shared" si="293"/>
        <v/>
      </c>
      <c r="AV1616" s="1856" t="str">
        <f t="shared" si="294"/>
        <v/>
      </c>
      <c r="AW1616" s="1856" t="str">
        <f t="shared" si="295"/>
        <v/>
      </c>
      <c r="AX1616" s="1856" t="str">
        <f t="shared" si="296"/>
        <v/>
      </c>
      <c r="AY1616" s="1856" t="str">
        <f t="shared" si="297"/>
        <v/>
      </c>
    </row>
    <row r="1617" spans="42:52">
      <c r="AP1617" s="1855">
        <f t="shared" si="298"/>
        <v>44738</v>
      </c>
      <c r="AQ1617" s="925" t="str">
        <f t="shared" si="300"/>
        <v>SR</v>
      </c>
      <c r="AR1617" s="1856">
        <f t="shared" si="299"/>
        <v>44738.265972222223</v>
      </c>
      <c r="AS1617" s="927" t="s">
        <v>1901</v>
      </c>
      <c r="AT1617" s="1856" t="str">
        <f t="shared" si="292"/>
        <v/>
      </c>
      <c r="AU1617" s="1856" t="str">
        <f t="shared" si="293"/>
        <v/>
      </c>
      <c r="AV1617" s="1856" t="str">
        <f t="shared" si="294"/>
        <v/>
      </c>
      <c r="AW1617" s="1856" t="str">
        <f t="shared" si="295"/>
        <v/>
      </c>
      <c r="AX1617" s="1856" t="str">
        <f t="shared" si="296"/>
        <v/>
      </c>
      <c r="AY1617" s="1856" t="str">
        <f t="shared" si="297"/>
        <v/>
      </c>
    </row>
    <row r="1618" spans="42:52">
      <c r="AP1618" s="1855">
        <f t="shared" si="298"/>
        <v>44738</v>
      </c>
      <c r="AQ1618" s="925" t="str">
        <f t="shared" si="300"/>
        <v>MS</v>
      </c>
      <c r="AR1618" s="1856">
        <f t="shared" si="299"/>
        <v>44738.809027777774</v>
      </c>
      <c r="AS1618" s="927" t="s">
        <v>1978</v>
      </c>
      <c r="AT1618" s="1856" t="str">
        <f t="shared" si="292"/>
        <v/>
      </c>
      <c r="AU1618" s="1856" t="str">
        <f t="shared" si="293"/>
        <v/>
      </c>
      <c r="AV1618" s="1856" t="str">
        <f t="shared" si="294"/>
        <v/>
      </c>
      <c r="AW1618" s="1856" t="str">
        <f t="shared" si="295"/>
        <v/>
      </c>
      <c r="AX1618" s="1856" t="str">
        <f t="shared" si="296"/>
        <v/>
      </c>
      <c r="AY1618" s="1856" t="str">
        <f t="shared" si="297"/>
        <v/>
      </c>
    </row>
    <row r="1619" spans="42:52">
      <c r="AP1619" s="1855">
        <f t="shared" si="298"/>
        <v>44738</v>
      </c>
      <c r="AQ1619" s="925" t="str">
        <f t="shared" si="300"/>
        <v>SS</v>
      </c>
      <c r="AR1619" s="1856">
        <f t="shared" si="299"/>
        <v>44738.881944444445</v>
      </c>
      <c r="AS1619" s="927" t="s">
        <v>1969</v>
      </c>
      <c r="AT1619" s="1856" t="str">
        <f t="shared" si="292"/>
        <v/>
      </c>
      <c r="AU1619" s="1856" t="str">
        <f t="shared" si="293"/>
        <v/>
      </c>
      <c r="AV1619" s="1856" t="str">
        <f t="shared" si="294"/>
        <v/>
      </c>
      <c r="AW1619" s="1856" t="str">
        <f t="shared" si="295"/>
        <v/>
      </c>
      <c r="AX1619" s="1856" t="str">
        <f t="shared" si="296"/>
        <v/>
      </c>
      <c r="AY1619" s="1856" t="str">
        <f t="shared" si="297"/>
        <v/>
      </c>
    </row>
    <row r="1620" spans="42:52">
      <c r="AP1620" s="1855">
        <f t="shared" si="298"/>
        <v>44738</v>
      </c>
      <c r="AQ1620" s="925" t="str">
        <f t="shared" si="300"/>
        <v>EENT</v>
      </c>
      <c r="AR1620" s="1856">
        <f t="shared" si="299"/>
        <v>44738.931249999994</v>
      </c>
      <c r="AS1620" s="927" t="s">
        <v>1972</v>
      </c>
      <c r="AT1620" s="1856" t="str">
        <f t="shared" si="292"/>
        <v/>
      </c>
      <c r="AU1620" s="1856" t="str">
        <f t="shared" si="293"/>
        <v/>
      </c>
      <c r="AV1620" s="1856" t="str">
        <f t="shared" si="294"/>
        <v/>
      </c>
      <c r="AW1620" s="1856" t="str">
        <f t="shared" si="295"/>
        <v/>
      </c>
      <c r="AX1620" s="1856" t="str">
        <f t="shared" si="296"/>
        <v/>
      </c>
      <c r="AY1620" s="1856" t="str">
        <f t="shared" si="297"/>
        <v/>
      </c>
    </row>
    <row r="1621" spans="42:52">
      <c r="AP1621" s="1855">
        <f t="shared" si="298"/>
        <v>44739</v>
      </c>
      <c r="AQ1621" s="925" t="str">
        <f t="shared" si="300"/>
        <v/>
      </c>
      <c r="AR1621" s="1856" t="str">
        <f t="shared" si="299"/>
        <v/>
      </c>
      <c r="AS1621" s="927">
        <v>27</v>
      </c>
      <c r="AT1621" s="1856">
        <f t="shared" si="292"/>
        <v>44739.217361111114</v>
      </c>
      <c r="AU1621" s="1856">
        <f t="shared" si="293"/>
        <v>44739.265972222223</v>
      </c>
      <c r="AV1621" s="1856">
        <f t="shared" si="294"/>
        <v>44739.881944444445</v>
      </c>
      <c r="AW1621" s="1856">
        <f t="shared" si="295"/>
        <v>44739.931249999994</v>
      </c>
      <c r="AX1621" s="1856">
        <f t="shared" si="296"/>
        <v>44739.207638888889</v>
      </c>
      <c r="AY1621" s="1856">
        <f t="shared" si="297"/>
        <v>44739.850000000006</v>
      </c>
      <c r="AZ1621" s="1853">
        <v>0.03</v>
      </c>
    </row>
    <row r="1622" spans="42:52">
      <c r="AP1622" s="1855">
        <f t="shared" si="298"/>
        <v>44739</v>
      </c>
      <c r="AQ1622" s="925" t="str">
        <f t="shared" si="300"/>
        <v/>
      </c>
      <c r="AR1622" s="1856" t="str">
        <f t="shared" si="299"/>
        <v/>
      </c>
      <c r="AS1622" s="927" t="s">
        <v>252</v>
      </c>
      <c r="AT1622" s="1856" t="str">
        <f t="shared" si="292"/>
        <v/>
      </c>
      <c r="AU1622" s="1856" t="str">
        <f t="shared" si="293"/>
        <v/>
      </c>
      <c r="AV1622" s="1856" t="str">
        <f t="shared" si="294"/>
        <v/>
      </c>
      <c r="AW1622" s="1856" t="str">
        <f t="shared" si="295"/>
        <v/>
      </c>
      <c r="AX1622" s="1856" t="str">
        <f t="shared" si="296"/>
        <v/>
      </c>
      <c r="AY1622" s="1856" t="str">
        <f t="shared" si="297"/>
        <v/>
      </c>
    </row>
    <row r="1623" spans="42:52">
      <c r="AP1623" s="1855">
        <f t="shared" si="298"/>
        <v>44739</v>
      </c>
      <c r="AQ1623" s="925" t="str">
        <f t="shared" si="300"/>
        <v/>
      </c>
      <c r="AR1623" s="1856" t="str">
        <f t="shared" si="299"/>
        <v/>
      </c>
      <c r="AT1623" s="1856" t="str">
        <f t="shared" si="292"/>
        <v/>
      </c>
      <c r="AU1623" s="1856" t="str">
        <f t="shared" si="293"/>
        <v/>
      </c>
      <c r="AV1623" s="1856" t="str">
        <f t="shared" si="294"/>
        <v/>
      </c>
      <c r="AW1623" s="1856" t="str">
        <f t="shared" si="295"/>
        <v/>
      </c>
      <c r="AX1623" s="1856" t="str">
        <f t="shared" si="296"/>
        <v/>
      </c>
      <c r="AY1623" s="1856" t="str">
        <f t="shared" si="297"/>
        <v/>
      </c>
    </row>
    <row r="1624" spans="42:52">
      <c r="AP1624" s="1855">
        <f t="shared" si="298"/>
        <v>44739</v>
      </c>
      <c r="AQ1624" s="925" t="str">
        <f t="shared" si="300"/>
        <v>MR</v>
      </c>
      <c r="AR1624" s="1856">
        <f t="shared" si="299"/>
        <v>44739.207638888889</v>
      </c>
      <c r="AS1624" s="927" t="s">
        <v>1979</v>
      </c>
      <c r="AT1624" s="1856" t="str">
        <f t="shared" si="292"/>
        <v/>
      </c>
      <c r="AU1624" s="1856" t="str">
        <f t="shared" si="293"/>
        <v/>
      </c>
      <c r="AV1624" s="1856" t="str">
        <f t="shared" si="294"/>
        <v/>
      </c>
      <c r="AW1624" s="1856" t="str">
        <f t="shared" si="295"/>
        <v/>
      </c>
      <c r="AX1624" s="1856" t="str">
        <f t="shared" si="296"/>
        <v/>
      </c>
      <c r="AY1624" s="1856" t="str">
        <f t="shared" si="297"/>
        <v/>
      </c>
    </row>
    <row r="1625" spans="42:52">
      <c r="AP1625" s="1855">
        <f t="shared" si="298"/>
        <v>44739</v>
      </c>
      <c r="AQ1625" s="925" t="str">
        <f t="shared" si="300"/>
        <v>BMNT</v>
      </c>
      <c r="AR1625" s="1856">
        <f t="shared" si="299"/>
        <v>44739.217361111114</v>
      </c>
      <c r="AS1625" s="927" t="s">
        <v>1909</v>
      </c>
      <c r="AT1625" s="1856" t="str">
        <f t="shared" si="292"/>
        <v/>
      </c>
      <c r="AU1625" s="1856" t="str">
        <f t="shared" si="293"/>
        <v/>
      </c>
      <c r="AV1625" s="1856" t="str">
        <f t="shared" si="294"/>
        <v/>
      </c>
      <c r="AW1625" s="1856" t="str">
        <f t="shared" si="295"/>
        <v/>
      </c>
      <c r="AX1625" s="1856" t="str">
        <f t="shared" si="296"/>
        <v/>
      </c>
      <c r="AY1625" s="1856" t="str">
        <f t="shared" si="297"/>
        <v/>
      </c>
    </row>
    <row r="1626" spans="42:52">
      <c r="AP1626" s="1855">
        <f t="shared" si="298"/>
        <v>44739</v>
      </c>
      <c r="AQ1626" s="925" t="str">
        <f t="shared" si="300"/>
        <v>SR</v>
      </c>
      <c r="AR1626" s="1856">
        <f t="shared" si="299"/>
        <v>44739.265972222223</v>
      </c>
      <c r="AS1626" s="927" t="s">
        <v>1901</v>
      </c>
      <c r="AT1626" s="1856" t="str">
        <f t="shared" si="292"/>
        <v/>
      </c>
      <c r="AU1626" s="1856" t="str">
        <f t="shared" si="293"/>
        <v/>
      </c>
      <c r="AV1626" s="1856" t="str">
        <f t="shared" si="294"/>
        <v/>
      </c>
      <c r="AW1626" s="1856" t="str">
        <f t="shared" si="295"/>
        <v/>
      </c>
      <c r="AX1626" s="1856" t="str">
        <f t="shared" si="296"/>
        <v/>
      </c>
      <c r="AY1626" s="1856" t="str">
        <f t="shared" si="297"/>
        <v/>
      </c>
    </row>
    <row r="1627" spans="42:52">
      <c r="AP1627" s="1855">
        <f t="shared" si="298"/>
        <v>44739</v>
      </c>
      <c r="AQ1627" s="925" t="str">
        <f t="shared" si="300"/>
        <v>MS</v>
      </c>
      <c r="AR1627" s="1856">
        <f t="shared" si="299"/>
        <v>44739.850000000006</v>
      </c>
      <c r="AS1627" s="927" t="s">
        <v>1980</v>
      </c>
      <c r="AT1627" s="1856" t="str">
        <f t="shared" si="292"/>
        <v/>
      </c>
      <c r="AU1627" s="1856" t="str">
        <f t="shared" si="293"/>
        <v/>
      </c>
      <c r="AV1627" s="1856" t="str">
        <f t="shared" si="294"/>
        <v/>
      </c>
      <c r="AW1627" s="1856" t="str">
        <f t="shared" si="295"/>
        <v/>
      </c>
      <c r="AX1627" s="1856" t="str">
        <f t="shared" si="296"/>
        <v/>
      </c>
      <c r="AY1627" s="1856" t="str">
        <f t="shared" si="297"/>
        <v/>
      </c>
    </row>
    <row r="1628" spans="42:52">
      <c r="AP1628" s="1855">
        <f t="shared" si="298"/>
        <v>44739</v>
      </c>
      <c r="AQ1628" s="925" t="str">
        <f t="shared" si="300"/>
        <v>SS</v>
      </c>
      <c r="AR1628" s="1856">
        <f t="shared" si="299"/>
        <v>44739.881944444445</v>
      </c>
      <c r="AS1628" s="927" t="s">
        <v>1969</v>
      </c>
      <c r="AT1628" s="1856" t="str">
        <f t="shared" ref="AT1628:AT1691" si="301">IF(ISNUMBER(AS1628),INDEX(AR1629:AR1639,MATCH($AT$27,AQ1629:AQ1639,0)),"")</f>
        <v/>
      </c>
      <c r="AU1628" s="1856" t="str">
        <f t="shared" ref="AU1628:AU1691" si="302">IF(AT1628="","",INDEX(AR1629:AR1639,MATCH($AU$27,AQ1629:AQ1639,0)))</f>
        <v/>
      </c>
      <c r="AV1628" s="1856" t="str">
        <f t="shared" ref="AV1628:AV1691" si="303">IF(AT1628="","",INDEX(AR1629:AR1639,MATCH($AV$27,AQ1629:AQ1639,0)))</f>
        <v/>
      </c>
      <c r="AW1628" s="1856" t="str">
        <f t="shared" ref="AW1628:AW1691" si="304">IF(AT1628="","",INDEX(AR1629:AR1639,MATCH($AW$27,AQ1629:AQ1639,0)))</f>
        <v/>
      </c>
      <c r="AX1628" s="1856" t="str">
        <f t="shared" ref="AX1628:AX1691" si="305">IF(AT1628="","",INDEX(AR1629:AR1639,MATCH($AX$27,AQ1629:AQ1639,0)))</f>
        <v/>
      </c>
      <c r="AY1628" s="1856" t="str">
        <f t="shared" ref="AY1628:AY1691" si="306">IF(AT1628="","",INDEX(AR1629:AR1639,MATCH($AY$27,AQ1629:AQ1639,0)))</f>
        <v/>
      </c>
    </row>
    <row r="1629" spans="42:52">
      <c r="AP1629" s="1855">
        <f t="shared" si="298"/>
        <v>44739</v>
      </c>
      <c r="AQ1629" s="925" t="str">
        <f t="shared" si="300"/>
        <v>EENT</v>
      </c>
      <c r="AR1629" s="1856">
        <f t="shared" si="299"/>
        <v>44739.931249999994</v>
      </c>
      <c r="AS1629" s="927" t="s">
        <v>1972</v>
      </c>
      <c r="AT1629" s="1856" t="str">
        <f t="shared" si="301"/>
        <v/>
      </c>
      <c r="AU1629" s="1856" t="str">
        <f t="shared" si="302"/>
        <v/>
      </c>
      <c r="AV1629" s="1856" t="str">
        <f t="shared" si="303"/>
        <v/>
      </c>
      <c r="AW1629" s="1856" t="str">
        <f t="shared" si="304"/>
        <v/>
      </c>
      <c r="AX1629" s="1856" t="str">
        <f t="shared" si="305"/>
        <v/>
      </c>
      <c r="AY1629" s="1856" t="str">
        <f t="shared" si="306"/>
        <v/>
      </c>
    </row>
    <row r="1630" spans="42:52">
      <c r="AP1630" s="1855">
        <f t="shared" si="298"/>
        <v>44740</v>
      </c>
      <c r="AQ1630" s="925" t="str">
        <f t="shared" si="300"/>
        <v/>
      </c>
      <c r="AR1630" s="1856" t="str">
        <f t="shared" si="299"/>
        <v/>
      </c>
      <c r="AS1630" s="927">
        <v>28</v>
      </c>
      <c r="AT1630" s="1856">
        <f t="shared" si="301"/>
        <v>44740.217361111114</v>
      </c>
      <c r="AU1630" s="1856">
        <f t="shared" si="302"/>
        <v>44740.26666666667</v>
      </c>
      <c r="AV1630" s="1856">
        <f t="shared" si="303"/>
        <v>44740.881944444445</v>
      </c>
      <c r="AW1630" s="1856">
        <f t="shared" si="304"/>
        <v>44740.931249999994</v>
      </c>
      <c r="AX1630" s="1856">
        <f t="shared" si="305"/>
        <v>44740.23819444445</v>
      </c>
      <c r="AY1630" s="1856">
        <f t="shared" si="306"/>
        <v>44740.887499999997</v>
      </c>
      <c r="AZ1630" s="1853">
        <v>0.01</v>
      </c>
    </row>
    <row r="1631" spans="42:52">
      <c r="AP1631" s="1855">
        <f t="shared" si="298"/>
        <v>44740</v>
      </c>
      <c r="AQ1631" s="925" t="str">
        <f t="shared" si="300"/>
        <v/>
      </c>
      <c r="AR1631" s="1856" t="str">
        <f t="shared" si="299"/>
        <v/>
      </c>
      <c r="AS1631" s="927" t="s">
        <v>252</v>
      </c>
      <c r="AT1631" s="1856" t="str">
        <f t="shared" si="301"/>
        <v/>
      </c>
      <c r="AU1631" s="1856" t="str">
        <f t="shared" si="302"/>
        <v/>
      </c>
      <c r="AV1631" s="1856" t="str">
        <f t="shared" si="303"/>
        <v/>
      </c>
      <c r="AW1631" s="1856" t="str">
        <f t="shared" si="304"/>
        <v/>
      </c>
      <c r="AX1631" s="1856" t="str">
        <f t="shared" si="305"/>
        <v/>
      </c>
      <c r="AY1631" s="1856" t="str">
        <f t="shared" si="306"/>
        <v/>
      </c>
    </row>
    <row r="1632" spans="42:52">
      <c r="AP1632" s="1855">
        <f t="shared" si="298"/>
        <v>44740</v>
      </c>
      <c r="AQ1632" s="925" t="str">
        <f t="shared" si="300"/>
        <v/>
      </c>
      <c r="AR1632" s="1856" t="str">
        <f t="shared" si="299"/>
        <v/>
      </c>
      <c r="AT1632" s="1856" t="str">
        <f t="shared" si="301"/>
        <v/>
      </c>
      <c r="AU1632" s="1856" t="str">
        <f t="shared" si="302"/>
        <v/>
      </c>
      <c r="AV1632" s="1856" t="str">
        <f t="shared" si="303"/>
        <v/>
      </c>
      <c r="AW1632" s="1856" t="str">
        <f t="shared" si="304"/>
        <v/>
      </c>
      <c r="AX1632" s="1856" t="str">
        <f t="shared" si="305"/>
        <v/>
      </c>
      <c r="AY1632" s="1856" t="str">
        <f t="shared" si="306"/>
        <v/>
      </c>
    </row>
    <row r="1633" spans="42:52">
      <c r="AP1633" s="1855">
        <f t="shared" si="298"/>
        <v>44740</v>
      </c>
      <c r="AQ1633" s="925" t="str">
        <f t="shared" si="300"/>
        <v>BMNT</v>
      </c>
      <c r="AR1633" s="1856">
        <f t="shared" si="299"/>
        <v>44740.217361111114</v>
      </c>
      <c r="AS1633" s="927" t="s">
        <v>1909</v>
      </c>
      <c r="AT1633" s="1856" t="str">
        <f t="shared" si="301"/>
        <v/>
      </c>
      <c r="AU1633" s="1856" t="str">
        <f t="shared" si="302"/>
        <v/>
      </c>
      <c r="AV1633" s="1856" t="str">
        <f t="shared" si="303"/>
        <v/>
      </c>
      <c r="AW1633" s="1856" t="str">
        <f t="shared" si="304"/>
        <v/>
      </c>
      <c r="AX1633" s="1856" t="str">
        <f t="shared" si="305"/>
        <v/>
      </c>
      <c r="AY1633" s="1856" t="str">
        <f t="shared" si="306"/>
        <v/>
      </c>
    </row>
    <row r="1634" spans="42:52">
      <c r="AP1634" s="1855">
        <f t="shared" si="298"/>
        <v>44740</v>
      </c>
      <c r="AQ1634" s="925" t="str">
        <f t="shared" si="300"/>
        <v>MR</v>
      </c>
      <c r="AR1634" s="1856">
        <f t="shared" si="299"/>
        <v>44740.23819444445</v>
      </c>
      <c r="AS1634" s="927" t="s">
        <v>1981</v>
      </c>
      <c r="AT1634" s="1856" t="str">
        <f t="shared" si="301"/>
        <v/>
      </c>
      <c r="AU1634" s="1856" t="str">
        <f t="shared" si="302"/>
        <v/>
      </c>
      <c r="AV1634" s="1856" t="str">
        <f t="shared" si="303"/>
        <v/>
      </c>
      <c r="AW1634" s="1856" t="str">
        <f t="shared" si="304"/>
        <v/>
      </c>
      <c r="AX1634" s="1856" t="str">
        <f t="shared" si="305"/>
        <v/>
      </c>
      <c r="AY1634" s="1856" t="str">
        <f t="shared" si="306"/>
        <v/>
      </c>
    </row>
    <row r="1635" spans="42:52">
      <c r="AP1635" s="1855">
        <f t="shared" si="298"/>
        <v>44740</v>
      </c>
      <c r="AQ1635" s="925" t="str">
        <f t="shared" si="300"/>
        <v>SR</v>
      </c>
      <c r="AR1635" s="1856">
        <f t="shared" si="299"/>
        <v>44740.26666666667</v>
      </c>
      <c r="AS1635" s="927" t="s">
        <v>1892</v>
      </c>
      <c r="AT1635" s="1856" t="str">
        <f t="shared" si="301"/>
        <v/>
      </c>
      <c r="AU1635" s="1856" t="str">
        <f t="shared" si="302"/>
        <v/>
      </c>
      <c r="AV1635" s="1856" t="str">
        <f t="shared" si="303"/>
        <v/>
      </c>
      <c r="AW1635" s="1856" t="str">
        <f t="shared" si="304"/>
        <v/>
      </c>
      <c r="AX1635" s="1856" t="str">
        <f t="shared" si="305"/>
        <v/>
      </c>
      <c r="AY1635" s="1856" t="str">
        <f t="shared" si="306"/>
        <v/>
      </c>
    </row>
    <row r="1636" spans="42:52">
      <c r="AP1636" s="1855">
        <f t="shared" si="298"/>
        <v>44740</v>
      </c>
      <c r="AQ1636" s="925" t="str">
        <f t="shared" si="300"/>
        <v>SS</v>
      </c>
      <c r="AR1636" s="1856">
        <f t="shared" si="299"/>
        <v>44740.881944444445</v>
      </c>
      <c r="AS1636" s="927" t="s">
        <v>1969</v>
      </c>
      <c r="AT1636" s="1856" t="str">
        <f t="shared" si="301"/>
        <v/>
      </c>
      <c r="AU1636" s="1856" t="str">
        <f t="shared" si="302"/>
        <v/>
      </c>
      <c r="AV1636" s="1856" t="str">
        <f t="shared" si="303"/>
        <v/>
      </c>
      <c r="AW1636" s="1856" t="str">
        <f t="shared" si="304"/>
        <v/>
      </c>
      <c r="AX1636" s="1856" t="str">
        <f t="shared" si="305"/>
        <v/>
      </c>
      <c r="AY1636" s="1856" t="str">
        <f t="shared" si="306"/>
        <v/>
      </c>
    </row>
    <row r="1637" spans="42:52">
      <c r="AP1637" s="1855">
        <f t="shared" ref="AP1637:AP1700" si="307">IF(ISNUMBER(AS1637),AP1636+1,AP1636)</f>
        <v>44740</v>
      </c>
      <c r="AQ1637" s="925" t="str">
        <f t="shared" si="300"/>
        <v>MS</v>
      </c>
      <c r="AR1637" s="1856">
        <f t="shared" si="299"/>
        <v>44740.887499999997</v>
      </c>
      <c r="AS1637" s="927" t="s">
        <v>1982</v>
      </c>
      <c r="AT1637" s="1856" t="str">
        <f t="shared" si="301"/>
        <v/>
      </c>
      <c r="AU1637" s="1856" t="str">
        <f t="shared" si="302"/>
        <v/>
      </c>
      <c r="AV1637" s="1856" t="str">
        <f t="shared" si="303"/>
        <v/>
      </c>
      <c r="AW1637" s="1856" t="str">
        <f t="shared" si="304"/>
        <v/>
      </c>
      <c r="AX1637" s="1856" t="str">
        <f t="shared" si="305"/>
        <v/>
      </c>
      <c r="AY1637" s="1856" t="str">
        <f t="shared" si="306"/>
        <v/>
      </c>
    </row>
    <row r="1638" spans="42:52">
      <c r="AP1638" s="1855">
        <f t="shared" si="307"/>
        <v>44740</v>
      </c>
      <c r="AQ1638" s="925" t="str">
        <f t="shared" si="300"/>
        <v>EENT</v>
      </c>
      <c r="AR1638" s="1856">
        <f t="shared" si="299"/>
        <v>44740.931249999994</v>
      </c>
      <c r="AS1638" s="927" t="s">
        <v>1972</v>
      </c>
      <c r="AT1638" s="1856" t="str">
        <f t="shared" si="301"/>
        <v/>
      </c>
      <c r="AU1638" s="1856" t="str">
        <f t="shared" si="302"/>
        <v/>
      </c>
      <c r="AV1638" s="1856" t="str">
        <f t="shared" si="303"/>
        <v/>
      </c>
      <c r="AW1638" s="1856" t="str">
        <f t="shared" si="304"/>
        <v/>
      </c>
      <c r="AX1638" s="1856" t="str">
        <f t="shared" si="305"/>
        <v/>
      </c>
      <c r="AY1638" s="1856" t="str">
        <f t="shared" si="306"/>
        <v/>
      </c>
    </row>
    <row r="1639" spans="42:52">
      <c r="AP1639" s="1855">
        <f t="shared" si="307"/>
        <v>44741</v>
      </c>
      <c r="AQ1639" s="925" t="str">
        <f t="shared" si="300"/>
        <v/>
      </c>
      <c r="AR1639" s="1856" t="str">
        <f t="shared" si="299"/>
        <v/>
      </c>
      <c r="AS1639" s="927">
        <v>29</v>
      </c>
      <c r="AT1639" s="1856">
        <f t="shared" si="301"/>
        <v>44741.218055555561</v>
      </c>
      <c r="AU1639" s="1856">
        <f t="shared" si="302"/>
        <v>44741.26666666667</v>
      </c>
      <c r="AV1639" s="1856">
        <f t="shared" si="303"/>
        <v>44741.881944444445</v>
      </c>
      <c r="AW1639" s="1856">
        <f t="shared" si="304"/>
        <v>44741.931249999994</v>
      </c>
      <c r="AX1639" s="1856">
        <f t="shared" si="305"/>
        <v>44741.272222222222</v>
      </c>
      <c r="AY1639" s="1856">
        <f t="shared" si="306"/>
        <v>44741.921527777777</v>
      </c>
      <c r="AZ1639" s="1853">
        <v>0</v>
      </c>
    </row>
    <row r="1640" spans="42:52">
      <c r="AP1640" s="1855">
        <f t="shared" si="307"/>
        <v>44741</v>
      </c>
      <c r="AQ1640" s="925" t="str">
        <f t="shared" si="300"/>
        <v/>
      </c>
      <c r="AR1640" s="1856" t="str">
        <f t="shared" si="299"/>
        <v/>
      </c>
      <c r="AS1640" s="927" t="s">
        <v>252</v>
      </c>
      <c r="AT1640" s="1856" t="str">
        <f t="shared" si="301"/>
        <v/>
      </c>
      <c r="AU1640" s="1856" t="str">
        <f t="shared" si="302"/>
        <v/>
      </c>
      <c r="AV1640" s="1856" t="str">
        <f t="shared" si="303"/>
        <v/>
      </c>
      <c r="AW1640" s="1856" t="str">
        <f t="shared" si="304"/>
        <v/>
      </c>
      <c r="AX1640" s="1856" t="str">
        <f t="shared" si="305"/>
        <v/>
      </c>
      <c r="AY1640" s="1856" t="str">
        <f t="shared" si="306"/>
        <v/>
      </c>
    </row>
    <row r="1641" spans="42:52">
      <c r="AP1641" s="1855">
        <f t="shared" si="307"/>
        <v>44741</v>
      </c>
      <c r="AQ1641" s="925" t="str">
        <f t="shared" si="300"/>
        <v/>
      </c>
      <c r="AR1641" s="1856" t="str">
        <f t="shared" ref="AR1641:AR1704" si="308">IF(NOT(ISNUMBER(FIND(":",AS1641))),"",IF(ISNUMBER(FIND(" none",AS1641)),"NONE",AP1641+LEFT(RIGHT(AS1641,5),2)/24+RIGHT(AS1641,2)/1440))</f>
        <v/>
      </c>
      <c r="AT1641" s="1856" t="str">
        <f t="shared" si="301"/>
        <v/>
      </c>
      <c r="AU1641" s="1856" t="str">
        <f t="shared" si="302"/>
        <v/>
      </c>
      <c r="AV1641" s="1856" t="str">
        <f t="shared" si="303"/>
        <v/>
      </c>
      <c r="AW1641" s="1856" t="str">
        <f t="shared" si="304"/>
        <v/>
      </c>
      <c r="AX1641" s="1856" t="str">
        <f t="shared" si="305"/>
        <v/>
      </c>
      <c r="AY1641" s="1856" t="str">
        <f t="shared" si="306"/>
        <v/>
      </c>
    </row>
    <row r="1642" spans="42:52">
      <c r="AP1642" s="1855">
        <f t="shared" si="307"/>
        <v>44741</v>
      </c>
      <c r="AQ1642" s="925" t="str">
        <f t="shared" si="300"/>
        <v>BMNT</v>
      </c>
      <c r="AR1642" s="1856">
        <f t="shared" si="308"/>
        <v>44741.218055555561</v>
      </c>
      <c r="AS1642" s="927" t="s">
        <v>1900</v>
      </c>
      <c r="AT1642" s="1856" t="str">
        <f t="shared" si="301"/>
        <v/>
      </c>
      <c r="AU1642" s="1856" t="str">
        <f t="shared" si="302"/>
        <v/>
      </c>
      <c r="AV1642" s="1856" t="str">
        <f t="shared" si="303"/>
        <v/>
      </c>
      <c r="AW1642" s="1856" t="str">
        <f t="shared" si="304"/>
        <v/>
      </c>
      <c r="AX1642" s="1856" t="str">
        <f t="shared" si="305"/>
        <v/>
      </c>
      <c r="AY1642" s="1856" t="str">
        <f t="shared" si="306"/>
        <v/>
      </c>
    </row>
    <row r="1643" spans="42:52">
      <c r="AP1643" s="1855">
        <f t="shared" si="307"/>
        <v>44741</v>
      </c>
      <c r="AQ1643" s="925" t="str">
        <f t="shared" si="300"/>
        <v>SR</v>
      </c>
      <c r="AR1643" s="1856">
        <f t="shared" si="308"/>
        <v>44741.26666666667</v>
      </c>
      <c r="AS1643" s="927" t="s">
        <v>1892</v>
      </c>
      <c r="AT1643" s="1856" t="str">
        <f t="shared" si="301"/>
        <v/>
      </c>
      <c r="AU1643" s="1856" t="str">
        <f t="shared" si="302"/>
        <v/>
      </c>
      <c r="AV1643" s="1856" t="str">
        <f t="shared" si="303"/>
        <v/>
      </c>
      <c r="AW1643" s="1856" t="str">
        <f t="shared" si="304"/>
        <v/>
      </c>
      <c r="AX1643" s="1856" t="str">
        <f t="shared" si="305"/>
        <v/>
      </c>
      <c r="AY1643" s="1856" t="str">
        <f t="shared" si="306"/>
        <v/>
      </c>
    </row>
    <row r="1644" spans="42:52">
      <c r="AP1644" s="1855">
        <f t="shared" si="307"/>
        <v>44741</v>
      </c>
      <c r="AQ1644" s="925" t="str">
        <f t="shared" si="300"/>
        <v>MR</v>
      </c>
      <c r="AR1644" s="1856">
        <f t="shared" si="308"/>
        <v>44741.272222222222</v>
      </c>
      <c r="AS1644" s="927" t="s">
        <v>1983</v>
      </c>
      <c r="AT1644" s="1856" t="str">
        <f t="shared" si="301"/>
        <v/>
      </c>
      <c r="AU1644" s="1856" t="str">
        <f t="shared" si="302"/>
        <v/>
      </c>
      <c r="AV1644" s="1856" t="str">
        <f t="shared" si="303"/>
        <v/>
      </c>
      <c r="AW1644" s="1856" t="str">
        <f t="shared" si="304"/>
        <v/>
      </c>
      <c r="AX1644" s="1856" t="str">
        <f t="shared" si="305"/>
        <v/>
      </c>
      <c r="AY1644" s="1856" t="str">
        <f t="shared" si="306"/>
        <v/>
      </c>
    </row>
    <row r="1645" spans="42:52">
      <c r="AP1645" s="1855">
        <f t="shared" si="307"/>
        <v>44741</v>
      </c>
      <c r="AQ1645" s="925" t="str">
        <f t="shared" si="300"/>
        <v>SS</v>
      </c>
      <c r="AR1645" s="1856">
        <f t="shared" si="308"/>
        <v>44741.881944444445</v>
      </c>
      <c r="AS1645" s="927" t="s">
        <v>1969</v>
      </c>
      <c r="AT1645" s="1856" t="str">
        <f t="shared" si="301"/>
        <v/>
      </c>
      <c r="AU1645" s="1856" t="str">
        <f t="shared" si="302"/>
        <v/>
      </c>
      <c r="AV1645" s="1856" t="str">
        <f t="shared" si="303"/>
        <v/>
      </c>
      <c r="AW1645" s="1856" t="str">
        <f t="shared" si="304"/>
        <v/>
      </c>
      <c r="AX1645" s="1856" t="str">
        <f t="shared" si="305"/>
        <v/>
      </c>
      <c r="AY1645" s="1856" t="str">
        <f t="shared" si="306"/>
        <v/>
      </c>
    </row>
    <row r="1646" spans="42:52">
      <c r="AP1646" s="1855">
        <f t="shared" si="307"/>
        <v>44741</v>
      </c>
      <c r="AQ1646" s="925" t="str">
        <f t="shared" si="300"/>
        <v>MS</v>
      </c>
      <c r="AR1646" s="1856">
        <f t="shared" si="308"/>
        <v>44741.921527777777</v>
      </c>
      <c r="AS1646" s="927" t="s">
        <v>1984</v>
      </c>
      <c r="AT1646" s="1856" t="str">
        <f t="shared" si="301"/>
        <v/>
      </c>
      <c r="AU1646" s="1856" t="str">
        <f t="shared" si="302"/>
        <v/>
      </c>
      <c r="AV1646" s="1856" t="str">
        <f t="shared" si="303"/>
        <v/>
      </c>
      <c r="AW1646" s="1856" t="str">
        <f t="shared" si="304"/>
        <v/>
      </c>
      <c r="AX1646" s="1856" t="str">
        <f t="shared" si="305"/>
        <v/>
      </c>
      <c r="AY1646" s="1856" t="str">
        <f t="shared" si="306"/>
        <v/>
      </c>
    </row>
    <row r="1647" spans="42:52">
      <c r="AP1647" s="1855">
        <f t="shared" si="307"/>
        <v>44741</v>
      </c>
      <c r="AQ1647" s="925" t="str">
        <f t="shared" si="300"/>
        <v>EENT</v>
      </c>
      <c r="AR1647" s="1856">
        <f t="shared" si="308"/>
        <v>44741.931249999994</v>
      </c>
      <c r="AS1647" s="927" t="s">
        <v>1972</v>
      </c>
      <c r="AT1647" s="1856" t="str">
        <f t="shared" si="301"/>
        <v/>
      </c>
      <c r="AU1647" s="1856" t="str">
        <f t="shared" si="302"/>
        <v/>
      </c>
      <c r="AV1647" s="1856" t="str">
        <f t="shared" si="303"/>
        <v/>
      </c>
      <c r="AW1647" s="1856" t="str">
        <f t="shared" si="304"/>
        <v/>
      </c>
      <c r="AX1647" s="1856" t="str">
        <f t="shared" si="305"/>
        <v/>
      </c>
      <c r="AY1647" s="1856" t="str">
        <f t="shared" si="306"/>
        <v/>
      </c>
    </row>
    <row r="1648" spans="42:52">
      <c r="AP1648" s="1855">
        <f t="shared" si="307"/>
        <v>44742</v>
      </c>
      <c r="AQ1648" s="925" t="str">
        <f t="shared" si="300"/>
        <v/>
      </c>
      <c r="AR1648" s="1856" t="str">
        <f t="shared" si="308"/>
        <v/>
      </c>
      <c r="AS1648" s="927">
        <v>30</v>
      </c>
      <c r="AT1648" s="1856">
        <f t="shared" si="301"/>
        <v>44742.218055555561</v>
      </c>
      <c r="AU1648" s="1856">
        <f t="shared" si="302"/>
        <v>44742.267361111109</v>
      </c>
      <c r="AV1648" s="1856">
        <f t="shared" si="303"/>
        <v>44742.881944444445</v>
      </c>
      <c r="AW1648" s="1856">
        <f t="shared" si="304"/>
        <v>44742.931249999994</v>
      </c>
      <c r="AX1648" s="1856">
        <f t="shared" si="305"/>
        <v>44742.310416666667</v>
      </c>
      <c r="AY1648" s="1856">
        <f t="shared" si="306"/>
        <v>44742.950694444444</v>
      </c>
      <c r="AZ1648" s="1853">
        <v>0.01</v>
      </c>
    </row>
    <row r="1649" spans="42:52">
      <c r="AP1649" s="1855">
        <f t="shared" si="307"/>
        <v>44742</v>
      </c>
      <c r="AQ1649" s="925" t="str">
        <f t="shared" si="300"/>
        <v/>
      </c>
      <c r="AR1649" s="1856" t="str">
        <f t="shared" si="308"/>
        <v/>
      </c>
      <c r="AS1649" s="927" t="s">
        <v>252</v>
      </c>
      <c r="AT1649" s="1856" t="str">
        <f t="shared" si="301"/>
        <v/>
      </c>
      <c r="AU1649" s="1856" t="str">
        <f t="shared" si="302"/>
        <v/>
      </c>
      <c r="AV1649" s="1856" t="str">
        <f t="shared" si="303"/>
        <v/>
      </c>
      <c r="AW1649" s="1856" t="str">
        <f t="shared" si="304"/>
        <v/>
      </c>
      <c r="AX1649" s="1856" t="str">
        <f t="shared" si="305"/>
        <v/>
      </c>
      <c r="AY1649" s="1856" t="str">
        <f t="shared" si="306"/>
        <v/>
      </c>
    </row>
    <row r="1650" spans="42:52">
      <c r="AP1650" s="1855">
        <f t="shared" si="307"/>
        <v>44742</v>
      </c>
      <c r="AQ1650" s="925" t="str">
        <f t="shared" si="300"/>
        <v/>
      </c>
      <c r="AR1650" s="1856" t="str">
        <f t="shared" si="308"/>
        <v/>
      </c>
      <c r="AT1650" s="1856" t="str">
        <f t="shared" si="301"/>
        <v/>
      </c>
      <c r="AU1650" s="1856" t="str">
        <f t="shared" si="302"/>
        <v/>
      </c>
      <c r="AV1650" s="1856" t="str">
        <f t="shared" si="303"/>
        <v/>
      </c>
      <c r="AW1650" s="1856" t="str">
        <f t="shared" si="304"/>
        <v/>
      </c>
      <c r="AX1650" s="1856" t="str">
        <f t="shared" si="305"/>
        <v/>
      </c>
      <c r="AY1650" s="1856" t="str">
        <f t="shared" si="306"/>
        <v/>
      </c>
    </row>
    <row r="1651" spans="42:52">
      <c r="AP1651" s="1855">
        <f t="shared" si="307"/>
        <v>44742</v>
      </c>
      <c r="AQ1651" s="925" t="str">
        <f t="shared" si="300"/>
        <v>BMNT</v>
      </c>
      <c r="AR1651" s="1856">
        <f t="shared" si="308"/>
        <v>44742.218055555561</v>
      </c>
      <c r="AS1651" s="927" t="s">
        <v>1900</v>
      </c>
      <c r="AT1651" s="1856" t="str">
        <f t="shared" si="301"/>
        <v/>
      </c>
      <c r="AU1651" s="1856" t="str">
        <f t="shared" si="302"/>
        <v/>
      </c>
      <c r="AV1651" s="1856" t="str">
        <f t="shared" si="303"/>
        <v/>
      </c>
      <c r="AW1651" s="1856" t="str">
        <f t="shared" si="304"/>
        <v/>
      </c>
      <c r="AX1651" s="1856" t="str">
        <f t="shared" si="305"/>
        <v/>
      </c>
      <c r="AY1651" s="1856" t="str">
        <f t="shared" si="306"/>
        <v/>
      </c>
    </row>
    <row r="1652" spans="42:52">
      <c r="AP1652" s="1855">
        <f t="shared" si="307"/>
        <v>44742</v>
      </c>
      <c r="AQ1652" s="925" t="str">
        <f t="shared" ref="AQ1652:AQ1715" si="309">IF(NOT(ISNUMBER(FIND(":",AS1652))),"",IF(ISNUMBER(FIND("Sunr",AS1652)),"SR", IF(ISNUMBER(FIND("Suns",AS1652)),"SS",IF(ISNUMBER(FIND("Moonr",AS1652)),"MR",IF(ISNUMBER(FIND("Moons",AS1652)),"MS",IF(ISNUMBER(FIND("Twi",AS1652)),IF(HOUR(AR1652)&lt;12,"BMNT","EENT")))))))</f>
        <v>SR</v>
      </c>
      <c r="AR1652" s="1856">
        <f t="shared" si="308"/>
        <v>44742.267361111109</v>
      </c>
      <c r="AS1652" s="927" t="s">
        <v>1882</v>
      </c>
      <c r="AT1652" s="1856" t="str">
        <f t="shared" si="301"/>
        <v/>
      </c>
      <c r="AU1652" s="1856" t="str">
        <f t="shared" si="302"/>
        <v/>
      </c>
      <c r="AV1652" s="1856" t="str">
        <f t="shared" si="303"/>
        <v/>
      </c>
      <c r="AW1652" s="1856" t="str">
        <f t="shared" si="304"/>
        <v/>
      </c>
      <c r="AX1652" s="1856" t="str">
        <f t="shared" si="305"/>
        <v/>
      </c>
      <c r="AY1652" s="1856" t="str">
        <f t="shared" si="306"/>
        <v/>
      </c>
    </row>
    <row r="1653" spans="42:52">
      <c r="AP1653" s="1855">
        <f t="shared" si="307"/>
        <v>44742</v>
      </c>
      <c r="AQ1653" s="925" t="str">
        <f t="shared" si="309"/>
        <v>MR</v>
      </c>
      <c r="AR1653" s="1856">
        <f t="shared" si="308"/>
        <v>44742.310416666667</v>
      </c>
      <c r="AS1653" s="927" t="s">
        <v>1985</v>
      </c>
      <c r="AT1653" s="1856" t="str">
        <f t="shared" si="301"/>
        <v/>
      </c>
      <c r="AU1653" s="1856" t="str">
        <f t="shared" si="302"/>
        <v/>
      </c>
      <c r="AV1653" s="1856" t="str">
        <f t="shared" si="303"/>
        <v/>
      </c>
      <c r="AW1653" s="1856" t="str">
        <f t="shared" si="304"/>
        <v/>
      </c>
      <c r="AX1653" s="1856" t="str">
        <f t="shared" si="305"/>
        <v/>
      </c>
      <c r="AY1653" s="1856" t="str">
        <f t="shared" si="306"/>
        <v/>
      </c>
    </row>
    <row r="1654" spans="42:52">
      <c r="AP1654" s="1855">
        <f t="shared" si="307"/>
        <v>44742</v>
      </c>
      <c r="AQ1654" s="925" t="str">
        <f t="shared" si="309"/>
        <v>SS</v>
      </c>
      <c r="AR1654" s="1856">
        <f t="shared" si="308"/>
        <v>44742.881944444445</v>
      </c>
      <c r="AS1654" s="927" t="s">
        <v>1969</v>
      </c>
      <c r="AT1654" s="1856" t="str">
        <f t="shared" si="301"/>
        <v/>
      </c>
      <c r="AU1654" s="1856" t="str">
        <f t="shared" si="302"/>
        <v/>
      </c>
      <c r="AV1654" s="1856" t="str">
        <f t="shared" si="303"/>
        <v/>
      </c>
      <c r="AW1654" s="1856" t="str">
        <f t="shared" si="304"/>
        <v/>
      </c>
      <c r="AX1654" s="1856" t="str">
        <f t="shared" si="305"/>
        <v/>
      </c>
      <c r="AY1654" s="1856" t="str">
        <f t="shared" si="306"/>
        <v/>
      </c>
    </row>
    <row r="1655" spans="42:52">
      <c r="AP1655" s="1855">
        <f t="shared" si="307"/>
        <v>44742</v>
      </c>
      <c r="AQ1655" s="925" t="str">
        <f t="shared" si="309"/>
        <v>EENT</v>
      </c>
      <c r="AR1655" s="1856">
        <f t="shared" si="308"/>
        <v>44742.931249999994</v>
      </c>
      <c r="AS1655" s="927" t="s">
        <v>1972</v>
      </c>
      <c r="AT1655" s="1856" t="str">
        <f t="shared" si="301"/>
        <v/>
      </c>
      <c r="AU1655" s="1856" t="str">
        <f t="shared" si="302"/>
        <v/>
      </c>
      <c r="AV1655" s="1856" t="str">
        <f t="shared" si="303"/>
        <v/>
      </c>
      <c r="AW1655" s="1856" t="str">
        <f t="shared" si="304"/>
        <v/>
      </c>
      <c r="AX1655" s="1856" t="str">
        <f t="shared" si="305"/>
        <v/>
      </c>
      <c r="AY1655" s="1856" t="str">
        <f t="shared" si="306"/>
        <v/>
      </c>
    </row>
    <row r="1656" spans="42:52">
      <c r="AP1656" s="1855">
        <f t="shared" si="307"/>
        <v>44742</v>
      </c>
      <c r="AQ1656" s="925" t="str">
        <f t="shared" si="309"/>
        <v>MS</v>
      </c>
      <c r="AR1656" s="1856">
        <f t="shared" si="308"/>
        <v>44742.950694444444</v>
      </c>
      <c r="AS1656" s="927" t="s">
        <v>1986</v>
      </c>
      <c r="AT1656" s="1856" t="str">
        <f t="shared" si="301"/>
        <v/>
      </c>
      <c r="AU1656" s="1856" t="str">
        <f t="shared" si="302"/>
        <v/>
      </c>
      <c r="AV1656" s="1856" t="str">
        <f t="shared" si="303"/>
        <v/>
      </c>
      <c r="AW1656" s="1856" t="str">
        <f t="shared" si="304"/>
        <v/>
      </c>
      <c r="AX1656" s="1856" t="str">
        <f t="shared" si="305"/>
        <v/>
      </c>
      <c r="AY1656" s="1856" t="str">
        <f t="shared" si="306"/>
        <v/>
      </c>
    </row>
    <row r="1657" spans="42:52">
      <c r="AP1657" s="1855">
        <f t="shared" si="307"/>
        <v>44743</v>
      </c>
      <c r="AQ1657" s="925" t="str">
        <f t="shared" si="309"/>
        <v/>
      </c>
      <c r="AR1657" s="1856" t="str">
        <f t="shared" si="308"/>
        <v/>
      </c>
      <c r="AS1657" s="927">
        <v>1</v>
      </c>
      <c r="AT1657" s="1856">
        <f t="shared" si="301"/>
        <v>44743.21875</v>
      </c>
      <c r="AU1657" s="1856">
        <f t="shared" si="302"/>
        <v>44743.267361111109</v>
      </c>
      <c r="AV1657" s="1856">
        <f t="shared" si="303"/>
        <v>44743.881944444445</v>
      </c>
      <c r="AW1657" s="1856">
        <f t="shared" si="304"/>
        <v>44743.931249999994</v>
      </c>
      <c r="AX1657" s="1856">
        <f t="shared" si="305"/>
        <v>44743.350694444445</v>
      </c>
      <c r="AY1657" s="1856">
        <f t="shared" si="306"/>
        <v>44743.975694444445</v>
      </c>
      <c r="AZ1657" s="1853">
        <v>0.04</v>
      </c>
    </row>
    <row r="1658" spans="42:52">
      <c r="AP1658" s="1855">
        <f t="shared" si="307"/>
        <v>44743</v>
      </c>
      <c r="AQ1658" s="925" t="str">
        <f t="shared" si="309"/>
        <v/>
      </c>
      <c r="AR1658" s="1856" t="str">
        <f t="shared" si="308"/>
        <v/>
      </c>
      <c r="AS1658" s="927" t="s">
        <v>252</v>
      </c>
      <c r="AT1658" s="1856" t="str">
        <f t="shared" si="301"/>
        <v/>
      </c>
      <c r="AU1658" s="1856" t="str">
        <f t="shared" si="302"/>
        <v/>
      </c>
      <c r="AV1658" s="1856" t="str">
        <f t="shared" si="303"/>
        <v/>
      </c>
      <c r="AW1658" s="1856" t="str">
        <f t="shared" si="304"/>
        <v/>
      </c>
      <c r="AX1658" s="1856" t="str">
        <f t="shared" si="305"/>
        <v/>
      </c>
      <c r="AY1658" s="1856" t="str">
        <f t="shared" si="306"/>
        <v/>
      </c>
    </row>
    <row r="1659" spans="42:52">
      <c r="AP1659" s="1855">
        <f t="shared" si="307"/>
        <v>44743</v>
      </c>
      <c r="AQ1659" s="925" t="str">
        <f t="shared" si="309"/>
        <v/>
      </c>
      <c r="AR1659" s="1856" t="str">
        <f t="shared" si="308"/>
        <v/>
      </c>
      <c r="AT1659" s="1856" t="str">
        <f t="shared" si="301"/>
        <v/>
      </c>
      <c r="AU1659" s="1856" t="str">
        <f t="shared" si="302"/>
        <v/>
      </c>
      <c r="AV1659" s="1856" t="str">
        <f t="shared" si="303"/>
        <v/>
      </c>
      <c r="AW1659" s="1856" t="str">
        <f t="shared" si="304"/>
        <v/>
      </c>
      <c r="AX1659" s="1856" t="str">
        <f t="shared" si="305"/>
        <v/>
      </c>
      <c r="AY1659" s="1856" t="str">
        <f t="shared" si="306"/>
        <v/>
      </c>
    </row>
    <row r="1660" spans="42:52">
      <c r="AP1660" s="1855">
        <f t="shared" si="307"/>
        <v>44743</v>
      </c>
      <c r="AQ1660" s="925" t="str">
        <f t="shared" si="309"/>
        <v>BMNT</v>
      </c>
      <c r="AR1660" s="1856">
        <f t="shared" si="308"/>
        <v>44743.21875</v>
      </c>
      <c r="AS1660" s="927" t="s">
        <v>1895</v>
      </c>
      <c r="AT1660" s="1856" t="str">
        <f t="shared" si="301"/>
        <v/>
      </c>
      <c r="AU1660" s="1856" t="str">
        <f t="shared" si="302"/>
        <v/>
      </c>
      <c r="AV1660" s="1856" t="str">
        <f t="shared" si="303"/>
        <v/>
      </c>
      <c r="AW1660" s="1856" t="str">
        <f t="shared" si="304"/>
        <v/>
      </c>
      <c r="AX1660" s="1856" t="str">
        <f t="shared" si="305"/>
        <v/>
      </c>
      <c r="AY1660" s="1856" t="str">
        <f t="shared" si="306"/>
        <v/>
      </c>
    </row>
    <row r="1661" spans="42:52">
      <c r="AP1661" s="1855">
        <f t="shared" si="307"/>
        <v>44743</v>
      </c>
      <c r="AQ1661" s="925" t="str">
        <f t="shared" si="309"/>
        <v>SR</v>
      </c>
      <c r="AR1661" s="1856">
        <f t="shared" si="308"/>
        <v>44743.267361111109</v>
      </c>
      <c r="AS1661" s="927" t="s">
        <v>1882</v>
      </c>
      <c r="AT1661" s="1856" t="str">
        <f t="shared" si="301"/>
        <v/>
      </c>
      <c r="AU1661" s="1856" t="str">
        <f t="shared" si="302"/>
        <v/>
      </c>
      <c r="AV1661" s="1856" t="str">
        <f t="shared" si="303"/>
        <v/>
      </c>
      <c r="AW1661" s="1856" t="str">
        <f t="shared" si="304"/>
        <v/>
      </c>
      <c r="AX1661" s="1856" t="str">
        <f t="shared" si="305"/>
        <v/>
      </c>
      <c r="AY1661" s="1856" t="str">
        <f t="shared" si="306"/>
        <v/>
      </c>
    </row>
    <row r="1662" spans="42:52">
      <c r="AP1662" s="1855">
        <f t="shared" si="307"/>
        <v>44743</v>
      </c>
      <c r="AQ1662" s="925" t="str">
        <f t="shared" si="309"/>
        <v>MR</v>
      </c>
      <c r="AR1662" s="1856">
        <f t="shared" si="308"/>
        <v>44743.350694444445</v>
      </c>
      <c r="AS1662" s="927" t="s">
        <v>1987</v>
      </c>
      <c r="AT1662" s="1856" t="str">
        <f t="shared" si="301"/>
        <v/>
      </c>
      <c r="AU1662" s="1856" t="str">
        <f t="shared" si="302"/>
        <v/>
      </c>
      <c r="AV1662" s="1856" t="str">
        <f t="shared" si="303"/>
        <v/>
      </c>
      <c r="AW1662" s="1856" t="str">
        <f t="shared" si="304"/>
        <v/>
      </c>
      <c r="AX1662" s="1856" t="str">
        <f t="shared" si="305"/>
        <v/>
      </c>
      <c r="AY1662" s="1856" t="str">
        <f t="shared" si="306"/>
        <v/>
      </c>
    </row>
    <row r="1663" spans="42:52">
      <c r="AP1663" s="1855">
        <f t="shared" si="307"/>
        <v>44743</v>
      </c>
      <c r="AQ1663" s="925" t="str">
        <f t="shared" si="309"/>
        <v>SS</v>
      </c>
      <c r="AR1663" s="1856">
        <f t="shared" si="308"/>
        <v>44743.881944444445</v>
      </c>
      <c r="AS1663" s="927" t="s">
        <v>1969</v>
      </c>
      <c r="AT1663" s="1856" t="str">
        <f t="shared" si="301"/>
        <v/>
      </c>
      <c r="AU1663" s="1856" t="str">
        <f t="shared" si="302"/>
        <v/>
      </c>
      <c r="AV1663" s="1856" t="str">
        <f t="shared" si="303"/>
        <v/>
      </c>
      <c r="AW1663" s="1856" t="str">
        <f t="shared" si="304"/>
        <v/>
      </c>
      <c r="AX1663" s="1856" t="str">
        <f t="shared" si="305"/>
        <v/>
      </c>
      <c r="AY1663" s="1856" t="str">
        <f t="shared" si="306"/>
        <v/>
      </c>
    </row>
    <row r="1664" spans="42:52">
      <c r="AP1664" s="1855">
        <f t="shared" si="307"/>
        <v>44743</v>
      </c>
      <c r="AQ1664" s="925" t="str">
        <f t="shared" si="309"/>
        <v>EENT</v>
      </c>
      <c r="AR1664" s="1856">
        <f t="shared" si="308"/>
        <v>44743.931249999994</v>
      </c>
      <c r="AS1664" s="927" t="s">
        <v>1972</v>
      </c>
      <c r="AT1664" s="1856" t="str">
        <f t="shared" si="301"/>
        <v/>
      </c>
      <c r="AU1664" s="1856" t="str">
        <f t="shared" si="302"/>
        <v/>
      </c>
      <c r="AV1664" s="1856" t="str">
        <f t="shared" si="303"/>
        <v/>
      </c>
      <c r="AW1664" s="1856" t="str">
        <f t="shared" si="304"/>
        <v/>
      </c>
      <c r="AX1664" s="1856" t="str">
        <f t="shared" si="305"/>
        <v/>
      </c>
      <c r="AY1664" s="1856" t="str">
        <f t="shared" si="306"/>
        <v/>
      </c>
    </row>
    <row r="1665" spans="42:52">
      <c r="AP1665" s="1855">
        <f t="shared" si="307"/>
        <v>44743</v>
      </c>
      <c r="AQ1665" s="925" t="str">
        <f t="shared" si="309"/>
        <v>MS</v>
      </c>
      <c r="AR1665" s="1856">
        <f t="shared" si="308"/>
        <v>44743.975694444445</v>
      </c>
      <c r="AS1665" s="927" t="s">
        <v>933</v>
      </c>
      <c r="AT1665" s="1856" t="str">
        <f t="shared" si="301"/>
        <v/>
      </c>
      <c r="AU1665" s="1856" t="str">
        <f t="shared" si="302"/>
        <v/>
      </c>
      <c r="AV1665" s="1856" t="str">
        <f t="shared" si="303"/>
        <v/>
      </c>
      <c r="AW1665" s="1856" t="str">
        <f t="shared" si="304"/>
        <v/>
      </c>
      <c r="AX1665" s="1856" t="str">
        <f t="shared" si="305"/>
        <v/>
      </c>
      <c r="AY1665" s="1856" t="str">
        <f t="shared" si="306"/>
        <v/>
      </c>
    </row>
    <row r="1666" spans="42:52">
      <c r="AP1666" s="1855">
        <f t="shared" si="307"/>
        <v>44744</v>
      </c>
      <c r="AQ1666" s="925" t="str">
        <f t="shared" si="309"/>
        <v/>
      </c>
      <c r="AR1666" s="1856" t="str">
        <f t="shared" si="308"/>
        <v/>
      </c>
      <c r="AS1666" s="927">
        <v>2</v>
      </c>
      <c r="AT1666" s="1856">
        <f t="shared" si="301"/>
        <v>44744.21875</v>
      </c>
      <c r="AU1666" s="1856">
        <f t="shared" si="302"/>
        <v>44744.268055555556</v>
      </c>
      <c r="AV1666" s="1856">
        <f t="shared" si="303"/>
        <v>44744.881944444445</v>
      </c>
      <c r="AW1666" s="1856">
        <f t="shared" si="304"/>
        <v>44744.930555555555</v>
      </c>
      <c r="AX1666" s="1856">
        <f t="shared" si="305"/>
        <v>44744.393055555556</v>
      </c>
      <c r="AY1666" s="1856">
        <f t="shared" si="306"/>
        <v>44744.997222222228</v>
      </c>
      <c r="AZ1666" s="1853">
        <v>0.09</v>
      </c>
    </row>
    <row r="1667" spans="42:52">
      <c r="AP1667" s="1855">
        <f t="shared" si="307"/>
        <v>44744</v>
      </c>
      <c r="AQ1667" s="925" t="str">
        <f t="shared" si="309"/>
        <v/>
      </c>
      <c r="AR1667" s="1856" t="str">
        <f t="shared" si="308"/>
        <v/>
      </c>
      <c r="AS1667" s="927" t="s">
        <v>252</v>
      </c>
      <c r="AT1667" s="1856" t="str">
        <f t="shared" si="301"/>
        <v/>
      </c>
      <c r="AU1667" s="1856" t="str">
        <f t="shared" si="302"/>
        <v/>
      </c>
      <c r="AV1667" s="1856" t="str">
        <f t="shared" si="303"/>
        <v/>
      </c>
      <c r="AW1667" s="1856" t="str">
        <f t="shared" si="304"/>
        <v/>
      </c>
      <c r="AX1667" s="1856" t="str">
        <f t="shared" si="305"/>
        <v/>
      </c>
      <c r="AY1667" s="1856" t="str">
        <f t="shared" si="306"/>
        <v/>
      </c>
    </row>
    <row r="1668" spans="42:52">
      <c r="AP1668" s="1855">
        <f t="shared" si="307"/>
        <v>44744</v>
      </c>
      <c r="AQ1668" s="925" t="str">
        <f t="shared" si="309"/>
        <v/>
      </c>
      <c r="AR1668" s="1856" t="str">
        <f t="shared" si="308"/>
        <v/>
      </c>
      <c r="AT1668" s="1856" t="str">
        <f t="shared" si="301"/>
        <v/>
      </c>
      <c r="AU1668" s="1856" t="str">
        <f t="shared" si="302"/>
        <v/>
      </c>
      <c r="AV1668" s="1856" t="str">
        <f t="shared" si="303"/>
        <v/>
      </c>
      <c r="AW1668" s="1856" t="str">
        <f t="shared" si="304"/>
        <v/>
      </c>
      <c r="AX1668" s="1856" t="str">
        <f t="shared" si="305"/>
        <v/>
      </c>
      <c r="AY1668" s="1856" t="str">
        <f t="shared" si="306"/>
        <v/>
      </c>
    </row>
    <row r="1669" spans="42:52">
      <c r="AP1669" s="1855">
        <f t="shared" si="307"/>
        <v>44744</v>
      </c>
      <c r="AQ1669" s="925" t="str">
        <f t="shared" si="309"/>
        <v>BMNT</v>
      </c>
      <c r="AR1669" s="1856">
        <f t="shared" si="308"/>
        <v>44744.21875</v>
      </c>
      <c r="AS1669" s="927" t="s">
        <v>1895</v>
      </c>
      <c r="AT1669" s="1856" t="str">
        <f t="shared" si="301"/>
        <v/>
      </c>
      <c r="AU1669" s="1856" t="str">
        <f t="shared" si="302"/>
        <v/>
      </c>
      <c r="AV1669" s="1856" t="str">
        <f t="shared" si="303"/>
        <v/>
      </c>
      <c r="AW1669" s="1856" t="str">
        <f t="shared" si="304"/>
        <v/>
      </c>
      <c r="AX1669" s="1856" t="str">
        <f t="shared" si="305"/>
        <v/>
      </c>
      <c r="AY1669" s="1856" t="str">
        <f t="shared" si="306"/>
        <v/>
      </c>
    </row>
    <row r="1670" spans="42:52">
      <c r="AP1670" s="1855">
        <f t="shared" si="307"/>
        <v>44744</v>
      </c>
      <c r="AQ1670" s="925" t="str">
        <f t="shared" si="309"/>
        <v>SR</v>
      </c>
      <c r="AR1670" s="1856">
        <f t="shared" si="308"/>
        <v>44744.268055555556</v>
      </c>
      <c r="AS1670" s="927" t="s">
        <v>1874</v>
      </c>
      <c r="AT1670" s="1856" t="str">
        <f t="shared" si="301"/>
        <v/>
      </c>
      <c r="AU1670" s="1856" t="str">
        <f t="shared" si="302"/>
        <v/>
      </c>
      <c r="AV1670" s="1856" t="str">
        <f t="shared" si="303"/>
        <v/>
      </c>
      <c r="AW1670" s="1856" t="str">
        <f t="shared" si="304"/>
        <v/>
      </c>
      <c r="AX1670" s="1856" t="str">
        <f t="shared" si="305"/>
        <v/>
      </c>
      <c r="AY1670" s="1856" t="str">
        <f t="shared" si="306"/>
        <v/>
      </c>
    </row>
    <row r="1671" spans="42:52">
      <c r="AP1671" s="1855">
        <f t="shared" si="307"/>
        <v>44744</v>
      </c>
      <c r="AQ1671" s="925" t="str">
        <f t="shared" si="309"/>
        <v>MR</v>
      </c>
      <c r="AR1671" s="1856">
        <f t="shared" si="308"/>
        <v>44744.393055555556</v>
      </c>
      <c r="AS1671" s="927" t="s">
        <v>1988</v>
      </c>
      <c r="AT1671" s="1856" t="str">
        <f t="shared" si="301"/>
        <v/>
      </c>
      <c r="AU1671" s="1856" t="str">
        <f t="shared" si="302"/>
        <v/>
      </c>
      <c r="AV1671" s="1856" t="str">
        <f t="shared" si="303"/>
        <v/>
      </c>
      <c r="AW1671" s="1856" t="str">
        <f t="shared" si="304"/>
        <v/>
      </c>
      <c r="AX1671" s="1856" t="str">
        <f t="shared" si="305"/>
        <v/>
      </c>
      <c r="AY1671" s="1856" t="str">
        <f t="shared" si="306"/>
        <v/>
      </c>
    </row>
    <row r="1672" spans="42:52">
      <c r="AP1672" s="1855">
        <f t="shared" si="307"/>
        <v>44744</v>
      </c>
      <c r="AQ1672" s="925" t="str">
        <f t="shared" si="309"/>
        <v>SS</v>
      </c>
      <c r="AR1672" s="1856">
        <f t="shared" si="308"/>
        <v>44744.881944444445</v>
      </c>
      <c r="AS1672" s="927" t="s">
        <v>1969</v>
      </c>
      <c r="AT1672" s="1856" t="str">
        <f t="shared" si="301"/>
        <v/>
      </c>
      <c r="AU1672" s="1856" t="str">
        <f t="shared" si="302"/>
        <v/>
      </c>
      <c r="AV1672" s="1856" t="str">
        <f t="shared" si="303"/>
        <v/>
      </c>
      <c r="AW1672" s="1856" t="str">
        <f t="shared" si="304"/>
        <v/>
      </c>
      <c r="AX1672" s="1856" t="str">
        <f t="shared" si="305"/>
        <v/>
      </c>
      <c r="AY1672" s="1856" t="str">
        <f t="shared" si="306"/>
        <v/>
      </c>
    </row>
    <row r="1673" spans="42:52">
      <c r="AP1673" s="1855">
        <f t="shared" si="307"/>
        <v>44744</v>
      </c>
      <c r="AQ1673" s="925" t="str">
        <f t="shared" si="309"/>
        <v>EENT</v>
      </c>
      <c r="AR1673" s="1856">
        <f t="shared" si="308"/>
        <v>44744.930555555555</v>
      </c>
      <c r="AS1673" s="927" t="s">
        <v>1962</v>
      </c>
      <c r="AT1673" s="1856" t="str">
        <f t="shared" si="301"/>
        <v/>
      </c>
      <c r="AU1673" s="1856" t="str">
        <f t="shared" si="302"/>
        <v/>
      </c>
      <c r="AV1673" s="1856" t="str">
        <f t="shared" si="303"/>
        <v/>
      </c>
      <c r="AW1673" s="1856" t="str">
        <f t="shared" si="304"/>
        <v/>
      </c>
      <c r="AX1673" s="1856" t="str">
        <f t="shared" si="305"/>
        <v/>
      </c>
      <c r="AY1673" s="1856" t="str">
        <f t="shared" si="306"/>
        <v/>
      </c>
    </row>
    <row r="1674" spans="42:52">
      <c r="AP1674" s="1855">
        <f t="shared" si="307"/>
        <v>44744</v>
      </c>
      <c r="AQ1674" s="925" t="str">
        <f t="shared" si="309"/>
        <v>MS</v>
      </c>
      <c r="AR1674" s="1856">
        <f t="shared" si="308"/>
        <v>44744.997222222228</v>
      </c>
      <c r="AS1674" s="927" t="s">
        <v>1989</v>
      </c>
      <c r="AT1674" s="1856" t="str">
        <f t="shared" si="301"/>
        <v/>
      </c>
      <c r="AU1674" s="1856" t="str">
        <f t="shared" si="302"/>
        <v/>
      </c>
      <c r="AV1674" s="1856" t="str">
        <f t="shared" si="303"/>
        <v/>
      </c>
      <c r="AW1674" s="1856" t="str">
        <f t="shared" si="304"/>
        <v/>
      </c>
      <c r="AX1674" s="1856" t="str">
        <f t="shared" si="305"/>
        <v/>
      </c>
      <c r="AY1674" s="1856" t="str">
        <f t="shared" si="306"/>
        <v/>
      </c>
    </row>
    <row r="1675" spans="42:52">
      <c r="AP1675" s="1855">
        <f t="shared" si="307"/>
        <v>44745</v>
      </c>
      <c r="AQ1675" s="925" t="str">
        <f t="shared" si="309"/>
        <v/>
      </c>
      <c r="AR1675" s="1856" t="str">
        <f t="shared" si="308"/>
        <v/>
      </c>
      <c r="AS1675" s="927">
        <v>3</v>
      </c>
      <c r="AT1675" s="1856">
        <f t="shared" si="301"/>
        <v>44745.219444444447</v>
      </c>
      <c r="AU1675" s="1856">
        <f t="shared" si="302"/>
        <v>44745.268055555556</v>
      </c>
      <c r="AV1675" s="1856">
        <f t="shared" si="303"/>
        <v>44745.881944444445</v>
      </c>
      <c r="AW1675" s="1856">
        <f t="shared" si="304"/>
        <v>44745.930555555555</v>
      </c>
      <c r="AX1675" s="1856">
        <f t="shared" si="305"/>
        <v>44745.435416666667</v>
      </c>
      <c r="AY1675" s="1856" t="str">
        <f t="shared" si="306"/>
        <v>NONE</v>
      </c>
      <c r="AZ1675" s="1853">
        <v>0.14499999999999999</v>
      </c>
    </row>
    <row r="1676" spans="42:52">
      <c r="AP1676" s="1855">
        <f t="shared" si="307"/>
        <v>44745</v>
      </c>
      <c r="AQ1676" s="925" t="str">
        <f t="shared" si="309"/>
        <v/>
      </c>
      <c r="AR1676" s="1856" t="str">
        <f t="shared" si="308"/>
        <v/>
      </c>
      <c r="AS1676" s="927" t="s">
        <v>252</v>
      </c>
      <c r="AT1676" s="1856" t="str">
        <f t="shared" si="301"/>
        <v/>
      </c>
      <c r="AU1676" s="1856" t="str">
        <f t="shared" si="302"/>
        <v/>
      </c>
      <c r="AV1676" s="1856" t="str">
        <f t="shared" si="303"/>
        <v/>
      </c>
      <c r="AW1676" s="1856" t="str">
        <f t="shared" si="304"/>
        <v/>
      </c>
      <c r="AX1676" s="1856" t="str">
        <f t="shared" si="305"/>
        <v/>
      </c>
      <c r="AY1676" s="1856" t="str">
        <f t="shared" si="306"/>
        <v/>
      </c>
    </row>
    <row r="1677" spans="42:52">
      <c r="AP1677" s="1855">
        <f t="shared" si="307"/>
        <v>44745</v>
      </c>
      <c r="AQ1677" s="925" t="str">
        <f t="shared" si="309"/>
        <v/>
      </c>
      <c r="AR1677" s="1856" t="str">
        <f t="shared" si="308"/>
        <v/>
      </c>
      <c r="AT1677" s="1856" t="str">
        <f t="shared" si="301"/>
        <v/>
      </c>
      <c r="AU1677" s="1856" t="str">
        <f t="shared" si="302"/>
        <v/>
      </c>
      <c r="AV1677" s="1856" t="str">
        <f t="shared" si="303"/>
        <v/>
      </c>
      <c r="AW1677" s="1856" t="str">
        <f t="shared" si="304"/>
        <v/>
      </c>
      <c r="AX1677" s="1856" t="str">
        <f t="shared" si="305"/>
        <v/>
      </c>
      <c r="AY1677" s="1856" t="str">
        <f t="shared" si="306"/>
        <v/>
      </c>
    </row>
    <row r="1678" spans="42:52">
      <c r="AP1678" s="1855">
        <f t="shared" si="307"/>
        <v>44745</v>
      </c>
      <c r="AQ1678" s="925" t="str">
        <f t="shared" si="309"/>
        <v>BMNT</v>
      </c>
      <c r="AR1678" s="1856">
        <f t="shared" si="308"/>
        <v>44745.219444444447</v>
      </c>
      <c r="AS1678" s="927" t="s">
        <v>1886</v>
      </c>
      <c r="AT1678" s="1856" t="str">
        <f t="shared" si="301"/>
        <v/>
      </c>
      <c r="AU1678" s="1856" t="str">
        <f t="shared" si="302"/>
        <v/>
      </c>
      <c r="AV1678" s="1856" t="str">
        <f t="shared" si="303"/>
        <v/>
      </c>
      <c r="AW1678" s="1856" t="str">
        <f t="shared" si="304"/>
        <v/>
      </c>
      <c r="AX1678" s="1856" t="str">
        <f t="shared" si="305"/>
        <v/>
      </c>
      <c r="AY1678" s="1856" t="str">
        <f t="shared" si="306"/>
        <v/>
      </c>
    </row>
    <row r="1679" spans="42:52">
      <c r="AP1679" s="1855">
        <f t="shared" si="307"/>
        <v>44745</v>
      </c>
      <c r="AQ1679" s="925" t="str">
        <f t="shared" si="309"/>
        <v>SR</v>
      </c>
      <c r="AR1679" s="1856">
        <f t="shared" si="308"/>
        <v>44745.268055555556</v>
      </c>
      <c r="AS1679" s="927" t="s">
        <v>1874</v>
      </c>
      <c r="AT1679" s="1856" t="str">
        <f t="shared" si="301"/>
        <v/>
      </c>
      <c r="AU1679" s="1856" t="str">
        <f t="shared" si="302"/>
        <v/>
      </c>
      <c r="AV1679" s="1856" t="str">
        <f t="shared" si="303"/>
        <v/>
      </c>
      <c r="AW1679" s="1856" t="str">
        <f t="shared" si="304"/>
        <v/>
      </c>
      <c r="AX1679" s="1856" t="str">
        <f t="shared" si="305"/>
        <v/>
      </c>
      <c r="AY1679" s="1856" t="str">
        <f t="shared" si="306"/>
        <v/>
      </c>
    </row>
    <row r="1680" spans="42:52">
      <c r="AP1680" s="1855">
        <f t="shared" si="307"/>
        <v>44745</v>
      </c>
      <c r="AQ1680" s="925" t="str">
        <f t="shared" si="309"/>
        <v>MR</v>
      </c>
      <c r="AR1680" s="1856">
        <f t="shared" si="308"/>
        <v>44745.435416666667</v>
      </c>
      <c r="AS1680" s="927" t="s">
        <v>1990</v>
      </c>
      <c r="AT1680" s="1856" t="str">
        <f t="shared" si="301"/>
        <v/>
      </c>
      <c r="AU1680" s="1856" t="str">
        <f t="shared" si="302"/>
        <v/>
      </c>
      <c r="AV1680" s="1856" t="str">
        <f t="shared" si="303"/>
        <v/>
      </c>
      <c r="AW1680" s="1856" t="str">
        <f t="shared" si="304"/>
        <v/>
      </c>
      <c r="AX1680" s="1856" t="str">
        <f t="shared" si="305"/>
        <v/>
      </c>
      <c r="AY1680" s="1856" t="str">
        <f t="shared" si="306"/>
        <v/>
      </c>
    </row>
    <row r="1681" spans="42:52">
      <c r="AP1681" s="1855">
        <f t="shared" si="307"/>
        <v>44745</v>
      </c>
      <c r="AQ1681" s="925" t="str">
        <f t="shared" si="309"/>
        <v>SS</v>
      </c>
      <c r="AR1681" s="1856">
        <f t="shared" si="308"/>
        <v>44745.881944444445</v>
      </c>
      <c r="AS1681" s="927" t="s">
        <v>1969</v>
      </c>
      <c r="AT1681" s="1856" t="str">
        <f t="shared" si="301"/>
        <v/>
      </c>
      <c r="AU1681" s="1856" t="str">
        <f t="shared" si="302"/>
        <v/>
      </c>
      <c r="AV1681" s="1856" t="str">
        <f t="shared" si="303"/>
        <v/>
      </c>
      <c r="AW1681" s="1856" t="str">
        <f t="shared" si="304"/>
        <v/>
      </c>
      <c r="AX1681" s="1856" t="str">
        <f t="shared" si="305"/>
        <v/>
      </c>
      <c r="AY1681" s="1856" t="str">
        <f t="shared" si="306"/>
        <v/>
      </c>
    </row>
    <row r="1682" spans="42:52">
      <c r="AP1682" s="1855">
        <f t="shared" si="307"/>
        <v>44745</v>
      </c>
      <c r="AQ1682" s="925" t="str">
        <f t="shared" si="309"/>
        <v>EENT</v>
      </c>
      <c r="AR1682" s="1856">
        <f t="shared" si="308"/>
        <v>44745.930555555555</v>
      </c>
      <c r="AS1682" s="927" t="s">
        <v>1962</v>
      </c>
      <c r="AT1682" s="1856" t="str">
        <f t="shared" si="301"/>
        <v/>
      </c>
      <c r="AU1682" s="1856" t="str">
        <f t="shared" si="302"/>
        <v/>
      </c>
      <c r="AV1682" s="1856" t="str">
        <f t="shared" si="303"/>
        <v/>
      </c>
      <c r="AW1682" s="1856" t="str">
        <f t="shared" si="304"/>
        <v/>
      </c>
      <c r="AX1682" s="1856" t="str">
        <f t="shared" si="305"/>
        <v/>
      </c>
      <c r="AY1682" s="1856" t="str">
        <f t="shared" si="306"/>
        <v/>
      </c>
    </row>
    <row r="1683" spans="42:52">
      <c r="AP1683" s="1855">
        <f t="shared" si="307"/>
        <v>44745</v>
      </c>
      <c r="AQ1683" s="925" t="str">
        <f t="shared" si="309"/>
        <v>MS</v>
      </c>
      <c r="AR1683" s="1856" t="str">
        <f t="shared" si="308"/>
        <v>NONE</v>
      </c>
      <c r="AS1683" s="927" t="s">
        <v>948</v>
      </c>
      <c r="AT1683" s="1856" t="str">
        <f t="shared" si="301"/>
        <v/>
      </c>
      <c r="AU1683" s="1856" t="str">
        <f t="shared" si="302"/>
        <v/>
      </c>
      <c r="AV1683" s="1856" t="str">
        <f t="shared" si="303"/>
        <v/>
      </c>
      <c r="AW1683" s="1856" t="str">
        <f t="shared" si="304"/>
        <v/>
      </c>
      <c r="AX1683" s="1856" t="str">
        <f t="shared" si="305"/>
        <v/>
      </c>
      <c r="AY1683" s="1856" t="str">
        <f t="shared" si="306"/>
        <v/>
      </c>
    </row>
    <row r="1684" spans="42:52">
      <c r="AP1684" s="1855">
        <f t="shared" si="307"/>
        <v>44746</v>
      </c>
      <c r="AQ1684" s="925" t="str">
        <f t="shared" si="309"/>
        <v/>
      </c>
      <c r="AR1684" s="1856" t="str">
        <f t="shared" si="308"/>
        <v/>
      </c>
      <c r="AS1684" s="927">
        <v>4</v>
      </c>
      <c r="AT1684" s="1856">
        <f t="shared" si="301"/>
        <v>44746.220138888893</v>
      </c>
      <c r="AU1684" s="1856">
        <f t="shared" si="302"/>
        <v>44746.268750000003</v>
      </c>
      <c r="AV1684" s="1856">
        <f t="shared" si="303"/>
        <v>44746.881944444445</v>
      </c>
      <c r="AW1684" s="1856">
        <f t="shared" si="304"/>
        <v>44746.930555555555</v>
      </c>
      <c r="AX1684" s="1856">
        <f t="shared" si="305"/>
        <v>44746.477777777778</v>
      </c>
      <c r="AY1684" s="1856">
        <f t="shared" si="306"/>
        <v>44746.015972222223</v>
      </c>
      <c r="AZ1684" s="1853">
        <v>0.22</v>
      </c>
    </row>
    <row r="1685" spans="42:52">
      <c r="AP1685" s="1855">
        <f t="shared" si="307"/>
        <v>44746</v>
      </c>
      <c r="AQ1685" s="925" t="str">
        <f t="shared" si="309"/>
        <v/>
      </c>
      <c r="AR1685" s="1856" t="str">
        <f t="shared" si="308"/>
        <v/>
      </c>
      <c r="AS1685" s="927" t="s">
        <v>252</v>
      </c>
      <c r="AT1685" s="1856" t="str">
        <f t="shared" si="301"/>
        <v/>
      </c>
      <c r="AU1685" s="1856" t="str">
        <f t="shared" si="302"/>
        <v/>
      </c>
      <c r="AV1685" s="1856" t="str">
        <f t="shared" si="303"/>
        <v/>
      </c>
      <c r="AW1685" s="1856" t="str">
        <f t="shared" si="304"/>
        <v/>
      </c>
      <c r="AX1685" s="1856" t="str">
        <f t="shared" si="305"/>
        <v/>
      </c>
      <c r="AY1685" s="1856" t="str">
        <f t="shared" si="306"/>
        <v/>
      </c>
    </row>
    <row r="1686" spans="42:52">
      <c r="AP1686" s="1855">
        <f t="shared" si="307"/>
        <v>44746</v>
      </c>
      <c r="AQ1686" s="925" t="str">
        <f t="shared" si="309"/>
        <v/>
      </c>
      <c r="AR1686" s="1856" t="str">
        <f t="shared" si="308"/>
        <v/>
      </c>
      <c r="AT1686" s="1856" t="str">
        <f t="shared" si="301"/>
        <v/>
      </c>
      <c r="AU1686" s="1856" t="str">
        <f t="shared" si="302"/>
        <v/>
      </c>
      <c r="AV1686" s="1856" t="str">
        <f t="shared" si="303"/>
        <v/>
      </c>
      <c r="AW1686" s="1856" t="str">
        <f t="shared" si="304"/>
        <v/>
      </c>
      <c r="AX1686" s="1856" t="str">
        <f t="shared" si="305"/>
        <v/>
      </c>
      <c r="AY1686" s="1856" t="str">
        <f t="shared" si="306"/>
        <v/>
      </c>
    </row>
    <row r="1687" spans="42:52">
      <c r="AP1687" s="1855">
        <f t="shared" si="307"/>
        <v>44746</v>
      </c>
      <c r="AQ1687" s="925" t="str">
        <f t="shared" si="309"/>
        <v>MS</v>
      </c>
      <c r="AR1687" s="1856">
        <f t="shared" si="308"/>
        <v>44746.015972222223</v>
      </c>
      <c r="AS1687" s="927" t="s">
        <v>1991</v>
      </c>
      <c r="AT1687" s="1856" t="str">
        <f t="shared" si="301"/>
        <v/>
      </c>
      <c r="AU1687" s="1856" t="str">
        <f t="shared" si="302"/>
        <v/>
      </c>
      <c r="AV1687" s="1856" t="str">
        <f t="shared" si="303"/>
        <v/>
      </c>
      <c r="AW1687" s="1856" t="str">
        <f t="shared" si="304"/>
        <v/>
      </c>
      <c r="AX1687" s="1856" t="str">
        <f t="shared" si="305"/>
        <v/>
      </c>
      <c r="AY1687" s="1856" t="str">
        <f t="shared" si="306"/>
        <v/>
      </c>
    </row>
    <row r="1688" spans="42:52">
      <c r="AP1688" s="1855">
        <f t="shared" si="307"/>
        <v>44746</v>
      </c>
      <c r="AQ1688" s="925" t="str">
        <f t="shared" si="309"/>
        <v>BMNT</v>
      </c>
      <c r="AR1688" s="1856">
        <f t="shared" si="308"/>
        <v>44746.220138888893</v>
      </c>
      <c r="AS1688" s="927" t="s">
        <v>1880</v>
      </c>
      <c r="AT1688" s="1856" t="str">
        <f t="shared" si="301"/>
        <v/>
      </c>
      <c r="AU1688" s="1856" t="str">
        <f t="shared" si="302"/>
        <v/>
      </c>
      <c r="AV1688" s="1856" t="str">
        <f t="shared" si="303"/>
        <v/>
      </c>
      <c r="AW1688" s="1856" t="str">
        <f t="shared" si="304"/>
        <v/>
      </c>
      <c r="AX1688" s="1856" t="str">
        <f t="shared" si="305"/>
        <v/>
      </c>
      <c r="AY1688" s="1856" t="str">
        <f t="shared" si="306"/>
        <v/>
      </c>
    </row>
    <row r="1689" spans="42:52">
      <c r="AP1689" s="1855">
        <f t="shared" si="307"/>
        <v>44746</v>
      </c>
      <c r="AQ1689" s="925" t="str">
        <f t="shared" si="309"/>
        <v>SR</v>
      </c>
      <c r="AR1689" s="1856">
        <f t="shared" si="308"/>
        <v>44746.268750000003</v>
      </c>
      <c r="AS1689" s="927" t="s">
        <v>1863</v>
      </c>
      <c r="AT1689" s="1856" t="str">
        <f t="shared" si="301"/>
        <v/>
      </c>
      <c r="AU1689" s="1856" t="str">
        <f t="shared" si="302"/>
        <v/>
      </c>
      <c r="AV1689" s="1856" t="str">
        <f t="shared" si="303"/>
        <v/>
      </c>
      <c r="AW1689" s="1856" t="str">
        <f t="shared" si="304"/>
        <v/>
      </c>
      <c r="AX1689" s="1856" t="str">
        <f t="shared" si="305"/>
        <v/>
      </c>
      <c r="AY1689" s="1856" t="str">
        <f t="shared" si="306"/>
        <v/>
      </c>
    </row>
    <row r="1690" spans="42:52">
      <c r="AP1690" s="1855">
        <f t="shared" si="307"/>
        <v>44746</v>
      </c>
      <c r="AQ1690" s="925" t="str">
        <f t="shared" si="309"/>
        <v>MR</v>
      </c>
      <c r="AR1690" s="1856">
        <f t="shared" si="308"/>
        <v>44746.477777777778</v>
      </c>
      <c r="AS1690" s="927" t="s">
        <v>1992</v>
      </c>
      <c r="AT1690" s="1856" t="str">
        <f t="shared" si="301"/>
        <v/>
      </c>
      <c r="AU1690" s="1856" t="str">
        <f t="shared" si="302"/>
        <v/>
      </c>
      <c r="AV1690" s="1856" t="str">
        <f t="shared" si="303"/>
        <v/>
      </c>
      <c r="AW1690" s="1856" t="str">
        <f t="shared" si="304"/>
        <v/>
      </c>
      <c r="AX1690" s="1856" t="str">
        <f t="shared" si="305"/>
        <v/>
      </c>
      <c r="AY1690" s="1856" t="str">
        <f t="shared" si="306"/>
        <v/>
      </c>
    </row>
    <row r="1691" spans="42:52">
      <c r="AP1691" s="1855">
        <f t="shared" si="307"/>
        <v>44746</v>
      </c>
      <c r="AQ1691" s="925" t="str">
        <f t="shared" si="309"/>
        <v>SS</v>
      </c>
      <c r="AR1691" s="1856">
        <f t="shared" si="308"/>
        <v>44746.881944444445</v>
      </c>
      <c r="AS1691" s="927" t="s">
        <v>1969</v>
      </c>
      <c r="AT1691" s="1856" t="str">
        <f t="shared" si="301"/>
        <v/>
      </c>
      <c r="AU1691" s="1856" t="str">
        <f t="shared" si="302"/>
        <v/>
      </c>
      <c r="AV1691" s="1856" t="str">
        <f t="shared" si="303"/>
        <v/>
      </c>
      <c r="AW1691" s="1856" t="str">
        <f t="shared" si="304"/>
        <v/>
      </c>
      <c r="AX1691" s="1856" t="str">
        <f t="shared" si="305"/>
        <v/>
      </c>
      <c r="AY1691" s="1856" t="str">
        <f t="shared" si="306"/>
        <v/>
      </c>
    </row>
    <row r="1692" spans="42:52">
      <c r="AP1692" s="1855">
        <f t="shared" si="307"/>
        <v>44746</v>
      </c>
      <c r="AQ1692" s="925" t="str">
        <f t="shared" si="309"/>
        <v>EENT</v>
      </c>
      <c r="AR1692" s="1856">
        <f t="shared" si="308"/>
        <v>44746.930555555555</v>
      </c>
      <c r="AS1692" s="927" t="s">
        <v>1962</v>
      </c>
      <c r="AT1692" s="1856" t="str">
        <f t="shared" ref="AT1692:AT1755" si="310">IF(ISNUMBER(AS1692),INDEX(AR1693:AR1703,MATCH($AT$27,AQ1693:AQ1703,0)),"")</f>
        <v/>
      </c>
      <c r="AU1692" s="1856" t="str">
        <f t="shared" ref="AU1692:AU1755" si="311">IF(AT1692="","",INDEX(AR1693:AR1703,MATCH($AU$27,AQ1693:AQ1703,0)))</f>
        <v/>
      </c>
      <c r="AV1692" s="1856" t="str">
        <f t="shared" ref="AV1692:AV1755" si="312">IF(AT1692="","",INDEX(AR1693:AR1703,MATCH($AV$27,AQ1693:AQ1703,0)))</f>
        <v/>
      </c>
      <c r="AW1692" s="1856" t="str">
        <f t="shared" ref="AW1692:AW1755" si="313">IF(AT1692="","",INDEX(AR1693:AR1703,MATCH($AW$27,AQ1693:AQ1703,0)))</f>
        <v/>
      </c>
      <c r="AX1692" s="1856" t="str">
        <f t="shared" ref="AX1692:AX1755" si="314">IF(AT1692="","",INDEX(AR1693:AR1703,MATCH($AX$27,AQ1693:AQ1703,0)))</f>
        <v/>
      </c>
      <c r="AY1692" s="1856" t="str">
        <f t="shared" ref="AY1692:AY1755" si="315">IF(AT1692="","",INDEX(AR1693:AR1703,MATCH($AY$27,AQ1693:AQ1703,0)))</f>
        <v/>
      </c>
    </row>
    <row r="1693" spans="42:52">
      <c r="AP1693" s="1855">
        <f t="shared" si="307"/>
        <v>44747</v>
      </c>
      <c r="AQ1693" s="925" t="str">
        <f t="shared" si="309"/>
        <v/>
      </c>
      <c r="AR1693" s="1856" t="str">
        <f t="shared" si="308"/>
        <v/>
      </c>
      <c r="AS1693" s="927">
        <v>5</v>
      </c>
      <c r="AT1693" s="1856">
        <f t="shared" si="310"/>
        <v>44747.220138888893</v>
      </c>
      <c r="AU1693" s="1856">
        <f t="shared" si="311"/>
        <v>44747.268750000003</v>
      </c>
      <c r="AV1693" s="1856">
        <f t="shared" si="312"/>
        <v>44747.881944444445</v>
      </c>
      <c r="AW1693" s="1856">
        <f t="shared" si="313"/>
        <v>44747.930555555555</v>
      </c>
      <c r="AX1693" s="1856">
        <f t="shared" si="314"/>
        <v>44747.520138888889</v>
      </c>
      <c r="AY1693" s="1856">
        <f t="shared" si="315"/>
        <v>44747.033333333333</v>
      </c>
      <c r="AZ1693" s="1853">
        <v>0.31</v>
      </c>
    </row>
    <row r="1694" spans="42:52">
      <c r="AP1694" s="1855">
        <f t="shared" si="307"/>
        <v>44747</v>
      </c>
      <c r="AQ1694" s="925" t="str">
        <f t="shared" si="309"/>
        <v/>
      </c>
      <c r="AR1694" s="1856" t="str">
        <f t="shared" si="308"/>
        <v/>
      </c>
      <c r="AS1694" s="927" t="s">
        <v>252</v>
      </c>
      <c r="AT1694" s="1856" t="str">
        <f t="shared" si="310"/>
        <v/>
      </c>
      <c r="AU1694" s="1856" t="str">
        <f t="shared" si="311"/>
        <v/>
      </c>
      <c r="AV1694" s="1856" t="str">
        <f t="shared" si="312"/>
        <v/>
      </c>
      <c r="AW1694" s="1856" t="str">
        <f t="shared" si="313"/>
        <v/>
      </c>
      <c r="AX1694" s="1856" t="str">
        <f t="shared" si="314"/>
        <v/>
      </c>
      <c r="AY1694" s="1856" t="str">
        <f t="shared" si="315"/>
        <v/>
      </c>
    </row>
    <row r="1695" spans="42:52">
      <c r="AP1695" s="1855">
        <f t="shared" si="307"/>
        <v>44747</v>
      </c>
      <c r="AQ1695" s="925" t="str">
        <f t="shared" si="309"/>
        <v/>
      </c>
      <c r="AR1695" s="1856" t="str">
        <f t="shared" si="308"/>
        <v/>
      </c>
      <c r="AT1695" s="1856" t="str">
        <f t="shared" si="310"/>
        <v/>
      </c>
      <c r="AU1695" s="1856" t="str">
        <f t="shared" si="311"/>
        <v/>
      </c>
      <c r="AV1695" s="1856" t="str">
        <f t="shared" si="312"/>
        <v/>
      </c>
      <c r="AW1695" s="1856" t="str">
        <f t="shared" si="313"/>
        <v/>
      </c>
      <c r="AX1695" s="1856" t="str">
        <f t="shared" si="314"/>
        <v/>
      </c>
      <c r="AY1695" s="1856" t="str">
        <f t="shared" si="315"/>
        <v/>
      </c>
    </row>
    <row r="1696" spans="42:52">
      <c r="AP1696" s="1855">
        <f t="shared" si="307"/>
        <v>44747</v>
      </c>
      <c r="AQ1696" s="925" t="str">
        <f t="shared" si="309"/>
        <v>MS</v>
      </c>
      <c r="AR1696" s="1856">
        <f t="shared" si="308"/>
        <v>44747.033333333333</v>
      </c>
      <c r="AS1696" s="927" t="s">
        <v>1993</v>
      </c>
      <c r="AT1696" s="1856" t="str">
        <f t="shared" si="310"/>
        <v/>
      </c>
      <c r="AU1696" s="1856" t="str">
        <f t="shared" si="311"/>
        <v/>
      </c>
      <c r="AV1696" s="1856" t="str">
        <f t="shared" si="312"/>
        <v/>
      </c>
      <c r="AW1696" s="1856" t="str">
        <f t="shared" si="313"/>
        <v/>
      </c>
      <c r="AX1696" s="1856" t="str">
        <f t="shared" si="314"/>
        <v/>
      </c>
      <c r="AY1696" s="1856" t="str">
        <f t="shared" si="315"/>
        <v/>
      </c>
    </row>
    <row r="1697" spans="42:52">
      <c r="AP1697" s="1855">
        <f t="shared" si="307"/>
        <v>44747</v>
      </c>
      <c r="AQ1697" s="925" t="str">
        <f t="shared" si="309"/>
        <v>BMNT</v>
      </c>
      <c r="AR1697" s="1856">
        <f t="shared" si="308"/>
        <v>44747.220138888893</v>
      </c>
      <c r="AS1697" s="927" t="s">
        <v>1880</v>
      </c>
      <c r="AT1697" s="1856" t="str">
        <f t="shared" si="310"/>
        <v/>
      </c>
      <c r="AU1697" s="1856" t="str">
        <f t="shared" si="311"/>
        <v/>
      </c>
      <c r="AV1697" s="1856" t="str">
        <f t="shared" si="312"/>
        <v/>
      </c>
      <c r="AW1697" s="1856" t="str">
        <f t="shared" si="313"/>
        <v/>
      </c>
      <c r="AX1697" s="1856" t="str">
        <f t="shared" si="314"/>
        <v/>
      </c>
      <c r="AY1697" s="1856" t="str">
        <f t="shared" si="315"/>
        <v/>
      </c>
    </row>
    <row r="1698" spans="42:52">
      <c r="AP1698" s="1855">
        <f t="shared" si="307"/>
        <v>44747</v>
      </c>
      <c r="AQ1698" s="925" t="str">
        <f t="shared" si="309"/>
        <v>SR</v>
      </c>
      <c r="AR1698" s="1856">
        <f t="shared" si="308"/>
        <v>44747.268750000003</v>
      </c>
      <c r="AS1698" s="927" t="s">
        <v>1863</v>
      </c>
      <c r="AT1698" s="1856" t="str">
        <f t="shared" si="310"/>
        <v/>
      </c>
      <c r="AU1698" s="1856" t="str">
        <f t="shared" si="311"/>
        <v/>
      </c>
      <c r="AV1698" s="1856" t="str">
        <f t="shared" si="312"/>
        <v/>
      </c>
      <c r="AW1698" s="1856" t="str">
        <f t="shared" si="313"/>
        <v/>
      </c>
      <c r="AX1698" s="1856" t="str">
        <f t="shared" si="314"/>
        <v/>
      </c>
      <c r="AY1698" s="1856" t="str">
        <f t="shared" si="315"/>
        <v/>
      </c>
    </row>
    <row r="1699" spans="42:52">
      <c r="AP1699" s="1855">
        <f t="shared" si="307"/>
        <v>44747</v>
      </c>
      <c r="AQ1699" s="925" t="str">
        <f t="shared" si="309"/>
        <v>MR</v>
      </c>
      <c r="AR1699" s="1856">
        <f t="shared" si="308"/>
        <v>44747.520138888889</v>
      </c>
      <c r="AS1699" s="927" t="s">
        <v>1994</v>
      </c>
      <c r="AT1699" s="1856" t="str">
        <f t="shared" si="310"/>
        <v/>
      </c>
      <c r="AU1699" s="1856" t="str">
        <f t="shared" si="311"/>
        <v/>
      </c>
      <c r="AV1699" s="1856" t="str">
        <f t="shared" si="312"/>
        <v/>
      </c>
      <c r="AW1699" s="1856" t="str">
        <f t="shared" si="313"/>
        <v/>
      </c>
      <c r="AX1699" s="1856" t="str">
        <f t="shared" si="314"/>
        <v/>
      </c>
      <c r="AY1699" s="1856" t="str">
        <f t="shared" si="315"/>
        <v/>
      </c>
    </row>
    <row r="1700" spans="42:52">
      <c r="AP1700" s="1855">
        <f t="shared" si="307"/>
        <v>44747</v>
      </c>
      <c r="AQ1700" s="925" t="str">
        <f t="shared" si="309"/>
        <v>SS</v>
      </c>
      <c r="AR1700" s="1856">
        <f t="shared" si="308"/>
        <v>44747.881944444445</v>
      </c>
      <c r="AS1700" s="927" t="s">
        <v>1969</v>
      </c>
      <c r="AT1700" s="1856" t="str">
        <f t="shared" si="310"/>
        <v/>
      </c>
      <c r="AU1700" s="1856" t="str">
        <f t="shared" si="311"/>
        <v/>
      </c>
      <c r="AV1700" s="1856" t="str">
        <f t="shared" si="312"/>
        <v/>
      </c>
      <c r="AW1700" s="1856" t="str">
        <f t="shared" si="313"/>
        <v/>
      </c>
      <c r="AX1700" s="1856" t="str">
        <f t="shared" si="314"/>
        <v/>
      </c>
      <c r="AY1700" s="1856" t="str">
        <f t="shared" si="315"/>
        <v/>
      </c>
    </row>
    <row r="1701" spans="42:52">
      <c r="AP1701" s="1855">
        <f t="shared" ref="AP1701:AP1764" si="316">IF(ISNUMBER(AS1701),AP1700+1,AP1700)</f>
        <v>44747</v>
      </c>
      <c r="AQ1701" s="925" t="str">
        <f t="shared" si="309"/>
        <v>EENT</v>
      </c>
      <c r="AR1701" s="1856">
        <f t="shared" si="308"/>
        <v>44747.930555555555</v>
      </c>
      <c r="AS1701" s="927" t="s">
        <v>1962</v>
      </c>
      <c r="AT1701" s="1856" t="str">
        <f t="shared" si="310"/>
        <v/>
      </c>
      <c r="AU1701" s="1856" t="str">
        <f t="shared" si="311"/>
        <v/>
      </c>
      <c r="AV1701" s="1856" t="str">
        <f t="shared" si="312"/>
        <v/>
      </c>
      <c r="AW1701" s="1856" t="str">
        <f t="shared" si="313"/>
        <v/>
      </c>
      <c r="AX1701" s="1856" t="str">
        <f t="shared" si="314"/>
        <v/>
      </c>
      <c r="AY1701" s="1856" t="str">
        <f t="shared" si="315"/>
        <v/>
      </c>
    </row>
    <row r="1702" spans="42:52">
      <c r="AP1702" s="1855">
        <f t="shared" si="316"/>
        <v>44748</v>
      </c>
      <c r="AQ1702" s="925" t="str">
        <f t="shared" si="309"/>
        <v/>
      </c>
      <c r="AR1702" s="1856" t="str">
        <f t="shared" si="308"/>
        <v/>
      </c>
      <c r="AS1702" s="927">
        <v>6</v>
      </c>
      <c r="AT1702" s="1856">
        <f t="shared" si="310"/>
        <v>44748.220833333333</v>
      </c>
      <c r="AU1702" s="1856">
        <f t="shared" si="311"/>
        <v>44748.269444444442</v>
      </c>
      <c r="AV1702" s="1856">
        <f t="shared" si="312"/>
        <v>44748.881249999999</v>
      </c>
      <c r="AW1702" s="1856">
        <f t="shared" si="313"/>
        <v>44748.929861111108</v>
      </c>
      <c r="AX1702" s="1856">
        <f t="shared" si="314"/>
        <v>44748.563888888886</v>
      </c>
      <c r="AY1702" s="1856">
        <f t="shared" si="315"/>
        <v>44748.049999999996</v>
      </c>
      <c r="AZ1702" s="1853">
        <v>0.41</v>
      </c>
    </row>
    <row r="1703" spans="42:52">
      <c r="AP1703" s="1855">
        <f t="shared" si="316"/>
        <v>44748</v>
      </c>
      <c r="AQ1703" s="925" t="str">
        <f t="shared" si="309"/>
        <v/>
      </c>
      <c r="AR1703" s="1856" t="str">
        <f t="shared" si="308"/>
        <v/>
      </c>
      <c r="AS1703" s="927" t="s">
        <v>252</v>
      </c>
      <c r="AT1703" s="1856" t="str">
        <f t="shared" si="310"/>
        <v/>
      </c>
      <c r="AU1703" s="1856" t="str">
        <f t="shared" si="311"/>
        <v/>
      </c>
      <c r="AV1703" s="1856" t="str">
        <f t="shared" si="312"/>
        <v/>
      </c>
      <c r="AW1703" s="1856" t="str">
        <f t="shared" si="313"/>
        <v/>
      </c>
      <c r="AX1703" s="1856" t="str">
        <f t="shared" si="314"/>
        <v/>
      </c>
      <c r="AY1703" s="1856" t="str">
        <f t="shared" si="315"/>
        <v/>
      </c>
    </row>
    <row r="1704" spans="42:52">
      <c r="AP1704" s="1855">
        <f t="shared" si="316"/>
        <v>44748</v>
      </c>
      <c r="AQ1704" s="925" t="str">
        <f t="shared" si="309"/>
        <v/>
      </c>
      <c r="AR1704" s="1856" t="str">
        <f t="shared" si="308"/>
        <v/>
      </c>
      <c r="AT1704" s="1856" t="str">
        <f t="shared" si="310"/>
        <v/>
      </c>
      <c r="AU1704" s="1856" t="str">
        <f t="shared" si="311"/>
        <v/>
      </c>
      <c r="AV1704" s="1856" t="str">
        <f t="shared" si="312"/>
        <v/>
      </c>
      <c r="AW1704" s="1856" t="str">
        <f t="shared" si="313"/>
        <v/>
      </c>
      <c r="AX1704" s="1856" t="str">
        <f t="shared" si="314"/>
        <v/>
      </c>
      <c r="AY1704" s="1856" t="str">
        <f t="shared" si="315"/>
        <v/>
      </c>
    </row>
    <row r="1705" spans="42:52">
      <c r="AP1705" s="1855">
        <f t="shared" si="316"/>
        <v>44748</v>
      </c>
      <c r="AQ1705" s="925" t="str">
        <f t="shared" si="309"/>
        <v>MS</v>
      </c>
      <c r="AR1705" s="1856">
        <f t="shared" ref="AR1705:AR1768" si="317">IF(NOT(ISNUMBER(FIND(":",AS1705))),"",IF(ISNUMBER(FIND(" none",AS1705)),"NONE",AP1705+LEFT(RIGHT(AS1705,5),2)/24+RIGHT(AS1705,2)/1440))</f>
        <v>44748.049999999996</v>
      </c>
      <c r="AS1705" s="927" t="s">
        <v>1995</v>
      </c>
      <c r="AT1705" s="1856" t="str">
        <f t="shared" si="310"/>
        <v/>
      </c>
      <c r="AU1705" s="1856" t="str">
        <f t="shared" si="311"/>
        <v/>
      </c>
      <c r="AV1705" s="1856" t="str">
        <f t="shared" si="312"/>
        <v/>
      </c>
      <c r="AW1705" s="1856" t="str">
        <f t="shared" si="313"/>
        <v/>
      </c>
      <c r="AX1705" s="1856" t="str">
        <f t="shared" si="314"/>
        <v/>
      </c>
      <c r="AY1705" s="1856" t="str">
        <f t="shared" si="315"/>
        <v/>
      </c>
    </row>
    <row r="1706" spans="42:52">
      <c r="AP1706" s="1855">
        <f t="shared" si="316"/>
        <v>44748</v>
      </c>
      <c r="AQ1706" s="925" t="str">
        <f t="shared" si="309"/>
        <v>BMNT</v>
      </c>
      <c r="AR1706" s="1856">
        <f t="shared" si="317"/>
        <v>44748.220833333333</v>
      </c>
      <c r="AS1706" s="927" t="s">
        <v>1873</v>
      </c>
      <c r="AT1706" s="1856" t="str">
        <f t="shared" si="310"/>
        <v/>
      </c>
      <c r="AU1706" s="1856" t="str">
        <f t="shared" si="311"/>
        <v/>
      </c>
      <c r="AV1706" s="1856" t="str">
        <f t="shared" si="312"/>
        <v/>
      </c>
      <c r="AW1706" s="1856" t="str">
        <f t="shared" si="313"/>
        <v/>
      </c>
      <c r="AX1706" s="1856" t="str">
        <f t="shared" si="314"/>
        <v/>
      </c>
      <c r="AY1706" s="1856" t="str">
        <f t="shared" si="315"/>
        <v/>
      </c>
    </row>
    <row r="1707" spans="42:52">
      <c r="AP1707" s="1855">
        <f t="shared" si="316"/>
        <v>44748</v>
      </c>
      <c r="AQ1707" s="925" t="str">
        <f t="shared" si="309"/>
        <v>SR</v>
      </c>
      <c r="AR1707" s="1856">
        <f t="shared" si="317"/>
        <v>44748.269444444442</v>
      </c>
      <c r="AS1707" s="927" t="s">
        <v>1857</v>
      </c>
      <c r="AT1707" s="1856" t="str">
        <f t="shared" si="310"/>
        <v/>
      </c>
      <c r="AU1707" s="1856" t="str">
        <f t="shared" si="311"/>
        <v/>
      </c>
      <c r="AV1707" s="1856" t="str">
        <f t="shared" si="312"/>
        <v/>
      </c>
      <c r="AW1707" s="1856" t="str">
        <f t="shared" si="313"/>
        <v/>
      </c>
      <c r="AX1707" s="1856" t="str">
        <f t="shared" si="314"/>
        <v/>
      </c>
      <c r="AY1707" s="1856" t="str">
        <f t="shared" si="315"/>
        <v/>
      </c>
    </row>
    <row r="1708" spans="42:52">
      <c r="AP1708" s="1855">
        <f t="shared" si="316"/>
        <v>44748</v>
      </c>
      <c r="AQ1708" s="925" t="str">
        <f t="shared" si="309"/>
        <v>MR</v>
      </c>
      <c r="AR1708" s="1856">
        <f t="shared" si="317"/>
        <v>44748.563888888886</v>
      </c>
      <c r="AS1708" s="927" t="s">
        <v>1996</v>
      </c>
      <c r="AT1708" s="1856" t="str">
        <f t="shared" si="310"/>
        <v/>
      </c>
      <c r="AU1708" s="1856" t="str">
        <f t="shared" si="311"/>
        <v/>
      </c>
      <c r="AV1708" s="1856" t="str">
        <f t="shared" si="312"/>
        <v/>
      </c>
      <c r="AW1708" s="1856" t="str">
        <f t="shared" si="313"/>
        <v/>
      </c>
      <c r="AX1708" s="1856" t="str">
        <f t="shared" si="314"/>
        <v/>
      </c>
      <c r="AY1708" s="1856" t="str">
        <f t="shared" si="315"/>
        <v/>
      </c>
    </row>
    <row r="1709" spans="42:52">
      <c r="AP1709" s="1855">
        <f t="shared" si="316"/>
        <v>44748</v>
      </c>
      <c r="AQ1709" s="925" t="str">
        <f t="shared" si="309"/>
        <v>SS</v>
      </c>
      <c r="AR1709" s="1856">
        <f t="shared" si="317"/>
        <v>44748.881249999999</v>
      </c>
      <c r="AS1709" s="927" t="s">
        <v>1960</v>
      </c>
      <c r="AT1709" s="1856" t="str">
        <f t="shared" si="310"/>
        <v/>
      </c>
      <c r="AU1709" s="1856" t="str">
        <f t="shared" si="311"/>
        <v/>
      </c>
      <c r="AV1709" s="1856" t="str">
        <f t="shared" si="312"/>
        <v/>
      </c>
      <c r="AW1709" s="1856" t="str">
        <f t="shared" si="313"/>
        <v/>
      </c>
      <c r="AX1709" s="1856" t="str">
        <f t="shared" si="314"/>
        <v/>
      </c>
      <c r="AY1709" s="1856" t="str">
        <f t="shared" si="315"/>
        <v/>
      </c>
    </row>
    <row r="1710" spans="42:52">
      <c r="AP1710" s="1855">
        <f t="shared" si="316"/>
        <v>44748</v>
      </c>
      <c r="AQ1710" s="925" t="str">
        <f t="shared" si="309"/>
        <v>EENT</v>
      </c>
      <c r="AR1710" s="1856">
        <f t="shared" si="317"/>
        <v>44748.929861111108</v>
      </c>
      <c r="AS1710" s="927" t="s">
        <v>1955</v>
      </c>
      <c r="AT1710" s="1856" t="str">
        <f t="shared" si="310"/>
        <v/>
      </c>
      <c r="AU1710" s="1856" t="str">
        <f t="shared" si="311"/>
        <v/>
      </c>
      <c r="AV1710" s="1856" t="str">
        <f t="shared" si="312"/>
        <v/>
      </c>
      <c r="AW1710" s="1856" t="str">
        <f t="shared" si="313"/>
        <v/>
      </c>
      <c r="AX1710" s="1856" t="str">
        <f t="shared" si="314"/>
        <v/>
      </c>
      <c r="AY1710" s="1856" t="str">
        <f t="shared" si="315"/>
        <v/>
      </c>
    </row>
    <row r="1711" spans="42:52">
      <c r="AP1711" s="1855">
        <f t="shared" si="316"/>
        <v>44749</v>
      </c>
      <c r="AQ1711" s="925" t="str">
        <f t="shared" si="309"/>
        <v/>
      </c>
      <c r="AR1711" s="1856" t="str">
        <f t="shared" si="317"/>
        <v/>
      </c>
      <c r="AS1711" s="927">
        <v>7</v>
      </c>
      <c r="AT1711" s="1856">
        <f t="shared" si="310"/>
        <v>44749.22152777778</v>
      </c>
      <c r="AU1711" s="1856">
        <f t="shared" si="311"/>
        <v>44749.269444444442</v>
      </c>
      <c r="AV1711" s="1856">
        <f t="shared" si="312"/>
        <v>44749.881249999999</v>
      </c>
      <c r="AW1711" s="1856">
        <f t="shared" si="313"/>
        <v>44749.929861111108</v>
      </c>
      <c r="AX1711" s="1856">
        <f t="shared" si="314"/>
        <v>44749.609027777777</v>
      </c>
      <c r="AY1711" s="1856">
        <f t="shared" si="315"/>
        <v>44749.066666666666</v>
      </c>
      <c r="AZ1711" s="1853">
        <v>0.51</v>
      </c>
    </row>
    <row r="1712" spans="42:52">
      <c r="AP1712" s="1855">
        <f t="shared" si="316"/>
        <v>44749</v>
      </c>
      <c r="AQ1712" s="925" t="str">
        <f t="shared" si="309"/>
        <v/>
      </c>
      <c r="AR1712" s="1856" t="str">
        <f t="shared" si="317"/>
        <v/>
      </c>
      <c r="AS1712" s="927" t="s">
        <v>252</v>
      </c>
      <c r="AT1712" s="1856" t="str">
        <f t="shared" si="310"/>
        <v/>
      </c>
      <c r="AU1712" s="1856" t="str">
        <f t="shared" si="311"/>
        <v/>
      </c>
      <c r="AV1712" s="1856" t="str">
        <f t="shared" si="312"/>
        <v/>
      </c>
      <c r="AW1712" s="1856" t="str">
        <f t="shared" si="313"/>
        <v/>
      </c>
      <c r="AX1712" s="1856" t="str">
        <f t="shared" si="314"/>
        <v/>
      </c>
      <c r="AY1712" s="1856" t="str">
        <f t="shared" si="315"/>
        <v/>
      </c>
    </row>
    <row r="1713" spans="42:52">
      <c r="AP1713" s="1855">
        <f t="shared" si="316"/>
        <v>44749</v>
      </c>
      <c r="AQ1713" s="925" t="str">
        <f t="shared" si="309"/>
        <v/>
      </c>
      <c r="AR1713" s="1856" t="str">
        <f t="shared" si="317"/>
        <v/>
      </c>
      <c r="AT1713" s="1856" t="str">
        <f t="shared" si="310"/>
        <v/>
      </c>
      <c r="AU1713" s="1856" t="str">
        <f t="shared" si="311"/>
        <v/>
      </c>
      <c r="AV1713" s="1856" t="str">
        <f t="shared" si="312"/>
        <v/>
      </c>
      <c r="AW1713" s="1856" t="str">
        <f t="shared" si="313"/>
        <v/>
      </c>
      <c r="AX1713" s="1856" t="str">
        <f t="shared" si="314"/>
        <v/>
      </c>
      <c r="AY1713" s="1856" t="str">
        <f t="shared" si="315"/>
        <v/>
      </c>
    </row>
    <row r="1714" spans="42:52">
      <c r="AP1714" s="1855">
        <f t="shared" si="316"/>
        <v>44749</v>
      </c>
      <c r="AQ1714" s="925" t="str">
        <f t="shared" si="309"/>
        <v>MS</v>
      </c>
      <c r="AR1714" s="1856">
        <f t="shared" si="317"/>
        <v>44749.066666666666</v>
      </c>
      <c r="AS1714" s="927" t="s">
        <v>1997</v>
      </c>
      <c r="AT1714" s="1856" t="str">
        <f t="shared" si="310"/>
        <v/>
      </c>
      <c r="AU1714" s="1856" t="str">
        <f t="shared" si="311"/>
        <v/>
      </c>
      <c r="AV1714" s="1856" t="str">
        <f t="shared" si="312"/>
        <v/>
      </c>
      <c r="AW1714" s="1856" t="str">
        <f t="shared" si="313"/>
        <v/>
      </c>
      <c r="AX1714" s="1856" t="str">
        <f t="shared" si="314"/>
        <v/>
      </c>
      <c r="AY1714" s="1856" t="str">
        <f t="shared" si="315"/>
        <v/>
      </c>
    </row>
    <row r="1715" spans="42:52">
      <c r="AP1715" s="1855">
        <f t="shared" si="316"/>
        <v>44749</v>
      </c>
      <c r="AQ1715" s="925" t="str">
        <f t="shared" si="309"/>
        <v>BMNT</v>
      </c>
      <c r="AR1715" s="1856">
        <f t="shared" si="317"/>
        <v>44749.22152777778</v>
      </c>
      <c r="AS1715" s="927" t="s">
        <v>1868</v>
      </c>
      <c r="AT1715" s="1856" t="str">
        <f t="shared" si="310"/>
        <v/>
      </c>
      <c r="AU1715" s="1856" t="str">
        <f t="shared" si="311"/>
        <v/>
      </c>
      <c r="AV1715" s="1856" t="str">
        <f t="shared" si="312"/>
        <v/>
      </c>
      <c r="AW1715" s="1856" t="str">
        <f t="shared" si="313"/>
        <v/>
      </c>
      <c r="AX1715" s="1856" t="str">
        <f t="shared" si="314"/>
        <v/>
      </c>
      <c r="AY1715" s="1856" t="str">
        <f t="shared" si="315"/>
        <v/>
      </c>
    </row>
    <row r="1716" spans="42:52">
      <c r="AP1716" s="1855">
        <f t="shared" si="316"/>
        <v>44749</v>
      </c>
      <c r="AQ1716" s="925" t="str">
        <f t="shared" ref="AQ1716:AQ1779" si="318">IF(NOT(ISNUMBER(FIND(":",AS1716))),"",IF(ISNUMBER(FIND("Sunr",AS1716)),"SR", IF(ISNUMBER(FIND("Suns",AS1716)),"SS",IF(ISNUMBER(FIND("Moonr",AS1716)),"MR",IF(ISNUMBER(FIND("Moons",AS1716)),"MS",IF(ISNUMBER(FIND("Twi",AS1716)),IF(HOUR(AR1716)&lt;12,"BMNT","EENT")))))))</f>
        <v>SR</v>
      </c>
      <c r="AR1716" s="1856">
        <f t="shared" si="317"/>
        <v>44749.269444444442</v>
      </c>
      <c r="AS1716" s="927" t="s">
        <v>1857</v>
      </c>
      <c r="AT1716" s="1856" t="str">
        <f t="shared" si="310"/>
        <v/>
      </c>
      <c r="AU1716" s="1856" t="str">
        <f t="shared" si="311"/>
        <v/>
      </c>
      <c r="AV1716" s="1856" t="str">
        <f t="shared" si="312"/>
        <v/>
      </c>
      <c r="AW1716" s="1856" t="str">
        <f t="shared" si="313"/>
        <v/>
      </c>
      <c r="AX1716" s="1856" t="str">
        <f t="shared" si="314"/>
        <v/>
      </c>
      <c r="AY1716" s="1856" t="str">
        <f t="shared" si="315"/>
        <v/>
      </c>
    </row>
    <row r="1717" spans="42:52">
      <c r="AP1717" s="1855">
        <f t="shared" si="316"/>
        <v>44749</v>
      </c>
      <c r="AQ1717" s="925" t="str">
        <f t="shared" si="318"/>
        <v>MR</v>
      </c>
      <c r="AR1717" s="1856">
        <f t="shared" si="317"/>
        <v>44749.609027777777</v>
      </c>
      <c r="AS1717" s="927" t="s">
        <v>1998</v>
      </c>
      <c r="AT1717" s="1856" t="str">
        <f t="shared" si="310"/>
        <v/>
      </c>
      <c r="AU1717" s="1856" t="str">
        <f t="shared" si="311"/>
        <v/>
      </c>
      <c r="AV1717" s="1856" t="str">
        <f t="shared" si="312"/>
        <v/>
      </c>
      <c r="AW1717" s="1856" t="str">
        <f t="shared" si="313"/>
        <v/>
      </c>
      <c r="AX1717" s="1856" t="str">
        <f t="shared" si="314"/>
        <v/>
      </c>
      <c r="AY1717" s="1856" t="str">
        <f t="shared" si="315"/>
        <v/>
      </c>
    </row>
    <row r="1718" spans="42:52">
      <c r="AP1718" s="1855">
        <f t="shared" si="316"/>
        <v>44749</v>
      </c>
      <c r="AQ1718" s="925" t="str">
        <f t="shared" si="318"/>
        <v>SS</v>
      </c>
      <c r="AR1718" s="1856">
        <f t="shared" si="317"/>
        <v>44749.881249999999</v>
      </c>
      <c r="AS1718" s="927" t="s">
        <v>1960</v>
      </c>
      <c r="AT1718" s="1856" t="str">
        <f t="shared" si="310"/>
        <v/>
      </c>
      <c r="AU1718" s="1856" t="str">
        <f t="shared" si="311"/>
        <v/>
      </c>
      <c r="AV1718" s="1856" t="str">
        <f t="shared" si="312"/>
        <v/>
      </c>
      <c r="AW1718" s="1856" t="str">
        <f t="shared" si="313"/>
        <v/>
      </c>
      <c r="AX1718" s="1856" t="str">
        <f t="shared" si="314"/>
        <v/>
      </c>
      <c r="AY1718" s="1856" t="str">
        <f t="shared" si="315"/>
        <v/>
      </c>
    </row>
    <row r="1719" spans="42:52">
      <c r="AP1719" s="1855">
        <f t="shared" si="316"/>
        <v>44749</v>
      </c>
      <c r="AQ1719" s="925" t="str">
        <f t="shared" si="318"/>
        <v>EENT</v>
      </c>
      <c r="AR1719" s="1856">
        <f t="shared" si="317"/>
        <v>44749.929861111108</v>
      </c>
      <c r="AS1719" s="927" t="s">
        <v>1955</v>
      </c>
      <c r="AT1719" s="1856" t="str">
        <f t="shared" si="310"/>
        <v/>
      </c>
      <c r="AU1719" s="1856" t="str">
        <f t="shared" si="311"/>
        <v/>
      </c>
      <c r="AV1719" s="1856" t="str">
        <f t="shared" si="312"/>
        <v/>
      </c>
      <c r="AW1719" s="1856" t="str">
        <f t="shared" si="313"/>
        <v/>
      </c>
      <c r="AX1719" s="1856" t="str">
        <f t="shared" si="314"/>
        <v/>
      </c>
      <c r="AY1719" s="1856" t="str">
        <f t="shared" si="315"/>
        <v/>
      </c>
    </row>
    <row r="1720" spans="42:52">
      <c r="AP1720" s="1855">
        <f t="shared" si="316"/>
        <v>44750</v>
      </c>
      <c r="AQ1720" s="925" t="str">
        <f t="shared" si="318"/>
        <v/>
      </c>
      <c r="AR1720" s="1856" t="str">
        <f t="shared" si="317"/>
        <v/>
      </c>
      <c r="AS1720" s="927">
        <v>8</v>
      </c>
      <c r="AT1720" s="1856">
        <f t="shared" si="310"/>
        <v>44750.22152777778</v>
      </c>
      <c r="AU1720" s="1856">
        <f t="shared" si="311"/>
        <v>44750.270138888889</v>
      </c>
      <c r="AV1720" s="1856">
        <f t="shared" si="312"/>
        <v>44750.881249999999</v>
      </c>
      <c r="AW1720" s="1856">
        <f t="shared" si="313"/>
        <v>44750.929166666661</v>
      </c>
      <c r="AX1720" s="1856">
        <f t="shared" si="314"/>
        <v>44750.65625</v>
      </c>
      <c r="AY1720" s="1856">
        <f t="shared" si="315"/>
        <v>44750.085416666669</v>
      </c>
      <c r="AZ1720" s="1853">
        <v>0.62</v>
      </c>
    </row>
    <row r="1721" spans="42:52">
      <c r="AP1721" s="1855">
        <f t="shared" si="316"/>
        <v>44750</v>
      </c>
      <c r="AQ1721" s="925" t="str">
        <f t="shared" si="318"/>
        <v/>
      </c>
      <c r="AR1721" s="1856" t="str">
        <f t="shared" si="317"/>
        <v/>
      </c>
      <c r="AS1721" s="927" t="s">
        <v>252</v>
      </c>
      <c r="AT1721" s="1856" t="str">
        <f t="shared" si="310"/>
        <v/>
      </c>
      <c r="AU1721" s="1856" t="str">
        <f t="shared" si="311"/>
        <v/>
      </c>
      <c r="AV1721" s="1856" t="str">
        <f t="shared" si="312"/>
        <v/>
      </c>
      <c r="AW1721" s="1856" t="str">
        <f t="shared" si="313"/>
        <v/>
      </c>
      <c r="AX1721" s="1856" t="str">
        <f t="shared" si="314"/>
        <v/>
      </c>
      <c r="AY1721" s="1856" t="str">
        <f t="shared" si="315"/>
        <v/>
      </c>
    </row>
    <row r="1722" spans="42:52">
      <c r="AP1722" s="1855">
        <f t="shared" si="316"/>
        <v>44750</v>
      </c>
      <c r="AQ1722" s="925" t="str">
        <f t="shared" si="318"/>
        <v/>
      </c>
      <c r="AR1722" s="1856" t="str">
        <f t="shared" si="317"/>
        <v/>
      </c>
      <c r="AT1722" s="1856" t="str">
        <f t="shared" si="310"/>
        <v/>
      </c>
      <c r="AU1722" s="1856" t="str">
        <f t="shared" si="311"/>
        <v/>
      </c>
      <c r="AV1722" s="1856" t="str">
        <f t="shared" si="312"/>
        <v/>
      </c>
      <c r="AW1722" s="1856" t="str">
        <f t="shared" si="313"/>
        <v/>
      </c>
      <c r="AX1722" s="1856" t="str">
        <f t="shared" si="314"/>
        <v/>
      </c>
      <c r="AY1722" s="1856" t="str">
        <f t="shared" si="315"/>
        <v/>
      </c>
    </row>
    <row r="1723" spans="42:52">
      <c r="AP1723" s="1855">
        <f t="shared" si="316"/>
        <v>44750</v>
      </c>
      <c r="AQ1723" s="925" t="str">
        <f t="shared" si="318"/>
        <v>MS</v>
      </c>
      <c r="AR1723" s="1856">
        <f t="shared" si="317"/>
        <v>44750.085416666669</v>
      </c>
      <c r="AS1723" s="927" t="s">
        <v>1497</v>
      </c>
      <c r="AT1723" s="1856" t="str">
        <f t="shared" si="310"/>
        <v/>
      </c>
      <c r="AU1723" s="1856" t="str">
        <f t="shared" si="311"/>
        <v/>
      </c>
      <c r="AV1723" s="1856" t="str">
        <f t="shared" si="312"/>
        <v/>
      </c>
      <c r="AW1723" s="1856" t="str">
        <f t="shared" si="313"/>
        <v/>
      </c>
      <c r="AX1723" s="1856" t="str">
        <f t="shared" si="314"/>
        <v/>
      </c>
      <c r="AY1723" s="1856" t="str">
        <f t="shared" si="315"/>
        <v/>
      </c>
    </row>
    <row r="1724" spans="42:52">
      <c r="AP1724" s="1855">
        <f t="shared" si="316"/>
        <v>44750</v>
      </c>
      <c r="AQ1724" s="925" t="str">
        <f t="shared" si="318"/>
        <v>BMNT</v>
      </c>
      <c r="AR1724" s="1856">
        <f t="shared" si="317"/>
        <v>44750.22152777778</v>
      </c>
      <c r="AS1724" s="927" t="s">
        <v>1868</v>
      </c>
      <c r="AT1724" s="1856" t="str">
        <f t="shared" si="310"/>
        <v/>
      </c>
      <c r="AU1724" s="1856" t="str">
        <f t="shared" si="311"/>
        <v/>
      </c>
      <c r="AV1724" s="1856" t="str">
        <f t="shared" si="312"/>
        <v/>
      </c>
      <c r="AW1724" s="1856" t="str">
        <f t="shared" si="313"/>
        <v/>
      </c>
      <c r="AX1724" s="1856" t="str">
        <f t="shared" si="314"/>
        <v/>
      </c>
      <c r="AY1724" s="1856" t="str">
        <f t="shared" si="315"/>
        <v/>
      </c>
    </row>
    <row r="1725" spans="42:52">
      <c r="AP1725" s="1855">
        <f t="shared" si="316"/>
        <v>44750</v>
      </c>
      <c r="AQ1725" s="925" t="str">
        <f t="shared" si="318"/>
        <v>SR</v>
      </c>
      <c r="AR1725" s="1856">
        <f t="shared" si="317"/>
        <v>44750.270138888889</v>
      </c>
      <c r="AS1725" s="927" t="s">
        <v>1847</v>
      </c>
      <c r="AT1725" s="1856" t="str">
        <f t="shared" si="310"/>
        <v/>
      </c>
      <c r="AU1725" s="1856" t="str">
        <f t="shared" si="311"/>
        <v/>
      </c>
      <c r="AV1725" s="1856" t="str">
        <f t="shared" si="312"/>
        <v/>
      </c>
      <c r="AW1725" s="1856" t="str">
        <f t="shared" si="313"/>
        <v/>
      </c>
      <c r="AX1725" s="1856" t="str">
        <f t="shared" si="314"/>
        <v/>
      </c>
      <c r="AY1725" s="1856" t="str">
        <f t="shared" si="315"/>
        <v/>
      </c>
    </row>
    <row r="1726" spans="42:52">
      <c r="AP1726" s="1855">
        <f t="shared" si="316"/>
        <v>44750</v>
      </c>
      <c r="AQ1726" s="925" t="str">
        <f t="shared" si="318"/>
        <v>MR</v>
      </c>
      <c r="AR1726" s="1856">
        <f t="shared" si="317"/>
        <v>44750.65625</v>
      </c>
      <c r="AS1726" s="927" t="s">
        <v>1934</v>
      </c>
      <c r="AT1726" s="1856" t="str">
        <f t="shared" si="310"/>
        <v/>
      </c>
      <c r="AU1726" s="1856" t="str">
        <f t="shared" si="311"/>
        <v/>
      </c>
      <c r="AV1726" s="1856" t="str">
        <f t="shared" si="312"/>
        <v/>
      </c>
      <c r="AW1726" s="1856" t="str">
        <f t="shared" si="313"/>
        <v/>
      </c>
      <c r="AX1726" s="1856" t="str">
        <f t="shared" si="314"/>
        <v/>
      </c>
      <c r="AY1726" s="1856" t="str">
        <f t="shared" si="315"/>
        <v/>
      </c>
    </row>
    <row r="1727" spans="42:52">
      <c r="AP1727" s="1855">
        <f t="shared" si="316"/>
        <v>44750</v>
      </c>
      <c r="AQ1727" s="925" t="str">
        <f t="shared" si="318"/>
        <v>SS</v>
      </c>
      <c r="AR1727" s="1856">
        <f t="shared" si="317"/>
        <v>44750.881249999999</v>
      </c>
      <c r="AS1727" s="927" t="s">
        <v>1960</v>
      </c>
      <c r="AT1727" s="1856" t="str">
        <f t="shared" si="310"/>
        <v/>
      </c>
      <c r="AU1727" s="1856" t="str">
        <f t="shared" si="311"/>
        <v/>
      </c>
      <c r="AV1727" s="1856" t="str">
        <f t="shared" si="312"/>
        <v/>
      </c>
      <c r="AW1727" s="1856" t="str">
        <f t="shared" si="313"/>
        <v/>
      </c>
      <c r="AX1727" s="1856" t="str">
        <f t="shared" si="314"/>
        <v/>
      </c>
      <c r="AY1727" s="1856" t="str">
        <f t="shared" si="315"/>
        <v/>
      </c>
    </row>
    <row r="1728" spans="42:52">
      <c r="AP1728" s="1855">
        <f t="shared" si="316"/>
        <v>44750</v>
      </c>
      <c r="AQ1728" s="925" t="str">
        <f t="shared" si="318"/>
        <v>EENT</v>
      </c>
      <c r="AR1728" s="1856">
        <f t="shared" si="317"/>
        <v>44750.929166666661</v>
      </c>
      <c r="AS1728" s="927" t="s">
        <v>1951</v>
      </c>
      <c r="AT1728" s="1856" t="str">
        <f t="shared" si="310"/>
        <v/>
      </c>
      <c r="AU1728" s="1856" t="str">
        <f t="shared" si="311"/>
        <v/>
      </c>
      <c r="AV1728" s="1856" t="str">
        <f t="shared" si="312"/>
        <v/>
      </c>
      <c r="AW1728" s="1856" t="str">
        <f t="shared" si="313"/>
        <v/>
      </c>
      <c r="AX1728" s="1856" t="str">
        <f t="shared" si="314"/>
        <v/>
      </c>
      <c r="AY1728" s="1856" t="str">
        <f t="shared" si="315"/>
        <v/>
      </c>
    </row>
    <row r="1729" spans="42:52">
      <c r="AP1729" s="1855">
        <f t="shared" si="316"/>
        <v>44751</v>
      </c>
      <c r="AQ1729" s="925" t="str">
        <f t="shared" si="318"/>
        <v/>
      </c>
      <c r="AR1729" s="1856" t="str">
        <f t="shared" si="317"/>
        <v/>
      </c>
      <c r="AS1729" s="927">
        <v>9</v>
      </c>
      <c r="AT1729" s="1856">
        <f t="shared" si="310"/>
        <v>44751.222222222226</v>
      </c>
      <c r="AU1729" s="1856">
        <f t="shared" si="311"/>
        <v>44751.270138888889</v>
      </c>
      <c r="AV1729" s="1856">
        <f t="shared" si="312"/>
        <v>44751.881249999999</v>
      </c>
      <c r="AW1729" s="1856">
        <f t="shared" si="313"/>
        <v>44751.929166666661</v>
      </c>
      <c r="AX1729" s="1856">
        <f t="shared" si="314"/>
        <v>44751.706944444442</v>
      </c>
      <c r="AY1729" s="1856">
        <f t="shared" si="315"/>
        <v>44751.106250000004</v>
      </c>
      <c r="AZ1729" s="1853">
        <v>0.73</v>
      </c>
    </row>
    <row r="1730" spans="42:52">
      <c r="AP1730" s="1855">
        <f t="shared" si="316"/>
        <v>44751</v>
      </c>
      <c r="AQ1730" s="925" t="str">
        <f t="shared" si="318"/>
        <v/>
      </c>
      <c r="AR1730" s="1856" t="str">
        <f t="shared" si="317"/>
        <v/>
      </c>
      <c r="AS1730" s="927" t="s">
        <v>252</v>
      </c>
      <c r="AT1730" s="1856" t="str">
        <f t="shared" si="310"/>
        <v/>
      </c>
      <c r="AU1730" s="1856" t="str">
        <f t="shared" si="311"/>
        <v/>
      </c>
      <c r="AV1730" s="1856" t="str">
        <f t="shared" si="312"/>
        <v/>
      </c>
      <c r="AW1730" s="1856" t="str">
        <f t="shared" si="313"/>
        <v/>
      </c>
      <c r="AX1730" s="1856" t="str">
        <f t="shared" si="314"/>
        <v/>
      </c>
      <c r="AY1730" s="1856" t="str">
        <f t="shared" si="315"/>
        <v/>
      </c>
    </row>
    <row r="1731" spans="42:52">
      <c r="AP1731" s="1855">
        <f t="shared" si="316"/>
        <v>44751</v>
      </c>
      <c r="AQ1731" s="925" t="str">
        <f t="shared" si="318"/>
        <v/>
      </c>
      <c r="AR1731" s="1856" t="str">
        <f t="shared" si="317"/>
        <v/>
      </c>
      <c r="AT1731" s="1856" t="str">
        <f t="shared" si="310"/>
        <v/>
      </c>
      <c r="AU1731" s="1856" t="str">
        <f t="shared" si="311"/>
        <v/>
      </c>
      <c r="AV1731" s="1856" t="str">
        <f t="shared" si="312"/>
        <v/>
      </c>
      <c r="AW1731" s="1856" t="str">
        <f t="shared" si="313"/>
        <v/>
      </c>
      <c r="AX1731" s="1856" t="str">
        <f t="shared" si="314"/>
        <v/>
      </c>
      <c r="AY1731" s="1856" t="str">
        <f t="shared" si="315"/>
        <v/>
      </c>
    </row>
    <row r="1732" spans="42:52">
      <c r="AP1732" s="1855">
        <f t="shared" si="316"/>
        <v>44751</v>
      </c>
      <c r="AQ1732" s="925" t="str">
        <f t="shared" si="318"/>
        <v>MS</v>
      </c>
      <c r="AR1732" s="1856">
        <f t="shared" si="317"/>
        <v>44751.106250000004</v>
      </c>
      <c r="AS1732" s="927" t="s">
        <v>1999</v>
      </c>
      <c r="AT1732" s="1856" t="str">
        <f t="shared" si="310"/>
        <v/>
      </c>
      <c r="AU1732" s="1856" t="str">
        <f t="shared" si="311"/>
        <v/>
      </c>
      <c r="AV1732" s="1856" t="str">
        <f t="shared" si="312"/>
        <v/>
      </c>
      <c r="AW1732" s="1856" t="str">
        <f t="shared" si="313"/>
        <v/>
      </c>
      <c r="AX1732" s="1856" t="str">
        <f t="shared" si="314"/>
        <v/>
      </c>
      <c r="AY1732" s="1856" t="str">
        <f t="shared" si="315"/>
        <v/>
      </c>
    </row>
    <row r="1733" spans="42:52">
      <c r="AP1733" s="1855">
        <f t="shared" si="316"/>
        <v>44751</v>
      </c>
      <c r="AQ1733" s="925" t="str">
        <f t="shared" si="318"/>
        <v>BMNT</v>
      </c>
      <c r="AR1733" s="1856">
        <f t="shared" si="317"/>
        <v>44751.222222222226</v>
      </c>
      <c r="AS1733" s="927" t="s">
        <v>1862</v>
      </c>
      <c r="AT1733" s="1856" t="str">
        <f t="shared" si="310"/>
        <v/>
      </c>
      <c r="AU1733" s="1856" t="str">
        <f t="shared" si="311"/>
        <v/>
      </c>
      <c r="AV1733" s="1856" t="str">
        <f t="shared" si="312"/>
        <v/>
      </c>
      <c r="AW1733" s="1856" t="str">
        <f t="shared" si="313"/>
        <v/>
      </c>
      <c r="AX1733" s="1856" t="str">
        <f t="shared" si="314"/>
        <v/>
      </c>
      <c r="AY1733" s="1856" t="str">
        <f t="shared" si="315"/>
        <v/>
      </c>
    </row>
    <row r="1734" spans="42:52">
      <c r="AP1734" s="1855">
        <f t="shared" si="316"/>
        <v>44751</v>
      </c>
      <c r="AQ1734" s="925" t="str">
        <f t="shared" si="318"/>
        <v>SR</v>
      </c>
      <c r="AR1734" s="1856">
        <f t="shared" si="317"/>
        <v>44751.270138888889</v>
      </c>
      <c r="AS1734" s="927" t="s">
        <v>1847</v>
      </c>
      <c r="AT1734" s="1856" t="str">
        <f t="shared" si="310"/>
        <v/>
      </c>
      <c r="AU1734" s="1856" t="str">
        <f t="shared" si="311"/>
        <v/>
      </c>
      <c r="AV1734" s="1856" t="str">
        <f t="shared" si="312"/>
        <v/>
      </c>
      <c r="AW1734" s="1856" t="str">
        <f t="shared" si="313"/>
        <v/>
      </c>
      <c r="AX1734" s="1856" t="str">
        <f t="shared" si="314"/>
        <v/>
      </c>
      <c r="AY1734" s="1856" t="str">
        <f t="shared" si="315"/>
        <v/>
      </c>
    </row>
    <row r="1735" spans="42:52">
      <c r="AP1735" s="1855">
        <f t="shared" si="316"/>
        <v>44751</v>
      </c>
      <c r="AQ1735" s="925" t="str">
        <f t="shared" si="318"/>
        <v>MR</v>
      </c>
      <c r="AR1735" s="1856">
        <f t="shared" si="317"/>
        <v>44751.706944444442</v>
      </c>
      <c r="AS1735" s="927" t="s">
        <v>1798</v>
      </c>
      <c r="AT1735" s="1856" t="str">
        <f t="shared" si="310"/>
        <v/>
      </c>
      <c r="AU1735" s="1856" t="str">
        <f t="shared" si="311"/>
        <v/>
      </c>
      <c r="AV1735" s="1856" t="str">
        <f t="shared" si="312"/>
        <v/>
      </c>
      <c r="AW1735" s="1856" t="str">
        <f t="shared" si="313"/>
        <v/>
      </c>
      <c r="AX1735" s="1856" t="str">
        <f t="shared" si="314"/>
        <v/>
      </c>
      <c r="AY1735" s="1856" t="str">
        <f t="shared" si="315"/>
        <v/>
      </c>
    </row>
    <row r="1736" spans="42:52">
      <c r="AP1736" s="1855">
        <f t="shared" si="316"/>
        <v>44751</v>
      </c>
      <c r="AQ1736" s="925" t="str">
        <f t="shared" si="318"/>
        <v>SS</v>
      </c>
      <c r="AR1736" s="1856">
        <f t="shared" si="317"/>
        <v>44751.881249999999</v>
      </c>
      <c r="AS1736" s="927" t="s">
        <v>1960</v>
      </c>
      <c r="AT1736" s="1856" t="str">
        <f t="shared" si="310"/>
        <v/>
      </c>
      <c r="AU1736" s="1856" t="str">
        <f t="shared" si="311"/>
        <v/>
      </c>
      <c r="AV1736" s="1856" t="str">
        <f t="shared" si="312"/>
        <v/>
      </c>
      <c r="AW1736" s="1856" t="str">
        <f t="shared" si="313"/>
        <v/>
      </c>
      <c r="AX1736" s="1856" t="str">
        <f t="shared" si="314"/>
        <v/>
      </c>
      <c r="AY1736" s="1856" t="str">
        <f t="shared" si="315"/>
        <v/>
      </c>
    </row>
    <row r="1737" spans="42:52">
      <c r="AP1737" s="1855">
        <f t="shared" si="316"/>
        <v>44751</v>
      </c>
      <c r="AQ1737" s="925" t="str">
        <f t="shared" si="318"/>
        <v>EENT</v>
      </c>
      <c r="AR1737" s="1856">
        <f t="shared" si="317"/>
        <v>44751.929166666661</v>
      </c>
      <c r="AS1737" s="927" t="s">
        <v>1951</v>
      </c>
      <c r="AT1737" s="1856" t="str">
        <f t="shared" si="310"/>
        <v/>
      </c>
      <c r="AU1737" s="1856" t="str">
        <f t="shared" si="311"/>
        <v/>
      </c>
      <c r="AV1737" s="1856" t="str">
        <f t="shared" si="312"/>
        <v/>
      </c>
      <c r="AW1737" s="1856" t="str">
        <f t="shared" si="313"/>
        <v/>
      </c>
      <c r="AX1737" s="1856" t="str">
        <f t="shared" si="314"/>
        <v/>
      </c>
      <c r="AY1737" s="1856" t="str">
        <f t="shared" si="315"/>
        <v/>
      </c>
    </row>
    <row r="1738" spans="42:52">
      <c r="AP1738" s="1855">
        <f t="shared" si="316"/>
        <v>44752</v>
      </c>
      <c r="AQ1738" s="925" t="str">
        <f t="shared" si="318"/>
        <v/>
      </c>
      <c r="AR1738" s="1856" t="str">
        <f t="shared" si="317"/>
        <v/>
      </c>
      <c r="AS1738" s="927">
        <v>10</v>
      </c>
      <c r="AT1738" s="1856">
        <f t="shared" si="310"/>
        <v>44752.222916666666</v>
      </c>
      <c r="AU1738" s="1856">
        <f t="shared" si="311"/>
        <v>44752.270833333336</v>
      </c>
      <c r="AV1738" s="1856">
        <f t="shared" si="312"/>
        <v>44752.880555555559</v>
      </c>
      <c r="AW1738" s="1856">
        <f t="shared" si="313"/>
        <v>44752.929166666661</v>
      </c>
      <c r="AX1738" s="1856">
        <f t="shared" si="314"/>
        <v>44752.759027777778</v>
      </c>
      <c r="AY1738" s="1856">
        <f t="shared" si="315"/>
        <v>44752.131249999999</v>
      </c>
      <c r="AZ1738" s="1853">
        <v>0.82</v>
      </c>
    </row>
    <row r="1739" spans="42:52">
      <c r="AP1739" s="1855">
        <f t="shared" si="316"/>
        <v>44752</v>
      </c>
      <c r="AQ1739" s="925" t="str">
        <f t="shared" si="318"/>
        <v/>
      </c>
      <c r="AR1739" s="1856" t="str">
        <f t="shared" si="317"/>
        <v/>
      </c>
      <c r="AS1739" s="927" t="s">
        <v>252</v>
      </c>
      <c r="AT1739" s="1856" t="str">
        <f t="shared" si="310"/>
        <v/>
      </c>
      <c r="AU1739" s="1856" t="str">
        <f t="shared" si="311"/>
        <v/>
      </c>
      <c r="AV1739" s="1856" t="str">
        <f t="shared" si="312"/>
        <v/>
      </c>
      <c r="AW1739" s="1856" t="str">
        <f t="shared" si="313"/>
        <v/>
      </c>
      <c r="AX1739" s="1856" t="str">
        <f t="shared" si="314"/>
        <v/>
      </c>
      <c r="AY1739" s="1856" t="str">
        <f t="shared" si="315"/>
        <v/>
      </c>
    </row>
    <row r="1740" spans="42:52">
      <c r="AP1740" s="1855">
        <f t="shared" si="316"/>
        <v>44752</v>
      </c>
      <c r="AQ1740" s="925" t="str">
        <f t="shared" si="318"/>
        <v/>
      </c>
      <c r="AR1740" s="1856" t="str">
        <f t="shared" si="317"/>
        <v/>
      </c>
      <c r="AT1740" s="1856" t="str">
        <f t="shared" si="310"/>
        <v/>
      </c>
      <c r="AU1740" s="1856" t="str">
        <f t="shared" si="311"/>
        <v/>
      </c>
      <c r="AV1740" s="1856" t="str">
        <f t="shared" si="312"/>
        <v/>
      </c>
      <c r="AW1740" s="1856" t="str">
        <f t="shared" si="313"/>
        <v/>
      </c>
      <c r="AX1740" s="1856" t="str">
        <f t="shared" si="314"/>
        <v/>
      </c>
      <c r="AY1740" s="1856" t="str">
        <f t="shared" si="315"/>
        <v/>
      </c>
    </row>
    <row r="1741" spans="42:52">
      <c r="AP1741" s="1855">
        <f t="shared" si="316"/>
        <v>44752</v>
      </c>
      <c r="AQ1741" s="925" t="str">
        <f t="shared" si="318"/>
        <v>MS</v>
      </c>
      <c r="AR1741" s="1856">
        <f t="shared" si="317"/>
        <v>44752.131249999999</v>
      </c>
      <c r="AS1741" s="927" t="s">
        <v>1933</v>
      </c>
      <c r="AT1741" s="1856" t="str">
        <f t="shared" si="310"/>
        <v/>
      </c>
      <c r="AU1741" s="1856" t="str">
        <f t="shared" si="311"/>
        <v/>
      </c>
      <c r="AV1741" s="1856" t="str">
        <f t="shared" si="312"/>
        <v/>
      </c>
      <c r="AW1741" s="1856" t="str">
        <f t="shared" si="313"/>
        <v/>
      </c>
      <c r="AX1741" s="1856" t="str">
        <f t="shared" si="314"/>
        <v/>
      </c>
      <c r="AY1741" s="1856" t="str">
        <f t="shared" si="315"/>
        <v/>
      </c>
    </row>
    <row r="1742" spans="42:52">
      <c r="AP1742" s="1855">
        <f t="shared" si="316"/>
        <v>44752</v>
      </c>
      <c r="AQ1742" s="925" t="str">
        <f t="shared" si="318"/>
        <v>BMNT</v>
      </c>
      <c r="AR1742" s="1856">
        <f t="shared" si="317"/>
        <v>44752.222916666666</v>
      </c>
      <c r="AS1742" s="927" t="s">
        <v>1856</v>
      </c>
      <c r="AT1742" s="1856" t="str">
        <f t="shared" si="310"/>
        <v/>
      </c>
      <c r="AU1742" s="1856" t="str">
        <f t="shared" si="311"/>
        <v/>
      </c>
      <c r="AV1742" s="1856" t="str">
        <f t="shared" si="312"/>
        <v/>
      </c>
      <c r="AW1742" s="1856" t="str">
        <f t="shared" si="313"/>
        <v/>
      </c>
      <c r="AX1742" s="1856" t="str">
        <f t="shared" si="314"/>
        <v/>
      </c>
      <c r="AY1742" s="1856" t="str">
        <f t="shared" si="315"/>
        <v/>
      </c>
    </row>
    <row r="1743" spans="42:52">
      <c r="AP1743" s="1855">
        <f t="shared" si="316"/>
        <v>44752</v>
      </c>
      <c r="AQ1743" s="925" t="str">
        <f t="shared" si="318"/>
        <v>SR</v>
      </c>
      <c r="AR1743" s="1856">
        <f t="shared" si="317"/>
        <v>44752.270833333336</v>
      </c>
      <c r="AS1743" s="927" t="s">
        <v>1842</v>
      </c>
      <c r="AT1743" s="1856" t="str">
        <f t="shared" si="310"/>
        <v/>
      </c>
      <c r="AU1743" s="1856" t="str">
        <f t="shared" si="311"/>
        <v/>
      </c>
      <c r="AV1743" s="1856" t="str">
        <f t="shared" si="312"/>
        <v/>
      </c>
      <c r="AW1743" s="1856" t="str">
        <f t="shared" si="313"/>
        <v/>
      </c>
      <c r="AX1743" s="1856" t="str">
        <f t="shared" si="314"/>
        <v/>
      </c>
      <c r="AY1743" s="1856" t="str">
        <f t="shared" si="315"/>
        <v/>
      </c>
    </row>
    <row r="1744" spans="42:52">
      <c r="AP1744" s="1855">
        <f t="shared" si="316"/>
        <v>44752</v>
      </c>
      <c r="AQ1744" s="925" t="str">
        <f t="shared" si="318"/>
        <v>MR</v>
      </c>
      <c r="AR1744" s="1856">
        <f t="shared" si="317"/>
        <v>44752.759027777778</v>
      </c>
      <c r="AS1744" s="927" t="s">
        <v>2000</v>
      </c>
      <c r="AT1744" s="1856" t="str">
        <f t="shared" si="310"/>
        <v/>
      </c>
      <c r="AU1744" s="1856" t="str">
        <f t="shared" si="311"/>
        <v/>
      </c>
      <c r="AV1744" s="1856" t="str">
        <f t="shared" si="312"/>
        <v/>
      </c>
      <c r="AW1744" s="1856" t="str">
        <f t="shared" si="313"/>
        <v/>
      </c>
      <c r="AX1744" s="1856" t="str">
        <f t="shared" si="314"/>
        <v/>
      </c>
      <c r="AY1744" s="1856" t="str">
        <f t="shared" si="315"/>
        <v/>
      </c>
    </row>
    <row r="1745" spans="42:52">
      <c r="AP1745" s="1855">
        <f t="shared" si="316"/>
        <v>44752</v>
      </c>
      <c r="AQ1745" s="925" t="str">
        <f t="shared" si="318"/>
        <v>SS</v>
      </c>
      <c r="AR1745" s="1856">
        <f t="shared" si="317"/>
        <v>44752.880555555559</v>
      </c>
      <c r="AS1745" s="927" t="s">
        <v>1954</v>
      </c>
      <c r="AT1745" s="1856" t="str">
        <f t="shared" si="310"/>
        <v/>
      </c>
      <c r="AU1745" s="1856" t="str">
        <f t="shared" si="311"/>
        <v/>
      </c>
      <c r="AV1745" s="1856" t="str">
        <f t="shared" si="312"/>
        <v/>
      </c>
      <c r="AW1745" s="1856" t="str">
        <f t="shared" si="313"/>
        <v/>
      </c>
      <c r="AX1745" s="1856" t="str">
        <f t="shared" si="314"/>
        <v/>
      </c>
      <c r="AY1745" s="1856" t="str">
        <f t="shared" si="315"/>
        <v/>
      </c>
    </row>
    <row r="1746" spans="42:52">
      <c r="AP1746" s="1855">
        <f t="shared" si="316"/>
        <v>44752</v>
      </c>
      <c r="AQ1746" s="925" t="str">
        <f t="shared" si="318"/>
        <v>EENT</v>
      </c>
      <c r="AR1746" s="1856">
        <f t="shared" si="317"/>
        <v>44752.929166666661</v>
      </c>
      <c r="AS1746" s="927" t="s">
        <v>1951</v>
      </c>
      <c r="AT1746" s="1856" t="str">
        <f t="shared" si="310"/>
        <v/>
      </c>
      <c r="AU1746" s="1856" t="str">
        <f t="shared" si="311"/>
        <v/>
      </c>
      <c r="AV1746" s="1856" t="str">
        <f t="shared" si="312"/>
        <v/>
      </c>
      <c r="AW1746" s="1856" t="str">
        <f t="shared" si="313"/>
        <v/>
      </c>
      <c r="AX1746" s="1856" t="str">
        <f t="shared" si="314"/>
        <v/>
      </c>
      <c r="AY1746" s="1856" t="str">
        <f t="shared" si="315"/>
        <v/>
      </c>
    </row>
    <row r="1747" spans="42:52">
      <c r="AP1747" s="1855">
        <f t="shared" si="316"/>
        <v>44753</v>
      </c>
      <c r="AQ1747" s="925" t="str">
        <f t="shared" si="318"/>
        <v/>
      </c>
      <c r="AR1747" s="1856" t="str">
        <f t="shared" si="317"/>
        <v/>
      </c>
      <c r="AS1747" s="927">
        <v>11</v>
      </c>
      <c r="AT1747" s="1856">
        <f t="shared" si="310"/>
        <v>44753.223611111112</v>
      </c>
      <c r="AU1747" s="1856">
        <f t="shared" si="311"/>
        <v>44753.271527777775</v>
      </c>
      <c r="AV1747" s="1856">
        <f t="shared" si="312"/>
        <v>44753.880555555559</v>
      </c>
      <c r="AW1747" s="1856">
        <f t="shared" si="313"/>
        <v>44753.928472222222</v>
      </c>
      <c r="AX1747" s="1856">
        <f t="shared" si="314"/>
        <v>44753.811805555553</v>
      </c>
      <c r="AY1747" s="1856">
        <f t="shared" si="315"/>
        <v>44753.162499999999</v>
      </c>
      <c r="AZ1747" s="1853">
        <v>0.9</v>
      </c>
    </row>
    <row r="1748" spans="42:52">
      <c r="AP1748" s="1855">
        <f t="shared" si="316"/>
        <v>44753</v>
      </c>
      <c r="AQ1748" s="925" t="str">
        <f t="shared" si="318"/>
        <v/>
      </c>
      <c r="AR1748" s="1856" t="str">
        <f t="shared" si="317"/>
        <v/>
      </c>
      <c r="AS1748" s="927" t="s">
        <v>252</v>
      </c>
      <c r="AT1748" s="1856" t="str">
        <f t="shared" si="310"/>
        <v/>
      </c>
      <c r="AU1748" s="1856" t="str">
        <f t="shared" si="311"/>
        <v/>
      </c>
      <c r="AV1748" s="1856" t="str">
        <f t="shared" si="312"/>
        <v/>
      </c>
      <c r="AW1748" s="1856" t="str">
        <f t="shared" si="313"/>
        <v/>
      </c>
      <c r="AX1748" s="1856" t="str">
        <f t="shared" si="314"/>
        <v/>
      </c>
      <c r="AY1748" s="1856" t="str">
        <f t="shared" si="315"/>
        <v/>
      </c>
    </row>
    <row r="1749" spans="42:52">
      <c r="AP1749" s="1855">
        <f t="shared" si="316"/>
        <v>44753</v>
      </c>
      <c r="AQ1749" s="925" t="str">
        <f t="shared" si="318"/>
        <v/>
      </c>
      <c r="AR1749" s="1856" t="str">
        <f t="shared" si="317"/>
        <v/>
      </c>
      <c r="AT1749" s="1856" t="str">
        <f t="shared" si="310"/>
        <v/>
      </c>
      <c r="AU1749" s="1856" t="str">
        <f t="shared" si="311"/>
        <v/>
      </c>
      <c r="AV1749" s="1856" t="str">
        <f t="shared" si="312"/>
        <v/>
      </c>
      <c r="AW1749" s="1856" t="str">
        <f t="shared" si="313"/>
        <v/>
      </c>
      <c r="AX1749" s="1856" t="str">
        <f t="shared" si="314"/>
        <v/>
      </c>
      <c r="AY1749" s="1856" t="str">
        <f t="shared" si="315"/>
        <v/>
      </c>
    </row>
    <row r="1750" spans="42:52">
      <c r="AP1750" s="1855">
        <f t="shared" si="316"/>
        <v>44753</v>
      </c>
      <c r="AQ1750" s="925" t="str">
        <f t="shared" si="318"/>
        <v>MS</v>
      </c>
      <c r="AR1750" s="1856">
        <f t="shared" si="317"/>
        <v>44753.162499999999</v>
      </c>
      <c r="AS1750" s="927" t="s">
        <v>2001</v>
      </c>
      <c r="AT1750" s="1856" t="str">
        <f t="shared" si="310"/>
        <v/>
      </c>
      <c r="AU1750" s="1856" t="str">
        <f t="shared" si="311"/>
        <v/>
      </c>
      <c r="AV1750" s="1856" t="str">
        <f t="shared" si="312"/>
        <v/>
      </c>
      <c r="AW1750" s="1856" t="str">
        <f t="shared" si="313"/>
        <v/>
      </c>
      <c r="AX1750" s="1856" t="str">
        <f t="shared" si="314"/>
        <v/>
      </c>
      <c r="AY1750" s="1856" t="str">
        <f t="shared" si="315"/>
        <v/>
      </c>
    </row>
    <row r="1751" spans="42:52">
      <c r="AP1751" s="1855">
        <f t="shared" si="316"/>
        <v>44753</v>
      </c>
      <c r="AQ1751" s="925" t="str">
        <f t="shared" si="318"/>
        <v>BMNT</v>
      </c>
      <c r="AR1751" s="1856">
        <f t="shared" si="317"/>
        <v>44753.223611111112</v>
      </c>
      <c r="AS1751" s="927" t="s">
        <v>1851</v>
      </c>
      <c r="AT1751" s="1856" t="str">
        <f t="shared" si="310"/>
        <v/>
      </c>
      <c r="AU1751" s="1856" t="str">
        <f t="shared" si="311"/>
        <v/>
      </c>
      <c r="AV1751" s="1856" t="str">
        <f t="shared" si="312"/>
        <v/>
      </c>
      <c r="AW1751" s="1856" t="str">
        <f t="shared" si="313"/>
        <v/>
      </c>
      <c r="AX1751" s="1856" t="str">
        <f t="shared" si="314"/>
        <v/>
      </c>
      <c r="AY1751" s="1856" t="str">
        <f t="shared" si="315"/>
        <v/>
      </c>
    </row>
    <row r="1752" spans="42:52">
      <c r="AP1752" s="1855">
        <f t="shared" si="316"/>
        <v>44753</v>
      </c>
      <c r="AQ1752" s="925" t="str">
        <f t="shared" si="318"/>
        <v>SR</v>
      </c>
      <c r="AR1752" s="1856">
        <f t="shared" si="317"/>
        <v>44753.271527777775</v>
      </c>
      <c r="AS1752" s="927" t="s">
        <v>1836</v>
      </c>
      <c r="AT1752" s="1856" t="str">
        <f t="shared" si="310"/>
        <v/>
      </c>
      <c r="AU1752" s="1856" t="str">
        <f t="shared" si="311"/>
        <v/>
      </c>
      <c r="AV1752" s="1856" t="str">
        <f t="shared" si="312"/>
        <v/>
      </c>
      <c r="AW1752" s="1856" t="str">
        <f t="shared" si="313"/>
        <v/>
      </c>
      <c r="AX1752" s="1856" t="str">
        <f t="shared" si="314"/>
        <v/>
      </c>
      <c r="AY1752" s="1856" t="str">
        <f t="shared" si="315"/>
        <v/>
      </c>
    </row>
    <row r="1753" spans="42:52">
      <c r="AP1753" s="1855">
        <f t="shared" si="316"/>
        <v>44753</v>
      </c>
      <c r="AQ1753" s="925" t="str">
        <f t="shared" si="318"/>
        <v>MR</v>
      </c>
      <c r="AR1753" s="1856">
        <f t="shared" si="317"/>
        <v>44753.811805555553</v>
      </c>
      <c r="AS1753" s="927" t="s">
        <v>2002</v>
      </c>
      <c r="AT1753" s="1856" t="str">
        <f t="shared" si="310"/>
        <v/>
      </c>
      <c r="AU1753" s="1856" t="str">
        <f t="shared" si="311"/>
        <v/>
      </c>
      <c r="AV1753" s="1856" t="str">
        <f t="shared" si="312"/>
        <v/>
      </c>
      <c r="AW1753" s="1856" t="str">
        <f t="shared" si="313"/>
        <v/>
      </c>
      <c r="AX1753" s="1856" t="str">
        <f t="shared" si="314"/>
        <v/>
      </c>
      <c r="AY1753" s="1856" t="str">
        <f t="shared" si="315"/>
        <v/>
      </c>
    </row>
    <row r="1754" spans="42:52">
      <c r="AP1754" s="1855">
        <f t="shared" si="316"/>
        <v>44753</v>
      </c>
      <c r="AQ1754" s="925" t="str">
        <f t="shared" si="318"/>
        <v>SS</v>
      </c>
      <c r="AR1754" s="1856">
        <f t="shared" si="317"/>
        <v>44753.880555555559</v>
      </c>
      <c r="AS1754" s="927" t="s">
        <v>1954</v>
      </c>
      <c r="AT1754" s="1856" t="str">
        <f t="shared" si="310"/>
        <v/>
      </c>
      <c r="AU1754" s="1856" t="str">
        <f t="shared" si="311"/>
        <v/>
      </c>
      <c r="AV1754" s="1856" t="str">
        <f t="shared" si="312"/>
        <v/>
      </c>
      <c r="AW1754" s="1856" t="str">
        <f t="shared" si="313"/>
        <v/>
      </c>
      <c r="AX1754" s="1856" t="str">
        <f t="shared" si="314"/>
        <v/>
      </c>
      <c r="AY1754" s="1856" t="str">
        <f t="shared" si="315"/>
        <v/>
      </c>
    </row>
    <row r="1755" spans="42:52">
      <c r="AP1755" s="1855">
        <f t="shared" si="316"/>
        <v>44753</v>
      </c>
      <c r="AQ1755" s="925" t="str">
        <f t="shared" si="318"/>
        <v>EENT</v>
      </c>
      <c r="AR1755" s="1856">
        <f t="shared" si="317"/>
        <v>44753.928472222222</v>
      </c>
      <c r="AS1755" s="927" t="s">
        <v>1944</v>
      </c>
      <c r="AT1755" s="1856" t="str">
        <f t="shared" si="310"/>
        <v/>
      </c>
      <c r="AU1755" s="1856" t="str">
        <f t="shared" si="311"/>
        <v/>
      </c>
      <c r="AV1755" s="1856" t="str">
        <f t="shared" si="312"/>
        <v/>
      </c>
      <c r="AW1755" s="1856" t="str">
        <f t="shared" si="313"/>
        <v/>
      </c>
      <c r="AX1755" s="1856" t="str">
        <f t="shared" si="314"/>
        <v/>
      </c>
      <c r="AY1755" s="1856" t="str">
        <f t="shared" si="315"/>
        <v/>
      </c>
    </row>
    <row r="1756" spans="42:52">
      <c r="AP1756" s="1855">
        <f t="shared" si="316"/>
        <v>44754</v>
      </c>
      <c r="AQ1756" s="925" t="str">
        <f t="shared" si="318"/>
        <v/>
      </c>
      <c r="AR1756" s="1856" t="str">
        <f t="shared" si="317"/>
        <v/>
      </c>
      <c r="AS1756" s="927">
        <v>12</v>
      </c>
      <c r="AT1756" s="1856">
        <f t="shared" ref="AT1756:AT1819" si="319">IF(ISNUMBER(AS1756),INDEX(AR1757:AR1767,MATCH($AT$27,AQ1757:AQ1767,0)),"")</f>
        <v>44754.223611111112</v>
      </c>
      <c r="AU1756" s="1856">
        <f t="shared" ref="AU1756:AU1819" si="320">IF(AT1756="","",INDEX(AR1757:AR1767,MATCH($AU$27,AQ1757:AQ1767,0)))</f>
        <v>44754.271527777775</v>
      </c>
      <c r="AV1756" s="1856">
        <f t="shared" ref="AV1756:AV1819" si="321">IF(AT1756="","",INDEX(AR1757:AR1767,MATCH($AV$27,AQ1757:AQ1767,0)))</f>
        <v>44754.880555555559</v>
      </c>
      <c r="AW1756" s="1856">
        <f t="shared" ref="AW1756:AW1819" si="322">IF(AT1756="","",INDEX(AR1757:AR1767,MATCH($AW$27,AQ1757:AQ1767,0)))</f>
        <v>44754.928472222222</v>
      </c>
      <c r="AX1756" s="1856">
        <f t="shared" ref="AX1756:AX1819" si="323">IF(AT1756="","",INDEX(AR1757:AR1767,MATCH($AX$27,AQ1757:AQ1767,0)))</f>
        <v>44754.86041666667</v>
      </c>
      <c r="AY1756" s="1856">
        <f t="shared" ref="AY1756:AY1819" si="324">IF(AT1756="","",INDEX(AR1757:AR1767,MATCH($AY$27,AQ1757:AQ1767,0)))</f>
        <v>44754.20208333333</v>
      </c>
      <c r="AZ1756" s="1853">
        <v>0.96</v>
      </c>
    </row>
    <row r="1757" spans="42:52">
      <c r="AP1757" s="1855">
        <f t="shared" si="316"/>
        <v>44754</v>
      </c>
      <c r="AQ1757" s="925" t="str">
        <f t="shared" si="318"/>
        <v/>
      </c>
      <c r="AR1757" s="1856" t="str">
        <f t="shared" si="317"/>
        <v/>
      </c>
      <c r="AS1757" s="927" t="s">
        <v>252</v>
      </c>
      <c r="AT1757" s="1856" t="str">
        <f t="shared" si="319"/>
        <v/>
      </c>
      <c r="AU1757" s="1856" t="str">
        <f t="shared" si="320"/>
        <v/>
      </c>
      <c r="AV1757" s="1856" t="str">
        <f t="shared" si="321"/>
        <v/>
      </c>
      <c r="AW1757" s="1856" t="str">
        <f t="shared" si="322"/>
        <v/>
      </c>
      <c r="AX1757" s="1856" t="str">
        <f t="shared" si="323"/>
        <v/>
      </c>
      <c r="AY1757" s="1856" t="str">
        <f t="shared" si="324"/>
        <v/>
      </c>
    </row>
    <row r="1758" spans="42:52">
      <c r="AP1758" s="1855">
        <f t="shared" si="316"/>
        <v>44754</v>
      </c>
      <c r="AQ1758" s="925" t="str">
        <f t="shared" si="318"/>
        <v/>
      </c>
      <c r="AR1758" s="1856" t="str">
        <f t="shared" si="317"/>
        <v/>
      </c>
      <c r="AT1758" s="1856" t="str">
        <f t="shared" si="319"/>
        <v/>
      </c>
      <c r="AU1758" s="1856" t="str">
        <f t="shared" si="320"/>
        <v/>
      </c>
      <c r="AV1758" s="1856" t="str">
        <f t="shared" si="321"/>
        <v/>
      </c>
      <c r="AW1758" s="1856" t="str">
        <f t="shared" si="322"/>
        <v/>
      </c>
      <c r="AX1758" s="1856" t="str">
        <f t="shared" si="323"/>
        <v/>
      </c>
      <c r="AY1758" s="1856" t="str">
        <f t="shared" si="324"/>
        <v/>
      </c>
    </row>
    <row r="1759" spans="42:52">
      <c r="AP1759" s="1855">
        <f t="shared" si="316"/>
        <v>44754</v>
      </c>
      <c r="AQ1759" s="925" t="str">
        <f t="shared" si="318"/>
        <v>MS</v>
      </c>
      <c r="AR1759" s="1856">
        <f t="shared" si="317"/>
        <v>44754.20208333333</v>
      </c>
      <c r="AS1759" s="927" t="s">
        <v>1634</v>
      </c>
      <c r="AT1759" s="1856" t="str">
        <f t="shared" si="319"/>
        <v/>
      </c>
      <c r="AU1759" s="1856" t="str">
        <f t="shared" si="320"/>
        <v/>
      </c>
      <c r="AV1759" s="1856" t="str">
        <f t="shared" si="321"/>
        <v/>
      </c>
      <c r="AW1759" s="1856" t="str">
        <f t="shared" si="322"/>
        <v/>
      </c>
      <c r="AX1759" s="1856" t="str">
        <f t="shared" si="323"/>
        <v/>
      </c>
      <c r="AY1759" s="1856" t="str">
        <f t="shared" si="324"/>
        <v/>
      </c>
    </row>
    <row r="1760" spans="42:52">
      <c r="AP1760" s="1855">
        <f t="shared" si="316"/>
        <v>44754</v>
      </c>
      <c r="AQ1760" s="925" t="str">
        <f t="shared" si="318"/>
        <v>BMNT</v>
      </c>
      <c r="AR1760" s="1856">
        <f t="shared" si="317"/>
        <v>44754.223611111112</v>
      </c>
      <c r="AS1760" s="927" t="s">
        <v>1851</v>
      </c>
      <c r="AT1760" s="1856" t="str">
        <f t="shared" si="319"/>
        <v/>
      </c>
      <c r="AU1760" s="1856" t="str">
        <f t="shared" si="320"/>
        <v/>
      </c>
      <c r="AV1760" s="1856" t="str">
        <f t="shared" si="321"/>
        <v/>
      </c>
      <c r="AW1760" s="1856" t="str">
        <f t="shared" si="322"/>
        <v/>
      </c>
      <c r="AX1760" s="1856" t="str">
        <f t="shared" si="323"/>
        <v/>
      </c>
      <c r="AY1760" s="1856" t="str">
        <f t="shared" si="324"/>
        <v/>
      </c>
    </row>
    <row r="1761" spans="42:52">
      <c r="AP1761" s="1855">
        <f t="shared" si="316"/>
        <v>44754</v>
      </c>
      <c r="AQ1761" s="925" t="str">
        <f t="shared" si="318"/>
        <v>SR</v>
      </c>
      <c r="AR1761" s="1856">
        <f t="shared" si="317"/>
        <v>44754.271527777775</v>
      </c>
      <c r="AS1761" s="927" t="s">
        <v>1836</v>
      </c>
      <c r="AT1761" s="1856" t="str">
        <f t="shared" si="319"/>
        <v/>
      </c>
      <c r="AU1761" s="1856" t="str">
        <f t="shared" si="320"/>
        <v/>
      </c>
      <c r="AV1761" s="1856" t="str">
        <f t="shared" si="321"/>
        <v/>
      </c>
      <c r="AW1761" s="1856" t="str">
        <f t="shared" si="322"/>
        <v/>
      </c>
      <c r="AX1761" s="1856" t="str">
        <f t="shared" si="323"/>
        <v/>
      </c>
      <c r="AY1761" s="1856" t="str">
        <f t="shared" si="324"/>
        <v/>
      </c>
    </row>
    <row r="1762" spans="42:52">
      <c r="AP1762" s="1855">
        <f t="shared" si="316"/>
        <v>44754</v>
      </c>
      <c r="AQ1762" s="925" t="str">
        <f t="shared" si="318"/>
        <v>MR</v>
      </c>
      <c r="AR1762" s="1856">
        <f t="shared" si="317"/>
        <v>44754.86041666667</v>
      </c>
      <c r="AS1762" s="927" t="s">
        <v>2003</v>
      </c>
      <c r="AT1762" s="1856" t="str">
        <f t="shared" si="319"/>
        <v/>
      </c>
      <c r="AU1762" s="1856" t="str">
        <f t="shared" si="320"/>
        <v/>
      </c>
      <c r="AV1762" s="1856" t="str">
        <f t="shared" si="321"/>
        <v/>
      </c>
      <c r="AW1762" s="1856" t="str">
        <f t="shared" si="322"/>
        <v/>
      </c>
      <c r="AX1762" s="1856" t="str">
        <f t="shared" si="323"/>
        <v/>
      </c>
      <c r="AY1762" s="1856" t="str">
        <f t="shared" si="324"/>
        <v/>
      </c>
    </row>
    <row r="1763" spans="42:52">
      <c r="AP1763" s="1855">
        <f t="shared" si="316"/>
        <v>44754</v>
      </c>
      <c r="AQ1763" s="925" t="str">
        <f t="shared" si="318"/>
        <v>SS</v>
      </c>
      <c r="AR1763" s="1856">
        <f t="shared" si="317"/>
        <v>44754.880555555559</v>
      </c>
      <c r="AS1763" s="927" t="s">
        <v>1954</v>
      </c>
      <c r="AT1763" s="1856" t="str">
        <f t="shared" si="319"/>
        <v/>
      </c>
      <c r="AU1763" s="1856" t="str">
        <f t="shared" si="320"/>
        <v/>
      </c>
      <c r="AV1763" s="1856" t="str">
        <f t="shared" si="321"/>
        <v/>
      </c>
      <c r="AW1763" s="1856" t="str">
        <f t="shared" si="322"/>
        <v/>
      </c>
      <c r="AX1763" s="1856" t="str">
        <f t="shared" si="323"/>
        <v/>
      </c>
      <c r="AY1763" s="1856" t="str">
        <f t="shared" si="324"/>
        <v/>
      </c>
    </row>
    <row r="1764" spans="42:52">
      <c r="AP1764" s="1855">
        <f t="shared" si="316"/>
        <v>44754</v>
      </c>
      <c r="AQ1764" s="925" t="str">
        <f t="shared" si="318"/>
        <v>EENT</v>
      </c>
      <c r="AR1764" s="1856">
        <f t="shared" si="317"/>
        <v>44754.928472222222</v>
      </c>
      <c r="AS1764" s="927" t="s">
        <v>1944</v>
      </c>
      <c r="AT1764" s="1856" t="str">
        <f t="shared" si="319"/>
        <v/>
      </c>
      <c r="AU1764" s="1856" t="str">
        <f t="shared" si="320"/>
        <v/>
      </c>
      <c r="AV1764" s="1856" t="str">
        <f t="shared" si="321"/>
        <v/>
      </c>
      <c r="AW1764" s="1856" t="str">
        <f t="shared" si="322"/>
        <v/>
      </c>
      <c r="AX1764" s="1856" t="str">
        <f t="shared" si="323"/>
        <v/>
      </c>
      <c r="AY1764" s="1856" t="str">
        <f t="shared" si="324"/>
        <v/>
      </c>
    </row>
    <row r="1765" spans="42:52">
      <c r="AP1765" s="1855">
        <f t="shared" ref="AP1765:AP1828" si="325">IF(ISNUMBER(AS1765),AP1764+1,AP1764)</f>
        <v>44755</v>
      </c>
      <c r="AQ1765" s="925" t="str">
        <f t="shared" si="318"/>
        <v/>
      </c>
      <c r="AR1765" s="1856" t="str">
        <f t="shared" si="317"/>
        <v/>
      </c>
      <c r="AS1765" s="927">
        <v>13</v>
      </c>
      <c r="AT1765" s="1856">
        <f t="shared" si="319"/>
        <v>44755.224305555559</v>
      </c>
      <c r="AU1765" s="1856">
        <f t="shared" si="320"/>
        <v>44755.272222222222</v>
      </c>
      <c r="AV1765" s="1856">
        <f t="shared" si="321"/>
        <v>44755.879861111112</v>
      </c>
      <c r="AW1765" s="1856">
        <f t="shared" si="322"/>
        <v>44755.927777777775</v>
      </c>
      <c r="AX1765" s="1856">
        <f t="shared" si="323"/>
        <v>44755.902777777781</v>
      </c>
      <c r="AY1765" s="1856">
        <f t="shared" si="324"/>
        <v>44755.248611111114</v>
      </c>
      <c r="AZ1765" s="1853">
        <v>0.99</v>
      </c>
    </row>
    <row r="1766" spans="42:52">
      <c r="AP1766" s="1855">
        <f t="shared" si="325"/>
        <v>44755</v>
      </c>
      <c r="AQ1766" s="925" t="str">
        <f t="shared" si="318"/>
        <v/>
      </c>
      <c r="AR1766" s="1856" t="str">
        <f t="shared" si="317"/>
        <v/>
      </c>
      <c r="AS1766" s="927" t="s">
        <v>252</v>
      </c>
      <c r="AT1766" s="1856" t="str">
        <f t="shared" si="319"/>
        <v/>
      </c>
      <c r="AU1766" s="1856" t="str">
        <f t="shared" si="320"/>
        <v/>
      </c>
      <c r="AV1766" s="1856" t="str">
        <f t="shared" si="321"/>
        <v/>
      </c>
      <c r="AW1766" s="1856" t="str">
        <f t="shared" si="322"/>
        <v/>
      </c>
      <c r="AX1766" s="1856" t="str">
        <f t="shared" si="323"/>
        <v/>
      </c>
      <c r="AY1766" s="1856" t="str">
        <f t="shared" si="324"/>
        <v/>
      </c>
    </row>
    <row r="1767" spans="42:52">
      <c r="AP1767" s="1855">
        <f t="shared" si="325"/>
        <v>44755</v>
      </c>
      <c r="AQ1767" s="925" t="str">
        <f t="shared" si="318"/>
        <v/>
      </c>
      <c r="AR1767" s="1856" t="str">
        <f t="shared" si="317"/>
        <v/>
      </c>
      <c r="AT1767" s="1856" t="str">
        <f t="shared" si="319"/>
        <v/>
      </c>
      <c r="AU1767" s="1856" t="str">
        <f t="shared" si="320"/>
        <v/>
      </c>
      <c r="AV1767" s="1856" t="str">
        <f t="shared" si="321"/>
        <v/>
      </c>
      <c r="AW1767" s="1856" t="str">
        <f t="shared" si="322"/>
        <v/>
      </c>
      <c r="AX1767" s="1856" t="str">
        <f t="shared" si="323"/>
        <v/>
      </c>
      <c r="AY1767" s="1856" t="str">
        <f t="shared" si="324"/>
        <v/>
      </c>
    </row>
    <row r="1768" spans="42:52">
      <c r="AP1768" s="1855">
        <f t="shared" si="325"/>
        <v>44755</v>
      </c>
      <c r="AQ1768" s="925" t="str">
        <f t="shared" si="318"/>
        <v>BMNT</v>
      </c>
      <c r="AR1768" s="1856">
        <f t="shared" si="317"/>
        <v>44755.224305555559</v>
      </c>
      <c r="AS1768" s="927" t="s">
        <v>1841</v>
      </c>
      <c r="AT1768" s="1856" t="str">
        <f t="shared" si="319"/>
        <v/>
      </c>
      <c r="AU1768" s="1856" t="str">
        <f t="shared" si="320"/>
        <v/>
      </c>
      <c r="AV1768" s="1856" t="str">
        <f t="shared" si="321"/>
        <v/>
      </c>
      <c r="AW1768" s="1856" t="str">
        <f t="shared" si="322"/>
        <v/>
      </c>
      <c r="AX1768" s="1856" t="str">
        <f t="shared" si="323"/>
        <v/>
      </c>
      <c r="AY1768" s="1856" t="str">
        <f t="shared" si="324"/>
        <v/>
      </c>
    </row>
    <row r="1769" spans="42:52">
      <c r="AP1769" s="1855">
        <f t="shared" si="325"/>
        <v>44755</v>
      </c>
      <c r="AQ1769" s="925" t="str">
        <f t="shared" si="318"/>
        <v>MS</v>
      </c>
      <c r="AR1769" s="1856">
        <f t="shared" ref="AR1769:AR1832" si="326">IF(NOT(ISNUMBER(FIND(":",AS1769))),"",IF(ISNUMBER(FIND(" none",AS1769)),"NONE",AP1769+LEFT(RIGHT(AS1769,5),2)/24+RIGHT(AS1769,2)/1440))</f>
        <v>44755.248611111114</v>
      </c>
      <c r="AS1769" s="927" t="s">
        <v>1353</v>
      </c>
      <c r="AT1769" s="1856" t="str">
        <f t="shared" si="319"/>
        <v/>
      </c>
      <c r="AU1769" s="1856" t="str">
        <f t="shared" si="320"/>
        <v/>
      </c>
      <c r="AV1769" s="1856" t="str">
        <f t="shared" si="321"/>
        <v/>
      </c>
      <c r="AW1769" s="1856" t="str">
        <f t="shared" si="322"/>
        <v/>
      </c>
      <c r="AX1769" s="1856" t="str">
        <f t="shared" si="323"/>
        <v/>
      </c>
      <c r="AY1769" s="1856" t="str">
        <f t="shared" si="324"/>
        <v/>
      </c>
    </row>
    <row r="1770" spans="42:52">
      <c r="AP1770" s="1855">
        <f t="shared" si="325"/>
        <v>44755</v>
      </c>
      <c r="AQ1770" s="925" t="str">
        <f t="shared" si="318"/>
        <v>SR</v>
      </c>
      <c r="AR1770" s="1856">
        <f t="shared" si="326"/>
        <v>44755.272222222222</v>
      </c>
      <c r="AS1770" s="927" t="s">
        <v>1825</v>
      </c>
      <c r="AT1770" s="1856" t="str">
        <f t="shared" si="319"/>
        <v/>
      </c>
      <c r="AU1770" s="1856" t="str">
        <f t="shared" si="320"/>
        <v/>
      </c>
      <c r="AV1770" s="1856" t="str">
        <f t="shared" si="321"/>
        <v/>
      </c>
      <c r="AW1770" s="1856" t="str">
        <f t="shared" si="322"/>
        <v/>
      </c>
      <c r="AX1770" s="1856" t="str">
        <f t="shared" si="323"/>
        <v/>
      </c>
      <c r="AY1770" s="1856" t="str">
        <f t="shared" si="324"/>
        <v/>
      </c>
    </row>
    <row r="1771" spans="42:52">
      <c r="AP1771" s="1855">
        <f t="shared" si="325"/>
        <v>44755</v>
      </c>
      <c r="AQ1771" s="925" t="str">
        <f t="shared" si="318"/>
        <v>SS</v>
      </c>
      <c r="AR1771" s="1856">
        <f t="shared" si="326"/>
        <v>44755.879861111112</v>
      </c>
      <c r="AS1771" s="927" t="s">
        <v>1947</v>
      </c>
      <c r="AT1771" s="1856" t="str">
        <f t="shared" si="319"/>
        <v/>
      </c>
      <c r="AU1771" s="1856" t="str">
        <f t="shared" si="320"/>
        <v/>
      </c>
      <c r="AV1771" s="1856" t="str">
        <f t="shared" si="321"/>
        <v/>
      </c>
      <c r="AW1771" s="1856" t="str">
        <f t="shared" si="322"/>
        <v/>
      </c>
      <c r="AX1771" s="1856" t="str">
        <f t="shared" si="323"/>
        <v/>
      </c>
      <c r="AY1771" s="1856" t="str">
        <f t="shared" si="324"/>
        <v/>
      </c>
    </row>
    <row r="1772" spans="42:52">
      <c r="AP1772" s="1855">
        <f t="shared" si="325"/>
        <v>44755</v>
      </c>
      <c r="AQ1772" s="925" t="str">
        <f t="shared" si="318"/>
        <v>MR</v>
      </c>
      <c r="AR1772" s="1856">
        <f t="shared" si="326"/>
        <v>44755.902777777781</v>
      </c>
      <c r="AS1772" s="927" t="s">
        <v>2004</v>
      </c>
      <c r="AT1772" s="1856" t="str">
        <f t="shared" si="319"/>
        <v/>
      </c>
      <c r="AU1772" s="1856" t="str">
        <f t="shared" si="320"/>
        <v/>
      </c>
      <c r="AV1772" s="1856" t="str">
        <f t="shared" si="321"/>
        <v/>
      </c>
      <c r="AW1772" s="1856" t="str">
        <f t="shared" si="322"/>
        <v/>
      </c>
      <c r="AX1772" s="1856" t="str">
        <f t="shared" si="323"/>
        <v/>
      </c>
      <c r="AY1772" s="1856" t="str">
        <f t="shared" si="324"/>
        <v/>
      </c>
    </row>
    <row r="1773" spans="42:52">
      <c r="AP1773" s="1855">
        <f t="shared" si="325"/>
        <v>44755</v>
      </c>
      <c r="AQ1773" s="925" t="str">
        <f t="shared" si="318"/>
        <v>EENT</v>
      </c>
      <c r="AR1773" s="1856">
        <f t="shared" si="326"/>
        <v>44755.927777777775</v>
      </c>
      <c r="AS1773" s="927" t="s">
        <v>1941</v>
      </c>
      <c r="AT1773" s="1856" t="str">
        <f t="shared" si="319"/>
        <v/>
      </c>
      <c r="AU1773" s="1856" t="str">
        <f t="shared" si="320"/>
        <v/>
      </c>
      <c r="AV1773" s="1856" t="str">
        <f t="shared" si="321"/>
        <v/>
      </c>
      <c r="AW1773" s="1856" t="str">
        <f t="shared" si="322"/>
        <v/>
      </c>
      <c r="AX1773" s="1856" t="str">
        <f t="shared" si="323"/>
        <v/>
      </c>
      <c r="AY1773" s="1856" t="str">
        <f t="shared" si="324"/>
        <v/>
      </c>
    </row>
    <row r="1774" spans="42:52">
      <c r="AP1774" s="1855">
        <f t="shared" si="325"/>
        <v>44756</v>
      </c>
      <c r="AQ1774" s="925" t="str">
        <f t="shared" si="318"/>
        <v/>
      </c>
      <c r="AR1774" s="1856" t="str">
        <f t="shared" si="326"/>
        <v/>
      </c>
      <c r="AS1774" s="927">
        <v>14</v>
      </c>
      <c r="AT1774" s="1856">
        <f t="shared" si="319"/>
        <v>44756.225000000006</v>
      </c>
      <c r="AU1774" s="1856">
        <f t="shared" si="320"/>
        <v>44756.272916666669</v>
      </c>
      <c r="AV1774" s="1856">
        <f t="shared" si="321"/>
        <v>44756.879861111112</v>
      </c>
      <c r="AW1774" s="1856">
        <f t="shared" si="322"/>
        <v>44756.927083333328</v>
      </c>
      <c r="AX1774" s="1856">
        <f t="shared" si="323"/>
        <v>44756.936805555553</v>
      </c>
      <c r="AY1774" s="1856">
        <f t="shared" si="324"/>
        <v>44756.300694444442</v>
      </c>
      <c r="AZ1774" s="1853">
        <v>1</v>
      </c>
    </row>
    <row r="1775" spans="42:52">
      <c r="AP1775" s="1855">
        <f t="shared" si="325"/>
        <v>44756</v>
      </c>
      <c r="AQ1775" s="925" t="str">
        <f t="shared" si="318"/>
        <v/>
      </c>
      <c r="AR1775" s="1856" t="str">
        <f t="shared" si="326"/>
        <v/>
      </c>
      <c r="AS1775" s="927" t="s">
        <v>252</v>
      </c>
      <c r="AT1775" s="1856" t="str">
        <f t="shared" si="319"/>
        <v/>
      </c>
      <c r="AU1775" s="1856" t="str">
        <f t="shared" si="320"/>
        <v/>
      </c>
      <c r="AV1775" s="1856" t="str">
        <f t="shared" si="321"/>
        <v/>
      </c>
      <c r="AW1775" s="1856" t="str">
        <f t="shared" si="322"/>
        <v/>
      </c>
      <c r="AX1775" s="1856" t="str">
        <f t="shared" si="323"/>
        <v/>
      </c>
      <c r="AY1775" s="1856" t="str">
        <f t="shared" si="324"/>
        <v/>
      </c>
    </row>
    <row r="1776" spans="42:52">
      <c r="AP1776" s="1855">
        <f t="shared" si="325"/>
        <v>44756</v>
      </c>
      <c r="AQ1776" s="925" t="str">
        <f t="shared" si="318"/>
        <v/>
      </c>
      <c r="AR1776" s="1856" t="str">
        <f t="shared" si="326"/>
        <v/>
      </c>
      <c r="AT1776" s="1856" t="str">
        <f t="shared" si="319"/>
        <v/>
      </c>
      <c r="AU1776" s="1856" t="str">
        <f t="shared" si="320"/>
        <v/>
      </c>
      <c r="AV1776" s="1856" t="str">
        <f t="shared" si="321"/>
        <v/>
      </c>
      <c r="AW1776" s="1856" t="str">
        <f t="shared" si="322"/>
        <v/>
      </c>
      <c r="AX1776" s="1856" t="str">
        <f t="shared" si="323"/>
        <v/>
      </c>
      <c r="AY1776" s="1856" t="str">
        <f t="shared" si="324"/>
        <v/>
      </c>
    </row>
    <row r="1777" spans="42:52">
      <c r="AP1777" s="1855">
        <f t="shared" si="325"/>
        <v>44756</v>
      </c>
      <c r="AQ1777" s="925" t="str">
        <f t="shared" si="318"/>
        <v>BMNT</v>
      </c>
      <c r="AR1777" s="1856">
        <f t="shared" si="326"/>
        <v>44756.225000000006</v>
      </c>
      <c r="AS1777" s="927" t="s">
        <v>1835</v>
      </c>
      <c r="AT1777" s="1856" t="str">
        <f t="shared" si="319"/>
        <v/>
      </c>
      <c r="AU1777" s="1856" t="str">
        <f t="shared" si="320"/>
        <v/>
      </c>
      <c r="AV1777" s="1856" t="str">
        <f t="shared" si="321"/>
        <v/>
      </c>
      <c r="AW1777" s="1856" t="str">
        <f t="shared" si="322"/>
        <v/>
      </c>
      <c r="AX1777" s="1856" t="str">
        <f t="shared" si="323"/>
        <v/>
      </c>
      <c r="AY1777" s="1856" t="str">
        <f t="shared" si="324"/>
        <v/>
      </c>
    </row>
    <row r="1778" spans="42:52">
      <c r="AP1778" s="1855">
        <f t="shared" si="325"/>
        <v>44756</v>
      </c>
      <c r="AQ1778" s="925" t="str">
        <f t="shared" si="318"/>
        <v>SR</v>
      </c>
      <c r="AR1778" s="1856">
        <f t="shared" si="326"/>
        <v>44756.272916666669</v>
      </c>
      <c r="AS1778" s="927" t="s">
        <v>1819</v>
      </c>
      <c r="AT1778" s="1856" t="str">
        <f t="shared" si="319"/>
        <v/>
      </c>
      <c r="AU1778" s="1856" t="str">
        <f t="shared" si="320"/>
        <v/>
      </c>
      <c r="AV1778" s="1856" t="str">
        <f t="shared" si="321"/>
        <v/>
      </c>
      <c r="AW1778" s="1856" t="str">
        <f t="shared" si="322"/>
        <v/>
      </c>
      <c r="AX1778" s="1856" t="str">
        <f t="shared" si="323"/>
        <v/>
      </c>
      <c r="AY1778" s="1856" t="str">
        <f t="shared" si="324"/>
        <v/>
      </c>
    </row>
    <row r="1779" spans="42:52">
      <c r="AP1779" s="1855">
        <f t="shared" si="325"/>
        <v>44756</v>
      </c>
      <c r="AQ1779" s="925" t="str">
        <f t="shared" si="318"/>
        <v>MS</v>
      </c>
      <c r="AR1779" s="1856">
        <f t="shared" si="326"/>
        <v>44756.300694444442</v>
      </c>
      <c r="AS1779" s="927" t="s">
        <v>1952</v>
      </c>
      <c r="AT1779" s="1856" t="str">
        <f t="shared" si="319"/>
        <v/>
      </c>
      <c r="AU1779" s="1856" t="str">
        <f t="shared" si="320"/>
        <v/>
      </c>
      <c r="AV1779" s="1856" t="str">
        <f t="shared" si="321"/>
        <v/>
      </c>
      <c r="AW1779" s="1856" t="str">
        <f t="shared" si="322"/>
        <v/>
      </c>
      <c r="AX1779" s="1856" t="str">
        <f t="shared" si="323"/>
        <v/>
      </c>
      <c r="AY1779" s="1856" t="str">
        <f t="shared" si="324"/>
        <v/>
      </c>
    </row>
    <row r="1780" spans="42:52">
      <c r="AP1780" s="1855">
        <f t="shared" si="325"/>
        <v>44756</v>
      </c>
      <c r="AQ1780" s="925" t="str">
        <f t="shared" ref="AQ1780:AQ1843" si="327">IF(NOT(ISNUMBER(FIND(":",AS1780))),"",IF(ISNUMBER(FIND("Sunr",AS1780)),"SR", IF(ISNUMBER(FIND("Suns",AS1780)),"SS",IF(ISNUMBER(FIND("Moonr",AS1780)),"MR",IF(ISNUMBER(FIND("Moons",AS1780)),"MS",IF(ISNUMBER(FIND("Twi",AS1780)),IF(HOUR(AR1780)&lt;12,"BMNT","EENT")))))))</f>
        <v>SS</v>
      </c>
      <c r="AR1780" s="1856">
        <f t="shared" si="326"/>
        <v>44756.879861111112</v>
      </c>
      <c r="AS1780" s="927" t="s">
        <v>1947</v>
      </c>
      <c r="AT1780" s="1856" t="str">
        <f t="shared" si="319"/>
        <v/>
      </c>
      <c r="AU1780" s="1856" t="str">
        <f t="shared" si="320"/>
        <v/>
      </c>
      <c r="AV1780" s="1856" t="str">
        <f t="shared" si="321"/>
        <v/>
      </c>
      <c r="AW1780" s="1856" t="str">
        <f t="shared" si="322"/>
        <v/>
      </c>
      <c r="AX1780" s="1856" t="str">
        <f t="shared" si="323"/>
        <v/>
      </c>
      <c r="AY1780" s="1856" t="str">
        <f t="shared" si="324"/>
        <v/>
      </c>
    </row>
    <row r="1781" spans="42:52">
      <c r="AP1781" s="1855">
        <f t="shared" si="325"/>
        <v>44756</v>
      </c>
      <c r="AQ1781" s="925" t="str">
        <f t="shared" si="327"/>
        <v>EENT</v>
      </c>
      <c r="AR1781" s="1856">
        <f t="shared" si="326"/>
        <v>44756.927083333328</v>
      </c>
      <c r="AS1781" s="927" t="s">
        <v>1936</v>
      </c>
      <c r="AT1781" s="1856" t="str">
        <f t="shared" si="319"/>
        <v/>
      </c>
      <c r="AU1781" s="1856" t="str">
        <f t="shared" si="320"/>
        <v/>
      </c>
      <c r="AV1781" s="1856" t="str">
        <f t="shared" si="321"/>
        <v/>
      </c>
      <c r="AW1781" s="1856" t="str">
        <f t="shared" si="322"/>
        <v/>
      </c>
      <c r="AX1781" s="1856" t="str">
        <f t="shared" si="323"/>
        <v/>
      </c>
      <c r="AY1781" s="1856" t="str">
        <f t="shared" si="324"/>
        <v/>
      </c>
    </row>
    <row r="1782" spans="42:52">
      <c r="AP1782" s="1855">
        <f t="shared" si="325"/>
        <v>44756</v>
      </c>
      <c r="AQ1782" s="925" t="str">
        <f t="shared" si="327"/>
        <v>MR</v>
      </c>
      <c r="AR1782" s="1856">
        <f t="shared" si="326"/>
        <v>44756.936805555553</v>
      </c>
      <c r="AS1782" s="927" t="s">
        <v>2005</v>
      </c>
      <c r="AT1782" s="1856" t="str">
        <f t="shared" si="319"/>
        <v/>
      </c>
      <c r="AU1782" s="1856" t="str">
        <f t="shared" si="320"/>
        <v/>
      </c>
      <c r="AV1782" s="1856" t="str">
        <f t="shared" si="321"/>
        <v/>
      </c>
      <c r="AW1782" s="1856" t="str">
        <f t="shared" si="322"/>
        <v/>
      </c>
      <c r="AX1782" s="1856" t="str">
        <f t="shared" si="323"/>
        <v/>
      </c>
      <c r="AY1782" s="1856" t="str">
        <f t="shared" si="324"/>
        <v/>
      </c>
    </row>
    <row r="1783" spans="42:52">
      <c r="AP1783" s="1855">
        <f t="shared" si="325"/>
        <v>44757</v>
      </c>
      <c r="AQ1783" s="925" t="str">
        <f t="shared" si="327"/>
        <v/>
      </c>
      <c r="AR1783" s="1856" t="str">
        <f t="shared" si="326"/>
        <v/>
      </c>
      <c r="AS1783" s="927">
        <v>15</v>
      </c>
      <c r="AT1783" s="1856">
        <f t="shared" si="319"/>
        <v>44757.225694444445</v>
      </c>
      <c r="AU1783" s="1856">
        <f t="shared" si="320"/>
        <v>44757.272916666669</v>
      </c>
      <c r="AV1783" s="1856">
        <f t="shared" si="321"/>
        <v>44757.879166666666</v>
      </c>
      <c r="AW1783" s="1856">
        <f t="shared" si="322"/>
        <v>44757.927083333328</v>
      </c>
      <c r="AX1783" s="1856">
        <f t="shared" si="323"/>
        <v>44757.964583333334</v>
      </c>
      <c r="AY1783" s="1856">
        <f t="shared" si="324"/>
        <v>44757.354861111111</v>
      </c>
      <c r="AZ1783" s="1853">
        <v>0.97</v>
      </c>
    </row>
    <row r="1784" spans="42:52">
      <c r="AP1784" s="1855">
        <f t="shared" si="325"/>
        <v>44757</v>
      </c>
      <c r="AQ1784" s="925" t="str">
        <f t="shared" si="327"/>
        <v/>
      </c>
      <c r="AR1784" s="1856" t="str">
        <f t="shared" si="326"/>
        <v/>
      </c>
      <c r="AS1784" s="927" t="s">
        <v>252</v>
      </c>
      <c r="AT1784" s="1856" t="str">
        <f t="shared" si="319"/>
        <v/>
      </c>
      <c r="AU1784" s="1856" t="str">
        <f t="shared" si="320"/>
        <v/>
      </c>
      <c r="AV1784" s="1856" t="str">
        <f t="shared" si="321"/>
        <v/>
      </c>
      <c r="AW1784" s="1856" t="str">
        <f t="shared" si="322"/>
        <v/>
      </c>
      <c r="AX1784" s="1856" t="str">
        <f t="shared" si="323"/>
        <v/>
      </c>
      <c r="AY1784" s="1856" t="str">
        <f t="shared" si="324"/>
        <v/>
      </c>
    </row>
    <row r="1785" spans="42:52">
      <c r="AP1785" s="1855">
        <f t="shared" si="325"/>
        <v>44757</v>
      </c>
      <c r="AQ1785" s="925" t="str">
        <f t="shared" si="327"/>
        <v/>
      </c>
      <c r="AR1785" s="1856" t="str">
        <f t="shared" si="326"/>
        <v/>
      </c>
      <c r="AT1785" s="1856" t="str">
        <f t="shared" si="319"/>
        <v/>
      </c>
      <c r="AU1785" s="1856" t="str">
        <f t="shared" si="320"/>
        <v/>
      </c>
      <c r="AV1785" s="1856" t="str">
        <f t="shared" si="321"/>
        <v/>
      </c>
      <c r="AW1785" s="1856" t="str">
        <f t="shared" si="322"/>
        <v/>
      </c>
      <c r="AX1785" s="1856" t="str">
        <f t="shared" si="323"/>
        <v/>
      </c>
      <c r="AY1785" s="1856" t="str">
        <f t="shared" si="324"/>
        <v/>
      </c>
    </row>
    <row r="1786" spans="42:52">
      <c r="AP1786" s="1855">
        <f t="shared" si="325"/>
        <v>44757</v>
      </c>
      <c r="AQ1786" s="925" t="str">
        <f t="shared" si="327"/>
        <v>BMNT</v>
      </c>
      <c r="AR1786" s="1856">
        <f t="shared" si="326"/>
        <v>44757.225694444445</v>
      </c>
      <c r="AS1786" s="927" t="s">
        <v>1830</v>
      </c>
      <c r="AT1786" s="1856" t="str">
        <f t="shared" si="319"/>
        <v/>
      </c>
      <c r="AU1786" s="1856" t="str">
        <f t="shared" si="320"/>
        <v/>
      </c>
      <c r="AV1786" s="1856" t="str">
        <f t="shared" si="321"/>
        <v/>
      </c>
      <c r="AW1786" s="1856" t="str">
        <f t="shared" si="322"/>
        <v/>
      </c>
      <c r="AX1786" s="1856" t="str">
        <f t="shared" si="323"/>
        <v/>
      </c>
      <c r="AY1786" s="1856" t="str">
        <f t="shared" si="324"/>
        <v/>
      </c>
    </row>
    <row r="1787" spans="42:52">
      <c r="AP1787" s="1855">
        <f t="shared" si="325"/>
        <v>44757</v>
      </c>
      <c r="AQ1787" s="925" t="str">
        <f t="shared" si="327"/>
        <v>SR</v>
      </c>
      <c r="AR1787" s="1856">
        <f t="shared" si="326"/>
        <v>44757.272916666669</v>
      </c>
      <c r="AS1787" s="927" t="s">
        <v>1819</v>
      </c>
      <c r="AT1787" s="1856" t="str">
        <f t="shared" si="319"/>
        <v/>
      </c>
      <c r="AU1787" s="1856" t="str">
        <f t="shared" si="320"/>
        <v/>
      </c>
      <c r="AV1787" s="1856" t="str">
        <f t="shared" si="321"/>
        <v/>
      </c>
      <c r="AW1787" s="1856" t="str">
        <f t="shared" si="322"/>
        <v/>
      </c>
      <c r="AX1787" s="1856" t="str">
        <f t="shared" si="323"/>
        <v/>
      </c>
      <c r="AY1787" s="1856" t="str">
        <f t="shared" si="324"/>
        <v/>
      </c>
    </row>
    <row r="1788" spans="42:52">
      <c r="AP1788" s="1855">
        <f t="shared" si="325"/>
        <v>44757</v>
      </c>
      <c r="AQ1788" s="925" t="str">
        <f t="shared" si="327"/>
        <v>MS</v>
      </c>
      <c r="AR1788" s="1856">
        <f t="shared" si="326"/>
        <v>44757.354861111111</v>
      </c>
      <c r="AS1788" s="927" t="s">
        <v>2006</v>
      </c>
      <c r="AT1788" s="1856" t="str">
        <f t="shared" si="319"/>
        <v/>
      </c>
      <c r="AU1788" s="1856" t="str">
        <f t="shared" si="320"/>
        <v/>
      </c>
      <c r="AV1788" s="1856" t="str">
        <f t="shared" si="321"/>
        <v/>
      </c>
      <c r="AW1788" s="1856" t="str">
        <f t="shared" si="322"/>
        <v/>
      </c>
      <c r="AX1788" s="1856" t="str">
        <f t="shared" si="323"/>
        <v/>
      </c>
      <c r="AY1788" s="1856" t="str">
        <f t="shared" si="324"/>
        <v/>
      </c>
    </row>
    <row r="1789" spans="42:52">
      <c r="AP1789" s="1855">
        <f t="shared" si="325"/>
        <v>44757</v>
      </c>
      <c r="AQ1789" s="925" t="str">
        <f t="shared" si="327"/>
        <v>SS</v>
      </c>
      <c r="AR1789" s="1856">
        <f t="shared" si="326"/>
        <v>44757.879166666666</v>
      </c>
      <c r="AS1789" s="927" t="s">
        <v>1940</v>
      </c>
      <c r="AT1789" s="1856" t="str">
        <f t="shared" si="319"/>
        <v/>
      </c>
      <c r="AU1789" s="1856" t="str">
        <f t="shared" si="320"/>
        <v/>
      </c>
      <c r="AV1789" s="1856" t="str">
        <f t="shared" si="321"/>
        <v/>
      </c>
      <c r="AW1789" s="1856" t="str">
        <f t="shared" si="322"/>
        <v/>
      </c>
      <c r="AX1789" s="1856" t="str">
        <f t="shared" si="323"/>
        <v/>
      </c>
      <c r="AY1789" s="1856" t="str">
        <f t="shared" si="324"/>
        <v/>
      </c>
    </row>
    <row r="1790" spans="42:52">
      <c r="AP1790" s="1855">
        <f t="shared" si="325"/>
        <v>44757</v>
      </c>
      <c r="AQ1790" s="925" t="str">
        <f t="shared" si="327"/>
        <v>EENT</v>
      </c>
      <c r="AR1790" s="1856">
        <f t="shared" si="326"/>
        <v>44757.927083333328</v>
      </c>
      <c r="AS1790" s="927" t="s">
        <v>1936</v>
      </c>
      <c r="AT1790" s="1856" t="str">
        <f t="shared" si="319"/>
        <v/>
      </c>
      <c r="AU1790" s="1856" t="str">
        <f t="shared" si="320"/>
        <v/>
      </c>
      <c r="AV1790" s="1856" t="str">
        <f t="shared" si="321"/>
        <v/>
      </c>
      <c r="AW1790" s="1856" t="str">
        <f t="shared" si="322"/>
        <v/>
      </c>
      <c r="AX1790" s="1856" t="str">
        <f t="shared" si="323"/>
        <v/>
      </c>
      <c r="AY1790" s="1856" t="str">
        <f t="shared" si="324"/>
        <v/>
      </c>
    </row>
    <row r="1791" spans="42:52">
      <c r="AP1791" s="1855">
        <f t="shared" si="325"/>
        <v>44757</v>
      </c>
      <c r="AQ1791" s="925" t="str">
        <f t="shared" si="327"/>
        <v>MR</v>
      </c>
      <c r="AR1791" s="1856">
        <f t="shared" si="326"/>
        <v>44757.964583333334</v>
      </c>
      <c r="AS1791" s="927" t="s">
        <v>2007</v>
      </c>
      <c r="AT1791" s="1856" t="str">
        <f t="shared" si="319"/>
        <v/>
      </c>
      <c r="AU1791" s="1856" t="str">
        <f t="shared" si="320"/>
        <v/>
      </c>
      <c r="AV1791" s="1856" t="str">
        <f t="shared" si="321"/>
        <v/>
      </c>
      <c r="AW1791" s="1856" t="str">
        <f t="shared" si="322"/>
        <v/>
      </c>
      <c r="AX1791" s="1856" t="str">
        <f t="shared" si="323"/>
        <v/>
      </c>
      <c r="AY1791" s="1856" t="str">
        <f t="shared" si="324"/>
        <v/>
      </c>
    </row>
    <row r="1792" spans="42:52">
      <c r="AP1792" s="1855">
        <f t="shared" si="325"/>
        <v>44758</v>
      </c>
      <c r="AQ1792" s="925" t="str">
        <f t="shared" si="327"/>
        <v/>
      </c>
      <c r="AR1792" s="1856" t="str">
        <f t="shared" si="326"/>
        <v/>
      </c>
      <c r="AS1792" s="927">
        <v>16</v>
      </c>
      <c r="AT1792" s="1856">
        <f t="shared" si="319"/>
        <v>44758.226388888892</v>
      </c>
      <c r="AU1792" s="1856">
        <f t="shared" si="320"/>
        <v>44758.273611111108</v>
      </c>
      <c r="AV1792" s="1856">
        <f t="shared" si="321"/>
        <v>44758.879166666666</v>
      </c>
      <c r="AW1792" s="1856">
        <f t="shared" si="322"/>
        <v>44758.926388888889</v>
      </c>
      <c r="AX1792" s="1856">
        <f t="shared" si="323"/>
        <v>44758.987500000003</v>
      </c>
      <c r="AY1792" s="1856">
        <f t="shared" si="324"/>
        <v>44758.407638888886</v>
      </c>
      <c r="AZ1792" s="1853">
        <v>0.91</v>
      </c>
    </row>
    <row r="1793" spans="42:52">
      <c r="AP1793" s="1855">
        <f t="shared" si="325"/>
        <v>44758</v>
      </c>
      <c r="AQ1793" s="925" t="str">
        <f t="shared" si="327"/>
        <v/>
      </c>
      <c r="AR1793" s="1856" t="str">
        <f t="shared" si="326"/>
        <v/>
      </c>
      <c r="AS1793" s="927" t="s">
        <v>252</v>
      </c>
      <c r="AT1793" s="1856" t="str">
        <f t="shared" si="319"/>
        <v/>
      </c>
      <c r="AU1793" s="1856" t="str">
        <f t="shared" si="320"/>
        <v/>
      </c>
      <c r="AV1793" s="1856" t="str">
        <f t="shared" si="321"/>
        <v/>
      </c>
      <c r="AW1793" s="1856" t="str">
        <f t="shared" si="322"/>
        <v/>
      </c>
      <c r="AX1793" s="1856" t="str">
        <f t="shared" si="323"/>
        <v/>
      </c>
      <c r="AY1793" s="1856" t="str">
        <f t="shared" si="324"/>
        <v/>
      </c>
    </row>
    <row r="1794" spans="42:52">
      <c r="AP1794" s="1855">
        <f t="shared" si="325"/>
        <v>44758</v>
      </c>
      <c r="AQ1794" s="925" t="str">
        <f t="shared" si="327"/>
        <v/>
      </c>
      <c r="AR1794" s="1856" t="str">
        <f t="shared" si="326"/>
        <v/>
      </c>
      <c r="AT1794" s="1856" t="str">
        <f t="shared" si="319"/>
        <v/>
      </c>
      <c r="AU1794" s="1856" t="str">
        <f t="shared" si="320"/>
        <v/>
      </c>
      <c r="AV1794" s="1856" t="str">
        <f t="shared" si="321"/>
        <v/>
      </c>
      <c r="AW1794" s="1856" t="str">
        <f t="shared" si="322"/>
        <v/>
      </c>
      <c r="AX1794" s="1856" t="str">
        <f t="shared" si="323"/>
        <v/>
      </c>
      <c r="AY1794" s="1856" t="str">
        <f t="shared" si="324"/>
        <v/>
      </c>
    </row>
    <row r="1795" spans="42:52">
      <c r="AP1795" s="1855">
        <f t="shared" si="325"/>
        <v>44758</v>
      </c>
      <c r="AQ1795" s="925" t="str">
        <f t="shared" si="327"/>
        <v>BMNT</v>
      </c>
      <c r="AR1795" s="1856">
        <f t="shared" si="326"/>
        <v>44758.226388888892</v>
      </c>
      <c r="AS1795" s="927" t="s">
        <v>1824</v>
      </c>
      <c r="AT1795" s="1856" t="str">
        <f t="shared" si="319"/>
        <v/>
      </c>
      <c r="AU1795" s="1856" t="str">
        <f t="shared" si="320"/>
        <v/>
      </c>
      <c r="AV1795" s="1856" t="str">
        <f t="shared" si="321"/>
        <v/>
      </c>
      <c r="AW1795" s="1856" t="str">
        <f t="shared" si="322"/>
        <v/>
      </c>
      <c r="AX1795" s="1856" t="str">
        <f t="shared" si="323"/>
        <v/>
      </c>
      <c r="AY1795" s="1856" t="str">
        <f t="shared" si="324"/>
        <v/>
      </c>
    </row>
    <row r="1796" spans="42:52">
      <c r="AP1796" s="1855">
        <f t="shared" si="325"/>
        <v>44758</v>
      </c>
      <c r="AQ1796" s="925" t="str">
        <f t="shared" si="327"/>
        <v>SR</v>
      </c>
      <c r="AR1796" s="1856">
        <f t="shared" si="326"/>
        <v>44758.273611111108</v>
      </c>
      <c r="AS1796" s="927" t="s">
        <v>1814</v>
      </c>
      <c r="AT1796" s="1856" t="str">
        <f t="shared" si="319"/>
        <v/>
      </c>
      <c r="AU1796" s="1856" t="str">
        <f t="shared" si="320"/>
        <v/>
      </c>
      <c r="AV1796" s="1856" t="str">
        <f t="shared" si="321"/>
        <v/>
      </c>
      <c r="AW1796" s="1856" t="str">
        <f t="shared" si="322"/>
        <v/>
      </c>
      <c r="AX1796" s="1856" t="str">
        <f t="shared" si="323"/>
        <v/>
      </c>
      <c r="AY1796" s="1856" t="str">
        <f t="shared" si="324"/>
        <v/>
      </c>
    </row>
    <row r="1797" spans="42:52">
      <c r="AP1797" s="1855">
        <f t="shared" si="325"/>
        <v>44758</v>
      </c>
      <c r="AQ1797" s="925" t="str">
        <f t="shared" si="327"/>
        <v>MS</v>
      </c>
      <c r="AR1797" s="1856">
        <f t="shared" si="326"/>
        <v>44758.407638888886</v>
      </c>
      <c r="AS1797" s="927" t="s">
        <v>2008</v>
      </c>
      <c r="AT1797" s="1856" t="str">
        <f t="shared" si="319"/>
        <v/>
      </c>
      <c r="AU1797" s="1856" t="str">
        <f t="shared" si="320"/>
        <v/>
      </c>
      <c r="AV1797" s="1856" t="str">
        <f t="shared" si="321"/>
        <v/>
      </c>
      <c r="AW1797" s="1856" t="str">
        <f t="shared" si="322"/>
        <v/>
      </c>
      <c r="AX1797" s="1856" t="str">
        <f t="shared" si="323"/>
        <v/>
      </c>
      <c r="AY1797" s="1856" t="str">
        <f t="shared" si="324"/>
        <v/>
      </c>
    </row>
    <row r="1798" spans="42:52">
      <c r="AP1798" s="1855">
        <f t="shared" si="325"/>
        <v>44758</v>
      </c>
      <c r="AQ1798" s="925" t="str">
        <f t="shared" si="327"/>
        <v>SS</v>
      </c>
      <c r="AR1798" s="1856">
        <f t="shared" si="326"/>
        <v>44758.879166666666</v>
      </c>
      <c r="AS1798" s="927" t="s">
        <v>1940</v>
      </c>
      <c r="AT1798" s="1856" t="str">
        <f t="shared" si="319"/>
        <v/>
      </c>
      <c r="AU1798" s="1856" t="str">
        <f t="shared" si="320"/>
        <v/>
      </c>
      <c r="AV1798" s="1856" t="str">
        <f t="shared" si="321"/>
        <v/>
      </c>
      <c r="AW1798" s="1856" t="str">
        <f t="shared" si="322"/>
        <v/>
      </c>
      <c r="AX1798" s="1856" t="str">
        <f t="shared" si="323"/>
        <v/>
      </c>
      <c r="AY1798" s="1856" t="str">
        <f t="shared" si="324"/>
        <v/>
      </c>
    </row>
    <row r="1799" spans="42:52">
      <c r="AP1799" s="1855">
        <f t="shared" si="325"/>
        <v>44758</v>
      </c>
      <c r="AQ1799" s="925" t="str">
        <f t="shared" si="327"/>
        <v>EENT</v>
      </c>
      <c r="AR1799" s="1856">
        <f t="shared" si="326"/>
        <v>44758.926388888889</v>
      </c>
      <c r="AS1799" s="927" t="s">
        <v>1932</v>
      </c>
      <c r="AT1799" s="1856" t="str">
        <f t="shared" si="319"/>
        <v/>
      </c>
      <c r="AU1799" s="1856" t="str">
        <f t="shared" si="320"/>
        <v/>
      </c>
      <c r="AV1799" s="1856" t="str">
        <f t="shared" si="321"/>
        <v/>
      </c>
      <c r="AW1799" s="1856" t="str">
        <f t="shared" si="322"/>
        <v/>
      </c>
      <c r="AX1799" s="1856" t="str">
        <f t="shared" si="323"/>
        <v/>
      </c>
      <c r="AY1799" s="1856" t="str">
        <f t="shared" si="324"/>
        <v/>
      </c>
    </row>
    <row r="1800" spans="42:52">
      <c r="AP1800" s="1855">
        <f t="shared" si="325"/>
        <v>44758</v>
      </c>
      <c r="AQ1800" s="925" t="str">
        <f t="shared" si="327"/>
        <v>MR</v>
      </c>
      <c r="AR1800" s="1856">
        <f t="shared" si="326"/>
        <v>44758.987500000003</v>
      </c>
      <c r="AS1800" s="927" t="s">
        <v>2009</v>
      </c>
      <c r="AT1800" s="1856" t="str">
        <f t="shared" si="319"/>
        <v/>
      </c>
      <c r="AU1800" s="1856" t="str">
        <f t="shared" si="320"/>
        <v/>
      </c>
      <c r="AV1800" s="1856" t="str">
        <f t="shared" si="321"/>
        <v/>
      </c>
      <c r="AW1800" s="1856" t="str">
        <f t="shared" si="322"/>
        <v/>
      </c>
      <c r="AX1800" s="1856" t="str">
        <f t="shared" si="323"/>
        <v/>
      </c>
      <c r="AY1800" s="1856" t="str">
        <f t="shared" si="324"/>
        <v/>
      </c>
    </row>
    <row r="1801" spans="42:52">
      <c r="AP1801" s="1855">
        <f t="shared" si="325"/>
        <v>44759</v>
      </c>
      <c r="AQ1801" s="925" t="str">
        <f t="shared" si="327"/>
        <v/>
      </c>
      <c r="AR1801" s="1856" t="str">
        <f t="shared" si="326"/>
        <v/>
      </c>
      <c r="AS1801" s="927">
        <v>17</v>
      </c>
      <c r="AT1801" s="1856">
        <f t="shared" si="319"/>
        <v>44759.227083333339</v>
      </c>
      <c r="AU1801" s="1856">
        <f t="shared" si="320"/>
        <v>44759.274305555555</v>
      </c>
      <c r="AV1801" s="1856">
        <f t="shared" si="321"/>
        <v>44759.878472222219</v>
      </c>
      <c r="AW1801" s="1856">
        <f t="shared" si="322"/>
        <v>44759.925694444442</v>
      </c>
      <c r="AX1801" s="1856" t="str">
        <f t="shared" si="323"/>
        <v>NONE</v>
      </c>
      <c r="AY1801" s="1856">
        <f t="shared" si="324"/>
        <v>44759.457638888889</v>
      </c>
      <c r="AZ1801" s="1853">
        <v>0.84</v>
      </c>
    </row>
    <row r="1802" spans="42:52">
      <c r="AP1802" s="1855">
        <f t="shared" si="325"/>
        <v>44759</v>
      </c>
      <c r="AQ1802" s="925" t="str">
        <f t="shared" si="327"/>
        <v/>
      </c>
      <c r="AR1802" s="1856" t="str">
        <f t="shared" si="326"/>
        <v/>
      </c>
      <c r="AS1802" s="927" t="s">
        <v>252</v>
      </c>
      <c r="AT1802" s="1856" t="str">
        <f t="shared" si="319"/>
        <v/>
      </c>
      <c r="AU1802" s="1856" t="str">
        <f t="shared" si="320"/>
        <v/>
      </c>
      <c r="AV1802" s="1856" t="str">
        <f t="shared" si="321"/>
        <v/>
      </c>
      <c r="AW1802" s="1856" t="str">
        <f t="shared" si="322"/>
        <v/>
      </c>
      <c r="AX1802" s="1856" t="str">
        <f t="shared" si="323"/>
        <v/>
      </c>
      <c r="AY1802" s="1856" t="str">
        <f t="shared" si="324"/>
        <v/>
      </c>
    </row>
    <row r="1803" spans="42:52">
      <c r="AP1803" s="1855">
        <f t="shared" si="325"/>
        <v>44759</v>
      </c>
      <c r="AQ1803" s="925" t="str">
        <f t="shared" si="327"/>
        <v/>
      </c>
      <c r="AR1803" s="1856" t="str">
        <f t="shared" si="326"/>
        <v/>
      </c>
      <c r="AT1803" s="1856" t="str">
        <f t="shared" si="319"/>
        <v/>
      </c>
      <c r="AU1803" s="1856" t="str">
        <f t="shared" si="320"/>
        <v/>
      </c>
      <c r="AV1803" s="1856" t="str">
        <f t="shared" si="321"/>
        <v/>
      </c>
      <c r="AW1803" s="1856" t="str">
        <f t="shared" si="322"/>
        <v/>
      </c>
      <c r="AX1803" s="1856" t="str">
        <f t="shared" si="323"/>
        <v/>
      </c>
      <c r="AY1803" s="1856" t="str">
        <f t="shared" si="324"/>
        <v/>
      </c>
    </row>
    <row r="1804" spans="42:52">
      <c r="AP1804" s="1855">
        <f t="shared" si="325"/>
        <v>44759</v>
      </c>
      <c r="AQ1804" s="925" t="str">
        <f t="shared" si="327"/>
        <v>BMNT</v>
      </c>
      <c r="AR1804" s="1856">
        <f t="shared" si="326"/>
        <v>44759.227083333339</v>
      </c>
      <c r="AS1804" s="927" t="s">
        <v>1818</v>
      </c>
      <c r="AT1804" s="1856" t="str">
        <f t="shared" si="319"/>
        <v/>
      </c>
      <c r="AU1804" s="1856" t="str">
        <f t="shared" si="320"/>
        <v/>
      </c>
      <c r="AV1804" s="1856" t="str">
        <f t="shared" si="321"/>
        <v/>
      </c>
      <c r="AW1804" s="1856" t="str">
        <f t="shared" si="322"/>
        <v/>
      </c>
      <c r="AX1804" s="1856" t="str">
        <f t="shared" si="323"/>
        <v/>
      </c>
      <c r="AY1804" s="1856" t="str">
        <f t="shared" si="324"/>
        <v/>
      </c>
    </row>
    <row r="1805" spans="42:52">
      <c r="AP1805" s="1855">
        <f t="shared" si="325"/>
        <v>44759</v>
      </c>
      <c r="AQ1805" s="925" t="str">
        <f t="shared" si="327"/>
        <v>SR</v>
      </c>
      <c r="AR1805" s="1856">
        <f t="shared" si="326"/>
        <v>44759.274305555555</v>
      </c>
      <c r="AS1805" s="927" t="s">
        <v>1809</v>
      </c>
      <c r="AT1805" s="1856" t="str">
        <f t="shared" si="319"/>
        <v/>
      </c>
      <c r="AU1805" s="1856" t="str">
        <f t="shared" si="320"/>
        <v/>
      </c>
      <c r="AV1805" s="1856" t="str">
        <f t="shared" si="321"/>
        <v/>
      </c>
      <c r="AW1805" s="1856" t="str">
        <f t="shared" si="322"/>
        <v/>
      </c>
      <c r="AX1805" s="1856" t="str">
        <f t="shared" si="323"/>
        <v/>
      </c>
      <c r="AY1805" s="1856" t="str">
        <f t="shared" si="324"/>
        <v/>
      </c>
    </row>
    <row r="1806" spans="42:52">
      <c r="AP1806" s="1855">
        <f t="shared" si="325"/>
        <v>44759</v>
      </c>
      <c r="AQ1806" s="925" t="str">
        <f t="shared" si="327"/>
        <v>MS</v>
      </c>
      <c r="AR1806" s="1856">
        <f t="shared" si="326"/>
        <v>44759.457638888889</v>
      </c>
      <c r="AS1806" s="927" t="s">
        <v>1557</v>
      </c>
      <c r="AT1806" s="1856" t="str">
        <f t="shared" si="319"/>
        <v/>
      </c>
      <c r="AU1806" s="1856" t="str">
        <f t="shared" si="320"/>
        <v/>
      </c>
      <c r="AV1806" s="1856" t="str">
        <f t="shared" si="321"/>
        <v/>
      </c>
      <c r="AW1806" s="1856" t="str">
        <f t="shared" si="322"/>
        <v/>
      </c>
      <c r="AX1806" s="1856" t="str">
        <f t="shared" si="323"/>
        <v/>
      </c>
      <c r="AY1806" s="1856" t="str">
        <f t="shared" si="324"/>
        <v/>
      </c>
    </row>
    <row r="1807" spans="42:52">
      <c r="AP1807" s="1855">
        <f t="shared" si="325"/>
        <v>44759</v>
      </c>
      <c r="AQ1807" s="925" t="str">
        <f t="shared" si="327"/>
        <v>SS</v>
      </c>
      <c r="AR1807" s="1856">
        <f t="shared" si="326"/>
        <v>44759.878472222219</v>
      </c>
      <c r="AS1807" s="927" t="s">
        <v>1935</v>
      </c>
      <c r="AT1807" s="1856" t="str">
        <f t="shared" si="319"/>
        <v/>
      </c>
      <c r="AU1807" s="1856" t="str">
        <f t="shared" si="320"/>
        <v/>
      </c>
      <c r="AV1807" s="1856" t="str">
        <f t="shared" si="321"/>
        <v/>
      </c>
      <c r="AW1807" s="1856" t="str">
        <f t="shared" si="322"/>
        <v/>
      </c>
      <c r="AX1807" s="1856" t="str">
        <f t="shared" si="323"/>
        <v/>
      </c>
      <c r="AY1807" s="1856" t="str">
        <f t="shared" si="324"/>
        <v/>
      </c>
    </row>
    <row r="1808" spans="42:52">
      <c r="AP1808" s="1855">
        <f t="shared" si="325"/>
        <v>44759</v>
      </c>
      <c r="AQ1808" s="925" t="str">
        <f t="shared" si="327"/>
        <v>EENT</v>
      </c>
      <c r="AR1808" s="1856">
        <f t="shared" si="326"/>
        <v>44759.925694444442</v>
      </c>
      <c r="AS1808" s="927" t="s">
        <v>1924</v>
      </c>
      <c r="AT1808" s="1856" t="str">
        <f t="shared" si="319"/>
        <v/>
      </c>
      <c r="AU1808" s="1856" t="str">
        <f t="shared" si="320"/>
        <v/>
      </c>
      <c r="AV1808" s="1856" t="str">
        <f t="shared" si="321"/>
        <v/>
      </c>
      <c r="AW1808" s="1856" t="str">
        <f t="shared" si="322"/>
        <v/>
      </c>
      <c r="AX1808" s="1856" t="str">
        <f t="shared" si="323"/>
        <v/>
      </c>
      <c r="AY1808" s="1856" t="str">
        <f t="shared" si="324"/>
        <v/>
      </c>
    </row>
    <row r="1809" spans="42:52">
      <c r="AP1809" s="1855">
        <f t="shared" si="325"/>
        <v>44759</v>
      </c>
      <c r="AQ1809" s="925" t="str">
        <f t="shared" si="327"/>
        <v>MR</v>
      </c>
      <c r="AR1809" s="1856" t="str">
        <f t="shared" si="326"/>
        <v>NONE</v>
      </c>
      <c r="AS1809" s="927" t="s">
        <v>1153</v>
      </c>
      <c r="AT1809" s="1856" t="str">
        <f t="shared" si="319"/>
        <v/>
      </c>
      <c r="AU1809" s="1856" t="str">
        <f t="shared" si="320"/>
        <v/>
      </c>
      <c r="AV1809" s="1856" t="str">
        <f t="shared" si="321"/>
        <v/>
      </c>
      <c r="AW1809" s="1856" t="str">
        <f t="shared" si="322"/>
        <v/>
      </c>
      <c r="AX1809" s="1856" t="str">
        <f t="shared" si="323"/>
        <v/>
      </c>
      <c r="AY1809" s="1856" t="str">
        <f t="shared" si="324"/>
        <v/>
      </c>
    </row>
    <row r="1810" spans="42:52">
      <c r="AP1810" s="1855">
        <f t="shared" si="325"/>
        <v>44760</v>
      </c>
      <c r="AQ1810" s="925" t="str">
        <f t="shared" si="327"/>
        <v/>
      </c>
      <c r="AR1810" s="1856" t="str">
        <f t="shared" si="326"/>
        <v/>
      </c>
      <c r="AS1810" s="927">
        <v>18</v>
      </c>
      <c r="AT1810" s="1856">
        <f t="shared" si="319"/>
        <v>44760.227777777778</v>
      </c>
      <c r="AU1810" s="1856">
        <f t="shared" si="320"/>
        <v>44760.275000000001</v>
      </c>
      <c r="AV1810" s="1856">
        <f t="shared" si="321"/>
        <v>44760.878472222219</v>
      </c>
      <c r="AW1810" s="1856">
        <f t="shared" si="322"/>
        <v>44760.924999999996</v>
      </c>
      <c r="AX1810" s="1856">
        <f t="shared" si="323"/>
        <v>44760.006944444445</v>
      </c>
      <c r="AY1810" s="1856">
        <f t="shared" si="324"/>
        <v>44760.504861111112</v>
      </c>
      <c r="AZ1810" s="1853">
        <v>0.74</v>
      </c>
    </row>
    <row r="1811" spans="42:52">
      <c r="AP1811" s="1855">
        <f t="shared" si="325"/>
        <v>44760</v>
      </c>
      <c r="AQ1811" s="925" t="str">
        <f t="shared" si="327"/>
        <v/>
      </c>
      <c r="AR1811" s="1856" t="str">
        <f t="shared" si="326"/>
        <v/>
      </c>
      <c r="AS1811" s="927" t="s">
        <v>252</v>
      </c>
      <c r="AT1811" s="1856" t="str">
        <f t="shared" si="319"/>
        <v/>
      </c>
      <c r="AU1811" s="1856" t="str">
        <f t="shared" si="320"/>
        <v/>
      </c>
      <c r="AV1811" s="1856" t="str">
        <f t="shared" si="321"/>
        <v/>
      </c>
      <c r="AW1811" s="1856" t="str">
        <f t="shared" si="322"/>
        <v/>
      </c>
      <c r="AX1811" s="1856" t="str">
        <f t="shared" si="323"/>
        <v/>
      </c>
      <c r="AY1811" s="1856" t="str">
        <f t="shared" si="324"/>
        <v/>
      </c>
    </row>
    <row r="1812" spans="42:52">
      <c r="AP1812" s="1855">
        <f t="shared" si="325"/>
        <v>44760</v>
      </c>
      <c r="AQ1812" s="925" t="str">
        <f t="shared" si="327"/>
        <v/>
      </c>
      <c r="AR1812" s="1856" t="str">
        <f t="shared" si="326"/>
        <v/>
      </c>
      <c r="AT1812" s="1856" t="str">
        <f t="shared" si="319"/>
        <v/>
      </c>
      <c r="AU1812" s="1856" t="str">
        <f t="shared" si="320"/>
        <v/>
      </c>
      <c r="AV1812" s="1856" t="str">
        <f t="shared" si="321"/>
        <v/>
      </c>
      <c r="AW1812" s="1856" t="str">
        <f t="shared" si="322"/>
        <v/>
      </c>
      <c r="AX1812" s="1856" t="str">
        <f t="shared" si="323"/>
        <v/>
      </c>
      <c r="AY1812" s="1856" t="str">
        <f t="shared" si="324"/>
        <v/>
      </c>
    </row>
    <row r="1813" spans="42:52">
      <c r="AP1813" s="1855">
        <f t="shared" si="325"/>
        <v>44760</v>
      </c>
      <c r="AQ1813" s="925" t="str">
        <f t="shared" si="327"/>
        <v>MR</v>
      </c>
      <c r="AR1813" s="1856">
        <f t="shared" si="326"/>
        <v>44760.006944444445</v>
      </c>
      <c r="AS1813" s="927" t="s">
        <v>2010</v>
      </c>
      <c r="AT1813" s="1856" t="str">
        <f t="shared" si="319"/>
        <v/>
      </c>
      <c r="AU1813" s="1856" t="str">
        <f t="shared" si="320"/>
        <v/>
      </c>
      <c r="AV1813" s="1856" t="str">
        <f t="shared" si="321"/>
        <v/>
      </c>
      <c r="AW1813" s="1856" t="str">
        <f t="shared" si="322"/>
        <v/>
      </c>
      <c r="AX1813" s="1856" t="str">
        <f t="shared" si="323"/>
        <v/>
      </c>
      <c r="AY1813" s="1856" t="str">
        <f t="shared" si="324"/>
        <v/>
      </c>
    </row>
    <row r="1814" spans="42:52">
      <c r="AP1814" s="1855">
        <f t="shared" si="325"/>
        <v>44760</v>
      </c>
      <c r="AQ1814" s="925" t="str">
        <f t="shared" si="327"/>
        <v>BMNT</v>
      </c>
      <c r="AR1814" s="1856">
        <f t="shared" si="326"/>
        <v>44760.227777777778</v>
      </c>
      <c r="AS1814" s="927" t="s">
        <v>2011</v>
      </c>
      <c r="AT1814" s="1856" t="str">
        <f t="shared" si="319"/>
        <v/>
      </c>
      <c r="AU1814" s="1856" t="str">
        <f t="shared" si="320"/>
        <v/>
      </c>
      <c r="AV1814" s="1856" t="str">
        <f t="shared" si="321"/>
        <v/>
      </c>
      <c r="AW1814" s="1856" t="str">
        <f t="shared" si="322"/>
        <v/>
      </c>
      <c r="AX1814" s="1856" t="str">
        <f t="shared" si="323"/>
        <v/>
      </c>
      <c r="AY1814" s="1856" t="str">
        <f t="shared" si="324"/>
        <v/>
      </c>
    </row>
    <row r="1815" spans="42:52">
      <c r="AP1815" s="1855">
        <f t="shared" si="325"/>
        <v>44760</v>
      </c>
      <c r="AQ1815" s="925" t="str">
        <f t="shared" si="327"/>
        <v>SR</v>
      </c>
      <c r="AR1815" s="1856">
        <f t="shared" si="326"/>
        <v>44760.275000000001</v>
      </c>
      <c r="AS1815" s="927" t="s">
        <v>1803</v>
      </c>
      <c r="AT1815" s="1856" t="str">
        <f t="shared" si="319"/>
        <v/>
      </c>
      <c r="AU1815" s="1856" t="str">
        <f t="shared" si="320"/>
        <v/>
      </c>
      <c r="AV1815" s="1856" t="str">
        <f t="shared" si="321"/>
        <v/>
      </c>
      <c r="AW1815" s="1856" t="str">
        <f t="shared" si="322"/>
        <v/>
      </c>
      <c r="AX1815" s="1856" t="str">
        <f t="shared" si="323"/>
        <v/>
      </c>
      <c r="AY1815" s="1856" t="str">
        <f t="shared" si="324"/>
        <v/>
      </c>
    </row>
    <row r="1816" spans="42:52">
      <c r="AP1816" s="1855">
        <f t="shared" si="325"/>
        <v>44760</v>
      </c>
      <c r="AQ1816" s="925" t="str">
        <f t="shared" si="327"/>
        <v>MS</v>
      </c>
      <c r="AR1816" s="1856">
        <f t="shared" si="326"/>
        <v>44760.504861111112</v>
      </c>
      <c r="AS1816" s="927" t="s">
        <v>1160</v>
      </c>
      <c r="AT1816" s="1856" t="str">
        <f t="shared" si="319"/>
        <v/>
      </c>
      <c r="AU1816" s="1856" t="str">
        <f t="shared" si="320"/>
        <v/>
      </c>
      <c r="AV1816" s="1856" t="str">
        <f t="shared" si="321"/>
        <v/>
      </c>
      <c r="AW1816" s="1856" t="str">
        <f t="shared" si="322"/>
        <v/>
      </c>
      <c r="AX1816" s="1856" t="str">
        <f t="shared" si="323"/>
        <v/>
      </c>
      <c r="AY1816" s="1856" t="str">
        <f t="shared" si="324"/>
        <v/>
      </c>
    </row>
    <row r="1817" spans="42:52">
      <c r="AP1817" s="1855">
        <f t="shared" si="325"/>
        <v>44760</v>
      </c>
      <c r="AQ1817" s="925" t="str">
        <f t="shared" si="327"/>
        <v>SS</v>
      </c>
      <c r="AR1817" s="1856">
        <f t="shared" si="326"/>
        <v>44760.878472222219</v>
      </c>
      <c r="AS1817" s="927" t="s">
        <v>1935</v>
      </c>
      <c r="AT1817" s="1856" t="str">
        <f t="shared" si="319"/>
        <v/>
      </c>
      <c r="AU1817" s="1856" t="str">
        <f t="shared" si="320"/>
        <v/>
      </c>
      <c r="AV1817" s="1856" t="str">
        <f t="shared" si="321"/>
        <v/>
      </c>
      <c r="AW1817" s="1856" t="str">
        <f t="shared" si="322"/>
        <v/>
      </c>
      <c r="AX1817" s="1856" t="str">
        <f t="shared" si="323"/>
        <v/>
      </c>
      <c r="AY1817" s="1856" t="str">
        <f t="shared" si="324"/>
        <v/>
      </c>
    </row>
    <row r="1818" spans="42:52">
      <c r="AP1818" s="1855">
        <f t="shared" si="325"/>
        <v>44760</v>
      </c>
      <c r="AQ1818" s="925" t="str">
        <f t="shared" si="327"/>
        <v>EENT</v>
      </c>
      <c r="AR1818" s="1856">
        <f t="shared" si="326"/>
        <v>44760.924999999996</v>
      </c>
      <c r="AS1818" s="927" t="s">
        <v>1919</v>
      </c>
      <c r="AT1818" s="1856" t="str">
        <f t="shared" si="319"/>
        <v/>
      </c>
      <c r="AU1818" s="1856" t="str">
        <f t="shared" si="320"/>
        <v/>
      </c>
      <c r="AV1818" s="1856" t="str">
        <f t="shared" si="321"/>
        <v/>
      </c>
      <c r="AW1818" s="1856" t="str">
        <f t="shared" si="322"/>
        <v/>
      </c>
      <c r="AX1818" s="1856" t="str">
        <f t="shared" si="323"/>
        <v/>
      </c>
      <c r="AY1818" s="1856" t="str">
        <f t="shared" si="324"/>
        <v/>
      </c>
    </row>
    <row r="1819" spans="42:52">
      <c r="AP1819" s="1855">
        <f t="shared" si="325"/>
        <v>44761</v>
      </c>
      <c r="AQ1819" s="925" t="str">
        <f t="shared" si="327"/>
        <v/>
      </c>
      <c r="AR1819" s="1856" t="str">
        <f t="shared" si="326"/>
        <v/>
      </c>
      <c r="AS1819" s="927">
        <v>19</v>
      </c>
      <c r="AT1819" s="1856">
        <f t="shared" si="319"/>
        <v>44761.228472222225</v>
      </c>
      <c r="AU1819" s="1856">
        <f t="shared" si="320"/>
        <v>44761.275000000001</v>
      </c>
      <c r="AV1819" s="1856">
        <f t="shared" si="321"/>
        <v>44761.87777777778</v>
      </c>
      <c r="AW1819" s="1856">
        <f t="shared" si="322"/>
        <v>44761.924999999996</v>
      </c>
      <c r="AX1819" s="1856">
        <f t="shared" si="323"/>
        <v>44761.025000000001</v>
      </c>
      <c r="AY1819" s="1856">
        <f t="shared" si="324"/>
        <v>44761.549999999996</v>
      </c>
      <c r="AZ1819" s="1853">
        <v>0.64</v>
      </c>
    </row>
    <row r="1820" spans="42:52">
      <c r="AP1820" s="1855">
        <f t="shared" si="325"/>
        <v>44761</v>
      </c>
      <c r="AQ1820" s="925" t="str">
        <f t="shared" si="327"/>
        <v/>
      </c>
      <c r="AR1820" s="1856" t="str">
        <f t="shared" si="326"/>
        <v/>
      </c>
      <c r="AS1820" s="927" t="s">
        <v>252</v>
      </c>
      <c r="AT1820" s="1856" t="str">
        <f t="shared" ref="AT1820:AT1883" si="328">IF(ISNUMBER(AS1820),INDEX(AR1821:AR1831,MATCH($AT$27,AQ1821:AQ1831,0)),"")</f>
        <v/>
      </c>
      <c r="AU1820" s="1856" t="str">
        <f t="shared" ref="AU1820:AU1883" si="329">IF(AT1820="","",INDEX(AR1821:AR1831,MATCH($AU$27,AQ1821:AQ1831,0)))</f>
        <v/>
      </c>
      <c r="AV1820" s="1856" t="str">
        <f t="shared" ref="AV1820:AV1883" si="330">IF(AT1820="","",INDEX(AR1821:AR1831,MATCH($AV$27,AQ1821:AQ1831,0)))</f>
        <v/>
      </c>
      <c r="AW1820" s="1856" t="str">
        <f t="shared" ref="AW1820:AW1883" si="331">IF(AT1820="","",INDEX(AR1821:AR1831,MATCH($AW$27,AQ1821:AQ1831,0)))</f>
        <v/>
      </c>
      <c r="AX1820" s="1856" t="str">
        <f t="shared" ref="AX1820:AX1883" si="332">IF(AT1820="","",INDEX(AR1821:AR1831,MATCH($AX$27,AQ1821:AQ1831,0)))</f>
        <v/>
      </c>
      <c r="AY1820" s="1856" t="str">
        <f t="shared" ref="AY1820:AY1883" si="333">IF(AT1820="","",INDEX(AR1821:AR1831,MATCH($AY$27,AQ1821:AQ1831,0)))</f>
        <v/>
      </c>
    </row>
    <row r="1821" spans="42:52">
      <c r="AP1821" s="1855">
        <f t="shared" si="325"/>
        <v>44761</v>
      </c>
      <c r="AQ1821" s="925" t="str">
        <f t="shared" si="327"/>
        <v/>
      </c>
      <c r="AR1821" s="1856" t="str">
        <f t="shared" si="326"/>
        <v/>
      </c>
      <c r="AT1821" s="1856" t="str">
        <f t="shared" si="328"/>
        <v/>
      </c>
      <c r="AU1821" s="1856" t="str">
        <f t="shared" si="329"/>
        <v/>
      </c>
      <c r="AV1821" s="1856" t="str">
        <f t="shared" si="330"/>
        <v/>
      </c>
      <c r="AW1821" s="1856" t="str">
        <f t="shared" si="331"/>
        <v/>
      </c>
      <c r="AX1821" s="1856" t="str">
        <f t="shared" si="332"/>
        <v/>
      </c>
      <c r="AY1821" s="1856" t="str">
        <f t="shared" si="333"/>
        <v/>
      </c>
    </row>
    <row r="1822" spans="42:52">
      <c r="AP1822" s="1855">
        <f t="shared" si="325"/>
        <v>44761</v>
      </c>
      <c r="AQ1822" s="925" t="str">
        <f t="shared" si="327"/>
        <v>MR</v>
      </c>
      <c r="AR1822" s="1856">
        <f t="shared" si="326"/>
        <v>44761.025000000001</v>
      </c>
      <c r="AS1822" s="927" t="s">
        <v>2012</v>
      </c>
      <c r="AT1822" s="1856" t="str">
        <f t="shared" si="328"/>
        <v/>
      </c>
      <c r="AU1822" s="1856" t="str">
        <f t="shared" si="329"/>
        <v/>
      </c>
      <c r="AV1822" s="1856" t="str">
        <f t="shared" si="330"/>
        <v/>
      </c>
      <c r="AW1822" s="1856" t="str">
        <f t="shared" si="331"/>
        <v/>
      </c>
      <c r="AX1822" s="1856" t="str">
        <f t="shared" si="332"/>
        <v/>
      </c>
      <c r="AY1822" s="1856" t="str">
        <f t="shared" si="333"/>
        <v/>
      </c>
    </row>
    <row r="1823" spans="42:52">
      <c r="AP1823" s="1855">
        <f t="shared" si="325"/>
        <v>44761</v>
      </c>
      <c r="AQ1823" s="925" t="str">
        <f t="shared" si="327"/>
        <v>BMNT</v>
      </c>
      <c r="AR1823" s="1856">
        <f t="shared" si="326"/>
        <v>44761.228472222225</v>
      </c>
      <c r="AS1823" s="927" t="s">
        <v>1812</v>
      </c>
      <c r="AT1823" s="1856" t="str">
        <f t="shared" si="328"/>
        <v/>
      </c>
      <c r="AU1823" s="1856" t="str">
        <f t="shared" si="329"/>
        <v/>
      </c>
      <c r="AV1823" s="1856" t="str">
        <f t="shared" si="330"/>
        <v/>
      </c>
      <c r="AW1823" s="1856" t="str">
        <f t="shared" si="331"/>
        <v/>
      </c>
      <c r="AX1823" s="1856" t="str">
        <f t="shared" si="332"/>
        <v/>
      </c>
      <c r="AY1823" s="1856" t="str">
        <f t="shared" si="333"/>
        <v/>
      </c>
    </row>
    <row r="1824" spans="42:52">
      <c r="AP1824" s="1855">
        <f t="shared" si="325"/>
        <v>44761</v>
      </c>
      <c r="AQ1824" s="925" t="str">
        <f t="shared" si="327"/>
        <v>SR</v>
      </c>
      <c r="AR1824" s="1856">
        <f t="shared" si="326"/>
        <v>44761.275000000001</v>
      </c>
      <c r="AS1824" s="927" t="s">
        <v>1803</v>
      </c>
      <c r="AT1824" s="1856" t="str">
        <f t="shared" si="328"/>
        <v/>
      </c>
      <c r="AU1824" s="1856" t="str">
        <f t="shared" si="329"/>
        <v/>
      </c>
      <c r="AV1824" s="1856" t="str">
        <f t="shared" si="330"/>
        <v/>
      </c>
      <c r="AW1824" s="1856" t="str">
        <f t="shared" si="331"/>
        <v/>
      </c>
      <c r="AX1824" s="1856" t="str">
        <f t="shared" si="332"/>
        <v/>
      </c>
      <c r="AY1824" s="1856" t="str">
        <f t="shared" si="333"/>
        <v/>
      </c>
    </row>
    <row r="1825" spans="42:52">
      <c r="AP1825" s="1855">
        <f t="shared" si="325"/>
        <v>44761</v>
      </c>
      <c r="AQ1825" s="925" t="str">
        <f t="shared" si="327"/>
        <v>MS</v>
      </c>
      <c r="AR1825" s="1856">
        <f t="shared" si="326"/>
        <v>44761.549999999996</v>
      </c>
      <c r="AS1825" s="927" t="s">
        <v>2013</v>
      </c>
      <c r="AT1825" s="1856" t="str">
        <f t="shared" si="328"/>
        <v/>
      </c>
      <c r="AU1825" s="1856" t="str">
        <f t="shared" si="329"/>
        <v/>
      </c>
      <c r="AV1825" s="1856" t="str">
        <f t="shared" si="330"/>
        <v/>
      </c>
      <c r="AW1825" s="1856" t="str">
        <f t="shared" si="331"/>
        <v/>
      </c>
      <c r="AX1825" s="1856" t="str">
        <f t="shared" si="332"/>
        <v/>
      </c>
      <c r="AY1825" s="1856" t="str">
        <f t="shared" si="333"/>
        <v/>
      </c>
    </row>
    <row r="1826" spans="42:52">
      <c r="AP1826" s="1855">
        <f t="shared" si="325"/>
        <v>44761</v>
      </c>
      <c r="AQ1826" s="925" t="str">
        <f t="shared" si="327"/>
        <v>SS</v>
      </c>
      <c r="AR1826" s="1856">
        <f t="shared" si="326"/>
        <v>44761.87777777778</v>
      </c>
      <c r="AS1826" s="927" t="s">
        <v>1927</v>
      </c>
      <c r="AT1826" s="1856" t="str">
        <f t="shared" si="328"/>
        <v/>
      </c>
      <c r="AU1826" s="1856" t="str">
        <f t="shared" si="329"/>
        <v/>
      </c>
      <c r="AV1826" s="1856" t="str">
        <f t="shared" si="330"/>
        <v/>
      </c>
      <c r="AW1826" s="1856" t="str">
        <f t="shared" si="331"/>
        <v/>
      </c>
      <c r="AX1826" s="1856" t="str">
        <f t="shared" si="332"/>
        <v/>
      </c>
      <c r="AY1826" s="1856" t="str">
        <f t="shared" si="333"/>
        <v/>
      </c>
    </row>
    <row r="1827" spans="42:52">
      <c r="AP1827" s="1855">
        <f t="shared" si="325"/>
        <v>44761</v>
      </c>
      <c r="AQ1827" s="925" t="str">
        <f t="shared" si="327"/>
        <v>EENT</v>
      </c>
      <c r="AR1827" s="1856">
        <f t="shared" si="326"/>
        <v>44761.924999999996</v>
      </c>
      <c r="AS1827" s="927" t="s">
        <v>1919</v>
      </c>
      <c r="AT1827" s="1856" t="str">
        <f t="shared" si="328"/>
        <v/>
      </c>
      <c r="AU1827" s="1856" t="str">
        <f t="shared" si="329"/>
        <v/>
      </c>
      <c r="AV1827" s="1856" t="str">
        <f t="shared" si="330"/>
        <v/>
      </c>
      <c r="AW1827" s="1856" t="str">
        <f t="shared" si="331"/>
        <v/>
      </c>
      <c r="AX1827" s="1856" t="str">
        <f t="shared" si="332"/>
        <v/>
      </c>
      <c r="AY1827" s="1856" t="str">
        <f t="shared" si="333"/>
        <v/>
      </c>
    </row>
    <row r="1828" spans="42:52">
      <c r="AP1828" s="1855">
        <f t="shared" si="325"/>
        <v>44762</v>
      </c>
      <c r="AQ1828" s="925" t="str">
        <f t="shared" si="327"/>
        <v/>
      </c>
      <c r="AR1828" s="1856" t="str">
        <f t="shared" si="326"/>
        <v/>
      </c>
      <c r="AS1828" s="927">
        <v>20</v>
      </c>
      <c r="AT1828" s="1856">
        <f t="shared" si="328"/>
        <v>44762.229166666672</v>
      </c>
      <c r="AU1828" s="1856">
        <f t="shared" si="329"/>
        <v>44762.275694444441</v>
      </c>
      <c r="AV1828" s="1856">
        <f t="shared" si="330"/>
        <v>44762.877083333333</v>
      </c>
      <c r="AW1828" s="1856">
        <f t="shared" si="331"/>
        <v>44762.924305555556</v>
      </c>
      <c r="AX1828" s="1856">
        <f t="shared" si="332"/>
        <v>44762.042361111111</v>
      </c>
      <c r="AY1828" s="1856">
        <f t="shared" si="333"/>
        <v>44762.59375</v>
      </c>
      <c r="AZ1828" s="1853">
        <v>0.54</v>
      </c>
    </row>
    <row r="1829" spans="42:52">
      <c r="AP1829" s="1855">
        <f t="shared" ref="AP1829:AP1892" si="334">IF(ISNUMBER(AS1829),AP1828+1,AP1828)</f>
        <v>44762</v>
      </c>
      <c r="AQ1829" s="925" t="str">
        <f t="shared" si="327"/>
        <v/>
      </c>
      <c r="AR1829" s="1856" t="str">
        <f t="shared" si="326"/>
        <v/>
      </c>
      <c r="AS1829" s="927" t="s">
        <v>252</v>
      </c>
      <c r="AT1829" s="1856" t="str">
        <f t="shared" si="328"/>
        <v/>
      </c>
      <c r="AU1829" s="1856" t="str">
        <f t="shared" si="329"/>
        <v/>
      </c>
      <c r="AV1829" s="1856" t="str">
        <f t="shared" si="330"/>
        <v/>
      </c>
      <c r="AW1829" s="1856" t="str">
        <f t="shared" si="331"/>
        <v/>
      </c>
      <c r="AX1829" s="1856" t="str">
        <f t="shared" si="332"/>
        <v/>
      </c>
      <c r="AY1829" s="1856" t="str">
        <f t="shared" si="333"/>
        <v/>
      </c>
    </row>
    <row r="1830" spans="42:52">
      <c r="AP1830" s="1855">
        <f t="shared" si="334"/>
        <v>44762</v>
      </c>
      <c r="AQ1830" s="925" t="str">
        <f t="shared" si="327"/>
        <v/>
      </c>
      <c r="AR1830" s="1856" t="str">
        <f t="shared" si="326"/>
        <v/>
      </c>
      <c r="AT1830" s="1856" t="str">
        <f t="shared" si="328"/>
        <v/>
      </c>
      <c r="AU1830" s="1856" t="str">
        <f t="shared" si="329"/>
        <v/>
      </c>
      <c r="AV1830" s="1856" t="str">
        <f t="shared" si="330"/>
        <v/>
      </c>
      <c r="AW1830" s="1856" t="str">
        <f t="shared" si="331"/>
        <v/>
      </c>
      <c r="AX1830" s="1856" t="str">
        <f t="shared" si="332"/>
        <v/>
      </c>
      <c r="AY1830" s="1856" t="str">
        <f t="shared" si="333"/>
        <v/>
      </c>
    </row>
    <row r="1831" spans="42:52">
      <c r="AP1831" s="1855">
        <f t="shared" si="334"/>
        <v>44762</v>
      </c>
      <c r="AQ1831" s="925" t="str">
        <f t="shared" si="327"/>
        <v>MR</v>
      </c>
      <c r="AR1831" s="1856">
        <f t="shared" si="326"/>
        <v>44762.042361111111</v>
      </c>
      <c r="AS1831" s="927" t="s">
        <v>2014</v>
      </c>
      <c r="AT1831" s="1856" t="str">
        <f t="shared" si="328"/>
        <v/>
      </c>
      <c r="AU1831" s="1856" t="str">
        <f t="shared" si="329"/>
        <v/>
      </c>
      <c r="AV1831" s="1856" t="str">
        <f t="shared" si="330"/>
        <v/>
      </c>
      <c r="AW1831" s="1856" t="str">
        <f t="shared" si="331"/>
        <v/>
      </c>
      <c r="AX1831" s="1856" t="str">
        <f t="shared" si="332"/>
        <v/>
      </c>
      <c r="AY1831" s="1856" t="str">
        <f t="shared" si="333"/>
        <v/>
      </c>
    </row>
    <row r="1832" spans="42:52">
      <c r="AP1832" s="1855">
        <f t="shared" si="334"/>
        <v>44762</v>
      </c>
      <c r="AQ1832" s="925" t="str">
        <f t="shared" si="327"/>
        <v>BMNT</v>
      </c>
      <c r="AR1832" s="1856">
        <f t="shared" si="326"/>
        <v>44762.229166666672</v>
      </c>
      <c r="AS1832" s="927" t="s">
        <v>1807</v>
      </c>
      <c r="AT1832" s="1856" t="str">
        <f t="shared" si="328"/>
        <v/>
      </c>
      <c r="AU1832" s="1856" t="str">
        <f t="shared" si="329"/>
        <v/>
      </c>
      <c r="AV1832" s="1856" t="str">
        <f t="shared" si="330"/>
        <v/>
      </c>
      <c r="AW1832" s="1856" t="str">
        <f t="shared" si="331"/>
        <v/>
      </c>
      <c r="AX1832" s="1856" t="str">
        <f t="shared" si="332"/>
        <v/>
      </c>
      <c r="AY1832" s="1856" t="str">
        <f t="shared" si="333"/>
        <v/>
      </c>
    </row>
    <row r="1833" spans="42:52">
      <c r="AP1833" s="1855">
        <f t="shared" si="334"/>
        <v>44762</v>
      </c>
      <c r="AQ1833" s="925" t="str">
        <f t="shared" si="327"/>
        <v>SR</v>
      </c>
      <c r="AR1833" s="1856">
        <f t="shared" ref="AR1833:AR1896" si="335">IF(NOT(ISNUMBER(FIND(":",AS1833))),"",IF(ISNUMBER(FIND(" none",AS1833)),"NONE",AP1833+LEFT(RIGHT(AS1833,5),2)/24+RIGHT(AS1833,2)/1440))</f>
        <v>44762.275694444441</v>
      </c>
      <c r="AS1833" s="927" t="s">
        <v>1797</v>
      </c>
      <c r="AT1833" s="1856" t="str">
        <f t="shared" si="328"/>
        <v/>
      </c>
      <c r="AU1833" s="1856" t="str">
        <f t="shared" si="329"/>
        <v/>
      </c>
      <c r="AV1833" s="1856" t="str">
        <f t="shared" si="330"/>
        <v/>
      </c>
      <c r="AW1833" s="1856" t="str">
        <f t="shared" si="331"/>
        <v/>
      </c>
      <c r="AX1833" s="1856" t="str">
        <f t="shared" si="332"/>
        <v/>
      </c>
      <c r="AY1833" s="1856" t="str">
        <f t="shared" si="333"/>
        <v/>
      </c>
    </row>
    <row r="1834" spans="42:52">
      <c r="AP1834" s="1855">
        <f t="shared" si="334"/>
        <v>44762</v>
      </c>
      <c r="AQ1834" s="925" t="str">
        <f t="shared" si="327"/>
        <v>MS</v>
      </c>
      <c r="AR1834" s="1856">
        <f t="shared" si="335"/>
        <v>44762.59375</v>
      </c>
      <c r="AS1834" s="927" t="s">
        <v>2015</v>
      </c>
      <c r="AT1834" s="1856" t="str">
        <f t="shared" si="328"/>
        <v/>
      </c>
      <c r="AU1834" s="1856" t="str">
        <f t="shared" si="329"/>
        <v/>
      </c>
      <c r="AV1834" s="1856" t="str">
        <f t="shared" si="330"/>
        <v/>
      </c>
      <c r="AW1834" s="1856" t="str">
        <f t="shared" si="331"/>
        <v/>
      </c>
      <c r="AX1834" s="1856" t="str">
        <f t="shared" si="332"/>
        <v/>
      </c>
      <c r="AY1834" s="1856" t="str">
        <f t="shared" si="333"/>
        <v/>
      </c>
    </row>
    <row r="1835" spans="42:52">
      <c r="AP1835" s="1855">
        <f t="shared" si="334"/>
        <v>44762</v>
      </c>
      <c r="AQ1835" s="925" t="str">
        <f t="shared" si="327"/>
        <v>SS</v>
      </c>
      <c r="AR1835" s="1856">
        <f t="shared" si="335"/>
        <v>44762.877083333333</v>
      </c>
      <c r="AS1835" s="927" t="s">
        <v>1923</v>
      </c>
      <c r="AT1835" s="1856" t="str">
        <f t="shared" si="328"/>
        <v/>
      </c>
      <c r="AU1835" s="1856" t="str">
        <f t="shared" si="329"/>
        <v/>
      </c>
      <c r="AV1835" s="1856" t="str">
        <f t="shared" si="330"/>
        <v/>
      </c>
      <c r="AW1835" s="1856" t="str">
        <f t="shared" si="331"/>
        <v/>
      </c>
      <c r="AX1835" s="1856" t="str">
        <f t="shared" si="332"/>
        <v/>
      </c>
      <c r="AY1835" s="1856" t="str">
        <f t="shared" si="333"/>
        <v/>
      </c>
    </row>
    <row r="1836" spans="42:52">
      <c r="AP1836" s="1855">
        <f t="shared" si="334"/>
        <v>44762</v>
      </c>
      <c r="AQ1836" s="925" t="str">
        <f t="shared" si="327"/>
        <v>EENT</v>
      </c>
      <c r="AR1836" s="1856">
        <f t="shared" si="335"/>
        <v>44762.924305555556</v>
      </c>
      <c r="AS1836" s="927" t="s">
        <v>1916</v>
      </c>
      <c r="AT1836" s="1856" t="str">
        <f t="shared" si="328"/>
        <v/>
      </c>
      <c r="AU1836" s="1856" t="str">
        <f t="shared" si="329"/>
        <v/>
      </c>
      <c r="AV1836" s="1856" t="str">
        <f t="shared" si="330"/>
        <v/>
      </c>
      <c r="AW1836" s="1856" t="str">
        <f t="shared" si="331"/>
        <v/>
      </c>
      <c r="AX1836" s="1856" t="str">
        <f t="shared" si="332"/>
        <v/>
      </c>
      <c r="AY1836" s="1856" t="str">
        <f t="shared" si="333"/>
        <v/>
      </c>
    </row>
    <row r="1837" spans="42:52">
      <c r="AP1837" s="1855">
        <f t="shared" si="334"/>
        <v>44763</v>
      </c>
      <c r="AQ1837" s="925" t="str">
        <f t="shared" si="327"/>
        <v/>
      </c>
      <c r="AR1837" s="1856" t="str">
        <f t="shared" si="335"/>
        <v/>
      </c>
      <c r="AS1837" s="927">
        <v>21</v>
      </c>
      <c r="AT1837" s="1856">
        <f t="shared" si="328"/>
        <v>44763.229861111111</v>
      </c>
      <c r="AU1837" s="1856">
        <f t="shared" si="329"/>
        <v>44763.276388888888</v>
      </c>
      <c r="AV1837" s="1856">
        <f t="shared" si="330"/>
        <v>44763.877083333333</v>
      </c>
      <c r="AW1837" s="1856">
        <f t="shared" si="331"/>
        <v>44763.923611111109</v>
      </c>
      <c r="AX1837" s="1856">
        <f t="shared" si="332"/>
        <v>44763.05972222222</v>
      </c>
      <c r="AY1837" s="1856">
        <f t="shared" si="333"/>
        <v>44763.636805555558</v>
      </c>
      <c r="AZ1837" s="1853">
        <v>0.44</v>
      </c>
    </row>
    <row r="1838" spans="42:52">
      <c r="AP1838" s="1855">
        <f t="shared" si="334"/>
        <v>44763</v>
      </c>
      <c r="AQ1838" s="925" t="str">
        <f t="shared" si="327"/>
        <v/>
      </c>
      <c r="AR1838" s="1856" t="str">
        <f t="shared" si="335"/>
        <v/>
      </c>
      <c r="AS1838" s="927" t="s">
        <v>252</v>
      </c>
      <c r="AT1838" s="1856" t="str">
        <f t="shared" si="328"/>
        <v/>
      </c>
      <c r="AU1838" s="1856" t="str">
        <f t="shared" si="329"/>
        <v/>
      </c>
      <c r="AV1838" s="1856" t="str">
        <f t="shared" si="330"/>
        <v/>
      </c>
      <c r="AW1838" s="1856" t="str">
        <f t="shared" si="331"/>
        <v/>
      </c>
      <c r="AX1838" s="1856" t="str">
        <f t="shared" si="332"/>
        <v/>
      </c>
      <c r="AY1838" s="1856" t="str">
        <f t="shared" si="333"/>
        <v/>
      </c>
    </row>
    <row r="1839" spans="42:52">
      <c r="AP1839" s="1855">
        <f t="shared" si="334"/>
        <v>44763</v>
      </c>
      <c r="AQ1839" s="925" t="str">
        <f t="shared" si="327"/>
        <v/>
      </c>
      <c r="AR1839" s="1856" t="str">
        <f t="shared" si="335"/>
        <v/>
      </c>
      <c r="AT1839" s="1856" t="str">
        <f t="shared" si="328"/>
        <v/>
      </c>
      <c r="AU1839" s="1856" t="str">
        <f t="shared" si="329"/>
        <v/>
      </c>
      <c r="AV1839" s="1856" t="str">
        <f t="shared" si="330"/>
        <v/>
      </c>
      <c r="AW1839" s="1856" t="str">
        <f t="shared" si="331"/>
        <v/>
      </c>
      <c r="AX1839" s="1856" t="str">
        <f t="shared" si="332"/>
        <v/>
      </c>
      <c r="AY1839" s="1856" t="str">
        <f t="shared" si="333"/>
        <v/>
      </c>
    </row>
    <row r="1840" spans="42:52">
      <c r="AP1840" s="1855">
        <f t="shared" si="334"/>
        <v>44763</v>
      </c>
      <c r="AQ1840" s="925" t="str">
        <f t="shared" si="327"/>
        <v>MR</v>
      </c>
      <c r="AR1840" s="1856">
        <f t="shared" si="335"/>
        <v>44763.05972222222</v>
      </c>
      <c r="AS1840" s="927" t="s">
        <v>2016</v>
      </c>
      <c r="AT1840" s="1856" t="str">
        <f t="shared" si="328"/>
        <v/>
      </c>
      <c r="AU1840" s="1856" t="str">
        <f t="shared" si="329"/>
        <v/>
      </c>
      <c r="AV1840" s="1856" t="str">
        <f t="shared" si="330"/>
        <v/>
      </c>
      <c r="AW1840" s="1856" t="str">
        <f t="shared" si="331"/>
        <v/>
      </c>
      <c r="AX1840" s="1856" t="str">
        <f t="shared" si="332"/>
        <v/>
      </c>
      <c r="AY1840" s="1856" t="str">
        <f t="shared" si="333"/>
        <v/>
      </c>
    </row>
    <row r="1841" spans="42:52">
      <c r="AP1841" s="1855">
        <f t="shared" si="334"/>
        <v>44763</v>
      </c>
      <c r="AQ1841" s="925" t="str">
        <f t="shared" si="327"/>
        <v>BMNT</v>
      </c>
      <c r="AR1841" s="1856">
        <f t="shared" si="335"/>
        <v>44763.229861111111</v>
      </c>
      <c r="AS1841" s="927" t="s">
        <v>1802</v>
      </c>
      <c r="AT1841" s="1856" t="str">
        <f t="shared" si="328"/>
        <v/>
      </c>
      <c r="AU1841" s="1856" t="str">
        <f t="shared" si="329"/>
        <v/>
      </c>
      <c r="AV1841" s="1856" t="str">
        <f t="shared" si="330"/>
        <v/>
      </c>
      <c r="AW1841" s="1856" t="str">
        <f t="shared" si="331"/>
        <v/>
      </c>
      <c r="AX1841" s="1856" t="str">
        <f t="shared" si="332"/>
        <v/>
      </c>
      <c r="AY1841" s="1856" t="str">
        <f t="shared" si="333"/>
        <v/>
      </c>
    </row>
    <row r="1842" spans="42:52">
      <c r="AP1842" s="1855">
        <f t="shared" si="334"/>
        <v>44763</v>
      </c>
      <c r="AQ1842" s="925" t="str">
        <f t="shared" si="327"/>
        <v>SR</v>
      </c>
      <c r="AR1842" s="1856">
        <f t="shared" si="335"/>
        <v>44763.276388888888</v>
      </c>
      <c r="AS1842" s="927" t="s">
        <v>1791</v>
      </c>
      <c r="AT1842" s="1856" t="str">
        <f t="shared" si="328"/>
        <v/>
      </c>
      <c r="AU1842" s="1856" t="str">
        <f t="shared" si="329"/>
        <v/>
      </c>
      <c r="AV1842" s="1856" t="str">
        <f t="shared" si="330"/>
        <v/>
      </c>
      <c r="AW1842" s="1856" t="str">
        <f t="shared" si="331"/>
        <v/>
      </c>
      <c r="AX1842" s="1856" t="str">
        <f t="shared" si="332"/>
        <v/>
      </c>
      <c r="AY1842" s="1856" t="str">
        <f t="shared" si="333"/>
        <v/>
      </c>
    </row>
    <row r="1843" spans="42:52">
      <c r="AP1843" s="1855">
        <f t="shared" si="334"/>
        <v>44763</v>
      </c>
      <c r="AQ1843" s="925" t="str">
        <f t="shared" si="327"/>
        <v>MS</v>
      </c>
      <c r="AR1843" s="1856">
        <f t="shared" si="335"/>
        <v>44763.636805555558</v>
      </c>
      <c r="AS1843" s="927" t="s">
        <v>1702</v>
      </c>
      <c r="AT1843" s="1856" t="str">
        <f t="shared" si="328"/>
        <v/>
      </c>
      <c r="AU1843" s="1856" t="str">
        <f t="shared" si="329"/>
        <v/>
      </c>
      <c r="AV1843" s="1856" t="str">
        <f t="shared" si="330"/>
        <v/>
      </c>
      <c r="AW1843" s="1856" t="str">
        <f t="shared" si="331"/>
        <v/>
      </c>
      <c r="AX1843" s="1856" t="str">
        <f t="shared" si="332"/>
        <v/>
      </c>
      <c r="AY1843" s="1856" t="str">
        <f t="shared" si="333"/>
        <v/>
      </c>
    </row>
    <row r="1844" spans="42:52">
      <c r="AP1844" s="1855">
        <f t="shared" si="334"/>
        <v>44763</v>
      </c>
      <c r="AQ1844" s="925" t="str">
        <f t="shared" ref="AQ1844:AQ1907" si="336">IF(NOT(ISNUMBER(FIND(":",AS1844))),"",IF(ISNUMBER(FIND("Sunr",AS1844)),"SR", IF(ISNUMBER(FIND("Suns",AS1844)),"SS",IF(ISNUMBER(FIND("Moonr",AS1844)),"MR",IF(ISNUMBER(FIND("Moons",AS1844)),"MS",IF(ISNUMBER(FIND("Twi",AS1844)),IF(HOUR(AR1844)&lt;12,"BMNT","EENT")))))))</f>
        <v>SS</v>
      </c>
      <c r="AR1844" s="1856">
        <f t="shared" si="335"/>
        <v>44763.877083333333</v>
      </c>
      <c r="AS1844" s="927" t="s">
        <v>1923</v>
      </c>
      <c r="AT1844" s="1856" t="str">
        <f t="shared" si="328"/>
        <v/>
      </c>
      <c r="AU1844" s="1856" t="str">
        <f t="shared" si="329"/>
        <v/>
      </c>
      <c r="AV1844" s="1856" t="str">
        <f t="shared" si="330"/>
        <v/>
      </c>
      <c r="AW1844" s="1856" t="str">
        <f t="shared" si="331"/>
        <v/>
      </c>
      <c r="AX1844" s="1856" t="str">
        <f t="shared" si="332"/>
        <v/>
      </c>
      <c r="AY1844" s="1856" t="str">
        <f t="shared" si="333"/>
        <v/>
      </c>
    </row>
    <row r="1845" spans="42:52">
      <c r="AP1845" s="1855">
        <f t="shared" si="334"/>
        <v>44763</v>
      </c>
      <c r="AQ1845" s="925" t="str">
        <f t="shared" si="336"/>
        <v>EENT</v>
      </c>
      <c r="AR1845" s="1856">
        <f t="shared" si="335"/>
        <v>44763.923611111109</v>
      </c>
      <c r="AS1845" s="927" t="s">
        <v>1907</v>
      </c>
      <c r="AT1845" s="1856" t="str">
        <f t="shared" si="328"/>
        <v/>
      </c>
      <c r="AU1845" s="1856" t="str">
        <f t="shared" si="329"/>
        <v/>
      </c>
      <c r="AV1845" s="1856" t="str">
        <f t="shared" si="330"/>
        <v/>
      </c>
      <c r="AW1845" s="1856" t="str">
        <f t="shared" si="331"/>
        <v/>
      </c>
      <c r="AX1845" s="1856" t="str">
        <f t="shared" si="332"/>
        <v/>
      </c>
      <c r="AY1845" s="1856" t="str">
        <f t="shared" si="333"/>
        <v/>
      </c>
    </row>
    <row r="1846" spans="42:52">
      <c r="AP1846" s="1855">
        <f t="shared" si="334"/>
        <v>44764</v>
      </c>
      <c r="AQ1846" s="925" t="str">
        <f t="shared" si="336"/>
        <v/>
      </c>
      <c r="AR1846" s="1856" t="str">
        <f t="shared" si="335"/>
        <v/>
      </c>
      <c r="AS1846" s="927">
        <v>22</v>
      </c>
      <c r="AT1846" s="1856">
        <f t="shared" si="328"/>
        <v>44764.230555555558</v>
      </c>
      <c r="AU1846" s="1856">
        <f t="shared" si="329"/>
        <v>44764.277083333334</v>
      </c>
      <c r="AV1846" s="1856">
        <f t="shared" si="330"/>
        <v>44764.876388888886</v>
      </c>
      <c r="AW1846" s="1856">
        <f t="shared" si="331"/>
        <v>44764.922916666663</v>
      </c>
      <c r="AX1846" s="1856">
        <f t="shared" si="332"/>
        <v>44764.078472222223</v>
      </c>
      <c r="AY1846" s="1856">
        <f t="shared" si="333"/>
        <v>44764.679861111108</v>
      </c>
      <c r="AZ1846" s="1853">
        <v>0.34</v>
      </c>
    </row>
    <row r="1847" spans="42:52">
      <c r="AP1847" s="1855">
        <f t="shared" si="334"/>
        <v>44764</v>
      </c>
      <c r="AQ1847" s="925" t="str">
        <f t="shared" si="336"/>
        <v/>
      </c>
      <c r="AR1847" s="1856" t="str">
        <f t="shared" si="335"/>
        <v/>
      </c>
      <c r="AS1847" s="927" t="s">
        <v>252</v>
      </c>
      <c r="AT1847" s="1856" t="str">
        <f t="shared" si="328"/>
        <v/>
      </c>
      <c r="AU1847" s="1856" t="str">
        <f t="shared" si="329"/>
        <v/>
      </c>
      <c r="AV1847" s="1856" t="str">
        <f t="shared" si="330"/>
        <v/>
      </c>
      <c r="AW1847" s="1856" t="str">
        <f t="shared" si="331"/>
        <v/>
      </c>
      <c r="AX1847" s="1856" t="str">
        <f t="shared" si="332"/>
        <v/>
      </c>
      <c r="AY1847" s="1856" t="str">
        <f t="shared" si="333"/>
        <v/>
      </c>
    </row>
    <row r="1848" spans="42:52">
      <c r="AP1848" s="1855">
        <f t="shared" si="334"/>
        <v>44764</v>
      </c>
      <c r="AQ1848" s="925" t="str">
        <f t="shared" si="336"/>
        <v/>
      </c>
      <c r="AR1848" s="1856" t="str">
        <f t="shared" si="335"/>
        <v/>
      </c>
      <c r="AT1848" s="1856" t="str">
        <f t="shared" si="328"/>
        <v/>
      </c>
      <c r="AU1848" s="1856" t="str">
        <f t="shared" si="329"/>
        <v/>
      </c>
      <c r="AV1848" s="1856" t="str">
        <f t="shared" si="330"/>
        <v/>
      </c>
      <c r="AW1848" s="1856" t="str">
        <f t="shared" si="331"/>
        <v/>
      </c>
      <c r="AX1848" s="1856" t="str">
        <f t="shared" si="332"/>
        <v/>
      </c>
      <c r="AY1848" s="1856" t="str">
        <f t="shared" si="333"/>
        <v/>
      </c>
    </row>
    <row r="1849" spans="42:52">
      <c r="AP1849" s="1855">
        <f t="shared" si="334"/>
        <v>44764</v>
      </c>
      <c r="AQ1849" s="925" t="str">
        <f t="shared" si="336"/>
        <v>MR</v>
      </c>
      <c r="AR1849" s="1856">
        <f t="shared" si="335"/>
        <v>44764.078472222223</v>
      </c>
      <c r="AS1849" s="927" t="s">
        <v>2017</v>
      </c>
      <c r="AT1849" s="1856" t="str">
        <f t="shared" si="328"/>
        <v/>
      </c>
      <c r="AU1849" s="1856" t="str">
        <f t="shared" si="329"/>
        <v/>
      </c>
      <c r="AV1849" s="1856" t="str">
        <f t="shared" si="330"/>
        <v/>
      </c>
      <c r="AW1849" s="1856" t="str">
        <f t="shared" si="331"/>
        <v/>
      </c>
      <c r="AX1849" s="1856" t="str">
        <f t="shared" si="332"/>
        <v/>
      </c>
      <c r="AY1849" s="1856" t="str">
        <f t="shared" si="333"/>
        <v/>
      </c>
    </row>
    <row r="1850" spans="42:52">
      <c r="AP1850" s="1855">
        <f t="shared" si="334"/>
        <v>44764</v>
      </c>
      <c r="AQ1850" s="925" t="str">
        <f t="shared" si="336"/>
        <v>BMNT</v>
      </c>
      <c r="AR1850" s="1856">
        <f t="shared" si="335"/>
        <v>44764.230555555558</v>
      </c>
      <c r="AS1850" s="927" t="s">
        <v>1796</v>
      </c>
      <c r="AT1850" s="1856" t="str">
        <f t="shared" si="328"/>
        <v/>
      </c>
      <c r="AU1850" s="1856" t="str">
        <f t="shared" si="329"/>
        <v/>
      </c>
      <c r="AV1850" s="1856" t="str">
        <f t="shared" si="330"/>
        <v/>
      </c>
      <c r="AW1850" s="1856" t="str">
        <f t="shared" si="331"/>
        <v/>
      </c>
      <c r="AX1850" s="1856" t="str">
        <f t="shared" si="332"/>
        <v/>
      </c>
      <c r="AY1850" s="1856" t="str">
        <f t="shared" si="333"/>
        <v/>
      </c>
    </row>
    <row r="1851" spans="42:52">
      <c r="AP1851" s="1855">
        <f t="shared" si="334"/>
        <v>44764</v>
      </c>
      <c r="AQ1851" s="925" t="str">
        <f t="shared" si="336"/>
        <v>SR</v>
      </c>
      <c r="AR1851" s="1856">
        <f t="shared" si="335"/>
        <v>44764.277083333334</v>
      </c>
      <c r="AS1851" s="927" t="s">
        <v>1785</v>
      </c>
      <c r="AT1851" s="1856" t="str">
        <f t="shared" si="328"/>
        <v/>
      </c>
      <c r="AU1851" s="1856" t="str">
        <f t="shared" si="329"/>
        <v/>
      </c>
      <c r="AV1851" s="1856" t="str">
        <f t="shared" si="330"/>
        <v/>
      </c>
      <c r="AW1851" s="1856" t="str">
        <f t="shared" si="331"/>
        <v/>
      </c>
      <c r="AX1851" s="1856" t="str">
        <f t="shared" si="332"/>
        <v/>
      </c>
      <c r="AY1851" s="1856" t="str">
        <f t="shared" si="333"/>
        <v/>
      </c>
    </row>
    <row r="1852" spans="42:52">
      <c r="AP1852" s="1855">
        <f t="shared" si="334"/>
        <v>44764</v>
      </c>
      <c r="AQ1852" s="925" t="str">
        <f t="shared" si="336"/>
        <v>MS</v>
      </c>
      <c r="AR1852" s="1856">
        <f t="shared" si="335"/>
        <v>44764.679861111108</v>
      </c>
      <c r="AS1852" s="927" t="s">
        <v>2018</v>
      </c>
      <c r="AT1852" s="1856" t="str">
        <f t="shared" si="328"/>
        <v/>
      </c>
      <c r="AU1852" s="1856" t="str">
        <f t="shared" si="329"/>
        <v/>
      </c>
      <c r="AV1852" s="1856" t="str">
        <f t="shared" si="330"/>
        <v/>
      </c>
      <c r="AW1852" s="1856" t="str">
        <f t="shared" si="331"/>
        <v/>
      </c>
      <c r="AX1852" s="1856" t="str">
        <f t="shared" si="332"/>
        <v/>
      </c>
      <c r="AY1852" s="1856" t="str">
        <f t="shared" si="333"/>
        <v/>
      </c>
    </row>
    <row r="1853" spans="42:52">
      <c r="AP1853" s="1855">
        <f t="shared" si="334"/>
        <v>44764</v>
      </c>
      <c r="AQ1853" s="925" t="str">
        <f t="shared" si="336"/>
        <v>SS</v>
      </c>
      <c r="AR1853" s="1856">
        <f t="shared" si="335"/>
        <v>44764.876388888886</v>
      </c>
      <c r="AS1853" s="927" t="s">
        <v>1915</v>
      </c>
      <c r="AT1853" s="1856" t="str">
        <f t="shared" si="328"/>
        <v/>
      </c>
      <c r="AU1853" s="1856" t="str">
        <f t="shared" si="329"/>
        <v/>
      </c>
      <c r="AV1853" s="1856" t="str">
        <f t="shared" si="330"/>
        <v/>
      </c>
      <c r="AW1853" s="1856" t="str">
        <f t="shared" si="331"/>
        <v/>
      </c>
      <c r="AX1853" s="1856" t="str">
        <f t="shared" si="332"/>
        <v/>
      </c>
      <c r="AY1853" s="1856" t="str">
        <f t="shared" si="333"/>
        <v/>
      </c>
    </row>
    <row r="1854" spans="42:52">
      <c r="AP1854" s="1855">
        <f t="shared" si="334"/>
        <v>44764</v>
      </c>
      <c r="AQ1854" s="925" t="str">
        <f t="shared" si="336"/>
        <v>EENT</v>
      </c>
      <c r="AR1854" s="1856">
        <f t="shared" si="335"/>
        <v>44764.922916666663</v>
      </c>
      <c r="AS1854" s="927" t="s">
        <v>1904</v>
      </c>
      <c r="AT1854" s="1856" t="str">
        <f t="shared" si="328"/>
        <v/>
      </c>
      <c r="AU1854" s="1856" t="str">
        <f t="shared" si="329"/>
        <v/>
      </c>
      <c r="AV1854" s="1856" t="str">
        <f t="shared" si="330"/>
        <v/>
      </c>
      <c r="AW1854" s="1856" t="str">
        <f t="shared" si="331"/>
        <v/>
      </c>
      <c r="AX1854" s="1856" t="str">
        <f t="shared" si="332"/>
        <v/>
      </c>
      <c r="AY1854" s="1856" t="str">
        <f t="shared" si="333"/>
        <v/>
      </c>
    </row>
    <row r="1855" spans="42:52">
      <c r="AP1855" s="1855">
        <f t="shared" si="334"/>
        <v>44765</v>
      </c>
      <c r="AQ1855" s="925" t="str">
        <f t="shared" si="336"/>
        <v/>
      </c>
      <c r="AR1855" s="1856" t="str">
        <f t="shared" si="335"/>
        <v/>
      </c>
      <c r="AS1855" s="927">
        <v>23</v>
      </c>
      <c r="AT1855" s="1856">
        <f t="shared" si="328"/>
        <v>44765.231250000004</v>
      </c>
      <c r="AU1855" s="1856">
        <f t="shared" si="329"/>
        <v>44765.277083333334</v>
      </c>
      <c r="AV1855" s="1856">
        <f t="shared" si="330"/>
        <v>44765.875694444447</v>
      </c>
      <c r="AW1855" s="1856">
        <f t="shared" si="331"/>
        <v>44765.922222222223</v>
      </c>
      <c r="AX1855" s="1856">
        <f t="shared" si="332"/>
        <v>44765.100000000006</v>
      </c>
      <c r="AY1855" s="1856">
        <f t="shared" si="333"/>
        <v>44765.72152777778</v>
      </c>
      <c r="AZ1855" s="1853">
        <v>0.25</v>
      </c>
    </row>
    <row r="1856" spans="42:52">
      <c r="AP1856" s="1855">
        <f t="shared" si="334"/>
        <v>44765</v>
      </c>
      <c r="AQ1856" s="925" t="str">
        <f t="shared" si="336"/>
        <v/>
      </c>
      <c r="AR1856" s="1856" t="str">
        <f t="shared" si="335"/>
        <v/>
      </c>
      <c r="AS1856" s="927" t="s">
        <v>252</v>
      </c>
      <c r="AT1856" s="1856" t="str">
        <f t="shared" si="328"/>
        <v/>
      </c>
      <c r="AU1856" s="1856" t="str">
        <f t="shared" si="329"/>
        <v/>
      </c>
      <c r="AV1856" s="1856" t="str">
        <f t="shared" si="330"/>
        <v/>
      </c>
      <c r="AW1856" s="1856" t="str">
        <f t="shared" si="331"/>
        <v/>
      </c>
      <c r="AX1856" s="1856" t="str">
        <f t="shared" si="332"/>
        <v/>
      </c>
      <c r="AY1856" s="1856" t="str">
        <f t="shared" si="333"/>
        <v/>
      </c>
    </row>
    <row r="1857" spans="42:52">
      <c r="AP1857" s="1855">
        <f t="shared" si="334"/>
        <v>44765</v>
      </c>
      <c r="AQ1857" s="925" t="str">
        <f t="shared" si="336"/>
        <v/>
      </c>
      <c r="AR1857" s="1856" t="str">
        <f t="shared" si="335"/>
        <v/>
      </c>
      <c r="AT1857" s="1856" t="str">
        <f t="shared" si="328"/>
        <v/>
      </c>
      <c r="AU1857" s="1856" t="str">
        <f t="shared" si="329"/>
        <v/>
      </c>
      <c r="AV1857" s="1856" t="str">
        <f t="shared" si="330"/>
        <v/>
      </c>
      <c r="AW1857" s="1856" t="str">
        <f t="shared" si="331"/>
        <v/>
      </c>
      <c r="AX1857" s="1856" t="str">
        <f t="shared" si="332"/>
        <v/>
      </c>
      <c r="AY1857" s="1856" t="str">
        <f t="shared" si="333"/>
        <v/>
      </c>
    </row>
    <row r="1858" spans="42:52">
      <c r="AP1858" s="1855">
        <f t="shared" si="334"/>
        <v>44765</v>
      </c>
      <c r="AQ1858" s="925" t="str">
        <f t="shared" si="336"/>
        <v>MR</v>
      </c>
      <c r="AR1858" s="1856">
        <f t="shared" si="335"/>
        <v>44765.100000000006</v>
      </c>
      <c r="AS1858" s="927" t="s">
        <v>2019</v>
      </c>
      <c r="AT1858" s="1856" t="str">
        <f t="shared" si="328"/>
        <v/>
      </c>
      <c r="AU1858" s="1856" t="str">
        <f t="shared" si="329"/>
        <v/>
      </c>
      <c r="AV1858" s="1856" t="str">
        <f t="shared" si="330"/>
        <v/>
      </c>
      <c r="AW1858" s="1856" t="str">
        <f t="shared" si="331"/>
        <v/>
      </c>
      <c r="AX1858" s="1856" t="str">
        <f t="shared" si="332"/>
        <v/>
      </c>
      <c r="AY1858" s="1856" t="str">
        <f t="shared" si="333"/>
        <v/>
      </c>
    </row>
    <row r="1859" spans="42:52">
      <c r="AP1859" s="1855">
        <f t="shared" si="334"/>
        <v>44765</v>
      </c>
      <c r="AQ1859" s="925" t="str">
        <f t="shared" si="336"/>
        <v>BMNT</v>
      </c>
      <c r="AR1859" s="1856">
        <f t="shared" si="335"/>
        <v>44765.231250000004</v>
      </c>
      <c r="AS1859" s="927" t="s">
        <v>1790</v>
      </c>
      <c r="AT1859" s="1856" t="str">
        <f t="shared" si="328"/>
        <v/>
      </c>
      <c r="AU1859" s="1856" t="str">
        <f t="shared" si="329"/>
        <v/>
      </c>
      <c r="AV1859" s="1856" t="str">
        <f t="shared" si="330"/>
        <v/>
      </c>
      <c r="AW1859" s="1856" t="str">
        <f t="shared" si="331"/>
        <v/>
      </c>
      <c r="AX1859" s="1856" t="str">
        <f t="shared" si="332"/>
        <v/>
      </c>
      <c r="AY1859" s="1856" t="str">
        <f t="shared" si="333"/>
        <v/>
      </c>
    </row>
    <row r="1860" spans="42:52">
      <c r="AP1860" s="1855">
        <f t="shared" si="334"/>
        <v>44765</v>
      </c>
      <c r="AQ1860" s="925" t="str">
        <f t="shared" si="336"/>
        <v>SR</v>
      </c>
      <c r="AR1860" s="1856">
        <f t="shared" si="335"/>
        <v>44765.277083333334</v>
      </c>
      <c r="AS1860" s="927" t="s">
        <v>1785</v>
      </c>
      <c r="AT1860" s="1856" t="str">
        <f t="shared" si="328"/>
        <v/>
      </c>
      <c r="AU1860" s="1856" t="str">
        <f t="shared" si="329"/>
        <v/>
      </c>
      <c r="AV1860" s="1856" t="str">
        <f t="shared" si="330"/>
        <v/>
      </c>
      <c r="AW1860" s="1856" t="str">
        <f t="shared" si="331"/>
        <v/>
      </c>
      <c r="AX1860" s="1856" t="str">
        <f t="shared" si="332"/>
        <v/>
      </c>
      <c r="AY1860" s="1856" t="str">
        <f t="shared" si="333"/>
        <v/>
      </c>
    </row>
    <row r="1861" spans="42:52">
      <c r="AP1861" s="1855">
        <f t="shared" si="334"/>
        <v>44765</v>
      </c>
      <c r="AQ1861" s="925" t="str">
        <f t="shared" si="336"/>
        <v>MS</v>
      </c>
      <c r="AR1861" s="1856">
        <f t="shared" si="335"/>
        <v>44765.72152777778</v>
      </c>
      <c r="AS1861" s="927" t="s">
        <v>2020</v>
      </c>
      <c r="AT1861" s="1856" t="str">
        <f t="shared" si="328"/>
        <v/>
      </c>
      <c r="AU1861" s="1856" t="str">
        <f t="shared" si="329"/>
        <v/>
      </c>
      <c r="AV1861" s="1856" t="str">
        <f t="shared" si="330"/>
        <v/>
      </c>
      <c r="AW1861" s="1856" t="str">
        <f t="shared" si="331"/>
        <v/>
      </c>
      <c r="AX1861" s="1856" t="str">
        <f t="shared" si="332"/>
        <v/>
      </c>
      <c r="AY1861" s="1856" t="str">
        <f t="shared" si="333"/>
        <v/>
      </c>
    </row>
    <row r="1862" spans="42:52">
      <c r="AP1862" s="1855">
        <f t="shared" si="334"/>
        <v>44765</v>
      </c>
      <c r="AQ1862" s="925" t="str">
        <f t="shared" si="336"/>
        <v>SS</v>
      </c>
      <c r="AR1862" s="1856">
        <f t="shared" si="335"/>
        <v>44765.875694444447</v>
      </c>
      <c r="AS1862" s="927" t="s">
        <v>1911</v>
      </c>
      <c r="AT1862" s="1856" t="str">
        <f t="shared" si="328"/>
        <v/>
      </c>
      <c r="AU1862" s="1856" t="str">
        <f t="shared" si="329"/>
        <v/>
      </c>
      <c r="AV1862" s="1856" t="str">
        <f t="shared" si="330"/>
        <v/>
      </c>
      <c r="AW1862" s="1856" t="str">
        <f t="shared" si="331"/>
        <v/>
      </c>
      <c r="AX1862" s="1856" t="str">
        <f t="shared" si="332"/>
        <v/>
      </c>
      <c r="AY1862" s="1856" t="str">
        <f t="shared" si="333"/>
        <v/>
      </c>
    </row>
    <row r="1863" spans="42:52">
      <c r="AP1863" s="1855">
        <f t="shared" si="334"/>
        <v>44765</v>
      </c>
      <c r="AQ1863" s="925" t="str">
        <f t="shared" si="336"/>
        <v>EENT</v>
      </c>
      <c r="AR1863" s="1856">
        <f t="shared" si="335"/>
        <v>44765.922222222223</v>
      </c>
      <c r="AS1863" s="927" t="s">
        <v>1898</v>
      </c>
      <c r="AT1863" s="1856" t="str">
        <f t="shared" si="328"/>
        <v/>
      </c>
      <c r="AU1863" s="1856" t="str">
        <f t="shared" si="329"/>
        <v/>
      </c>
      <c r="AV1863" s="1856" t="str">
        <f t="shared" si="330"/>
        <v/>
      </c>
      <c r="AW1863" s="1856" t="str">
        <f t="shared" si="331"/>
        <v/>
      </c>
      <c r="AX1863" s="1856" t="str">
        <f t="shared" si="332"/>
        <v/>
      </c>
      <c r="AY1863" s="1856" t="str">
        <f t="shared" si="333"/>
        <v/>
      </c>
    </row>
    <row r="1864" spans="42:52">
      <c r="AP1864" s="1855">
        <f t="shared" si="334"/>
        <v>44766</v>
      </c>
      <c r="AQ1864" s="925" t="str">
        <f t="shared" si="336"/>
        <v/>
      </c>
      <c r="AR1864" s="1856" t="str">
        <f t="shared" si="335"/>
        <v/>
      </c>
      <c r="AS1864" s="927">
        <v>24</v>
      </c>
      <c r="AT1864" s="1856">
        <f t="shared" si="328"/>
        <v>44766.231944444444</v>
      </c>
      <c r="AU1864" s="1856">
        <f t="shared" si="329"/>
        <v>44766.277777777781</v>
      </c>
      <c r="AV1864" s="1856">
        <f t="shared" si="330"/>
        <v>44766.875694444447</v>
      </c>
      <c r="AW1864" s="1856">
        <f t="shared" si="331"/>
        <v>44766.921527777777</v>
      </c>
      <c r="AX1864" s="1856">
        <f t="shared" si="332"/>
        <v>44766.124305555561</v>
      </c>
      <c r="AY1864" s="1856">
        <f t="shared" si="333"/>
        <v>44766.762499999997</v>
      </c>
      <c r="AZ1864" s="1853">
        <v>0.18</v>
      </c>
    </row>
    <row r="1865" spans="42:52">
      <c r="AP1865" s="1855">
        <f t="shared" si="334"/>
        <v>44766</v>
      </c>
      <c r="AQ1865" s="925" t="str">
        <f t="shared" si="336"/>
        <v/>
      </c>
      <c r="AR1865" s="1856" t="str">
        <f t="shared" si="335"/>
        <v/>
      </c>
      <c r="AS1865" s="927" t="s">
        <v>252</v>
      </c>
      <c r="AT1865" s="1856" t="str">
        <f t="shared" si="328"/>
        <v/>
      </c>
      <c r="AU1865" s="1856" t="str">
        <f t="shared" si="329"/>
        <v/>
      </c>
      <c r="AV1865" s="1856" t="str">
        <f t="shared" si="330"/>
        <v/>
      </c>
      <c r="AW1865" s="1856" t="str">
        <f t="shared" si="331"/>
        <v/>
      </c>
      <c r="AX1865" s="1856" t="str">
        <f t="shared" si="332"/>
        <v/>
      </c>
      <c r="AY1865" s="1856" t="str">
        <f t="shared" si="333"/>
        <v/>
      </c>
    </row>
    <row r="1866" spans="42:52">
      <c r="AP1866" s="1855">
        <f t="shared" si="334"/>
        <v>44766</v>
      </c>
      <c r="AQ1866" s="925" t="str">
        <f t="shared" si="336"/>
        <v/>
      </c>
      <c r="AR1866" s="1856" t="str">
        <f t="shared" si="335"/>
        <v/>
      </c>
      <c r="AT1866" s="1856" t="str">
        <f t="shared" si="328"/>
        <v/>
      </c>
      <c r="AU1866" s="1856" t="str">
        <f t="shared" si="329"/>
        <v/>
      </c>
      <c r="AV1866" s="1856" t="str">
        <f t="shared" si="330"/>
        <v/>
      </c>
      <c r="AW1866" s="1856" t="str">
        <f t="shared" si="331"/>
        <v/>
      </c>
      <c r="AX1866" s="1856" t="str">
        <f t="shared" si="332"/>
        <v/>
      </c>
      <c r="AY1866" s="1856" t="str">
        <f t="shared" si="333"/>
        <v/>
      </c>
    </row>
    <row r="1867" spans="42:52">
      <c r="AP1867" s="1855">
        <f t="shared" si="334"/>
        <v>44766</v>
      </c>
      <c r="AQ1867" s="925" t="str">
        <f t="shared" si="336"/>
        <v>MR</v>
      </c>
      <c r="AR1867" s="1856">
        <f t="shared" si="335"/>
        <v>44766.124305555561</v>
      </c>
      <c r="AS1867" s="927" t="s">
        <v>2021</v>
      </c>
      <c r="AT1867" s="1856" t="str">
        <f t="shared" si="328"/>
        <v/>
      </c>
      <c r="AU1867" s="1856" t="str">
        <f t="shared" si="329"/>
        <v/>
      </c>
      <c r="AV1867" s="1856" t="str">
        <f t="shared" si="330"/>
        <v/>
      </c>
      <c r="AW1867" s="1856" t="str">
        <f t="shared" si="331"/>
        <v/>
      </c>
      <c r="AX1867" s="1856" t="str">
        <f t="shared" si="332"/>
        <v/>
      </c>
      <c r="AY1867" s="1856" t="str">
        <f t="shared" si="333"/>
        <v/>
      </c>
    </row>
    <row r="1868" spans="42:52">
      <c r="AP1868" s="1855">
        <f t="shared" si="334"/>
        <v>44766</v>
      </c>
      <c r="AQ1868" s="925" t="str">
        <f t="shared" si="336"/>
        <v>BMNT</v>
      </c>
      <c r="AR1868" s="1856">
        <f t="shared" si="335"/>
        <v>44766.231944444444</v>
      </c>
      <c r="AS1868" s="927" t="s">
        <v>1784</v>
      </c>
      <c r="AT1868" s="1856" t="str">
        <f t="shared" si="328"/>
        <v/>
      </c>
      <c r="AU1868" s="1856" t="str">
        <f t="shared" si="329"/>
        <v/>
      </c>
      <c r="AV1868" s="1856" t="str">
        <f t="shared" si="330"/>
        <v/>
      </c>
      <c r="AW1868" s="1856" t="str">
        <f t="shared" si="331"/>
        <v/>
      </c>
      <c r="AX1868" s="1856" t="str">
        <f t="shared" si="332"/>
        <v/>
      </c>
      <c r="AY1868" s="1856" t="str">
        <f t="shared" si="333"/>
        <v/>
      </c>
    </row>
    <row r="1869" spans="42:52">
      <c r="AP1869" s="1855">
        <f t="shared" si="334"/>
        <v>44766</v>
      </c>
      <c r="AQ1869" s="925" t="str">
        <f t="shared" si="336"/>
        <v>SR</v>
      </c>
      <c r="AR1869" s="1856">
        <f t="shared" si="335"/>
        <v>44766.277777777781</v>
      </c>
      <c r="AS1869" s="927" t="s">
        <v>1780</v>
      </c>
      <c r="AT1869" s="1856" t="str">
        <f t="shared" si="328"/>
        <v/>
      </c>
      <c r="AU1869" s="1856" t="str">
        <f t="shared" si="329"/>
        <v/>
      </c>
      <c r="AV1869" s="1856" t="str">
        <f t="shared" si="330"/>
        <v/>
      </c>
      <c r="AW1869" s="1856" t="str">
        <f t="shared" si="331"/>
        <v/>
      </c>
      <c r="AX1869" s="1856" t="str">
        <f t="shared" si="332"/>
        <v/>
      </c>
      <c r="AY1869" s="1856" t="str">
        <f t="shared" si="333"/>
        <v/>
      </c>
    </row>
    <row r="1870" spans="42:52">
      <c r="AP1870" s="1855">
        <f t="shared" si="334"/>
        <v>44766</v>
      </c>
      <c r="AQ1870" s="925" t="str">
        <f t="shared" si="336"/>
        <v>MS</v>
      </c>
      <c r="AR1870" s="1856">
        <f t="shared" si="335"/>
        <v>44766.762499999997</v>
      </c>
      <c r="AS1870" s="927" t="s">
        <v>2022</v>
      </c>
      <c r="AT1870" s="1856" t="str">
        <f t="shared" si="328"/>
        <v/>
      </c>
      <c r="AU1870" s="1856" t="str">
        <f t="shared" si="329"/>
        <v/>
      </c>
      <c r="AV1870" s="1856" t="str">
        <f t="shared" si="330"/>
        <v/>
      </c>
      <c r="AW1870" s="1856" t="str">
        <f t="shared" si="331"/>
        <v/>
      </c>
      <c r="AX1870" s="1856" t="str">
        <f t="shared" si="332"/>
        <v/>
      </c>
      <c r="AY1870" s="1856" t="str">
        <f t="shared" si="333"/>
        <v/>
      </c>
    </row>
    <row r="1871" spans="42:52">
      <c r="AP1871" s="1855">
        <f t="shared" si="334"/>
        <v>44766</v>
      </c>
      <c r="AQ1871" s="925" t="str">
        <f t="shared" si="336"/>
        <v>SS</v>
      </c>
      <c r="AR1871" s="1856">
        <f t="shared" si="335"/>
        <v>44766.875694444447</v>
      </c>
      <c r="AS1871" s="927" t="s">
        <v>1911</v>
      </c>
      <c r="AT1871" s="1856" t="str">
        <f t="shared" si="328"/>
        <v/>
      </c>
      <c r="AU1871" s="1856" t="str">
        <f t="shared" si="329"/>
        <v/>
      </c>
      <c r="AV1871" s="1856" t="str">
        <f t="shared" si="330"/>
        <v/>
      </c>
      <c r="AW1871" s="1856" t="str">
        <f t="shared" si="331"/>
        <v/>
      </c>
      <c r="AX1871" s="1856" t="str">
        <f t="shared" si="332"/>
        <v/>
      </c>
      <c r="AY1871" s="1856" t="str">
        <f t="shared" si="333"/>
        <v/>
      </c>
    </row>
    <row r="1872" spans="42:52">
      <c r="AP1872" s="1855">
        <f t="shared" si="334"/>
        <v>44766</v>
      </c>
      <c r="AQ1872" s="925" t="str">
        <f t="shared" si="336"/>
        <v>EENT</v>
      </c>
      <c r="AR1872" s="1856">
        <f t="shared" si="335"/>
        <v>44766.921527777777</v>
      </c>
      <c r="AS1872" s="927" t="s">
        <v>1894</v>
      </c>
      <c r="AT1872" s="1856" t="str">
        <f t="shared" si="328"/>
        <v/>
      </c>
      <c r="AU1872" s="1856" t="str">
        <f t="shared" si="329"/>
        <v/>
      </c>
      <c r="AV1872" s="1856" t="str">
        <f t="shared" si="330"/>
        <v/>
      </c>
      <c r="AW1872" s="1856" t="str">
        <f t="shared" si="331"/>
        <v/>
      </c>
      <c r="AX1872" s="1856" t="str">
        <f t="shared" si="332"/>
        <v/>
      </c>
      <c r="AY1872" s="1856" t="str">
        <f t="shared" si="333"/>
        <v/>
      </c>
    </row>
    <row r="1873" spans="42:52">
      <c r="AP1873" s="1855">
        <f t="shared" si="334"/>
        <v>44767</v>
      </c>
      <c r="AQ1873" s="925" t="str">
        <f t="shared" si="336"/>
        <v/>
      </c>
      <c r="AR1873" s="1856" t="str">
        <f t="shared" si="335"/>
        <v/>
      </c>
      <c r="AS1873" s="927">
        <v>25</v>
      </c>
      <c r="AT1873" s="1856">
        <f t="shared" si="328"/>
        <v>44767.232638888891</v>
      </c>
      <c r="AU1873" s="1856">
        <f t="shared" si="329"/>
        <v>44767.27847222222</v>
      </c>
      <c r="AV1873" s="1856">
        <f t="shared" si="330"/>
        <v>44767.875</v>
      </c>
      <c r="AW1873" s="1856">
        <f t="shared" si="331"/>
        <v>44767.92083333333</v>
      </c>
      <c r="AX1873" s="1856">
        <f t="shared" si="332"/>
        <v>44767.152777777781</v>
      </c>
      <c r="AY1873" s="1856">
        <f t="shared" si="333"/>
        <v>44767.800694444442</v>
      </c>
      <c r="AZ1873" s="1853">
        <v>0.11</v>
      </c>
    </row>
    <row r="1874" spans="42:52">
      <c r="AP1874" s="1855">
        <f t="shared" si="334"/>
        <v>44767</v>
      </c>
      <c r="AQ1874" s="925" t="str">
        <f t="shared" si="336"/>
        <v/>
      </c>
      <c r="AR1874" s="1856" t="str">
        <f t="shared" si="335"/>
        <v/>
      </c>
      <c r="AS1874" s="927" t="s">
        <v>252</v>
      </c>
      <c r="AT1874" s="1856" t="str">
        <f t="shared" si="328"/>
        <v/>
      </c>
      <c r="AU1874" s="1856" t="str">
        <f t="shared" si="329"/>
        <v/>
      </c>
      <c r="AV1874" s="1856" t="str">
        <f t="shared" si="330"/>
        <v/>
      </c>
      <c r="AW1874" s="1856" t="str">
        <f t="shared" si="331"/>
        <v/>
      </c>
      <c r="AX1874" s="1856" t="str">
        <f t="shared" si="332"/>
        <v/>
      </c>
      <c r="AY1874" s="1856" t="str">
        <f t="shared" si="333"/>
        <v/>
      </c>
    </row>
    <row r="1875" spans="42:52">
      <c r="AP1875" s="1855">
        <f t="shared" si="334"/>
        <v>44767</v>
      </c>
      <c r="AQ1875" s="925" t="str">
        <f t="shared" si="336"/>
        <v/>
      </c>
      <c r="AR1875" s="1856" t="str">
        <f t="shared" si="335"/>
        <v/>
      </c>
      <c r="AT1875" s="1856" t="str">
        <f t="shared" si="328"/>
        <v/>
      </c>
      <c r="AU1875" s="1856" t="str">
        <f t="shared" si="329"/>
        <v/>
      </c>
      <c r="AV1875" s="1856" t="str">
        <f t="shared" si="330"/>
        <v/>
      </c>
      <c r="AW1875" s="1856" t="str">
        <f t="shared" si="331"/>
        <v/>
      </c>
      <c r="AX1875" s="1856" t="str">
        <f t="shared" si="332"/>
        <v/>
      </c>
      <c r="AY1875" s="1856" t="str">
        <f t="shared" si="333"/>
        <v/>
      </c>
    </row>
    <row r="1876" spans="42:52">
      <c r="AP1876" s="1855">
        <f t="shared" si="334"/>
        <v>44767</v>
      </c>
      <c r="AQ1876" s="925" t="str">
        <f t="shared" si="336"/>
        <v>MR</v>
      </c>
      <c r="AR1876" s="1856">
        <f t="shared" si="335"/>
        <v>44767.152777777781</v>
      </c>
      <c r="AS1876" s="927" t="s">
        <v>2023</v>
      </c>
      <c r="AT1876" s="1856" t="str">
        <f t="shared" si="328"/>
        <v/>
      </c>
      <c r="AU1876" s="1856" t="str">
        <f t="shared" si="329"/>
        <v/>
      </c>
      <c r="AV1876" s="1856" t="str">
        <f t="shared" si="330"/>
        <v/>
      </c>
      <c r="AW1876" s="1856" t="str">
        <f t="shared" si="331"/>
        <v/>
      </c>
      <c r="AX1876" s="1856" t="str">
        <f t="shared" si="332"/>
        <v/>
      </c>
      <c r="AY1876" s="1856" t="str">
        <f t="shared" si="333"/>
        <v/>
      </c>
    </row>
    <row r="1877" spans="42:52">
      <c r="AP1877" s="1855">
        <f t="shared" si="334"/>
        <v>44767</v>
      </c>
      <c r="AQ1877" s="925" t="str">
        <f t="shared" si="336"/>
        <v>BMNT</v>
      </c>
      <c r="AR1877" s="1856">
        <f t="shared" si="335"/>
        <v>44767.232638888891</v>
      </c>
      <c r="AS1877" s="927" t="s">
        <v>1779</v>
      </c>
      <c r="AT1877" s="1856" t="str">
        <f t="shared" si="328"/>
        <v/>
      </c>
      <c r="AU1877" s="1856" t="str">
        <f t="shared" si="329"/>
        <v/>
      </c>
      <c r="AV1877" s="1856" t="str">
        <f t="shared" si="330"/>
        <v/>
      </c>
      <c r="AW1877" s="1856" t="str">
        <f t="shared" si="331"/>
        <v/>
      </c>
      <c r="AX1877" s="1856" t="str">
        <f t="shared" si="332"/>
        <v/>
      </c>
      <c r="AY1877" s="1856" t="str">
        <f t="shared" si="333"/>
        <v/>
      </c>
    </row>
    <row r="1878" spans="42:52">
      <c r="AP1878" s="1855">
        <f t="shared" si="334"/>
        <v>44767</v>
      </c>
      <c r="AQ1878" s="925" t="str">
        <f t="shared" si="336"/>
        <v>SR</v>
      </c>
      <c r="AR1878" s="1856">
        <f t="shared" si="335"/>
        <v>44767.27847222222</v>
      </c>
      <c r="AS1878" s="927" t="s">
        <v>1774</v>
      </c>
      <c r="AT1878" s="1856" t="str">
        <f t="shared" si="328"/>
        <v/>
      </c>
      <c r="AU1878" s="1856" t="str">
        <f t="shared" si="329"/>
        <v/>
      </c>
      <c r="AV1878" s="1856" t="str">
        <f t="shared" si="330"/>
        <v/>
      </c>
      <c r="AW1878" s="1856" t="str">
        <f t="shared" si="331"/>
        <v/>
      </c>
      <c r="AX1878" s="1856" t="str">
        <f t="shared" si="332"/>
        <v/>
      </c>
      <c r="AY1878" s="1856" t="str">
        <f t="shared" si="333"/>
        <v/>
      </c>
    </row>
    <row r="1879" spans="42:52">
      <c r="AP1879" s="1855">
        <f t="shared" si="334"/>
        <v>44767</v>
      </c>
      <c r="AQ1879" s="925" t="str">
        <f t="shared" si="336"/>
        <v>MS</v>
      </c>
      <c r="AR1879" s="1856">
        <f t="shared" si="335"/>
        <v>44767.800694444442</v>
      </c>
      <c r="AS1879" s="927" t="s">
        <v>2024</v>
      </c>
      <c r="AT1879" s="1856" t="str">
        <f t="shared" si="328"/>
        <v/>
      </c>
      <c r="AU1879" s="1856" t="str">
        <f t="shared" si="329"/>
        <v/>
      </c>
      <c r="AV1879" s="1856" t="str">
        <f t="shared" si="330"/>
        <v/>
      </c>
      <c r="AW1879" s="1856" t="str">
        <f t="shared" si="331"/>
        <v/>
      </c>
      <c r="AX1879" s="1856" t="str">
        <f t="shared" si="332"/>
        <v/>
      </c>
      <c r="AY1879" s="1856" t="str">
        <f t="shared" si="333"/>
        <v/>
      </c>
    </row>
    <row r="1880" spans="42:52">
      <c r="AP1880" s="1855">
        <f t="shared" si="334"/>
        <v>44767</v>
      </c>
      <c r="AQ1880" s="925" t="str">
        <f t="shared" si="336"/>
        <v>SS</v>
      </c>
      <c r="AR1880" s="1856">
        <f t="shared" si="335"/>
        <v>44767.875</v>
      </c>
      <c r="AS1880" s="927" t="s">
        <v>1903</v>
      </c>
      <c r="AT1880" s="1856" t="str">
        <f t="shared" si="328"/>
        <v/>
      </c>
      <c r="AU1880" s="1856" t="str">
        <f t="shared" si="329"/>
        <v/>
      </c>
      <c r="AV1880" s="1856" t="str">
        <f t="shared" si="330"/>
        <v/>
      </c>
      <c r="AW1880" s="1856" t="str">
        <f t="shared" si="331"/>
        <v/>
      </c>
      <c r="AX1880" s="1856" t="str">
        <f t="shared" si="332"/>
        <v/>
      </c>
      <c r="AY1880" s="1856" t="str">
        <f t="shared" si="333"/>
        <v/>
      </c>
    </row>
    <row r="1881" spans="42:52">
      <c r="AP1881" s="1855">
        <f t="shared" si="334"/>
        <v>44767</v>
      </c>
      <c r="AQ1881" s="925" t="str">
        <f t="shared" si="336"/>
        <v>EENT</v>
      </c>
      <c r="AR1881" s="1856">
        <f t="shared" si="335"/>
        <v>44767.92083333333</v>
      </c>
      <c r="AS1881" s="927" t="s">
        <v>1890</v>
      </c>
      <c r="AT1881" s="1856" t="str">
        <f t="shared" si="328"/>
        <v/>
      </c>
      <c r="AU1881" s="1856" t="str">
        <f t="shared" si="329"/>
        <v/>
      </c>
      <c r="AV1881" s="1856" t="str">
        <f t="shared" si="330"/>
        <v/>
      </c>
      <c r="AW1881" s="1856" t="str">
        <f t="shared" si="331"/>
        <v/>
      </c>
      <c r="AX1881" s="1856" t="str">
        <f t="shared" si="332"/>
        <v/>
      </c>
      <c r="AY1881" s="1856" t="str">
        <f t="shared" si="333"/>
        <v/>
      </c>
    </row>
    <row r="1882" spans="42:52">
      <c r="AP1882" s="1855">
        <f t="shared" si="334"/>
        <v>44768</v>
      </c>
      <c r="AQ1882" s="925" t="str">
        <f t="shared" si="336"/>
        <v/>
      </c>
      <c r="AR1882" s="1856" t="str">
        <f t="shared" si="335"/>
        <v/>
      </c>
      <c r="AS1882" s="927">
        <v>26</v>
      </c>
      <c r="AT1882" s="1856">
        <f t="shared" si="328"/>
        <v>44768.233333333337</v>
      </c>
      <c r="AU1882" s="1856">
        <f t="shared" si="329"/>
        <v>44768.279166666667</v>
      </c>
      <c r="AV1882" s="1856">
        <f t="shared" si="330"/>
        <v>44768.874305555561</v>
      </c>
      <c r="AW1882" s="1856">
        <f t="shared" si="331"/>
        <v>44768.920138888883</v>
      </c>
      <c r="AX1882" s="1856">
        <f t="shared" si="332"/>
        <v>44768.185416666667</v>
      </c>
      <c r="AY1882" s="1856">
        <f t="shared" si="333"/>
        <v>44768.836111111115</v>
      </c>
      <c r="AZ1882" s="1853">
        <v>0.06</v>
      </c>
    </row>
    <row r="1883" spans="42:52">
      <c r="AP1883" s="1855">
        <f t="shared" si="334"/>
        <v>44768</v>
      </c>
      <c r="AQ1883" s="925" t="str">
        <f t="shared" si="336"/>
        <v/>
      </c>
      <c r="AR1883" s="1856" t="str">
        <f t="shared" si="335"/>
        <v/>
      </c>
      <c r="AS1883" s="927" t="s">
        <v>252</v>
      </c>
      <c r="AT1883" s="1856" t="str">
        <f t="shared" si="328"/>
        <v/>
      </c>
      <c r="AU1883" s="1856" t="str">
        <f t="shared" si="329"/>
        <v/>
      </c>
      <c r="AV1883" s="1856" t="str">
        <f t="shared" si="330"/>
        <v/>
      </c>
      <c r="AW1883" s="1856" t="str">
        <f t="shared" si="331"/>
        <v/>
      </c>
      <c r="AX1883" s="1856" t="str">
        <f t="shared" si="332"/>
        <v/>
      </c>
      <c r="AY1883" s="1856" t="str">
        <f t="shared" si="333"/>
        <v/>
      </c>
    </row>
    <row r="1884" spans="42:52">
      <c r="AP1884" s="1855">
        <f t="shared" si="334"/>
        <v>44768</v>
      </c>
      <c r="AQ1884" s="925" t="str">
        <f t="shared" si="336"/>
        <v/>
      </c>
      <c r="AR1884" s="1856" t="str">
        <f t="shared" si="335"/>
        <v/>
      </c>
      <c r="AT1884" s="1856" t="str">
        <f t="shared" ref="AT1884:AT1947" si="337">IF(ISNUMBER(AS1884),INDEX(AR1885:AR1895,MATCH($AT$27,AQ1885:AQ1895,0)),"")</f>
        <v/>
      </c>
      <c r="AU1884" s="1856" t="str">
        <f t="shared" ref="AU1884:AU1947" si="338">IF(AT1884="","",INDEX(AR1885:AR1895,MATCH($AU$27,AQ1885:AQ1895,0)))</f>
        <v/>
      </c>
      <c r="AV1884" s="1856" t="str">
        <f t="shared" ref="AV1884:AV1947" si="339">IF(AT1884="","",INDEX(AR1885:AR1895,MATCH($AV$27,AQ1885:AQ1895,0)))</f>
        <v/>
      </c>
      <c r="AW1884" s="1856" t="str">
        <f t="shared" ref="AW1884:AW1947" si="340">IF(AT1884="","",INDEX(AR1885:AR1895,MATCH($AW$27,AQ1885:AQ1895,0)))</f>
        <v/>
      </c>
      <c r="AX1884" s="1856" t="str">
        <f t="shared" ref="AX1884:AX1947" si="341">IF(AT1884="","",INDEX(AR1885:AR1895,MATCH($AX$27,AQ1885:AQ1895,0)))</f>
        <v/>
      </c>
      <c r="AY1884" s="1856" t="str">
        <f t="shared" ref="AY1884:AY1947" si="342">IF(AT1884="","",INDEX(AR1885:AR1895,MATCH($AY$27,AQ1885:AQ1895,0)))</f>
        <v/>
      </c>
    </row>
    <row r="1885" spans="42:52">
      <c r="AP1885" s="1855">
        <f t="shared" si="334"/>
        <v>44768</v>
      </c>
      <c r="AQ1885" s="925" t="str">
        <f t="shared" si="336"/>
        <v>MR</v>
      </c>
      <c r="AR1885" s="1856">
        <f t="shared" si="335"/>
        <v>44768.185416666667</v>
      </c>
      <c r="AS1885" s="927" t="s">
        <v>2025</v>
      </c>
      <c r="AT1885" s="1856" t="str">
        <f t="shared" si="337"/>
        <v/>
      </c>
      <c r="AU1885" s="1856" t="str">
        <f t="shared" si="338"/>
        <v/>
      </c>
      <c r="AV1885" s="1856" t="str">
        <f t="shared" si="339"/>
        <v/>
      </c>
      <c r="AW1885" s="1856" t="str">
        <f t="shared" si="340"/>
        <v/>
      </c>
      <c r="AX1885" s="1856" t="str">
        <f t="shared" si="341"/>
        <v/>
      </c>
      <c r="AY1885" s="1856" t="str">
        <f t="shared" si="342"/>
        <v/>
      </c>
    </row>
    <row r="1886" spans="42:52">
      <c r="AP1886" s="1855">
        <f t="shared" si="334"/>
        <v>44768</v>
      </c>
      <c r="AQ1886" s="925" t="str">
        <f t="shared" si="336"/>
        <v>BMNT</v>
      </c>
      <c r="AR1886" s="1856">
        <f t="shared" si="335"/>
        <v>44768.233333333337</v>
      </c>
      <c r="AS1886" s="927" t="s">
        <v>2026</v>
      </c>
      <c r="AT1886" s="1856" t="str">
        <f t="shared" si="337"/>
        <v/>
      </c>
      <c r="AU1886" s="1856" t="str">
        <f t="shared" si="338"/>
        <v/>
      </c>
      <c r="AV1886" s="1856" t="str">
        <f t="shared" si="339"/>
        <v/>
      </c>
      <c r="AW1886" s="1856" t="str">
        <f t="shared" si="340"/>
        <v/>
      </c>
      <c r="AX1886" s="1856" t="str">
        <f t="shared" si="341"/>
        <v/>
      </c>
      <c r="AY1886" s="1856" t="str">
        <f t="shared" si="342"/>
        <v/>
      </c>
    </row>
    <row r="1887" spans="42:52">
      <c r="AP1887" s="1855">
        <f t="shared" si="334"/>
        <v>44768</v>
      </c>
      <c r="AQ1887" s="925" t="str">
        <f t="shared" si="336"/>
        <v>SR</v>
      </c>
      <c r="AR1887" s="1856">
        <f t="shared" si="335"/>
        <v>44768.279166666667</v>
      </c>
      <c r="AS1887" s="927" t="s">
        <v>1769</v>
      </c>
      <c r="AT1887" s="1856" t="str">
        <f t="shared" si="337"/>
        <v/>
      </c>
      <c r="AU1887" s="1856" t="str">
        <f t="shared" si="338"/>
        <v/>
      </c>
      <c r="AV1887" s="1856" t="str">
        <f t="shared" si="339"/>
        <v/>
      </c>
      <c r="AW1887" s="1856" t="str">
        <f t="shared" si="340"/>
        <v/>
      </c>
      <c r="AX1887" s="1856" t="str">
        <f t="shared" si="341"/>
        <v/>
      </c>
      <c r="AY1887" s="1856" t="str">
        <f t="shared" si="342"/>
        <v/>
      </c>
    </row>
    <row r="1888" spans="42:52">
      <c r="AP1888" s="1855">
        <f t="shared" si="334"/>
        <v>44768</v>
      </c>
      <c r="AQ1888" s="925" t="str">
        <f t="shared" si="336"/>
        <v>MS</v>
      </c>
      <c r="AR1888" s="1856">
        <f t="shared" si="335"/>
        <v>44768.836111111115</v>
      </c>
      <c r="AS1888" s="927" t="s">
        <v>2027</v>
      </c>
      <c r="AT1888" s="1856" t="str">
        <f t="shared" si="337"/>
        <v/>
      </c>
      <c r="AU1888" s="1856" t="str">
        <f t="shared" si="338"/>
        <v/>
      </c>
      <c r="AV1888" s="1856" t="str">
        <f t="shared" si="339"/>
        <v/>
      </c>
      <c r="AW1888" s="1856" t="str">
        <f t="shared" si="340"/>
        <v/>
      </c>
      <c r="AX1888" s="1856" t="str">
        <f t="shared" si="341"/>
        <v/>
      </c>
      <c r="AY1888" s="1856" t="str">
        <f t="shared" si="342"/>
        <v/>
      </c>
    </row>
    <row r="1889" spans="42:52">
      <c r="AP1889" s="1855">
        <f t="shared" si="334"/>
        <v>44768</v>
      </c>
      <c r="AQ1889" s="925" t="str">
        <f t="shared" si="336"/>
        <v>SS</v>
      </c>
      <c r="AR1889" s="1856">
        <f t="shared" si="335"/>
        <v>44768.874305555561</v>
      </c>
      <c r="AS1889" s="927" t="s">
        <v>1897</v>
      </c>
      <c r="AT1889" s="1856" t="str">
        <f t="shared" si="337"/>
        <v/>
      </c>
      <c r="AU1889" s="1856" t="str">
        <f t="shared" si="338"/>
        <v/>
      </c>
      <c r="AV1889" s="1856" t="str">
        <f t="shared" si="339"/>
        <v/>
      </c>
      <c r="AW1889" s="1856" t="str">
        <f t="shared" si="340"/>
        <v/>
      </c>
      <c r="AX1889" s="1856" t="str">
        <f t="shared" si="341"/>
        <v/>
      </c>
      <c r="AY1889" s="1856" t="str">
        <f t="shared" si="342"/>
        <v/>
      </c>
    </row>
    <row r="1890" spans="42:52">
      <c r="AP1890" s="1855">
        <f t="shared" si="334"/>
        <v>44768</v>
      </c>
      <c r="AQ1890" s="925" t="str">
        <f t="shared" si="336"/>
        <v>EENT</v>
      </c>
      <c r="AR1890" s="1856">
        <f t="shared" si="335"/>
        <v>44768.920138888883</v>
      </c>
      <c r="AS1890" s="927" t="s">
        <v>1885</v>
      </c>
      <c r="AT1890" s="1856" t="str">
        <f t="shared" si="337"/>
        <v/>
      </c>
      <c r="AU1890" s="1856" t="str">
        <f t="shared" si="338"/>
        <v/>
      </c>
      <c r="AV1890" s="1856" t="str">
        <f t="shared" si="339"/>
        <v/>
      </c>
      <c r="AW1890" s="1856" t="str">
        <f t="shared" si="340"/>
        <v/>
      </c>
      <c r="AX1890" s="1856" t="str">
        <f t="shared" si="341"/>
        <v/>
      </c>
      <c r="AY1890" s="1856" t="str">
        <f t="shared" si="342"/>
        <v/>
      </c>
    </row>
    <row r="1891" spans="42:52">
      <c r="AP1891" s="1855">
        <f t="shared" si="334"/>
        <v>44769</v>
      </c>
      <c r="AQ1891" s="925" t="str">
        <f t="shared" si="336"/>
        <v/>
      </c>
      <c r="AR1891" s="1856" t="str">
        <f t="shared" si="335"/>
        <v/>
      </c>
      <c r="AS1891" s="927">
        <v>27</v>
      </c>
      <c r="AT1891" s="1856">
        <f t="shared" si="337"/>
        <v>44769.234027777777</v>
      </c>
      <c r="AU1891" s="1856">
        <f t="shared" si="338"/>
        <v>44769.279861111114</v>
      </c>
      <c r="AV1891" s="1856">
        <f t="shared" si="339"/>
        <v>44769.873611111114</v>
      </c>
      <c r="AW1891" s="1856">
        <f t="shared" si="340"/>
        <v>44769.919444444444</v>
      </c>
      <c r="AX1891" s="1856">
        <f t="shared" si="341"/>
        <v>44769.222916666666</v>
      </c>
      <c r="AY1891" s="1856">
        <f t="shared" si="342"/>
        <v>44769.866666666669</v>
      </c>
      <c r="AZ1891" s="1853">
        <v>0.02</v>
      </c>
    </row>
    <row r="1892" spans="42:52">
      <c r="AP1892" s="1855">
        <f t="shared" si="334"/>
        <v>44769</v>
      </c>
      <c r="AQ1892" s="925" t="str">
        <f t="shared" si="336"/>
        <v/>
      </c>
      <c r="AR1892" s="1856" t="str">
        <f t="shared" si="335"/>
        <v/>
      </c>
      <c r="AS1892" s="927" t="s">
        <v>252</v>
      </c>
      <c r="AT1892" s="1856" t="str">
        <f t="shared" si="337"/>
        <v/>
      </c>
      <c r="AU1892" s="1856" t="str">
        <f t="shared" si="338"/>
        <v/>
      </c>
      <c r="AV1892" s="1856" t="str">
        <f t="shared" si="339"/>
        <v/>
      </c>
      <c r="AW1892" s="1856" t="str">
        <f t="shared" si="340"/>
        <v/>
      </c>
      <c r="AX1892" s="1856" t="str">
        <f t="shared" si="341"/>
        <v/>
      </c>
      <c r="AY1892" s="1856" t="str">
        <f t="shared" si="342"/>
        <v/>
      </c>
    </row>
    <row r="1893" spans="42:52">
      <c r="AP1893" s="1855">
        <f t="shared" ref="AP1893:AP1956" si="343">IF(ISNUMBER(AS1893),AP1892+1,AP1892)</f>
        <v>44769</v>
      </c>
      <c r="AQ1893" s="925" t="str">
        <f t="shared" si="336"/>
        <v/>
      </c>
      <c r="AR1893" s="1856" t="str">
        <f t="shared" si="335"/>
        <v/>
      </c>
      <c r="AT1893" s="1856" t="str">
        <f t="shared" si="337"/>
        <v/>
      </c>
      <c r="AU1893" s="1856" t="str">
        <f t="shared" si="338"/>
        <v/>
      </c>
      <c r="AV1893" s="1856" t="str">
        <f t="shared" si="339"/>
        <v/>
      </c>
      <c r="AW1893" s="1856" t="str">
        <f t="shared" si="340"/>
        <v/>
      </c>
      <c r="AX1893" s="1856" t="str">
        <f t="shared" si="341"/>
        <v/>
      </c>
      <c r="AY1893" s="1856" t="str">
        <f t="shared" si="342"/>
        <v/>
      </c>
    </row>
    <row r="1894" spans="42:52">
      <c r="AP1894" s="1855">
        <f t="shared" si="343"/>
        <v>44769</v>
      </c>
      <c r="AQ1894" s="925" t="str">
        <f t="shared" si="336"/>
        <v>MR</v>
      </c>
      <c r="AR1894" s="1856">
        <f t="shared" si="335"/>
        <v>44769.222916666666</v>
      </c>
      <c r="AS1894" s="927" t="s">
        <v>2028</v>
      </c>
      <c r="AT1894" s="1856" t="str">
        <f t="shared" si="337"/>
        <v/>
      </c>
      <c r="AU1894" s="1856" t="str">
        <f t="shared" si="338"/>
        <v/>
      </c>
      <c r="AV1894" s="1856" t="str">
        <f t="shared" si="339"/>
        <v/>
      </c>
      <c r="AW1894" s="1856" t="str">
        <f t="shared" si="340"/>
        <v/>
      </c>
      <c r="AX1894" s="1856" t="str">
        <f t="shared" si="341"/>
        <v/>
      </c>
      <c r="AY1894" s="1856" t="str">
        <f t="shared" si="342"/>
        <v/>
      </c>
    </row>
    <row r="1895" spans="42:52">
      <c r="AP1895" s="1855">
        <f t="shared" si="343"/>
        <v>44769</v>
      </c>
      <c r="AQ1895" s="925" t="str">
        <f t="shared" si="336"/>
        <v>BMNT</v>
      </c>
      <c r="AR1895" s="1856">
        <f t="shared" si="335"/>
        <v>44769.234027777777</v>
      </c>
      <c r="AS1895" s="927" t="s">
        <v>1773</v>
      </c>
      <c r="AT1895" s="1856" t="str">
        <f t="shared" si="337"/>
        <v/>
      </c>
      <c r="AU1895" s="1856" t="str">
        <f t="shared" si="338"/>
        <v/>
      </c>
      <c r="AV1895" s="1856" t="str">
        <f t="shared" si="339"/>
        <v/>
      </c>
      <c r="AW1895" s="1856" t="str">
        <f t="shared" si="340"/>
        <v/>
      </c>
      <c r="AX1895" s="1856" t="str">
        <f t="shared" si="341"/>
        <v/>
      </c>
      <c r="AY1895" s="1856" t="str">
        <f t="shared" si="342"/>
        <v/>
      </c>
    </row>
    <row r="1896" spans="42:52">
      <c r="AP1896" s="1855">
        <f t="shared" si="343"/>
        <v>44769</v>
      </c>
      <c r="AQ1896" s="925" t="str">
        <f t="shared" si="336"/>
        <v>SR</v>
      </c>
      <c r="AR1896" s="1856">
        <f t="shared" si="335"/>
        <v>44769.279861111114</v>
      </c>
      <c r="AS1896" s="927" t="s">
        <v>1763</v>
      </c>
      <c r="AT1896" s="1856" t="str">
        <f t="shared" si="337"/>
        <v/>
      </c>
      <c r="AU1896" s="1856" t="str">
        <f t="shared" si="338"/>
        <v/>
      </c>
      <c r="AV1896" s="1856" t="str">
        <f t="shared" si="339"/>
        <v/>
      </c>
      <c r="AW1896" s="1856" t="str">
        <f t="shared" si="340"/>
        <v/>
      </c>
      <c r="AX1896" s="1856" t="str">
        <f t="shared" si="341"/>
        <v/>
      </c>
      <c r="AY1896" s="1856" t="str">
        <f t="shared" si="342"/>
        <v/>
      </c>
    </row>
    <row r="1897" spans="42:52">
      <c r="AP1897" s="1855">
        <f t="shared" si="343"/>
        <v>44769</v>
      </c>
      <c r="AQ1897" s="925" t="str">
        <f t="shared" si="336"/>
        <v>MS</v>
      </c>
      <c r="AR1897" s="1856">
        <f t="shared" ref="AR1897:AR1960" si="344">IF(NOT(ISNUMBER(FIND(":",AS1897))),"",IF(ISNUMBER(FIND(" none",AS1897)),"NONE",AP1897+LEFT(RIGHT(AS1897,5),2)/24+RIGHT(AS1897,2)/1440))</f>
        <v>44769.866666666669</v>
      </c>
      <c r="AS1897" s="927" t="s">
        <v>2029</v>
      </c>
      <c r="AT1897" s="1856" t="str">
        <f t="shared" si="337"/>
        <v/>
      </c>
      <c r="AU1897" s="1856" t="str">
        <f t="shared" si="338"/>
        <v/>
      </c>
      <c r="AV1897" s="1856" t="str">
        <f t="shared" si="339"/>
        <v/>
      </c>
      <c r="AW1897" s="1856" t="str">
        <f t="shared" si="340"/>
        <v/>
      </c>
      <c r="AX1897" s="1856" t="str">
        <f t="shared" si="341"/>
        <v/>
      </c>
      <c r="AY1897" s="1856" t="str">
        <f t="shared" si="342"/>
        <v/>
      </c>
    </row>
    <row r="1898" spans="42:52">
      <c r="AP1898" s="1855">
        <f t="shared" si="343"/>
        <v>44769</v>
      </c>
      <c r="AQ1898" s="925" t="str">
        <f t="shared" si="336"/>
        <v>SS</v>
      </c>
      <c r="AR1898" s="1856">
        <f t="shared" si="344"/>
        <v>44769.873611111114</v>
      </c>
      <c r="AS1898" s="927" t="s">
        <v>1889</v>
      </c>
      <c r="AT1898" s="1856" t="str">
        <f t="shared" si="337"/>
        <v/>
      </c>
      <c r="AU1898" s="1856" t="str">
        <f t="shared" si="338"/>
        <v/>
      </c>
      <c r="AV1898" s="1856" t="str">
        <f t="shared" si="339"/>
        <v/>
      </c>
      <c r="AW1898" s="1856" t="str">
        <f t="shared" si="340"/>
        <v/>
      </c>
      <c r="AX1898" s="1856" t="str">
        <f t="shared" si="341"/>
        <v/>
      </c>
      <c r="AY1898" s="1856" t="str">
        <f t="shared" si="342"/>
        <v/>
      </c>
    </row>
    <row r="1899" spans="42:52">
      <c r="AP1899" s="1855">
        <f t="shared" si="343"/>
        <v>44769</v>
      </c>
      <c r="AQ1899" s="925" t="str">
        <f t="shared" si="336"/>
        <v>EENT</v>
      </c>
      <c r="AR1899" s="1856">
        <f t="shared" si="344"/>
        <v>44769.919444444444</v>
      </c>
      <c r="AS1899" s="927" t="s">
        <v>1879</v>
      </c>
      <c r="AT1899" s="1856" t="str">
        <f t="shared" si="337"/>
        <v/>
      </c>
      <c r="AU1899" s="1856" t="str">
        <f t="shared" si="338"/>
        <v/>
      </c>
      <c r="AV1899" s="1856" t="str">
        <f t="shared" si="339"/>
        <v/>
      </c>
      <c r="AW1899" s="1856" t="str">
        <f t="shared" si="340"/>
        <v/>
      </c>
      <c r="AX1899" s="1856" t="str">
        <f t="shared" si="341"/>
        <v/>
      </c>
      <c r="AY1899" s="1856" t="str">
        <f t="shared" si="342"/>
        <v/>
      </c>
    </row>
    <row r="1900" spans="42:52">
      <c r="AP1900" s="1855">
        <f t="shared" si="343"/>
        <v>44770</v>
      </c>
      <c r="AQ1900" s="925" t="str">
        <f t="shared" si="336"/>
        <v/>
      </c>
      <c r="AR1900" s="1856" t="str">
        <f t="shared" si="344"/>
        <v/>
      </c>
      <c r="AS1900" s="927">
        <v>28</v>
      </c>
      <c r="AT1900" s="1856">
        <f t="shared" si="337"/>
        <v>44770.234722222223</v>
      </c>
      <c r="AU1900" s="1856">
        <f t="shared" si="338"/>
        <v>44770.279861111114</v>
      </c>
      <c r="AV1900" s="1856">
        <f t="shared" si="339"/>
        <v>44770.872916666667</v>
      </c>
      <c r="AW1900" s="1856">
        <f t="shared" si="340"/>
        <v>44770.918749999997</v>
      </c>
      <c r="AX1900" s="1856">
        <f t="shared" si="341"/>
        <v>44770.263194444444</v>
      </c>
      <c r="AY1900" s="1856">
        <f t="shared" si="342"/>
        <v>44770.893055555556</v>
      </c>
      <c r="AZ1900" s="1853">
        <v>0.01</v>
      </c>
    </row>
    <row r="1901" spans="42:52">
      <c r="AP1901" s="1855">
        <f t="shared" si="343"/>
        <v>44770</v>
      </c>
      <c r="AQ1901" s="925" t="str">
        <f t="shared" si="336"/>
        <v/>
      </c>
      <c r="AR1901" s="1856" t="str">
        <f t="shared" si="344"/>
        <v/>
      </c>
      <c r="AS1901" s="927" t="s">
        <v>252</v>
      </c>
      <c r="AT1901" s="1856" t="str">
        <f t="shared" si="337"/>
        <v/>
      </c>
      <c r="AU1901" s="1856" t="str">
        <f t="shared" si="338"/>
        <v/>
      </c>
      <c r="AV1901" s="1856" t="str">
        <f t="shared" si="339"/>
        <v/>
      </c>
      <c r="AW1901" s="1856" t="str">
        <f t="shared" si="340"/>
        <v/>
      </c>
      <c r="AX1901" s="1856" t="str">
        <f t="shared" si="341"/>
        <v/>
      </c>
      <c r="AY1901" s="1856" t="str">
        <f t="shared" si="342"/>
        <v/>
      </c>
    </row>
    <row r="1902" spans="42:52">
      <c r="AP1902" s="1855">
        <f t="shared" si="343"/>
        <v>44770</v>
      </c>
      <c r="AQ1902" s="925" t="str">
        <f t="shared" si="336"/>
        <v/>
      </c>
      <c r="AR1902" s="1856" t="str">
        <f t="shared" si="344"/>
        <v/>
      </c>
      <c r="AT1902" s="1856" t="str">
        <f t="shared" si="337"/>
        <v/>
      </c>
      <c r="AU1902" s="1856" t="str">
        <f t="shared" si="338"/>
        <v/>
      </c>
      <c r="AV1902" s="1856" t="str">
        <f t="shared" si="339"/>
        <v/>
      </c>
      <c r="AW1902" s="1856" t="str">
        <f t="shared" si="340"/>
        <v/>
      </c>
      <c r="AX1902" s="1856" t="str">
        <f t="shared" si="341"/>
        <v/>
      </c>
      <c r="AY1902" s="1856" t="str">
        <f t="shared" si="342"/>
        <v/>
      </c>
    </row>
    <row r="1903" spans="42:52">
      <c r="AP1903" s="1855">
        <f t="shared" si="343"/>
        <v>44770</v>
      </c>
      <c r="AQ1903" s="925" t="str">
        <f t="shared" si="336"/>
        <v>BMNT</v>
      </c>
      <c r="AR1903" s="1856">
        <f t="shared" si="344"/>
        <v>44770.234722222223</v>
      </c>
      <c r="AS1903" s="927" t="s">
        <v>1768</v>
      </c>
      <c r="AT1903" s="1856" t="str">
        <f t="shared" si="337"/>
        <v/>
      </c>
      <c r="AU1903" s="1856" t="str">
        <f t="shared" si="338"/>
        <v/>
      </c>
      <c r="AV1903" s="1856" t="str">
        <f t="shared" si="339"/>
        <v/>
      </c>
      <c r="AW1903" s="1856" t="str">
        <f t="shared" si="340"/>
        <v/>
      </c>
      <c r="AX1903" s="1856" t="str">
        <f t="shared" si="341"/>
        <v/>
      </c>
      <c r="AY1903" s="1856" t="str">
        <f t="shared" si="342"/>
        <v/>
      </c>
    </row>
    <row r="1904" spans="42:52">
      <c r="AP1904" s="1855">
        <f t="shared" si="343"/>
        <v>44770</v>
      </c>
      <c r="AQ1904" s="925" t="str">
        <f t="shared" si="336"/>
        <v>MR</v>
      </c>
      <c r="AR1904" s="1856">
        <f t="shared" si="344"/>
        <v>44770.263194444444</v>
      </c>
      <c r="AS1904" s="927" t="s">
        <v>2030</v>
      </c>
      <c r="AT1904" s="1856" t="str">
        <f t="shared" si="337"/>
        <v/>
      </c>
      <c r="AU1904" s="1856" t="str">
        <f t="shared" si="338"/>
        <v/>
      </c>
      <c r="AV1904" s="1856" t="str">
        <f t="shared" si="339"/>
        <v/>
      </c>
      <c r="AW1904" s="1856" t="str">
        <f t="shared" si="340"/>
        <v/>
      </c>
      <c r="AX1904" s="1856" t="str">
        <f t="shared" si="341"/>
        <v/>
      </c>
      <c r="AY1904" s="1856" t="str">
        <f t="shared" si="342"/>
        <v/>
      </c>
    </row>
    <row r="1905" spans="42:52">
      <c r="AP1905" s="1855">
        <f t="shared" si="343"/>
        <v>44770</v>
      </c>
      <c r="AQ1905" s="925" t="str">
        <f t="shared" si="336"/>
        <v>SR</v>
      </c>
      <c r="AR1905" s="1856">
        <f t="shared" si="344"/>
        <v>44770.279861111114</v>
      </c>
      <c r="AS1905" s="927" t="s">
        <v>1763</v>
      </c>
      <c r="AT1905" s="1856" t="str">
        <f t="shared" si="337"/>
        <v/>
      </c>
      <c r="AU1905" s="1856" t="str">
        <f t="shared" si="338"/>
        <v/>
      </c>
      <c r="AV1905" s="1856" t="str">
        <f t="shared" si="339"/>
        <v/>
      </c>
      <c r="AW1905" s="1856" t="str">
        <f t="shared" si="340"/>
        <v/>
      </c>
      <c r="AX1905" s="1856" t="str">
        <f t="shared" si="341"/>
        <v/>
      </c>
      <c r="AY1905" s="1856" t="str">
        <f t="shared" si="342"/>
        <v/>
      </c>
    </row>
    <row r="1906" spans="42:52">
      <c r="AP1906" s="1855">
        <f t="shared" si="343"/>
        <v>44770</v>
      </c>
      <c r="AQ1906" s="925" t="str">
        <f t="shared" si="336"/>
        <v>SS</v>
      </c>
      <c r="AR1906" s="1856">
        <f t="shared" si="344"/>
        <v>44770.872916666667</v>
      </c>
      <c r="AS1906" s="927" t="s">
        <v>1884</v>
      </c>
      <c r="AT1906" s="1856" t="str">
        <f t="shared" si="337"/>
        <v/>
      </c>
      <c r="AU1906" s="1856" t="str">
        <f t="shared" si="338"/>
        <v/>
      </c>
      <c r="AV1906" s="1856" t="str">
        <f t="shared" si="339"/>
        <v/>
      </c>
      <c r="AW1906" s="1856" t="str">
        <f t="shared" si="340"/>
        <v/>
      </c>
      <c r="AX1906" s="1856" t="str">
        <f t="shared" si="341"/>
        <v/>
      </c>
      <c r="AY1906" s="1856" t="str">
        <f t="shared" si="342"/>
        <v/>
      </c>
    </row>
    <row r="1907" spans="42:52">
      <c r="AP1907" s="1855">
        <f t="shared" si="343"/>
        <v>44770</v>
      </c>
      <c r="AQ1907" s="925" t="str">
        <f t="shared" si="336"/>
        <v>MS</v>
      </c>
      <c r="AR1907" s="1856">
        <f t="shared" si="344"/>
        <v>44770.893055555556</v>
      </c>
      <c r="AS1907" s="927" t="s">
        <v>2031</v>
      </c>
      <c r="AT1907" s="1856" t="str">
        <f t="shared" si="337"/>
        <v/>
      </c>
      <c r="AU1907" s="1856" t="str">
        <f t="shared" si="338"/>
        <v/>
      </c>
      <c r="AV1907" s="1856" t="str">
        <f t="shared" si="339"/>
        <v/>
      </c>
      <c r="AW1907" s="1856" t="str">
        <f t="shared" si="340"/>
        <v/>
      </c>
      <c r="AX1907" s="1856" t="str">
        <f t="shared" si="341"/>
        <v/>
      </c>
      <c r="AY1907" s="1856" t="str">
        <f t="shared" si="342"/>
        <v/>
      </c>
    </row>
    <row r="1908" spans="42:52">
      <c r="AP1908" s="1855">
        <f t="shared" si="343"/>
        <v>44770</v>
      </c>
      <c r="AQ1908" s="925" t="str">
        <f t="shared" ref="AQ1908:AQ1971" si="345">IF(NOT(ISNUMBER(FIND(":",AS1908))),"",IF(ISNUMBER(FIND("Sunr",AS1908)),"SR", IF(ISNUMBER(FIND("Suns",AS1908)),"SS",IF(ISNUMBER(FIND("Moonr",AS1908)),"MR",IF(ISNUMBER(FIND("Moons",AS1908)),"MS",IF(ISNUMBER(FIND("Twi",AS1908)),IF(HOUR(AR1908)&lt;12,"BMNT","EENT")))))))</f>
        <v>EENT</v>
      </c>
      <c r="AR1908" s="1856">
        <f t="shared" si="344"/>
        <v>44770.918749999997</v>
      </c>
      <c r="AS1908" s="927" t="s">
        <v>1875</v>
      </c>
      <c r="AT1908" s="1856" t="str">
        <f t="shared" si="337"/>
        <v/>
      </c>
      <c r="AU1908" s="1856" t="str">
        <f t="shared" si="338"/>
        <v/>
      </c>
      <c r="AV1908" s="1856" t="str">
        <f t="shared" si="339"/>
        <v/>
      </c>
      <c r="AW1908" s="1856" t="str">
        <f t="shared" si="340"/>
        <v/>
      </c>
      <c r="AX1908" s="1856" t="str">
        <f t="shared" si="341"/>
        <v/>
      </c>
      <c r="AY1908" s="1856" t="str">
        <f t="shared" si="342"/>
        <v/>
      </c>
    </row>
    <row r="1909" spans="42:52">
      <c r="AP1909" s="1855">
        <f t="shared" si="343"/>
        <v>44771</v>
      </c>
      <c r="AQ1909" s="925" t="str">
        <f t="shared" si="345"/>
        <v/>
      </c>
      <c r="AR1909" s="1856" t="str">
        <f t="shared" si="344"/>
        <v/>
      </c>
      <c r="AS1909" s="927">
        <v>29</v>
      </c>
      <c r="AT1909" s="1856">
        <f t="shared" si="337"/>
        <v>44771.23541666667</v>
      </c>
      <c r="AU1909" s="1856">
        <f t="shared" si="338"/>
        <v>44771.280555555553</v>
      </c>
      <c r="AV1909" s="1856">
        <f t="shared" si="339"/>
        <v>44771.872222222228</v>
      </c>
      <c r="AW1909" s="1856">
        <f t="shared" si="340"/>
        <v>44771.91805555555</v>
      </c>
      <c r="AX1909" s="1856">
        <f t="shared" si="341"/>
        <v>44771.305555555555</v>
      </c>
      <c r="AY1909" s="1856">
        <f t="shared" si="342"/>
        <v>44771.915972222225</v>
      </c>
      <c r="AZ1909" s="1853">
        <v>0</v>
      </c>
    </row>
    <row r="1910" spans="42:52">
      <c r="AP1910" s="1855">
        <f t="shared" si="343"/>
        <v>44771</v>
      </c>
      <c r="AQ1910" s="925" t="str">
        <f t="shared" si="345"/>
        <v/>
      </c>
      <c r="AR1910" s="1856" t="str">
        <f t="shared" si="344"/>
        <v/>
      </c>
      <c r="AS1910" s="927" t="s">
        <v>252</v>
      </c>
      <c r="AT1910" s="1856" t="str">
        <f t="shared" si="337"/>
        <v/>
      </c>
      <c r="AU1910" s="1856" t="str">
        <f t="shared" si="338"/>
        <v/>
      </c>
      <c r="AV1910" s="1856" t="str">
        <f t="shared" si="339"/>
        <v/>
      </c>
      <c r="AW1910" s="1856" t="str">
        <f t="shared" si="340"/>
        <v/>
      </c>
      <c r="AX1910" s="1856" t="str">
        <f t="shared" si="341"/>
        <v/>
      </c>
      <c r="AY1910" s="1856" t="str">
        <f t="shared" si="342"/>
        <v/>
      </c>
    </row>
    <row r="1911" spans="42:52">
      <c r="AP1911" s="1855">
        <f t="shared" si="343"/>
        <v>44771</v>
      </c>
      <c r="AQ1911" s="925" t="str">
        <f t="shared" si="345"/>
        <v/>
      </c>
      <c r="AR1911" s="1856" t="str">
        <f t="shared" si="344"/>
        <v/>
      </c>
      <c r="AT1911" s="1856" t="str">
        <f t="shared" si="337"/>
        <v/>
      </c>
      <c r="AU1911" s="1856" t="str">
        <f t="shared" si="338"/>
        <v/>
      </c>
      <c r="AV1911" s="1856" t="str">
        <f t="shared" si="339"/>
        <v/>
      </c>
      <c r="AW1911" s="1856" t="str">
        <f t="shared" si="340"/>
        <v/>
      </c>
      <c r="AX1911" s="1856" t="str">
        <f t="shared" si="341"/>
        <v/>
      </c>
      <c r="AY1911" s="1856" t="str">
        <f t="shared" si="342"/>
        <v/>
      </c>
    </row>
    <row r="1912" spans="42:52">
      <c r="AP1912" s="1855">
        <f t="shared" si="343"/>
        <v>44771</v>
      </c>
      <c r="AQ1912" s="925" t="str">
        <f t="shared" si="345"/>
        <v>BMNT</v>
      </c>
      <c r="AR1912" s="1856">
        <f t="shared" si="344"/>
        <v>44771.23541666667</v>
      </c>
      <c r="AS1912" s="927" t="s">
        <v>1762</v>
      </c>
      <c r="AT1912" s="1856" t="str">
        <f t="shared" si="337"/>
        <v/>
      </c>
      <c r="AU1912" s="1856" t="str">
        <f t="shared" si="338"/>
        <v/>
      </c>
      <c r="AV1912" s="1856" t="str">
        <f t="shared" si="339"/>
        <v/>
      </c>
      <c r="AW1912" s="1856" t="str">
        <f t="shared" si="340"/>
        <v/>
      </c>
      <c r="AX1912" s="1856" t="str">
        <f t="shared" si="341"/>
        <v/>
      </c>
      <c r="AY1912" s="1856" t="str">
        <f t="shared" si="342"/>
        <v/>
      </c>
    </row>
    <row r="1913" spans="42:52">
      <c r="AP1913" s="1855">
        <f t="shared" si="343"/>
        <v>44771</v>
      </c>
      <c r="AQ1913" s="925" t="str">
        <f t="shared" si="345"/>
        <v>SR</v>
      </c>
      <c r="AR1913" s="1856">
        <f t="shared" si="344"/>
        <v>44771.280555555553</v>
      </c>
      <c r="AS1913" s="927" t="s">
        <v>1757</v>
      </c>
      <c r="AT1913" s="1856" t="str">
        <f t="shared" si="337"/>
        <v/>
      </c>
      <c r="AU1913" s="1856" t="str">
        <f t="shared" si="338"/>
        <v/>
      </c>
      <c r="AV1913" s="1856" t="str">
        <f t="shared" si="339"/>
        <v/>
      </c>
      <c r="AW1913" s="1856" t="str">
        <f t="shared" si="340"/>
        <v/>
      </c>
      <c r="AX1913" s="1856" t="str">
        <f t="shared" si="341"/>
        <v/>
      </c>
      <c r="AY1913" s="1856" t="str">
        <f t="shared" si="342"/>
        <v/>
      </c>
    </row>
    <row r="1914" spans="42:52">
      <c r="AP1914" s="1855">
        <f t="shared" si="343"/>
        <v>44771</v>
      </c>
      <c r="AQ1914" s="925" t="str">
        <f t="shared" si="345"/>
        <v>MR</v>
      </c>
      <c r="AR1914" s="1856">
        <f t="shared" si="344"/>
        <v>44771.305555555555</v>
      </c>
      <c r="AS1914" s="927" t="s">
        <v>2032</v>
      </c>
      <c r="AT1914" s="1856" t="str">
        <f t="shared" si="337"/>
        <v/>
      </c>
      <c r="AU1914" s="1856" t="str">
        <f t="shared" si="338"/>
        <v/>
      </c>
      <c r="AV1914" s="1856" t="str">
        <f t="shared" si="339"/>
        <v/>
      </c>
      <c r="AW1914" s="1856" t="str">
        <f t="shared" si="340"/>
        <v/>
      </c>
      <c r="AX1914" s="1856" t="str">
        <f t="shared" si="341"/>
        <v/>
      </c>
      <c r="AY1914" s="1856" t="str">
        <f t="shared" si="342"/>
        <v/>
      </c>
    </row>
    <row r="1915" spans="42:52">
      <c r="AP1915" s="1855">
        <f t="shared" si="343"/>
        <v>44771</v>
      </c>
      <c r="AQ1915" s="925" t="str">
        <f t="shared" si="345"/>
        <v>SS</v>
      </c>
      <c r="AR1915" s="1856">
        <f t="shared" si="344"/>
        <v>44771.872222222228</v>
      </c>
      <c r="AS1915" s="927" t="s">
        <v>1878</v>
      </c>
      <c r="AT1915" s="1856" t="str">
        <f t="shared" si="337"/>
        <v/>
      </c>
      <c r="AU1915" s="1856" t="str">
        <f t="shared" si="338"/>
        <v/>
      </c>
      <c r="AV1915" s="1856" t="str">
        <f t="shared" si="339"/>
        <v/>
      </c>
      <c r="AW1915" s="1856" t="str">
        <f t="shared" si="340"/>
        <v/>
      </c>
      <c r="AX1915" s="1856" t="str">
        <f t="shared" si="341"/>
        <v/>
      </c>
      <c r="AY1915" s="1856" t="str">
        <f t="shared" si="342"/>
        <v/>
      </c>
    </row>
    <row r="1916" spans="42:52">
      <c r="AP1916" s="1855">
        <f t="shared" si="343"/>
        <v>44771</v>
      </c>
      <c r="AQ1916" s="925" t="str">
        <f t="shared" si="345"/>
        <v>MS</v>
      </c>
      <c r="AR1916" s="1856">
        <f t="shared" si="344"/>
        <v>44771.915972222225</v>
      </c>
      <c r="AS1916" s="927" t="s">
        <v>2033</v>
      </c>
      <c r="AT1916" s="1856" t="str">
        <f t="shared" si="337"/>
        <v/>
      </c>
      <c r="AU1916" s="1856" t="str">
        <f t="shared" si="338"/>
        <v/>
      </c>
      <c r="AV1916" s="1856" t="str">
        <f t="shared" si="339"/>
        <v/>
      </c>
      <c r="AW1916" s="1856" t="str">
        <f t="shared" si="340"/>
        <v/>
      </c>
      <c r="AX1916" s="1856" t="str">
        <f t="shared" si="341"/>
        <v/>
      </c>
      <c r="AY1916" s="1856" t="str">
        <f t="shared" si="342"/>
        <v/>
      </c>
    </row>
    <row r="1917" spans="42:52">
      <c r="AP1917" s="1855">
        <f t="shared" si="343"/>
        <v>44771</v>
      </c>
      <c r="AQ1917" s="925" t="str">
        <f t="shared" si="345"/>
        <v>EENT</v>
      </c>
      <c r="AR1917" s="1856">
        <f t="shared" si="344"/>
        <v>44771.91805555555</v>
      </c>
      <c r="AS1917" s="927" t="s">
        <v>1871</v>
      </c>
      <c r="AT1917" s="1856" t="str">
        <f t="shared" si="337"/>
        <v/>
      </c>
      <c r="AU1917" s="1856" t="str">
        <f t="shared" si="338"/>
        <v/>
      </c>
      <c r="AV1917" s="1856" t="str">
        <f t="shared" si="339"/>
        <v/>
      </c>
      <c r="AW1917" s="1856" t="str">
        <f t="shared" si="340"/>
        <v/>
      </c>
      <c r="AX1917" s="1856" t="str">
        <f t="shared" si="341"/>
        <v/>
      </c>
      <c r="AY1917" s="1856" t="str">
        <f t="shared" si="342"/>
        <v/>
      </c>
    </row>
    <row r="1918" spans="42:52">
      <c r="AP1918" s="1855">
        <f t="shared" si="343"/>
        <v>44772</v>
      </c>
      <c r="AQ1918" s="925" t="str">
        <f t="shared" si="345"/>
        <v/>
      </c>
      <c r="AR1918" s="1856" t="str">
        <f t="shared" si="344"/>
        <v/>
      </c>
      <c r="AS1918" s="927">
        <v>30</v>
      </c>
      <c r="AT1918" s="1856">
        <f t="shared" si="337"/>
        <v>44772.236111111117</v>
      </c>
      <c r="AU1918" s="1856">
        <f t="shared" si="338"/>
        <v>44772.28125</v>
      </c>
      <c r="AV1918" s="1856">
        <f t="shared" si="339"/>
        <v>44772.872222222228</v>
      </c>
      <c r="AW1918" s="1856">
        <f t="shared" si="340"/>
        <v>44772.917361111111</v>
      </c>
      <c r="AX1918" s="1856">
        <f t="shared" si="341"/>
        <v>44772.347916666666</v>
      </c>
      <c r="AY1918" s="1856">
        <f t="shared" si="342"/>
        <v>44772.935416666667</v>
      </c>
      <c r="AZ1918" s="1853">
        <v>0.02</v>
      </c>
    </row>
    <row r="1919" spans="42:52">
      <c r="AP1919" s="1855">
        <f t="shared" si="343"/>
        <v>44772</v>
      </c>
      <c r="AQ1919" s="925" t="str">
        <f t="shared" si="345"/>
        <v/>
      </c>
      <c r="AR1919" s="1856" t="str">
        <f t="shared" si="344"/>
        <v/>
      </c>
      <c r="AS1919" s="927" t="s">
        <v>252</v>
      </c>
      <c r="AT1919" s="1856" t="str">
        <f t="shared" si="337"/>
        <v/>
      </c>
      <c r="AU1919" s="1856" t="str">
        <f t="shared" si="338"/>
        <v/>
      </c>
      <c r="AV1919" s="1856" t="str">
        <f t="shared" si="339"/>
        <v/>
      </c>
      <c r="AW1919" s="1856" t="str">
        <f t="shared" si="340"/>
        <v/>
      </c>
      <c r="AX1919" s="1856" t="str">
        <f t="shared" si="341"/>
        <v/>
      </c>
      <c r="AY1919" s="1856" t="str">
        <f t="shared" si="342"/>
        <v/>
      </c>
    </row>
    <row r="1920" spans="42:52">
      <c r="AP1920" s="1855">
        <f t="shared" si="343"/>
        <v>44772</v>
      </c>
      <c r="AQ1920" s="925" t="str">
        <f t="shared" si="345"/>
        <v/>
      </c>
      <c r="AR1920" s="1856" t="str">
        <f t="shared" si="344"/>
        <v/>
      </c>
      <c r="AT1920" s="1856" t="str">
        <f t="shared" si="337"/>
        <v/>
      </c>
      <c r="AU1920" s="1856" t="str">
        <f t="shared" si="338"/>
        <v/>
      </c>
      <c r="AV1920" s="1856" t="str">
        <f t="shared" si="339"/>
        <v/>
      </c>
      <c r="AW1920" s="1856" t="str">
        <f t="shared" si="340"/>
        <v/>
      </c>
      <c r="AX1920" s="1856" t="str">
        <f t="shared" si="341"/>
        <v/>
      </c>
      <c r="AY1920" s="1856" t="str">
        <f t="shared" si="342"/>
        <v/>
      </c>
    </row>
    <row r="1921" spans="42:52">
      <c r="AP1921" s="1855">
        <f t="shared" si="343"/>
        <v>44772</v>
      </c>
      <c r="AQ1921" s="925" t="str">
        <f t="shared" si="345"/>
        <v>BMNT</v>
      </c>
      <c r="AR1921" s="1856">
        <f t="shared" si="344"/>
        <v>44772.236111111117</v>
      </c>
      <c r="AS1921" s="927" t="s">
        <v>2034</v>
      </c>
      <c r="AT1921" s="1856" t="str">
        <f t="shared" si="337"/>
        <v/>
      </c>
      <c r="AU1921" s="1856" t="str">
        <f t="shared" si="338"/>
        <v/>
      </c>
      <c r="AV1921" s="1856" t="str">
        <f t="shared" si="339"/>
        <v/>
      </c>
      <c r="AW1921" s="1856" t="str">
        <f t="shared" si="340"/>
        <v/>
      </c>
      <c r="AX1921" s="1856" t="str">
        <f t="shared" si="341"/>
        <v/>
      </c>
      <c r="AY1921" s="1856" t="str">
        <f t="shared" si="342"/>
        <v/>
      </c>
    </row>
    <row r="1922" spans="42:52">
      <c r="AP1922" s="1855">
        <f t="shared" si="343"/>
        <v>44772</v>
      </c>
      <c r="AQ1922" s="925" t="str">
        <f t="shared" si="345"/>
        <v>SR</v>
      </c>
      <c r="AR1922" s="1856">
        <f t="shared" si="344"/>
        <v>44772.28125</v>
      </c>
      <c r="AS1922" s="927" t="s">
        <v>1751</v>
      </c>
      <c r="AT1922" s="1856" t="str">
        <f t="shared" si="337"/>
        <v/>
      </c>
      <c r="AU1922" s="1856" t="str">
        <f t="shared" si="338"/>
        <v/>
      </c>
      <c r="AV1922" s="1856" t="str">
        <f t="shared" si="339"/>
        <v/>
      </c>
      <c r="AW1922" s="1856" t="str">
        <f t="shared" si="340"/>
        <v/>
      </c>
      <c r="AX1922" s="1856" t="str">
        <f t="shared" si="341"/>
        <v/>
      </c>
      <c r="AY1922" s="1856" t="str">
        <f t="shared" si="342"/>
        <v/>
      </c>
    </row>
    <row r="1923" spans="42:52">
      <c r="AP1923" s="1855">
        <f t="shared" si="343"/>
        <v>44772</v>
      </c>
      <c r="AQ1923" s="925" t="str">
        <f t="shared" si="345"/>
        <v>MR</v>
      </c>
      <c r="AR1923" s="1856">
        <f t="shared" si="344"/>
        <v>44772.347916666666</v>
      </c>
      <c r="AS1923" s="927" t="s">
        <v>2035</v>
      </c>
      <c r="AT1923" s="1856" t="str">
        <f t="shared" si="337"/>
        <v/>
      </c>
      <c r="AU1923" s="1856" t="str">
        <f t="shared" si="338"/>
        <v/>
      </c>
      <c r="AV1923" s="1856" t="str">
        <f t="shared" si="339"/>
        <v/>
      </c>
      <c r="AW1923" s="1856" t="str">
        <f t="shared" si="340"/>
        <v/>
      </c>
      <c r="AX1923" s="1856" t="str">
        <f t="shared" si="341"/>
        <v/>
      </c>
      <c r="AY1923" s="1856" t="str">
        <f t="shared" si="342"/>
        <v/>
      </c>
    </row>
    <row r="1924" spans="42:52">
      <c r="AP1924" s="1855">
        <f t="shared" si="343"/>
        <v>44772</v>
      </c>
      <c r="AQ1924" s="925" t="str">
        <f t="shared" si="345"/>
        <v>SS</v>
      </c>
      <c r="AR1924" s="1856">
        <f t="shared" si="344"/>
        <v>44772.872222222228</v>
      </c>
      <c r="AS1924" s="927" t="s">
        <v>1878</v>
      </c>
      <c r="AT1924" s="1856" t="str">
        <f t="shared" si="337"/>
        <v/>
      </c>
      <c r="AU1924" s="1856" t="str">
        <f t="shared" si="338"/>
        <v/>
      </c>
      <c r="AV1924" s="1856" t="str">
        <f t="shared" si="339"/>
        <v/>
      </c>
      <c r="AW1924" s="1856" t="str">
        <f t="shared" si="340"/>
        <v/>
      </c>
      <c r="AX1924" s="1856" t="str">
        <f t="shared" si="341"/>
        <v/>
      </c>
      <c r="AY1924" s="1856" t="str">
        <f t="shared" si="342"/>
        <v/>
      </c>
    </row>
    <row r="1925" spans="42:52">
      <c r="AP1925" s="1855">
        <f t="shared" si="343"/>
        <v>44772</v>
      </c>
      <c r="AQ1925" s="925" t="str">
        <f t="shared" si="345"/>
        <v>EENT</v>
      </c>
      <c r="AR1925" s="1856">
        <f t="shared" si="344"/>
        <v>44772.917361111111</v>
      </c>
      <c r="AS1925" s="927" t="s">
        <v>1866</v>
      </c>
      <c r="AT1925" s="1856" t="str">
        <f t="shared" si="337"/>
        <v/>
      </c>
      <c r="AU1925" s="1856" t="str">
        <f t="shared" si="338"/>
        <v/>
      </c>
      <c r="AV1925" s="1856" t="str">
        <f t="shared" si="339"/>
        <v/>
      </c>
      <c r="AW1925" s="1856" t="str">
        <f t="shared" si="340"/>
        <v/>
      </c>
      <c r="AX1925" s="1856" t="str">
        <f t="shared" si="341"/>
        <v/>
      </c>
      <c r="AY1925" s="1856" t="str">
        <f t="shared" si="342"/>
        <v/>
      </c>
    </row>
    <row r="1926" spans="42:52">
      <c r="AP1926" s="1855">
        <f t="shared" si="343"/>
        <v>44772</v>
      </c>
      <c r="AQ1926" s="925" t="str">
        <f t="shared" si="345"/>
        <v>MS</v>
      </c>
      <c r="AR1926" s="1856">
        <f t="shared" si="344"/>
        <v>44772.935416666667</v>
      </c>
      <c r="AS1926" s="927" t="s">
        <v>2036</v>
      </c>
      <c r="AT1926" s="1856" t="str">
        <f t="shared" si="337"/>
        <v/>
      </c>
      <c r="AU1926" s="1856" t="str">
        <f t="shared" si="338"/>
        <v/>
      </c>
      <c r="AV1926" s="1856" t="str">
        <f t="shared" si="339"/>
        <v/>
      </c>
      <c r="AW1926" s="1856" t="str">
        <f t="shared" si="340"/>
        <v/>
      </c>
      <c r="AX1926" s="1856" t="str">
        <f t="shared" si="341"/>
        <v/>
      </c>
      <c r="AY1926" s="1856" t="str">
        <f t="shared" si="342"/>
        <v/>
      </c>
    </row>
    <row r="1927" spans="42:52">
      <c r="AP1927" s="1855">
        <f t="shared" si="343"/>
        <v>44773</v>
      </c>
      <c r="AQ1927" s="925" t="str">
        <f t="shared" si="345"/>
        <v/>
      </c>
      <c r="AR1927" s="1856" t="str">
        <f t="shared" si="344"/>
        <v/>
      </c>
      <c r="AS1927" s="927">
        <v>31</v>
      </c>
      <c r="AT1927" s="1856">
        <f t="shared" si="337"/>
        <v>44773.236805555556</v>
      </c>
      <c r="AU1927" s="1856">
        <f t="shared" si="338"/>
        <v>44773.281944444447</v>
      </c>
      <c r="AV1927" s="1856">
        <f t="shared" si="339"/>
        <v>44773.871527777781</v>
      </c>
      <c r="AW1927" s="1856">
        <f t="shared" si="340"/>
        <v>44773.916666666664</v>
      </c>
      <c r="AX1927" s="1856">
        <f t="shared" si="341"/>
        <v>44773.390277777777</v>
      </c>
      <c r="AY1927" s="1856">
        <f t="shared" si="342"/>
        <v>44773.953472222223</v>
      </c>
      <c r="AZ1927" s="1853">
        <v>0.06</v>
      </c>
    </row>
    <row r="1928" spans="42:52">
      <c r="AP1928" s="1855">
        <f t="shared" si="343"/>
        <v>44773</v>
      </c>
      <c r="AQ1928" s="925" t="str">
        <f t="shared" si="345"/>
        <v/>
      </c>
      <c r="AR1928" s="1856" t="str">
        <f t="shared" si="344"/>
        <v/>
      </c>
      <c r="AS1928" s="927" t="s">
        <v>252</v>
      </c>
      <c r="AT1928" s="1856" t="str">
        <f t="shared" si="337"/>
        <v/>
      </c>
      <c r="AU1928" s="1856" t="str">
        <f t="shared" si="338"/>
        <v/>
      </c>
      <c r="AV1928" s="1856" t="str">
        <f t="shared" si="339"/>
        <v/>
      </c>
      <c r="AW1928" s="1856" t="str">
        <f t="shared" si="340"/>
        <v/>
      </c>
      <c r="AX1928" s="1856" t="str">
        <f t="shared" si="341"/>
        <v/>
      </c>
      <c r="AY1928" s="1856" t="str">
        <f t="shared" si="342"/>
        <v/>
      </c>
    </row>
    <row r="1929" spans="42:52">
      <c r="AP1929" s="1855">
        <f t="shared" si="343"/>
        <v>44773</v>
      </c>
      <c r="AQ1929" s="925" t="str">
        <f t="shared" si="345"/>
        <v/>
      </c>
      <c r="AR1929" s="1856" t="str">
        <f t="shared" si="344"/>
        <v/>
      </c>
      <c r="AT1929" s="1856" t="str">
        <f t="shared" si="337"/>
        <v/>
      </c>
      <c r="AU1929" s="1856" t="str">
        <f t="shared" si="338"/>
        <v/>
      </c>
      <c r="AV1929" s="1856" t="str">
        <f t="shared" si="339"/>
        <v/>
      </c>
      <c r="AW1929" s="1856" t="str">
        <f t="shared" si="340"/>
        <v/>
      </c>
      <c r="AX1929" s="1856" t="str">
        <f t="shared" si="341"/>
        <v/>
      </c>
      <c r="AY1929" s="1856" t="str">
        <f t="shared" si="342"/>
        <v/>
      </c>
    </row>
    <row r="1930" spans="42:52">
      <c r="AP1930" s="1855">
        <f t="shared" si="343"/>
        <v>44773</v>
      </c>
      <c r="AQ1930" s="925" t="str">
        <f t="shared" si="345"/>
        <v>BMNT</v>
      </c>
      <c r="AR1930" s="1856">
        <f t="shared" si="344"/>
        <v>44773.236805555556</v>
      </c>
      <c r="AS1930" s="927" t="s">
        <v>1756</v>
      </c>
      <c r="AT1930" s="1856" t="str">
        <f t="shared" si="337"/>
        <v/>
      </c>
      <c r="AU1930" s="1856" t="str">
        <f t="shared" si="338"/>
        <v/>
      </c>
      <c r="AV1930" s="1856" t="str">
        <f t="shared" si="339"/>
        <v/>
      </c>
      <c r="AW1930" s="1856" t="str">
        <f t="shared" si="340"/>
        <v/>
      </c>
      <c r="AX1930" s="1856" t="str">
        <f t="shared" si="341"/>
        <v/>
      </c>
      <c r="AY1930" s="1856" t="str">
        <f t="shared" si="342"/>
        <v/>
      </c>
    </row>
    <row r="1931" spans="42:52">
      <c r="AP1931" s="1855">
        <f t="shared" si="343"/>
        <v>44773</v>
      </c>
      <c r="AQ1931" s="925" t="str">
        <f t="shared" si="345"/>
        <v>SR</v>
      </c>
      <c r="AR1931" s="1856">
        <f t="shared" si="344"/>
        <v>44773.281944444447</v>
      </c>
      <c r="AS1931" s="927" t="s">
        <v>1746</v>
      </c>
      <c r="AT1931" s="1856" t="str">
        <f t="shared" si="337"/>
        <v/>
      </c>
      <c r="AU1931" s="1856" t="str">
        <f t="shared" si="338"/>
        <v/>
      </c>
      <c r="AV1931" s="1856" t="str">
        <f t="shared" si="339"/>
        <v/>
      </c>
      <c r="AW1931" s="1856" t="str">
        <f t="shared" si="340"/>
        <v/>
      </c>
      <c r="AX1931" s="1856" t="str">
        <f t="shared" si="341"/>
        <v/>
      </c>
      <c r="AY1931" s="1856" t="str">
        <f t="shared" si="342"/>
        <v/>
      </c>
    </row>
    <row r="1932" spans="42:52">
      <c r="AP1932" s="1855">
        <f t="shared" si="343"/>
        <v>44773</v>
      </c>
      <c r="AQ1932" s="925" t="str">
        <f t="shared" si="345"/>
        <v>MR</v>
      </c>
      <c r="AR1932" s="1856">
        <f t="shared" si="344"/>
        <v>44773.390277777777</v>
      </c>
      <c r="AS1932" s="927" t="s">
        <v>2037</v>
      </c>
      <c r="AT1932" s="1856" t="str">
        <f t="shared" si="337"/>
        <v/>
      </c>
      <c r="AU1932" s="1856" t="str">
        <f t="shared" si="338"/>
        <v/>
      </c>
      <c r="AV1932" s="1856" t="str">
        <f t="shared" si="339"/>
        <v/>
      </c>
      <c r="AW1932" s="1856" t="str">
        <f t="shared" si="340"/>
        <v/>
      </c>
      <c r="AX1932" s="1856" t="str">
        <f t="shared" si="341"/>
        <v/>
      </c>
      <c r="AY1932" s="1856" t="str">
        <f t="shared" si="342"/>
        <v/>
      </c>
    </row>
    <row r="1933" spans="42:52">
      <c r="AP1933" s="1855">
        <f t="shared" si="343"/>
        <v>44773</v>
      </c>
      <c r="AQ1933" s="925" t="str">
        <f t="shared" si="345"/>
        <v>SS</v>
      </c>
      <c r="AR1933" s="1856">
        <f t="shared" si="344"/>
        <v>44773.871527777781</v>
      </c>
      <c r="AS1933" s="927" t="s">
        <v>1870</v>
      </c>
      <c r="AT1933" s="1856" t="str">
        <f t="shared" si="337"/>
        <v/>
      </c>
      <c r="AU1933" s="1856" t="str">
        <f t="shared" si="338"/>
        <v/>
      </c>
      <c r="AV1933" s="1856" t="str">
        <f t="shared" si="339"/>
        <v/>
      </c>
      <c r="AW1933" s="1856" t="str">
        <f t="shared" si="340"/>
        <v/>
      </c>
      <c r="AX1933" s="1856" t="str">
        <f t="shared" si="341"/>
        <v/>
      </c>
      <c r="AY1933" s="1856" t="str">
        <f t="shared" si="342"/>
        <v/>
      </c>
    </row>
    <row r="1934" spans="42:52">
      <c r="AP1934" s="1855">
        <f t="shared" si="343"/>
        <v>44773</v>
      </c>
      <c r="AQ1934" s="925" t="str">
        <f t="shared" si="345"/>
        <v>EENT</v>
      </c>
      <c r="AR1934" s="1856">
        <f t="shared" si="344"/>
        <v>44773.916666666664</v>
      </c>
      <c r="AS1934" s="927" t="s">
        <v>1860</v>
      </c>
      <c r="AT1934" s="1856" t="str">
        <f t="shared" si="337"/>
        <v/>
      </c>
      <c r="AU1934" s="1856" t="str">
        <f t="shared" si="338"/>
        <v/>
      </c>
      <c r="AV1934" s="1856" t="str">
        <f t="shared" si="339"/>
        <v/>
      </c>
      <c r="AW1934" s="1856" t="str">
        <f t="shared" si="340"/>
        <v/>
      </c>
      <c r="AX1934" s="1856" t="str">
        <f t="shared" si="341"/>
        <v/>
      </c>
      <c r="AY1934" s="1856" t="str">
        <f t="shared" si="342"/>
        <v/>
      </c>
    </row>
    <row r="1935" spans="42:52">
      <c r="AP1935" s="1855">
        <f t="shared" si="343"/>
        <v>44773</v>
      </c>
      <c r="AQ1935" s="925" t="str">
        <f t="shared" si="345"/>
        <v>MS</v>
      </c>
      <c r="AR1935" s="1856">
        <f t="shared" si="344"/>
        <v>44773.953472222223</v>
      </c>
      <c r="AS1935" s="927" t="s">
        <v>2038</v>
      </c>
      <c r="AT1935" s="1856" t="str">
        <f t="shared" si="337"/>
        <v/>
      </c>
      <c r="AU1935" s="1856" t="str">
        <f t="shared" si="338"/>
        <v/>
      </c>
      <c r="AV1935" s="1856" t="str">
        <f t="shared" si="339"/>
        <v/>
      </c>
      <c r="AW1935" s="1856" t="str">
        <f t="shared" si="340"/>
        <v/>
      </c>
      <c r="AX1935" s="1856" t="str">
        <f t="shared" si="341"/>
        <v/>
      </c>
      <c r="AY1935" s="1856" t="str">
        <f t="shared" si="342"/>
        <v/>
      </c>
    </row>
    <row r="1936" spans="42:52">
      <c r="AP1936" s="1855">
        <f t="shared" si="343"/>
        <v>44774</v>
      </c>
      <c r="AQ1936" s="925" t="str">
        <f t="shared" si="345"/>
        <v/>
      </c>
      <c r="AR1936" s="1856" t="str">
        <f t="shared" si="344"/>
        <v/>
      </c>
      <c r="AS1936" s="927">
        <v>1</v>
      </c>
      <c r="AT1936" s="1856">
        <f t="shared" si="337"/>
        <v>44774.237500000003</v>
      </c>
      <c r="AU1936" s="1856">
        <f t="shared" si="338"/>
        <v>44774.282638888886</v>
      </c>
      <c r="AV1936" s="1856">
        <f t="shared" si="339"/>
        <v>44774.870833333334</v>
      </c>
      <c r="AW1936" s="1856">
        <f t="shared" si="340"/>
        <v>44774.915972222225</v>
      </c>
      <c r="AX1936" s="1856">
        <f t="shared" si="341"/>
        <v>44774.433333333334</v>
      </c>
      <c r="AY1936" s="1856">
        <f t="shared" si="342"/>
        <v>44774.970138888893</v>
      </c>
      <c r="AZ1936" s="1853">
        <v>0.11</v>
      </c>
    </row>
    <row r="1937" spans="42:52">
      <c r="AP1937" s="1855">
        <f t="shared" si="343"/>
        <v>44774</v>
      </c>
      <c r="AQ1937" s="925" t="str">
        <f t="shared" si="345"/>
        <v/>
      </c>
      <c r="AR1937" s="1856" t="str">
        <f t="shared" si="344"/>
        <v/>
      </c>
      <c r="AS1937" s="927" t="s">
        <v>252</v>
      </c>
      <c r="AT1937" s="1856" t="str">
        <f t="shared" si="337"/>
        <v/>
      </c>
      <c r="AU1937" s="1856" t="str">
        <f t="shared" si="338"/>
        <v/>
      </c>
      <c r="AV1937" s="1856" t="str">
        <f t="shared" si="339"/>
        <v/>
      </c>
      <c r="AW1937" s="1856" t="str">
        <f t="shared" si="340"/>
        <v/>
      </c>
      <c r="AX1937" s="1856" t="str">
        <f t="shared" si="341"/>
        <v/>
      </c>
      <c r="AY1937" s="1856" t="str">
        <f t="shared" si="342"/>
        <v/>
      </c>
    </row>
    <row r="1938" spans="42:52">
      <c r="AP1938" s="1855">
        <f t="shared" si="343"/>
        <v>44774</v>
      </c>
      <c r="AQ1938" s="925" t="str">
        <f t="shared" si="345"/>
        <v/>
      </c>
      <c r="AR1938" s="1856" t="str">
        <f t="shared" si="344"/>
        <v/>
      </c>
      <c r="AT1938" s="1856" t="str">
        <f t="shared" si="337"/>
        <v/>
      </c>
      <c r="AU1938" s="1856" t="str">
        <f t="shared" si="338"/>
        <v/>
      </c>
      <c r="AV1938" s="1856" t="str">
        <f t="shared" si="339"/>
        <v/>
      </c>
      <c r="AW1938" s="1856" t="str">
        <f t="shared" si="340"/>
        <v/>
      </c>
      <c r="AX1938" s="1856" t="str">
        <f t="shared" si="341"/>
        <v/>
      </c>
      <c r="AY1938" s="1856" t="str">
        <f t="shared" si="342"/>
        <v/>
      </c>
    </row>
    <row r="1939" spans="42:52">
      <c r="AP1939" s="1855">
        <f t="shared" si="343"/>
        <v>44774</v>
      </c>
      <c r="AQ1939" s="925" t="str">
        <f t="shared" si="345"/>
        <v>BMNT</v>
      </c>
      <c r="AR1939" s="1856">
        <f t="shared" si="344"/>
        <v>44774.237500000003</v>
      </c>
      <c r="AS1939" s="927" t="s">
        <v>1750</v>
      </c>
      <c r="AT1939" s="1856" t="str">
        <f t="shared" si="337"/>
        <v/>
      </c>
      <c r="AU1939" s="1856" t="str">
        <f t="shared" si="338"/>
        <v/>
      </c>
      <c r="AV1939" s="1856" t="str">
        <f t="shared" si="339"/>
        <v/>
      </c>
      <c r="AW1939" s="1856" t="str">
        <f t="shared" si="340"/>
        <v/>
      </c>
      <c r="AX1939" s="1856" t="str">
        <f t="shared" si="341"/>
        <v/>
      </c>
      <c r="AY1939" s="1856" t="str">
        <f t="shared" si="342"/>
        <v/>
      </c>
    </row>
    <row r="1940" spans="42:52">
      <c r="AP1940" s="1855">
        <f t="shared" si="343"/>
        <v>44774</v>
      </c>
      <c r="AQ1940" s="925" t="str">
        <f t="shared" si="345"/>
        <v>SR</v>
      </c>
      <c r="AR1940" s="1856">
        <f t="shared" si="344"/>
        <v>44774.282638888886</v>
      </c>
      <c r="AS1940" s="927" t="s">
        <v>1740</v>
      </c>
      <c r="AT1940" s="1856" t="str">
        <f t="shared" si="337"/>
        <v/>
      </c>
      <c r="AU1940" s="1856" t="str">
        <f t="shared" si="338"/>
        <v/>
      </c>
      <c r="AV1940" s="1856" t="str">
        <f t="shared" si="339"/>
        <v/>
      </c>
      <c r="AW1940" s="1856" t="str">
        <f t="shared" si="340"/>
        <v/>
      </c>
      <c r="AX1940" s="1856" t="str">
        <f t="shared" si="341"/>
        <v/>
      </c>
      <c r="AY1940" s="1856" t="str">
        <f t="shared" si="342"/>
        <v/>
      </c>
    </row>
    <row r="1941" spans="42:52">
      <c r="AP1941" s="1855">
        <f t="shared" si="343"/>
        <v>44774</v>
      </c>
      <c r="AQ1941" s="925" t="str">
        <f t="shared" si="345"/>
        <v>MR</v>
      </c>
      <c r="AR1941" s="1856">
        <f t="shared" si="344"/>
        <v>44774.433333333334</v>
      </c>
      <c r="AS1941" s="927" t="s">
        <v>2039</v>
      </c>
      <c r="AT1941" s="1856" t="str">
        <f t="shared" si="337"/>
        <v/>
      </c>
      <c r="AU1941" s="1856" t="str">
        <f t="shared" si="338"/>
        <v/>
      </c>
      <c r="AV1941" s="1856" t="str">
        <f t="shared" si="339"/>
        <v/>
      </c>
      <c r="AW1941" s="1856" t="str">
        <f t="shared" si="340"/>
        <v/>
      </c>
      <c r="AX1941" s="1856" t="str">
        <f t="shared" si="341"/>
        <v/>
      </c>
      <c r="AY1941" s="1856" t="str">
        <f t="shared" si="342"/>
        <v/>
      </c>
    </row>
    <row r="1942" spans="42:52">
      <c r="AP1942" s="1855">
        <f t="shared" si="343"/>
        <v>44774</v>
      </c>
      <c r="AQ1942" s="925" t="str">
        <f t="shared" si="345"/>
        <v>SS</v>
      </c>
      <c r="AR1942" s="1856">
        <f t="shared" si="344"/>
        <v>44774.870833333334</v>
      </c>
      <c r="AS1942" s="927" t="s">
        <v>1865</v>
      </c>
      <c r="AT1942" s="1856" t="str">
        <f t="shared" si="337"/>
        <v/>
      </c>
      <c r="AU1942" s="1856" t="str">
        <f t="shared" si="338"/>
        <v/>
      </c>
      <c r="AV1942" s="1856" t="str">
        <f t="shared" si="339"/>
        <v/>
      </c>
      <c r="AW1942" s="1856" t="str">
        <f t="shared" si="340"/>
        <v/>
      </c>
      <c r="AX1942" s="1856" t="str">
        <f t="shared" si="341"/>
        <v/>
      </c>
      <c r="AY1942" s="1856" t="str">
        <f t="shared" si="342"/>
        <v/>
      </c>
    </row>
    <row r="1943" spans="42:52">
      <c r="AP1943" s="1855">
        <f t="shared" si="343"/>
        <v>44774</v>
      </c>
      <c r="AQ1943" s="925" t="str">
        <f t="shared" si="345"/>
        <v>EENT</v>
      </c>
      <c r="AR1943" s="1856">
        <f t="shared" si="344"/>
        <v>44774.915972222225</v>
      </c>
      <c r="AS1943" s="927" t="s">
        <v>1854</v>
      </c>
      <c r="AT1943" s="1856" t="str">
        <f t="shared" si="337"/>
        <v/>
      </c>
      <c r="AU1943" s="1856" t="str">
        <f t="shared" si="338"/>
        <v/>
      </c>
      <c r="AV1943" s="1856" t="str">
        <f t="shared" si="339"/>
        <v/>
      </c>
      <c r="AW1943" s="1856" t="str">
        <f t="shared" si="340"/>
        <v/>
      </c>
      <c r="AX1943" s="1856" t="str">
        <f t="shared" si="341"/>
        <v/>
      </c>
      <c r="AY1943" s="1856" t="str">
        <f t="shared" si="342"/>
        <v/>
      </c>
    </row>
    <row r="1944" spans="42:52">
      <c r="AP1944" s="1855">
        <f t="shared" si="343"/>
        <v>44774</v>
      </c>
      <c r="AQ1944" s="925" t="str">
        <f t="shared" si="345"/>
        <v>MS</v>
      </c>
      <c r="AR1944" s="1856">
        <f t="shared" si="344"/>
        <v>44774.970138888893</v>
      </c>
      <c r="AS1944" s="927" t="s">
        <v>2040</v>
      </c>
      <c r="AT1944" s="1856" t="str">
        <f t="shared" si="337"/>
        <v/>
      </c>
      <c r="AU1944" s="1856" t="str">
        <f t="shared" si="338"/>
        <v/>
      </c>
      <c r="AV1944" s="1856" t="str">
        <f t="shared" si="339"/>
        <v/>
      </c>
      <c r="AW1944" s="1856" t="str">
        <f t="shared" si="340"/>
        <v/>
      </c>
      <c r="AX1944" s="1856" t="str">
        <f t="shared" si="341"/>
        <v/>
      </c>
      <c r="AY1944" s="1856" t="str">
        <f t="shared" si="342"/>
        <v/>
      </c>
    </row>
    <row r="1945" spans="42:52">
      <c r="AP1945" s="1855">
        <f t="shared" si="343"/>
        <v>44775</v>
      </c>
      <c r="AQ1945" s="925" t="str">
        <f t="shared" si="345"/>
        <v/>
      </c>
      <c r="AR1945" s="1856" t="str">
        <f t="shared" si="344"/>
        <v/>
      </c>
      <c r="AS1945" s="927">
        <v>2</v>
      </c>
      <c r="AT1945" s="1856">
        <f t="shared" si="337"/>
        <v>44775.23819444445</v>
      </c>
      <c r="AU1945" s="1856">
        <f t="shared" si="338"/>
        <v>44775.283333333333</v>
      </c>
      <c r="AV1945" s="1856">
        <f t="shared" si="339"/>
        <v>44775.870138888895</v>
      </c>
      <c r="AW1945" s="1856">
        <f t="shared" si="340"/>
        <v>44775.914583333331</v>
      </c>
      <c r="AX1945" s="1856">
        <f t="shared" si="341"/>
        <v>44775.475694444445</v>
      </c>
      <c r="AY1945" s="1856">
        <f t="shared" si="342"/>
        <v>44775.986805555556</v>
      </c>
      <c r="AZ1945" s="1853">
        <v>0.18</v>
      </c>
    </row>
    <row r="1946" spans="42:52">
      <c r="AP1946" s="1855">
        <f t="shared" si="343"/>
        <v>44775</v>
      </c>
      <c r="AQ1946" s="925" t="str">
        <f t="shared" si="345"/>
        <v/>
      </c>
      <c r="AR1946" s="1856" t="str">
        <f t="shared" si="344"/>
        <v/>
      </c>
      <c r="AS1946" s="927" t="s">
        <v>252</v>
      </c>
      <c r="AT1946" s="1856" t="str">
        <f t="shared" si="337"/>
        <v/>
      </c>
      <c r="AU1946" s="1856" t="str">
        <f t="shared" si="338"/>
        <v/>
      </c>
      <c r="AV1946" s="1856" t="str">
        <f t="shared" si="339"/>
        <v/>
      </c>
      <c r="AW1946" s="1856" t="str">
        <f t="shared" si="340"/>
        <v/>
      </c>
      <c r="AX1946" s="1856" t="str">
        <f t="shared" si="341"/>
        <v/>
      </c>
      <c r="AY1946" s="1856" t="str">
        <f t="shared" si="342"/>
        <v/>
      </c>
    </row>
    <row r="1947" spans="42:52">
      <c r="AP1947" s="1855">
        <f t="shared" si="343"/>
        <v>44775</v>
      </c>
      <c r="AQ1947" s="925" t="str">
        <f t="shared" si="345"/>
        <v/>
      </c>
      <c r="AR1947" s="1856" t="str">
        <f t="shared" si="344"/>
        <v/>
      </c>
      <c r="AT1947" s="1856" t="str">
        <f t="shared" si="337"/>
        <v/>
      </c>
      <c r="AU1947" s="1856" t="str">
        <f t="shared" si="338"/>
        <v/>
      </c>
      <c r="AV1947" s="1856" t="str">
        <f t="shared" si="339"/>
        <v/>
      </c>
      <c r="AW1947" s="1856" t="str">
        <f t="shared" si="340"/>
        <v/>
      </c>
      <c r="AX1947" s="1856" t="str">
        <f t="shared" si="341"/>
        <v/>
      </c>
      <c r="AY1947" s="1856" t="str">
        <f t="shared" si="342"/>
        <v/>
      </c>
    </row>
    <row r="1948" spans="42:52">
      <c r="AP1948" s="1855">
        <f t="shared" si="343"/>
        <v>44775</v>
      </c>
      <c r="AQ1948" s="925" t="str">
        <f t="shared" si="345"/>
        <v>BMNT</v>
      </c>
      <c r="AR1948" s="1856">
        <f t="shared" si="344"/>
        <v>44775.23819444445</v>
      </c>
      <c r="AS1948" s="927" t="s">
        <v>1745</v>
      </c>
      <c r="AT1948" s="1856" t="str">
        <f t="shared" ref="AT1948:AT2011" si="346">IF(ISNUMBER(AS1948),INDEX(AR1949:AR1959,MATCH($AT$27,AQ1949:AQ1959,0)),"")</f>
        <v/>
      </c>
      <c r="AU1948" s="1856" t="str">
        <f t="shared" ref="AU1948:AU2011" si="347">IF(AT1948="","",INDEX(AR1949:AR1959,MATCH($AU$27,AQ1949:AQ1959,0)))</f>
        <v/>
      </c>
      <c r="AV1948" s="1856" t="str">
        <f t="shared" ref="AV1948:AV2011" si="348">IF(AT1948="","",INDEX(AR1949:AR1959,MATCH($AV$27,AQ1949:AQ1959,0)))</f>
        <v/>
      </c>
      <c r="AW1948" s="1856" t="str">
        <f t="shared" ref="AW1948:AW2011" si="349">IF(AT1948="","",INDEX(AR1949:AR1959,MATCH($AW$27,AQ1949:AQ1959,0)))</f>
        <v/>
      </c>
      <c r="AX1948" s="1856" t="str">
        <f t="shared" ref="AX1948:AX2011" si="350">IF(AT1948="","",INDEX(AR1949:AR1959,MATCH($AX$27,AQ1949:AQ1959,0)))</f>
        <v/>
      </c>
      <c r="AY1948" s="1856" t="str">
        <f t="shared" ref="AY1948:AY2011" si="351">IF(AT1948="","",INDEX(AR1949:AR1959,MATCH($AY$27,AQ1949:AQ1959,0)))</f>
        <v/>
      </c>
    </row>
    <row r="1949" spans="42:52">
      <c r="AP1949" s="1855">
        <f t="shared" si="343"/>
        <v>44775</v>
      </c>
      <c r="AQ1949" s="925" t="str">
        <f t="shared" si="345"/>
        <v>SR</v>
      </c>
      <c r="AR1949" s="1856">
        <f t="shared" si="344"/>
        <v>44775.283333333333</v>
      </c>
      <c r="AS1949" s="927" t="s">
        <v>1734</v>
      </c>
      <c r="AT1949" s="1856" t="str">
        <f t="shared" si="346"/>
        <v/>
      </c>
      <c r="AU1949" s="1856" t="str">
        <f t="shared" si="347"/>
        <v/>
      </c>
      <c r="AV1949" s="1856" t="str">
        <f t="shared" si="348"/>
        <v/>
      </c>
      <c r="AW1949" s="1856" t="str">
        <f t="shared" si="349"/>
        <v/>
      </c>
      <c r="AX1949" s="1856" t="str">
        <f t="shared" si="350"/>
        <v/>
      </c>
      <c r="AY1949" s="1856" t="str">
        <f t="shared" si="351"/>
        <v/>
      </c>
    </row>
    <row r="1950" spans="42:52">
      <c r="AP1950" s="1855">
        <f t="shared" si="343"/>
        <v>44775</v>
      </c>
      <c r="AQ1950" s="925" t="str">
        <f t="shared" si="345"/>
        <v>MR</v>
      </c>
      <c r="AR1950" s="1856">
        <f t="shared" si="344"/>
        <v>44775.475694444445</v>
      </c>
      <c r="AS1950" s="927" t="s">
        <v>2041</v>
      </c>
      <c r="AT1950" s="1856" t="str">
        <f t="shared" si="346"/>
        <v/>
      </c>
      <c r="AU1950" s="1856" t="str">
        <f t="shared" si="347"/>
        <v/>
      </c>
      <c r="AV1950" s="1856" t="str">
        <f t="shared" si="348"/>
        <v/>
      </c>
      <c r="AW1950" s="1856" t="str">
        <f t="shared" si="349"/>
        <v/>
      </c>
      <c r="AX1950" s="1856" t="str">
        <f t="shared" si="350"/>
        <v/>
      </c>
      <c r="AY1950" s="1856" t="str">
        <f t="shared" si="351"/>
        <v/>
      </c>
    </row>
    <row r="1951" spans="42:52">
      <c r="AP1951" s="1855">
        <f t="shared" si="343"/>
        <v>44775</v>
      </c>
      <c r="AQ1951" s="925" t="str">
        <f t="shared" si="345"/>
        <v>SS</v>
      </c>
      <c r="AR1951" s="1856">
        <f t="shared" si="344"/>
        <v>44775.870138888895</v>
      </c>
      <c r="AS1951" s="927" t="s">
        <v>1859</v>
      </c>
      <c r="AT1951" s="1856" t="str">
        <f t="shared" si="346"/>
        <v/>
      </c>
      <c r="AU1951" s="1856" t="str">
        <f t="shared" si="347"/>
        <v/>
      </c>
      <c r="AV1951" s="1856" t="str">
        <f t="shared" si="348"/>
        <v/>
      </c>
      <c r="AW1951" s="1856" t="str">
        <f t="shared" si="349"/>
        <v/>
      </c>
      <c r="AX1951" s="1856" t="str">
        <f t="shared" si="350"/>
        <v/>
      </c>
      <c r="AY1951" s="1856" t="str">
        <f t="shared" si="351"/>
        <v/>
      </c>
    </row>
    <row r="1952" spans="42:52">
      <c r="AP1952" s="1855">
        <f t="shared" si="343"/>
        <v>44775</v>
      </c>
      <c r="AQ1952" s="925" t="str">
        <f t="shared" si="345"/>
        <v>EENT</v>
      </c>
      <c r="AR1952" s="1856">
        <f t="shared" si="344"/>
        <v>44775.914583333331</v>
      </c>
      <c r="AS1952" s="927" t="s">
        <v>1845</v>
      </c>
      <c r="AT1952" s="1856" t="str">
        <f t="shared" si="346"/>
        <v/>
      </c>
      <c r="AU1952" s="1856" t="str">
        <f t="shared" si="347"/>
        <v/>
      </c>
      <c r="AV1952" s="1856" t="str">
        <f t="shared" si="348"/>
        <v/>
      </c>
      <c r="AW1952" s="1856" t="str">
        <f t="shared" si="349"/>
        <v/>
      </c>
      <c r="AX1952" s="1856" t="str">
        <f t="shared" si="350"/>
        <v/>
      </c>
      <c r="AY1952" s="1856" t="str">
        <f t="shared" si="351"/>
        <v/>
      </c>
    </row>
    <row r="1953" spans="42:52">
      <c r="AP1953" s="1855">
        <f t="shared" si="343"/>
        <v>44775</v>
      </c>
      <c r="AQ1953" s="925" t="str">
        <f t="shared" si="345"/>
        <v>MS</v>
      </c>
      <c r="AR1953" s="1856">
        <f t="shared" si="344"/>
        <v>44775.986805555556</v>
      </c>
      <c r="AS1953" s="927" t="s">
        <v>1749</v>
      </c>
      <c r="AT1953" s="1856" t="str">
        <f t="shared" si="346"/>
        <v/>
      </c>
      <c r="AU1953" s="1856" t="str">
        <f t="shared" si="347"/>
        <v/>
      </c>
      <c r="AV1953" s="1856" t="str">
        <f t="shared" si="348"/>
        <v/>
      </c>
      <c r="AW1953" s="1856" t="str">
        <f t="shared" si="349"/>
        <v/>
      </c>
      <c r="AX1953" s="1856" t="str">
        <f t="shared" si="350"/>
        <v/>
      </c>
      <c r="AY1953" s="1856" t="str">
        <f t="shared" si="351"/>
        <v/>
      </c>
    </row>
    <row r="1954" spans="42:52">
      <c r="AP1954" s="1855">
        <f t="shared" si="343"/>
        <v>44776</v>
      </c>
      <c r="AQ1954" s="925" t="str">
        <f t="shared" si="345"/>
        <v/>
      </c>
      <c r="AR1954" s="1856" t="str">
        <f t="shared" si="344"/>
        <v/>
      </c>
      <c r="AS1954" s="927">
        <v>3</v>
      </c>
      <c r="AT1954" s="1856">
        <f t="shared" si="346"/>
        <v>44776.238888888889</v>
      </c>
      <c r="AU1954" s="1856">
        <f t="shared" si="347"/>
        <v>44776.283333333333</v>
      </c>
      <c r="AV1954" s="1856">
        <f t="shared" si="348"/>
        <v>44776.869444444448</v>
      </c>
      <c r="AW1954" s="1856">
        <f t="shared" si="349"/>
        <v>44776.913888888892</v>
      </c>
      <c r="AX1954" s="1856">
        <f t="shared" si="350"/>
        <v>44776.519444444442</v>
      </c>
      <c r="AY1954" s="1856" t="str">
        <f t="shared" si="351"/>
        <v>NONE</v>
      </c>
      <c r="AZ1954" s="1853">
        <v>0.27</v>
      </c>
    </row>
    <row r="1955" spans="42:52">
      <c r="AP1955" s="1855">
        <f t="shared" si="343"/>
        <v>44776</v>
      </c>
      <c r="AQ1955" s="925" t="str">
        <f t="shared" si="345"/>
        <v/>
      </c>
      <c r="AR1955" s="1856" t="str">
        <f t="shared" si="344"/>
        <v/>
      </c>
      <c r="AS1955" s="927" t="s">
        <v>252</v>
      </c>
      <c r="AT1955" s="1856" t="str">
        <f t="shared" si="346"/>
        <v/>
      </c>
      <c r="AU1955" s="1856" t="str">
        <f t="shared" si="347"/>
        <v/>
      </c>
      <c r="AV1955" s="1856" t="str">
        <f t="shared" si="348"/>
        <v/>
      </c>
      <c r="AW1955" s="1856" t="str">
        <f t="shared" si="349"/>
        <v/>
      </c>
      <c r="AX1955" s="1856" t="str">
        <f t="shared" si="350"/>
        <v/>
      </c>
      <c r="AY1955" s="1856" t="str">
        <f t="shared" si="351"/>
        <v/>
      </c>
    </row>
    <row r="1956" spans="42:52">
      <c r="AP1956" s="1855">
        <f t="shared" si="343"/>
        <v>44776</v>
      </c>
      <c r="AQ1956" s="925" t="str">
        <f t="shared" si="345"/>
        <v/>
      </c>
      <c r="AR1956" s="1856" t="str">
        <f t="shared" si="344"/>
        <v/>
      </c>
      <c r="AT1956" s="1856" t="str">
        <f t="shared" si="346"/>
        <v/>
      </c>
      <c r="AU1956" s="1856" t="str">
        <f t="shared" si="347"/>
        <v/>
      </c>
      <c r="AV1956" s="1856" t="str">
        <f t="shared" si="348"/>
        <v/>
      </c>
      <c r="AW1956" s="1856" t="str">
        <f t="shared" si="349"/>
        <v/>
      </c>
      <c r="AX1956" s="1856" t="str">
        <f t="shared" si="350"/>
        <v/>
      </c>
      <c r="AY1956" s="1856" t="str">
        <f t="shared" si="351"/>
        <v/>
      </c>
    </row>
    <row r="1957" spans="42:52">
      <c r="AP1957" s="1855">
        <f t="shared" ref="AP1957:AP2020" si="352">IF(ISNUMBER(AS1957),AP1956+1,AP1956)</f>
        <v>44776</v>
      </c>
      <c r="AQ1957" s="925" t="str">
        <f t="shared" si="345"/>
        <v>BMNT</v>
      </c>
      <c r="AR1957" s="1856">
        <f t="shared" si="344"/>
        <v>44776.238888888889</v>
      </c>
      <c r="AS1957" s="927" t="s">
        <v>2042</v>
      </c>
      <c r="AT1957" s="1856" t="str">
        <f t="shared" si="346"/>
        <v/>
      </c>
      <c r="AU1957" s="1856" t="str">
        <f t="shared" si="347"/>
        <v/>
      </c>
      <c r="AV1957" s="1856" t="str">
        <f t="shared" si="348"/>
        <v/>
      </c>
      <c r="AW1957" s="1856" t="str">
        <f t="shared" si="349"/>
        <v/>
      </c>
      <c r="AX1957" s="1856" t="str">
        <f t="shared" si="350"/>
        <v/>
      </c>
      <c r="AY1957" s="1856" t="str">
        <f t="shared" si="351"/>
        <v/>
      </c>
    </row>
    <row r="1958" spans="42:52">
      <c r="AP1958" s="1855">
        <f t="shared" si="352"/>
        <v>44776</v>
      </c>
      <c r="AQ1958" s="925" t="str">
        <f t="shared" si="345"/>
        <v>SR</v>
      </c>
      <c r="AR1958" s="1856">
        <f t="shared" si="344"/>
        <v>44776.283333333333</v>
      </c>
      <c r="AS1958" s="927" t="s">
        <v>1734</v>
      </c>
      <c r="AT1958" s="1856" t="str">
        <f t="shared" si="346"/>
        <v/>
      </c>
      <c r="AU1958" s="1856" t="str">
        <f t="shared" si="347"/>
        <v/>
      </c>
      <c r="AV1958" s="1856" t="str">
        <f t="shared" si="348"/>
        <v/>
      </c>
      <c r="AW1958" s="1856" t="str">
        <f t="shared" si="349"/>
        <v/>
      </c>
      <c r="AX1958" s="1856" t="str">
        <f t="shared" si="350"/>
        <v/>
      </c>
      <c r="AY1958" s="1856" t="str">
        <f t="shared" si="351"/>
        <v/>
      </c>
    </row>
    <row r="1959" spans="42:52">
      <c r="AP1959" s="1855">
        <f t="shared" si="352"/>
        <v>44776</v>
      </c>
      <c r="AQ1959" s="925" t="str">
        <f t="shared" si="345"/>
        <v>MR</v>
      </c>
      <c r="AR1959" s="1856">
        <f t="shared" si="344"/>
        <v>44776.519444444442</v>
      </c>
      <c r="AS1959" s="927" t="s">
        <v>2043</v>
      </c>
      <c r="AT1959" s="1856" t="str">
        <f t="shared" si="346"/>
        <v/>
      </c>
      <c r="AU1959" s="1856" t="str">
        <f t="shared" si="347"/>
        <v/>
      </c>
      <c r="AV1959" s="1856" t="str">
        <f t="shared" si="348"/>
        <v/>
      </c>
      <c r="AW1959" s="1856" t="str">
        <f t="shared" si="349"/>
        <v/>
      </c>
      <c r="AX1959" s="1856" t="str">
        <f t="shared" si="350"/>
        <v/>
      </c>
      <c r="AY1959" s="1856" t="str">
        <f t="shared" si="351"/>
        <v/>
      </c>
    </row>
    <row r="1960" spans="42:52">
      <c r="AP1960" s="1855">
        <f t="shared" si="352"/>
        <v>44776</v>
      </c>
      <c r="AQ1960" s="925" t="str">
        <f t="shared" si="345"/>
        <v>SS</v>
      </c>
      <c r="AR1960" s="1856">
        <f t="shared" si="344"/>
        <v>44776.869444444448</v>
      </c>
      <c r="AS1960" s="927" t="s">
        <v>1853</v>
      </c>
      <c r="AT1960" s="1856" t="str">
        <f t="shared" si="346"/>
        <v/>
      </c>
      <c r="AU1960" s="1856" t="str">
        <f t="shared" si="347"/>
        <v/>
      </c>
      <c r="AV1960" s="1856" t="str">
        <f t="shared" si="348"/>
        <v/>
      </c>
      <c r="AW1960" s="1856" t="str">
        <f t="shared" si="349"/>
        <v/>
      </c>
      <c r="AX1960" s="1856" t="str">
        <f t="shared" si="350"/>
        <v/>
      </c>
      <c r="AY1960" s="1856" t="str">
        <f t="shared" si="351"/>
        <v/>
      </c>
    </row>
    <row r="1961" spans="42:52">
      <c r="AP1961" s="1855">
        <f t="shared" si="352"/>
        <v>44776</v>
      </c>
      <c r="AQ1961" s="925" t="str">
        <f t="shared" si="345"/>
        <v>EENT</v>
      </c>
      <c r="AR1961" s="1856">
        <f t="shared" ref="AR1961:AR2024" si="353">IF(NOT(ISNUMBER(FIND(":",AS1961))),"",IF(ISNUMBER(FIND(" none",AS1961)),"NONE",AP1961+LEFT(RIGHT(AS1961,5),2)/24+RIGHT(AS1961,2)/1440))</f>
        <v>44776.913888888892</v>
      </c>
      <c r="AS1961" s="927" t="s">
        <v>1839</v>
      </c>
      <c r="AT1961" s="1856" t="str">
        <f t="shared" si="346"/>
        <v/>
      </c>
      <c r="AU1961" s="1856" t="str">
        <f t="shared" si="347"/>
        <v/>
      </c>
      <c r="AV1961" s="1856" t="str">
        <f t="shared" si="348"/>
        <v/>
      </c>
      <c r="AW1961" s="1856" t="str">
        <f t="shared" si="349"/>
        <v/>
      </c>
      <c r="AX1961" s="1856" t="str">
        <f t="shared" si="350"/>
        <v/>
      </c>
      <c r="AY1961" s="1856" t="str">
        <f t="shared" si="351"/>
        <v/>
      </c>
    </row>
    <row r="1962" spans="42:52">
      <c r="AP1962" s="1855">
        <f t="shared" si="352"/>
        <v>44776</v>
      </c>
      <c r="AQ1962" s="925" t="str">
        <f t="shared" si="345"/>
        <v>MS</v>
      </c>
      <c r="AR1962" s="1856" t="str">
        <f t="shared" si="353"/>
        <v>NONE</v>
      </c>
      <c r="AS1962" s="927" t="s">
        <v>948</v>
      </c>
      <c r="AT1962" s="1856" t="str">
        <f t="shared" si="346"/>
        <v/>
      </c>
      <c r="AU1962" s="1856" t="str">
        <f t="shared" si="347"/>
        <v/>
      </c>
      <c r="AV1962" s="1856" t="str">
        <f t="shared" si="348"/>
        <v/>
      </c>
      <c r="AW1962" s="1856" t="str">
        <f t="shared" si="349"/>
        <v/>
      </c>
      <c r="AX1962" s="1856" t="str">
        <f t="shared" si="350"/>
        <v/>
      </c>
      <c r="AY1962" s="1856" t="str">
        <f t="shared" si="351"/>
        <v/>
      </c>
    </row>
    <row r="1963" spans="42:52">
      <c r="AP1963" s="1855">
        <f t="shared" si="352"/>
        <v>44777</v>
      </c>
      <c r="AQ1963" s="925" t="str">
        <f t="shared" si="345"/>
        <v/>
      </c>
      <c r="AR1963" s="1856" t="str">
        <f t="shared" si="353"/>
        <v/>
      </c>
      <c r="AS1963" s="927">
        <v>4</v>
      </c>
      <c r="AT1963" s="1856">
        <f t="shared" si="346"/>
        <v>44777.239583333336</v>
      </c>
      <c r="AU1963" s="1856">
        <f t="shared" si="347"/>
        <v>44777.28402777778</v>
      </c>
      <c r="AV1963" s="1856">
        <f t="shared" si="348"/>
        <v>44777.868750000001</v>
      </c>
      <c r="AW1963" s="1856">
        <f t="shared" si="349"/>
        <v>44777.913194444445</v>
      </c>
      <c r="AX1963" s="1856">
        <f t="shared" si="350"/>
        <v>44777.565277777772</v>
      </c>
      <c r="AY1963" s="1856">
        <f t="shared" si="351"/>
        <v>44777.003472222219</v>
      </c>
      <c r="AZ1963" s="1853">
        <v>0.37</v>
      </c>
    </row>
    <row r="1964" spans="42:52">
      <c r="AP1964" s="1855">
        <f t="shared" si="352"/>
        <v>44777</v>
      </c>
      <c r="AQ1964" s="925" t="str">
        <f t="shared" si="345"/>
        <v/>
      </c>
      <c r="AR1964" s="1856" t="str">
        <f t="shared" si="353"/>
        <v/>
      </c>
      <c r="AS1964" s="927" t="s">
        <v>252</v>
      </c>
      <c r="AT1964" s="1856" t="str">
        <f t="shared" si="346"/>
        <v/>
      </c>
      <c r="AU1964" s="1856" t="str">
        <f t="shared" si="347"/>
        <v/>
      </c>
      <c r="AV1964" s="1856" t="str">
        <f t="shared" si="348"/>
        <v/>
      </c>
      <c r="AW1964" s="1856" t="str">
        <f t="shared" si="349"/>
        <v/>
      </c>
      <c r="AX1964" s="1856" t="str">
        <f t="shared" si="350"/>
        <v/>
      </c>
      <c r="AY1964" s="1856" t="str">
        <f t="shared" si="351"/>
        <v/>
      </c>
    </row>
    <row r="1965" spans="42:52">
      <c r="AP1965" s="1855">
        <f t="shared" si="352"/>
        <v>44777</v>
      </c>
      <c r="AQ1965" s="925" t="str">
        <f t="shared" si="345"/>
        <v/>
      </c>
      <c r="AR1965" s="1856" t="str">
        <f t="shared" si="353"/>
        <v/>
      </c>
      <c r="AT1965" s="1856" t="str">
        <f t="shared" si="346"/>
        <v/>
      </c>
      <c r="AU1965" s="1856" t="str">
        <f t="shared" si="347"/>
        <v/>
      </c>
      <c r="AV1965" s="1856" t="str">
        <f t="shared" si="348"/>
        <v/>
      </c>
      <c r="AW1965" s="1856" t="str">
        <f t="shared" si="349"/>
        <v/>
      </c>
      <c r="AX1965" s="1856" t="str">
        <f t="shared" si="350"/>
        <v/>
      </c>
      <c r="AY1965" s="1856" t="str">
        <f t="shared" si="351"/>
        <v/>
      </c>
    </row>
    <row r="1966" spans="42:52">
      <c r="AP1966" s="1855">
        <f t="shared" si="352"/>
        <v>44777</v>
      </c>
      <c r="AQ1966" s="925" t="str">
        <f t="shared" si="345"/>
        <v>MS</v>
      </c>
      <c r="AR1966" s="1856">
        <f t="shared" si="353"/>
        <v>44777.003472222219</v>
      </c>
      <c r="AS1966" s="927" t="s">
        <v>2044</v>
      </c>
      <c r="AT1966" s="1856" t="str">
        <f t="shared" si="346"/>
        <v/>
      </c>
      <c r="AU1966" s="1856" t="str">
        <f t="shared" si="347"/>
        <v/>
      </c>
      <c r="AV1966" s="1856" t="str">
        <f t="shared" si="348"/>
        <v/>
      </c>
      <c r="AW1966" s="1856" t="str">
        <f t="shared" si="349"/>
        <v/>
      </c>
      <c r="AX1966" s="1856" t="str">
        <f t="shared" si="350"/>
        <v/>
      </c>
      <c r="AY1966" s="1856" t="str">
        <f t="shared" si="351"/>
        <v/>
      </c>
    </row>
    <row r="1967" spans="42:52">
      <c r="AP1967" s="1855">
        <f t="shared" si="352"/>
        <v>44777</v>
      </c>
      <c r="AQ1967" s="925" t="str">
        <f t="shared" si="345"/>
        <v>BMNT</v>
      </c>
      <c r="AR1967" s="1856">
        <f t="shared" si="353"/>
        <v>44777.239583333336</v>
      </c>
      <c r="AS1967" s="927" t="s">
        <v>1739</v>
      </c>
      <c r="AT1967" s="1856" t="str">
        <f t="shared" si="346"/>
        <v/>
      </c>
      <c r="AU1967" s="1856" t="str">
        <f t="shared" si="347"/>
        <v/>
      </c>
      <c r="AV1967" s="1856" t="str">
        <f t="shared" si="348"/>
        <v/>
      </c>
      <c r="AW1967" s="1856" t="str">
        <f t="shared" si="349"/>
        <v/>
      </c>
      <c r="AX1967" s="1856" t="str">
        <f t="shared" si="350"/>
        <v/>
      </c>
      <c r="AY1967" s="1856" t="str">
        <f t="shared" si="351"/>
        <v/>
      </c>
    </row>
    <row r="1968" spans="42:52">
      <c r="AP1968" s="1855">
        <f t="shared" si="352"/>
        <v>44777</v>
      </c>
      <c r="AQ1968" s="925" t="str">
        <f t="shared" si="345"/>
        <v>SR</v>
      </c>
      <c r="AR1968" s="1856">
        <f t="shared" si="353"/>
        <v>44777.28402777778</v>
      </c>
      <c r="AS1968" s="927" t="s">
        <v>2045</v>
      </c>
      <c r="AT1968" s="1856" t="str">
        <f t="shared" si="346"/>
        <v/>
      </c>
      <c r="AU1968" s="1856" t="str">
        <f t="shared" si="347"/>
        <v/>
      </c>
      <c r="AV1968" s="1856" t="str">
        <f t="shared" si="348"/>
        <v/>
      </c>
      <c r="AW1968" s="1856" t="str">
        <f t="shared" si="349"/>
        <v/>
      </c>
      <c r="AX1968" s="1856" t="str">
        <f t="shared" si="350"/>
        <v/>
      </c>
      <c r="AY1968" s="1856" t="str">
        <f t="shared" si="351"/>
        <v/>
      </c>
    </row>
    <row r="1969" spans="42:52">
      <c r="AP1969" s="1855">
        <f t="shared" si="352"/>
        <v>44777</v>
      </c>
      <c r="AQ1969" s="925" t="str">
        <f t="shared" si="345"/>
        <v>MR</v>
      </c>
      <c r="AR1969" s="1856">
        <f t="shared" si="353"/>
        <v>44777.565277777772</v>
      </c>
      <c r="AS1969" s="927" t="s">
        <v>2046</v>
      </c>
      <c r="AT1969" s="1856" t="str">
        <f t="shared" si="346"/>
        <v/>
      </c>
      <c r="AU1969" s="1856" t="str">
        <f t="shared" si="347"/>
        <v/>
      </c>
      <c r="AV1969" s="1856" t="str">
        <f t="shared" si="348"/>
        <v/>
      </c>
      <c r="AW1969" s="1856" t="str">
        <f t="shared" si="349"/>
        <v/>
      </c>
      <c r="AX1969" s="1856" t="str">
        <f t="shared" si="350"/>
        <v/>
      </c>
      <c r="AY1969" s="1856" t="str">
        <f t="shared" si="351"/>
        <v/>
      </c>
    </row>
    <row r="1970" spans="42:52">
      <c r="AP1970" s="1855">
        <f t="shared" si="352"/>
        <v>44777</v>
      </c>
      <c r="AQ1970" s="925" t="str">
        <f t="shared" si="345"/>
        <v>SS</v>
      </c>
      <c r="AR1970" s="1856">
        <f t="shared" si="353"/>
        <v>44777.868750000001</v>
      </c>
      <c r="AS1970" s="927" t="s">
        <v>1844</v>
      </c>
      <c r="AT1970" s="1856" t="str">
        <f t="shared" si="346"/>
        <v/>
      </c>
      <c r="AU1970" s="1856" t="str">
        <f t="shared" si="347"/>
        <v/>
      </c>
      <c r="AV1970" s="1856" t="str">
        <f t="shared" si="348"/>
        <v/>
      </c>
      <c r="AW1970" s="1856" t="str">
        <f t="shared" si="349"/>
        <v/>
      </c>
      <c r="AX1970" s="1856" t="str">
        <f t="shared" si="350"/>
        <v/>
      </c>
      <c r="AY1970" s="1856" t="str">
        <f t="shared" si="351"/>
        <v/>
      </c>
    </row>
    <row r="1971" spans="42:52">
      <c r="AP1971" s="1855">
        <f t="shared" si="352"/>
        <v>44777</v>
      </c>
      <c r="AQ1971" s="925" t="str">
        <f t="shared" si="345"/>
        <v>EENT</v>
      </c>
      <c r="AR1971" s="1856">
        <f t="shared" si="353"/>
        <v>44777.913194444445</v>
      </c>
      <c r="AS1971" s="927" t="s">
        <v>1833</v>
      </c>
      <c r="AT1971" s="1856" t="str">
        <f t="shared" si="346"/>
        <v/>
      </c>
      <c r="AU1971" s="1856" t="str">
        <f t="shared" si="347"/>
        <v/>
      </c>
      <c r="AV1971" s="1856" t="str">
        <f t="shared" si="348"/>
        <v/>
      </c>
      <c r="AW1971" s="1856" t="str">
        <f t="shared" si="349"/>
        <v/>
      </c>
      <c r="AX1971" s="1856" t="str">
        <f t="shared" si="350"/>
        <v/>
      </c>
      <c r="AY1971" s="1856" t="str">
        <f t="shared" si="351"/>
        <v/>
      </c>
    </row>
    <row r="1972" spans="42:52">
      <c r="AP1972" s="1855">
        <f t="shared" si="352"/>
        <v>44778</v>
      </c>
      <c r="AQ1972" s="925" t="str">
        <f t="shared" ref="AQ1972:AQ2035" si="354">IF(NOT(ISNUMBER(FIND(":",AS1972))),"",IF(ISNUMBER(FIND("Sunr",AS1972)),"SR", IF(ISNUMBER(FIND("Suns",AS1972)),"SS",IF(ISNUMBER(FIND("Moonr",AS1972)),"MR",IF(ISNUMBER(FIND("Moons",AS1972)),"MS",IF(ISNUMBER(FIND("Twi",AS1972)),IF(HOUR(AR1972)&lt;12,"BMNT","EENT")))))))</f>
        <v/>
      </c>
      <c r="AR1972" s="1856" t="str">
        <f t="shared" si="353"/>
        <v/>
      </c>
      <c r="AS1972" s="927">
        <v>5</v>
      </c>
      <c r="AT1972" s="1856">
        <f t="shared" si="346"/>
        <v>44778.240277777782</v>
      </c>
      <c r="AU1972" s="1856">
        <f t="shared" si="347"/>
        <v>44778.284722222219</v>
      </c>
      <c r="AV1972" s="1856">
        <f t="shared" si="348"/>
        <v>44778.868055555555</v>
      </c>
      <c r="AW1972" s="1856">
        <f t="shared" si="349"/>
        <v>44778.912499999999</v>
      </c>
      <c r="AX1972" s="1856">
        <f t="shared" si="350"/>
        <v>44778.61319444445</v>
      </c>
      <c r="AY1972" s="1856">
        <f t="shared" si="351"/>
        <v>44778.022916666669</v>
      </c>
      <c r="AZ1972" s="1853">
        <v>0.47</v>
      </c>
    </row>
    <row r="1973" spans="42:52">
      <c r="AP1973" s="1855">
        <f t="shared" si="352"/>
        <v>44778</v>
      </c>
      <c r="AQ1973" s="925" t="str">
        <f t="shared" si="354"/>
        <v/>
      </c>
      <c r="AR1973" s="1856" t="str">
        <f t="shared" si="353"/>
        <v/>
      </c>
      <c r="AS1973" s="927" t="s">
        <v>252</v>
      </c>
      <c r="AT1973" s="1856" t="str">
        <f t="shared" si="346"/>
        <v/>
      </c>
      <c r="AU1973" s="1856" t="str">
        <f t="shared" si="347"/>
        <v/>
      </c>
      <c r="AV1973" s="1856" t="str">
        <f t="shared" si="348"/>
        <v/>
      </c>
      <c r="AW1973" s="1856" t="str">
        <f t="shared" si="349"/>
        <v/>
      </c>
      <c r="AX1973" s="1856" t="str">
        <f t="shared" si="350"/>
        <v/>
      </c>
      <c r="AY1973" s="1856" t="str">
        <f t="shared" si="351"/>
        <v/>
      </c>
    </row>
    <row r="1974" spans="42:52">
      <c r="AP1974" s="1855">
        <f t="shared" si="352"/>
        <v>44778</v>
      </c>
      <c r="AQ1974" s="925" t="str">
        <f t="shared" si="354"/>
        <v/>
      </c>
      <c r="AR1974" s="1856" t="str">
        <f t="shared" si="353"/>
        <v/>
      </c>
      <c r="AT1974" s="1856" t="str">
        <f t="shared" si="346"/>
        <v/>
      </c>
      <c r="AU1974" s="1856" t="str">
        <f t="shared" si="347"/>
        <v/>
      </c>
      <c r="AV1974" s="1856" t="str">
        <f t="shared" si="348"/>
        <v/>
      </c>
      <c r="AW1974" s="1856" t="str">
        <f t="shared" si="349"/>
        <v/>
      </c>
      <c r="AX1974" s="1856" t="str">
        <f t="shared" si="350"/>
        <v/>
      </c>
      <c r="AY1974" s="1856" t="str">
        <f t="shared" si="351"/>
        <v/>
      </c>
    </row>
    <row r="1975" spans="42:52">
      <c r="AP1975" s="1855">
        <f t="shared" si="352"/>
        <v>44778</v>
      </c>
      <c r="AQ1975" s="925" t="str">
        <f t="shared" si="354"/>
        <v>MS</v>
      </c>
      <c r="AR1975" s="1856">
        <f t="shared" si="353"/>
        <v>44778.022916666669</v>
      </c>
      <c r="AS1975" s="927" t="s">
        <v>2047</v>
      </c>
      <c r="AT1975" s="1856" t="str">
        <f t="shared" si="346"/>
        <v/>
      </c>
      <c r="AU1975" s="1856" t="str">
        <f t="shared" si="347"/>
        <v/>
      </c>
      <c r="AV1975" s="1856" t="str">
        <f t="shared" si="348"/>
        <v/>
      </c>
      <c r="AW1975" s="1856" t="str">
        <f t="shared" si="349"/>
        <v/>
      </c>
      <c r="AX1975" s="1856" t="str">
        <f t="shared" si="350"/>
        <v/>
      </c>
      <c r="AY1975" s="1856" t="str">
        <f t="shared" si="351"/>
        <v/>
      </c>
    </row>
    <row r="1976" spans="42:52">
      <c r="AP1976" s="1855">
        <f t="shared" si="352"/>
        <v>44778</v>
      </c>
      <c r="AQ1976" s="925" t="str">
        <f t="shared" si="354"/>
        <v>BMNT</v>
      </c>
      <c r="AR1976" s="1856">
        <f t="shared" si="353"/>
        <v>44778.240277777782</v>
      </c>
      <c r="AS1976" s="927" t="s">
        <v>1733</v>
      </c>
      <c r="AT1976" s="1856" t="str">
        <f t="shared" si="346"/>
        <v/>
      </c>
      <c r="AU1976" s="1856" t="str">
        <f t="shared" si="347"/>
        <v/>
      </c>
      <c r="AV1976" s="1856" t="str">
        <f t="shared" si="348"/>
        <v/>
      </c>
      <c r="AW1976" s="1856" t="str">
        <f t="shared" si="349"/>
        <v/>
      </c>
      <c r="AX1976" s="1856" t="str">
        <f t="shared" si="350"/>
        <v/>
      </c>
      <c r="AY1976" s="1856" t="str">
        <f t="shared" si="351"/>
        <v/>
      </c>
    </row>
    <row r="1977" spans="42:52">
      <c r="AP1977" s="1855">
        <f t="shared" si="352"/>
        <v>44778</v>
      </c>
      <c r="AQ1977" s="925" t="str">
        <f t="shared" si="354"/>
        <v>SR</v>
      </c>
      <c r="AR1977" s="1856">
        <f t="shared" si="353"/>
        <v>44778.284722222219</v>
      </c>
      <c r="AS1977" s="927" t="s">
        <v>1729</v>
      </c>
      <c r="AT1977" s="1856" t="str">
        <f t="shared" si="346"/>
        <v/>
      </c>
      <c r="AU1977" s="1856" t="str">
        <f t="shared" si="347"/>
        <v/>
      </c>
      <c r="AV1977" s="1856" t="str">
        <f t="shared" si="348"/>
        <v/>
      </c>
      <c r="AW1977" s="1856" t="str">
        <f t="shared" si="349"/>
        <v/>
      </c>
      <c r="AX1977" s="1856" t="str">
        <f t="shared" si="350"/>
        <v/>
      </c>
      <c r="AY1977" s="1856" t="str">
        <f t="shared" si="351"/>
        <v/>
      </c>
    </row>
    <row r="1978" spans="42:52">
      <c r="AP1978" s="1855">
        <f t="shared" si="352"/>
        <v>44778</v>
      </c>
      <c r="AQ1978" s="925" t="str">
        <f t="shared" si="354"/>
        <v>MR</v>
      </c>
      <c r="AR1978" s="1856">
        <f t="shared" si="353"/>
        <v>44778.61319444445</v>
      </c>
      <c r="AS1978" s="927" t="s">
        <v>2048</v>
      </c>
      <c r="AT1978" s="1856" t="str">
        <f t="shared" si="346"/>
        <v/>
      </c>
      <c r="AU1978" s="1856" t="str">
        <f t="shared" si="347"/>
        <v/>
      </c>
      <c r="AV1978" s="1856" t="str">
        <f t="shared" si="348"/>
        <v/>
      </c>
      <c r="AW1978" s="1856" t="str">
        <f t="shared" si="349"/>
        <v/>
      </c>
      <c r="AX1978" s="1856" t="str">
        <f t="shared" si="350"/>
        <v/>
      </c>
      <c r="AY1978" s="1856" t="str">
        <f t="shared" si="351"/>
        <v/>
      </c>
    </row>
    <row r="1979" spans="42:52">
      <c r="AP1979" s="1855">
        <f t="shared" si="352"/>
        <v>44778</v>
      </c>
      <c r="AQ1979" s="925" t="str">
        <f t="shared" si="354"/>
        <v>SS</v>
      </c>
      <c r="AR1979" s="1856">
        <f t="shared" si="353"/>
        <v>44778.868055555555</v>
      </c>
      <c r="AS1979" s="927" t="s">
        <v>1838</v>
      </c>
      <c r="AT1979" s="1856" t="str">
        <f t="shared" si="346"/>
        <v/>
      </c>
      <c r="AU1979" s="1856" t="str">
        <f t="shared" si="347"/>
        <v/>
      </c>
      <c r="AV1979" s="1856" t="str">
        <f t="shared" si="348"/>
        <v/>
      </c>
      <c r="AW1979" s="1856" t="str">
        <f t="shared" si="349"/>
        <v/>
      </c>
      <c r="AX1979" s="1856" t="str">
        <f t="shared" si="350"/>
        <v/>
      </c>
      <c r="AY1979" s="1856" t="str">
        <f t="shared" si="351"/>
        <v/>
      </c>
    </row>
    <row r="1980" spans="42:52">
      <c r="AP1980" s="1855">
        <f t="shared" si="352"/>
        <v>44778</v>
      </c>
      <c r="AQ1980" s="925" t="str">
        <f t="shared" si="354"/>
        <v>EENT</v>
      </c>
      <c r="AR1980" s="1856">
        <f t="shared" si="353"/>
        <v>44778.912499999999</v>
      </c>
      <c r="AS1980" s="927" t="s">
        <v>1828</v>
      </c>
      <c r="AT1980" s="1856" t="str">
        <f t="shared" si="346"/>
        <v/>
      </c>
      <c r="AU1980" s="1856" t="str">
        <f t="shared" si="347"/>
        <v/>
      </c>
      <c r="AV1980" s="1856" t="str">
        <f t="shared" si="348"/>
        <v/>
      </c>
      <c r="AW1980" s="1856" t="str">
        <f t="shared" si="349"/>
        <v/>
      </c>
      <c r="AX1980" s="1856" t="str">
        <f t="shared" si="350"/>
        <v/>
      </c>
      <c r="AY1980" s="1856" t="str">
        <f t="shared" si="351"/>
        <v/>
      </c>
    </row>
    <row r="1981" spans="42:52">
      <c r="AP1981" s="1855">
        <f t="shared" si="352"/>
        <v>44779</v>
      </c>
      <c r="AQ1981" s="925" t="str">
        <f t="shared" si="354"/>
        <v/>
      </c>
      <c r="AR1981" s="1856" t="str">
        <f t="shared" si="353"/>
        <v/>
      </c>
      <c r="AS1981" s="927">
        <v>6</v>
      </c>
      <c r="AT1981" s="1856">
        <f t="shared" si="346"/>
        <v>44779.240972222222</v>
      </c>
      <c r="AU1981" s="1856">
        <f t="shared" si="347"/>
        <v>44779.285416666666</v>
      </c>
      <c r="AV1981" s="1856">
        <f t="shared" si="348"/>
        <v>44779.867361111115</v>
      </c>
      <c r="AW1981" s="1856">
        <f t="shared" si="349"/>
        <v>44779.911111111112</v>
      </c>
      <c r="AX1981" s="1856">
        <f t="shared" si="350"/>
        <v>44779.663194444445</v>
      </c>
      <c r="AY1981" s="1856">
        <f t="shared" si="351"/>
        <v>44779.045138888883</v>
      </c>
      <c r="AZ1981" s="1853">
        <v>0.57999999999999996</v>
      </c>
    </row>
    <row r="1982" spans="42:52">
      <c r="AP1982" s="1855">
        <f t="shared" si="352"/>
        <v>44779</v>
      </c>
      <c r="AQ1982" s="925" t="str">
        <f t="shared" si="354"/>
        <v/>
      </c>
      <c r="AR1982" s="1856" t="str">
        <f t="shared" si="353"/>
        <v/>
      </c>
      <c r="AS1982" s="927" t="s">
        <v>252</v>
      </c>
      <c r="AT1982" s="1856" t="str">
        <f t="shared" si="346"/>
        <v/>
      </c>
      <c r="AU1982" s="1856" t="str">
        <f t="shared" si="347"/>
        <v/>
      </c>
      <c r="AV1982" s="1856" t="str">
        <f t="shared" si="348"/>
        <v/>
      </c>
      <c r="AW1982" s="1856" t="str">
        <f t="shared" si="349"/>
        <v/>
      </c>
      <c r="AX1982" s="1856" t="str">
        <f t="shared" si="350"/>
        <v/>
      </c>
      <c r="AY1982" s="1856" t="str">
        <f t="shared" si="351"/>
        <v/>
      </c>
    </row>
    <row r="1983" spans="42:52">
      <c r="AP1983" s="1855">
        <f t="shared" si="352"/>
        <v>44779</v>
      </c>
      <c r="AQ1983" s="925" t="str">
        <f t="shared" si="354"/>
        <v/>
      </c>
      <c r="AR1983" s="1856" t="str">
        <f t="shared" si="353"/>
        <v/>
      </c>
      <c r="AT1983" s="1856" t="str">
        <f t="shared" si="346"/>
        <v/>
      </c>
      <c r="AU1983" s="1856" t="str">
        <f t="shared" si="347"/>
        <v/>
      </c>
      <c r="AV1983" s="1856" t="str">
        <f t="shared" si="348"/>
        <v/>
      </c>
      <c r="AW1983" s="1856" t="str">
        <f t="shared" si="349"/>
        <v/>
      </c>
      <c r="AX1983" s="1856" t="str">
        <f t="shared" si="350"/>
        <v/>
      </c>
      <c r="AY1983" s="1856" t="str">
        <f t="shared" si="351"/>
        <v/>
      </c>
    </row>
    <row r="1984" spans="42:52">
      <c r="AP1984" s="1855">
        <f t="shared" si="352"/>
        <v>44779</v>
      </c>
      <c r="AQ1984" s="925" t="str">
        <f t="shared" si="354"/>
        <v>MS</v>
      </c>
      <c r="AR1984" s="1856">
        <f t="shared" si="353"/>
        <v>44779.045138888883</v>
      </c>
      <c r="AS1984" s="927" t="s">
        <v>2049</v>
      </c>
      <c r="AT1984" s="1856" t="str">
        <f t="shared" si="346"/>
        <v/>
      </c>
      <c r="AU1984" s="1856" t="str">
        <f t="shared" si="347"/>
        <v/>
      </c>
      <c r="AV1984" s="1856" t="str">
        <f t="shared" si="348"/>
        <v/>
      </c>
      <c r="AW1984" s="1856" t="str">
        <f t="shared" si="349"/>
        <v/>
      </c>
      <c r="AX1984" s="1856" t="str">
        <f t="shared" si="350"/>
        <v/>
      </c>
      <c r="AY1984" s="1856" t="str">
        <f t="shared" si="351"/>
        <v/>
      </c>
    </row>
    <row r="1985" spans="42:52">
      <c r="AP1985" s="1855">
        <f t="shared" si="352"/>
        <v>44779</v>
      </c>
      <c r="AQ1985" s="925" t="str">
        <f t="shared" si="354"/>
        <v>BMNT</v>
      </c>
      <c r="AR1985" s="1856">
        <f t="shared" si="353"/>
        <v>44779.240972222222</v>
      </c>
      <c r="AS1985" s="927" t="s">
        <v>1727</v>
      </c>
      <c r="AT1985" s="1856" t="str">
        <f t="shared" si="346"/>
        <v/>
      </c>
      <c r="AU1985" s="1856" t="str">
        <f t="shared" si="347"/>
        <v/>
      </c>
      <c r="AV1985" s="1856" t="str">
        <f t="shared" si="348"/>
        <v/>
      </c>
      <c r="AW1985" s="1856" t="str">
        <f t="shared" si="349"/>
        <v/>
      </c>
      <c r="AX1985" s="1856" t="str">
        <f t="shared" si="350"/>
        <v/>
      </c>
      <c r="AY1985" s="1856" t="str">
        <f t="shared" si="351"/>
        <v/>
      </c>
    </row>
    <row r="1986" spans="42:52">
      <c r="AP1986" s="1855">
        <f t="shared" si="352"/>
        <v>44779</v>
      </c>
      <c r="AQ1986" s="925" t="str">
        <f t="shared" si="354"/>
        <v>SR</v>
      </c>
      <c r="AR1986" s="1856">
        <f t="shared" si="353"/>
        <v>44779.285416666666</v>
      </c>
      <c r="AS1986" s="927" t="s">
        <v>1723</v>
      </c>
      <c r="AT1986" s="1856" t="str">
        <f t="shared" si="346"/>
        <v/>
      </c>
      <c r="AU1986" s="1856" t="str">
        <f t="shared" si="347"/>
        <v/>
      </c>
      <c r="AV1986" s="1856" t="str">
        <f t="shared" si="348"/>
        <v/>
      </c>
      <c r="AW1986" s="1856" t="str">
        <f t="shared" si="349"/>
        <v/>
      </c>
      <c r="AX1986" s="1856" t="str">
        <f t="shared" si="350"/>
        <v/>
      </c>
      <c r="AY1986" s="1856" t="str">
        <f t="shared" si="351"/>
        <v/>
      </c>
    </row>
    <row r="1987" spans="42:52">
      <c r="AP1987" s="1855">
        <f t="shared" si="352"/>
        <v>44779</v>
      </c>
      <c r="AQ1987" s="925" t="str">
        <f t="shared" si="354"/>
        <v>MR</v>
      </c>
      <c r="AR1987" s="1856">
        <f t="shared" si="353"/>
        <v>44779.663194444445</v>
      </c>
      <c r="AS1987" s="927" t="s">
        <v>2050</v>
      </c>
      <c r="AT1987" s="1856" t="str">
        <f t="shared" si="346"/>
        <v/>
      </c>
      <c r="AU1987" s="1856" t="str">
        <f t="shared" si="347"/>
        <v/>
      </c>
      <c r="AV1987" s="1856" t="str">
        <f t="shared" si="348"/>
        <v/>
      </c>
      <c r="AW1987" s="1856" t="str">
        <f t="shared" si="349"/>
        <v/>
      </c>
      <c r="AX1987" s="1856" t="str">
        <f t="shared" si="350"/>
        <v/>
      </c>
      <c r="AY1987" s="1856" t="str">
        <f t="shared" si="351"/>
        <v/>
      </c>
    </row>
    <row r="1988" spans="42:52">
      <c r="AP1988" s="1855">
        <f t="shared" si="352"/>
        <v>44779</v>
      </c>
      <c r="AQ1988" s="925" t="str">
        <f t="shared" si="354"/>
        <v>SS</v>
      </c>
      <c r="AR1988" s="1856">
        <f t="shared" si="353"/>
        <v>44779.867361111115</v>
      </c>
      <c r="AS1988" s="927" t="s">
        <v>1832</v>
      </c>
      <c r="AT1988" s="1856" t="str">
        <f t="shared" si="346"/>
        <v/>
      </c>
      <c r="AU1988" s="1856" t="str">
        <f t="shared" si="347"/>
        <v/>
      </c>
      <c r="AV1988" s="1856" t="str">
        <f t="shared" si="348"/>
        <v/>
      </c>
      <c r="AW1988" s="1856" t="str">
        <f t="shared" si="349"/>
        <v/>
      </c>
      <c r="AX1988" s="1856" t="str">
        <f t="shared" si="350"/>
        <v/>
      </c>
      <c r="AY1988" s="1856" t="str">
        <f t="shared" si="351"/>
        <v/>
      </c>
    </row>
    <row r="1989" spans="42:52">
      <c r="AP1989" s="1855">
        <f t="shared" si="352"/>
        <v>44779</v>
      </c>
      <c r="AQ1989" s="925" t="str">
        <f t="shared" si="354"/>
        <v>EENT</v>
      </c>
      <c r="AR1989" s="1856">
        <f t="shared" si="353"/>
        <v>44779.911111111112</v>
      </c>
      <c r="AS1989" s="927" t="s">
        <v>1817</v>
      </c>
      <c r="AT1989" s="1856" t="str">
        <f t="shared" si="346"/>
        <v/>
      </c>
      <c r="AU1989" s="1856" t="str">
        <f t="shared" si="347"/>
        <v/>
      </c>
      <c r="AV1989" s="1856" t="str">
        <f t="shared" si="348"/>
        <v/>
      </c>
      <c r="AW1989" s="1856" t="str">
        <f t="shared" si="349"/>
        <v/>
      </c>
      <c r="AX1989" s="1856" t="str">
        <f t="shared" si="350"/>
        <v/>
      </c>
      <c r="AY1989" s="1856" t="str">
        <f t="shared" si="351"/>
        <v/>
      </c>
    </row>
    <row r="1990" spans="42:52">
      <c r="AP1990" s="1855">
        <f t="shared" si="352"/>
        <v>44780</v>
      </c>
      <c r="AQ1990" s="925" t="str">
        <f t="shared" si="354"/>
        <v/>
      </c>
      <c r="AR1990" s="1856" t="str">
        <f t="shared" si="353"/>
        <v/>
      </c>
      <c r="AS1990" s="927">
        <v>7</v>
      </c>
      <c r="AT1990" s="1856">
        <f t="shared" si="346"/>
        <v>44780.241666666669</v>
      </c>
      <c r="AU1990" s="1856">
        <f t="shared" si="347"/>
        <v>44780.286111111112</v>
      </c>
      <c r="AV1990" s="1856">
        <f t="shared" si="348"/>
        <v>44780.865972222222</v>
      </c>
      <c r="AW1990" s="1856">
        <f t="shared" si="349"/>
        <v>44780.910416666666</v>
      </c>
      <c r="AX1990" s="1856">
        <f t="shared" si="350"/>
        <v>44780.713888888895</v>
      </c>
      <c r="AY1990" s="1856">
        <f t="shared" si="351"/>
        <v>44780.072916666664</v>
      </c>
      <c r="AZ1990" s="1853">
        <v>0.69</v>
      </c>
    </row>
    <row r="1991" spans="42:52">
      <c r="AP1991" s="1855">
        <f t="shared" si="352"/>
        <v>44780</v>
      </c>
      <c r="AQ1991" s="925" t="str">
        <f t="shared" si="354"/>
        <v/>
      </c>
      <c r="AR1991" s="1856" t="str">
        <f t="shared" si="353"/>
        <v/>
      </c>
      <c r="AS1991" s="927" t="s">
        <v>252</v>
      </c>
      <c r="AT1991" s="1856" t="str">
        <f t="shared" si="346"/>
        <v/>
      </c>
      <c r="AU1991" s="1856" t="str">
        <f t="shared" si="347"/>
        <v/>
      </c>
      <c r="AV1991" s="1856" t="str">
        <f t="shared" si="348"/>
        <v/>
      </c>
      <c r="AW1991" s="1856" t="str">
        <f t="shared" si="349"/>
        <v/>
      </c>
      <c r="AX1991" s="1856" t="str">
        <f t="shared" si="350"/>
        <v/>
      </c>
      <c r="AY1991" s="1856" t="str">
        <f t="shared" si="351"/>
        <v/>
      </c>
    </row>
    <row r="1992" spans="42:52">
      <c r="AP1992" s="1855">
        <f t="shared" si="352"/>
        <v>44780</v>
      </c>
      <c r="AQ1992" s="925" t="str">
        <f t="shared" si="354"/>
        <v/>
      </c>
      <c r="AR1992" s="1856" t="str">
        <f t="shared" si="353"/>
        <v/>
      </c>
      <c r="AT1992" s="1856" t="str">
        <f t="shared" si="346"/>
        <v/>
      </c>
      <c r="AU1992" s="1856" t="str">
        <f t="shared" si="347"/>
        <v/>
      </c>
      <c r="AV1992" s="1856" t="str">
        <f t="shared" si="348"/>
        <v/>
      </c>
      <c r="AW1992" s="1856" t="str">
        <f t="shared" si="349"/>
        <v/>
      </c>
      <c r="AX1992" s="1856" t="str">
        <f t="shared" si="350"/>
        <v/>
      </c>
      <c r="AY1992" s="1856" t="str">
        <f t="shared" si="351"/>
        <v/>
      </c>
    </row>
    <row r="1993" spans="42:52">
      <c r="AP1993" s="1855">
        <f t="shared" si="352"/>
        <v>44780</v>
      </c>
      <c r="AQ1993" s="925" t="str">
        <f t="shared" si="354"/>
        <v>MS</v>
      </c>
      <c r="AR1993" s="1856">
        <f t="shared" si="353"/>
        <v>44780.072916666664</v>
      </c>
      <c r="AS1993" s="927" t="s">
        <v>2051</v>
      </c>
      <c r="AT1993" s="1856" t="str">
        <f t="shared" si="346"/>
        <v/>
      </c>
      <c r="AU1993" s="1856" t="str">
        <f t="shared" si="347"/>
        <v/>
      </c>
      <c r="AV1993" s="1856" t="str">
        <f t="shared" si="348"/>
        <v/>
      </c>
      <c r="AW1993" s="1856" t="str">
        <f t="shared" si="349"/>
        <v/>
      </c>
      <c r="AX1993" s="1856" t="str">
        <f t="shared" si="350"/>
        <v/>
      </c>
      <c r="AY1993" s="1856" t="str">
        <f t="shared" si="351"/>
        <v/>
      </c>
    </row>
    <row r="1994" spans="42:52">
      <c r="AP1994" s="1855">
        <f t="shared" si="352"/>
        <v>44780</v>
      </c>
      <c r="AQ1994" s="925" t="str">
        <f t="shared" si="354"/>
        <v>BMNT</v>
      </c>
      <c r="AR1994" s="1856">
        <f t="shared" si="353"/>
        <v>44780.241666666669</v>
      </c>
      <c r="AS1994" s="927" t="s">
        <v>2052</v>
      </c>
      <c r="AT1994" s="1856" t="str">
        <f t="shared" si="346"/>
        <v/>
      </c>
      <c r="AU1994" s="1856" t="str">
        <f t="shared" si="347"/>
        <v/>
      </c>
      <c r="AV1994" s="1856" t="str">
        <f t="shared" si="348"/>
        <v/>
      </c>
      <c r="AW1994" s="1856" t="str">
        <f t="shared" si="349"/>
        <v/>
      </c>
      <c r="AX1994" s="1856" t="str">
        <f t="shared" si="350"/>
        <v/>
      </c>
      <c r="AY1994" s="1856" t="str">
        <f t="shared" si="351"/>
        <v/>
      </c>
    </row>
    <row r="1995" spans="42:52">
      <c r="AP1995" s="1855">
        <f t="shared" si="352"/>
        <v>44780</v>
      </c>
      <c r="AQ1995" s="925" t="str">
        <f t="shared" si="354"/>
        <v>SR</v>
      </c>
      <c r="AR1995" s="1856">
        <f t="shared" si="353"/>
        <v>44780.286111111112</v>
      </c>
      <c r="AS1995" s="927" t="s">
        <v>1717</v>
      </c>
      <c r="AT1995" s="1856" t="str">
        <f t="shared" si="346"/>
        <v/>
      </c>
      <c r="AU1995" s="1856" t="str">
        <f t="shared" si="347"/>
        <v/>
      </c>
      <c r="AV1995" s="1856" t="str">
        <f t="shared" si="348"/>
        <v/>
      </c>
      <c r="AW1995" s="1856" t="str">
        <f t="shared" si="349"/>
        <v/>
      </c>
      <c r="AX1995" s="1856" t="str">
        <f t="shared" si="350"/>
        <v/>
      </c>
      <c r="AY1995" s="1856" t="str">
        <f t="shared" si="351"/>
        <v/>
      </c>
    </row>
    <row r="1996" spans="42:52">
      <c r="AP1996" s="1855">
        <f t="shared" si="352"/>
        <v>44780</v>
      </c>
      <c r="AQ1996" s="925" t="str">
        <f t="shared" si="354"/>
        <v>MR</v>
      </c>
      <c r="AR1996" s="1856">
        <f t="shared" si="353"/>
        <v>44780.713888888895</v>
      </c>
      <c r="AS1996" s="927" t="s">
        <v>2053</v>
      </c>
      <c r="AT1996" s="1856" t="str">
        <f t="shared" si="346"/>
        <v/>
      </c>
      <c r="AU1996" s="1856" t="str">
        <f t="shared" si="347"/>
        <v/>
      </c>
      <c r="AV1996" s="1856" t="str">
        <f t="shared" si="348"/>
        <v/>
      </c>
      <c r="AW1996" s="1856" t="str">
        <f t="shared" si="349"/>
        <v/>
      </c>
      <c r="AX1996" s="1856" t="str">
        <f t="shared" si="350"/>
        <v/>
      </c>
      <c r="AY1996" s="1856" t="str">
        <f t="shared" si="351"/>
        <v/>
      </c>
    </row>
    <row r="1997" spans="42:52">
      <c r="AP1997" s="1855">
        <f t="shared" si="352"/>
        <v>44780</v>
      </c>
      <c r="AQ1997" s="925" t="str">
        <f t="shared" si="354"/>
        <v>SS</v>
      </c>
      <c r="AR1997" s="1856">
        <f t="shared" si="353"/>
        <v>44780.865972222222</v>
      </c>
      <c r="AS1997" s="927" t="s">
        <v>1821</v>
      </c>
      <c r="AT1997" s="1856" t="str">
        <f t="shared" si="346"/>
        <v/>
      </c>
      <c r="AU1997" s="1856" t="str">
        <f t="shared" si="347"/>
        <v/>
      </c>
      <c r="AV1997" s="1856" t="str">
        <f t="shared" si="348"/>
        <v/>
      </c>
      <c r="AW1997" s="1856" t="str">
        <f t="shared" si="349"/>
        <v/>
      </c>
      <c r="AX1997" s="1856" t="str">
        <f t="shared" si="350"/>
        <v/>
      </c>
      <c r="AY1997" s="1856" t="str">
        <f t="shared" si="351"/>
        <v/>
      </c>
    </row>
    <row r="1998" spans="42:52">
      <c r="AP1998" s="1855">
        <f t="shared" si="352"/>
        <v>44780</v>
      </c>
      <c r="AQ1998" s="925" t="str">
        <f t="shared" si="354"/>
        <v>EENT</v>
      </c>
      <c r="AR1998" s="1856">
        <f t="shared" si="353"/>
        <v>44780.910416666666</v>
      </c>
      <c r="AS1998" s="927" t="s">
        <v>1811</v>
      </c>
      <c r="AT1998" s="1856" t="str">
        <f t="shared" si="346"/>
        <v/>
      </c>
      <c r="AU1998" s="1856" t="str">
        <f t="shared" si="347"/>
        <v/>
      </c>
      <c r="AV1998" s="1856" t="str">
        <f t="shared" si="348"/>
        <v/>
      </c>
      <c r="AW1998" s="1856" t="str">
        <f t="shared" si="349"/>
        <v/>
      </c>
      <c r="AX1998" s="1856" t="str">
        <f t="shared" si="350"/>
        <v/>
      </c>
      <c r="AY1998" s="1856" t="str">
        <f t="shared" si="351"/>
        <v/>
      </c>
    </row>
    <row r="1999" spans="42:52">
      <c r="AP1999" s="1855">
        <f t="shared" si="352"/>
        <v>44781</v>
      </c>
      <c r="AQ1999" s="925" t="str">
        <f t="shared" si="354"/>
        <v/>
      </c>
      <c r="AR1999" s="1856" t="str">
        <f t="shared" si="353"/>
        <v/>
      </c>
      <c r="AS1999" s="927">
        <v>8</v>
      </c>
      <c r="AT1999" s="1856">
        <f t="shared" si="346"/>
        <v>44781.242361111115</v>
      </c>
      <c r="AU1999" s="1856">
        <f t="shared" si="347"/>
        <v>44781.286805555559</v>
      </c>
      <c r="AV1999" s="1856">
        <f t="shared" si="348"/>
        <v>44781.865277777782</v>
      </c>
      <c r="AW1999" s="1856">
        <f t="shared" si="349"/>
        <v>44781.909722222219</v>
      </c>
      <c r="AX1999" s="1856">
        <f t="shared" si="350"/>
        <v>44781.763194444444</v>
      </c>
      <c r="AY1999" s="1856">
        <f t="shared" si="351"/>
        <v>44781.106944444444</v>
      </c>
      <c r="AZ1999" s="1853">
        <v>0.79</v>
      </c>
    </row>
    <row r="2000" spans="42:52">
      <c r="AP2000" s="1855">
        <f t="shared" si="352"/>
        <v>44781</v>
      </c>
      <c r="AQ2000" s="925" t="str">
        <f t="shared" si="354"/>
        <v/>
      </c>
      <c r="AR2000" s="1856" t="str">
        <f t="shared" si="353"/>
        <v/>
      </c>
      <c r="AS2000" s="927" t="s">
        <v>252</v>
      </c>
      <c r="AT2000" s="1856" t="str">
        <f t="shared" si="346"/>
        <v/>
      </c>
      <c r="AU2000" s="1856" t="str">
        <f t="shared" si="347"/>
        <v/>
      </c>
      <c r="AV2000" s="1856" t="str">
        <f t="shared" si="348"/>
        <v/>
      </c>
      <c r="AW2000" s="1856" t="str">
        <f t="shared" si="349"/>
        <v/>
      </c>
      <c r="AX2000" s="1856" t="str">
        <f t="shared" si="350"/>
        <v/>
      </c>
      <c r="AY2000" s="1856" t="str">
        <f t="shared" si="351"/>
        <v/>
      </c>
    </row>
    <row r="2001" spans="42:52">
      <c r="AP2001" s="1855">
        <f t="shared" si="352"/>
        <v>44781</v>
      </c>
      <c r="AQ2001" s="925" t="str">
        <f t="shared" si="354"/>
        <v/>
      </c>
      <c r="AR2001" s="1856" t="str">
        <f t="shared" si="353"/>
        <v/>
      </c>
      <c r="AT2001" s="1856" t="str">
        <f t="shared" si="346"/>
        <v/>
      </c>
      <c r="AU2001" s="1856" t="str">
        <f t="shared" si="347"/>
        <v/>
      </c>
      <c r="AV2001" s="1856" t="str">
        <f t="shared" si="348"/>
        <v/>
      </c>
      <c r="AW2001" s="1856" t="str">
        <f t="shared" si="349"/>
        <v/>
      </c>
      <c r="AX2001" s="1856" t="str">
        <f t="shared" si="350"/>
        <v/>
      </c>
      <c r="AY2001" s="1856" t="str">
        <f t="shared" si="351"/>
        <v/>
      </c>
    </row>
    <row r="2002" spans="42:52">
      <c r="AP2002" s="1855">
        <f t="shared" si="352"/>
        <v>44781</v>
      </c>
      <c r="AQ2002" s="925" t="str">
        <f t="shared" si="354"/>
        <v>MS</v>
      </c>
      <c r="AR2002" s="1856">
        <f t="shared" si="353"/>
        <v>44781.106944444444</v>
      </c>
      <c r="AS2002" s="927" t="s">
        <v>2054</v>
      </c>
      <c r="AT2002" s="1856" t="str">
        <f t="shared" si="346"/>
        <v/>
      </c>
      <c r="AU2002" s="1856" t="str">
        <f t="shared" si="347"/>
        <v/>
      </c>
      <c r="AV2002" s="1856" t="str">
        <f t="shared" si="348"/>
        <v/>
      </c>
      <c r="AW2002" s="1856" t="str">
        <f t="shared" si="349"/>
        <v/>
      </c>
      <c r="AX2002" s="1856" t="str">
        <f t="shared" si="350"/>
        <v/>
      </c>
      <c r="AY2002" s="1856" t="str">
        <f t="shared" si="351"/>
        <v/>
      </c>
    </row>
    <row r="2003" spans="42:52">
      <c r="AP2003" s="1855">
        <f t="shared" si="352"/>
        <v>44781</v>
      </c>
      <c r="AQ2003" s="925" t="str">
        <f t="shared" si="354"/>
        <v>BMNT</v>
      </c>
      <c r="AR2003" s="1856">
        <f t="shared" si="353"/>
        <v>44781.242361111115</v>
      </c>
      <c r="AS2003" s="927" t="s">
        <v>1721</v>
      </c>
      <c r="AT2003" s="1856" t="str">
        <f t="shared" si="346"/>
        <v/>
      </c>
      <c r="AU2003" s="1856" t="str">
        <f t="shared" si="347"/>
        <v/>
      </c>
      <c r="AV2003" s="1856" t="str">
        <f t="shared" si="348"/>
        <v/>
      </c>
      <c r="AW2003" s="1856" t="str">
        <f t="shared" si="349"/>
        <v/>
      </c>
      <c r="AX2003" s="1856" t="str">
        <f t="shared" si="350"/>
        <v/>
      </c>
      <c r="AY2003" s="1856" t="str">
        <f t="shared" si="351"/>
        <v/>
      </c>
    </row>
    <row r="2004" spans="42:52">
      <c r="AP2004" s="1855">
        <f t="shared" si="352"/>
        <v>44781</v>
      </c>
      <c r="AQ2004" s="925" t="str">
        <f t="shared" si="354"/>
        <v>SR</v>
      </c>
      <c r="AR2004" s="1856">
        <f t="shared" si="353"/>
        <v>44781.286805555559</v>
      </c>
      <c r="AS2004" s="927" t="s">
        <v>1712</v>
      </c>
      <c r="AT2004" s="1856" t="str">
        <f t="shared" si="346"/>
        <v/>
      </c>
      <c r="AU2004" s="1856" t="str">
        <f t="shared" si="347"/>
        <v/>
      </c>
      <c r="AV2004" s="1856" t="str">
        <f t="shared" si="348"/>
        <v/>
      </c>
      <c r="AW2004" s="1856" t="str">
        <f t="shared" si="349"/>
        <v/>
      </c>
      <c r="AX2004" s="1856" t="str">
        <f t="shared" si="350"/>
        <v/>
      </c>
      <c r="AY2004" s="1856" t="str">
        <f t="shared" si="351"/>
        <v/>
      </c>
    </row>
    <row r="2005" spans="42:52">
      <c r="AP2005" s="1855">
        <f t="shared" si="352"/>
        <v>44781</v>
      </c>
      <c r="AQ2005" s="925" t="str">
        <f t="shared" si="354"/>
        <v>MR</v>
      </c>
      <c r="AR2005" s="1856">
        <f t="shared" si="353"/>
        <v>44781.763194444444</v>
      </c>
      <c r="AS2005" s="927" t="s">
        <v>1532</v>
      </c>
      <c r="AT2005" s="1856" t="str">
        <f t="shared" si="346"/>
        <v/>
      </c>
      <c r="AU2005" s="1856" t="str">
        <f t="shared" si="347"/>
        <v/>
      </c>
      <c r="AV2005" s="1856" t="str">
        <f t="shared" si="348"/>
        <v/>
      </c>
      <c r="AW2005" s="1856" t="str">
        <f t="shared" si="349"/>
        <v/>
      </c>
      <c r="AX2005" s="1856" t="str">
        <f t="shared" si="350"/>
        <v/>
      </c>
      <c r="AY2005" s="1856" t="str">
        <f t="shared" si="351"/>
        <v/>
      </c>
    </row>
    <row r="2006" spans="42:52">
      <c r="AP2006" s="1855">
        <f t="shared" si="352"/>
        <v>44781</v>
      </c>
      <c r="AQ2006" s="925" t="str">
        <f t="shared" si="354"/>
        <v>SS</v>
      </c>
      <c r="AR2006" s="1856">
        <f t="shared" si="353"/>
        <v>44781.865277777782</v>
      </c>
      <c r="AS2006" s="927" t="s">
        <v>1816</v>
      </c>
      <c r="AT2006" s="1856" t="str">
        <f t="shared" si="346"/>
        <v/>
      </c>
      <c r="AU2006" s="1856" t="str">
        <f t="shared" si="347"/>
        <v/>
      </c>
      <c r="AV2006" s="1856" t="str">
        <f t="shared" si="348"/>
        <v/>
      </c>
      <c r="AW2006" s="1856" t="str">
        <f t="shared" si="349"/>
        <v/>
      </c>
      <c r="AX2006" s="1856" t="str">
        <f t="shared" si="350"/>
        <v/>
      </c>
      <c r="AY2006" s="1856" t="str">
        <f t="shared" si="351"/>
        <v/>
      </c>
    </row>
    <row r="2007" spans="42:52">
      <c r="AP2007" s="1855">
        <f t="shared" si="352"/>
        <v>44781</v>
      </c>
      <c r="AQ2007" s="925" t="str">
        <f t="shared" si="354"/>
        <v>EENT</v>
      </c>
      <c r="AR2007" s="1856">
        <f t="shared" si="353"/>
        <v>44781.909722222219</v>
      </c>
      <c r="AS2007" s="927" t="s">
        <v>1806</v>
      </c>
      <c r="AT2007" s="1856" t="str">
        <f t="shared" si="346"/>
        <v/>
      </c>
      <c r="AU2007" s="1856" t="str">
        <f t="shared" si="347"/>
        <v/>
      </c>
      <c r="AV2007" s="1856" t="str">
        <f t="shared" si="348"/>
        <v/>
      </c>
      <c r="AW2007" s="1856" t="str">
        <f t="shared" si="349"/>
        <v/>
      </c>
      <c r="AX2007" s="1856" t="str">
        <f t="shared" si="350"/>
        <v/>
      </c>
      <c r="AY2007" s="1856" t="str">
        <f t="shared" si="351"/>
        <v/>
      </c>
    </row>
    <row r="2008" spans="42:52">
      <c r="AP2008" s="1855">
        <f t="shared" si="352"/>
        <v>44782</v>
      </c>
      <c r="AQ2008" s="925" t="str">
        <f t="shared" si="354"/>
        <v/>
      </c>
      <c r="AR2008" s="1856" t="str">
        <f t="shared" si="353"/>
        <v/>
      </c>
      <c r="AS2008" s="927">
        <v>9</v>
      </c>
      <c r="AT2008" s="1856">
        <f t="shared" si="346"/>
        <v>44782.243750000001</v>
      </c>
      <c r="AU2008" s="1856">
        <f t="shared" si="347"/>
        <v>44782.287499999999</v>
      </c>
      <c r="AV2008" s="1856">
        <f t="shared" si="348"/>
        <v>44782.864583333336</v>
      </c>
      <c r="AW2008" s="1856">
        <f t="shared" si="349"/>
        <v>44782.908333333333</v>
      </c>
      <c r="AX2008" s="1856">
        <f t="shared" si="350"/>
        <v>44782.807638888888</v>
      </c>
      <c r="AY2008" s="1856">
        <f t="shared" si="351"/>
        <v>44782.149305555555</v>
      </c>
      <c r="AZ2008" s="1853">
        <v>0.88</v>
      </c>
    </row>
    <row r="2009" spans="42:52">
      <c r="AP2009" s="1855">
        <f t="shared" si="352"/>
        <v>44782</v>
      </c>
      <c r="AQ2009" s="925" t="str">
        <f t="shared" si="354"/>
        <v/>
      </c>
      <c r="AR2009" s="1856" t="str">
        <f t="shared" si="353"/>
        <v/>
      </c>
      <c r="AS2009" s="927" t="s">
        <v>252</v>
      </c>
      <c r="AT2009" s="1856" t="str">
        <f t="shared" si="346"/>
        <v/>
      </c>
      <c r="AU2009" s="1856" t="str">
        <f t="shared" si="347"/>
        <v/>
      </c>
      <c r="AV2009" s="1856" t="str">
        <f t="shared" si="348"/>
        <v/>
      </c>
      <c r="AW2009" s="1856" t="str">
        <f t="shared" si="349"/>
        <v/>
      </c>
      <c r="AX2009" s="1856" t="str">
        <f t="shared" si="350"/>
        <v/>
      </c>
      <c r="AY2009" s="1856" t="str">
        <f t="shared" si="351"/>
        <v/>
      </c>
    </row>
    <row r="2010" spans="42:52">
      <c r="AP2010" s="1855">
        <f t="shared" si="352"/>
        <v>44782</v>
      </c>
      <c r="AQ2010" s="925" t="str">
        <f t="shared" si="354"/>
        <v/>
      </c>
      <c r="AR2010" s="1856" t="str">
        <f t="shared" si="353"/>
        <v/>
      </c>
      <c r="AT2010" s="1856" t="str">
        <f t="shared" si="346"/>
        <v/>
      </c>
      <c r="AU2010" s="1856" t="str">
        <f t="shared" si="347"/>
        <v/>
      </c>
      <c r="AV2010" s="1856" t="str">
        <f t="shared" si="348"/>
        <v/>
      </c>
      <c r="AW2010" s="1856" t="str">
        <f t="shared" si="349"/>
        <v/>
      </c>
      <c r="AX2010" s="1856" t="str">
        <f t="shared" si="350"/>
        <v/>
      </c>
      <c r="AY2010" s="1856" t="str">
        <f t="shared" si="351"/>
        <v/>
      </c>
    </row>
    <row r="2011" spans="42:52">
      <c r="AP2011" s="1855">
        <f t="shared" si="352"/>
        <v>44782</v>
      </c>
      <c r="AQ2011" s="925" t="str">
        <f t="shared" si="354"/>
        <v>MS</v>
      </c>
      <c r="AR2011" s="1856">
        <f t="shared" si="353"/>
        <v>44782.149305555555</v>
      </c>
      <c r="AS2011" s="927" t="s">
        <v>1937</v>
      </c>
      <c r="AT2011" s="1856" t="str">
        <f t="shared" si="346"/>
        <v/>
      </c>
      <c r="AU2011" s="1856" t="str">
        <f t="shared" si="347"/>
        <v/>
      </c>
      <c r="AV2011" s="1856" t="str">
        <f t="shared" si="348"/>
        <v/>
      </c>
      <c r="AW2011" s="1856" t="str">
        <f t="shared" si="349"/>
        <v/>
      </c>
      <c r="AX2011" s="1856" t="str">
        <f t="shared" si="350"/>
        <v/>
      </c>
      <c r="AY2011" s="1856" t="str">
        <f t="shared" si="351"/>
        <v/>
      </c>
    </row>
    <row r="2012" spans="42:52">
      <c r="AP2012" s="1855">
        <f t="shared" si="352"/>
        <v>44782</v>
      </c>
      <c r="AQ2012" s="925" t="str">
        <f t="shared" si="354"/>
        <v>BMNT</v>
      </c>
      <c r="AR2012" s="1856">
        <f t="shared" si="353"/>
        <v>44782.243750000001</v>
      </c>
      <c r="AS2012" s="927" t="s">
        <v>2055</v>
      </c>
      <c r="AT2012" s="1856" t="str">
        <f t="shared" ref="AT2012:AT2075" si="355">IF(ISNUMBER(AS2012),INDEX(AR2013:AR2023,MATCH($AT$27,AQ2013:AQ2023,0)),"")</f>
        <v/>
      </c>
      <c r="AU2012" s="1856" t="str">
        <f t="shared" ref="AU2012:AU2075" si="356">IF(AT2012="","",INDEX(AR2013:AR2023,MATCH($AU$27,AQ2013:AQ2023,0)))</f>
        <v/>
      </c>
      <c r="AV2012" s="1856" t="str">
        <f t="shared" ref="AV2012:AV2075" si="357">IF(AT2012="","",INDEX(AR2013:AR2023,MATCH($AV$27,AQ2013:AQ2023,0)))</f>
        <v/>
      </c>
      <c r="AW2012" s="1856" t="str">
        <f t="shared" ref="AW2012:AW2075" si="358">IF(AT2012="","",INDEX(AR2013:AR2023,MATCH($AW$27,AQ2013:AQ2023,0)))</f>
        <v/>
      </c>
      <c r="AX2012" s="1856" t="str">
        <f t="shared" ref="AX2012:AX2075" si="359">IF(AT2012="","",INDEX(AR2013:AR2023,MATCH($AX$27,AQ2013:AQ2023,0)))</f>
        <v/>
      </c>
      <c r="AY2012" s="1856" t="str">
        <f t="shared" ref="AY2012:AY2075" si="360">IF(AT2012="","",INDEX(AR2013:AR2023,MATCH($AY$27,AQ2013:AQ2023,0)))</f>
        <v/>
      </c>
    </row>
    <row r="2013" spans="42:52">
      <c r="AP2013" s="1855">
        <f t="shared" si="352"/>
        <v>44782</v>
      </c>
      <c r="AQ2013" s="925" t="str">
        <f t="shared" si="354"/>
        <v>SR</v>
      </c>
      <c r="AR2013" s="1856">
        <f t="shared" si="353"/>
        <v>44782.287499999999</v>
      </c>
      <c r="AS2013" s="927" t="s">
        <v>1707</v>
      </c>
      <c r="AT2013" s="1856" t="str">
        <f t="shared" si="355"/>
        <v/>
      </c>
      <c r="AU2013" s="1856" t="str">
        <f t="shared" si="356"/>
        <v/>
      </c>
      <c r="AV2013" s="1856" t="str">
        <f t="shared" si="357"/>
        <v/>
      </c>
      <c r="AW2013" s="1856" t="str">
        <f t="shared" si="358"/>
        <v/>
      </c>
      <c r="AX2013" s="1856" t="str">
        <f t="shared" si="359"/>
        <v/>
      </c>
      <c r="AY2013" s="1856" t="str">
        <f t="shared" si="360"/>
        <v/>
      </c>
    </row>
    <row r="2014" spans="42:52">
      <c r="AP2014" s="1855">
        <f t="shared" si="352"/>
        <v>44782</v>
      </c>
      <c r="AQ2014" s="925" t="str">
        <f t="shared" si="354"/>
        <v>MR</v>
      </c>
      <c r="AR2014" s="1856">
        <f t="shared" si="353"/>
        <v>44782.807638888888</v>
      </c>
      <c r="AS2014" s="927" t="s">
        <v>1943</v>
      </c>
      <c r="AT2014" s="1856" t="str">
        <f t="shared" si="355"/>
        <v/>
      </c>
      <c r="AU2014" s="1856" t="str">
        <f t="shared" si="356"/>
        <v/>
      </c>
      <c r="AV2014" s="1856" t="str">
        <f t="shared" si="357"/>
        <v/>
      </c>
      <c r="AW2014" s="1856" t="str">
        <f t="shared" si="358"/>
        <v/>
      </c>
      <c r="AX2014" s="1856" t="str">
        <f t="shared" si="359"/>
        <v/>
      </c>
      <c r="AY2014" s="1856" t="str">
        <f t="shared" si="360"/>
        <v/>
      </c>
    </row>
    <row r="2015" spans="42:52">
      <c r="AP2015" s="1855">
        <f t="shared" si="352"/>
        <v>44782</v>
      </c>
      <c r="AQ2015" s="925" t="str">
        <f t="shared" si="354"/>
        <v>SS</v>
      </c>
      <c r="AR2015" s="1856">
        <f t="shared" si="353"/>
        <v>44782.864583333336</v>
      </c>
      <c r="AS2015" s="927" t="s">
        <v>1805</v>
      </c>
      <c r="AT2015" s="1856" t="str">
        <f t="shared" si="355"/>
        <v/>
      </c>
      <c r="AU2015" s="1856" t="str">
        <f t="shared" si="356"/>
        <v/>
      </c>
      <c r="AV2015" s="1856" t="str">
        <f t="shared" si="357"/>
        <v/>
      </c>
      <c r="AW2015" s="1856" t="str">
        <f t="shared" si="358"/>
        <v/>
      </c>
      <c r="AX2015" s="1856" t="str">
        <f t="shared" si="359"/>
        <v/>
      </c>
      <c r="AY2015" s="1856" t="str">
        <f t="shared" si="360"/>
        <v/>
      </c>
    </row>
    <row r="2016" spans="42:52">
      <c r="AP2016" s="1855">
        <f t="shared" si="352"/>
        <v>44782</v>
      </c>
      <c r="AQ2016" s="925" t="str">
        <f t="shared" si="354"/>
        <v>EENT</v>
      </c>
      <c r="AR2016" s="1856">
        <f t="shared" si="353"/>
        <v>44782.908333333333</v>
      </c>
      <c r="AS2016" s="927" t="s">
        <v>2056</v>
      </c>
      <c r="AT2016" s="1856" t="str">
        <f t="shared" si="355"/>
        <v/>
      </c>
      <c r="AU2016" s="1856" t="str">
        <f t="shared" si="356"/>
        <v/>
      </c>
      <c r="AV2016" s="1856" t="str">
        <f t="shared" si="357"/>
        <v/>
      </c>
      <c r="AW2016" s="1856" t="str">
        <f t="shared" si="358"/>
        <v/>
      </c>
      <c r="AX2016" s="1856" t="str">
        <f t="shared" si="359"/>
        <v/>
      </c>
      <c r="AY2016" s="1856" t="str">
        <f t="shared" si="360"/>
        <v/>
      </c>
    </row>
    <row r="2017" spans="42:52">
      <c r="AP2017" s="1855">
        <f t="shared" si="352"/>
        <v>44783</v>
      </c>
      <c r="AQ2017" s="925" t="str">
        <f t="shared" si="354"/>
        <v/>
      </c>
      <c r="AR2017" s="1856" t="str">
        <f t="shared" si="353"/>
        <v/>
      </c>
      <c r="AS2017" s="927">
        <v>10</v>
      </c>
      <c r="AT2017" s="1856">
        <f t="shared" si="355"/>
        <v>44783.244444444448</v>
      </c>
      <c r="AU2017" s="1856">
        <f t="shared" si="356"/>
        <v>44783.288194444445</v>
      </c>
      <c r="AV2017" s="1856">
        <f t="shared" si="357"/>
        <v>44783.863888888889</v>
      </c>
      <c r="AW2017" s="1856">
        <f t="shared" si="358"/>
        <v>44783.907638888886</v>
      </c>
      <c r="AX2017" s="1856">
        <f t="shared" si="359"/>
        <v>44783.845138888893</v>
      </c>
      <c r="AY2017" s="1856">
        <f t="shared" si="360"/>
        <v>44783.197916666664</v>
      </c>
      <c r="AZ2017" s="1853">
        <v>0.95</v>
      </c>
    </row>
    <row r="2018" spans="42:52">
      <c r="AP2018" s="1855">
        <f t="shared" si="352"/>
        <v>44783</v>
      </c>
      <c r="AQ2018" s="925" t="str">
        <f t="shared" si="354"/>
        <v/>
      </c>
      <c r="AR2018" s="1856" t="str">
        <f t="shared" si="353"/>
        <v/>
      </c>
      <c r="AS2018" s="927" t="s">
        <v>252</v>
      </c>
      <c r="AT2018" s="1856" t="str">
        <f t="shared" si="355"/>
        <v/>
      </c>
      <c r="AU2018" s="1856" t="str">
        <f t="shared" si="356"/>
        <v/>
      </c>
      <c r="AV2018" s="1856" t="str">
        <f t="shared" si="357"/>
        <v/>
      </c>
      <c r="AW2018" s="1856" t="str">
        <f t="shared" si="358"/>
        <v/>
      </c>
      <c r="AX2018" s="1856" t="str">
        <f t="shared" si="359"/>
        <v/>
      </c>
      <c r="AY2018" s="1856" t="str">
        <f t="shared" si="360"/>
        <v/>
      </c>
    </row>
    <row r="2019" spans="42:52">
      <c r="AP2019" s="1855">
        <f t="shared" si="352"/>
        <v>44783</v>
      </c>
      <c r="AQ2019" s="925" t="str">
        <f t="shared" si="354"/>
        <v/>
      </c>
      <c r="AR2019" s="1856" t="str">
        <f t="shared" si="353"/>
        <v/>
      </c>
      <c r="AT2019" s="1856" t="str">
        <f t="shared" si="355"/>
        <v/>
      </c>
      <c r="AU2019" s="1856" t="str">
        <f t="shared" si="356"/>
        <v/>
      </c>
      <c r="AV2019" s="1856" t="str">
        <f t="shared" si="357"/>
        <v/>
      </c>
      <c r="AW2019" s="1856" t="str">
        <f t="shared" si="358"/>
        <v/>
      </c>
      <c r="AX2019" s="1856" t="str">
        <f t="shared" si="359"/>
        <v/>
      </c>
      <c r="AY2019" s="1856" t="str">
        <f t="shared" si="360"/>
        <v/>
      </c>
    </row>
    <row r="2020" spans="42:52">
      <c r="AP2020" s="1855">
        <f t="shared" si="352"/>
        <v>44783</v>
      </c>
      <c r="AQ2020" s="925" t="str">
        <f t="shared" si="354"/>
        <v>MS</v>
      </c>
      <c r="AR2020" s="1856">
        <f t="shared" si="353"/>
        <v>44783.197916666664</v>
      </c>
      <c r="AS2020" s="927" t="s">
        <v>2057</v>
      </c>
      <c r="AT2020" s="1856" t="str">
        <f t="shared" si="355"/>
        <v/>
      </c>
      <c r="AU2020" s="1856" t="str">
        <f t="shared" si="356"/>
        <v/>
      </c>
      <c r="AV2020" s="1856" t="str">
        <f t="shared" si="357"/>
        <v/>
      </c>
      <c r="AW2020" s="1856" t="str">
        <f t="shared" si="358"/>
        <v/>
      </c>
      <c r="AX2020" s="1856" t="str">
        <f t="shared" si="359"/>
        <v/>
      </c>
      <c r="AY2020" s="1856" t="str">
        <f t="shared" si="360"/>
        <v/>
      </c>
    </row>
    <row r="2021" spans="42:52">
      <c r="AP2021" s="1855">
        <f t="shared" ref="AP2021:AP2084" si="361">IF(ISNUMBER(AS2021),AP2020+1,AP2020)</f>
        <v>44783</v>
      </c>
      <c r="AQ2021" s="925" t="str">
        <f t="shared" si="354"/>
        <v>BMNT</v>
      </c>
      <c r="AR2021" s="1856">
        <f t="shared" si="353"/>
        <v>44783.244444444448</v>
      </c>
      <c r="AS2021" s="927" t="s">
        <v>1711</v>
      </c>
      <c r="AT2021" s="1856" t="str">
        <f t="shared" si="355"/>
        <v/>
      </c>
      <c r="AU2021" s="1856" t="str">
        <f t="shared" si="356"/>
        <v/>
      </c>
      <c r="AV2021" s="1856" t="str">
        <f t="shared" si="357"/>
        <v/>
      </c>
      <c r="AW2021" s="1856" t="str">
        <f t="shared" si="358"/>
        <v/>
      </c>
      <c r="AX2021" s="1856" t="str">
        <f t="shared" si="359"/>
        <v/>
      </c>
      <c r="AY2021" s="1856" t="str">
        <f t="shared" si="360"/>
        <v/>
      </c>
    </row>
    <row r="2022" spans="42:52">
      <c r="AP2022" s="1855">
        <f t="shared" si="361"/>
        <v>44783</v>
      </c>
      <c r="AQ2022" s="925" t="str">
        <f t="shared" si="354"/>
        <v>SR</v>
      </c>
      <c r="AR2022" s="1856">
        <f t="shared" si="353"/>
        <v>44783.288194444445</v>
      </c>
      <c r="AS2022" s="927" t="s">
        <v>2058</v>
      </c>
      <c r="AT2022" s="1856" t="str">
        <f t="shared" si="355"/>
        <v/>
      </c>
      <c r="AU2022" s="1856" t="str">
        <f t="shared" si="356"/>
        <v/>
      </c>
      <c r="AV2022" s="1856" t="str">
        <f t="shared" si="357"/>
        <v/>
      </c>
      <c r="AW2022" s="1856" t="str">
        <f t="shared" si="358"/>
        <v/>
      </c>
      <c r="AX2022" s="1856" t="str">
        <f t="shared" si="359"/>
        <v/>
      </c>
      <c r="AY2022" s="1856" t="str">
        <f t="shared" si="360"/>
        <v/>
      </c>
    </row>
    <row r="2023" spans="42:52">
      <c r="AP2023" s="1855">
        <f t="shared" si="361"/>
        <v>44783</v>
      </c>
      <c r="AQ2023" s="925" t="str">
        <f t="shared" si="354"/>
        <v>MR</v>
      </c>
      <c r="AR2023" s="1856">
        <f t="shared" si="353"/>
        <v>44783.845138888893</v>
      </c>
      <c r="AS2023" s="927" t="s">
        <v>2059</v>
      </c>
      <c r="AT2023" s="1856" t="str">
        <f t="shared" si="355"/>
        <v/>
      </c>
      <c r="AU2023" s="1856" t="str">
        <f t="shared" si="356"/>
        <v/>
      </c>
      <c r="AV2023" s="1856" t="str">
        <f t="shared" si="357"/>
        <v/>
      </c>
      <c r="AW2023" s="1856" t="str">
        <f t="shared" si="358"/>
        <v/>
      </c>
      <c r="AX2023" s="1856" t="str">
        <f t="shared" si="359"/>
        <v/>
      </c>
      <c r="AY2023" s="1856" t="str">
        <f t="shared" si="360"/>
        <v/>
      </c>
    </row>
    <row r="2024" spans="42:52">
      <c r="AP2024" s="1855">
        <f t="shared" si="361"/>
        <v>44783</v>
      </c>
      <c r="AQ2024" s="925" t="str">
        <f t="shared" si="354"/>
        <v>SS</v>
      </c>
      <c r="AR2024" s="1856">
        <f t="shared" si="353"/>
        <v>44783.863888888889</v>
      </c>
      <c r="AS2024" s="927" t="s">
        <v>1799</v>
      </c>
      <c r="AT2024" s="1856" t="str">
        <f t="shared" si="355"/>
        <v/>
      </c>
      <c r="AU2024" s="1856" t="str">
        <f t="shared" si="356"/>
        <v/>
      </c>
      <c r="AV2024" s="1856" t="str">
        <f t="shared" si="357"/>
        <v/>
      </c>
      <c r="AW2024" s="1856" t="str">
        <f t="shared" si="358"/>
        <v/>
      </c>
      <c r="AX2024" s="1856" t="str">
        <f t="shared" si="359"/>
        <v/>
      </c>
      <c r="AY2024" s="1856" t="str">
        <f t="shared" si="360"/>
        <v/>
      </c>
    </row>
    <row r="2025" spans="42:52">
      <c r="AP2025" s="1855">
        <f t="shared" si="361"/>
        <v>44783</v>
      </c>
      <c r="AQ2025" s="925" t="str">
        <f t="shared" si="354"/>
        <v>EENT</v>
      </c>
      <c r="AR2025" s="1856">
        <f t="shared" ref="AR2025:AR2088" si="362">IF(NOT(ISNUMBER(FIND(":",AS2025))),"",IF(ISNUMBER(FIND(" none",AS2025)),"NONE",AP2025+LEFT(RIGHT(AS2025,5),2)/24+RIGHT(AS2025,2)/1440))</f>
        <v>44783.907638888886</v>
      </c>
      <c r="AS2025" s="927" t="s">
        <v>1794</v>
      </c>
      <c r="AT2025" s="1856" t="str">
        <f t="shared" si="355"/>
        <v/>
      </c>
      <c r="AU2025" s="1856" t="str">
        <f t="shared" si="356"/>
        <v/>
      </c>
      <c r="AV2025" s="1856" t="str">
        <f t="shared" si="357"/>
        <v/>
      </c>
      <c r="AW2025" s="1856" t="str">
        <f t="shared" si="358"/>
        <v/>
      </c>
      <c r="AX2025" s="1856" t="str">
        <f t="shared" si="359"/>
        <v/>
      </c>
      <c r="AY2025" s="1856" t="str">
        <f t="shared" si="360"/>
        <v/>
      </c>
    </row>
    <row r="2026" spans="42:52">
      <c r="AP2026" s="1855">
        <f t="shared" si="361"/>
        <v>44784</v>
      </c>
      <c r="AQ2026" s="925" t="str">
        <f t="shared" si="354"/>
        <v/>
      </c>
      <c r="AR2026" s="1856" t="str">
        <f t="shared" si="362"/>
        <v/>
      </c>
      <c r="AS2026" s="927">
        <v>11</v>
      </c>
      <c r="AT2026" s="1856">
        <f t="shared" si="355"/>
        <v>44784.245138888895</v>
      </c>
      <c r="AU2026" s="1856">
        <f t="shared" si="356"/>
        <v>44784.288194444445</v>
      </c>
      <c r="AV2026" s="1856">
        <f t="shared" si="357"/>
        <v>44784.86319444445</v>
      </c>
      <c r="AW2026" s="1856">
        <f t="shared" si="358"/>
        <v>44784.906944444447</v>
      </c>
      <c r="AX2026" s="1856">
        <f t="shared" si="359"/>
        <v>44784.875694444447</v>
      </c>
      <c r="AY2026" s="1856">
        <f t="shared" si="360"/>
        <v>44784.251388888886</v>
      </c>
      <c r="AZ2026" s="1853">
        <v>0.99</v>
      </c>
    </row>
    <row r="2027" spans="42:52">
      <c r="AP2027" s="1855">
        <f t="shared" si="361"/>
        <v>44784</v>
      </c>
      <c r="AQ2027" s="925" t="str">
        <f t="shared" si="354"/>
        <v/>
      </c>
      <c r="AR2027" s="1856" t="str">
        <f t="shared" si="362"/>
        <v/>
      </c>
      <c r="AS2027" s="927" t="s">
        <v>252</v>
      </c>
      <c r="AT2027" s="1856" t="str">
        <f t="shared" si="355"/>
        <v/>
      </c>
      <c r="AU2027" s="1856" t="str">
        <f t="shared" si="356"/>
        <v/>
      </c>
      <c r="AV2027" s="1856" t="str">
        <f t="shared" si="357"/>
        <v/>
      </c>
      <c r="AW2027" s="1856" t="str">
        <f t="shared" si="358"/>
        <v/>
      </c>
      <c r="AX2027" s="1856" t="str">
        <f t="shared" si="359"/>
        <v/>
      </c>
      <c r="AY2027" s="1856" t="str">
        <f t="shared" si="360"/>
        <v/>
      </c>
    </row>
    <row r="2028" spans="42:52">
      <c r="AP2028" s="1855">
        <f t="shared" si="361"/>
        <v>44784</v>
      </c>
      <c r="AQ2028" s="925" t="str">
        <f t="shared" si="354"/>
        <v/>
      </c>
      <c r="AR2028" s="1856" t="str">
        <f t="shared" si="362"/>
        <v/>
      </c>
      <c r="AT2028" s="1856" t="str">
        <f t="shared" si="355"/>
        <v/>
      </c>
      <c r="AU2028" s="1856" t="str">
        <f t="shared" si="356"/>
        <v/>
      </c>
      <c r="AV2028" s="1856" t="str">
        <f t="shared" si="357"/>
        <v/>
      </c>
      <c r="AW2028" s="1856" t="str">
        <f t="shared" si="358"/>
        <v/>
      </c>
      <c r="AX2028" s="1856" t="str">
        <f t="shared" si="359"/>
        <v/>
      </c>
      <c r="AY2028" s="1856" t="str">
        <f t="shared" si="360"/>
        <v/>
      </c>
    </row>
    <row r="2029" spans="42:52">
      <c r="AP2029" s="1855">
        <f t="shared" si="361"/>
        <v>44784</v>
      </c>
      <c r="AQ2029" s="925" t="str">
        <f t="shared" si="354"/>
        <v>BMNT</v>
      </c>
      <c r="AR2029" s="1856">
        <f t="shared" si="362"/>
        <v>44784.245138888895</v>
      </c>
      <c r="AS2029" s="927" t="s">
        <v>1706</v>
      </c>
      <c r="AT2029" s="1856" t="str">
        <f t="shared" si="355"/>
        <v/>
      </c>
      <c r="AU2029" s="1856" t="str">
        <f t="shared" si="356"/>
        <v/>
      </c>
      <c r="AV2029" s="1856" t="str">
        <f t="shared" si="357"/>
        <v/>
      </c>
      <c r="AW2029" s="1856" t="str">
        <f t="shared" si="358"/>
        <v/>
      </c>
      <c r="AX2029" s="1856" t="str">
        <f t="shared" si="359"/>
        <v/>
      </c>
      <c r="AY2029" s="1856" t="str">
        <f t="shared" si="360"/>
        <v/>
      </c>
    </row>
    <row r="2030" spans="42:52">
      <c r="AP2030" s="1855">
        <f t="shared" si="361"/>
        <v>44784</v>
      </c>
      <c r="AQ2030" s="925" t="str">
        <f t="shared" si="354"/>
        <v>MS</v>
      </c>
      <c r="AR2030" s="1856">
        <f t="shared" si="362"/>
        <v>44784.251388888886</v>
      </c>
      <c r="AS2030" s="927" t="s">
        <v>2060</v>
      </c>
      <c r="AT2030" s="1856" t="str">
        <f t="shared" si="355"/>
        <v/>
      </c>
      <c r="AU2030" s="1856" t="str">
        <f t="shared" si="356"/>
        <v/>
      </c>
      <c r="AV2030" s="1856" t="str">
        <f t="shared" si="357"/>
        <v/>
      </c>
      <c r="AW2030" s="1856" t="str">
        <f t="shared" si="358"/>
        <v/>
      </c>
      <c r="AX2030" s="1856" t="str">
        <f t="shared" si="359"/>
        <v/>
      </c>
      <c r="AY2030" s="1856" t="str">
        <f t="shared" si="360"/>
        <v/>
      </c>
    </row>
    <row r="2031" spans="42:52">
      <c r="AP2031" s="1855">
        <f t="shared" si="361"/>
        <v>44784</v>
      </c>
      <c r="AQ2031" s="925" t="str">
        <f t="shared" si="354"/>
        <v>SR</v>
      </c>
      <c r="AR2031" s="1856">
        <f t="shared" si="362"/>
        <v>44784.288194444445</v>
      </c>
      <c r="AS2031" s="927" t="s">
        <v>2058</v>
      </c>
      <c r="AT2031" s="1856" t="str">
        <f t="shared" si="355"/>
        <v/>
      </c>
      <c r="AU2031" s="1856" t="str">
        <f t="shared" si="356"/>
        <v/>
      </c>
      <c r="AV2031" s="1856" t="str">
        <f t="shared" si="357"/>
        <v/>
      </c>
      <c r="AW2031" s="1856" t="str">
        <f t="shared" si="358"/>
        <v/>
      </c>
      <c r="AX2031" s="1856" t="str">
        <f t="shared" si="359"/>
        <v/>
      </c>
      <c r="AY2031" s="1856" t="str">
        <f t="shared" si="360"/>
        <v/>
      </c>
    </row>
    <row r="2032" spans="42:52">
      <c r="AP2032" s="1855">
        <f t="shared" si="361"/>
        <v>44784</v>
      </c>
      <c r="AQ2032" s="925" t="str">
        <f t="shared" si="354"/>
        <v>SS</v>
      </c>
      <c r="AR2032" s="1856">
        <f t="shared" si="362"/>
        <v>44784.86319444445</v>
      </c>
      <c r="AS2032" s="927" t="s">
        <v>1793</v>
      </c>
      <c r="AT2032" s="1856" t="str">
        <f t="shared" si="355"/>
        <v/>
      </c>
      <c r="AU2032" s="1856" t="str">
        <f t="shared" si="356"/>
        <v/>
      </c>
      <c r="AV2032" s="1856" t="str">
        <f t="shared" si="357"/>
        <v/>
      </c>
      <c r="AW2032" s="1856" t="str">
        <f t="shared" si="358"/>
        <v/>
      </c>
      <c r="AX2032" s="1856" t="str">
        <f t="shared" si="359"/>
        <v/>
      </c>
      <c r="AY2032" s="1856" t="str">
        <f t="shared" si="360"/>
        <v/>
      </c>
    </row>
    <row r="2033" spans="42:52">
      <c r="AP2033" s="1855">
        <f t="shared" si="361"/>
        <v>44784</v>
      </c>
      <c r="AQ2033" s="925" t="str">
        <f t="shared" si="354"/>
        <v>MR</v>
      </c>
      <c r="AR2033" s="1856">
        <f t="shared" si="362"/>
        <v>44784.875694444447</v>
      </c>
      <c r="AS2033" s="927" t="s">
        <v>2061</v>
      </c>
      <c r="AT2033" s="1856" t="str">
        <f t="shared" si="355"/>
        <v/>
      </c>
      <c r="AU2033" s="1856" t="str">
        <f t="shared" si="356"/>
        <v/>
      </c>
      <c r="AV2033" s="1856" t="str">
        <f t="shared" si="357"/>
        <v/>
      </c>
      <c r="AW2033" s="1856" t="str">
        <f t="shared" si="358"/>
        <v/>
      </c>
      <c r="AX2033" s="1856" t="str">
        <f t="shared" si="359"/>
        <v/>
      </c>
      <c r="AY2033" s="1856" t="str">
        <f t="shared" si="360"/>
        <v/>
      </c>
    </row>
    <row r="2034" spans="42:52">
      <c r="AP2034" s="1855">
        <f t="shared" si="361"/>
        <v>44784</v>
      </c>
      <c r="AQ2034" s="925" t="str">
        <f t="shared" si="354"/>
        <v>EENT</v>
      </c>
      <c r="AR2034" s="1856">
        <f t="shared" si="362"/>
        <v>44784.906944444447</v>
      </c>
      <c r="AS2034" s="927" t="s">
        <v>1788</v>
      </c>
      <c r="AT2034" s="1856" t="str">
        <f t="shared" si="355"/>
        <v/>
      </c>
      <c r="AU2034" s="1856" t="str">
        <f t="shared" si="356"/>
        <v/>
      </c>
      <c r="AV2034" s="1856" t="str">
        <f t="shared" si="357"/>
        <v/>
      </c>
      <c r="AW2034" s="1856" t="str">
        <f t="shared" si="358"/>
        <v/>
      </c>
      <c r="AX2034" s="1856" t="str">
        <f t="shared" si="359"/>
        <v/>
      </c>
      <c r="AY2034" s="1856" t="str">
        <f t="shared" si="360"/>
        <v/>
      </c>
    </row>
    <row r="2035" spans="42:52">
      <c r="AP2035" s="1855">
        <f t="shared" si="361"/>
        <v>44785</v>
      </c>
      <c r="AQ2035" s="925" t="str">
        <f t="shared" si="354"/>
        <v/>
      </c>
      <c r="AR2035" s="1856" t="str">
        <f t="shared" si="362"/>
        <v/>
      </c>
      <c r="AS2035" s="927">
        <v>12</v>
      </c>
      <c r="AT2035" s="1856">
        <f t="shared" si="355"/>
        <v>44785.245833333334</v>
      </c>
      <c r="AU2035" s="1856">
        <f t="shared" si="356"/>
        <v>44785.288888888892</v>
      </c>
      <c r="AV2035" s="1856">
        <f t="shared" si="357"/>
        <v>44785.862500000003</v>
      </c>
      <c r="AW2035" s="1856">
        <f t="shared" si="358"/>
        <v>44785.905555555553</v>
      </c>
      <c r="AX2035" s="1856">
        <f t="shared" si="359"/>
        <v>44785.900694444441</v>
      </c>
      <c r="AY2035" s="1856">
        <f t="shared" si="360"/>
        <v>44785.305555555555</v>
      </c>
      <c r="AZ2035" s="1853">
        <v>1</v>
      </c>
    </row>
    <row r="2036" spans="42:52">
      <c r="AP2036" s="1855">
        <f t="shared" si="361"/>
        <v>44785</v>
      </c>
      <c r="AQ2036" s="925" t="str">
        <f t="shared" ref="AQ2036:AQ2099" si="363">IF(NOT(ISNUMBER(FIND(":",AS2036))),"",IF(ISNUMBER(FIND("Sunr",AS2036)),"SR", IF(ISNUMBER(FIND("Suns",AS2036)),"SS",IF(ISNUMBER(FIND("Moonr",AS2036)),"MR",IF(ISNUMBER(FIND("Moons",AS2036)),"MS",IF(ISNUMBER(FIND("Twi",AS2036)),IF(HOUR(AR2036)&lt;12,"BMNT","EENT")))))))</f>
        <v/>
      </c>
      <c r="AR2036" s="1856" t="str">
        <f t="shared" si="362"/>
        <v/>
      </c>
      <c r="AS2036" s="927" t="s">
        <v>252</v>
      </c>
      <c r="AT2036" s="1856" t="str">
        <f t="shared" si="355"/>
        <v/>
      </c>
      <c r="AU2036" s="1856" t="str">
        <f t="shared" si="356"/>
        <v/>
      </c>
      <c r="AV2036" s="1856" t="str">
        <f t="shared" si="357"/>
        <v/>
      </c>
      <c r="AW2036" s="1856" t="str">
        <f t="shared" si="358"/>
        <v/>
      </c>
      <c r="AX2036" s="1856" t="str">
        <f t="shared" si="359"/>
        <v/>
      </c>
      <c r="AY2036" s="1856" t="str">
        <f t="shared" si="360"/>
        <v/>
      </c>
    </row>
    <row r="2037" spans="42:52">
      <c r="AP2037" s="1855">
        <f t="shared" si="361"/>
        <v>44785</v>
      </c>
      <c r="AQ2037" s="925" t="str">
        <f t="shared" si="363"/>
        <v/>
      </c>
      <c r="AR2037" s="1856" t="str">
        <f t="shared" si="362"/>
        <v/>
      </c>
      <c r="AT2037" s="1856" t="str">
        <f t="shared" si="355"/>
        <v/>
      </c>
      <c r="AU2037" s="1856" t="str">
        <f t="shared" si="356"/>
        <v/>
      </c>
      <c r="AV2037" s="1856" t="str">
        <f t="shared" si="357"/>
        <v/>
      </c>
      <c r="AW2037" s="1856" t="str">
        <f t="shared" si="358"/>
        <v/>
      </c>
      <c r="AX2037" s="1856" t="str">
        <f t="shared" si="359"/>
        <v/>
      </c>
      <c r="AY2037" s="1856" t="str">
        <f t="shared" si="360"/>
        <v/>
      </c>
    </row>
    <row r="2038" spans="42:52">
      <c r="AP2038" s="1855">
        <f t="shared" si="361"/>
        <v>44785</v>
      </c>
      <c r="AQ2038" s="925" t="str">
        <f t="shared" si="363"/>
        <v>BMNT</v>
      </c>
      <c r="AR2038" s="1856">
        <f t="shared" si="362"/>
        <v>44785.245833333334</v>
      </c>
      <c r="AS2038" s="927" t="s">
        <v>1700</v>
      </c>
      <c r="AT2038" s="1856" t="str">
        <f t="shared" si="355"/>
        <v/>
      </c>
      <c r="AU2038" s="1856" t="str">
        <f t="shared" si="356"/>
        <v/>
      </c>
      <c r="AV2038" s="1856" t="str">
        <f t="shared" si="357"/>
        <v/>
      </c>
      <c r="AW2038" s="1856" t="str">
        <f t="shared" si="358"/>
        <v/>
      </c>
      <c r="AX2038" s="1856" t="str">
        <f t="shared" si="359"/>
        <v/>
      </c>
      <c r="AY2038" s="1856" t="str">
        <f t="shared" si="360"/>
        <v/>
      </c>
    </row>
    <row r="2039" spans="42:52">
      <c r="AP2039" s="1855">
        <f t="shared" si="361"/>
        <v>44785</v>
      </c>
      <c r="AQ2039" s="925" t="str">
        <f t="shared" si="363"/>
        <v>SR</v>
      </c>
      <c r="AR2039" s="1856">
        <f t="shared" si="362"/>
        <v>44785.288888888892</v>
      </c>
      <c r="AS2039" s="927" t="s">
        <v>1701</v>
      </c>
      <c r="AT2039" s="1856" t="str">
        <f t="shared" si="355"/>
        <v/>
      </c>
      <c r="AU2039" s="1856" t="str">
        <f t="shared" si="356"/>
        <v/>
      </c>
      <c r="AV2039" s="1856" t="str">
        <f t="shared" si="357"/>
        <v/>
      </c>
      <c r="AW2039" s="1856" t="str">
        <f t="shared" si="358"/>
        <v/>
      </c>
      <c r="AX2039" s="1856" t="str">
        <f t="shared" si="359"/>
        <v/>
      </c>
      <c r="AY2039" s="1856" t="str">
        <f t="shared" si="360"/>
        <v/>
      </c>
    </row>
    <row r="2040" spans="42:52">
      <c r="AP2040" s="1855">
        <f t="shared" si="361"/>
        <v>44785</v>
      </c>
      <c r="AQ2040" s="925" t="str">
        <f t="shared" si="363"/>
        <v>MS</v>
      </c>
      <c r="AR2040" s="1856">
        <f t="shared" si="362"/>
        <v>44785.305555555555</v>
      </c>
      <c r="AS2040" s="927" t="s">
        <v>2062</v>
      </c>
      <c r="AT2040" s="1856" t="str">
        <f t="shared" si="355"/>
        <v/>
      </c>
      <c r="AU2040" s="1856" t="str">
        <f t="shared" si="356"/>
        <v/>
      </c>
      <c r="AV2040" s="1856" t="str">
        <f t="shared" si="357"/>
        <v/>
      </c>
      <c r="AW2040" s="1856" t="str">
        <f t="shared" si="358"/>
        <v/>
      </c>
      <c r="AX2040" s="1856" t="str">
        <f t="shared" si="359"/>
        <v/>
      </c>
      <c r="AY2040" s="1856" t="str">
        <f t="shared" si="360"/>
        <v/>
      </c>
    </row>
    <row r="2041" spans="42:52">
      <c r="AP2041" s="1855">
        <f t="shared" si="361"/>
        <v>44785</v>
      </c>
      <c r="AQ2041" s="925" t="str">
        <f t="shared" si="363"/>
        <v>SS</v>
      </c>
      <c r="AR2041" s="1856">
        <f t="shared" si="362"/>
        <v>44785.862500000003</v>
      </c>
      <c r="AS2041" s="927" t="s">
        <v>1787</v>
      </c>
      <c r="AT2041" s="1856" t="str">
        <f t="shared" si="355"/>
        <v/>
      </c>
      <c r="AU2041" s="1856" t="str">
        <f t="shared" si="356"/>
        <v/>
      </c>
      <c r="AV2041" s="1856" t="str">
        <f t="shared" si="357"/>
        <v/>
      </c>
      <c r="AW2041" s="1856" t="str">
        <f t="shared" si="358"/>
        <v/>
      </c>
      <c r="AX2041" s="1856" t="str">
        <f t="shared" si="359"/>
        <v/>
      </c>
      <c r="AY2041" s="1856" t="str">
        <f t="shared" si="360"/>
        <v/>
      </c>
    </row>
    <row r="2042" spans="42:52">
      <c r="AP2042" s="1855">
        <f t="shared" si="361"/>
        <v>44785</v>
      </c>
      <c r="AQ2042" s="925" t="str">
        <f t="shared" si="363"/>
        <v>MR</v>
      </c>
      <c r="AR2042" s="1856">
        <f t="shared" si="362"/>
        <v>44785.900694444441</v>
      </c>
      <c r="AS2042" s="927" t="s">
        <v>2063</v>
      </c>
      <c r="AT2042" s="1856" t="str">
        <f t="shared" si="355"/>
        <v/>
      </c>
      <c r="AU2042" s="1856" t="str">
        <f t="shared" si="356"/>
        <v/>
      </c>
      <c r="AV2042" s="1856" t="str">
        <f t="shared" si="357"/>
        <v/>
      </c>
      <c r="AW2042" s="1856" t="str">
        <f t="shared" si="358"/>
        <v/>
      </c>
      <c r="AX2042" s="1856" t="str">
        <f t="shared" si="359"/>
        <v/>
      </c>
      <c r="AY2042" s="1856" t="str">
        <f t="shared" si="360"/>
        <v/>
      </c>
    </row>
    <row r="2043" spans="42:52">
      <c r="AP2043" s="1855">
        <f t="shared" si="361"/>
        <v>44785</v>
      </c>
      <c r="AQ2043" s="925" t="str">
        <f t="shared" si="363"/>
        <v>EENT</v>
      </c>
      <c r="AR2043" s="1856">
        <f t="shared" si="362"/>
        <v>44785.905555555553</v>
      </c>
      <c r="AS2043" s="927" t="s">
        <v>1777</v>
      </c>
      <c r="AT2043" s="1856" t="str">
        <f t="shared" si="355"/>
        <v/>
      </c>
      <c r="AU2043" s="1856" t="str">
        <f t="shared" si="356"/>
        <v/>
      </c>
      <c r="AV2043" s="1856" t="str">
        <f t="shared" si="357"/>
        <v/>
      </c>
      <c r="AW2043" s="1856" t="str">
        <f t="shared" si="358"/>
        <v/>
      </c>
      <c r="AX2043" s="1856" t="str">
        <f t="shared" si="359"/>
        <v/>
      </c>
      <c r="AY2043" s="1856" t="str">
        <f t="shared" si="360"/>
        <v/>
      </c>
    </row>
    <row r="2044" spans="42:52">
      <c r="AP2044" s="1855">
        <f t="shared" si="361"/>
        <v>44786</v>
      </c>
      <c r="AQ2044" s="925" t="str">
        <f t="shared" si="363"/>
        <v/>
      </c>
      <c r="AR2044" s="1856" t="str">
        <f t="shared" si="362"/>
        <v/>
      </c>
      <c r="AS2044" s="927">
        <v>13</v>
      </c>
      <c r="AT2044" s="1856">
        <f t="shared" si="355"/>
        <v>44786.246527777781</v>
      </c>
      <c r="AU2044" s="1856">
        <f t="shared" si="356"/>
        <v>44786.289583333331</v>
      </c>
      <c r="AV2044" s="1856">
        <f t="shared" si="357"/>
        <v>44786.861805555556</v>
      </c>
      <c r="AW2044" s="1856">
        <f t="shared" si="358"/>
        <v>44786.904861111114</v>
      </c>
      <c r="AX2044" s="1856">
        <f t="shared" si="359"/>
        <v>44786.922222222223</v>
      </c>
      <c r="AY2044" s="1856">
        <f t="shared" si="360"/>
        <v>44786.357638888891</v>
      </c>
      <c r="AZ2044" s="1853">
        <v>0.98</v>
      </c>
    </row>
    <row r="2045" spans="42:52">
      <c r="AP2045" s="1855">
        <f t="shared" si="361"/>
        <v>44786</v>
      </c>
      <c r="AQ2045" s="925" t="str">
        <f t="shared" si="363"/>
        <v/>
      </c>
      <c r="AR2045" s="1856" t="str">
        <f t="shared" si="362"/>
        <v/>
      </c>
      <c r="AS2045" s="927" t="s">
        <v>252</v>
      </c>
      <c r="AT2045" s="1856" t="str">
        <f t="shared" si="355"/>
        <v/>
      </c>
      <c r="AU2045" s="1856" t="str">
        <f t="shared" si="356"/>
        <v/>
      </c>
      <c r="AV2045" s="1856" t="str">
        <f t="shared" si="357"/>
        <v/>
      </c>
      <c r="AW2045" s="1856" t="str">
        <f t="shared" si="358"/>
        <v/>
      </c>
      <c r="AX2045" s="1856" t="str">
        <f t="shared" si="359"/>
        <v/>
      </c>
      <c r="AY2045" s="1856" t="str">
        <f t="shared" si="360"/>
        <v/>
      </c>
    </row>
    <row r="2046" spans="42:52">
      <c r="AP2046" s="1855">
        <f t="shared" si="361"/>
        <v>44786</v>
      </c>
      <c r="AQ2046" s="925" t="str">
        <f t="shared" si="363"/>
        <v/>
      </c>
      <c r="AR2046" s="1856" t="str">
        <f t="shared" si="362"/>
        <v/>
      </c>
      <c r="AT2046" s="1856" t="str">
        <f t="shared" si="355"/>
        <v/>
      </c>
      <c r="AU2046" s="1856" t="str">
        <f t="shared" si="356"/>
        <v/>
      </c>
      <c r="AV2046" s="1856" t="str">
        <f t="shared" si="357"/>
        <v/>
      </c>
      <c r="AW2046" s="1856" t="str">
        <f t="shared" si="358"/>
        <v/>
      </c>
      <c r="AX2046" s="1856" t="str">
        <f t="shared" si="359"/>
        <v/>
      </c>
      <c r="AY2046" s="1856" t="str">
        <f t="shared" si="360"/>
        <v/>
      </c>
    </row>
    <row r="2047" spans="42:52">
      <c r="AP2047" s="1855">
        <f t="shared" si="361"/>
        <v>44786</v>
      </c>
      <c r="AQ2047" s="925" t="str">
        <f t="shared" si="363"/>
        <v>BMNT</v>
      </c>
      <c r="AR2047" s="1856">
        <f t="shared" si="362"/>
        <v>44786.246527777781</v>
      </c>
      <c r="AS2047" s="927" t="s">
        <v>2064</v>
      </c>
      <c r="AT2047" s="1856" t="str">
        <f t="shared" si="355"/>
        <v/>
      </c>
      <c r="AU2047" s="1856" t="str">
        <f t="shared" si="356"/>
        <v/>
      </c>
      <c r="AV2047" s="1856" t="str">
        <f t="shared" si="357"/>
        <v/>
      </c>
      <c r="AW2047" s="1856" t="str">
        <f t="shared" si="358"/>
        <v/>
      </c>
      <c r="AX2047" s="1856" t="str">
        <f t="shared" si="359"/>
        <v/>
      </c>
      <c r="AY2047" s="1856" t="str">
        <f t="shared" si="360"/>
        <v/>
      </c>
    </row>
    <row r="2048" spans="42:52">
      <c r="AP2048" s="1855">
        <f t="shared" si="361"/>
        <v>44786</v>
      </c>
      <c r="AQ2048" s="925" t="str">
        <f t="shared" si="363"/>
        <v>SR</v>
      </c>
      <c r="AR2048" s="1856">
        <f t="shared" si="362"/>
        <v>44786.289583333331</v>
      </c>
      <c r="AS2048" s="927" t="s">
        <v>1695</v>
      </c>
      <c r="AT2048" s="1856" t="str">
        <f t="shared" si="355"/>
        <v/>
      </c>
      <c r="AU2048" s="1856" t="str">
        <f t="shared" si="356"/>
        <v/>
      </c>
      <c r="AV2048" s="1856" t="str">
        <f t="shared" si="357"/>
        <v/>
      </c>
      <c r="AW2048" s="1856" t="str">
        <f t="shared" si="358"/>
        <v/>
      </c>
      <c r="AX2048" s="1856" t="str">
        <f t="shared" si="359"/>
        <v/>
      </c>
      <c r="AY2048" s="1856" t="str">
        <f t="shared" si="360"/>
        <v/>
      </c>
    </row>
    <row r="2049" spans="42:52">
      <c r="AP2049" s="1855">
        <f t="shared" si="361"/>
        <v>44786</v>
      </c>
      <c r="AQ2049" s="925" t="str">
        <f t="shared" si="363"/>
        <v>MS</v>
      </c>
      <c r="AR2049" s="1856">
        <f t="shared" si="362"/>
        <v>44786.357638888891</v>
      </c>
      <c r="AS2049" s="927" t="s">
        <v>2065</v>
      </c>
      <c r="AT2049" s="1856" t="str">
        <f t="shared" si="355"/>
        <v/>
      </c>
      <c r="AU2049" s="1856" t="str">
        <f t="shared" si="356"/>
        <v/>
      </c>
      <c r="AV2049" s="1856" t="str">
        <f t="shared" si="357"/>
        <v/>
      </c>
      <c r="AW2049" s="1856" t="str">
        <f t="shared" si="358"/>
        <v/>
      </c>
      <c r="AX2049" s="1856" t="str">
        <f t="shared" si="359"/>
        <v/>
      </c>
      <c r="AY2049" s="1856" t="str">
        <f t="shared" si="360"/>
        <v/>
      </c>
    </row>
    <row r="2050" spans="42:52">
      <c r="AP2050" s="1855">
        <f t="shared" si="361"/>
        <v>44786</v>
      </c>
      <c r="AQ2050" s="925" t="str">
        <f t="shared" si="363"/>
        <v>SS</v>
      </c>
      <c r="AR2050" s="1856">
        <f t="shared" si="362"/>
        <v>44786.861805555556</v>
      </c>
      <c r="AS2050" s="927" t="s">
        <v>1782</v>
      </c>
      <c r="AT2050" s="1856" t="str">
        <f t="shared" si="355"/>
        <v/>
      </c>
      <c r="AU2050" s="1856" t="str">
        <f t="shared" si="356"/>
        <v/>
      </c>
      <c r="AV2050" s="1856" t="str">
        <f t="shared" si="357"/>
        <v/>
      </c>
      <c r="AW2050" s="1856" t="str">
        <f t="shared" si="358"/>
        <v/>
      </c>
      <c r="AX2050" s="1856" t="str">
        <f t="shared" si="359"/>
        <v/>
      </c>
      <c r="AY2050" s="1856" t="str">
        <f t="shared" si="360"/>
        <v/>
      </c>
    </row>
    <row r="2051" spans="42:52">
      <c r="AP2051" s="1855">
        <f t="shared" si="361"/>
        <v>44786</v>
      </c>
      <c r="AQ2051" s="925" t="str">
        <f t="shared" si="363"/>
        <v>EENT</v>
      </c>
      <c r="AR2051" s="1856">
        <f t="shared" si="362"/>
        <v>44786.904861111114</v>
      </c>
      <c r="AS2051" s="927" t="s">
        <v>1771</v>
      </c>
      <c r="AT2051" s="1856" t="str">
        <f t="shared" si="355"/>
        <v/>
      </c>
      <c r="AU2051" s="1856" t="str">
        <f t="shared" si="356"/>
        <v/>
      </c>
      <c r="AV2051" s="1856" t="str">
        <f t="shared" si="357"/>
        <v/>
      </c>
      <c r="AW2051" s="1856" t="str">
        <f t="shared" si="358"/>
        <v/>
      </c>
      <c r="AX2051" s="1856" t="str">
        <f t="shared" si="359"/>
        <v/>
      </c>
      <c r="AY2051" s="1856" t="str">
        <f t="shared" si="360"/>
        <v/>
      </c>
    </row>
    <row r="2052" spans="42:52">
      <c r="AP2052" s="1855">
        <f t="shared" si="361"/>
        <v>44786</v>
      </c>
      <c r="AQ2052" s="925" t="str">
        <f t="shared" si="363"/>
        <v>MR</v>
      </c>
      <c r="AR2052" s="1856">
        <f t="shared" si="362"/>
        <v>44786.922222222223</v>
      </c>
      <c r="AS2052" s="927" t="s">
        <v>2066</v>
      </c>
      <c r="AT2052" s="1856" t="str">
        <f t="shared" si="355"/>
        <v/>
      </c>
      <c r="AU2052" s="1856" t="str">
        <f t="shared" si="356"/>
        <v/>
      </c>
      <c r="AV2052" s="1856" t="str">
        <f t="shared" si="357"/>
        <v/>
      </c>
      <c r="AW2052" s="1856" t="str">
        <f t="shared" si="358"/>
        <v/>
      </c>
      <c r="AX2052" s="1856" t="str">
        <f t="shared" si="359"/>
        <v/>
      </c>
      <c r="AY2052" s="1856" t="str">
        <f t="shared" si="360"/>
        <v/>
      </c>
    </row>
    <row r="2053" spans="42:52">
      <c r="AP2053" s="1855">
        <f t="shared" si="361"/>
        <v>44787</v>
      </c>
      <c r="AQ2053" s="925" t="str">
        <f t="shared" si="363"/>
        <v/>
      </c>
      <c r="AR2053" s="1856" t="str">
        <f t="shared" si="362"/>
        <v/>
      </c>
      <c r="AS2053" s="927">
        <v>14</v>
      </c>
      <c r="AT2053" s="1856">
        <f t="shared" si="355"/>
        <v>44787.247222222228</v>
      </c>
      <c r="AU2053" s="1856">
        <f t="shared" si="356"/>
        <v>44787.290277777778</v>
      </c>
      <c r="AV2053" s="1856">
        <f t="shared" si="357"/>
        <v>44787.86041666667</v>
      </c>
      <c r="AW2053" s="1856">
        <f t="shared" si="358"/>
        <v>44787.90347222222</v>
      </c>
      <c r="AX2053" s="1856">
        <f t="shared" si="359"/>
        <v>44787.940972222219</v>
      </c>
      <c r="AY2053" s="1856">
        <f t="shared" si="360"/>
        <v>44787.407638888886</v>
      </c>
      <c r="AZ2053" s="1853">
        <v>0.94</v>
      </c>
    </row>
    <row r="2054" spans="42:52">
      <c r="AP2054" s="1855">
        <f t="shared" si="361"/>
        <v>44787</v>
      </c>
      <c r="AQ2054" s="925" t="str">
        <f t="shared" si="363"/>
        <v/>
      </c>
      <c r="AR2054" s="1856" t="str">
        <f t="shared" si="362"/>
        <v/>
      </c>
      <c r="AS2054" s="927" t="s">
        <v>252</v>
      </c>
      <c r="AT2054" s="1856" t="str">
        <f t="shared" si="355"/>
        <v/>
      </c>
      <c r="AU2054" s="1856" t="str">
        <f t="shared" si="356"/>
        <v/>
      </c>
      <c r="AV2054" s="1856" t="str">
        <f t="shared" si="357"/>
        <v/>
      </c>
      <c r="AW2054" s="1856" t="str">
        <f t="shared" si="358"/>
        <v/>
      </c>
      <c r="AX2054" s="1856" t="str">
        <f t="shared" si="359"/>
        <v/>
      </c>
      <c r="AY2054" s="1856" t="str">
        <f t="shared" si="360"/>
        <v/>
      </c>
    </row>
    <row r="2055" spans="42:52">
      <c r="AP2055" s="1855">
        <f t="shared" si="361"/>
        <v>44787</v>
      </c>
      <c r="AQ2055" s="925" t="str">
        <f t="shared" si="363"/>
        <v/>
      </c>
      <c r="AR2055" s="1856" t="str">
        <f t="shared" si="362"/>
        <v/>
      </c>
      <c r="AT2055" s="1856" t="str">
        <f t="shared" si="355"/>
        <v/>
      </c>
      <c r="AU2055" s="1856" t="str">
        <f t="shared" si="356"/>
        <v/>
      </c>
      <c r="AV2055" s="1856" t="str">
        <f t="shared" si="357"/>
        <v/>
      </c>
      <c r="AW2055" s="1856" t="str">
        <f t="shared" si="358"/>
        <v/>
      </c>
      <c r="AX2055" s="1856" t="str">
        <f t="shared" si="359"/>
        <v/>
      </c>
      <c r="AY2055" s="1856" t="str">
        <f t="shared" si="360"/>
        <v/>
      </c>
    </row>
    <row r="2056" spans="42:52">
      <c r="AP2056" s="1855">
        <f t="shared" si="361"/>
        <v>44787</v>
      </c>
      <c r="AQ2056" s="925" t="str">
        <f t="shared" si="363"/>
        <v>BMNT</v>
      </c>
      <c r="AR2056" s="1856">
        <f t="shared" si="362"/>
        <v>44787.247222222228</v>
      </c>
      <c r="AS2056" s="927" t="s">
        <v>1694</v>
      </c>
      <c r="AT2056" s="1856" t="str">
        <f t="shared" si="355"/>
        <v/>
      </c>
      <c r="AU2056" s="1856" t="str">
        <f t="shared" si="356"/>
        <v/>
      </c>
      <c r="AV2056" s="1856" t="str">
        <f t="shared" si="357"/>
        <v/>
      </c>
      <c r="AW2056" s="1856" t="str">
        <f t="shared" si="358"/>
        <v/>
      </c>
      <c r="AX2056" s="1856" t="str">
        <f t="shared" si="359"/>
        <v/>
      </c>
      <c r="AY2056" s="1856" t="str">
        <f t="shared" si="360"/>
        <v/>
      </c>
    </row>
    <row r="2057" spans="42:52">
      <c r="AP2057" s="1855">
        <f t="shared" si="361"/>
        <v>44787</v>
      </c>
      <c r="AQ2057" s="925" t="str">
        <f t="shared" si="363"/>
        <v>SR</v>
      </c>
      <c r="AR2057" s="1856">
        <f t="shared" si="362"/>
        <v>44787.290277777778</v>
      </c>
      <c r="AS2057" s="927" t="s">
        <v>1689</v>
      </c>
      <c r="AT2057" s="1856" t="str">
        <f t="shared" si="355"/>
        <v/>
      </c>
      <c r="AU2057" s="1856" t="str">
        <f t="shared" si="356"/>
        <v/>
      </c>
      <c r="AV2057" s="1856" t="str">
        <f t="shared" si="357"/>
        <v/>
      </c>
      <c r="AW2057" s="1856" t="str">
        <f t="shared" si="358"/>
        <v/>
      </c>
      <c r="AX2057" s="1856" t="str">
        <f t="shared" si="359"/>
        <v/>
      </c>
      <c r="AY2057" s="1856" t="str">
        <f t="shared" si="360"/>
        <v/>
      </c>
    </row>
    <row r="2058" spans="42:52">
      <c r="AP2058" s="1855">
        <f t="shared" si="361"/>
        <v>44787</v>
      </c>
      <c r="AQ2058" s="925" t="str">
        <f t="shared" si="363"/>
        <v>MS</v>
      </c>
      <c r="AR2058" s="1856">
        <f t="shared" si="362"/>
        <v>44787.407638888886</v>
      </c>
      <c r="AS2058" s="927" t="s">
        <v>2008</v>
      </c>
      <c r="AT2058" s="1856" t="str">
        <f t="shared" si="355"/>
        <v/>
      </c>
      <c r="AU2058" s="1856" t="str">
        <f t="shared" si="356"/>
        <v/>
      </c>
      <c r="AV2058" s="1856" t="str">
        <f t="shared" si="357"/>
        <v/>
      </c>
      <c r="AW2058" s="1856" t="str">
        <f t="shared" si="358"/>
        <v/>
      </c>
      <c r="AX2058" s="1856" t="str">
        <f t="shared" si="359"/>
        <v/>
      </c>
      <c r="AY2058" s="1856" t="str">
        <f t="shared" si="360"/>
        <v/>
      </c>
    </row>
    <row r="2059" spans="42:52">
      <c r="AP2059" s="1855">
        <f t="shared" si="361"/>
        <v>44787</v>
      </c>
      <c r="AQ2059" s="925" t="str">
        <f t="shared" si="363"/>
        <v>SS</v>
      </c>
      <c r="AR2059" s="1856">
        <f t="shared" si="362"/>
        <v>44787.86041666667</v>
      </c>
      <c r="AS2059" s="927" t="s">
        <v>1770</v>
      </c>
      <c r="AT2059" s="1856" t="str">
        <f t="shared" si="355"/>
        <v/>
      </c>
      <c r="AU2059" s="1856" t="str">
        <f t="shared" si="356"/>
        <v/>
      </c>
      <c r="AV2059" s="1856" t="str">
        <f t="shared" si="357"/>
        <v/>
      </c>
      <c r="AW2059" s="1856" t="str">
        <f t="shared" si="358"/>
        <v/>
      </c>
      <c r="AX2059" s="1856" t="str">
        <f t="shared" si="359"/>
        <v/>
      </c>
      <c r="AY2059" s="1856" t="str">
        <f t="shared" si="360"/>
        <v/>
      </c>
    </row>
    <row r="2060" spans="42:52">
      <c r="AP2060" s="1855">
        <f t="shared" si="361"/>
        <v>44787</v>
      </c>
      <c r="AQ2060" s="925" t="str">
        <f t="shared" si="363"/>
        <v>EENT</v>
      </c>
      <c r="AR2060" s="1856">
        <f t="shared" si="362"/>
        <v>44787.90347222222</v>
      </c>
      <c r="AS2060" s="927" t="s">
        <v>1760</v>
      </c>
      <c r="AT2060" s="1856" t="str">
        <f t="shared" si="355"/>
        <v/>
      </c>
      <c r="AU2060" s="1856" t="str">
        <f t="shared" si="356"/>
        <v/>
      </c>
      <c r="AV2060" s="1856" t="str">
        <f t="shared" si="357"/>
        <v/>
      </c>
      <c r="AW2060" s="1856" t="str">
        <f t="shared" si="358"/>
        <v/>
      </c>
      <c r="AX2060" s="1856" t="str">
        <f t="shared" si="359"/>
        <v/>
      </c>
      <c r="AY2060" s="1856" t="str">
        <f t="shared" si="360"/>
        <v/>
      </c>
    </row>
    <row r="2061" spans="42:52">
      <c r="AP2061" s="1855">
        <f t="shared" si="361"/>
        <v>44787</v>
      </c>
      <c r="AQ2061" s="925" t="str">
        <f t="shared" si="363"/>
        <v>MR</v>
      </c>
      <c r="AR2061" s="1856">
        <f t="shared" si="362"/>
        <v>44787.940972222219</v>
      </c>
      <c r="AS2061" s="927" t="s">
        <v>2067</v>
      </c>
      <c r="AT2061" s="1856" t="str">
        <f t="shared" si="355"/>
        <v/>
      </c>
      <c r="AU2061" s="1856" t="str">
        <f t="shared" si="356"/>
        <v/>
      </c>
      <c r="AV2061" s="1856" t="str">
        <f t="shared" si="357"/>
        <v/>
      </c>
      <c r="AW2061" s="1856" t="str">
        <f t="shared" si="358"/>
        <v/>
      </c>
      <c r="AX2061" s="1856" t="str">
        <f t="shared" si="359"/>
        <v/>
      </c>
      <c r="AY2061" s="1856" t="str">
        <f t="shared" si="360"/>
        <v/>
      </c>
    </row>
    <row r="2062" spans="42:52">
      <c r="AP2062" s="1855">
        <f t="shared" si="361"/>
        <v>44788</v>
      </c>
      <c r="AQ2062" s="925" t="str">
        <f t="shared" si="363"/>
        <v/>
      </c>
      <c r="AR2062" s="1856" t="str">
        <f t="shared" si="362"/>
        <v/>
      </c>
      <c r="AS2062" s="927">
        <v>15</v>
      </c>
      <c r="AT2062" s="1856">
        <f t="shared" si="355"/>
        <v>44788.247916666667</v>
      </c>
      <c r="AU2062" s="1856">
        <f t="shared" si="356"/>
        <v>44788.290972222225</v>
      </c>
      <c r="AV2062" s="1856">
        <f t="shared" si="357"/>
        <v>44788.859722222223</v>
      </c>
      <c r="AW2062" s="1856">
        <f t="shared" si="358"/>
        <v>44788.902777777781</v>
      </c>
      <c r="AX2062" s="1856">
        <f t="shared" si="359"/>
        <v>44788.959027777782</v>
      </c>
      <c r="AY2062" s="1856">
        <f t="shared" si="360"/>
        <v>44788.454861111109</v>
      </c>
      <c r="AZ2062" s="1853">
        <v>0.87</v>
      </c>
    </row>
    <row r="2063" spans="42:52">
      <c r="AP2063" s="1855">
        <f t="shared" si="361"/>
        <v>44788</v>
      </c>
      <c r="AQ2063" s="925" t="str">
        <f t="shared" si="363"/>
        <v/>
      </c>
      <c r="AR2063" s="1856" t="str">
        <f t="shared" si="362"/>
        <v/>
      </c>
      <c r="AS2063" s="927" t="s">
        <v>252</v>
      </c>
      <c r="AT2063" s="1856" t="str">
        <f t="shared" si="355"/>
        <v/>
      </c>
      <c r="AU2063" s="1856" t="str">
        <f t="shared" si="356"/>
        <v/>
      </c>
      <c r="AV2063" s="1856" t="str">
        <f t="shared" si="357"/>
        <v/>
      </c>
      <c r="AW2063" s="1856" t="str">
        <f t="shared" si="358"/>
        <v/>
      </c>
      <c r="AX2063" s="1856" t="str">
        <f t="shared" si="359"/>
        <v/>
      </c>
      <c r="AY2063" s="1856" t="str">
        <f t="shared" si="360"/>
        <v/>
      </c>
    </row>
    <row r="2064" spans="42:52">
      <c r="AP2064" s="1855">
        <f t="shared" si="361"/>
        <v>44788</v>
      </c>
      <c r="AQ2064" s="925" t="str">
        <f t="shared" si="363"/>
        <v/>
      </c>
      <c r="AR2064" s="1856" t="str">
        <f t="shared" si="362"/>
        <v/>
      </c>
      <c r="AT2064" s="1856" t="str">
        <f t="shared" si="355"/>
        <v/>
      </c>
      <c r="AU2064" s="1856" t="str">
        <f t="shared" si="356"/>
        <v/>
      </c>
      <c r="AV2064" s="1856" t="str">
        <f t="shared" si="357"/>
        <v/>
      </c>
      <c r="AW2064" s="1856" t="str">
        <f t="shared" si="358"/>
        <v/>
      </c>
      <c r="AX2064" s="1856" t="str">
        <f t="shared" si="359"/>
        <v/>
      </c>
      <c r="AY2064" s="1856" t="str">
        <f t="shared" si="360"/>
        <v/>
      </c>
    </row>
    <row r="2065" spans="42:52">
      <c r="AP2065" s="1855">
        <f t="shared" si="361"/>
        <v>44788</v>
      </c>
      <c r="AQ2065" s="925" t="str">
        <f t="shared" si="363"/>
        <v>BMNT</v>
      </c>
      <c r="AR2065" s="1856">
        <f t="shared" si="362"/>
        <v>44788.247916666667</v>
      </c>
      <c r="AS2065" s="927" t="s">
        <v>1688</v>
      </c>
      <c r="AT2065" s="1856" t="str">
        <f t="shared" si="355"/>
        <v/>
      </c>
      <c r="AU2065" s="1856" t="str">
        <f t="shared" si="356"/>
        <v/>
      </c>
      <c r="AV2065" s="1856" t="str">
        <f t="shared" si="357"/>
        <v/>
      </c>
      <c r="AW2065" s="1856" t="str">
        <f t="shared" si="358"/>
        <v/>
      </c>
      <c r="AX2065" s="1856" t="str">
        <f t="shared" si="359"/>
        <v/>
      </c>
      <c r="AY2065" s="1856" t="str">
        <f t="shared" si="360"/>
        <v/>
      </c>
    </row>
    <row r="2066" spans="42:52">
      <c r="AP2066" s="1855">
        <f t="shared" si="361"/>
        <v>44788</v>
      </c>
      <c r="AQ2066" s="925" t="str">
        <f t="shared" si="363"/>
        <v>SR</v>
      </c>
      <c r="AR2066" s="1856">
        <f t="shared" si="362"/>
        <v>44788.290972222225</v>
      </c>
      <c r="AS2066" s="927" t="s">
        <v>2068</v>
      </c>
      <c r="AT2066" s="1856" t="str">
        <f t="shared" si="355"/>
        <v/>
      </c>
      <c r="AU2066" s="1856" t="str">
        <f t="shared" si="356"/>
        <v/>
      </c>
      <c r="AV2066" s="1856" t="str">
        <f t="shared" si="357"/>
        <v/>
      </c>
      <c r="AW2066" s="1856" t="str">
        <f t="shared" si="358"/>
        <v/>
      </c>
      <c r="AX2066" s="1856" t="str">
        <f t="shared" si="359"/>
        <v/>
      </c>
      <c r="AY2066" s="1856" t="str">
        <f t="shared" si="360"/>
        <v/>
      </c>
    </row>
    <row r="2067" spans="42:52">
      <c r="AP2067" s="1855">
        <f t="shared" si="361"/>
        <v>44788</v>
      </c>
      <c r="AQ2067" s="925" t="str">
        <f t="shared" si="363"/>
        <v>MS</v>
      </c>
      <c r="AR2067" s="1856">
        <f t="shared" si="362"/>
        <v>44788.454861111109</v>
      </c>
      <c r="AS2067" s="927" t="s">
        <v>2069</v>
      </c>
      <c r="AT2067" s="1856" t="str">
        <f t="shared" si="355"/>
        <v/>
      </c>
      <c r="AU2067" s="1856" t="str">
        <f t="shared" si="356"/>
        <v/>
      </c>
      <c r="AV2067" s="1856" t="str">
        <f t="shared" si="357"/>
        <v/>
      </c>
      <c r="AW2067" s="1856" t="str">
        <f t="shared" si="358"/>
        <v/>
      </c>
      <c r="AX2067" s="1856" t="str">
        <f t="shared" si="359"/>
        <v/>
      </c>
      <c r="AY2067" s="1856" t="str">
        <f t="shared" si="360"/>
        <v/>
      </c>
    </row>
    <row r="2068" spans="42:52">
      <c r="AP2068" s="1855">
        <f t="shared" si="361"/>
        <v>44788</v>
      </c>
      <c r="AQ2068" s="925" t="str">
        <f t="shared" si="363"/>
        <v>SS</v>
      </c>
      <c r="AR2068" s="1856">
        <f t="shared" si="362"/>
        <v>44788.859722222223</v>
      </c>
      <c r="AS2068" s="927" t="s">
        <v>1765</v>
      </c>
      <c r="AT2068" s="1856" t="str">
        <f t="shared" si="355"/>
        <v/>
      </c>
      <c r="AU2068" s="1856" t="str">
        <f t="shared" si="356"/>
        <v/>
      </c>
      <c r="AV2068" s="1856" t="str">
        <f t="shared" si="357"/>
        <v/>
      </c>
      <c r="AW2068" s="1856" t="str">
        <f t="shared" si="358"/>
        <v/>
      </c>
      <c r="AX2068" s="1856" t="str">
        <f t="shared" si="359"/>
        <v/>
      </c>
      <c r="AY2068" s="1856" t="str">
        <f t="shared" si="360"/>
        <v/>
      </c>
    </row>
    <row r="2069" spans="42:52">
      <c r="AP2069" s="1855">
        <f t="shared" si="361"/>
        <v>44788</v>
      </c>
      <c r="AQ2069" s="925" t="str">
        <f t="shared" si="363"/>
        <v>EENT</v>
      </c>
      <c r="AR2069" s="1856">
        <f t="shared" si="362"/>
        <v>44788.902777777781</v>
      </c>
      <c r="AS2069" s="927" t="s">
        <v>1754</v>
      </c>
      <c r="AT2069" s="1856" t="str">
        <f t="shared" si="355"/>
        <v/>
      </c>
      <c r="AU2069" s="1856" t="str">
        <f t="shared" si="356"/>
        <v/>
      </c>
      <c r="AV2069" s="1856" t="str">
        <f t="shared" si="357"/>
        <v/>
      </c>
      <c r="AW2069" s="1856" t="str">
        <f t="shared" si="358"/>
        <v/>
      </c>
      <c r="AX2069" s="1856" t="str">
        <f t="shared" si="359"/>
        <v/>
      </c>
      <c r="AY2069" s="1856" t="str">
        <f t="shared" si="360"/>
        <v/>
      </c>
    </row>
    <row r="2070" spans="42:52">
      <c r="AP2070" s="1855">
        <f t="shared" si="361"/>
        <v>44788</v>
      </c>
      <c r="AQ2070" s="925" t="str">
        <f t="shared" si="363"/>
        <v>MR</v>
      </c>
      <c r="AR2070" s="1856">
        <f t="shared" si="362"/>
        <v>44788.959027777782</v>
      </c>
      <c r="AS2070" s="927" t="s">
        <v>2070</v>
      </c>
      <c r="AT2070" s="1856" t="str">
        <f t="shared" si="355"/>
        <v/>
      </c>
      <c r="AU2070" s="1856" t="str">
        <f t="shared" si="356"/>
        <v/>
      </c>
      <c r="AV2070" s="1856" t="str">
        <f t="shared" si="357"/>
        <v/>
      </c>
      <c r="AW2070" s="1856" t="str">
        <f t="shared" si="358"/>
        <v/>
      </c>
      <c r="AX2070" s="1856" t="str">
        <f t="shared" si="359"/>
        <v/>
      </c>
      <c r="AY2070" s="1856" t="str">
        <f t="shared" si="360"/>
        <v/>
      </c>
    </row>
    <row r="2071" spans="42:52">
      <c r="AP2071" s="1855">
        <f t="shared" si="361"/>
        <v>44789</v>
      </c>
      <c r="AQ2071" s="925" t="str">
        <f t="shared" si="363"/>
        <v/>
      </c>
      <c r="AR2071" s="1856" t="str">
        <f t="shared" si="362"/>
        <v/>
      </c>
      <c r="AS2071" s="927">
        <v>16</v>
      </c>
      <c r="AT2071" s="1856">
        <f t="shared" si="355"/>
        <v>44789.248611111114</v>
      </c>
      <c r="AU2071" s="1856">
        <f t="shared" si="356"/>
        <v>44789.291666666664</v>
      </c>
      <c r="AV2071" s="1856">
        <f t="shared" si="357"/>
        <v>44789.859027777777</v>
      </c>
      <c r="AW2071" s="1856">
        <f t="shared" si="358"/>
        <v>44789.901388888888</v>
      </c>
      <c r="AX2071" s="1856">
        <f t="shared" si="359"/>
        <v>44789.977083333339</v>
      </c>
      <c r="AY2071" s="1856">
        <f t="shared" si="360"/>
        <v>44789.500694444447</v>
      </c>
      <c r="AZ2071" s="1853">
        <v>0.79</v>
      </c>
    </row>
    <row r="2072" spans="42:52">
      <c r="AP2072" s="1855">
        <f t="shared" si="361"/>
        <v>44789</v>
      </c>
      <c r="AQ2072" s="925" t="str">
        <f t="shared" si="363"/>
        <v/>
      </c>
      <c r="AR2072" s="1856" t="str">
        <f t="shared" si="362"/>
        <v/>
      </c>
      <c r="AS2072" s="927" t="s">
        <v>252</v>
      </c>
      <c r="AT2072" s="1856" t="str">
        <f t="shared" si="355"/>
        <v/>
      </c>
      <c r="AU2072" s="1856" t="str">
        <f t="shared" si="356"/>
        <v/>
      </c>
      <c r="AV2072" s="1856" t="str">
        <f t="shared" si="357"/>
        <v/>
      </c>
      <c r="AW2072" s="1856" t="str">
        <f t="shared" si="358"/>
        <v/>
      </c>
      <c r="AX2072" s="1856" t="str">
        <f t="shared" si="359"/>
        <v/>
      </c>
      <c r="AY2072" s="1856" t="str">
        <f t="shared" si="360"/>
        <v/>
      </c>
    </row>
    <row r="2073" spans="42:52">
      <c r="AP2073" s="1855">
        <f t="shared" si="361"/>
        <v>44789</v>
      </c>
      <c r="AQ2073" s="925" t="str">
        <f t="shared" si="363"/>
        <v/>
      </c>
      <c r="AR2073" s="1856" t="str">
        <f t="shared" si="362"/>
        <v/>
      </c>
      <c r="AT2073" s="1856" t="str">
        <f t="shared" si="355"/>
        <v/>
      </c>
      <c r="AU2073" s="1856" t="str">
        <f t="shared" si="356"/>
        <v/>
      </c>
      <c r="AV2073" s="1856" t="str">
        <f t="shared" si="357"/>
        <v/>
      </c>
      <c r="AW2073" s="1856" t="str">
        <f t="shared" si="358"/>
        <v/>
      </c>
      <c r="AX2073" s="1856" t="str">
        <f t="shared" si="359"/>
        <v/>
      </c>
      <c r="AY2073" s="1856" t="str">
        <f t="shared" si="360"/>
        <v/>
      </c>
    </row>
    <row r="2074" spans="42:52">
      <c r="AP2074" s="1855">
        <f t="shared" si="361"/>
        <v>44789</v>
      </c>
      <c r="AQ2074" s="925" t="str">
        <f t="shared" si="363"/>
        <v>BMNT</v>
      </c>
      <c r="AR2074" s="1856">
        <f t="shared" si="362"/>
        <v>44789.248611111114</v>
      </c>
      <c r="AS2074" s="927" t="s">
        <v>2071</v>
      </c>
      <c r="AT2074" s="1856" t="str">
        <f t="shared" si="355"/>
        <v/>
      </c>
      <c r="AU2074" s="1856" t="str">
        <f t="shared" si="356"/>
        <v/>
      </c>
      <c r="AV2074" s="1856" t="str">
        <f t="shared" si="357"/>
        <v/>
      </c>
      <c r="AW2074" s="1856" t="str">
        <f t="shared" si="358"/>
        <v/>
      </c>
      <c r="AX2074" s="1856" t="str">
        <f t="shared" si="359"/>
        <v/>
      </c>
      <c r="AY2074" s="1856" t="str">
        <f t="shared" si="360"/>
        <v/>
      </c>
    </row>
    <row r="2075" spans="42:52">
      <c r="AP2075" s="1855">
        <f t="shared" si="361"/>
        <v>44789</v>
      </c>
      <c r="AQ2075" s="925" t="str">
        <f t="shared" si="363"/>
        <v>SR</v>
      </c>
      <c r="AR2075" s="1856">
        <f t="shared" si="362"/>
        <v>44789.291666666664</v>
      </c>
      <c r="AS2075" s="927" t="s">
        <v>1511</v>
      </c>
      <c r="AT2075" s="1856" t="str">
        <f t="shared" si="355"/>
        <v/>
      </c>
      <c r="AU2075" s="1856" t="str">
        <f t="shared" si="356"/>
        <v/>
      </c>
      <c r="AV2075" s="1856" t="str">
        <f t="shared" si="357"/>
        <v/>
      </c>
      <c r="AW2075" s="1856" t="str">
        <f t="shared" si="358"/>
        <v/>
      </c>
      <c r="AX2075" s="1856" t="str">
        <f t="shared" si="359"/>
        <v/>
      </c>
      <c r="AY2075" s="1856" t="str">
        <f t="shared" si="360"/>
        <v/>
      </c>
    </row>
    <row r="2076" spans="42:52">
      <c r="AP2076" s="1855">
        <f t="shared" si="361"/>
        <v>44789</v>
      </c>
      <c r="AQ2076" s="925" t="str">
        <f t="shared" si="363"/>
        <v>MS</v>
      </c>
      <c r="AR2076" s="1856">
        <f t="shared" si="362"/>
        <v>44789.500694444447</v>
      </c>
      <c r="AS2076" s="927" t="s">
        <v>2072</v>
      </c>
      <c r="AT2076" s="1856" t="str">
        <f t="shared" ref="AT2076:AT2139" si="364">IF(ISNUMBER(AS2076),INDEX(AR2077:AR2087,MATCH($AT$27,AQ2077:AQ2087,0)),"")</f>
        <v/>
      </c>
      <c r="AU2076" s="1856" t="str">
        <f t="shared" ref="AU2076:AU2139" si="365">IF(AT2076="","",INDEX(AR2077:AR2087,MATCH($AU$27,AQ2077:AQ2087,0)))</f>
        <v/>
      </c>
      <c r="AV2076" s="1856" t="str">
        <f t="shared" ref="AV2076:AV2139" si="366">IF(AT2076="","",INDEX(AR2077:AR2087,MATCH($AV$27,AQ2077:AQ2087,0)))</f>
        <v/>
      </c>
      <c r="AW2076" s="1856" t="str">
        <f t="shared" ref="AW2076:AW2139" si="367">IF(AT2076="","",INDEX(AR2077:AR2087,MATCH($AW$27,AQ2077:AQ2087,0)))</f>
        <v/>
      </c>
      <c r="AX2076" s="1856" t="str">
        <f t="shared" ref="AX2076:AX2139" si="368">IF(AT2076="","",INDEX(AR2077:AR2087,MATCH($AX$27,AQ2077:AQ2087,0)))</f>
        <v/>
      </c>
      <c r="AY2076" s="1856" t="str">
        <f t="shared" ref="AY2076:AY2139" si="369">IF(AT2076="","",INDEX(AR2077:AR2087,MATCH($AY$27,AQ2077:AQ2087,0)))</f>
        <v/>
      </c>
    </row>
    <row r="2077" spans="42:52">
      <c r="AP2077" s="1855">
        <f t="shared" si="361"/>
        <v>44789</v>
      </c>
      <c r="AQ2077" s="925" t="str">
        <f t="shared" si="363"/>
        <v>SS</v>
      </c>
      <c r="AR2077" s="1856">
        <f t="shared" si="362"/>
        <v>44789.859027777777</v>
      </c>
      <c r="AS2077" s="927" t="s">
        <v>1759</v>
      </c>
      <c r="AT2077" s="1856" t="str">
        <f t="shared" si="364"/>
        <v/>
      </c>
      <c r="AU2077" s="1856" t="str">
        <f t="shared" si="365"/>
        <v/>
      </c>
      <c r="AV2077" s="1856" t="str">
        <f t="shared" si="366"/>
        <v/>
      </c>
      <c r="AW2077" s="1856" t="str">
        <f t="shared" si="367"/>
        <v/>
      </c>
      <c r="AX2077" s="1856" t="str">
        <f t="shared" si="368"/>
        <v/>
      </c>
      <c r="AY2077" s="1856" t="str">
        <f t="shared" si="369"/>
        <v/>
      </c>
    </row>
    <row r="2078" spans="42:52">
      <c r="AP2078" s="1855">
        <f t="shared" si="361"/>
        <v>44789</v>
      </c>
      <c r="AQ2078" s="925" t="str">
        <f t="shared" si="363"/>
        <v>EENT</v>
      </c>
      <c r="AR2078" s="1856">
        <f t="shared" si="362"/>
        <v>44789.901388888888</v>
      </c>
      <c r="AS2078" s="927" t="s">
        <v>1748</v>
      </c>
      <c r="AT2078" s="1856" t="str">
        <f t="shared" si="364"/>
        <v/>
      </c>
      <c r="AU2078" s="1856" t="str">
        <f t="shared" si="365"/>
        <v/>
      </c>
      <c r="AV2078" s="1856" t="str">
        <f t="shared" si="366"/>
        <v/>
      </c>
      <c r="AW2078" s="1856" t="str">
        <f t="shared" si="367"/>
        <v/>
      </c>
      <c r="AX2078" s="1856" t="str">
        <f t="shared" si="368"/>
        <v/>
      </c>
      <c r="AY2078" s="1856" t="str">
        <f t="shared" si="369"/>
        <v/>
      </c>
    </row>
    <row r="2079" spans="42:52">
      <c r="AP2079" s="1855">
        <f t="shared" si="361"/>
        <v>44789</v>
      </c>
      <c r="AQ2079" s="925" t="str">
        <f t="shared" si="363"/>
        <v>MR</v>
      </c>
      <c r="AR2079" s="1856">
        <f t="shared" si="362"/>
        <v>44789.977083333339</v>
      </c>
      <c r="AS2079" s="927" t="s">
        <v>2073</v>
      </c>
      <c r="AT2079" s="1856" t="str">
        <f t="shared" si="364"/>
        <v/>
      </c>
      <c r="AU2079" s="1856" t="str">
        <f t="shared" si="365"/>
        <v/>
      </c>
      <c r="AV2079" s="1856" t="str">
        <f t="shared" si="366"/>
        <v/>
      </c>
      <c r="AW2079" s="1856" t="str">
        <f t="shared" si="367"/>
        <v/>
      </c>
      <c r="AX2079" s="1856" t="str">
        <f t="shared" si="368"/>
        <v/>
      </c>
      <c r="AY2079" s="1856" t="str">
        <f t="shared" si="369"/>
        <v/>
      </c>
    </row>
    <row r="2080" spans="42:52">
      <c r="AP2080" s="1855">
        <f t="shared" si="361"/>
        <v>44790</v>
      </c>
      <c r="AQ2080" s="925" t="str">
        <f t="shared" si="363"/>
        <v/>
      </c>
      <c r="AR2080" s="1856" t="str">
        <f t="shared" si="362"/>
        <v/>
      </c>
      <c r="AS2080" s="927">
        <v>17</v>
      </c>
      <c r="AT2080" s="1856">
        <f t="shared" si="364"/>
        <v>44790.249305555561</v>
      </c>
      <c r="AU2080" s="1856">
        <f t="shared" si="365"/>
        <v>44790.292361111111</v>
      </c>
      <c r="AV2080" s="1856">
        <f t="shared" si="366"/>
        <v>44790.858333333337</v>
      </c>
      <c r="AW2080" s="1856">
        <f t="shared" si="367"/>
        <v>44790.900694444441</v>
      </c>
      <c r="AX2080" s="1856">
        <f t="shared" si="368"/>
        <v>44790.995833333334</v>
      </c>
      <c r="AY2080" s="1856">
        <f t="shared" si="369"/>
        <v>44790.54583333333</v>
      </c>
      <c r="AZ2080" s="1853">
        <v>0.7</v>
      </c>
    </row>
    <row r="2081" spans="42:52">
      <c r="AP2081" s="1855">
        <f t="shared" si="361"/>
        <v>44790</v>
      </c>
      <c r="AQ2081" s="925" t="str">
        <f t="shared" si="363"/>
        <v/>
      </c>
      <c r="AR2081" s="1856" t="str">
        <f t="shared" si="362"/>
        <v/>
      </c>
      <c r="AS2081" s="927" t="s">
        <v>252</v>
      </c>
      <c r="AT2081" s="1856" t="str">
        <f t="shared" si="364"/>
        <v/>
      </c>
      <c r="AU2081" s="1856" t="str">
        <f t="shared" si="365"/>
        <v/>
      </c>
      <c r="AV2081" s="1856" t="str">
        <f t="shared" si="366"/>
        <v/>
      </c>
      <c r="AW2081" s="1856" t="str">
        <f t="shared" si="367"/>
        <v/>
      </c>
      <c r="AX2081" s="1856" t="str">
        <f t="shared" si="368"/>
        <v/>
      </c>
      <c r="AY2081" s="1856" t="str">
        <f t="shared" si="369"/>
        <v/>
      </c>
    </row>
    <row r="2082" spans="42:52">
      <c r="AP2082" s="1855">
        <f t="shared" si="361"/>
        <v>44790</v>
      </c>
      <c r="AQ2082" s="925" t="str">
        <f t="shared" si="363"/>
        <v/>
      </c>
      <c r="AR2082" s="1856" t="str">
        <f t="shared" si="362"/>
        <v/>
      </c>
      <c r="AT2082" s="1856" t="str">
        <f t="shared" si="364"/>
        <v/>
      </c>
      <c r="AU2082" s="1856" t="str">
        <f t="shared" si="365"/>
        <v/>
      </c>
      <c r="AV2082" s="1856" t="str">
        <f t="shared" si="366"/>
        <v/>
      </c>
      <c r="AW2082" s="1856" t="str">
        <f t="shared" si="367"/>
        <v/>
      </c>
      <c r="AX2082" s="1856" t="str">
        <f t="shared" si="368"/>
        <v/>
      </c>
      <c r="AY2082" s="1856" t="str">
        <f t="shared" si="369"/>
        <v/>
      </c>
    </row>
    <row r="2083" spans="42:52">
      <c r="AP2083" s="1855">
        <f t="shared" si="361"/>
        <v>44790</v>
      </c>
      <c r="AQ2083" s="925" t="str">
        <f t="shared" si="363"/>
        <v>BMNT</v>
      </c>
      <c r="AR2083" s="1856">
        <f t="shared" si="362"/>
        <v>44790.249305555561</v>
      </c>
      <c r="AS2083" s="927" t="s">
        <v>1684</v>
      </c>
      <c r="AT2083" s="1856" t="str">
        <f t="shared" si="364"/>
        <v/>
      </c>
      <c r="AU2083" s="1856" t="str">
        <f t="shared" si="365"/>
        <v/>
      </c>
      <c r="AV2083" s="1856" t="str">
        <f t="shared" si="366"/>
        <v/>
      </c>
      <c r="AW2083" s="1856" t="str">
        <f t="shared" si="367"/>
        <v/>
      </c>
      <c r="AX2083" s="1856" t="str">
        <f t="shared" si="368"/>
        <v/>
      </c>
      <c r="AY2083" s="1856" t="str">
        <f t="shared" si="369"/>
        <v/>
      </c>
    </row>
    <row r="2084" spans="42:52">
      <c r="AP2084" s="1855">
        <f t="shared" si="361"/>
        <v>44790</v>
      </c>
      <c r="AQ2084" s="925" t="str">
        <f t="shared" si="363"/>
        <v>SR</v>
      </c>
      <c r="AR2084" s="1856">
        <f t="shared" si="362"/>
        <v>44790.292361111111</v>
      </c>
      <c r="AS2084" s="927" t="s">
        <v>1679</v>
      </c>
      <c r="AT2084" s="1856" t="str">
        <f t="shared" si="364"/>
        <v/>
      </c>
      <c r="AU2084" s="1856" t="str">
        <f t="shared" si="365"/>
        <v/>
      </c>
      <c r="AV2084" s="1856" t="str">
        <f t="shared" si="366"/>
        <v/>
      </c>
      <c r="AW2084" s="1856" t="str">
        <f t="shared" si="367"/>
        <v/>
      </c>
      <c r="AX2084" s="1856" t="str">
        <f t="shared" si="368"/>
        <v/>
      </c>
      <c r="AY2084" s="1856" t="str">
        <f t="shared" si="369"/>
        <v/>
      </c>
    </row>
    <row r="2085" spans="42:52">
      <c r="AP2085" s="1855">
        <f t="shared" ref="AP2085:AP2148" si="370">IF(ISNUMBER(AS2085),AP2084+1,AP2084)</f>
        <v>44790</v>
      </c>
      <c r="AQ2085" s="925" t="str">
        <f t="shared" si="363"/>
        <v>MS</v>
      </c>
      <c r="AR2085" s="1856">
        <f t="shared" si="362"/>
        <v>44790.54583333333</v>
      </c>
      <c r="AS2085" s="927" t="s">
        <v>2074</v>
      </c>
      <c r="AT2085" s="1856" t="str">
        <f t="shared" si="364"/>
        <v/>
      </c>
      <c r="AU2085" s="1856" t="str">
        <f t="shared" si="365"/>
        <v/>
      </c>
      <c r="AV2085" s="1856" t="str">
        <f t="shared" si="366"/>
        <v/>
      </c>
      <c r="AW2085" s="1856" t="str">
        <f t="shared" si="367"/>
        <v/>
      </c>
      <c r="AX2085" s="1856" t="str">
        <f t="shared" si="368"/>
        <v/>
      </c>
      <c r="AY2085" s="1856" t="str">
        <f t="shared" si="369"/>
        <v/>
      </c>
    </row>
    <row r="2086" spans="42:52">
      <c r="AP2086" s="1855">
        <f t="shared" si="370"/>
        <v>44790</v>
      </c>
      <c r="AQ2086" s="925" t="str">
        <f t="shared" si="363"/>
        <v>SS</v>
      </c>
      <c r="AR2086" s="1856">
        <f t="shared" si="362"/>
        <v>44790.858333333337</v>
      </c>
      <c r="AS2086" s="927" t="s">
        <v>1753</v>
      </c>
      <c r="AT2086" s="1856" t="str">
        <f t="shared" si="364"/>
        <v/>
      </c>
      <c r="AU2086" s="1856" t="str">
        <f t="shared" si="365"/>
        <v/>
      </c>
      <c r="AV2086" s="1856" t="str">
        <f t="shared" si="366"/>
        <v/>
      </c>
      <c r="AW2086" s="1856" t="str">
        <f t="shared" si="367"/>
        <v/>
      </c>
      <c r="AX2086" s="1856" t="str">
        <f t="shared" si="368"/>
        <v/>
      </c>
      <c r="AY2086" s="1856" t="str">
        <f t="shared" si="369"/>
        <v/>
      </c>
    </row>
    <row r="2087" spans="42:52">
      <c r="AP2087" s="1855">
        <f t="shared" si="370"/>
        <v>44790</v>
      </c>
      <c r="AQ2087" s="925" t="str">
        <f t="shared" si="363"/>
        <v>EENT</v>
      </c>
      <c r="AR2087" s="1856">
        <f t="shared" si="362"/>
        <v>44790.900694444441</v>
      </c>
      <c r="AS2087" s="927" t="s">
        <v>1743</v>
      </c>
      <c r="AT2087" s="1856" t="str">
        <f t="shared" si="364"/>
        <v/>
      </c>
      <c r="AU2087" s="1856" t="str">
        <f t="shared" si="365"/>
        <v/>
      </c>
      <c r="AV2087" s="1856" t="str">
        <f t="shared" si="366"/>
        <v/>
      </c>
      <c r="AW2087" s="1856" t="str">
        <f t="shared" si="367"/>
        <v/>
      </c>
      <c r="AX2087" s="1856" t="str">
        <f t="shared" si="368"/>
        <v/>
      </c>
      <c r="AY2087" s="1856" t="str">
        <f t="shared" si="369"/>
        <v/>
      </c>
    </row>
    <row r="2088" spans="42:52">
      <c r="AP2088" s="1855">
        <f t="shared" si="370"/>
        <v>44790</v>
      </c>
      <c r="AQ2088" s="925" t="str">
        <f t="shared" si="363"/>
        <v>MR</v>
      </c>
      <c r="AR2088" s="1856">
        <f t="shared" si="362"/>
        <v>44790.995833333334</v>
      </c>
      <c r="AS2088" s="927" t="s">
        <v>1956</v>
      </c>
      <c r="AT2088" s="1856" t="str">
        <f t="shared" si="364"/>
        <v/>
      </c>
      <c r="AU2088" s="1856" t="str">
        <f t="shared" si="365"/>
        <v/>
      </c>
      <c r="AV2088" s="1856" t="str">
        <f t="shared" si="366"/>
        <v/>
      </c>
      <c r="AW2088" s="1856" t="str">
        <f t="shared" si="367"/>
        <v/>
      </c>
      <c r="AX2088" s="1856" t="str">
        <f t="shared" si="368"/>
        <v/>
      </c>
      <c r="AY2088" s="1856" t="str">
        <f t="shared" si="369"/>
        <v/>
      </c>
    </row>
    <row r="2089" spans="42:52">
      <c r="AP2089" s="1855">
        <f t="shared" si="370"/>
        <v>44791</v>
      </c>
      <c r="AQ2089" s="925" t="str">
        <f t="shared" si="363"/>
        <v/>
      </c>
      <c r="AR2089" s="1856" t="str">
        <f t="shared" ref="AR2089:AR2152" si="371">IF(NOT(ISNUMBER(FIND(":",AS2089))),"",IF(ISNUMBER(FIND(" none",AS2089)),"NONE",AP2089+LEFT(RIGHT(AS2089,5),2)/24+RIGHT(AS2089,2)/1440))</f>
        <v/>
      </c>
      <c r="AS2089" s="927">
        <v>18</v>
      </c>
      <c r="AT2089" s="1856">
        <f t="shared" si="364"/>
        <v>44791.25</v>
      </c>
      <c r="AU2089" s="1856">
        <f t="shared" si="365"/>
        <v>44791.292361111111</v>
      </c>
      <c r="AV2089" s="1856">
        <f t="shared" si="366"/>
        <v>44791.856944444444</v>
      </c>
      <c r="AW2089" s="1856">
        <f t="shared" si="367"/>
        <v>44791.899305555555</v>
      </c>
      <c r="AX2089" s="1856" t="str">
        <f t="shared" si="368"/>
        <v>NONE</v>
      </c>
      <c r="AY2089" s="1856">
        <f t="shared" si="369"/>
        <v>44791.589583333334</v>
      </c>
      <c r="AZ2089" s="1853">
        <v>0.6</v>
      </c>
    </row>
    <row r="2090" spans="42:52">
      <c r="AP2090" s="1855">
        <f t="shared" si="370"/>
        <v>44791</v>
      </c>
      <c r="AQ2090" s="925" t="str">
        <f t="shared" si="363"/>
        <v/>
      </c>
      <c r="AR2090" s="1856" t="str">
        <f t="shared" si="371"/>
        <v/>
      </c>
      <c r="AS2090" s="927" t="s">
        <v>252</v>
      </c>
      <c r="AT2090" s="1856" t="str">
        <f t="shared" si="364"/>
        <v/>
      </c>
      <c r="AU2090" s="1856" t="str">
        <f t="shared" si="365"/>
        <v/>
      </c>
      <c r="AV2090" s="1856" t="str">
        <f t="shared" si="366"/>
        <v/>
      </c>
      <c r="AW2090" s="1856" t="str">
        <f t="shared" si="367"/>
        <v/>
      </c>
      <c r="AX2090" s="1856" t="str">
        <f t="shared" si="368"/>
        <v/>
      </c>
      <c r="AY2090" s="1856" t="str">
        <f t="shared" si="369"/>
        <v/>
      </c>
    </row>
    <row r="2091" spans="42:52">
      <c r="AP2091" s="1855">
        <f t="shared" si="370"/>
        <v>44791</v>
      </c>
      <c r="AQ2091" s="925" t="str">
        <f t="shared" si="363"/>
        <v/>
      </c>
      <c r="AR2091" s="1856" t="str">
        <f t="shared" si="371"/>
        <v/>
      </c>
      <c r="AT2091" s="1856" t="str">
        <f t="shared" si="364"/>
        <v/>
      </c>
      <c r="AU2091" s="1856" t="str">
        <f t="shared" si="365"/>
        <v/>
      </c>
      <c r="AV2091" s="1856" t="str">
        <f t="shared" si="366"/>
        <v/>
      </c>
      <c r="AW2091" s="1856" t="str">
        <f t="shared" si="367"/>
        <v/>
      </c>
      <c r="AX2091" s="1856" t="str">
        <f t="shared" si="368"/>
        <v/>
      </c>
      <c r="AY2091" s="1856" t="str">
        <f t="shared" si="369"/>
        <v/>
      </c>
    </row>
    <row r="2092" spans="42:52">
      <c r="AP2092" s="1855">
        <f t="shared" si="370"/>
        <v>44791</v>
      </c>
      <c r="AQ2092" s="925" t="str">
        <f t="shared" si="363"/>
        <v>BMNT</v>
      </c>
      <c r="AR2092" s="1856">
        <f t="shared" si="371"/>
        <v>44791.25</v>
      </c>
      <c r="AS2092" s="927" t="s">
        <v>1678</v>
      </c>
      <c r="AT2092" s="1856" t="str">
        <f t="shared" si="364"/>
        <v/>
      </c>
      <c r="AU2092" s="1856" t="str">
        <f t="shared" si="365"/>
        <v/>
      </c>
      <c r="AV2092" s="1856" t="str">
        <f t="shared" si="366"/>
        <v/>
      </c>
      <c r="AW2092" s="1856" t="str">
        <f t="shared" si="367"/>
        <v/>
      </c>
      <c r="AX2092" s="1856" t="str">
        <f t="shared" si="368"/>
        <v/>
      </c>
      <c r="AY2092" s="1856" t="str">
        <f t="shared" si="369"/>
        <v/>
      </c>
    </row>
    <row r="2093" spans="42:52">
      <c r="AP2093" s="1855">
        <f t="shared" si="370"/>
        <v>44791</v>
      </c>
      <c r="AQ2093" s="925" t="str">
        <f t="shared" si="363"/>
        <v>SR</v>
      </c>
      <c r="AR2093" s="1856">
        <f t="shared" si="371"/>
        <v>44791.292361111111</v>
      </c>
      <c r="AS2093" s="927" t="s">
        <v>1679</v>
      </c>
      <c r="AT2093" s="1856" t="str">
        <f t="shared" si="364"/>
        <v/>
      </c>
      <c r="AU2093" s="1856" t="str">
        <f t="shared" si="365"/>
        <v/>
      </c>
      <c r="AV2093" s="1856" t="str">
        <f t="shared" si="366"/>
        <v/>
      </c>
      <c r="AW2093" s="1856" t="str">
        <f t="shared" si="367"/>
        <v/>
      </c>
      <c r="AX2093" s="1856" t="str">
        <f t="shared" si="368"/>
        <v/>
      </c>
      <c r="AY2093" s="1856" t="str">
        <f t="shared" si="369"/>
        <v/>
      </c>
    </row>
    <row r="2094" spans="42:52">
      <c r="AP2094" s="1855">
        <f t="shared" si="370"/>
        <v>44791</v>
      </c>
      <c r="AQ2094" s="925" t="str">
        <f t="shared" si="363"/>
        <v>MS</v>
      </c>
      <c r="AR2094" s="1856">
        <f t="shared" si="371"/>
        <v>44791.589583333334</v>
      </c>
      <c r="AS2094" s="927" t="s">
        <v>2075</v>
      </c>
      <c r="AT2094" s="1856" t="str">
        <f t="shared" si="364"/>
        <v/>
      </c>
      <c r="AU2094" s="1856" t="str">
        <f t="shared" si="365"/>
        <v/>
      </c>
      <c r="AV2094" s="1856" t="str">
        <f t="shared" si="366"/>
        <v/>
      </c>
      <c r="AW2094" s="1856" t="str">
        <f t="shared" si="367"/>
        <v/>
      </c>
      <c r="AX2094" s="1856" t="str">
        <f t="shared" si="368"/>
        <v/>
      </c>
      <c r="AY2094" s="1856" t="str">
        <f t="shared" si="369"/>
        <v/>
      </c>
    </row>
    <row r="2095" spans="42:52">
      <c r="AP2095" s="1855">
        <f t="shared" si="370"/>
        <v>44791</v>
      </c>
      <c r="AQ2095" s="925" t="str">
        <f t="shared" si="363"/>
        <v>SS</v>
      </c>
      <c r="AR2095" s="1856">
        <f t="shared" si="371"/>
        <v>44791.856944444444</v>
      </c>
      <c r="AS2095" s="927" t="s">
        <v>1736</v>
      </c>
      <c r="AT2095" s="1856" t="str">
        <f t="shared" si="364"/>
        <v/>
      </c>
      <c r="AU2095" s="1856" t="str">
        <f t="shared" si="365"/>
        <v/>
      </c>
      <c r="AV2095" s="1856" t="str">
        <f t="shared" si="366"/>
        <v/>
      </c>
      <c r="AW2095" s="1856" t="str">
        <f t="shared" si="367"/>
        <v/>
      </c>
      <c r="AX2095" s="1856" t="str">
        <f t="shared" si="368"/>
        <v/>
      </c>
      <c r="AY2095" s="1856" t="str">
        <f t="shared" si="369"/>
        <v/>
      </c>
    </row>
    <row r="2096" spans="42:52">
      <c r="AP2096" s="1855">
        <f t="shared" si="370"/>
        <v>44791</v>
      </c>
      <c r="AQ2096" s="925" t="str">
        <f t="shared" si="363"/>
        <v>EENT</v>
      </c>
      <c r="AR2096" s="1856">
        <f t="shared" si="371"/>
        <v>44791.899305555555</v>
      </c>
      <c r="AS2096" s="927" t="s">
        <v>1732</v>
      </c>
      <c r="AT2096" s="1856" t="str">
        <f t="shared" si="364"/>
        <v/>
      </c>
      <c r="AU2096" s="1856" t="str">
        <f t="shared" si="365"/>
        <v/>
      </c>
      <c r="AV2096" s="1856" t="str">
        <f t="shared" si="366"/>
        <v/>
      </c>
      <c r="AW2096" s="1856" t="str">
        <f t="shared" si="367"/>
        <v/>
      </c>
      <c r="AX2096" s="1856" t="str">
        <f t="shared" si="368"/>
        <v/>
      </c>
      <c r="AY2096" s="1856" t="str">
        <f t="shared" si="369"/>
        <v/>
      </c>
    </row>
    <row r="2097" spans="42:52">
      <c r="AP2097" s="1855">
        <f t="shared" si="370"/>
        <v>44791</v>
      </c>
      <c r="AQ2097" s="925" t="str">
        <f t="shared" si="363"/>
        <v>MR</v>
      </c>
      <c r="AR2097" s="1856" t="str">
        <f t="shared" si="371"/>
        <v>NONE</v>
      </c>
      <c r="AS2097" s="927" t="s">
        <v>1153</v>
      </c>
      <c r="AT2097" s="1856" t="str">
        <f t="shared" si="364"/>
        <v/>
      </c>
      <c r="AU2097" s="1856" t="str">
        <f t="shared" si="365"/>
        <v/>
      </c>
      <c r="AV2097" s="1856" t="str">
        <f t="shared" si="366"/>
        <v/>
      </c>
      <c r="AW2097" s="1856" t="str">
        <f t="shared" si="367"/>
        <v/>
      </c>
      <c r="AX2097" s="1856" t="str">
        <f t="shared" si="368"/>
        <v/>
      </c>
      <c r="AY2097" s="1856" t="str">
        <f t="shared" si="369"/>
        <v/>
      </c>
    </row>
    <row r="2098" spans="42:52">
      <c r="AP2098" s="1855">
        <f t="shared" si="370"/>
        <v>44792</v>
      </c>
      <c r="AQ2098" s="925" t="str">
        <f t="shared" si="363"/>
        <v/>
      </c>
      <c r="AR2098" s="1856" t="str">
        <f t="shared" si="371"/>
        <v/>
      </c>
      <c r="AS2098" s="927">
        <v>19</v>
      </c>
      <c r="AT2098" s="1856">
        <f t="shared" si="364"/>
        <v>44792.250694444447</v>
      </c>
      <c r="AU2098" s="1856">
        <f t="shared" si="365"/>
        <v>44792.29305555555</v>
      </c>
      <c r="AV2098" s="1856">
        <f t="shared" si="366"/>
        <v>44792.856250000004</v>
      </c>
      <c r="AW2098" s="1856">
        <f t="shared" si="367"/>
        <v>44792.898611111108</v>
      </c>
      <c r="AX2098" s="1856">
        <f t="shared" si="368"/>
        <v>44792.01666666667</v>
      </c>
      <c r="AY2098" s="1856">
        <f t="shared" si="369"/>
        <v>44792.632638888892</v>
      </c>
      <c r="AZ2098" s="1853">
        <v>0.5</v>
      </c>
    </row>
    <row r="2099" spans="42:52">
      <c r="AP2099" s="1855">
        <f t="shared" si="370"/>
        <v>44792</v>
      </c>
      <c r="AQ2099" s="925" t="str">
        <f t="shared" si="363"/>
        <v/>
      </c>
      <c r="AR2099" s="1856" t="str">
        <f t="shared" si="371"/>
        <v/>
      </c>
      <c r="AS2099" s="927" t="s">
        <v>252</v>
      </c>
      <c r="AT2099" s="1856" t="str">
        <f t="shared" si="364"/>
        <v/>
      </c>
      <c r="AU2099" s="1856" t="str">
        <f t="shared" si="365"/>
        <v/>
      </c>
      <c r="AV2099" s="1856" t="str">
        <f t="shared" si="366"/>
        <v/>
      </c>
      <c r="AW2099" s="1856" t="str">
        <f t="shared" si="367"/>
        <v/>
      </c>
      <c r="AX2099" s="1856" t="str">
        <f t="shared" si="368"/>
        <v/>
      </c>
      <c r="AY2099" s="1856" t="str">
        <f t="shared" si="369"/>
        <v/>
      </c>
    </row>
    <row r="2100" spans="42:52">
      <c r="AP2100" s="1855">
        <f t="shared" si="370"/>
        <v>44792</v>
      </c>
      <c r="AQ2100" s="925" t="str">
        <f t="shared" ref="AQ2100:AQ2163" si="372">IF(NOT(ISNUMBER(FIND(":",AS2100))),"",IF(ISNUMBER(FIND("Sunr",AS2100)),"SR", IF(ISNUMBER(FIND("Suns",AS2100)),"SS",IF(ISNUMBER(FIND("Moonr",AS2100)),"MR",IF(ISNUMBER(FIND("Moons",AS2100)),"MS",IF(ISNUMBER(FIND("Twi",AS2100)),IF(HOUR(AR2100)&lt;12,"BMNT","EENT")))))))</f>
        <v/>
      </c>
      <c r="AR2100" s="1856" t="str">
        <f t="shared" si="371"/>
        <v/>
      </c>
      <c r="AT2100" s="1856" t="str">
        <f t="shared" si="364"/>
        <v/>
      </c>
      <c r="AU2100" s="1856" t="str">
        <f t="shared" si="365"/>
        <v/>
      </c>
      <c r="AV2100" s="1856" t="str">
        <f t="shared" si="366"/>
        <v/>
      </c>
      <c r="AW2100" s="1856" t="str">
        <f t="shared" si="367"/>
        <v/>
      </c>
      <c r="AX2100" s="1856" t="str">
        <f t="shared" si="368"/>
        <v/>
      </c>
      <c r="AY2100" s="1856" t="str">
        <f t="shared" si="369"/>
        <v/>
      </c>
    </row>
    <row r="2101" spans="42:52">
      <c r="AP2101" s="1855">
        <f t="shared" si="370"/>
        <v>44792</v>
      </c>
      <c r="AQ2101" s="925" t="str">
        <f t="shared" si="372"/>
        <v>MR</v>
      </c>
      <c r="AR2101" s="1856">
        <f t="shared" si="371"/>
        <v>44792.01666666667</v>
      </c>
      <c r="AS2101" s="927" t="s">
        <v>2076</v>
      </c>
      <c r="AT2101" s="1856" t="str">
        <f t="shared" si="364"/>
        <v/>
      </c>
      <c r="AU2101" s="1856" t="str">
        <f t="shared" si="365"/>
        <v/>
      </c>
      <c r="AV2101" s="1856" t="str">
        <f t="shared" si="366"/>
        <v/>
      </c>
      <c r="AW2101" s="1856" t="str">
        <f t="shared" si="367"/>
        <v/>
      </c>
      <c r="AX2101" s="1856" t="str">
        <f t="shared" si="368"/>
        <v/>
      </c>
      <c r="AY2101" s="1856" t="str">
        <f t="shared" si="369"/>
        <v/>
      </c>
    </row>
    <row r="2102" spans="42:52">
      <c r="AP2102" s="1855">
        <f t="shared" si="370"/>
        <v>44792</v>
      </c>
      <c r="AQ2102" s="925" t="str">
        <f t="shared" si="372"/>
        <v>BMNT</v>
      </c>
      <c r="AR2102" s="1856">
        <f t="shared" si="371"/>
        <v>44792.250694444447</v>
      </c>
      <c r="AS2102" s="927" t="s">
        <v>2077</v>
      </c>
      <c r="AT2102" s="1856" t="str">
        <f t="shared" si="364"/>
        <v/>
      </c>
      <c r="AU2102" s="1856" t="str">
        <f t="shared" si="365"/>
        <v/>
      </c>
      <c r="AV2102" s="1856" t="str">
        <f t="shared" si="366"/>
        <v/>
      </c>
      <c r="AW2102" s="1856" t="str">
        <f t="shared" si="367"/>
        <v/>
      </c>
      <c r="AX2102" s="1856" t="str">
        <f t="shared" si="368"/>
        <v/>
      </c>
      <c r="AY2102" s="1856" t="str">
        <f t="shared" si="369"/>
        <v/>
      </c>
    </row>
    <row r="2103" spans="42:52">
      <c r="AP2103" s="1855">
        <f t="shared" si="370"/>
        <v>44792</v>
      </c>
      <c r="AQ2103" s="925" t="str">
        <f t="shared" si="372"/>
        <v>SR</v>
      </c>
      <c r="AR2103" s="1856">
        <f t="shared" si="371"/>
        <v>44792.29305555555</v>
      </c>
      <c r="AS2103" s="927" t="s">
        <v>1505</v>
      </c>
      <c r="AT2103" s="1856" t="str">
        <f t="shared" si="364"/>
        <v/>
      </c>
      <c r="AU2103" s="1856" t="str">
        <f t="shared" si="365"/>
        <v/>
      </c>
      <c r="AV2103" s="1856" t="str">
        <f t="shared" si="366"/>
        <v/>
      </c>
      <c r="AW2103" s="1856" t="str">
        <f t="shared" si="367"/>
        <v/>
      </c>
      <c r="AX2103" s="1856" t="str">
        <f t="shared" si="368"/>
        <v/>
      </c>
      <c r="AY2103" s="1856" t="str">
        <f t="shared" si="369"/>
        <v/>
      </c>
    </row>
    <row r="2104" spans="42:52">
      <c r="AP2104" s="1855">
        <f t="shared" si="370"/>
        <v>44792</v>
      </c>
      <c r="AQ2104" s="925" t="str">
        <f t="shared" si="372"/>
        <v>MS</v>
      </c>
      <c r="AR2104" s="1856">
        <f t="shared" si="371"/>
        <v>44792.632638888892</v>
      </c>
      <c r="AS2104" s="927" t="s">
        <v>2078</v>
      </c>
      <c r="AT2104" s="1856" t="str">
        <f t="shared" si="364"/>
        <v/>
      </c>
      <c r="AU2104" s="1856" t="str">
        <f t="shared" si="365"/>
        <v/>
      </c>
      <c r="AV2104" s="1856" t="str">
        <f t="shared" si="366"/>
        <v/>
      </c>
      <c r="AW2104" s="1856" t="str">
        <f t="shared" si="367"/>
        <v/>
      </c>
      <c r="AX2104" s="1856" t="str">
        <f t="shared" si="368"/>
        <v/>
      </c>
      <c r="AY2104" s="1856" t="str">
        <f t="shared" si="369"/>
        <v/>
      </c>
    </row>
    <row r="2105" spans="42:52">
      <c r="AP2105" s="1855">
        <f t="shared" si="370"/>
        <v>44792</v>
      </c>
      <c r="AQ2105" s="925" t="str">
        <f t="shared" si="372"/>
        <v>SS</v>
      </c>
      <c r="AR2105" s="1856">
        <f t="shared" si="371"/>
        <v>44792.856250000004</v>
      </c>
      <c r="AS2105" s="927" t="s">
        <v>1730</v>
      </c>
      <c r="AT2105" s="1856" t="str">
        <f t="shared" si="364"/>
        <v/>
      </c>
      <c r="AU2105" s="1856" t="str">
        <f t="shared" si="365"/>
        <v/>
      </c>
      <c r="AV2105" s="1856" t="str">
        <f t="shared" si="366"/>
        <v/>
      </c>
      <c r="AW2105" s="1856" t="str">
        <f t="shared" si="367"/>
        <v/>
      </c>
      <c r="AX2105" s="1856" t="str">
        <f t="shared" si="368"/>
        <v/>
      </c>
      <c r="AY2105" s="1856" t="str">
        <f t="shared" si="369"/>
        <v/>
      </c>
    </row>
    <row r="2106" spans="42:52">
      <c r="AP2106" s="1855">
        <f t="shared" si="370"/>
        <v>44792</v>
      </c>
      <c r="AQ2106" s="925" t="str">
        <f t="shared" si="372"/>
        <v>EENT</v>
      </c>
      <c r="AR2106" s="1856">
        <f t="shared" si="371"/>
        <v>44792.898611111108</v>
      </c>
      <c r="AS2106" s="927" t="s">
        <v>1726</v>
      </c>
      <c r="AT2106" s="1856" t="str">
        <f t="shared" si="364"/>
        <v/>
      </c>
      <c r="AU2106" s="1856" t="str">
        <f t="shared" si="365"/>
        <v/>
      </c>
      <c r="AV2106" s="1856" t="str">
        <f t="shared" si="366"/>
        <v/>
      </c>
      <c r="AW2106" s="1856" t="str">
        <f t="shared" si="367"/>
        <v/>
      </c>
      <c r="AX2106" s="1856" t="str">
        <f t="shared" si="368"/>
        <v/>
      </c>
      <c r="AY2106" s="1856" t="str">
        <f t="shared" si="369"/>
        <v/>
      </c>
    </row>
    <row r="2107" spans="42:52">
      <c r="AP2107" s="1855">
        <f t="shared" si="370"/>
        <v>44793</v>
      </c>
      <c r="AQ2107" s="925" t="str">
        <f t="shared" si="372"/>
        <v/>
      </c>
      <c r="AR2107" s="1856" t="str">
        <f t="shared" si="371"/>
        <v/>
      </c>
      <c r="AS2107" s="927">
        <v>20</v>
      </c>
      <c r="AT2107" s="1856">
        <f t="shared" si="364"/>
        <v>44793.251388888886</v>
      </c>
      <c r="AU2107" s="1856">
        <f t="shared" si="365"/>
        <v>44793.293749999997</v>
      </c>
      <c r="AV2107" s="1856">
        <f t="shared" si="366"/>
        <v>44793.855555555558</v>
      </c>
      <c r="AW2107" s="1856">
        <f t="shared" si="367"/>
        <v>44793.897222222222</v>
      </c>
      <c r="AX2107" s="1856">
        <f t="shared" si="368"/>
        <v>44793.039583333331</v>
      </c>
      <c r="AY2107" s="1856">
        <f t="shared" si="369"/>
        <v>44793.674305555556</v>
      </c>
      <c r="AZ2107" s="1853">
        <v>0.4</v>
      </c>
    </row>
    <row r="2108" spans="42:52">
      <c r="AP2108" s="1855">
        <f t="shared" si="370"/>
        <v>44793</v>
      </c>
      <c r="AQ2108" s="925" t="str">
        <f t="shared" si="372"/>
        <v/>
      </c>
      <c r="AR2108" s="1856" t="str">
        <f t="shared" si="371"/>
        <v/>
      </c>
      <c r="AS2108" s="927" t="s">
        <v>252</v>
      </c>
      <c r="AT2108" s="1856" t="str">
        <f t="shared" si="364"/>
        <v/>
      </c>
      <c r="AU2108" s="1856" t="str">
        <f t="shared" si="365"/>
        <v/>
      </c>
      <c r="AV2108" s="1856" t="str">
        <f t="shared" si="366"/>
        <v/>
      </c>
      <c r="AW2108" s="1856" t="str">
        <f t="shared" si="367"/>
        <v/>
      </c>
      <c r="AX2108" s="1856" t="str">
        <f t="shared" si="368"/>
        <v/>
      </c>
      <c r="AY2108" s="1856" t="str">
        <f t="shared" si="369"/>
        <v/>
      </c>
    </row>
    <row r="2109" spans="42:52">
      <c r="AP2109" s="1855">
        <f t="shared" si="370"/>
        <v>44793</v>
      </c>
      <c r="AQ2109" s="925" t="str">
        <f t="shared" si="372"/>
        <v/>
      </c>
      <c r="AR2109" s="1856" t="str">
        <f t="shared" si="371"/>
        <v/>
      </c>
      <c r="AT2109" s="1856" t="str">
        <f t="shared" si="364"/>
        <v/>
      </c>
      <c r="AU2109" s="1856" t="str">
        <f t="shared" si="365"/>
        <v/>
      </c>
      <c r="AV2109" s="1856" t="str">
        <f t="shared" si="366"/>
        <v/>
      </c>
      <c r="AW2109" s="1856" t="str">
        <f t="shared" si="367"/>
        <v/>
      </c>
      <c r="AX2109" s="1856" t="str">
        <f t="shared" si="368"/>
        <v/>
      </c>
      <c r="AY2109" s="1856" t="str">
        <f t="shared" si="369"/>
        <v/>
      </c>
    </row>
    <row r="2110" spans="42:52">
      <c r="AP2110" s="1855">
        <f t="shared" si="370"/>
        <v>44793</v>
      </c>
      <c r="AQ2110" s="925" t="str">
        <f t="shared" si="372"/>
        <v>MR</v>
      </c>
      <c r="AR2110" s="1856">
        <f t="shared" si="371"/>
        <v>44793.039583333331</v>
      </c>
      <c r="AS2110" s="927" t="s">
        <v>1155</v>
      </c>
      <c r="AT2110" s="1856" t="str">
        <f t="shared" si="364"/>
        <v/>
      </c>
      <c r="AU2110" s="1856" t="str">
        <f t="shared" si="365"/>
        <v/>
      </c>
      <c r="AV2110" s="1856" t="str">
        <f t="shared" si="366"/>
        <v/>
      </c>
      <c r="AW2110" s="1856" t="str">
        <f t="shared" si="367"/>
        <v/>
      </c>
      <c r="AX2110" s="1856" t="str">
        <f t="shared" si="368"/>
        <v/>
      </c>
      <c r="AY2110" s="1856" t="str">
        <f t="shared" si="369"/>
        <v/>
      </c>
    </row>
    <row r="2111" spans="42:52">
      <c r="AP2111" s="1855">
        <f t="shared" si="370"/>
        <v>44793</v>
      </c>
      <c r="AQ2111" s="925" t="str">
        <f t="shared" si="372"/>
        <v>BMNT</v>
      </c>
      <c r="AR2111" s="1856">
        <f t="shared" si="371"/>
        <v>44793.251388888886</v>
      </c>
      <c r="AS2111" s="927" t="s">
        <v>1675</v>
      </c>
      <c r="AT2111" s="1856" t="str">
        <f t="shared" si="364"/>
        <v/>
      </c>
      <c r="AU2111" s="1856" t="str">
        <f t="shared" si="365"/>
        <v/>
      </c>
      <c r="AV2111" s="1856" t="str">
        <f t="shared" si="366"/>
        <v/>
      </c>
      <c r="AW2111" s="1856" t="str">
        <f t="shared" si="367"/>
        <v/>
      </c>
      <c r="AX2111" s="1856" t="str">
        <f t="shared" si="368"/>
        <v/>
      </c>
      <c r="AY2111" s="1856" t="str">
        <f t="shared" si="369"/>
        <v/>
      </c>
    </row>
    <row r="2112" spans="42:52">
      <c r="AP2112" s="1855">
        <f t="shared" si="370"/>
        <v>44793</v>
      </c>
      <c r="AQ2112" s="925" t="str">
        <f t="shared" si="372"/>
        <v>SR</v>
      </c>
      <c r="AR2112" s="1856">
        <f t="shared" si="371"/>
        <v>44793.293749999997</v>
      </c>
      <c r="AS2112" s="927" t="s">
        <v>1499</v>
      </c>
      <c r="AT2112" s="1856" t="str">
        <f t="shared" si="364"/>
        <v/>
      </c>
      <c r="AU2112" s="1856" t="str">
        <f t="shared" si="365"/>
        <v/>
      </c>
      <c r="AV2112" s="1856" t="str">
        <f t="shared" si="366"/>
        <v/>
      </c>
      <c r="AW2112" s="1856" t="str">
        <f t="shared" si="367"/>
        <v/>
      </c>
      <c r="AX2112" s="1856" t="str">
        <f t="shared" si="368"/>
        <v/>
      </c>
      <c r="AY2112" s="1856" t="str">
        <f t="shared" si="369"/>
        <v/>
      </c>
    </row>
    <row r="2113" spans="42:52">
      <c r="AP2113" s="1855">
        <f t="shared" si="370"/>
        <v>44793</v>
      </c>
      <c r="AQ2113" s="925" t="str">
        <f t="shared" si="372"/>
        <v>MS</v>
      </c>
      <c r="AR2113" s="1856">
        <f t="shared" si="371"/>
        <v>44793.674305555556</v>
      </c>
      <c r="AS2113" s="927" t="s">
        <v>2079</v>
      </c>
      <c r="AT2113" s="1856" t="str">
        <f t="shared" si="364"/>
        <v/>
      </c>
      <c r="AU2113" s="1856" t="str">
        <f t="shared" si="365"/>
        <v/>
      </c>
      <c r="AV2113" s="1856" t="str">
        <f t="shared" si="366"/>
        <v/>
      </c>
      <c r="AW2113" s="1856" t="str">
        <f t="shared" si="367"/>
        <v/>
      </c>
      <c r="AX2113" s="1856" t="str">
        <f t="shared" si="368"/>
        <v/>
      </c>
      <c r="AY2113" s="1856" t="str">
        <f t="shared" si="369"/>
        <v/>
      </c>
    </row>
    <row r="2114" spans="42:52">
      <c r="AP2114" s="1855">
        <f t="shared" si="370"/>
        <v>44793</v>
      </c>
      <c r="AQ2114" s="925" t="str">
        <f t="shared" si="372"/>
        <v>SS</v>
      </c>
      <c r="AR2114" s="1856">
        <f t="shared" si="371"/>
        <v>44793.855555555558</v>
      </c>
      <c r="AS2114" s="927" t="s">
        <v>1725</v>
      </c>
      <c r="AT2114" s="1856" t="str">
        <f t="shared" si="364"/>
        <v/>
      </c>
      <c r="AU2114" s="1856" t="str">
        <f t="shared" si="365"/>
        <v/>
      </c>
      <c r="AV2114" s="1856" t="str">
        <f t="shared" si="366"/>
        <v/>
      </c>
      <c r="AW2114" s="1856" t="str">
        <f t="shared" si="367"/>
        <v/>
      </c>
      <c r="AX2114" s="1856" t="str">
        <f t="shared" si="368"/>
        <v/>
      </c>
      <c r="AY2114" s="1856" t="str">
        <f t="shared" si="369"/>
        <v/>
      </c>
    </row>
    <row r="2115" spans="42:52">
      <c r="AP2115" s="1855">
        <f t="shared" si="370"/>
        <v>44793</v>
      </c>
      <c r="AQ2115" s="925" t="str">
        <f t="shared" si="372"/>
        <v>EENT</v>
      </c>
      <c r="AR2115" s="1856">
        <f t="shared" si="371"/>
        <v>44793.897222222222</v>
      </c>
      <c r="AS2115" s="927" t="s">
        <v>1714</v>
      </c>
      <c r="AT2115" s="1856" t="str">
        <f t="shared" si="364"/>
        <v/>
      </c>
      <c r="AU2115" s="1856" t="str">
        <f t="shared" si="365"/>
        <v/>
      </c>
      <c r="AV2115" s="1856" t="str">
        <f t="shared" si="366"/>
        <v/>
      </c>
      <c r="AW2115" s="1856" t="str">
        <f t="shared" si="367"/>
        <v/>
      </c>
      <c r="AX2115" s="1856" t="str">
        <f t="shared" si="368"/>
        <v/>
      </c>
      <c r="AY2115" s="1856" t="str">
        <f t="shared" si="369"/>
        <v/>
      </c>
    </row>
    <row r="2116" spans="42:52">
      <c r="AP2116" s="1855">
        <f t="shared" si="370"/>
        <v>44794</v>
      </c>
      <c r="AQ2116" s="925" t="str">
        <f t="shared" si="372"/>
        <v/>
      </c>
      <c r="AR2116" s="1856" t="str">
        <f t="shared" si="371"/>
        <v/>
      </c>
      <c r="AS2116" s="927">
        <v>21</v>
      </c>
      <c r="AT2116" s="1856">
        <f t="shared" si="364"/>
        <v>44794.252083333333</v>
      </c>
      <c r="AU2116" s="1856">
        <f t="shared" si="365"/>
        <v>44794.294444444444</v>
      </c>
      <c r="AV2116" s="1856">
        <f t="shared" si="366"/>
        <v>44794.854166666672</v>
      </c>
      <c r="AW2116" s="1856">
        <f t="shared" si="367"/>
        <v>44794.896527777775</v>
      </c>
      <c r="AX2116" s="1856">
        <f t="shared" si="368"/>
        <v>44794.067361111105</v>
      </c>
      <c r="AY2116" s="1856">
        <f t="shared" si="369"/>
        <v>44794.713888888895</v>
      </c>
      <c r="AZ2116" s="1853">
        <v>0.31</v>
      </c>
    </row>
    <row r="2117" spans="42:52">
      <c r="AP2117" s="1855">
        <f t="shared" si="370"/>
        <v>44794</v>
      </c>
      <c r="AQ2117" s="925" t="str">
        <f t="shared" si="372"/>
        <v/>
      </c>
      <c r="AR2117" s="1856" t="str">
        <f t="shared" si="371"/>
        <v/>
      </c>
      <c r="AS2117" s="927" t="s">
        <v>252</v>
      </c>
      <c r="AT2117" s="1856" t="str">
        <f t="shared" si="364"/>
        <v/>
      </c>
      <c r="AU2117" s="1856" t="str">
        <f t="shared" si="365"/>
        <v/>
      </c>
      <c r="AV2117" s="1856" t="str">
        <f t="shared" si="366"/>
        <v/>
      </c>
      <c r="AW2117" s="1856" t="str">
        <f t="shared" si="367"/>
        <v/>
      </c>
      <c r="AX2117" s="1856" t="str">
        <f t="shared" si="368"/>
        <v/>
      </c>
      <c r="AY2117" s="1856" t="str">
        <f t="shared" si="369"/>
        <v/>
      </c>
    </row>
    <row r="2118" spans="42:52">
      <c r="AP2118" s="1855">
        <f t="shared" si="370"/>
        <v>44794</v>
      </c>
      <c r="AQ2118" s="925" t="str">
        <f t="shared" si="372"/>
        <v/>
      </c>
      <c r="AR2118" s="1856" t="str">
        <f t="shared" si="371"/>
        <v/>
      </c>
      <c r="AT2118" s="1856" t="str">
        <f t="shared" si="364"/>
        <v/>
      </c>
      <c r="AU2118" s="1856" t="str">
        <f t="shared" si="365"/>
        <v/>
      </c>
      <c r="AV2118" s="1856" t="str">
        <f t="shared" si="366"/>
        <v/>
      </c>
      <c r="AW2118" s="1856" t="str">
        <f t="shared" si="367"/>
        <v/>
      </c>
      <c r="AX2118" s="1856" t="str">
        <f t="shared" si="368"/>
        <v/>
      </c>
      <c r="AY2118" s="1856" t="str">
        <f t="shared" si="369"/>
        <v/>
      </c>
    </row>
    <row r="2119" spans="42:52">
      <c r="AP2119" s="1855">
        <f t="shared" si="370"/>
        <v>44794</v>
      </c>
      <c r="AQ2119" s="925" t="str">
        <f t="shared" si="372"/>
        <v>MR</v>
      </c>
      <c r="AR2119" s="1856">
        <f t="shared" si="371"/>
        <v>44794.067361111105</v>
      </c>
      <c r="AS2119" s="927" t="s">
        <v>2080</v>
      </c>
      <c r="AT2119" s="1856" t="str">
        <f t="shared" si="364"/>
        <v/>
      </c>
      <c r="AU2119" s="1856" t="str">
        <f t="shared" si="365"/>
        <v/>
      </c>
      <c r="AV2119" s="1856" t="str">
        <f t="shared" si="366"/>
        <v/>
      </c>
      <c r="AW2119" s="1856" t="str">
        <f t="shared" si="367"/>
        <v/>
      </c>
      <c r="AX2119" s="1856" t="str">
        <f t="shared" si="368"/>
        <v/>
      </c>
      <c r="AY2119" s="1856" t="str">
        <f t="shared" si="369"/>
        <v/>
      </c>
    </row>
    <row r="2120" spans="42:52">
      <c r="AP2120" s="1855">
        <f t="shared" si="370"/>
        <v>44794</v>
      </c>
      <c r="AQ2120" s="925" t="str">
        <f t="shared" si="372"/>
        <v>BMNT</v>
      </c>
      <c r="AR2120" s="1856">
        <f t="shared" si="371"/>
        <v>44794.252083333333</v>
      </c>
      <c r="AS2120" s="927" t="s">
        <v>1510</v>
      </c>
      <c r="AT2120" s="1856" t="str">
        <f t="shared" si="364"/>
        <v/>
      </c>
      <c r="AU2120" s="1856" t="str">
        <f t="shared" si="365"/>
        <v/>
      </c>
      <c r="AV2120" s="1856" t="str">
        <f t="shared" si="366"/>
        <v/>
      </c>
      <c r="AW2120" s="1856" t="str">
        <f t="shared" si="367"/>
        <v/>
      </c>
      <c r="AX2120" s="1856" t="str">
        <f t="shared" si="368"/>
        <v/>
      </c>
      <c r="AY2120" s="1856" t="str">
        <f t="shared" si="369"/>
        <v/>
      </c>
    </row>
    <row r="2121" spans="42:52">
      <c r="AP2121" s="1855">
        <f t="shared" si="370"/>
        <v>44794</v>
      </c>
      <c r="AQ2121" s="925" t="str">
        <f t="shared" si="372"/>
        <v>SR</v>
      </c>
      <c r="AR2121" s="1856">
        <f t="shared" si="371"/>
        <v>44794.294444444444</v>
      </c>
      <c r="AS2121" s="927" t="s">
        <v>1670</v>
      </c>
      <c r="AT2121" s="1856" t="str">
        <f t="shared" si="364"/>
        <v/>
      </c>
      <c r="AU2121" s="1856" t="str">
        <f t="shared" si="365"/>
        <v/>
      </c>
      <c r="AV2121" s="1856" t="str">
        <f t="shared" si="366"/>
        <v/>
      </c>
      <c r="AW2121" s="1856" t="str">
        <f t="shared" si="367"/>
        <v/>
      </c>
      <c r="AX2121" s="1856" t="str">
        <f t="shared" si="368"/>
        <v/>
      </c>
      <c r="AY2121" s="1856" t="str">
        <f t="shared" si="369"/>
        <v/>
      </c>
    </row>
    <row r="2122" spans="42:52">
      <c r="AP2122" s="1855">
        <f t="shared" si="370"/>
        <v>44794</v>
      </c>
      <c r="AQ2122" s="925" t="str">
        <f t="shared" si="372"/>
        <v>MS</v>
      </c>
      <c r="AR2122" s="1856">
        <f t="shared" si="371"/>
        <v>44794.713888888895</v>
      </c>
      <c r="AS2122" s="927" t="s">
        <v>2081</v>
      </c>
      <c r="AT2122" s="1856" t="str">
        <f t="shared" si="364"/>
        <v/>
      </c>
      <c r="AU2122" s="1856" t="str">
        <f t="shared" si="365"/>
        <v/>
      </c>
      <c r="AV2122" s="1856" t="str">
        <f t="shared" si="366"/>
        <v/>
      </c>
      <c r="AW2122" s="1856" t="str">
        <f t="shared" si="367"/>
        <v/>
      </c>
      <c r="AX2122" s="1856" t="str">
        <f t="shared" si="368"/>
        <v/>
      </c>
      <c r="AY2122" s="1856" t="str">
        <f t="shared" si="369"/>
        <v/>
      </c>
    </row>
    <row r="2123" spans="42:52">
      <c r="AP2123" s="1855">
        <f t="shared" si="370"/>
        <v>44794</v>
      </c>
      <c r="AQ2123" s="925" t="str">
        <f t="shared" si="372"/>
        <v>SS</v>
      </c>
      <c r="AR2123" s="1856">
        <f t="shared" si="371"/>
        <v>44794.854166666672</v>
      </c>
      <c r="AS2123" s="927" t="s">
        <v>1713</v>
      </c>
      <c r="AT2123" s="1856" t="str">
        <f t="shared" si="364"/>
        <v/>
      </c>
      <c r="AU2123" s="1856" t="str">
        <f t="shared" si="365"/>
        <v/>
      </c>
      <c r="AV2123" s="1856" t="str">
        <f t="shared" si="366"/>
        <v/>
      </c>
      <c r="AW2123" s="1856" t="str">
        <f t="shared" si="367"/>
        <v/>
      </c>
      <c r="AX2123" s="1856" t="str">
        <f t="shared" si="368"/>
        <v/>
      </c>
      <c r="AY2123" s="1856" t="str">
        <f t="shared" si="369"/>
        <v/>
      </c>
    </row>
    <row r="2124" spans="42:52">
      <c r="AP2124" s="1855">
        <f t="shared" si="370"/>
        <v>44794</v>
      </c>
      <c r="AQ2124" s="925" t="str">
        <f t="shared" si="372"/>
        <v>EENT</v>
      </c>
      <c r="AR2124" s="1856">
        <f t="shared" si="371"/>
        <v>44794.896527777775</v>
      </c>
      <c r="AS2124" s="927" t="s">
        <v>2082</v>
      </c>
      <c r="AT2124" s="1856" t="str">
        <f t="shared" si="364"/>
        <v/>
      </c>
      <c r="AU2124" s="1856" t="str">
        <f t="shared" si="365"/>
        <v/>
      </c>
      <c r="AV2124" s="1856" t="str">
        <f t="shared" si="366"/>
        <v/>
      </c>
      <c r="AW2124" s="1856" t="str">
        <f t="shared" si="367"/>
        <v/>
      </c>
      <c r="AX2124" s="1856" t="str">
        <f t="shared" si="368"/>
        <v/>
      </c>
      <c r="AY2124" s="1856" t="str">
        <f t="shared" si="369"/>
        <v/>
      </c>
    </row>
    <row r="2125" spans="42:52">
      <c r="AP2125" s="1855">
        <f t="shared" si="370"/>
        <v>44795</v>
      </c>
      <c r="AQ2125" s="925" t="str">
        <f t="shared" si="372"/>
        <v/>
      </c>
      <c r="AR2125" s="1856" t="str">
        <f t="shared" si="371"/>
        <v/>
      </c>
      <c r="AS2125" s="927">
        <v>22</v>
      </c>
      <c r="AT2125" s="1856">
        <f t="shared" si="364"/>
        <v>44795.25277777778</v>
      </c>
      <c r="AU2125" s="1856">
        <f t="shared" si="365"/>
        <v>44795.295138888883</v>
      </c>
      <c r="AV2125" s="1856">
        <f t="shared" si="366"/>
        <v>44795.853472222225</v>
      </c>
      <c r="AW2125" s="1856">
        <f t="shared" si="367"/>
        <v>44795.895138888889</v>
      </c>
      <c r="AX2125" s="1856">
        <f t="shared" si="368"/>
        <v>44795.098611111112</v>
      </c>
      <c r="AY2125" s="1856">
        <f t="shared" si="369"/>
        <v>44795.75</v>
      </c>
      <c r="AZ2125" s="1853">
        <v>0.23</v>
      </c>
    </row>
    <row r="2126" spans="42:52">
      <c r="AP2126" s="1855">
        <f t="shared" si="370"/>
        <v>44795</v>
      </c>
      <c r="AQ2126" s="925" t="str">
        <f t="shared" si="372"/>
        <v/>
      </c>
      <c r="AR2126" s="1856" t="str">
        <f t="shared" si="371"/>
        <v/>
      </c>
      <c r="AS2126" s="927" t="s">
        <v>252</v>
      </c>
      <c r="AT2126" s="1856" t="str">
        <f t="shared" si="364"/>
        <v/>
      </c>
      <c r="AU2126" s="1856" t="str">
        <f t="shared" si="365"/>
        <v/>
      </c>
      <c r="AV2126" s="1856" t="str">
        <f t="shared" si="366"/>
        <v/>
      </c>
      <c r="AW2126" s="1856" t="str">
        <f t="shared" si="367"/>
        <v/>
      </c>
      <c r="AX2126" s="1856" t="str">
        <f t="shared" si="368"/>
        <v/>
      </c>
      <c r="AY2126" s="1856" t="str">
        <f t="shared" si="369"/>
        <v/>
      </c>
    </row>
    <row r="2127" spans="42:52">
      <c r="AP2127" s="1855">
        <f t="shared" si="370"/>
        <v>44795</v>
      </c>
      <c r="AQ2127" s="925" t="str">
        <f t="shared" si="372"/>
        <v/>
      </c>
      <c r="AR2127" s="1856" t="str">
        <f t="shared" si="371"/>
        <v/>
      </c>
      <c r="AT2127" s="1856" t="str">
        <f t="shared" si="364"/>
        <v/>
      </c>
      <c r="AU2127" s="1856" t="str">
        <f t="shared" si="365"/>
        <v/>
      </c>
      <c r="AV2127" s="1856" t="str">
        <f t="shared" si="366"/>
        <v/>
      </c>
      <c r="AW2127" s="1856" t="str">
        <f t="shared" si="367"/>
        <v/>
      </c>
      <c r="AX2127" s="1856" t="str">
        <f t="shared" si="368"/>
        <v/>
      </c>
      <c r="AY2127" s="1856" t="str">
        <f t="shared" si="369"/>
        <v/>
      </c>
    </row>
    <row r="2128" spans="42:52">
      <c r="AP2128" s="1855">
        <f t="shared" si="370"/>
        <v>44795</v>
      </c>
      <c r="AQ2128" s="925" t="str">
        <f t="shared" si="372"/>
        <v>MR</v>
      </c>
      <c r="AR2128" s="1856">
        <f t="shared" si="371"/>
        <v>44795.098611111112</v>
      </c>
      <c r="AS2128" s="927" t="s">
        <v>2083</v>
      </c>
      <c r="AT2128" s="1856" t="str">
        <f t="shared" si="364"/>
        <v/>
      </c>
      <c r="AU2128" s="1856" t="str">
        <f t="shared" si="365"/>
        <v/>
      </c>
      <c r="AV2128" s="1856" t="str">
        <f t="shared" si="366"/>
        <v/>
      </c>
      <c r="AW2128" s="1856" t="str">
        <f t="shared" si="367"/>
        <v/>
      </c>
      <c r="AX2128" s="1856" t="str">
        <f t="shared" si="368"/>
        <v/>
      </c>
      <c r="AY2128" s="1856" t="str">
        <f t="shared" si="369"/>
        <v/>
      </c>
    </row>
    <row r="2129" spans="42:52">
      <c r="AP2129" s="1855">
        <f t="shared" si="370"/>
        <v>44795</v>
      </c>
      <c r="AQ2129" s="925" t="str">
        <f t="shared" si="372"/>
        <v>BMNT</v>
      </c>
      <c r="AR2129" s="1856">
        <f t="shared" si="371"/>
        <v>44795.25277777778</v>
      </c>
      <c r="AS2129" s="927" t="s">
        <v>2084</v>
      </c>
      <c r="AT2129" s="1856" t="str">
        <f t="shared" si="364"/>
        <v/>
      </c>
      <c r="AU2129" s="1856" t="str">
        <f t="shared" si="365"/>
        <v/>
      </c>
      <c r="AV2129" s="1856" t="str">
        <f t="shared" si="366"/>
        <v/>
      </c>
      <c r="AW2129" s="1856" t="str">
        <f t="shared" si="367"/>
        <v/>
      </c>
      <c r="AX2129" s="1856" t="str">
        <f t="shared" si="368"/>
        <v/>
      </c>
      <c r="AY2129" s="1856" t="str">
        <f t="shared" si="369"/>
        <v/>
      </c>
    </row>
    <row r="2130" spans="42:52">
      <c r="AP2130" s="1855">
        <f t="shared" si="370"/>
        <v>44795</v>
      </c>
      <c r="AQ2130" s="925" t="str">
        <f t="shared" si="372"/>
        <v>SR</v>
      </c>
      <c r="AR2130" s="1856">
        <f t="shared" si="371"/>
        <v>44795.295138888883</v>
      </c>
      <c r="AS2130" s="927" t="s">
        <v>1493</v>
      </c>
      <c r="AT2130" s="1856" t="str">
        <f t="shared" si="364"/>
        <v/>
      </c>
      <c r="AU2130" s="1856" t="str">
        <f t="shared" si="365"/>
        <v/>
      </c>
      <c r="AV2130" s="1856" t="str">
        <f t="shared" si="366"/>
        <v/>
      </c>
      <c r="AW2130" s="1856" t="str">
        <f t="shared" si="367"/>
        <v/>
      </c>
      <c r="AX2130" s="1856" t="str">
        <f t="shared" si="368"/>
        <v/>
      </c>
      <c r="AY2130" s="1856" t="str">
        <f t="shared" si="369"/>
        <v/>
      </c>
    </row>
    <row r="2131" spans="42:52">
      <c r="AP2131" s="1855">
        <f t="shared" si="370"/>
        <v>44795</v>
      </c>
      <c r="AQ2131" s="925" t="str">
        <f t="shared" si="372"/>
        <v>MS</v>
      </c>
      <c r="AR2131" s="1856">
        <f t="shared" si="371"/>
        <v>44795.75</v>
      </c>
      <c r="AS2131" s="927" t="s">
        <v>2085</v>
      </c>
      <c r="AT2131" s="1856" t="str">
        <f t="shared" si="364"/>
        <v/>
      </c>
      <c r="AU2131" s="1856" t="str">
        <f t="shared" si="365"/>
        <v/>
      </c>
      <c r="AV2131" s="1856" t="str">
        <f t="shared" si="366"/>
        <v/>
      </c>
      <c r="AW2131" s="1856" t="str">
        <f t="shared" si="367"/>
        <v/>
      </c>
      <c r="AX2131" s="1856" t="str">
        <f t="shared" si="368"/>
        <v/>
      </c>
      <c r="AY2131" s="1856" t="str">
        <f t="shared" si="369"/>
        <v/>
      </c>
    </row>
    <row r="2132" spans="42:52">
      <c r="AP2132" s="1855">
        <f t="shared" si="370"/>
        <v>44795</v>
      </c>
      <c r="AQ2132" s="925" t="str">
        <f t="shared" si="372"/>
        <v>SS</v>
      </c>
      <c r="AR2132" s="1856">
        <f t="shared" si="371"/>
        <v>44795.853472222225</v>
      </c>
      <c r="AS2132" s="927" t="s">
        <v>1708</v>
      </c>
      <c r="AT2132" s="1856" t="str">
        <f t="shared" si="364"/>
        <v/>
      </c>
      <c r="AU2132" s="1856" t="str">
        <f t="shared" si="365"/>
        <v/>
      </c>
      <c r="AV2132" s="1856" t="str">
        <f t="shared" si="366"/>
        <v/>
      </c>
      <c r="AW2132" s="1856" t="str">
        <f t="shared" si="367"/>
        <v/>
      </c>
      <c r="AX2132" s="1856" t="str">
        <f t="shared" si="368"/>
        <v/>
      </c>
      <c r="AY2132" s="1856" t="str">
        <f t="shared" si="369"/>
        <v/>
      </c>
    </row>
    <row r="2133" spans="42:52">
      <c r="AP2133" s="1855">
        <f t="shared" si="370"/>
        <v>44795</v>
      </c>
      <c r="AQ2133" s="925" t="str">
        <f t="shared" si="372"/>
        <v>EENT</v>
      </c>
      <c r="AR2133" s="1856">
        <f t="shared" si="371"/>
        <v>44795.895138888889</v>
      </c>
      <c r="AS2133" s="927" t="s">
        <v>1704</v>
      </c>
      <c r="AT2133" s="1856" t="str">
        <f t="shared" si="364"/>
        <v/>
      </c>
      <c r="AU2133" s="1856" t="str">
        <f t="shared" si="365"/>
        <v/>
      </c>
      <c r="AV2133" s="1856" t="str">
        <f t="shared" si="366"/>
        <v/>
      </c>
      <c r="AW2133" s="1856" t="str">
        <f t="shared" si="367"/>
        <v/>
      </c>
      <c r="AX2133" s="1856" t="str">
        <f t="shared" si="368"/>
        <v/>
      </c>
      <c r="AY2133" s="1856" t="str">
        <f t="shared" si="369"/>
        <v/>
      </c>
    </row>
    <row r="2134" spans="42:52">
      <c r="AP2134" s="1855">
        <f t="shared" si="370"/>
        <v>44796</v>
      </c>
      <c r="AQ2134" s="925" t="str">
        <f t="shared" si="372"/>
        <v/>
      </c>
      <c r="AR2134" s="1856" t="str">
        <f t="shared" si="371"/>
        <v/>
      </c>
      <c r="AS2134" s="927">
        <v>23</v>
      </c>
      <c r="AT2134" s="1856">
        <f t="shared" si="364"/>
        <v>44796.253472222219</v>
      </c>
      <c r="AU2134" s="1856">
        <f t="shared" si="365"/>
        <v>44796.29583333333</v>
      </c>
      <c r="AV2134" s="1856">
        <f t="shared" si="366"/>
        <v>44796.852083333339</v>
      </c>
      <c r="AW2134" s="1856">
        <f t="shared" si="367"/>
        <v>44796.894444444442</v>
      </c>
      <c r="AX2134" s="1856">
        <f t="shared" si="368"/>
        <v>44796.134722222225</v>
      </c>
      <c r="AY2134" s="1856">
        <f t="shared" si="369"/>
        <v>44796.781944444447</v>
      </c>
      <c r="AZ2134" s="1853">
        <v>0.15</v>
      </c>
    </row>
    <row r="2135" spans="42:52">
      <c r="AP2135" s="1855">
        <f t="shared" si="370"/>
        <v>44796</v>
      </c>
      <c r="AQ2135" s="925" t="str">
        <f t="shared" si="372"/>
        <v/>
      </c>
      <c r="AR2135" s="1856" t="str">
        <f t="shared" si="371"/>
        <v/>
      </c>
      <c r="AS2135" s="927" t="s">
        <v>252</v>
      </c>
      <c r="AT2135" s="1856" t="str">
        <f t="shared" si="364"/>
        <v/>
      </c>
      <c r="AU2135" s="1856" t="str">
        <f t="shared" si="365"/>
        <v/>
      </c>
      <c r="AV2135" s="1856" t="str">
        <f t="shared" si="366"/>
        <v/>
      </c>
      <c r="AW2135" s="1856" t="str">
        <f t="shared" si="367"/>
        <v/>
      </c>
      <c r="AX2135" s="1856" t="str">
        <f t="shared" si="368"/>
        <v/>
      </c>
      <c r="AY2135" s="1856" t="str">
        <f t="shared" si="369"/>
        <v/>
      </c>
    </row>
    <row r="2136" spans="42:52">
      <c r="AP2136" s="1855">
        <f t="shared" si="370"/>
        <v>44796</v>
      </c>
      <c r="AQ2136" s="925" t="str">
        <f t="shared" si="372"/>
        <v/>
      </c>
      <c r="AR2136" s="1856" t="str">
        <f t="shared" si="371"/>
        <v/>
      </c>
      <c r="AT2136" s="1856" t="str">
        <f t="shared" si="364"/>
        <v/>
      </c>
      <c r="AU2136" s="1856" t="str">
        <f t="shared" si="365"/>
        <v/>
      </c>
      <c r="AV2136" s="1856" t="str">
        <f t="shared" si="366"/>
        <v/>
      </c>
      <c r="AW2136" s="1856" t="str">
        <f t="shared" si="367"/>
        <v/>
      </c>
      <c r="AX2136" s="1856" t="str">
        <f t="shared" si="368"/>
        <v/>
      </c>
      <c r="AY2136" s="1856" t="str">
        <f t="shared" si="369"/>
        <v/>
      </c>
    </row>
    <row r="2137" spans="42:52">
      <c r="AP2137" s="1855">
        <f t="shared" si="370"/>
        <v>44796</v>
      </c>
      <c r="AQ2137" s="925" t="str">
        <f t="shared" si="372"/>
        <v>MR</v>
      </c>
      <c r="AR2137" s="1856">
        <f t="shared" si="371"/>
        <v>44796.134722222225</v>
      </c>
      <c r="AS2137" s="927" t="s">
        <v>2086</v>
      </c>
      <c r="AT2137" s="1856" t="str">
        <f t="shared" si="364"/>
        <v/>
      </c>
      <c r="AU2137" s="1856" t="str">
        <f t="shared" si="365"/>
        <v/>
      </c>
      <c r="AV2137" s="1856" t="str">
        <f t="shared" si="366"/>
        <v/>
      </c>
      <c r="AW2137" s="1856" t="str">
        <f t="shared" si="367"/>
        <v/>
      </c>
      <c r="AX2137" s="1856" t="str">
        <f t="shared" si="368"/>
        <v/>
      </c>
      <c r="AY2137" s="1856" t="str">
        <f t="shared" si="369"/>
        <v/>
      </c>
    </row>
    <row r="2138" spans="42:52">
      <c r="AP2138" s="1855">
        <f t="shared" si="370"/>
        <v>44796</v>
      </c>
      <c r="AQ2138" s="925" t="str">
        <f t="shared" si="372"/>
        <v>BMNT</v>
      </c>
      <c r="AR2138" s="1856">
        <f t="shared" si="371"/>
        <v>44796.253472222219</v>
      </c>
      <c r="AS2138" s="927" t="s">
        <v>1504</v>
      </c>
      <c r="AT2138" s="1856" t="str">
        <f t="shared" si="364"/>
        <v/>
      </c>
      <c r="AU2138" s="1856" t="str">
        <f t="shared" si="365"/>
        <v/>
      </c>
      <c r="AV2138" s="1856" t="str">
        <f t="shared" si="366"/>
        <v/>
      </c>
      <c r="AW2138" s="1856" t="str">
        <f t="shared" si="367"/>
        <v/>
      </c>
      <c r="AX2138" s="1856" t="str">
        <f t="shared" si="368"/>
        <v/>
      </c>
      <c r="AY2138" s="1856" t="str">
        <f t="shared" si="369"/>
        <v/>
      </c>
    </row>
    <row r="2139" spans="42:52">
      <c r="AP2139" s="1855">
        <f t="shared" si="370"/>
        <v>44796</v>
      </c>
      <c r="AQ2139" s="925" t="str">
        <f t="shared" si="372"/>
        <v>SR</v>
      </c>
      <c r="AR2139" s="1856">
        <f t="shared" si="371"/>
        <v>44796.29583333333</v>
      </c>
      <c r="AS2139" s="927" t="s">
        <v>1487</v>
      </c>
      <c r="AT2139" s="1856" t="str">
        <f t="shared" si="364"/>
        <v/>
      </c>
      <c r="AU2139" s="1856" t="str">
        <f t="shared" si="365"/>
        <v/>
      </c>
      <c r="AV2139" s="1856" t="str">
        <f t="shared" si="366"/>
        <v/>
      </c>
      <c r="AW2139" s="1856" t="str">
        <f t="shared" si="367"/>
        <v/>
      </c>
      <c r="AX2139" s="1856" t="str">
        <f t="shared" si="368"/>
        <v/>
      </c>
      <c r="AY2139" s="1856" t="str">
        <f t="shared" si="369"/>
        <v/>
      </c>
    </row>
    <row r="2140" spans="42:52">
      <c r="AP2140" s="1855">
        <f t="shared" si="370"/>
        <v>44796</v>
      </c>
      <c r="AQ2140" s="925" t="str">
        <f t="shared" si="372"/>
        <v>MS</v>
      </c>
      <c r="AR2140" s="1856">
        <f t="shared" si="371"/>
        <v>44796.781944444447</v>
      </c>
      <c r="AS2140" s="927" t="s">
        <v>2087</v>
      </c>
      <c r="AT2140" s="1856" t="str">
        <f t="shared" ref="AT2140:AT2203" si="373">IF(ISNUMBER(AS2140),INDEX(AR2141:AR2151,MATCH($AT$27,AQ2141:AQ2151,0)),"")</f>
        <v/>
      </c>
      <c r="AU2140" s="1856" t="str">
        <f t="shared" ref="AU2140:AU2203" si="374">IF(AT2140="","",INDEX(AR2141:AR2151,MATCH($AU$27,AQ2141:AQ2151,0)))</f>
        <v/>
      </c>
      <c r="AV2140" s="1856" t="str">
        <f t="shared" ref="AV2140:AV2203" si="375">IF(AT2140="","",INDEX(AR2141:AR2151,MATCH($AV$27,AQ2141:AQ2151,0)))</f>
        <v/>
      </c>
      <c r="AW2140" s="1856" t="str">
        <f t="shared" ref="AW2140:AW2203" si="376">IF(AT2140="","",INDEX(AR2141:AR2151,MATCH($AW$27,AQ2141:AQ2151,0)))</f>
        <v/>
      </c>
      <c r="AX2140" s="1856" t="str">
        <f t="shared" ref="AX2140:AX2203" si="377">IF(AT2140="","",INDEX(AR2141:AR2151,MATCH($AX$27,AQ2141:AQ2151,0)))</f>
        <v/>
      </c>
      <c r="AY2140" s="1856" t="str">
        <f t="shared" ref="AY2140:AY2203" si="378">IF(AT2140="","",INDEX(AR2141:AR2151,MATCH($AY$27,AQ2141:AQ2151,0)))</f>
        <v/>
      </c>
    </row>
    <row r="2141" spans="42:52">
      <c r="AP2141" s="1855">
        <f t="shared" si="370"/>
        <v>44796</v>
      </c>
      <c r="AQ2141" s="925" t="str">
        <f t="shared" si="372"/>
        <v>SS</v>
      </c>
      <c r="AR2141" s="1856">
        <f t="shared" si="371"/>
        <v>44796.852083333339</v>
      </c>
      <c r="AS2141" s="927" t="s">
        <v>1697</v>
      </c>
      <c r="AT2141" s="1856" t="str">
        <f t="shared" si="373"/>
        <v/>
      </c>
      <c r="AU2141" s="1856" t="str">
        <f t="shared" si="374"/>
        <v/>
      </c>
      <c r="AV2141" s="1856" t="str">
        <f t="shared" si="375"/>
        <v/>
      </c>
      <c r="AW2141" s="1856" t="str">
        <f t="shared" si="376"/>
        <v/>
      </c>
      <c r="AX2141" s="1856" t="str">
        <f t="shared" si="377"/>
        <v/>
      </c>
      <c r="AY2141" s="1856" t="str">
        <f t="shared" si="378"/>
        <v/>
      </c>
    </row>
    <row r="2142" spans="42:52">
      <c r="AP2142" s="1855">
        <f t="shared" si="370"/>
        <v>44796</v>
      </c>
      <c r="AQ2142" s="925" t="str">
        <f t="shared" si="372"/>
        <v>EENT</v>
      </c>
      <c r="AR2142" s="1856">
        <f t="shared" si="371"/>
        <v>44796.894444444442</v>
      </c>
      <c r="AS2142" s="927" t="s">
        <v>1698</v>
      </c>
      <c r="AT2142" s="1856" t="str">
        <f t="shared" si="373"/>
        <v/>
      </c>
      <c r="AU2142" s="1856" t="str">
        <f t="shared" si="374"/>
        <v/>
      </c>
      <c r="AV2142" s="1856" t="str">
        <f t="shared" si="375"/>
        <v/>
      </c>
      <c r="AW2142" s="1856" t="str">
        <f t="shared" si="376"/>
        <v/>
      </c>
      <c r="AX2142" s="1856" t="str">
        <f t="shared" si="377"/>
        <v/>
      </c>
      <c r="AY2142" s="1856" t="str">
        <f t="shared" si="378"/>
        <v/>
      </c>
    </row>
    <row r="2143" spans="42:52">
      <c r="AP2143" s="1855">
        <f t="shared" si="370"/>
        <v>44797</v>
      </c>
      <c r="AQ2143" s="925" t="str">
        <f t="shared" si="372"/>
        <v/>
      </c>
      <c r="AR2143" s="1856" t="str">
        <f t="shared" si="371"/>
        <v/>
      </c>
      <c r="AS2143" s="927">
        <v>24</v>
      </c>
      <c r="AT2143" s="1856">
        <f t="shared" si="373"/>
        <v>44797.254166666666</v>
      </c>
      <c r="AU2143" s="1856">
        <f t="shared" si="374"/>
        <v>44797.296527777777</v>
      </c>
      <c r="AV2143" s="1856">
        <f t="shared" si="375"/>
        <v>44797.851388888892</v>
      </c>
      <c r="AW2143" s="1856">
        <f t="shared" si="376"/>
        <v>44797.893055555556</v>
      </c>
      <c r="AX2143" s="1856">
        <f t="shared" si="377"/>
        <v>44797.173611111109</v>
      </c>
      <c r="AY2143" s="1856">
        <f t="shared" si="378"/>
        <v>44797.80972222222</v>
      </c>
      <c r="AZ2143" s="1853">
        <v>0.09</v>
      </c>
    </row>
    <row r="2144" spans="42:52">
      <c r="AP2144" s="1855">
        <f t="shared" si="370"/>
        <v>44797</v>
      </c>
      <c r="AQ2144" s="925" t="str">
        <f t="shared" si="372"/>
        <v/>
      </c>
      <c r="AR2144" s="1856" t="str">
        <f t="shared" si="371"/>
        <v/>
      </c>
      <c r="AS2144" s="927" t="s">
        <v>252</v>
      </c>
      <c r="AT2144" s="1856" t="str">
        <f t="shared" si="373"/>
        <v/>
      </c>
      <c r="AU2144" s="1856" t="str">
        <f t="shared" si="374"/>
        <v/>
      </c>
      <c r="AV2144" s="1856" t="str">
        <f t="shared" si="375"/>
        <v/>
      </c>
      <c r="AW2144" s="1856" t="str">
        <f t="shared" si="376"/>
        <v/>
      </c>
      <c r="AX2144" s="1856" t="str">
        <f t="shared" si="377"/>
        <v/>
      </c>
      <c r="AY2144" s="1856" t="str">
        <f t="shared" si="378"/>
        <v/>
      </c>
    </row>
    <row r="2145" spans="42:52">
      <c r="AP2145" s="1855">
        <f t="shared" si="370"/>
        <v>44797</v>
      </c>
      <c r="AQ2145" s="925" t="str">
        <f t="shared" si="372"/>
        <v/>
      </c>
      <c r="AR2145" s="1856" t="str">
        <f t="shared" si="371"/>
        <v/>
      </c>
      <c r="AT2145" s="1856" t="str">
        <f t="shared" si="373"/>
        <v/>
      </c>
      <c r="AU2145" s="1856" t="str">
        <f t="shared" si="374"/>
        <v/>
      </c>
      <c r="AV2145" s="1856" t="str">
        <f t="shared" si="375"/>
        <v/>
      </c>
      <c r="AW2145" s="1856" t="str">
        <f t="shared" si="376"/>
        <v/>
      </c>
      <c r="AX2145" s="1856" t="str">
        <f t="shared" si="377"/>
        <v/>
      </c>
      <c r="AY2145" s="1856" t="str">
        <f t="shared" si="378"/>
        <v/>
      </c>
    </row>
    <row r="2146" spans="42:52">
      <c r="AP2146" s="1855">
        <f t="shared" si="370"/>
        <v>44797</v>
      </c>
      <c r="AQ2146" s="925" t="str">
        <f t="shared" si="372"/>
        <v>MR</v>
      </c>
      <c r="AR2146" s="1856">
        <f t="shared" si="371"/>
        <v>44797.173611111109</v>
      </c>
      <c r="AS2146" s="927" t="s">
        <v>2088</v>
      </c>
      <c r="AT2146" s="1856" t="str">
        <f t="shared" si="373"/>
        <v/>
      </c>
      <c r="AU2146" s="1856" t="str">
        <f t="shared" si="374"/>
        <v/>
      </c>
      <c r="AV2146" s="1856" t="str">
        <f t="shared" si="375"/>
        <v/>
      </c>
      <c r="AW2146" s="1856" t="str">
        <f t="shared" si="376"/>
        <v/>
      </c>
      <c r="AX2146" s="1856" t="str">
        <f t="shared" si="377"/>
        <v/>
      </c>
      <c r="AY2146" s="1856" t="str">
        <f t="shared" si="378"/>
        <v/>
      </c>
    </row>
    <row r="2147" spans="42:52">
      <c r="AP2147" s="1855">
        <f t="shared" si="370"/>
        <v>44797</v>
      </c>
      <c r="AQ2147" s="925" t="str">
        <f t="shared" si="372"/>
        <v>BMNT</v>
      </c>
      <c r="AR2147" s="1856">
        <f t="shared" si="371"/>
        <v>44797.254166666666</v>
      </c>
      <c r="AS2147" s="927" t="s">
        <v>1498</v>
      </c>
      <c r="AT2147" s="1856" t="str">
        <f t="shared" si="373"/>
        <v/>
      </c>
      <c r="AU2147" s="1856" t="str">
        <f t="shared" si="374"/>
        <v/>
      </c>
      <c r="AV2147" s="1856" t="str">
        <f t="shared" si="375"/>
        <v/>
      </c>
      <c r="AW2147" s="1856" t="str">
        <f t="shared" si="376"/>
        <v/>
      </c>
      <c r="AX2147" s="1856" t="str">
        <f t="shared" si="377"/>
        <v/>
      </c>
      <c r="AY2147" s="1856" t="str">
        <f t="shared" si="378"/>
        <v/>
      </c>
    </row>
    <row r="2148" spans="42:52">
      <c r="AP2148" s="1855">
        <f t="shared" si="370"/>
        <v>44797</v>
      </c>
      <c r="AQ2148" s="925" t="str">
        <f t="shared" si="372"/>
        <v>SR</v>
      </c>
      <c r="AR2148" s="1856">
        <f t="shared" si="371"/>
        <v>44797.296527777777</v>
      </c>
      <c r="AS2148" s="927" t="s">
        <v>1481</v>
      </c>
      <c r="AT2148" s="1856" t="str">
        <f t="shared" si="373"/>
        <v/>
      </c>
      <c r="AU2148" s="1856" t="str">
        <f t="shared" si="374"/>
        <v/>
      </c>
      <c r="AV2148" s="1856" t="str">
        <f t="shared" si="375"/>
        <v/>
      </c>
      <c r="AW2148" s="1856" t="str">
        <f t="shared" si="376"/>
        <v/>
      </c>
      <c r="AX2148" s="1856" t="str">
        <f t="shared" si="377"/>
        <v/>
      </c>
      <c r="AY2148" s="1856" t="str">
        <f t="shared" si="378"/>
        <v/>
      </c>
    </row>
    <row r="2149" spans="42:52">
      <c r="AP2149" s="1855">
        <f t="shared" ref="AP2149:AP2212" si="379">IF(ISNUMBER(AS2149),AP2148+1,AP2148)</f>
        <v>44797</v>
      </c>
      <c r="AQ2149" s="925" t="str">
        <f t="shared" si="372"/>
        <v>MS</v>
      </c>
      <c r="AR2149" s="1856">
        <f t="shared" si="371"/>
        <v>44797.80972222222</v>
      </c>
      <c r="AS2149" s="927" t="s">
        <v>2089</v>
      </c>
      <c r="AT2149" s="1856" t="str">
        <f t="shared" si="373"/>
        <v/>
      </c>
      <c r="AU2149" s="1856" t="str">
        <f t="shared" si="374"/>
        <v/>
      </c>
      <c r="AV2149" s="1856" t="str">
        <f t="shared" si="375"/>
        <v/>
      </c>
      <c r="AW2149" s="1856" t="str">
        <f t="shared" si="376"/>
        <v/>
      </c>
      <c r="AX2149" s="1856" t="str">
        <f t="shared" si="377"/>
        <v/>
      </c>
      <c r="AY2149" s="1856" t="str">
        <f t="shared" si="378"/>
        <v/>
      </c>
    </row>
    <row r="2150" spans="42:52">
      <c r="AP2150" s="1855">
        <f t="shared" si="379"/>
        <v>44797</v>
      </c>
      <c r="AQ2150" s="925" t="str">
        <f t="shared" si="372"/>
        <v>SS</v>
      </c>
      <c r="AR2150" s="1856">
        <f t="shared" si="371"/>
        <v>44797.851388888892</v>
      </c>
      <c r="AS2150" s="927" t="s">
        <v>1691</v>
      </c>
      <c r="AT2150" s="1856" t="str">
        <f t="shared" si="373"/>
        <v/>
      </c>
      <c r="AU2150" s="1856" t="str">
        <f t="shared" si="374"/>
        <v/>
      </c>
      <c r="AV2150" s="1856" t="str">
        <f t="shared" si="375"/>
        <v/>
      </c>
      <c r="AW2150" s="1856" t="str">
        <f t="shared" si="376"/>
        <v/>
      </c>
      <c r="AX2150" s="1856" t="str">
        <f t="shared" si="377"/>
        <v/>
      </c>
      <c r="AY2150" s="1856" t="str">
        <f t="shared" si="378"/>
        <v/>
      </c>
    </row>
    <row r="2151" spans="42:52">
      <c r="AP2151" s="1855">
        <f t="shared" si="379"/>
        <v>44797</v>
      </c>
      <c r="AQ2151" s="925" t="str">
        <f t="shared" si="372"/>
        <v>EENT</v>
      </c>
      <c r="AR2151" s="1856">
        <f t="shared" si="371"/>
        <v>44797.893055555556</v>
      </c>
      <c r="AS2151" s="927" t="s">
        <v>1687</v>
      </c>
      <c r="AT2151" s="1856" t="str">
        <f t="shared" si="373"/>
        <v/>
      </c>
      <c r="AU2151" s="1856" t="str">
        <f t="shared" si="374"/>
        <v/>
      </c>
      <c r="AV2151" s="1856" t="str">
        <f t="shared" si="375"/>
        <v/>
      </c>
      <c r="AW2151" s="1856" t="str">
        <f t="shared" si="376"/>
        <v/>
      </c>
      <c r="AX2151" s="1856" t="str">
        <f t="shared" si="377"/>
        <v/>
      </c>
      <c r="AY2151" s="1856" t="str">
        <f t="shared" si="378"/>
        <v/>
      </c>
    </row>
    <row r="2152" spans="42:52">
      <c r="AP2152" s="1855">
        <f t="shared" si="379"/>
        <v>44798</v>
      </c>
      <c r="AQ2152" s="925" t="str">
        <f t="shared" si="372"/>
        <v/>
      </c>
      <c r="AR2152" s="1856" t="str">
        <f t="shared" si="371"/>
        <v/>
      </c>
      <c r="AS2152" s="927">
        <v>25</v>
      </c>
      <c r="AT2152" s="1856">
        <f t="shared" si="373"/>
        <v>44798.254861111112</v>
      </c>
      <c r="AU2152" s="1856">
        <f t="shared" si="374"/>
        <v>44798.296527777777</v>
      </c>
      <c r="AV2152" s="1856">
        <f t="shared" si="375"/>
        <v>44798.850694444445</v>
      </c>
      <c r="AW2152" s="1856">
        <f t="shared" si="376"/>
        <v>44798.892361111109</v>
      </c>
      <c r="AX2152" s="1856">
        <f t="shared" si="377"/>
        <v>44798.215972222228</v>
      </c>
      <c r="AY2152" s="1856">
        <f t="shared" si="378"/>
        <v>44798.834027777782</v>
      </c>
      <c r="AZ2152" s="1853">
        <v>0.05</v>
      </c>
    </row>
    <row r="2153" spans="42:52">
      <c r="AP2153" s="1855">
        <f t="shared" si="379"/>
        <v>44798</v>
      </c>
      <c r="AQ2153" s="925" t="str">
        <f t="shared" si="372"/>
        <v/>
      </c>
      <c r="AR2153" s="1856" t="str">
        <f t="shared" ref="AR2153:AR2216" si="380">IF(NOT(ISNUMBER(FIND(":",AS2153))),"",IF(ISNUMBER(FIND(" none",AS2153)),"NONE",AP2153+LEFT(RIGHT(AS2153,5),2)/24+RIGHT(AS2153,2)/1440))</f>
        <v/>
      </c>
      <c r="AS2153" s="927" t="s">
        <v>252</v>
      </c>
      <c r="AT2153" s="1856" t="str">
        <f t="shared" si="373"/>
        <v/>
      </c>
      <c r="AU2153" s="1856" t="str">
        <f t="shared" si="374"/>
        <v/>
      </c>
      <c r="AV2153" s="1856" t="str">
        <f t="shared" si="375"/>
        <v/>
      </c>
      <c r="AW2153" s="1856" t="str">
        <f t="shared" si="376"/>
        <v/>
      </c>
      <c r="AX2153" s="1856" t="str">
        <f t="shared" si="377"/>
        <v/>
      </c>
      <c r="AY2153" s="1856" t="str">
        <f t="shared" si="378"/>
        <v/>
      </c>
    </row>
    <row r="2154" spans="42:52">
      <c r="AP2154" s="1855">
        <f t="shared" si="379"/>
        <v>44798</v>
      </c>
      <c r="AQ2154" s="925" t="str">
        <f t="shared" si="372"/>
        <v/>
      </c>
      <c r="AR2154" s="1856" t="str">
        <f t="shared" si="380"/>
        <v/>
      </c>
      <c r="AT2154" s="1856" t="str">
        <f t="shared" si="373"/>
        <v/>
      </c>
      <c r="AU2154" s="1856" t="str">
        <f t="shared" si="374"/>
        <v/>
      </c>
      <c r="AV2154" s="1856" t="str">
        <f t="shared" si="375"/>
        <v/>
      </c>
      <c r="AW2154" s="1856" t="str">
        <f t="shared" si="376"/>
        <v/>
      </c>
      <c r="AX2154" s="1856" t="str">
        <f t="shared" si="377"/>
        <v/>
      </c>
      <c r="AY2154" s="1856" t="str">
        <f t="shared" si="378"/>
        <v/>
      </c>
    </row>
    <row r="2155" spans="42:52">
      <c r="AP2155" s="1855">
        <f t="shared" si="379"/>
        <v>44798</v>
      </c>
      <c r="AQ2155" s="925" t="str">
        <f t="shared" si="372"/>
        <v>MR</v>
      </c>
      <c r="AR2155" s="1856">
        <f t="shared" si="380"/>
        <v>44798.215972222228</v>
      </c>
      <c r="AS2155" s="927" t="s">
        <v>2090</v>
      </c>
      <c r="AT2155" s="1856" t="str">
        <f t="shared" si="373"/>
        <v/>
      </c>
      <c r="AU2155" s="1856" t="str">
        <f t="shared" si="374"/>
        <v/>
      </c>
      <c r="AV2155" s="1856" t="str">
        <f t="shared" si="375"/>
        <v/>
      </c>
      <c r="AW2155" s="1856" t="str">
        <f t="shared" si="376"/>
        <v/>
      </c>
      <c r="AX2155" s="1856" t="str">
        <f t="shared" si="377"/>
        <v/>
      </c>
      <c r="AY2155" s="1856" t="str">
        <f t="shared" si="378"/>
        <v/>
      </c>
    </row>
    <row r="2156" spans="42:52">
      <c r="AP2156" s="1855">
        <f t="shared" si="379"/>
        <v>44798</v>
      </c>
      <c r="AQ2156" s="925" t="str">
        <f t="shared" si="372"/>
        <v>BMNT</v>
      </c>
      <c r="AR2156" s="1856">
        <f t="shared" si="380"/>
        <v>44798.254861111112</v>
      </c>
      <c r="AS2156" s="927" t="s">
        <v>1662</v>
      </c>
      <c r="AT2156" s="1856" t="str">
        <f t="shared" si="373"/>
        <v/>
      </c>
      <c r="AU2156" s="1856" t="str">
        <f t="shared" si="374"/>
        <v/>
      </c>
      <c r="AV2156" s="1856" t="str">
        <f t="shared" si="375"/>
        <v/>
      </c>
      <c r="AW2156" s="1856" t="str">
        <f t="shared" si="376"/>
        <v/>
      </c>
      <c r="AX2156" s="1856" t="str">
        <f t="shared" si="377"/>
        <v/>
      </c>
      <c r="AY2156" s="1856" t="str">
        <f t="shared" si="378"/>
        <v/>
      </c>
    </row>
    <row r="2157" spans="42:52">
      <c r="AP2157" s="1855">
        <f t="shared" si="379"/>
        <v>44798</v>
      </c>
      <c r="AQ2157" s="925" t="str">
        <f t="shared" si="372"/>
        <v>SR</v>
      </c>
      <c r="AR2157" s="1856">
        <f t="shared" si="380"/>
        <v>44798.296527777777</v>
      </c>
      <c r="AS2157" s="927" t="s">
        <v>1481</v>
      </c>
      <c r="AT2157" s="1856" t="str">
        <f t="shared" si="373"/>
        <v/>
      </c>
      <c r="AU2157" s="1856" t="str">
        <f t="shared" si="374"/>
        <v/>
      </c>
      <c r="AV2157" s="1856" t="str">
        <f t="shared" si="375"/>
        <v/>
      </c>
      <c r="AW2157" s="1856" t="str">
        <f t="shared" si="376"/>
        <v/>
      </c>
      <c r="AX2157" s="1856" t="str">
        <f t="shared" si="377"/>
        <v/>
      </c>
      <c r="AY2157" s="1856" t="str">
        <f t="shared" si="378"/>
        <v/>
      </c>
    </row>
    <row r="2158" spans="42:52">
      <c r="AP2158" s="1855">
        <f t="shared" si="379"/>
        <v>44798</v>
      </c>
      <c r="AQ2158" s="925" t="str">
        <f t="shared" si="372"/>
        <v>MS</v>
      </c>
      <c r="AR2158" s="1856">
        <f t="shared" si="380"/>
        <v>44798.834027777782</v>
      </c>
      <c r="AS2158" s="927" t="s">
        <v>2091</v>
      </c>
      <c r="AT2158" s="1856" t="str">
        <f t="shared" si="373"/>
        <v/>
      </c>
      <c r="AU2158" s="1856" t="str">
        <f t="shared" si="374"/>
        <v/>
      </c>
      <c r="AV2158" s="1856" t="str">
        <f t="shared" si="375"/>
        <v/>
      </c>
      <c r="AW2158" s="1856" t="str">
        <f t="shared" si="376"/>
        <v/>
      </c>
      <c r="AX2158" s="1856" t="str">
        <f t="shared" si="377"/>
        <v/>
      </c>
      <c r="AY2158" s="1856" t="str">
        <f t="shared" si="378"/>
        <v/>
      </c>
    </row>
    <row r="2159" spans="42:52">
      <c r="AP2159" s="1855">
        <f t="shared" si="379"/>
        <v>44798</v>
      </c>
      <c r="AQ2159" s="925" t="str">
        <f t="shared" si="372"/>
        <v>SS</v>
      </c>
      <c r="AR2159" s="1856">
        <f t="shared" si="380"/>
        <v>44798.850694444445</v>
      </c>
      <c r="AS2159" s="927" t="s">
        <v>1686</v>
      </c>
      <c r="AT2159" s="1856" t="str">
        <f t="shared" si="373"/>
        <v/>
      </c>
      <c r="AU2159" s="1856" t="str">
        <f t="shared" si="374"/>
        <v/>
      </c>
      <c r="AV2159" s="1856" t="str">
        <f t="shared" si="375"/>
        <v/>
      </c>
      <c r="AW2159" s="1856" t="str">
        <f t="shared" si="376"/>
        <v/>
      </c>
      <c r="AX2159" s="1856" t="str">
        <f t="shared" si="377"/>
        <v/>
      </c>
      <c r="AY2159" s="1856" t="str">
        <f t="shared" si="378"/>
        <v/>
      </c>
    </row>
    <row r="2160" spans="42:52">
      <c r="AP2160" s="1855">
        <f t="shared" si="379"/>
        <v>44798</v>
      </c>
      <c r="AQ2160" s="925" t="str">
        <f t="shared" si="372"/>
        <v>EENT</v>
      </c>
      <c r="AR2160" s="1856">
        <f t="shared" si="380"/>
        <v>44798.892361111109</v>
      </c>
      <c r="AS2160" s="927" t="s">
        <v>1682</v>
      </c>
      <c r="AT2160" s="1856" t="str">
        <f t="shared" si="373"/>
        <v/>
      </c>
      <c r="AU2160" s="1856" t="str">
        <f t="shared" si="374"/>
        <v/>
      </c>
      <c r="AV2160" s="1856" t="str">
        <f t="shared" si="375"/>
        <v/>
      </c>
      <c r="AW2160" s="1856" t="str">
        <f t="shared" si="376"/>
        <v/>
      </c>
      <c r="AX2160" s="1856" t="str">
        <f t="shared" si="377"/>
        <v/>
      </c>
      <c r="AY2160" s="1856" t="str">
        <f t="shared" si="378"/>
        <v/>
      </c>
    </row>
    <row r="2161" spans="42:52">
      <c r="AP2161" s="1855">
        <f t="shared" si="379"/>
        <v>44799</v>
      </c>
      <c r="AQ2161" s="925" t="str">
        <f t="shared" si="372"/>
        <v/>
      </c>
      <c r="AR2161" s="1856" t="str">
        <f t="shared" si="380"/>
        <v/>
      </c>
      <c r="AS2161" s="927">
        <v>26</v>
      </c>
      <c r="AT2161" s="1856">
        <f t="shared" si="373"/>
        <v>44799.255555555559</v>
      </c>
      <c r="AU2161" s="1856">
        <f t="shared" si="374"/>
        <v>44799.297222222223</v>
      </c>
      <c r="AV2161" s="1856">
        <f t="shared" si="375"/>
        <v>44799.849305555559</v>
      </c>
      <c r="AW2161" s="1856">
        <f t="shared" si="376"/>
        <v>44799.890972222223</v>
      </c>
      <c r="AX2161" s="1856">
        <f t="shared" si="377"/>
        <v>44799.258333333331</v>
      </c>
      <c r="AY2161" s="1856">
        <f t="shared" si="378"/>
        <v>44799.854861111111</v>
      </c>
      <c r="AZ2161" s="1853">
        <v>0.02</v>
      </c>
    </row>
    <row r="2162" spans="42:52">
      <c r="AP2162" s="1855">
        <f t="shared" si="379"/>
        <v>44799</v>
      </c>
      <c r="AQ2162" s="925" t="str">
        <f t="shared" si="372"/>
        <v/>
      </c>
      <c r="AR2162" s="1856" t="str">
        <f t="shared" si="380"/>
        <v/>
      </c>
      <c r="AS2162" s="927" t="s">
        <v>252</v>
      </c>
      <c r="AT2162" s="1856" t="str">
        <f t="shared" si="373"/>
        <v/>
      </c>
      <c r="AU2162" s="1856" t="str">
        <f t="shared" si="374"/>
        <v/>
      </c>
      <c r="AV2162" s="1856" t="str">
        <f t="shared" si="375"/>
        <v/>
      </c>
      <c r="AW2162" s="1856" t="str">
        <f t="shared" si="376"/>
        <v/>
      </c>
      <c r="AX2162" s="1856" t="str">
        <f t="shared" si="377"/>
        <v/>
      </c>
      <c r="AY2162" s="1856" t="str">
        <f t="shared" si="378"/>
        <v/>
      </c>
    </row>
    <row r="2163" spans="42:52">
      <c r="AP2163" s="1855">
        <f t="shared" si="379"/>
        <v>44799</v>
      </c>
      <c r="AQ2163" s="925" t="str">
        <f t="shared" si="372"/>
        <v/>
      </c>
      <c r="AR2163" s="1856" t="str">
        <f t="shared" si="380"/>
        <v/>
      </c>
      <c r="AT2163" s="1856" t="str">
        <f t="shared" si="373"/>
        <v/>
      </c>
      <c r="AU2163" s="1856" t="str">
        <f t="shared" si="374"/>
        <v/>
      </c>
      <c r="AV2163" s="1856" t="str">
        <f t="shared" si="375"/>
        <v/>
      </c>
      <c r="AW2163" s="1856" t="str">
        <f t="shared" si="376"/>
        <v/>
      </c>
      <c r="AX2163" s="1856" t="str">
        <f t="shared" si="377"/>
        <v/>
      </c>
      <c r="AY2163" s="1856" t="str">
        <f t="shared" si="378"/>
        <v/>
      </c>
    </row>
    <row r="2164" spans="42:52">
      <c r="AP2164" s="1855">
        <f t="shared" si="379"/>
        <v>44799</v>
      </c>
      <c r="AQ2164" s="925" t="str">
        <f t="shared" ref="AQ2164:AQ2227" si="381">IF(NOT(ISNUMBER(FIND(":",AS2164))),"",IF(ISNUMBER(FIND("Sunr",AS2164)),"SR", IF(ISNUMBER(FIND("Suns",AS2164)),"SS",IF(ISNUMBER(FIND("Moonr",AS2164)),"MR",IF(ISNUMBER(FIND("Moons",AS2164)),"MS",IF(ISNUMBER(FIND("Twi",AS2164)),IF(HOUR(AR2164)&lt;12,"BMNT","EENT")))))))</f>
        <v>BMNT</v>
      </c>
      <c r="AR2164" s="1856">
        <f t="shared" si="380"/>
        <v>44799.255555555559</v>
      </c>
      <c r="AS2164" s="927" t="s">
        <v>1492</v>
      </c>
      <c r="AT2164" s="1856" t="str">
        <f t="shared" si="373"/>
        <v/>
      </c>
      <c r="AU2164" s="1856" t="str">
        <f t="shared" si="374"/>
        <v/>
      </c>
      <c r="AV2164" s="1856" t="str">
        <f t="shared" si="375"/>
        <v/>
      </c>
      <c r="AW2164" s="1856" t="str">
        <f t="shared" si="376"/>
        <v/>
      </c>
      <c r="AX2164" s="1856" t="str">
        <f t="shared" si="377"/>
        <v/>
      </c>
      <c r="AY2164" s="1856" t="str">
        <f t="shared" si="378"/>
        <v/>
      </c>
    </row>
    <row r="2165" spans="42:52">
      <c r="AP2165" s="1855">
        <f t="shared" si="379"/>
        <v>44799</v>
      </c>
      <c r="AQ2165" s="925" t="str">
        <f t="shared" si="381"/>
        <v>MR</v>
      </c>
      <c r="AR2165" s="1856">
        <f t="shared" si="380"/>
        <v>44799.258333333331</v>
      </c>
      <c r="AS2165" s="927" t="s">
        <v>2092</v>
      </c>
      <c r="AT2165" s="1856" t="str">
        <f t="shared" si="373"/>
        <v/>
      </c>
      <c r="AU2165" s="1856" t="str">
        <f t="shared" si="374"/>
        <v/>
      </c>
      <c r="AV2165" s="1856" t="str">
        <f t="shared" si="375"/>
        <v/>
      </c>
      <c r="AW2165" s="1856" t="str">
        <f t="shared" si="376"/>
        <v/>
      </c>
      <c r="AX2165" s="1856" t="str">
        <f t="shared" si="377"/>
        <v/>
      </c>
      <c r="AY2165" s="1856" t="str">
        <f t="shared" si="378"/>
        <v/>
      </c>
    </row>
    <row r="2166" spans="42:52">
      <c r="AP2166" s="1855">
        <f t="shared" si="379"/>
        <v>44799</v>
      </c>
      <c r="AQ2166" s="925" t="str">
        <f t="shared" si="381"/>
        <v>SR</v>
      </c>
      <c r="AR2166" s="1856">
        <f t="shared" si="380"/>
        <v>44799.297222222223</v>
      </c>
      <c r="AS2166" s="927" t="s">
        <v>1657</v>
      </c>
      <c r="AT2166" s="1856" t="str">
        <f t="shared" si="373"/>
        <v/>
      </c>
      <c r="AU2166" s="1856" t="str">
        <f t="shared" si="374"/>
        <v/>
      </c>
      <c r="AV2166" s="1856" t="str">
        <f t="shared" si="375"/>
        <v/>
      </c>
      <c r="AW2166" s="1856" t="str">
        <f t="shared" si="376"/>
        <v/>
      </c>
      <c r="AX2166" s="1856" t="str">
        <f t="shared" si="377"/>
        <v/>
      </c>
      <c r="AY2166" s="1856" t="str">
        <f t="shared" si="378"/>
        <v/>
      </c>
    </row>
    <row r="2167" spans="42:52">
      <c r="AP2167" s="1855">
        <f t="shared" si="379"/>
        <v>44799</v>
      </c>
      <c r="AQ2167" s="925" t="str">
        <f t="shared" si="381"/>
        <v>SS</v>
      </c>
      <c r="AR2167" s="1856">
        <f t="shared" si="380"/>
        <v>44799.849305555559</v>
      </c>
      <c r="AS2167" s="927" t="s">
        <v>1672</v>
      </c>
      <c r="AT2167" s="1856" t="str">
        <f t="shared" si="373"/>
        <v/>
      </c>
      <c r="AU2167" s="1856" t="str">
        <f t="shared" si="374"/>
        <v/>
      </c>
      <c r="AV2167" s="1856" t="str">
        <f t="shared" si="375"/>
        <v/>
      </c>
      <c r="AW2167" s="1856" t="str">
        <f t="shared" si="376"/>
        <v/>
      </c>
      <c r="AX2167" s="1856" t="str">
        <f t="shared" si="377"/>
        <v/>
      </c>
      <c r="AY2167" s="1856" t="str">
        <f t="shared" si="378"/>
        <v/>
      </c>
    </row>
    <row r="2168" spans="42:52">
      <c r="AP2168" s="1855">
        <f t="shared" si="379"/>
        <v>44799</v>
      </c>
      <c r="AQ2168" s="925" t="str">
        <f t="shared" si="381"/>
        <v>MS</v>
      </c>
      <c r="AR2168" s="1856">
        <f t="shared" si="380"/>
        <v>44799.854861111111</v>
      </c>
      <c r="AS2168" s="927" t="s">
        <v>2093</v>
      </c>
      <c r="AT2168" s="1856" t="str">
        <f t="shared" si="373"/>
        <v/>
      </c>
      <c r="AU2168" s="1856" t="str">
        <f t="shared" si="374"/>
        <v/>
      </c>
      <c r="AV2168" s="1856" t="str">
        <f t="shared" si="375"/>
        <v/>
      </c>
      <c r="AW2168" s="1856" t="str">
        <f t="shared" si="376"/>
        <v/>
      </c>
      <c r="AX2168" s="1856" t="str">
        <f t="shared" si="377"/>
        <v/>
      </c>
      <c r="AY2168" s="1856" t="str">
        <f t="shared" si="378"/>
        <v/>
      </c>
    </row>
    <row r="2169" spans="42:52">
      <c r="AP2169" s="1855">
        <f t="shared" si="379"/>
        <v>44799</v>
      </c>
      <c r="AQ2169" s="925" t="str">
        <f t="shared" si="381"/>
        <v>EENT</v>
      </c>
      <c r="AR2169" s="1856">
        <f t="shared" si="380"/>
        <v>44799.890972222223</v>
      </c>
      <c r="AS2169" s="927" t="s">
        <v>1673</v>
      </c>
      <c r="AT2169" s="1856" t="str">
        <f t="shared" si="373"/>
        <v/>
      </c>
      <c r="AU2169" s="1856" t="str">
        <f t="shared" si="374"/>
        <v/>
      </c>
      <c r="AV2169" s="1856" t="str">
        <f t="shared" si="375"/>
        <v/>
      </c>
      <c r="AW2169" s="1856" t="str">
        <f t="shared" si="376"/>
        <v/>
      </c>
      <c r="AX2169" s="1856" t="str">
        <f t="shared" si="377"/>
        <v/>
      </c>
      <c r="AY2169" s="1856" t="str">
        <f t="shared" si="378"/>
        <v/>
      </c>
    </row>
    <row r="2170" spans="42:52">
      <c r="AP2170" s="1855">
        <f t="shared" si="379"/>
        <v>44800</v>
      </c>
      <c r="AQ2170" s="925" t="str">
        <f t="shared" si="381"/>
        <v/>
      </c>
      <c r="AR2170" s="1856" t="str">
        <f t="shared" si="380"/>
        <v/>
      </c>
      <c r="AS2170" s="927">
        <v>27</v>
      </c>
      <c r="AT2170" s="1856">
        <f t="shared" si="373"/>
        <v>44800.256249999999</v>
      </c>
      <c r="AU2170" s="1856">
        <f t="shared" si="374"/>
        <v>44800.297916666663</v>
      </c>
      <c r="AV2170" s="1856">
        <f t="shared" si="375"/>
        <v>44800.848611111112</v>
      </c>
      <c r="AW2170" s="1856">
        <f t="shared" si="376"/>
        <v>44800.890277777777</v>
      </c>
      <c r="AX2170" s="1856">
        <f t="shared" si="377"/>
        <v>44800.302083333328</v>
      </c>
      <c r="AY2170" s="1856">
        <f t="shared" si="378"/>
        <v>44800.872916666667</v>
      </c>
      <c r="AZ2170" s="1853">
        <v>0</v>
      </c>
    </row>
    <row r="2171" spans="42:52">
      <c r="AP2171" s="1855">
        <f t="shared" si="379"/>
        <v>44800</v>
      </c>
      <c r="AQ2171" s="925" t="str">
        <f t="shared" si="381"/>
        <v/>
      </c>
      <c r="AR2171" s="1856" t="str">
        <f t="shared" si="380"/>
        <v/>
      </c>
      <c r="AS2171" s="927" t="s">
        <v>252</v>
      </c>
      <c r="AT2171" s="1856" t="str">
        <f t="shared" si="373"/>
        <v/>
      </c>
      <c r="AU2171" s="1856" t="str">
        <f t="shared" si="374"/>
        <v/>
      </c>
      <c r="AV2171" s="1856" t="str">
        <f t="shared" si="375"/>
        <v/>
      </c>
      <c r="AW2171" s="1856" t="str">
        <f t="shared" si="376"/>
        <v/>
      </c>
      <c r="AX2171" s="1856" t="str">
        <f t="shared" si="377"/>
        <v/>
      </c>
      <c r="AY2171" s="1856" t="str">
        <f t="shared" si="378"/>
        <v/>
      </c>
    </row>
    <row r="2172" spans="42:52">
      <c r="AP2172" s="1855">
        <f t="shared" si="379"/>
        <v>44800</v>
      </c>
      <c r="AQ2172" s="925" t="str">
        <f t="shared" si="381"/>
        <v/>
      </c>
      <c r="AR2172" s="1856" t="str">
        <f t="shared" si="380"/>
        <v/>
      </c>
      <c r="AT2172" s="1856" t="str">
        <f t="shared" si="373"/>
        <v/>
      </c>
      <c r="AU2172" s="1856" t="str">
        <f t="shared" si="374"/>
        <v/>
      </c>
      <c r="AV2172" s="1856" t="str">
        <f t="shared" si="375"/>
        <v/>
      </c>
      <c r="AW2172" s="1856" t="str">
        <f t="shared" si="376"/>
        <v/>
      </c>
      <c r="AX2172" s="1856" t="str">
        <f t="shared" si="377"/>
        <v/>
      </c>
      <c r="AY2172" s="1856" t="str">
        <f t="shared" si="378"/>
        <v/>
      </c>
    </row>
    <row r="2173" spans="42:52">
      <c r="AP2173" s="1855">
        <f t="shared" si="379"/>
        <v>44800</v>
      </c>
      <c r="AQ2173" s="925" t="str">
        <f t="shared" si="381"/>
        <v>BMNT</v>
      </c>
      <c r="AR2173" s="1856">
        <f t="shared" si="380"/>
        <v>44800.256249999999</v>
      </c>
      <c r="AS2173" s="927" t="s">
        <v>1486</v>
      </c>
      <c r="AT2173" s="1856" t="str">
        <f t="shared" si="373"/>
        <v/>
      </c>
      <c r="AU2173" s="1856" t="str">
        <f t="shared" si="374"/>
        <v/>
      </c>
      <c r="AV2173" s="1856" t="str">
        <f t="shared" si="375"/>
        <v/>
      </c>
      <c r="AW2173" s="1856" t="str">
        <f t="shared" si="376"/>
        <v/>
      </c>
      <c r="AX2173" s="1856" t="str">
        <f t="shared" si="377"/>
        <v/>
      </c>
      <c r="AY2173" s="1856" t="str">
        <f t="shared" si="378"/>
        <v/>
      </c>
    </row>
    <row r="2174" spans="42:52">
      <c r="AP2174" s="1855">
        <f t="shared" si="379"/>
        <v>44800</v>
      </c>
      <c r="AQ2174" s="925" t="str">
        <f t="shared" si="381"/>
        <v>SR</v>
      </c>
      <c r="AR2174" s="1856">
        <f t="shared" si="380"/>
        <v>44800.297916666663</v>
      </c>
      <c r="AS2174" s="927" t="s">
        <v>1475</v>
      </c>
      <c r="AT2174" s="1856" t="str">
        <f t="shared" si="373"/>
        <v/>
      </c>
      <c r="AU2174" s="1856" t="str">
        <f t="shared" si="374"/>
        <v/>
      </c>
      <c r="AV2174" s="1856" t="str">
        <f t="shared" si="375"/>
        <v/>
      </c>
      <c r="AW2174" s="1856" t="str">
        <f t="shared" si="376"/>
        <v/>
      </c>
      <c r="AX2174" s="1856" t="str">
        <f t="shared" si="377"/>
        <v/>
      </c>
      <c r="AY2174" s="1856" t="str">
        <f t="shared" si="378"/>
        <v/>
      </c>
    </row>
    <row r="2175" spans="42:52">
      <c r="AP2175" s="1855">
        <f t="shared" si="379"/>
        <v>44800</v>
      </c>
      <c r="AQ2175" s="925" t="str">
        <f t="shared" si="381"/>
        <v>MR</v>
      </c>
      <c r="AR2175" s="1856">
        <f t="shared" si="380"/>
        <v>44800.302083333328</v>
      </c>
      <c r="AS2175" s="927" t="s">
        <v>2094</v>
      </c>
      <c r="AT2175" s="1856" t="str">
        <f t="shared" si="373"/>
        <v/>
      </c>
      <c r="AU2175" s="1856" t="str">
        <f t="shared" si="374"/>
        <v/>
      </c>
      <c r="AV2175" s="1856" t="str">
        <f t="shared" si="375"/>
        <v/>
      </c>
      <c r="AW2175" s="1856" t="str">
        <f t="shared" si="376"/>
        <v/>
      </c>
      <c r="AX2175" s="1856" t="str">
        <f t="shared" si="377"/>
        <v/>
      </c>
      <c r="AY2175" s="1856" t="str">
        <f t="shared" si="378"/>
        <v/>
      </c>
    </row>
    <row r="2176" spans="42:52">
      <c r="AP2176" s="1855">
        <f t="shared" si="379"/>
        <v>44800</v>
      </c>
      <c r="AQ2176" s="925" t="str">
        <f t="shared" si="381"/>
        <v>SS</v>
      </c>
      <c r="AR2176" s="1856">
        <f t="shared" si="380"/>
        <v>44800.848611111112</v>
      </c>
      <c r="AS2176" s="927" t="s">
        <v>1667</v>
      </c>
      <c r="AT2176" s="1856" t="str">
        <f t="shared" si="373"/>
        <v/>
      </c>
      <c r="AU2176" s="1856" t="str">
        <f t="shared" si="374"/>
        <v/>
      </c>
      <c r="AV2176" s="1856" t="str">
        <f t="shared" si="375"/>
        <v/>
      </c>
      <c r="AW2176" s="1856" t="str">
        <f t="shared" si="376"/>
        <v/>
      </c>
      <c r="AX2176" s="1856" t="str">
        <f t="shared" si="377"/>
        <v/>
      </c>
      <c r="AY2176" s="1856" t="str">
        <f t="shared" si="378"/>
        <v/>
      </c>
    </row>
    <row r="2177" spans="42:52">
      <c r="AP2177" s="1855">
        <f t="shared" si="379"/>
        <v>44800</v>
      </c>
      <c r="AQ2177" s="925" t="str">
        <f t="shared" si="381"/>
        <v>MS</v>
      </c>
      <c r="AR2177" s="1856">
        <f t="shared" si="380"/>
        <v>44800.872916666667</v>
      </c>
      <c r="AS2177" s="927" t="s">
        <v>1467</v>
      </c>
      <c r="AT2177" s="1856" t="str">
        <f t="shared" si="373"/>
        <v/>
      </c>
      <c r="AU2177" s="1856" t="str">
        <f t="shared" si="374"/>
        <v/>
      </c>
      <c r="AV2177" s="1856" t="str">
        <f t="shared" si="375"/>
        <v/>
      </c>
      <c r="AW2177" s="1856" t="str">
        <f t="shared" si="376"/>
        <v/>
      </c>
      <c r="AX2177" s="1856" t="str">
        <f t="shared" si="377"/>
        <v/>
      </c>
      <c r="AY2177" s="1856" t="str">
        <f t="shared" si="378"/>
        <v/>
      </c>
    </row>
    <row r="2178" spans="42:52">
      <c r="AP2178" s="1855">
        <f t="shared" si="379"/>
        <v>44800</v>
      </c>
      <c r="AQ2178" s="925" t="str">
        <f t="shared" si="381"/>
        <v>EENT</v>
      </c>
      <c r="AR2178" s="1856">
        <f t="shared" si="380"/>
        <v>44800.890277777777</v>
      </c>
      <c r="AS2178" s="927" t="s">
        <v>1668</v>
      </c>
      <c r="AT2178" s="1856" t="str">
        <f t="shared" si="373"/>
        <v/>
      </c>
      <c r="AU2178" s="1856" t="str">
        <f t="shared" si="374"/>
        <v/>
      </c>
      <c r="AV2178" s="1856" t="str">
        <f t="shared" si="375"/>
        <v/>
      </c>
      <c r="AW2178" s="1856" t="str">
        <f t="shared" si="376"/>
        <v/>
      </c>
      <c r="AX2178" s="1856" t="str">
        <f t="shared" si="377"/>
        <v/>
      </c>
      <c r="AY2178" s="1856" t="str">
        <f t="shared" si="378"/>
        <v/>
      </c>
    </row>
    <row r="2179" spans="42:52">
      <c r="AP2179" s="1855">
        <f t="shared" si="379"/>
        <v>44801</v>
      </c>
      <c r="AQ2179" s="925" t="str">
        <f t="shared" si="381"/>
        <v/>
      </c>
      <c r="AR2179" s="1856" t="str">
        <f t="shared" si="380"/>
        <v/>
      </c>
      <c r="AS2179" s="927">
        <v>28</v>
      </c>
      <c r="AT2179" s="1856">
        <f t="shared" si="373"/>
        <v>44801.257638888892</v>
      </c>
      <c r="AU2179" s="1856">
        <f t="shared" si="374"/>
        <v>44801.298611111109</v>
      </c>
      <c r="AV2179" s="1856">
        <f t="shared" si="375"/>
        <v>44801.847222222226</v>
      </c>
      <c r="AW2179" s="1856">
        <f t="shared" si="376"/>
        <v>44801.888888888891</v>
      </c>
      <c r="AX2179" s="1856">
        <f t="shared" si="377"/>
        <v>44801.345138888893</v>
      </c>
      <c r="AY2179" s="1856">
        <f t="shared" si="378"/>
        <v>44801.890277777777</v>
      </c>
      <c r="AZ2179" s="1853">
        <v>0.01</v>
      </c>
    </row>
    <row r="2180" spans="42:52">
      <c r="AP2180" s="1855">
        <f t="shared" si="379"/>
        <v>44801</v>
      </c>
      <c r="AQ2180" s="925" t="str">
        <f t="shared" si="381"/>
        <v/>
      </c>
      <c r="AR2180" s="1856" t="str">
        <f t="shared" si="380"/>
        <v/>
      </c>
      <c r="AS2180" s="927" t="s">
        <v>252</v>
      </c>
      <c r="AT2180" s="1856" t="str">
        <f t="shared" si="373"/>
        <v/>
      </c>
      <c r="AU2180" s="1856" t="str">
        <f t="shared" si="374"/>
        <v/>
      </c>
      <c r="AV2180" s="1856" t="str">
        <f t="shared" si="375"/>
        <v/>
      </c>
      <c r="AW2180" s="1856" t="str">
        <f t="shared" si="376"/>
        <v/>
      </c>
      <c r="AX2180" s="1856" t="str">
        <f t="shared" si="377"/>
        <v/>
      </c>
      <c r="AY2180" s="1856" t="str">
        <f t="shared" si="378"/>
        <v/>
      </c>
    </row>
    <row r="2181" spans="42:52">
      <c r="AP2181" s="1855">
        <f t="shared" si="379"/>
        <v>44801</v>
      </c>
      <c r="AQ2181" s="925" t="str">
        <f t="shared" si="381"/>
        <v/>
      </c>
      <c r="AR2181" s="1856" t="str">
        <f t="shared" si="380"/>
        <v/>
      </c>
      <c r="AT2181" s="1856" t="str">
        <f t="shared" si="373"/>
        <v/>
      </c>
      <c r="AU2181" s="1856" t="str">
        <f t="shared" si="374"/>
        <v/>
      </c>
      <c r="AV2181" s="1856" t="str">
        <f t="shared" si="375"/>
        <v/>
      </c>
      <c r="AW2181" s="1856" t="str">
        <f t="shared" si="376"/>
        <v/>
      </c>
      <c r="AX2181" s="1856" t="str">
        <f t="shared" si="377"/>
        <v/>
      </c>
      <c r="AY2181" s="1856" t="str">
        <f t="shared" si="378"/>
        <v/>
      </c>
    </row>
    <row r="2182" spans="42:52">
      <c r="AP2182" s="1855">
        <f t="shared" si="379"/>
        <v>44801</v>
      </c>
      <c r="AQ2182" s="925" t="str">
        <f t="shared" si="381"/>
        <v>BMNT</v>
      </c>
      <c r="AR2182" s="1856">
        <f t="shared" si="380"/>
        <v>44801.257638888892</v>
      </c>
      <c r="AS2182" s="927" t="s">
        <v>1480</v>
      </c>
      <c r="AT2182" s="1856" t="str">
        <f t="shared" si="373"/>
        <v/>
      </c>
      <c r="AU2182" s="1856" t="str">
        <f t="shared" si="374"/>
        <v/>
      </c>
      <c r="AV2182" s="1856" t="str">
        <f t="shared" si="375"/>
        <v/>
      </c>
      <c r="AW2182" s="1856" t="str">
        <f t="shared" si="376"/>
        <v/>
      </c>
      <c r="AX2182" s="1856" t="str">
        <f t="shared" si="377"/>
        <v/>
      </c>
      <c r="AY2182" s="1856" t="str">
        <f t="shared" si="378"/>
        <v/>
      </c>
    </row>
    <row r="2183" spans="42:52">
      <c r="AP2183" s="1855">
        <f t="shared" si="379"/>
        <v>44801</v>
      </c>
      <c r="AQ2183" s="925" t="str">
        <f t="shared" si="381"/>
        <v>SR</v>
      </c>
      <c r="AR2183" s="1856">
        <f t="shared" si="380"/>
        <v>44801.298611111109</v>
      </c>
      <c r="AS2183" s="927" t="s">
        <v>1469</v>
      </c>
      <c r="AT2183" s="1856" t="str">
        <f t="shared" si="373"/>
        <v/>
      </c>
      <c r="AU2183" s="1856" t="str">
        <f t="shared" si="374"/>
        <v/>
      </c>
      <c r="AV2183" s="1856" t="str">
        <f t="shared" si="375"/>
        <v/>
      </c>
      <c r="AW2183" s="1856" t="str">
        <f t="shared" si="376"/>
        <v/>
      </c>
      <c r="AX2183" s="1856" t="str">
        <f t="shared" si="377"/>
        <v/>
      </c>
      <c r="AY2183" s="1856" t="str">
        <f t="shared" si="378"/>
        <v/>
      </c>
    </row>
    <row r="2184" spans="42:52">
      <c r="AP2184" s="1855">
        <f t="shared" si="379"/>
        <v>44801</v>
      </c>
      <c r="AQ2184" s="925" t="str">
        <f t="shared" si="381"/>
        <v>MR</v>
      </c>
      <c r="AR2184" s="1856">
        <f t="shared" si="380"/>
        <v>44801.345138888893</v>
      </c>
      <c r="AS2184" s="927" t="s">
        <v>2095</v>
      </c>
      <c r="AT2184" s="1856" t="str">
        <f t="shared" si="373"/>
        <v/>
      </c>
      <c r="AU2184" s="1856" t="str">
        <f t="shared" si="374"/>
        <v/>
      </c>
      <c r="AV2184" s="1856" t="str">
        <f t="shared" si="375"/>
        <v/>
      </c>
      <c r="AW2184" s="1856" t="str">
        <f t="shared" si="376"/>
        <v/>
      </c>
      <c r="AX2184" s="1856" t="str">
        <f t="shared" si="377"/>
        <v/>
      </c>
      <c r="AY2184" s="1856" t="str">
        <f t="shared" si="378"/>
        <v/>
      </c>
    </row>
    <row r="2185" spans="42:52">
      <c r="AP2185" s="1855">
        <f t="shared" si="379"/>
        <v>44801</v>
      </c>
      <c r="AQ2185" s="925" t="str">
        <f t="shared" si="381"/>
        <v>SS</v>
      </c>
      <c r="AR2185" s="1856">
        <f t="shared" si="380"/>
        <v>44801.847222222226</v>
      </c>
      <c r="AS2185" s="927" t="s">
        <v>1659</v>
      </c>
      <c r="AT2185" s="1856" t="str">
        <f t="shared" si="373"/>
        <v/>
      </c>
      <c r="AU2185" s="1856" t="str">
        <f t="shared" si="374"/>
        <v/>
      </c>
      <c r="AV2185" s="1856" t="str">
        <f t="shared" si="375"/>
        <v/>
      </c>
      <c r="AW2185" s="1856" t="str">
        <f t="shared" si="376"/>
        <v/>
      </c>
      <c r="AX2185" s="1856" t="str">
        <f t="shared" si="377"/>
        <v/>
      </c>
      <c r="AY2185" s="1856" t="str">
        <f t="shared" si="378"/>
        <v/>
      </c>
    </row>
    <row r="2186" spans="42:52">
      <c r="AP2186" s="1855">
        <f t="shared" si="379"/>
        <v>44801</v>
      </c>
      <c r="AQ2186" s="925" t="str">
        <f t="shared" si="381"/>
        <v>EENT</v>
      </c>
      <c r="AR2186" s="1856">
        <f t="shared" si="380"/>
        <v>44801.888888888891</v>
      </c>
      <c r="AS2186" s="927" t="s">
        <v>1665</v>
      </c>
      <c r="AT2186" s="1856" t="str">
        <f t="shared" si="373"/>
        <v/>
      </c>
      <c r="AU2186" s="1856" t="str">
        <f t="shared" si="374"/>
        <v/>
      </c>
      <c r="AV2186" s="1856" t="str">
        <f t="shared" si="375"/>
        <v/>
      </c>
      <c r="AW2186" s="1856" t="str">
        <f t="shared" si="376"/>
        <v/>
      </c>
      <c r="AX2186" s="1856" t="str">
        <f t="shared" si="377"/>
        <v/>
      </c>
      <c r="AY2186" s="1856" t="str">
        <f t="shared" si="378"/>
        <v/>
      </c>
    </row>
    <row r="2187" spans="42:52">
      <c r="AP2187" s="1855">
        <f t="shared" si="379"/>
        <v>44801</v>
      </c>
      <c r="AQ2187" s="925" t="str">
        <f t="shared" si="381"/>
        <v>MS</v>
      </c>
      <c r="AR2187" s="1856">
        <f t="shared" si="380"/>
        <v>44801.890277777777</v>
      </c>
      <c r="AS2187" s="927" t="s">
        <v>2096</v>
      </c>
      <c r="AT2187" s="1856" t="str">
        <f t="shared" si="373"/>
        <v/>
      </c>
      <c r="AU2187" s="1856" t="str">
        <f t="shared" si="374"/>
        <v/>
      </c>
      <c r="AV2187" s="1856" t="str">
        <f t="shared" si="375"/>
        <v/>
      </c>
      <c r="AW2187" s="1856" t="str">
        <f t="shared" si="376"/>
        <v/>
      </c>
      <c r="AX2187" s="1856" t="str">
        <f t="shared" si="377"/>
        <v/>
      </c>
      <c r="AY2187" s="1856" t="str">
        <f t="shared" si="378"/>
        <v/>
      </c>
    </row>
    <row r="2188" spans="42:52">
      <c r="AP2188" s="1855">
        <f t="shared" si="379"/>
        <v>44802</v>
      </c>
      <c r="AQ2188" s="925" t="str">
        <f t="shared" si="381"/>
        <v/>
      </c>
      <c r="AR2188" s="1856" t="str">
        <f t="shared" si="380"/>
        <v/>
      </c>
      <c r="AS2188" s="927">
        <v>29</v>
      </c>
      <c r="AT2188" s="1856">
        <f t="shared" si="373"/>
        <v>44802.258333333331</v>
      </c>
      <c r="AU2188" s="1856">
        <f t="shared" si="374"/>
        <v>44802.299305555556</v>
      </c>
      <c r="AV2188" s="1856">
        <f t="shared" si="375"/>
        <v>44802.84652777778</v>
      </c>
      <c r="AW2188" s="1856">
        <f t="shared" si="376"/>
        <v>44802.887499999997</v>
      </c>
      <c r="AX2188" s="1856">
        <f t="shared" si="377"/>
        <v>44802.388194444444</v>
      </c>
      <c r="AY2188" s="1856">
        <f t="shared" si="378"/>
        <v>44802.906944444447</v>
      </c>
      <c r="AZ2188" s="1853">
        <v>0.04</v>
      </c>
    </row>
    <row r="2189" spans="42:52">
      <c r="AP2189" s="1855">
        <f t="shared" si="379"/>
        <v>44802</v>
      </c>
      <c r="AQ2189" s="925" t="str">
        <f t="shared" si="381"/>
        <v/>
      </c>
      <c r="AR2189" s="1856" t="str">
        <f t="shared" si="380"/>
        <v/>
      </c>
      <c r="AS2189" s="927" t="s">
        <v>252</v>
      </c>
      <c r="AT2189" s="1856" t="str">
        <f t="shared" si="373"/>
        <v/>
      </c>
      <c r="AU2189" s="1856" t="str">
        <f t="shared" si="374"/>
        <v/>
      </c>
      <c r="AV2189" s="1856" t="str">
        <f t="shared" si="375"/>
        <v/>
      </c>
      <c r="AW2189" s="1856" t="str">
        <f t="shared" si="376"/>
        <v/>
      </c>
      <c r="AX2189" s="1856" t="str">
        <f t="shared" si="377"/>
        <v/>
      </c>
      <c r="AY2189" s="1856" t="str">
        <f t="shared" si="378"/>
        <v/>
      </c>
    </row>
    <row r="2190" spans="42:52">
      <c r="AP2190" s="1855">
        <f t="shared" si="379"/>
        <v>44802</v>
      </c>
      <c r="AQ2190" s="925" t="str">
        <f t="shared" si="381"/>
        <v/>
      </c>
      <c r="AR2190" s="1856" t="str">
        <f t="shared" si="380"/>
        <v/>
      </c>
      <c r="AT2190" s="1856" t="str">
        <f t="shared" si="373"/>
        <v/>
      </c>
      <c r="AU2190" s="1856" t="str">
        <f t="shared" si="374"/>
        <v/>
      </c>
      <c r="AV2190" s="1856" t="str">
        <f t="shared" si="375"/>
        <v/>
      </c>
      <c r="AW2190" s="1856" t="str">
        <f t="shared" si="376"/>
        <v/>
      </c>
      <c r="AX2190" s="1856" t="str">
        <f t="shared" si="377"/>
        <v/>
      </c>
      <c r="AY2190" s="1856" t="str">
        <f t="shared" si="378"/>
        <v/>
      </c>
    </row>
    <row r="2191" spans="42:52">
      <c r="AP2191" s="1855">
        <f t="shared" si="379"/>
        <v>44802</v>
      </c>
      <c r="AQ2191" s="925" t="str">
        <f t="shared" si="381"/>
        <v>BMNT</v>
      </c>
      <c r="AR2191" s="1856">
        <f t="shared" si="380"/>
        <v>44802.258333333331</v>
      </c>
      <c r="AS2191" s="927" t="s">
        <v>1474</v>
      </c>
      <c r="AT2191" s="1856" t="str">
        <f t="shared" si="373"/>
        <v/>
      </c>
      <c r="AU2191" s="1856" t="str">
        <f t="shared" si="374"/>
        <v/>
      </c>
      <c r="AV2191" s="1856" t="str">
        <f t="shared" si="375"/>
        <v/>
      </c>
      <c r="AW2191" s="1856" t="str">
        <f t="shared" si="376"/>
        <v/>
      </c>
      <c r="AX2191" s="1856" t="str">
        <f t="shared" si="377"/>
        <v/>
      </c>
      <c r="AY2191" s="1856" t="str">
        <f t="shared" si="378"/>
        <v/>
      </c>
    </row>
    <row r="2192" spans="42:52">
      <c r="AP2192" s="1855">
        <f t="shared" si="379"/>
        <v>44802</v>
      </c>
      <c r="AQ2192" s="925" t="str">
        <f t="shared" si="381"/>
        <v>SR</v>
      </c>
      <c r="AR2192" s="1856">
        <f t="shared" si="380"/>
        <v>44802.299305555556</v>
      </c>
      <c r="AS2192" s="927" t="s">
        <v>1648</v>
      </c>
      <c r="AT2192" s="1856" t="str">
        <f t="shared" si="373"/>
        <v/>
      </c>
      <c r="AU2192" s="1856" t="str">
        <f t="shared" si="374"/>
        <v/>
      </c>
      <c r="AV2192" s="1856" t="str">
        <f t="shared" si="375"/>
        <v/>
      </c>
      <c r="AW2192" s="1856" t="str">
        <f t="shared" si="376"/>
        <v/>
      </c>
      <c r="AX2192" s="1856" t="str">
        <f t="shared" si="377"/>
        <v/>
      </c>
      <c r="AY2192" s="1856" t="str">
        <f t="shared" si="378"/>
        <v/>
      </c>
    </row>
    <row r="2193" spans="42:52">
      <c r="AP2193" s="1855">
        <f t="shared" si="379"/>
        <v>44802</v>
      </c>
      <c r="AQ2193" s="925" t="str">
        <f t="shared" si="381"/>
        <v>MR</v>
      </c>
      <c r="AR2193" s="1856">
        <f t="shared" si="380"/>
        <v>44802.388194444444</v>
      </c>
      <c r="AS2193" s="927" t="s">
        <v>2097</v>
      </c>
      <c r="AT2193" s="1856" t="str">
        <f t="shared" si="373"/>
        <v/>
      </c>
      <c r="AU2193" s="1856" t="str">
        <f t="shared" si="374"/>
        <v/>
      </c>
      <c r="AV2193" s="1856" t="str">
        <f t="shared" si="375"/>
        <v/>
      </c>
      <c r="AW2193" s="1856" t="str">
        <f t="shared" si="376"/>
        <v/>
      </c>
      <c r="AX2193" s="1856" t="str">
        <f t="shared" si="377"/>
        <v/>
      </c>
      <c r="AY2193" s="1856" t="str">
        <f t="shared" si="378"/>
        <v/>
      </c>
    </row>
    <row r="2194" spans="42:52">
      <c r="AP2194" s="1855">
        <f t="shared" si="379"/>
        <v>44802</v>
      </c>
      <c r="AQ2194" s="925" t="str">
        <f t="shared" si="381"/>
        <v>SS</v>
      </c>
      <c r="AR2194" s="1856">
        <f t="shared" si="380"/>
        <v>44802.84652777778</v>
      </c>
      <c r="AS2194" s="927" t="s">
        <v>1655</v>
      </c>
      <c r="AT2194" s="1856" t="str">
        <f t="shared" si="373"/>
        <v/>
      </c>
      <c r="AU2194" s="1856" t="str">
        <f t="shared" si="374"/>
        <v/>
      </c>
      <c r="AV2194" s="1856" t="str">
        <f t="shared" si="375"/>
        <v/>
      </c>
      <c r="AW2194" s="1856" t="str">
        <f t="shared" si="376"/>
        <v/>
      </c>
      <c r="AX2194" s="1856" t="str">
        <f t="shared" si="377"/>
        <v/>
      </c>
      <c r="AY2194" s="1856" t="str">
        <f t="shared" si="378"/>
        <v/>
      </c>
    </row>
    <row r="2195" spans="42:52">
      <c r="AP2195" s="1855">
        <f t="shared" si="379"/>
        <v>44802</v>
      </c>
      <c r="AQ2195" s="925" t="str">
        <f t="shared" si="381"/>
        <v>EENT</v>
      </c>
      <c r="AR2195" s="1856">
        <f t="shared" si="380"/>
        <v>44802.887499999997</v>
      </c>
      <c r="AS2195" s="927" t="s">
        <v>1656</v>
      </c>
      <c r="AT2195" s="1856" t="str">
        <f t="shared" si="373"/>
        <v/>
      </c>
      <c r="AU2195" s="1856" t="str">
        <f t="shared" si="374"/>
        <v/>
      </c>
      <c r="AV2195" s="1856" t="str">
        <f t="shared" si="375"/>
        <v/>
      </c>
      <c r="AW2195" s="1856" t="str">
        <f t="shared" si="376"/>
        <v/>
      </c>
      <c r="AX2195" s="1856" t="str">
        <f t="shared" si="377"/>
        <v/>
      </c>
      <c r="AY2195" s="1856" t="str">
        <f t="shared" si="378"/>
        <v/>
      </c>
    </row>
    <row r="2196" spans="42:52">
      <c r="AP2196" s="1855">
        <f t="shared" si="379"/>
        <v>44802</v>
      </c>
      <c r="AQ2196" s="925" t="str">
        <f t="shared" si="381"/>
        <v>MS</v>
      </c>
      <c r="AR2196" s="1856">
        <f t="shared" si="380"/>
        <v>44802.906944444447</v>
      </c>
      <c r="AS2196" s="927" t="s">
        <v>2098</v>
      </c>
      <c r="AT2196" s="1856" t="str">
        <f t="shared" si="373"/>
        <v/>
      </c>
      <c r="AU2196" s="1856" t="str">
        <f t="shared" si="374"/>
        <v/>
      </c>
      <c r="AV2196" s="1856" t="str">
        <f t="shared" si="375"/>
        <v/>
      </c>
      <c r="AW2196" s="1856" t="str">
        <f t="shared" si="376"/>
        <v/>
      </c>
      <c r="AX2196" s="1856" t="str">
        <f t="shared" si="377"/>
        <v/>
      </c>
      <c r="AY2196" s="1856" t="str">
        <f t="shared" si="378"/>
        <v/>
      </c>
    </row>
    <row r="2197" spans="42:52">
      <c r="AP2197" s="1855">
        <f t="shared" si="379"/>
        <v>44803</v>
      </c>
      <c r="AQ2197" s="925" t="str">
        <f t="shared" si="381"/>
        <v/>
      </c>
      <c r="AR2197" s="1856" t="str">
        <f t="shared" si="380"/>
        <v/>
      </c>
      <c r="AS2197" s="927">
        <v>30</v>
      </c>
      <c r="AT2197" s="1856">
        <f t="shared" si="373"/>
        <v>44803.259027777778</v>
      </c>
      <c r="AU2197" s="1856">
        <f t="shared" si="374"/>
        <v>44803.299999999996</v>
      </c>
      <c r="AV2197" s="1856">
        <f t="shared" si="375"/>
        <v>44803.845833333333</v>
      </c>
      <c r="AW2197" s="1856">
        <f t="shared" si="376"/>
        <v>44803.886805555558</v>
      </c>
      <c r="AX2197" s="1856">
        <f t="shared" si="377"/>
        <v>44803.431944444441</v>
      </c>
      <c r="AY2197" s="1856">
        <f t="shared" si="378"/>
        <v>44803.923611111109</v>
      </c>
      <c r="AZ2197" s="1853">
        <v>0.08</v>
      </c>
    </row>
    <row r="2198" spans="42:52">
      <c r="AP2198" s="1855">
        <f t="shared" si="379"/>
        <v>44803</v>
      </c>
      <c r="AQ2198" s="925" t="str">
        <f t="shared" si="381"/>
        <v/>
      </c>
      <c r="AR2198" s="1856" t="str">
        <f t="shared" si="380"/>
        <v/>
      </c>
      <c r="AS2198" s="927" t="s">
        <v>252</v>
      </c>
      <c r="AT2198" s="1856" t="str">
        <f t="shared" si="373"/>
        <v/>
      </c>
      <c r="AU2198" s="1856" t="str">
        <f t="shared" si="374"/>
        <v/>
      </c>
      <c r="AV2198" s="1856" t="str">
        <f t="shared" si="375"/>
        <v/>
      </c>
      <c r="AW2198" s="1856" t="str">
        <f t="shared" si="376"/>
        <v/>
      </c>
      <c r="AX2198" s="1856" t="str">
        <f t="shared" si="377"/>
        <v/>
      </c>
      <c r="AY2198" s="1856" t="str">
        <f t="shared" si="378"/>
        <v/>
      </c>
    </row>
    <row r="2199" spans="42:52">
      <c r="AP2199" s="1855">
        <f t="shared" si="379"/>
        <v>44803</v>
      </c>
      <c r="AQ2199" s="925" t="str">
        <f t="shared" si="381"/>
        <v/>
      </c>
      <c r="AR2199" s="1856" t="str">
        <f t="shared" si="380"/>
        <v/>
      </c>
      <c r="AT2199" s="1856" t="str">
        <f t="shared" si="373"/>
        <v/>
      </c>
      <c r="AU2199" s="1856" t="str">
        <f t="shared" si="374"/>
        <v/>
      </c>
      <c r="AV2199" s="1856" t="str">
        <f t="shared" si="375"/>
        <v/>
      </c>
      <c r="AW2199" s="1856" t="str">
        <f t="shared" si="376"/>
        <v/>
      </c>
      <c r="AX2199" s="1856" t="str">
        <f t="shared" si="377"/>
        <v/>
      </c>
      <c r="AY2199" s="1856" t="str">
        <f t="shared" si="378"/>
        <v/>
      </c>
    </row>
    <row r="2200" spans="42:52">
      <c r="AP2200" s="1855">
        <f t="shared" si="379"/>
        <v>44803</v>
      </c>
      <c r="AQ2200" s="925" t="str">
        <f t="shared" si="381"/>
        <v>BMNT</v>
      </c>
      <c r="AR2200" s="1856">
        <f t="shared" si="380"/>
        <v>44803.259027777778</v>
      </c>
      <c r="AS2200" s="927" t="s">
        <v>1643</v>
      </c>
      <c r="AT2200" s="1856" t="str">
        <f t="shared" si="373"/>
        <v/>
      </c>
      <c r="AU2200" s="1856" t="str">
        <f t="shared" si="374"/>
        <v/>
      </c>
      <c r="AV2200" s="1856" t="str">
        <f t="shared" si="375"/>
        <v/>
      </c>
      <c r="AW2200" s="1856" t="str">
        <f t="shared" si="376"/>
        <v/>
      </c>
      <c r="AX2200" s="1856" t="str">
        <f t="shared" si="377"/>
        <v/>
      </c>
      <c r="AY2200" s="1856" t="str">
        <f t="shared" si="378"/>
        <v/>
      </c>
    </row>
    <row r="2201" spans="42:52">
      <c r="AP2201" s="1855">
        <f t="shared" si="379"/>
        <v>44803</v>
      </c>
      <c r="AQ2201" s="925" t="str">
        <f t="shared" si="381"/>
        <v>SR</v>
      </c>
      <c r="AR2201" s="1856">
        <f t="shared" si="380"/>
        <v>44803.299999999996</v>
      </c>
      <c r="AS2201" s="927" t="s">
        <v>1463</v>
      </c>
      <c r="AT2201" s="1856" t="str">
        <f t="shared" si="373"/>
        <v/>
      </c>
      <c r="AU2201" s="1856" t="str">
        <f t="shared" si="374"/>
        <v/>
      </c>
      <c r="AV2201" s="1856" t="str">
        <f t="shared" si="375"/>
        <v/>
      </c>
      <c r="AW2201" s="1856" t="str">
        <f t="shared" si="376"/>
        <v/>
      </c>
      <c r="AX2201" s="1856" t="str">
        <f t="shared" si="377"/>
        <v/>
      </c>
      <c r="AY2201" s="1856" t="str">
        <f t="shared" si="378"/>
        <v/>
      </c>
    </row>
    <row r="2202" spans="42:52">
      <c r="AP2202" s="1855">
        <f t="shared" si="379"/>
        <v>44803</v>
      </c>
      <c r="AQ2202" s="925" t="str">
        <f t="shared" si="381"/>
        <v>MR</v>
      </c>
      <c r="AR2202" s="1856">
        <f t="shared" si="380"/>
        <v>44803.431944444441</v>
      </c>
      <c r="AS2202" s="927" t="s">
        <v>2099</v>
      </c>
      <c r="AT2202" s="1856" t="str">
        <f t="shared" si="373"/>
        <v/>
      </c>
      <c r="AU2202" s="1856" t="str">
        <f t="shared" si="374"/>
        <v/>
      </c>
      <c r="AV2202" s="1856" t="str">
        <f t="shared" si="375"/>
        <v/>
      </c>
      <c r="AW2202" s="1856" t="str">
        <f t="shared" si="376"/>
        <v/>
      </c>
      <c r="AX2202" s="1856" t="str">
        <f t="shared" si="377"/>
        <v/>
      </c>
      <c r="AY2202" s="1856" t="str">
        <f t="shared" si="378"/>
        <v/>
      </c>
    </row>
    <row r="2203" spans="42:52">
      <c r="AP2203" s="1855">
        <f t="shared" si="379"/>
        <v>44803</v>
      </c>
      <c r="AQ2203" s="925" t="str">
        <f t="shared" si="381"/>
        <v>SS</v>
      </c>
      <c r="AR2203" s="1856">
        <f t="shared" si="380"/>
        <v>44803.845833333333</v>
      </c>
      <c r="AS2203" s="927" t="s">
        <v>1650</v>
      </c>
      <c r="AT2203" s="1856" t="str">
        <f t="shared" si="373"/>
        <v/>
      </c>
      <c r="AU2203" s="1856" t="str">
        <f t="shared" si="374"/>
        <v/>
      </c>
      <c r="AV2203" s="1856" t="str">
        <f t="shared" si="375"/>
        <v/>
      </c>
      <c r="AW2203" s="1856" t="str">
        <f t="shared" si="376"/>
        <v/>
      </c>
      <c r="AX2203" s="1856" t="str">
        <f t="shared" si="377"/>
        <v/>
      </c>
      <c r="AY2203" s="1856" t="str">
        <f t="shared" si="378"/>
        <v/>
      </c>
    </row>
    <row r="2204" spans="42:52">
      <c r="AP2204" s="1855">
        <f t="shared" si="379"/>
        <v>44803</v>
      </c>
      <c r="AQ2204" s="925" t="str">
        <f t="shared" si="381"/>
        <v>EENT</v>
      </c>
      <c r="AR2204" s="1856">
        <f t="shared" si="380"/>
        <v>44803.886805555558</v>
      </c>
      <c r="AS2204" s="927" t="s">
        <v>1651</v>
      </c>
      <c r="AT2204" s="1856" t="str">
        <f t="shared" ref="AT2204:AT2267" si="382">IF(ISNUMBER(AS2204),INDEX(AR2205:AR2215,MATCH($AT$27,AQ2205:AQ2215,0)),"")</f>
        <v/>
      </c>
      <c r="AU2204" s="1856" t="str">
        <f t="shared" ref="AU2204:AU2267" si="383">IF(AT2204="","",INDEX(AR2205:AR2215,MATCH($AU$27,AQ2205:AQ2215,0)))</f>
        <v/>
      </c>
      <c r="AV2204" s="1856" t="str">
        <f t="shared" ref="AV2204:AV2267" si="384">IF(AT2204="","",INDEX(AR2205:AR2215,MATCH($AV$27,AQ2205:AQ2215,0)))</f>
        <v/>
      </c>
      <c r="AW2204" s="1856" t="str">
        <f t="shared" ref="AW2204:AW2267" si="385">IF(AT2204="","",INDEX(AR2205:AR2215,MATCH($AW$27,AQ2205:AQ2215,0)))</f>
        <v/>
      </c>
      <c r="AX2204" s="1856" t="str">
        <f t="shared" ref="AX2204:AX2267" si="386">IF(AT2204="","",INDEX(AR2205:AR2215,MATCH($AX$27,AQ2205:AQ2215,0)))</f>
        <v/>
      </c>
      <c r="AY2204" s="1856" t="str">
        <f t="shared" ref="AY2204:AY2267" si="387">IF(AT2204="","",INDEX(AR2205:AR2215,MATCH($AY$27,AQ2205:AQ2215,0)))</f>
        <v/>
      </c>
    </row>
    <row r="2205" spans="42:52">
      <c r="AP2205" s="1855">
        <f t="shared" si="379"/>
        <v>44803</v>
      </c>
      <c r="AQ2205" s="925" t="str">
        <f t="shared" si="381"/>
        <v>MS</v>
      </c>
      <c r="AR2205" s="1856">
        <f t="shared" si="380"/>
        <v>44803.923611111109</v>
      </c>
      <c r="AS2205" s="927" t="s">
        <v>2100</v>
      </c>
      <c r="AT2205" s="1856" t="str">
        <f t="shared" si="382"/>
        <v/>
      </c>
      <c r="AU2205" s="1856" t="str">
        <f t="shared" si="383"/>
        <v/>
      </c>
      <c r="AV2205" s="1856" t="str">
        <f t="shared" si="384"/>
        <v/>
      </c>
      <c r="AW2205" s="1856" t="str">
        <f t="shared" si="385"/>
        <v/>
      </c>
      <c r="AX2205" s="1856" t="str">
        <f t="shared" si="386"/>
        <v/>
      </c>
      <c r="AY2205" s="1856" t="str">
        <f t="shared" si="387"/>
        <v/>
      </c>
    </row>
    <row r="2206" spans="42:52">
      <c r="AP2206" s="1855">
        <f t="shared" si="379"/>
        <v>44804</v>
      </c>
      <c r="AQ2206" s="925" t="str">
        <f t="shared" si="381"/>
        <v/>
      </c>
      <c r="AR2206" s="1856" t="str">
        <f t="shared" si="380"/>
        <v/>
      </c>
      <c r="AS2206" s="927">
        <v>31</v>
      </c>
      <c r="AT2206" s="1856">
        <f t="shared" si="382"/>
        <v>44804.259722222225</v>
      </c>
      <c r="AU2206" s="1856">
        <f t="shared" si="383"/>
        <v>44804.300694444442</v>
      </c>
      <c r="AV2206" s="1856">
        <f t="shared" si="384"/>
        <v>44804.844444444447</v>
      </c>
      <c r="AW2206" s="1856">
        <f t="shared" si="385"/>
        <v>44804.885416666664</v>
      </c>
      <c r="AX2206" s="1856">
        <f t="shared" si="386"/>
        <v>44804.477083333339</v>
      </c>
      <c r="AY2206" s="1856">
        <f t="shared" si="387"/>
        <v>44804.942361111105</v>
      </c>
      <c r="AZ2206" s="1853">
        <v>0.15</v>
      </c>
    </row>
    <row r="2207" spans="42:52">
      <c r="AP2207" s="1855">
        <f t="shared" si="379"/>
        <v>44804</v>
      </c>
      <c r="AQ2207" s="925" t="str">
        <f t="shared" si="381"/>
        <v/>
      </c>
      <c r="AR2207" s="1856" t="str">
        <f t="shared" si="380"/>
        <v/>
      </c>
      <c r="AS2207" s="927" t="s">
        <v>252</v>
      </c>
      <c r="AT2207" s="1856" t="str">
        <f t="shared" si="382"/>
        <v/>
      </c>
      <c r="AU2207" s="1856" t="str">
        <f t="shared" si="383"/>
        <v/>
      </c>
      <c r="AV2207" s="1856" t="str">
        <f t="shared" si="384"/>
        <v/>
      </c>
      <c r="AW2207" s="1856" t="str">
        <f t="shared" si="385"/>
        <v/>
      </c>
      <c r="AX2207" s="1856" t="str">
        <f t="shared" si="386"/>
        <v/>
      </c>
      <c r="AY2207" s="1856" t="str">
        <f t="shared" si="387"/>
        <v/>
      </c>
    </row>
    <row r="2208" spans="42:52">
      <c r="AP2208" s="1855">
        <f t="shared" si="379"/>
        <v>44804</v>
      </c>
      <c r="AQ2208" s="925" t="str">
        <f t="shared" si="381"/>
        <v/>
      </c>
      <c r="AR2208" s="1856" t="str">
        <f t="shared" si="380"/>
        <v/>
      </c>
      <c r="AT2208" s="1856" t="str">
        <f t="shared" si="382"/>
        <v/>
      </c>
      <c r="AU2208" s="1856" t="str">
        <f t="shared" si="383"/>
        <v/>
      </c>
      <c r="AV2208" s="1856" t="str">
        <f t="shared" si="384"/>
        <v/>
      </c>
      <c r="AW2208" s="1856" t="str">
        <f t="shared" si="385"/>
        <v/>
      </c>
      <c r="AX2208" s="1856" t="str">
        <f t="shared" si="386"/>
        <v/>
      </c>
      <c r="AY2208" s="1856" t="str">
        <f t="shared" si="387"/>
        <v/>
      </c>
    </row>
    <row r="2209" spans="42:52">
      <c r="AP2209" s="1855">
        <f t="shared" si="379"/>
        <v>44804</v>
      </c>
      <c r="AQ2209" s="925" t="str">
        <f t="shared" si="381"/>
        <v>BMNT</v>
      </c>
      <c r="AR2209" s="1856">
        <f t="shared" si="380"/>
        <v>44804.259722222225</v>
      </c>
      <c r="AS2209" s="927" t="s">
        <v>1468</v>
      </c>
      <c r="AT2209" s="1856" t="str">
        <f t="shared" si="382"/>
        <v/>
      </c>
      <c r="AU2209" s="1856" t="str">
        <f t="shared" si="383"/>
        <v/>
      </c>
      <c r="AV2209" s="1856" t="str">
        <f t="shared" si="384"/>
        <v/>
      </c>
      <c r="AW2209" s="1856" t="str">
        <f t="shared" si="385"/>
        <v/>
      </c>
      <c r="AX2209" s="1856" t="str">
        <f t="shared" si="386"/>
        <v/>
      </c>
      <c r="AY2209" s="1856" t="str">
        <f t="shared" si="387"/>
        <v/>
      </c>
    </row>
    <row r="2210" spans="42:52">
      <c r="AP2210" s="1855">
        <f t="shared" si="379"/>
        <v>44804</v>
      </c>
      <c r="AQ2210" s="925" t="str">
        <f t="shared" si="381"/>
        <v>SR</v>
      </c>
      <c r="AR2210" s="1856">
        <f t="shared" si="380"/>
        <v>44804.300694444442</v>
      </c>
      <c r="AS2210" s="927" t="s">
        <v>1457</v>
      </c>
      <c r="AT2210" s="1856" t="str">
        <f t="shared" si="382"/>
        <v/>
      </c>
      <c r="AU2210" s="1856" t="str">
        <f t="shared" si="383"/>
        <v/>
      </c>
      <c r="AV2210" s="1856" t="str">
        <f t="shared" si="384"/>
        <v/>
      </c>
      <c r="AW2210" s="1856" t="str">
        <f t="shared" si="385"/>
        <v/>
      </c>
      <c r="AX2210" s="1856" t="str">
        <f t="shared" si="386"/>
        <v/>
      </c>
      <c r="AY2210" s="1856" t="str">
        <f t="shared" si="387"/>
        <v/>
      </c>
    </row>
    <row r="2211" spans="42:52">
      <c r="AP2211" s="1855">
        <f t="shared" si="379"/>
        <v>44804</v>
      </c>
      <c r="AQ2211" s="925" t="str">
        <f t="shared" si="381"/>
        <v>MR</v>
      </c>
      <c r="AR2211" s="1856">
        <f t="shared" si="380"/>
        <v>44804.477083333339</v>
      </c>
      <c r="AS2211" s="927" t="s">
        <v>2101</v>
      </c>
      <c r="AT2211" s="1856" t="str">
        <f t="shared" si="382"/>
        <v/>
      </c>
      <c r="AU2211" s="1856" t="str">
        <f t="shared" si="383"/>
        <v/>
      </c>
      <c r="AV2211" s="1856" t="str">
        <f t="shared" si="384"/>
        <v/>
      </c>
      <c r="AW2211" s="1856" t="str">
        <f t="shared" si="385"/>
        <v/>
      </c>
      <c r="AX2211" s="1856" t="str">
        <f t="shared" si="386"/>
        <v/>
      </c>
      <c r="AY2211" s="1856" t="str">
        <f t="shared" si="387"/>
        <v/>
      </c>
    </row>
    <row r="2212" spans="42:52">
      <c r="AP2212" s="1855">
        <f t="shared" si="379"/>
        <v>44804</v>
      </c>
      <c r="AQ2212" s="925" t="str">
        <f t="shared" si="381"/>
        <v>SS</v>
      </c>
      <c r="AR2212" s="1856">
        <f t="shared" si="380"/>
        <v>44804.844444444447</v>
      </c>
      <c r="AS2212" s="927" t="s">
        <v>1640</v>
      </c>
      <c r="AT2212" s="1856" t="str">
        <f t="shared" si="382"/>
        <v/>
      </c>
      <c r="AU2212" s="1856" t="str">
        <f t="shared" si="383"/>
        <v/>
      </c>
      <c r="AV2212" s="1856" t="str">
        <f t="shared" si="384"/>
        <v/>
      </c>
      <c r="AW2212" s="1856" t="str">
        <f t="shared" si="385"/>
        <v/>
      </c>
      <c r="AX2212" s="1856" t="str">
        <f t="shared" si="386"/>
        <v/>
      </c>
      <c r="AY2212" s="1856" t="str">
        <f t="shared" si="387"/>
        <v/>
      </c>
    </row>
    <row r="2213" spans="42:52">
      <c r="AP2213" s="1855">
        <f t="shared" ref="AP2213:AP2276" si="388">IF(ISNUMBER(AS2213),AP2212+1,AP2212)</f>
        <v>44804</v>
      </c>
      <c r="AQ2213" s="925" t="str">
        <f t="shared" si="381"/>
        <v>EENT</v>
      </c>
      <c r="AR2213" s="1856">
        <f t="shared" si="380"/>
        <v>44804.885416666664</v>
      </c>
      <c r="AS2213" s="927" t="s">
        <v>1641</v>
      </c>
      <c r="AT2213" s="1856" t="str">
        <f t="shared" si="382"/>
        <v/>
      </c>
      <c r="AU2213" s="1856" t="str">
        <f t="shared" si="383"/>
        <v/>
      </c>
      <c r="AV2213" s="1856" t="str">
        <f t="shared" si="384"/>
        <v/>
      </c>
      <c r="AW2213" s="1856" t="str">
        <f t="shared" si="385"/>
        <v/>
      </c>
      <c r="AX2213" s="1856" t="str">
        <f t="shared" si="386"/>
        <v/>
      </c>
      <c r="AY2213" s="1856" t="str">
        <f t="shared" si="387"/>
        <v/>
      </c>
    </row>
    <row r="2214" spans="42:52">
      <c r="AP2214" s="1855">
        <f t="shared" si="388"/>
        <v>44804</v>
      </c>
      <c r="AQ2214" s="925" t="str">
        <f t="shared" si="381"/>
        <v>MS</v>
      </c>
      <c r="AR2214" s="1856">
        <f t="shared" si="380"/>
        <v>44804.942361111105</v>
      </c>
      <c r="AS2214" s="927" t="s">
        <v>2102</v>
      </c>
      <c r="AT2214" s="1856" t="str">
        <f t="shared" si="382"/>
        <v/>
      </c>
      <c r="AU2214" s="1856" t="str">
        <f t="shared" si="383"/>
        <v/>
      </c>
      <c r="AV2214" s="1856" t="str">
        <f t="shared" si="384"/>
        <v/>
      </c>
      <c r="AW2214" s="1856" t="str">
        <f t="shared" si="385"/>
        <v/>
      </c>
      <c r="AX2214" s="1856" t="str">
        <f t="shared" si="386"/>
        <v/>
      </c>
      <c r="AY2214" s="1856" t="str">
        <f t="shared" si="387"/>
        <v/>
      </c>
    </row>
    <row r="2215" spans="42:52">
      <c r="AP2215" s="1855">
        <f t="shared" si="388"/>
        <v>44805</v>
      </c>
      <c r="AQ2215" s="925" t="str">
        <f t="shared" si="381"/>
        <v/>
      </c>
      <c r="AR2215" s="1856" t="str">
        <f t="shared" si="380"/>
        <v/>
      </c>
      <c r="AS2215" s="927">
        <v>1</v>
      </c>
      <c r="AT2215" s="1856">
        <f t="shared" si="382"/>
        <v>44805.260416666664</v>
      </c>
      <c r="AU2215" s="1856">
        <f t="shared" si="383"/>
        <v>44805.300694444442</v>
      </c>
      <c r="AV2215" s="1856">
        <f t="shared" si="384"/>
        <v>44805.84375</v>
      </c>
      <c r="AW2215" s="1856">
        <f t="shared" si="385"/>
        <v>44805.884722222225</v>
      </c>
      <c r="AX2215" s="1856">
        <f t="shared" si="386"/>
        <v>44805.524305555555</v>
      </c>
      <c r="AY2215" s="1856">
        <f t="shared" si="387"/>
        <v>44805.963194444448</v>
      </c>
      <c r="AZ2215" s="1853">
        <v>0.23</v>
      </c>
    </row>
    <row r="2216" spans="42:52">
      <c r="AP2216" s="1855">
        <f t="shared" si="388"/>
        <v>44805</v>
      </c>
      <c r="AQ2216" s="925" t="str">
        <f t="shared" si="381"/>
        <v/>
      </c>
      <c r="AR2216" s="1856" t="str">
        <f t="shared" si="380"/>
        <v/>
      </c>
      <c r="AS2216" s="927" t="s">
        <v>252</v>
      </c>
      <c r="AT2216" s="1856" t="str">
        <f t="shared" si="382"/>
        <v/>
      </c>
      <c r="AU2216" s="1856" t="str">
        <f t="shared" si="383"/>
        <v/>
      </c>
      <c r="AV2216" s="1856" t="str">
        <f t="shared" si="384"/>
        <v/>
      </c>
      <c r="AW2216" s="1856" t="str">
        <f t="shared" si="385"/>
        <v/>
      </c>
      <c r="AX2216" s="1856" t="str">
        <f t="shared" si="386"/>
        <v/>
      </c>
      <c r="AY2216" s="1856" t="str">
        <f t="shared" si="387"/>
        <v/>
      </c>
    </row>
    <row r="2217" spans="42:52">
      <c r="AP2217" s="1855">
        <f t="shared" si="388"/>
        <v>44805</v>
      </c>
      <c r="AQ2217" s="925" t="str">
        <f t="shared" si="381"/>
        <v/>
      </c>
      <c r="AR2217" s="1856" t="str">
        <f t="shared" ref="AR2217:AR2280" si="389">IF(NOT(ISNUMBER(FIND(":",AS2217))),"",IF(ISNUMBER(FIND(" none",AS2217)),"NONE",AP2217+LEFT(RIGHT(AS2217,5),2)/24+RIGHT(AS2217,2)/1440))</f>
        <v/>
      </c>
      <c r="AT2217" s="1856" t="str">
        <f t="shared" si="382"/>
        <v/>
      </c>
      <c r="AU2217" s="1856" t="str">
        <f t="shared" si="383"/>
        <v/>
      </c>
      <c r="AV2217" s="1856" t="str">
        <f t="shared" si="384"/>
        <v/>
      </c>
      <c r="AW2217" s="1856" t="str">
        <f t="shared" si="385"/>
        <v/>
      </c>
      <c r="AX2217" s="1856" t="str">
        <f t="shared" si="386"/>
        <v/>
      </c>
      <c r="AY2217" s="1856" t="str">
        <f t="shared" si="387"/>
        <v/>
      </c>
    </row>
    <row r="2218" spans="42:52">
      <c r="AP2218" s="1855">
        <f t="shared" si="388"/>
        <v>44805</v>
      </c>
      <c r="AQ2218" s="925" t="str">
        <f t="shared" si="381"/>
        <v>BMNT</v>
      </c>
      <c r="AR2218" s="1856">
        <f t="shared" si="389"/>
        <v>44805.260416666664</v>
      </c>
      <c r="AS2218" s="927" t="s">
        <v>1462</v>
      </c>
      <c r="AT2218" s="1856" t="str">
        <f t="shared" si="382"/>
        <v/>
      </c>
      <c r="AU2218" s="1856" t="str">
        <f t="shared" si="383"/>
        <v/>
      </c>
      <c r="AV2218" s="1856" t="str">
        <f t="shared" si="384"/>
        <v/>
      </c>
      <c r="AW2218" s="1856" t="str">
        <f t="shared" si="385"/>
        <v/>
      </c>
      <c r="AX2218" s="1856" t="str">
        <f t="shared" si="386"/>
        <v/>
      </c>
      <c r="AY2218" s="1856" t="str">
        <f t="shared" si="387"/>
        <v/>
      </c>
    </row>
    <row r="2219" spans="42:52">
      <c r="AP2219" s="1855">
        <f t="shared" si="388"/>
        <v>44805</v>
      </c>
      <c r="AQ2219" s="925" t="str">
        <f t="shared" si="381"/>
        <v>SR</v>
      </c>
      <c r="AR2219" s="1856">
        <f t="shared" si="389"/>
        <v>44805.300694444442</v>
      </c>
      <c r="AS2219" s="927" t="s">
        <v>1457</v>
      </c>
      <c r="AT2219" s="1856" t="str">
        <f t="shared" si="382"/>
        <v/>
      </c>
      <c r="AU2219" s="1856" t="str">
        <f t="shared" si="383"/>
        <v/>
      </c>
      <c r="AV2219" s="1856" t="str">
        <f t="shared" si="384"/>
        <v/>
      </c>
      <c r="AW2219" s="1856" t="str">
        <f t="shared" si="385"/>
        <v/>
      </c>
      <c r="AX2219" s="1856" t="str">
        <f t="shared" si="386"/>
        <v/>
      </c>
      <c r="AY2219" s="1856" t="str">
        <f t="shared" si="387"/>
        <v/>
      </c>
    </row>
    <row r="2220" spans="42:52">
      <c r="AP2220" s="1855">
        <f t="shared" si="388"/>
        <v>44805</v>
      </c>
      <c r="AQ2220" s="925" t="str">
        <f t="shared" si="381"/>
        <v>MR</v>
      </c>
      <c r="AR2220" s="1856">
        <f t="shared" si="389"/>
        <v>44805.524305555555</v>
      </c>
      <c r="AS2220" s="927" t="s">
        <v>2103</v>
      </c>
      <c r="AT2220" s="1856" t="str">
        <f t="shared" si="382"/>
        <v/>
      </c>
      <c r="AU2220" s="1856" t="str">
        <f t="shared" si="383"/>
        <v/>
      </c>
      <c r="AV2220" s="1856" t="str">
        <f t="shared" si="384"/>
        <v/>
      </c>
      <c r="AW2220" s="1856" t="str">
        <f t="shared" si="385"/>
        <v/>
      </c>
      <c r="AX2220" s="1856" t="str">
        <f t="shared" si="386"/>
        <v/>
      </c>
      <c r="AY2220" s="1856" t="str">
        <f t="shared" si="387"/>
        <v/>
      </c>
    </row>
    <row r="2221" spans="42:52">
      <c r="AP2221" s="1855">
        <f t="shared" si="388"/>
        <v>44805</v>
      </c>
      <c r="AQ2221" s="925" t="str">
        <f t="shared" si="381"/>
        <v>SS</v>
      </c>
      <c r="AR2221" s="1856">
        <f t="shared" si="389"/>
        <v>44805.84375</v>
      </c>
      <c r="AS2221" s="927" t="s">
        <v>1636</v>
      </c>
      <c r="AT2221" s="1856" t="str">
        <f t="shared" si="382"/>
        <v/>
      </c>
      <c r="AU2221" s="1856" t="str">
        <f t="shared" si="383"/>
        <v/>
      </c>
      <c r="AV2221" s="1856" t="str">
        <f t="shared" si="384"/>
        <v/>
      </c>
      <c r="AW2221" s="1856" t="str">
        <f t="shared" si="385"/>
        <v/>
      </c>
      <c r="AX2221" s="1856" t="str">
        <f t="shared" si="386"/>
        <v/>
      </c>
      <c r="AY2221" s="1856" t="str">
        <f t="shared" si="387"/>
        <v/>
      </c>
    </row>
    <row r="2222" spans="42:52">
      <c r="AP2222" s="1855">
        <f t="shared" si="388"/>
        <v>44805</v>
      </c>
      <c r="AQ2222" s="925" t="str">
        <f t="shared" si="381"/>
        <v>EENT</v>
      </c>
      <c r="AR2222" s="1856">
        <f t="shared" si="389"/>
        <v>44805.884722222225</v>
      </c>
      <c r="AS2222" s="927" t="s">
        <v>1637</v>
      </c>
      <c r="AT2222" s="1856" t="str">
        <f t="shared" si="382"/>
        <v/>
      </c>
      <c r="AU2222" s="1856" t="str">
        <f t="shared" si="383"/>
        <v/>
      </c>
      <c r="AV2222" s="1856" t="str">
        <f t="shared" si="384"/>
        <v/>
      </c>
      <c r="AW2222" s="1856" t="str">
        <f t="shared" si="385"/>
        <v/>
      </c>
      <c r="AX2222" s="1856" t="str">
        <f t="shared" si="386"/>
        <v/>
      </c>
      <c r="AY2222" s="1856" t="str">
        <f t="shared" si="387"/>
        <v/>
      </c>
    </row>
    <row r="2223" spans="42:52">
      <c r="AP2223" s="1855">
        <f t="shared" si="388"/>
        <v>44805</v>
      </c>
      <c r="AQ2223" s="925" t="str">
        <f t="shared" si="381"/>
        <v>MS</v>
      </c>
      <c r="AR2223" s="1856">
        <f t="shared" si="389"/>
        <v>44805.963194444448</v>
      </c>
      <c r="AS2223" s="927" t="s">
        <v>2104</v>
      </c>
      <c r="AT2223" s="1856" t="str">
        <f t="shared" si="382"/>
        <v/>
      </c>
      <c r="AU2223" s="1856" t="str">
        <f t="shared" si="383"/>
        <v/>
      </c>
      <c r="AV2223" s="1856" t="str">
        <f t="shared" si="384"/>
        <v/>
      </c>
      <c r="AW2223" s="1856" t="str">
        <f t="shared" si="385"/>
        <v/>
      </c>
      <c r="AX2223" s="1856" t="str">
        <f t="shared" si="386"/>
        <v/>
      </c>
      <c r="AY2223" s="1856" t="str">
        <f t="shared" si="387"/>
        <v/>
      </c>
    </row>
    <row r="2224" spans="42:52">
      <c r="AP2224" s="1855">
        <f t="shared" si="388"/>
        <v>44806</v>
      </c>
      <c r="AQ2224" s="925" t="str">
        <f t="shared" si="381"/>
        <v/>
      </c>
      <c r="AR2224" s="1856" t="str">
        <f t="shared" si="389"/>
        <v/>
      </c>
      <c r="AS2224" s="927">
        <v>2</v>
      </c>
      <c r="AT2224" s="1856">
        <f t="shared" si="382"/>
        <v>44806.260416666664</v>
      </c>
      <c r="AU2224" s="1856">
        <f t="shared" si="383"/>
        <v>44806.301388888889</v>
      </c>
      <c r="AV2224" s="1856">
        <f t="shared" si="384"/>
        <v>44806.842361111114</v>
      </c>
      <c r="AW2224" s="1856">
        <f t="shared" si="385"/>
        <v>44806.883333333331</v>
      </c>
      <c r="AX2224" s="1856">
        <f t="shared" si="386"/>
        <v>44806.572916666664</v>
      </c>
      <c r="AY2224" s="1856">
        <f t="shared" si="387"/>
        <v>44806.98819444445</v>
      </c>
      <c r="AZ2224" s="1853">
        <v>0.33</v>
      </c>
    </row>
    <row r="2225" spans="42:52">
      <c r="AP2225" s="1855">
        <f t="shared" si="388"/>
        <v>44806</v>
      </c>
      <c r="AQ2225" s="925" t="str">
        <f t="shared" si="381"/>
        <v/>
      </c>
      <c r="AR2225" s="1856" t="str">
        <f t="shared" si="389"/>
        <v/>
      </c>
      <c r="AS2225" s="927" t="s">
        <v>252</v>
      </c>
      <c r="AT2225" s="1856" t="str">
        <f t="shared" si="382"/>
        <v/>
      </c>
      <c r="AU2225" s="1856" t="str">
        <f t="shared" si="383"/>
        <v/>
      </c>
      <c r="AV2225" s="1856" t="str">
        <f t="shared" si="384"/>
        <v/>
      </c>
      <c r="AW2225" s="1856" t="str">
        <f t="shared" si="385"/>
        <v/>
      </c>
      <c r="AX2225" s="1856" t="str">
        <f t="shared" si="386"/>
        <v/>
      </c>
      <c r="AY2225" s="1856" t="str">
        <f t="shared" si="387"/>
        <v/>
      </c>
    </row>
    <row r="2226" spans="42:52">
      <c r="AP2226" s="1855">
        <f t="shared" si="388"/>
        <v>44806</v>
      </c>
      <c r="AQ2226" s="925" t="str">
        <f t="shared" si="381"/>
        <v/>
      </c>
      <c r="AR2226" s="1856" t="str">
        <f t="shared" si="389"/>
        <v/>
      </c>
      <c r="AT2226" s="1856" t="str">
        <f t="shared" si="382"/>
        <v/>
      </c>
      <c r="AU2226" s="1856" t="str">
        <f t="shared" si="383"/>
        <v/>
      </c>
      <c r="AV2226" s="1856" t="str">
        <f t="shared" si="384"/>
        <v/>
      </c>
      <c r="AW2226" s="1856" t="str">
        <f t="shared" si="385"/>
        <v/>
      </c>
      <c r="AX2226" s="1856" t="str">
        <f t="shared" si="386"/>
        <v/>
      </c>
      <c r="AY2226" s="1856" t="str">
        <f t="shared" si="387"/>
        <v/>
      </c>
    </row>
    <row r="2227" spans="42:52">
      <c r="AP2227" s="1855">
        <f t="shared" si="388"/>
        <v>44806</v>
      </c>
      <c r="AQ2227" s="925" t="str">
        <f t="shared" si="381"/>
        <v>BMNT</v>
      </c>
      <c r="AR2227" s="1856">
        <f t="shared" si="389"/>
        <v>44806.260416666664</v>
      </c>
      <c r="AS2227" s="927" t="s">
        <v>1462</v>
      </c>
      <c r="AT2227" s="1856" t="str">
        <f t="shared" si="382"/>
        <v/>
      </c>
      <c r="AU2227" s="1856" t="str">
        <f t="shared" si="383"/>
        <v/>
      </c>
      <c r="AV2227" s="1856" t="str">
        <f t="shared" si="384"/>
        <v/>
      </c>
      <c r="AW2227" s="1856" t="str">
        <f t="shared" si="385"/>
        <v/>
      </c>
      <c r="AX2227" s="1856" t="str">
        <f t="shared" si="386"/>
        <v/>
      </c>
      <c r="AY2227" s="1856" t="str">
        <f t="shared" si="387"/>
        <v/>
      </c>
    </row>
    <row r="2228" spans="42:52">
      <c r="AP2228" s="1855">
        <f t="shared" si="388"/>
        <v>44806</v>
      </c>
      <c r="AQ2228" s="925" t="str">
        <f t="shared" ref="AQ2228:AQ2291" si="390">IF(NOT(ISNUMBER(FIND(":",AS2228))),"",IF(ISNUMBER(FIND("Sunr",AS2228)),"SR", IF(ISNUMBER(FIND("Suns",AS2228)),"SS",IF(ISNUMBER(FIND("Moonr",AS2228)),"MR",IF(ISNUMBER(FIND("Moons",AS2228)),"MS",IF(ISNUMBER(FIND("Twi",AS2228)),IF(HOUR(AR2228)&lt;12,"BMNT","EENT")))))))</f>
        <v>SR</v>
      </c>
      <c r="AR2228" s="1856">
        <f t="shared" si="389"/>
        <v>44806.301388888889</v>
      </c>
      <c r="AS2228" s="927" t="s">
        <v>2105</v>
      </c>
      <c r="AT2228" s="1856" t="str">
        <f t="shared" si="382"/>
        <v/>
      </c>
      <c r="AU2228" s="1856" t="str">
        <f t="shared" si="383"/>
        <v/>
      </c>
      <c r="AV2228" s="1856" t="str">
        <f t="shared" si="384"/>
        <v/>
      </c>
      <c r="AW2228" s="1856" t="str">
        <f t="shared" si="385"/>
        <v/>
      </c>
      <c r="AX2228" s="1856" t="str">
        <f t="shared" si="386"/>
        <v/>
      </c>
      <c r="AY2228" s="1856" t="str">
        <f t="shared" si="387"/>
        <v/>
      </c>
    </row>
    <row r="2229" spans="42:52">
      <c r="AP2229" s="1855">
        <f t="shared" si="388"/>
        <v>44806</v>
      </c>
      <c r="AQ2229" s="925" t="str">
        <f t="shared" si="390"/>
        <v>MR</v>
      </c>
      <c r="AR2229" s="1856">
        <f t="shared" si="389"/>
        <v>44806.572916666664</v>
      </c>
      <c r="AS2229" s="927" t="s">
        <v>2106</v>
      </c>
      <c r="AT2229" s="1856" t="str">
        <f t="shared" si="382"/>
        <v/>
      </c>
      <c r="AU2229" s="1856" t="str">
        <f t="shared" si="383"/>
        <v/>
      </c>
      <c r="AV2229" s="1856" t="str">
        <f t="shared" si="384"/>
        <v/>
      </c>
      <c r="AW2229" s="1856" t="str">
        <f t="shared" si="385"/>
        <v/>
      </c>
      <c r="AX2229" s="1856" t="str">
        <f t="shared" si="386"/>
        <v/>
      </c>
      <c r="AY2229" s="1856" t="str">
        <f t="shared" si="387"/>
        <v/>
      </c>
    </row>
    <row r="2230" spans="42:52">
      <c r="AP2230" s="1855">
        <f t="shared" si="388"/>
        <v>44806</v>
      </c>
      <c r="AQ2230" s="925" t="str">
        <f t="shared" si="390"/>
        <v>SS</v>
      </c>
      <c r="AR2230" s="1856">
        <f t="shared" si="389"/>
        <v>44806.842361111114</v>
      </c>
      <c r="AS2230" s="927" t="s">
        <v>1628</v>
      </c>
      <c r="AT2230" s="1856" t="str">
        <f t="shared" si="382"/>
        <v/>
      </c>
      <c r="AU2230" s="1856" t="str">
        <f t="shared" si="383"/>
        <v/>
      </c>
      <c r="AV2230" s="1856" t="str">
        <f t="shared" si="384"/>
        <v/>
      </c>
      <c r="AW2230" s="1856" t="str">
        <f t="shared" si="385"/>
        <v/>
      </c>
      <c r="AX2230" s="1856" t="str">
        <f t="shared" si="386"/>
        <v/>
      </c>
      <c r="AY2230" s="1856" t="str">
        <f t="shared" si="387"/>
        <v/>
      </c>
    </row>
    <row r="2231" spans="42:52">
      <c r="AP2231" s="1855">
        <f t="shared" si="388"/>
        <v>44806</v>
      </c>
      <c r="AQ2231" s="925" t="str">
        <f t="shared" si="390"/>
        <v>EENT</v>
      </c>
      <c r="AR2231" s="1856">
        <f t="shared" si="389"/>
        <v>44806.883333333331</v>
      </c>
      <c r="AS2231" s="927" t="s">
        <v>1629</v>
      </c>
      <c r="AT2231" s="1856" t="str">
        <f t="shared" si="382"/>
        <v/>
      </c>
      <c r="AU2231" s="1856" t="str">
        <f t="shared" si="383"/>
        <v/>
      </c>
      <c r="AV2231" s="1856" t="str">
        <f t="shared" si="384"/>
        <v/>
      </c>
      <c r="AW2231" s="1856" t="str">
        <f t="shared" si="385"/>
        <v/>
      </c>
      <c r="AX2231" s="1856" t="str">
        <f t="shared" si="386"/>
        <v/>
      </c>
      <c r="AY2231" s="1856" t="str">
        <f t="shared" si="387"/>
        <v/>
      </c>
    </row>
    <row r="2232" spans="42:52">
      <c r="AP2232" s="1855">
        <f t="shared" si="388"/>
        <v>44806</v>
      </c>
      <c r="AQ2232" s="925" t="str">
        <f t="shared" si="390"/>
        <v>MS</v>
      </c>
      <c r="AR2232" s="1856">
        <f t="shared" si="389"/>
        <v>44806.98819444445</v>
      </c>
      <c r="AS2232" s="927" t="s">
        <v>2107</v>
      </c>
      <c r="AT2232" s="1856" t="str">
        <f t="shared" si="382"/>
        <v/>
      </c>
      <c r="AU2232" s="1856" t="str">
        <f t="shared" si="383"/>
        <v/>
      </c>
      <c r="AV2232" s="1856" t="str">
        <f t="shared" si="384"/>
        <v/>
      </c>
      <c r="AW2232" s="1856" t="str">
        <f t="shared" si="385"/>
        <v/>
      </c>
      <c r="AX2232" s="1856" t="str">
        <f t="shared" si="386"/>
        <v/>
      </c>
      <c r="AY2232" s="1856" t="str">
        <f t="shared" si="387"/>
        <v/>
      </c>
    </row>
    <row r="2233" spans="42:52">
      <c r="AP2233" s="1855">
        <f t="shared" si="388"/>
        <v>44807</v>
      </c>
      <c r="AQ2233" s="925" t="str">
        <f t="shared" si="390"/>
        <v/>
      </c>
      <c r="AR2233" s="1856" t="str">
        <f t="shared" si="389"/>
        <v/>
      </c>
      <c r="AS2233" s="927">
        <v>3</v>
      </c>
      <c r="AT2233" s="1856">
        <f t="shared" si="382"/>
        <v>44807.261111111111</v>
      </c>
      <c r="AU2233" s="1856">
        <f t="shared" si="383"/>
        <v>44807.302083333328</v>
      </c>
      <c r="AV2233" s="1856">
        <f t="shared" si="384"/>
        <v>44807.841666666667</v>
      </c>
      <c r="AW2233" s="1856">
        <f t="shared" si="385"/>
        <v>44807.881944444445</v>
      </c>
      <c r="AX2233" s="1856">
        <f t="shared" si="386"/>
        <v>44807.622222222228</v>
      </c>
      <c r="AY2233" s="1856" t="str">
        <f t="shared" si="387"/>
        <v>NONE</v>
      </c>
      <c r="AZ2233" s="1853">
        <v>0.44</v>
      </c>
    </row>
    <row r="2234" spans="42:52">
      <c r="AP2234" s="1855">
        <f t="shared" si="388"/>
        <v>44807</v>
      </c>
      <c r="AQ2234" s="925" t="str">
        <f t="shared" si="390"/>
        <v/>
      </c>
      <c r="AR2234" s="1856" t="str">
        <f t="shared" si="389"/>
        <v/>
      </c>
      <c r="AS2234" s="927" t="s">
        <v>252</v>
      </c>
      <c r="AT2234" s="1856" t="str">
        <f t="shared" si="382"/>
        <v/>
      </c>
      <c r="AU2234" s="1856" t="str">
        <f t="shared" si="383"/>
        <v/>
      </c>
      <c r="AV2234" s="1856" t="str">
        <f t="shared" si="384"/>
        <v/>
      </c>
      <c r="AW2234" s="1856" t="str">
        <f t="shared" si="385"/>
        <v/>
      </c>
      <c r="AX2234" s="1856" t="str">
        <f t="shared" si="386"/>
        <v/>
      </c>
      <c r="AY2234" s="1856" t="str">
        <f t="shared" si="387"/>
        <v/>
      </c>
    </row>
    <row r="2235" spans="42:52">
      <c r="AP2235" s="1855">
        <f t="shared" si="388"/>
        <v>44807</v>
      </c>
      <c r="AQ2235" s="925" t="str">
        <f t="shared" si="390"/>
        <v/>
      </c>
      <c r="AR2235" s="1856" t="str">
        <f t="shared" si="389"/>
        <v/>
      </c>
      <c r="AT2235" s="1856" t="str">
        <f t="shared" si="382"/>
        <v/>
      </c>
      <c r="AU2235" s="1856" t="str">
        <f t="shared" si="383"/>
        <v/>
      </c>
      <c r="AV2235" s="1856" t="str">
        <f t="shared" si="384"/>
        <v/>
      </c>
      <c r="AW2235" s="1856" t="str">
        <f t="shared" si="385"/>
        <v/>
      </c>
      <c r="AX2235" s="1856" t="str">
        <f t="shared" si="386"/>
        <v/>
      </c>
      <c r="AY2235" s="1856" t="str">
        <f t="shared" si="387"/>
        <v/>
      </c>
    </row>
    <row r="2236" spans="42:52">
      <c r="AP2236" s="1855">
        <f t="shared" si="388"/>
        <v>44807</v>
      </c>
      <c r="AQ2236" s="925" t="str">
        <f t="shared" si="390"/>
        <v>BMNT</v>
      </c>
      <c r="AR2236" s="1856">
        <f t="shared" si="389"/>
        <v>44807.261111111111</v>
      </c>
      <c r="AS2236" s="927" t="s">
        <v>1456</v>
      </c>
      <c r="AT2236" s="1856" t="str">
        <f t="shared" si="382"/>
        <v/>
      </c>
      <c r="AU2236" s="1856" t="str">
        <f t="shared" si="383"/>
        <v/>
      </c>
      <c r="AV2236" s="1856" t="str">
        <f t="shared" si="384"/>
        <v/>
      </c>
      <c r="AW2236" s="1856" t="str">
        <f t="shared" si="385"/>
        <v/>
      </c>
      <c r="AX2236" s="1856" t="str">
        <f t="shared" si="386"/>
        <v/>
      </c>
      <c r="AY2236" s="1856" t="str">
        <f t="shared" si="387"/>
        <v/>
      </c>
    </row>
    <row r="2237" spans="42:52">
      <c r="AP2237" s="1855">
        <f t="shared" si="388"/>
        <v>44807</v>
      </c>
      <c r="AQ2237" s="925" t="str">
        <f t="shared" si="390"/>
        <v>SR</v>
      </c>
      <c r="AR2237" s="1856">
        <f t="shared" si="389"/>
        <v>44807.302083333328</v>
      </c>
      <c r="AS2237" s="927" t="s">
        <v>1452</v>
      </c>
      <c r="AT2237" s="1856" t="str">
        <f t="shared" si="382"/>
        <v/>
      </c>
      <c r="AU2237" s="1856" t="str">
        <f t="shared" si="383"/>
        <v/>
      </c>
      <c r="AV2237" s="1856" t="str">
        <f t="shared" si="384"/>
        <v/>
      </c>
      <c r="AW2237" s="1856" t="str">
        <f t="shared" si="385"/>
        <v/>
      </c>
      <c r="AX2237" s="1856" t="str">
        <f t="shared" si="386"/>
        <v/>
      </c>
      <c r="AY2237" s="1856" t="str">
        <f t="shared" si="387"/>
        <v/>
      </c>
    </row>
    <row r="2238" spans="42:52">
      <c r="AP2238" s="1855">
        <f t="shared" si="388"/>
        <v>44807</v>
      </c>
      <c r="AQ2238" s="925" t="str">
        <f t="shared" si="390"/>
        <v>MR</v>
      </c>
      <c r="AR2238" s="1856">
        <f t="shared" si="389"/>
        <v>44807.622222222228</v>
      </c>
      <c r="AS2238" s="927" t="s">
        <v>1635</v>
      </c>
      <c r="AT2238" s="1856" t="str">
        <f t="shared" si="382"/>
        <v/>
      </c>
      <c r="AU2238" s="1856" t="str">
        <f t="shared" si="383"/>
        <v/>
      </c>
      <c r="AV2238" s="1856" t="str">
        <f t="shared" si="384"/>
        <v/>
      </c>
      <c r="AW2238" s="1856" t="str">
        <f t="shared" si="385"/>
        <v/>
      </c>
      <c r="AX2238" s="1856" t="str">
        <f t="shared" si="386"/>
        <v/>
      </c>
      <c r="AY2238" s="1856" t="str">
        <f t="shared" si="387"/>
        <v/>
      </c>
    </row>
    <row r="2239" spans="42:52">
      <c r="AP2239" s="1855">
        <f t="shared" si="388"/>
        <v>44807</v>
      </c>
      <c r="AQ2239" s="925" t="str">
        <f t="shared" si="390"/>
        <v>SS</v>
      </c>
      <c r="AR2239" s="1856">
        <f t="shared" si="389"/>
        <v>44807.841666666667</v>
      </c>
      <c r="AS2239" s="927" t="s">
        <v>1623</v>
      </c>
      <c r="AT2239" s="1856" t="str">
        <f t="shared" si="382"/>
        <v/>
      </c>
      <c r="AU2239" s="1856" t="str">
        <f t="shared" si="383"/>
        <v/>
      </c>
      <c r="AV2239" s="1856" t="str">
        <f t="shared" si="384"/>
        <v/>
      </c>
      <c r="AW2239" s="1856" t="str">
        <f t="shared" si="385"/>
        <v/>
      </c>
      <c r="AX2239" s="1856" t="str">
        <f t="shared" si="386"/>
        <v/>
      </c>
      <c r="AY2239" s="1856" t="str">
        <f t="shared" si="387"/>
        <v/>
      </c>
    </row>
    <row r="2240" spans="42:52">
      <c r="AP2240" s="1855">
        <f t="shared" si="388"/>
        <v>44807</v>
      </c>
      <c r="AQ2240" s="925" t="str">
        <f t="shared" si="390"/>
        <v>EENT</v>
      </c>
      <c r="AR2240" s="1856">
        <f t="shared" si="389"/>
        <v>44807.881944444445</v>
      </c>
      <c r="AS2240" s="927" t="s">
        <v>1620</v>
      </c>
      <c r="AT2240" s="1856" t="str">
        <f t="shared" si="382"/>
        <v/>
      </c>
      <c r="AU2240" s="1856" t="str">
        <f t="shared" si="383"/>
        <v/>
      </c>
      <c r="AV2240" s="1856" t="str">
        <f t="shared" si="384"/>
        <v/>
      </c>
      <c r="AW2240" s="1856" t="str">
        <f t="shared" si="385"/>
        <v/>
      </c>
      <c r="AX2240" s="1856" t="str">
        <f t="shared" si="386"/>
        <v/>
      </c>
      <c r="AY2240" s="1856" t="str">
        <f t="shared" si="387"/>
        <v/>
      </c>
    </row>
    <row r="2241" spans="42:52">
      <c r="AP2241" s="1855">
        <f t="shared" si="388"/>
        <v>44807</v>
      </c>
      <c r="AQ2241" s="925" t="str">
        <f t="shared" si="390"/>
        <v>MS</v>
      </c>
      <c r="AR2241" s="1856" t="str">
        <f t="shared" si="389"/>
        <v>NONE</v>
      </c>
      <c r="AS2241" s="927" t="s">
        <v>948</v>
      </c>
      <c r="AT2241" s="1856" t="str">
        <f t="shared" si="382"/>
        <v/>
      </c>
      <c r="AU2241" s="1856" t="str">
        <f t="shared" si="383"/>
        <v/>
      </c>
      <c r="AV2241" s="1856" t="str">
        <f t="shared" si="384"/>
        <v/>
      </c>
      <c r="AW2241" s="1856" t="str">
        <f t="shared" si="385"/>
        <v/>
      </c>
      <c r="AX2241" s="1856" t="str">
        <f t="shared" si="386"/>
        <v/>
      </c>
      <c r="AY2241" s="1856" t="str">
        <f t="shared" si="387"/>
        <v/>
      </c>
    </row>
    <row r="2242" spans="42:52">
      <c r="AP2242" s="1855">
        <f t="shared" si="388"/>
        <v>44808</v>
      </c>
      <c r="AQ2242" s="925" t="str">
        <f t="shared" si="390"/>
        <v/>
      </c>
      <c r="AR2242" s="1856" t="str">
        <f t="shared" si="389"/>
        <v/>
      </c>
      <c r="AS2242" s="927">
        <v>4</v>
      </c>
      <c r="AT2242" s="1856">
        <f t="shared" si="382"/>
        <v>44808.261805555558</v>
      </c>
      <c r="AU2242" s="1856">
        <f t="shared" si="383"/>
        <v>44808.302777777775</v>
      </c>
      <c r="AV2242" s="1856">
        <f t="shared" si="384"/>
        <v>44808.840277777781</v>
      </c>
      <c r="AW2242" s="1856">
        <f t="shared" si="385"/>
        <v>44808.881249999999</v>
      </c>
      <c r="AX2242" s="1856">
        <f t="shared" si="386"/>
        <v>44808.671527777777</v>
      </c>
      <c r="AY2242" s="1856">
        <f t="shared" si="387"/>
        <v>44808.018750000003</v>
      </c>
      <c r="AZ2242" s="1853">
        <v>0.55000000000000004</v>
      </c>
    </row>
    <row r="2243" spans="42:52">
      <c r="AP2243" s="1855">
        <f t="shared" si="388"/>
        <v>44808</v>
      </c>
      <c r="AQ2243" s="925" t="str">
        <f t="shared" si="390"/>
        <v/>
      </c>
      <c r="AR2243" s="1856" t="str">
        <f t="shared" si="389"/>
        <v/>
      </c>
      <c r="AS2243" s="927" t="s">
        <v>252</v>
      </c>
      <c r="AT2243" s="1856" t="str">
        <f t="shared" si="382"/>
        <v/>
      </c>
      <c r="AU2243" s="1856" t="str">
        <f t="shared" si="383"/>
        <v/>
      </c>
      <c r="AV2243" s="1856" t="str">
        <f t="shared" si="384"/>
        <v/>
      </c>
      <c r="AW2243" s="1856" t="str">
        <f t="shared" si="385"/>
        <v/>
      </c>
      <c r="AX2243" s="1856" t="str">
        <f t="shared" si="386"/>
        <v/>
      </c>
      <c r="AY2243" s="1856" t="str">
        <f t="shared" si="387"/>
        <v/>
      </c>
    </row>
    <row r="2244" spans="42:52">
      <c r="AP2244" s="1855">
        <f t="shared" si="388"/>
        <v>44808</v>
      </c>
      <c r="AQ2244" s="925" t="str">
        <f t="shared" si="390"/>
        <v/>
      </c>
      <c r="AR2244" s="1856" t="str">
        <f t="shared" si="389"/>
        <v/>
      </c>
      <c r="AT2244" s="1856" t="str">
        <f t="shared" si="382"/>
        <v/>
      </c>
      <c r="AU2244" s="1856" t="str">
        <f t="shared" si="383"/>
        <v/>
      </c>
      <c r="AV2244" s="1856" t="str">
        <f t="shared" si="384"/>
        <v/>
      </c>
      <c r="AW2244" s="1856" t="str">
        <f t="shared" si="385"/>
        <v/>
      </c>
      <c r="AX2244" s="1856" t="str">
        <f t="shared" si="386"/>
        <v/>
      </c>
      <c r="AY2244" s="1856" t="str">
        <f t="shared" si="387"/>
        <v/>
      </c>
    </row>
    <row r="2245" spans="42:52">
      <c r="AP2245" s="1855">
        <f t="shared" si="388"/>
        <v>44808</v>
      </c>
      <c r="AQ2245" s="925" t="str">
        <f t="shared" si="390"/>
        <v>MS</v>
      </c>
      <c r="AR2245" s="1856">
        <f t="shared" si="389"/>
        <v>44808.018750000003</v>
      </c>
      <c r="AS2245" s="927" t="s">
        <v>955</v>
      </c>
      <c r="AT2245" s="1856" t="str">
        <f t="shared" si="382"/>
        <v/>
      </c>
      <c r="AU2245" s="1856" t="str">
        <f t="shared" si="383"/>
        <v/>
      </c>
      <c r="AV2245" s="1856" t="str">
        <f t="shared" si="384"/>
        <v/>
      </c>
      <c r="AW2245" s="1856" t="str">
        <f t="shared" si="385"/>
        <v/>
      </c>
      <c r="AX2245" s="1856" t="str">
        <f t="shared" si="386"/>
        <v/>
      </c>
      <c r="AY2245" s="1856" t="str">
        <f t="shared" si="387"/>
        <v/>
      </c>
    </row>
    <row r="2246" spans="42:52">
      <c r="AP2246" s="1855">
        <f t="shared" si="388"/>
        <v>44808</v>
      </c>
      <c r="AQ2246" s="925" t="str">
        <f t="shared" si="390"/>
        <v>BMNT</v>
      </c>
      <c r="AR2246" s="1856">
        <f t="shared" si="389"/>
        <v>44808.261805555558</v>
      </c>
      <c r="AS2246" s="927" t="s">
        <v>2108</v>
      </c>
      <c r="AT2246" s="1856" t="str">
        <f t="shared" si="382"/>
        <v/>
      </c>
      <c r="AU2246" s="1856" t="str">
        <f t="shared" si="383"/>
        <v/>
      </c>
      <c r="AV2246" s="1856" t="str">
        <f t="shared" si="384"/>
        <v/>
      </c>
      <c r="AW2246" s="1856" t="str">
        <f t="shared" si="385"/>
        <v/>
      </c>
      <c r="AX2246" s="1856" t="str">
        <f t="shared" si="386"/>
        <v/>
      </c>
      <c r="AY2246" s="1856" t="str">
        <f t="shared" si="387"/>
        <v/>
      </c>
    </row>
    <row r="2247" spans="42:52">
      <c r="AP2247" s="1855">
        <f t="shared" si="388"/>
        <v>44808</v>
      </c>
      <c r="AQ2247" s="925" t="str">
        <f t="shared" si="390"/>
        <v>SR</v>
      </c>
      <c r="AR2247" s="1856">
        <f t="shared" si="389"/>
        <v>44808.302777777775</v>
      </c>
      <c r="AS2247" s="927" t="s">
        <v>1447</v>
      </c>
      <c r="AT2247" s="1856" t="str">
        <f t="shared" si="382"/>
        <v/>
      </c>
      <c r="AU2247" s="1856" t="str">
        <f t="shared" si="383"/>
        <v/>
      </c>
      <c r="AV2247" s="1856" t="str">
        <f t="shared" si="384"/>
        <v/>
      </c>
      <c r="AW2247" s="1856" t="str">
        <f t="shared" si="385"/>
        <v/>
      </c>
      <c r="AX2247" s="1856" t="str">
        <f t="shared" si="386"/>
        <v/>
      </c>
      <c r="AY2247" s="1856" t="str">
        <f t="shared" si="387"/>
        <v/>
      </c>
    </row>
    <row r="2248" spans="42:52">
      <c r="AP2248" s="1855">
        <f t="shared" si="388"/>
        <v>44808</v>
      </c>
      <c r="AQ2248" s="925" t="str">
        <f t="shared" si="390"/>
        <v>MR</v>
      </c>
      <c r="AR2248" s="1856">
        <f t="shared" si="389"/>
        <v>44808.671527777777</v>
      </c>
      <c r="AS2248" s="927" t="s">
        <v>2109</v>
      </c>
      <c r="AT2248" s="1856" t="str">
        <f t="shared" si="382"/>
        <v/>
      </c>
      <c r="AU2248" s="1856" t="str">
        <f t="shared" si="383"/>
        <v/>
      </c>
      <c r="AV2248" s="1856" t="str">
        <f t="shared" si="384"/>
        <v/>
      </c>
      <c r="AW2248" s="1856" t="str">
        <f t="shared" si="385"/>
        <v/>
      </c>
      <c r="AX2248" s="1856" t="str">
        <f t="shared" si="386"/>
        <v/>
      </c>
      <c r="AY2248" s="1856" t="str">
        <f t="shared" si="387"/>
        <v/>
      </c>
    </row>
    <row r="2249" spans="42:52">
      <c r="AP2249" s="1855">
        <f t="shared" si="388"/>
        <v>44808</v>
      </c>
      <c r="AQ2249" s="925" t="str">
        <f t="shared" si="390"/>
        <v>SS</v>
      </c>
      <c r="AR2249" s="1856">
        <f t="shared" si="389"/>
        <v>44808.840277777781</v>
      </c>
      <c r="AS2249" s="927" t="s">
        <v>1611</v>
      </c>
      <c r="AT2249" s="1856" t="str">
        <f t="shared" si="382"/>
        <v/>
      </c>
      <c r="AU2249" s="1856" t="str">
        <f t="shared" si="383"/>
        <v/>
      </c>
      <c r="AV2249" s="1856" t="str">
        <f t="shared" si="384"/>
        <v/>
      </c>
      <c r="AW2249" s="1856" t="str">
        <f t="shared" si="385"/>
        <v/>
      </c>
      <c r="AX2249" s="1856" t="str">
        <f t="shared" si="386"/>
        <v/>
      </c>
      <c r="AY2249" s="1856" t="str">
        <f t="shared" si="387"/>
        <v/>
      </c>
    </row>
    <row r="2250" spans="42:52">
      <c r="AP2250" s="1855">
        <f t="shared" si="388"/>
        <v>44808</v>
      </c>
      <c r="AQ2250" s="925" t="str">
        <f t="shared" si="390"/>
        <v>EENT</v>
      </c>
      <c r="AR2250" s="1856">
        <f t="shared" si="389"/>
        <v>44808.881249999999</v>
      </c>
      <c r="AS2250" s="927" t="s">
        <v>1616</v>
      </c>
      <c r="AT2250" s="1856" t="str">
        <f t="shared" si="382"/>
        <v/>
      </c>
      <c r="AU2250" s="1856" t="str">
        <f t="shared" si="383"/>
        <v/>
      </c>
      <c r="AV2250" s="1856" t="str">
        <f t="shared" si="384"/>
        <v/>
      </c>
      <c r="AW2250" s="1856" t="str">
        <f t="shared" si="385"/>
        <v/>
      </c>
      <c r="AX2250" s="1856" t="str">
        <f t="shared" si="386"/>
        <v/>
      </c>
      <c r="AY2250" s="1856" t="str">
        <f t="shared" si="387"/>
        <v/>
      </c>
    </row>
    <row r="2251" spans="42:52">
      <c r="AP2251" s="1855">
        <f t="shared" si="388"/>
        <v>44809</v>
      </c>
      <c r="AQ2251" s="925" t="str">
        <f t="shared" si="390"/>
        <v/>
      </c>
      <c r="AR2251" s="1856" t="str">
        <f t="shared" si="389"/>
        <v/>
      </c>
      <c r="AS2251" s="927">
        <v>5</v>
      </c>
      <c r="AT2251" s="1856">
        <f t="shared" si="382"/>
        <v>44809.262499999997</v>
      </c>
      <c r="AU2251" s="1856">
        <f t="shared" si="383"/>
        <v>44809.303472222222</v>
      </c>
      <c r="AV2251" s="1856">
        <f t="shared" si="384"/>
        <v>44809.839583333334</v>
      </c>
      <c r="AW2251" s="1856">
        <f t="shared" si="385"/>
        <v>44809.879861111112</v>
      </c>
      <c r="AX2251" s="1856">
        <f t="shared" si="386"/>
        <v>44809.715972222228</v>
      </c>
      <c r="AY2251" s="1856">
        <f t="shared" si="387"/>
        <v>44809.056249999994</v>
      </c>
      <c r="AZ2251" s="1853">
        <v>0.66</v>
      </c>
    </row>
    <row r="2252" spans="42:52">
      <c r="AP2252" s="1855">
        <f t="shared" si="388"/>
        <v>44809</v>
      </c>
      <c r="AQ2252" s="925" t="str">
        <f t="shared" si="390"/>
        <v/>
      </c>
      <c r="AR2252" s="1856" t="str">
        <f t="shared" si="389"/>
        <v/>
      </c>
      <c r="AS2252" s="927" t="s">
        <v>252</v>
      </c>
      <c r="AT2252" s="1856" t="str">
        <f t="shared" si="382"/>
        <v/>
      </c>
      <c r="AU2252" s="1856" t="str">
        <f t="shared" si="383"/>
        <v/>
      </c>
      <c r="AV2252" s="1856" t="str">
        <f t="shared" si="384"/>
        <v/>
      </c>
      <c r="AW2252" s="1856" t="str">
        <f t="shared" si="385"/>
        <v/>
      </c>
      <c r="AX2252" s="1856" t="str">
        <f t="shared" si="386"/>
        <v/>
      </c>
      <c r="AY2252" s="1856" t="str">
        <f t="shared" si="387"/>
        <v/>
      </c>
    </row>
    <row r="2253" spans="42:52">
      <c r="AP2253" s="1855">
        <f t="shared" si="388"/>
        <v>44809</v>
      </c>
      <c r="AQ2253" s="925" t="str">
        <f t="shared" si="390"/>
        <v/>
      </c>
      <c r="AR2253" s="1856" t="str">
        <f t="shared" si="389"/>
        <v/>
      </c>
      <c r="AT2253" s="1856" t="str">
        <f t="shared" si="382"/>
        <v/>
      </c>
      <c r="AU2253" s="1856" t="str">
        <f t="shared" si="383"/>
        <v/>
      </c>
      <c r="AV2253" s="1856" t="str">
        <f t="shared" si="384"/>
        <v/>
      </c>
      <c r="AW2253" s="1856" t="str">
        <f t="shared" si="385"/>
        <v/>
      </c>
      <c r="AX2253" s="1856" t="str">
        <f t="shared" si="386"/>
        <v/>
      </c>
      <c r="AY2253" s="1856" t="str">
        <f t="shared" si="387"/>
        <v/>
      </c>
    </row>
    <row r="2254" spans="42:52">
      <c r="AP2254" s="1855">
        <f t="shared" si="388"/>
        <v>44809</v>
      </c>
      <c r="AQ2254" s="925" t="str">
        <f t="shared" si="390"/>
        <v>MS</v>
      </c>
      <c r="AR2254" s="1856">
        <f t="shared" si="389"/>
        <v>44809.056249999994</v>
      </c>
      <c r="AS2254" s="927" t="s">
        <v>2110</v>
      </c>
      <c r="AT2254" s="1856" t="str">
        <f t="shared" si="382"/>
        <v/>
      </c>
      <c r="AU2254" s="1856" t="str">
        <f t="shared" si="383"/>
        <v/>
      </c>
      <c r="AV2254" s="1856" t="str">
        <f t="shared" si="384"/>
        <v/>
      </c>
      <c r="AW2254" s="1856" t="str">
        <f t="shared" si="385"/>
        <v/>
      </c>
      <c r="AX2254" s="1856" t="str">
        <f t="shared" si="386"/>
        <v/>
      </c>
      <c r="AY2254" s="1856" t="str">
        <f t="shared" si="387"/>
        <v/>
      </c>
    </row>
    <row r="2255" spans="42:52">
      <c r="AP2255" s="1855">
        <f t="shared" si="388"/>
        <v>44809</v>
      </c>
      <c r="AQ2255" s="925" t="str">
        <f t="shared" si="390"/>
        <v>BMNT</v>
      </c>
      <c r="AR2255" s="1856">
        <f t="shared" si="389"/>
        <v>44809.262499999997</v>
      </c>
      <c r="AS2255" s="927" t="s">
        <v>1451</v>
      </c>
      <c r="AT2255" s="1856" t="str">
        <f t="shared" si="382"/>
        <v/>
      </c>
      <c r="AU2255" s="1856" t="str">
        <f t="shared" si="383"/>
        <v/>
      </c>
      <c r="AV2255" s="1856" t="str">
        <f t="shared" si="384"/>
        <v/>
      </c>
      <c r="AW2255" s="1856" t="str">
        <f t="shared" si="385"/>
        <v/>
      </c>
      <c r="AX2255" s="1856" t="str">
        <f t="shared" si="386"/>
        <v/>
      </c>
      <c r="AY2255" s="1856" t="str">
        <f t="shared" si="387"/>
        <v/>
      </c>
    </row>
    <row r="2256" spans="42:52">
      <c r="AP2256" s="1855">
        <f t="shared" si="388"/>
        <v>44809</v>
      </c>
      <c r="AQ2256" s="925" t="str">
        <f t="shared" si="390"/>
        <v>SR</v>
      </c>
      <c r="AR2256" s="1856">
        <f t="shared" si="389"/>
        <v>44809.303472222222</v>
      </c>
      <c r="AS2256" s="927" t="s">
        <v>1441</v>
      </c>
      <c r="AT2256" s="1856" t="str">
        <f t="shared" si="382"/>
        <v/>
      </c>
      <c r="AU2256" s="1856" t="str">
        <f t="shared" si="383"/>
        <v/>
      </c>
      <c r="AV2256" s="1856" t="str">
        <f t="shared" si="384"/>
        <v/>
      </c>
      <c r="AW2256" s="1856" t="str">
        <f t="shared" si="385"/>
        <v/>
      </c>
      <c r="AX2256" s="1856" t="str">
        <f t="shared" si="386"/>
        <v/>
      </c>
      <c r="AY2256" s="1856" t="str">
        <f t="shared" si="387"/>
        <v/>
      </c>
    </row>
    <row r="2257" spans="42:52">
      <c r="AP2257" s="1855">
        <f t="shared" si="388"/>
        <v>44809</v>
      </c>
      <c r="AQ2257" s="925" t="str">
        <f t="shared" si="390"/>
        <v>MR</v>
      </c>
      <c r="AR2257" s="1856">
        <f t="shared" si="389"/>
        <v>44809.715972222228</v>
      </c>
      <c r="AS2257" s="927" t="s">
        <v>2111</v>
      </c>
      <c r="AT2257" s="1856" t="str">
        <f t="shared" si="382"/>
        <v/>
      </c>
      <c r="AU2257" s="1856" t="str">
        <f t="shared" si="383"/>
        <v/>
      </c>
      <c r="AV2257" s="1856" t="str">
        <f t="shared" si="384"/>
        <v/>
      </c>
      <c r="AW2257" s="1856" t="str">
        <f t="shared" si="385"/>
        <v/>
      </c>
      <c r="AX2257" s="1856" t="str">
        <f t="shared" si="386"/>
        <v/>
      </c>
      <c r="AY2257" s="1856" t="str">
        <f t="shared" si="387"/>
        <v/>
      </c>
    </row>
    <row r="2258" spans="42:52">
      <c r="AP2258" s="1855">
        <f t="shared" si="388"/>
        <v>44809</v>
      </c>
      <c r="AQ2258" s="925" t="str">
        <f t="shared" si="390"/>
        <v>SS</v>
      </c>
      <c r="AR2258" s="1856">
        <f t="shared" si="389"/>
        <v>44809.839583333334</v>
      </c>
      <c r="AS2258" s="927" t="s">
        <v>1607</v>
      </c>
      <c r="AT2258" s="1856" t="str">
        <f t="shared" si="382"/>
        <v/>
      </c>
      <c r="AU2258" s="1856" t="str">
        <f t="shared" si="383"/>
        <v/>
      </c>
      <c r="AV2258" s="1856" t="str">
        <f t="shared" si="384"/>
        <v/>
      </c>
      <c r="AW2258" s="1856" t="str">
        <f t="shared" si="385"/>
        <v/>
      </c>
      <c r="AX2258" s="1856" t="str">
        <f t="shared" si="386"/>
        <v/>
      </c>
      <c r="AY2258" s="1856" t="str">
        <f t="shared" si="387"/>
        <v/>
      </c>
    </row>
    <row r="2259" spans="42:52">
      <c r="AP2259" s="1855">
        <f t="shared" si="388"/>
        <v>44809</v>
      </c>
      <c r="AQ2259" s="925" t="str">
        <f t="shared" si="390"/>
        <v>EENT</v>
      </c>
      <c r="AR2259" s="1856">
        <f t="shared" si="389"/>
        <v>44809.879861111112</v>
      </c>
      <c r="AS2259" s="927" t="s">
        <v>1608</v>
      </c>
      <c r="AT2259" s="1856" t="str">
        <f t="shared" si="382"/>
        <v/>
      </c>
      <c r="AU2259" s="1856" t="str">
        <f t="shared" si="383"/>
        <v/>
      </c>
      <c r="AV2259" s="1856" t="str">
        <f t="shared" si="384"/>
        <v/>
      </c>
      <c r="AW2259" s="1856" t="str">
        <f t="shared" si="385"/>
        <v/>
      </c>
      <c r="AX2259" s="1856" t="str">
        <f t="shared" si="386"/>
        <v/>
      </c>
      <c r="AY2259" s="1856" t="str">
        <f t="shared" si="387"/>
        <v/>
      </c>
    </row>
    <row r="2260" spans="42:52">
      <c r="AP2260" s="1855">
        <f t="shared" si="388"/>
        <v>44810</v>
      </c>
      <c r="AQ2260" s="925" t="str">
        <f t="shared" si="390"/>
        <v/>
      </c>
      <c r="AR2260" s="1856" t="str">
        <f t="shared" si="389"/>
        <v/>
      </c>
      <c r="AS2260" s="927">
        <v>6</v>
      </c>
      <c r="AT2260" s="1856">
        <f t="shared" si="382"/>
        <v>44810.263194444444</v>
      </c>
      <c r="AU2260" s="1856">
        <f t="shared" si="383"/>
        <v>44810.304166666661</v>
      </c>
      <c r="AV2260" s="1856">
        <f t="shared" si="384"/>
        <v>44810.838194444448</v>
      </c>
      <c r="AW2260" s="1856">
        <f t="shared" si="385"/>
        <v>44810.878472222219</v>
      </c>
      <c r="AX2260" s="1856">
        <f t="shared" si="386"/>
        <v>44810.754861111112</v>
      </c>
      <c r="AY2260" s="1856">
        <f t="shared" si="387"/>
        <v>44810.101388888892</v>
      </c>
      <c r="AZ2260" s="1853">
        <v>0.77</v>
      </c>
    </row>
    <row r="2261" spans="42:52">
      <c r="AP2261" s="1855">
        <f t="shared" si="388"/>
        <v>44810</v>
      </c>
      <c r="AQ2261" s="925" t="str">
        <f t="shared" si="390"/>
        <v/>
      </c>
      <c r="AR2261" s="1856" t="str">
        <f t="shared" si="389"/>
        <v/>
      </c>
      <c r="AS2261" s="927" t="s">
        <v>252</v>
      </c>
      <c r="AT2261" s="1856" t="str">
        <f t="shared" si="382"/>
        <v/>
      </c>
      <c r="AU2261" s="1856" t="str">
        <f t="shared" si="383"/>
        <v/>
      </c>
      <c r="AV2261" s="1856" t="str">
        <f t="shared" si="384"/>
        <v/>
      </c>
      <c r="AW2261" s="1856" t="str">
        <f t="shared" si="385"/>
        <v/>
      </c>
      <c r="AX2261" s="1856" t="str">
        <f t="shared" si="386"/>
        <v/>
      </c>
      <c r="AY2261" s="1856" t="str">
        <f t="shared" si="387"/>
        <v/>
      </c>
    </row>
    <row r="2262" spans="42:52">
      <c r="AP2262" s="1855">
        <f t="shared" si="388"/>
        <v>44810</v>
      </c>
      <c r="AQ2262" s="925" t="str">
        <f t="shared" si="390"/>
        <v/>
      </c>
      <c r="AR2262" s="1856" t="str">
        <f t="shared" si="389"/>
        <v/>
      </c>
      <c r="AT2262" s="1856" t="str">
        <f t="shared" si="382"/>
        <v/>
      </c>
      <c r="AU2262" s="1856" t="str">
        <f t="shared" si="383"/>
        <v/>
      </c>
      <c r="AV2262" s="1856" t="str">
        <f t="shared" si="384"/>
        <v/>
      </c>
      <c r="AW2262" s="1856" t="str">
        <f t="shared" si="385"/>
        <v/>
      </c>
      <c r="AX2262" s="1856" t="str">
        <f t="shared" si="386"/>
        <v/>
      </c>
      <c r="AY2262" s="1856" t="str">
        <f t="shared" si="387"/>
        <v/>
      </c>
    </row>
    <row r="2263" spans="42:52">
      <c r="AP2263" s="1855">
        <f t="shared" si="388"/>
        <v>44810</v>
      </c>
      <c r="AQ2263" s="925" t="str">
        <f t="shared" si="390"/>
        <v>MS</v>
      </c>
      <c r="AR2263" s="1856">
        <f t="shared" si="389"/>
        <v>44810.101388888892</v>
      </c>
      <c r="AS2263" s="927" t="s">
        <v>2112</v>
      </c>
      <c r="AT2263" s="1856" t="str">
        <f t="shared" si="382"/>
        <v/>
      </c>
      <c r="AU2263" s="1856" t="str">
        <f t="shared" si="383"/>
        <v/>
      </c>
      <c r="AV2263" s="1856" t="str">
        <f t="shared" si="384"/>
        <v/>
      </c>
      <c r="AW2263" s="1856" t="str">
        <f t="shared" si="385"/>
        <v/>
      </c>
      <c r="AX2263" s="1856" t="str">
        <f t="shared" si="386"/>
        <v/>
      </c>
      <c r="AY2263" s="1856" t="str">
        <f t="shared" si="387"/>
        <v/>
      </c>
    </row>
    <row r="2264" spans="42:52">
      <c r="AP2264" s="1855">
        <f t="shared" si="388"/>
        <v>44810</v>
      </c>
      <c r="AQ2264" s="925" t="str">
        <f t="shared" si="390"/>
        <v>BMNT</v>
      </c>
      <c r="AR2264" s="1856">
        <f t="shared" si="389"/>
        <v>44810.263194444444</v>
      </c>
      <c r="AS2264" s="927" t="s">
        <v>1445</v>
      </c>
      <c r="AT2264" s="1856" t="str">
        <f t="shared" si="382"/>
        <v/>
      </c>
      <c r="AU2264" s="1856" t="str">
        <f t="shared" si="383"/>
        <v/>
      </c>
      <c r="AV2264" s="1856" t="str">
        <f t="shared" si="384"/>
        <v/>
      </c>
      <c r="AW2264" s="1856" t="str">
        <f t="shared" si="385"/>
        <v/>
      </c>
      <c r="AX2264" s="1856" t="str">
        <f t="shared" si="386"/>
        <v/>
      </c>
      <c r="AY2264" s="1856" t="str">
        <f t="shared" si="387"/>
        <v/>
      </c>
    </row>
    <row r="2265" spans="42:52">
      <c r="AP2265" s="1855">
        <f t="shared" si="388"/>
        <v>44810</v>
      </c>
      <c r="AQ2265" s="925" t="str">
        <f t="shared" si="390"/>
        <v>SR</v>
      </c>
      <c r="AR2265" s="1856">
        <f t="shared" si="389"/>
        <v>44810.304166666661</v>
      </c>
      <c r="AS2265" s="927" t="s">
        <v>1626</v>
      </c>
      <c r="AT2265" s="1856" t="str">
        <f t="shared" si="382"/>
        <v/>
      </c>
      <c r="AU2265" s="1856" t="str">
        <f t="shared" si="383"/>
        <v/>
      </c>
      <c r="AV2265" s="1856" t="str">
        <f t="shared" si="384"/>
        <v/>
      </c>
      <c r="AW2265" s="1856" t="str">
        <f t="shared" si="385"/>
        <v/>
      </c>
      <c r="AX2265" s="1856" t="str">
        <f t="shared" si="386"/>
        <v/>
      </c>
      <c r="AY2265" s="1856" t="str">
        <f t="shared" si="387"/>
        <v/>
      </c>
    </row>
    <row r="2266" spans="42:52">
      <c r="AP2266" s="1855">
        <f t="shared" si="388"/>
        <v>44810</v>
      </c>
      <c r="AQ2266" s="925" t="str">
        <f t="shared" si="390"/>
        <v>MR</v>
      </c>
      <c r="AR2266" s="1856">
        <f t="shared" si="389"/>
        <v>44810.754861111112</v>
      </c>
      <c r="AS2266" s="927" t="s">
        <v>2113</v>
      </c>
      <c r="AT2266" s="1856" t="str">
        <f t="shared" si="382"/>
        <v/>
      </c>
      <c r="AU2266" s="1856" t="str">
        <f t="shared" si="383"/>
        <v/>
      </c>
      <c r="AV2266" s="1856" t="str">
        <f t="shared" si="384"/>
        <v/>
      </c>
      <c r="AW2266" s="1856" t="str">
        <f t="shared" si="385"/>
        <v/>
      </c>
      <c r="AX2266" s="1856" t="str">
        <f t="shared" si="386"/>
        <v/>
      </c>
      <c r="AY2266" s="1856" t="str">
        <f t="shared" si="387"/>
        <v/>
      </c>
    </row>
    <row r="2267" spans="42:52">
      <c r="AP2267" s="1855">
        <f t="shared" si="388"/>
        <v>44810</v>
      </c>
      <c r="AQ2267" s="925" t="str">
        <f t="shared" si="390"/>
        <v>SS</v>
      </c>
      <c r="AR2267" s="1856">
        <f t="shared" si="389"/>
        <v>44810.838194444448</v>
      </c>
      <c r="AS2267" s="927" t="s">
        <v>1598</v>
      </c>
      <c r="AT2267" s="1856" t="str">
        <f t="shared" si="382"/>
        <v/>
      </c>
      <c r="AU2267" s="1856" t="str">
        <f t="shared" si="383"/>
        <v/>
      </c>
      <c r="AV2267" s="1856" t="str">
        <f t="shared" si="384"/>
        <v/>
      </c>
      <c r="AW2267" s="1856" t="str">
        <f t="shared" si="385"/>
        <v/>
      </c>
      <c r="AX2267" s="1856" t="str">
        <f t="shared" si="386"/>
        <v/>
      </c>
      <c r="AY2267" s="1856" t="str">
        <f t="shared" si="387"/>
        <v/>
      </c>
    </row>
    <row r="2268" spans="42:52">
      <c r="AP2268" s="1855">
        <f t="shared" si="388"/>
        <v>44810</v>
      </c>
      <c r="AQ2268" s="925" t="str">
        <f t="shared" si="390"/>
        <v>EENT</v>
      </c>
      <c r="AR2268" s="1856">
        <f t="shared" si="389"/>
        <v>44810.878472222219</v>
      </c>
      <c r="AS2268" s="927" t="s">
        <v>1599</v>
      </c>
      <c r="AT2268" s="1856" t="str">
        <f t="shared" ref="AT2268:AT2331" si="391">IF(ISNUMBER(AS2268),INDEX(AR2269:AR2279,MATCH($AT$27,AQ2269:AQ2279,0)),"")</f>
        <v/>
      </c>
      <c r="AU2268" s="1856" t="str">
        <f t="shared" ref="AU2268:AU2331" si="392">IF(AT2268="","",INDEX(AR2269:AR2279,MATCH($AU$27,AQ2269:AQ2279,0)))</f>
        <v/>
      </c>
      <c r="AV2268" s="1856" t="str">
        <f t="shared" ref="AV2268:AV2331" si="393">IF(AT2268="","",INDEX(AR2269:AR2279,MATCH($AV$27,AQ2269:AQ2279,0)))</f>
        <v/>
      </c>
      <c r="AW2268" s="1856" t="str">
        <f t="shared" ref="AW2268:AW2331" si="394">IF(AT2268="","",INDEX(AR2269:AR2279,MATCH($AW$27,AQ2269:AQ2279,0)))</f>
        <v/>
      </c>
      <c r="AX2268" s="1856" t="str">
        <f t="shared" ref="AX2268:AX2331" si="395">IF(AT2268="","",INDEX(AR2269:AR2279,MATCH($AX$27,AQ2269:AQ2279,0)))</f>
        <v/>
      </c>
      <c r="AY2268" s="1856" t="str">
        <f t="shared" ref="AY2268:AY2331" si="396">IF(AT2268="","",INDEX(AR2269:AR2279,MATCH($AY$27,AQ2269:AQ2279,0)))</f>
        <v/>
      </c>
    </row>
    <row r="2269" spans="42:52">
      <c r="AP2269" s="1855">
        <f t="shared" si="388"/>
        <v>44811</v>
      </c>
      <c r="AQ2269" s="925" t="str">
        <f t="shared" si="390"/>
        <v/>
      </c>
      <c r="AR2269" s="1856" t="str">
        <f t="shared" si="389"/>
        <v/>
      </c>
      <c r="AS2269" s="927">
        <v>7</v>
      </c>
      <c r="AT2269" s="1856">
        <f t="shared" si="391"/>
        <v>44811.263888888891</v>
      </c>
      <c r="AU2269" s="1856">
        <f t="shared" si="392"/>
        <v>44811.304861111108</v>
      </c>
      <c r="AV2269" s="1856">
        <f t="shared" si="393"/>
        <v>44811.837500000001</v>
      </c>
      <c r="AW2269" s="1856">
        <f t="shared" si="394"/>
        <v>44811.87777777778</v>
      </c>
      <c r="AX2269" s="1856">
        <f t="shared" si="395"/>
        <v>44811.787499999999</v>
      </c>
      <c r="AY2269" s="1856">
        <f t="shared" si="396"/>
        <v>44811.151388888888</v>
      </c>
      <c r="AZ2269" s="1853">
        <v>0.86</v>
      </c>
    </row>
    <row r="2270" spans="42:52">
      <c r="AP2270" s="1855">
        <f t="shared" si="388"/>
        <v>44811</v>
      </c>
      <c r="AQ2270" s="925" t="str">
        <f t="shared" si="390"/>
        <v/>
      </c>
      <c r="AR2270" s="1856" t="str">
        <f t="shared" si="389"/>
        <v/>
      </c>
      <c r="AS2270" s="927" t="s">
        <v>252</v>
      </c>
      <c r="AT2270" s="1856" t="str">
        <f t="shared" si="391"/>
        <v/>
      </c>
      <c r="AU2270" s="1856" t="str">
        <f t="shared" si="392"/>
        <v/>
      </c>
      <c r="AV2270" s="1856" t="str">
        <f t="shared" si="393"/>
        <v/>
      </c>
      <c r="AW2270" s="1856" t="str">
        <f t="shared" si="394"/>
        <v/>
      </c>
      <c r="AX2270" s="1856" t="str">
        <f t="shared" si="395"/>
        <v/>
      </c>
      <c r="AY2270" s="1856" t="str">
        <f t="shared" si="396"/>
        <v/>
      </c>
    </row>
    <row r="2271" spans="42:52">
      <c r="AP2271" s="1855">
        <f t="shared" si="388"/>
        <v>44811</v>
      </c>
      <c r="AQ2271" s="925" t="str">
        <f t="shared" si="390"/>
        <v/>
      </c>
      <c r="AR2271" s="1856" t="str">
        <f t="shared" si="389"/>
        <v/>
      </c>
      <c r="AT2271" s="1856" t="str">
        <f t="shared" si="391"/>
        <v/>
      </c>
      <c r="AU2271" s="1856" t="str">
        <f t="shared" si="392"/>
        <v/>
      </c>
      <c r="AV2271" s="1856" t="str">
        <f t="shared" si="393"/>
        <v/>
      </c>
      <c r="AW2271" s="1856" t="str">
        <f t="shared" si="394"/>
        <v/>
      </c>
      <c r="AX2271" s="1856" t="str">
        <f t="shared" si="395"/>
        <v/>
      </c>
      <c r="AY2271" s="1856" t="str">
        <f t="shared" si="396"/>
        <v/>
      </c>
    </row>
    <row r="2272" spans="42:52">
      <c r="AP2272" s="1855">
        <f t="shared" si="388"/>
        <v>44811</v>
      </c>
      <c r="AQ2272" s="925" t="str">
        <f t="shared" si="390"/>
        <v>MS</v>
      </c>
      <c r="AR2272" s="1856">
        <f t="shared" si="389"/>
        <v>44811.151388888888</v>
      </c>
      <c r="AS2272" s="927" t="s">
        <v>2114</v>
      </c>
      <c r="AT2272" s="1856" t="str">
        <f t="shared" si="391"/>
        <v/>
      </c>
      <c r="AU2272" s="1856" t="str">
        <f t="shared" si="392"/>
        <v/>
      </c>
      <c r="AV2272" s="1856" t="str">
        <f t="shared" si="393"/>
        <v/>
      </c>
      <c r="AW2272" s="1856" t="str">
        <f t="shared" si="394"/>
        <v/>
      </c>
      <c r="AX2272" s="1856" t="str">
        <f t="shared" si="395"/>
        <v/>
      </c>
      <c r="AY2272" s="1856" t="str">
        <f t="shared" si="396"/>
        <v/>
      </c>
    </row>
    <row r="2273" spans="42:52">
      <c r="AP2273" s="1855">
        <f t="shared" si="388"/>
        <v>44811</v>
      </c>
      <c r="AQ2273" s="925" t="str">
        <f t="shared" si="390"/>
        <v>BMNT</v>
      </c>
      <c r="AR2273" s="1856">
        <f t="shared" si="389"/>
        <v>44811.263888888891</v>
      </c>
      <c r="AS2273" s="927" t="s">
        <v>2115</v>
      </c>
      <c r="AT2273" s="1856" t="str">
        <f t="shared" si="391"/>
        <v/>
      </c>
      <c r="AU2273" s="1856" t="str">
        <f t="shared" si="392"/>
        <v/>
      </c>
      <c r="AV2273" s="1856" t="str">
        <f t="shared" si="393"/>
        <v/>
      </c>
      <c r="AW2273" s="1856" t="str">
        <f t="shared" si="394"/>
        <v/>
      </c>
      <c r="AX2273" s="1856" t="str">
        <f t="shared" si="395"/>
        <v/>
      </c>
      <c r="AY2273" s="1856" t="str">
        <f t="shared" si="396"/>
        <v/>
      </c>
    </row>
    <row r="2274" spans="42:52">
      <c r="AP2274" s="1855">
        <f t="shared" si="388"/>
        <v>44811</v>
      </c>
      <c r="AQ2274" s="925" t="str">
        <f t="shared" si="390"/>
        <v>SR</v>
      </c>
      <c r="AR2274" s="1856">
        <f t="shared" si="389"/>
        <v>44811.304861111108</v>
      </c>
      <c r="AS2274" s="927" t="s">
        <v>1436</v>
      </c>
      <c r="AT2274" s="1856" t="str">
        <f t="shared" si="391"/>
        <v/>
      </c>
      <c r="AU2274" s="1856" t="str">
        <f t="shared" si="392"/>
        <v/>
      </c>
      <c r="AV2274" s="1856" t="str">
        <f t="shared" si="393"/>
        <v/>
      </c>
      <c r="AW2274" s="1856" t="str">
        <f t="shared" si="394"/>
        <v/>
      </c>
      <c r="AX2274" s="1856" t="str">
        <f t="shared" si="395"/>
        <v/>
      </c>
      <c r="AY2274" s="1856" t="str">
        <f t="shared" si="396"/>
        <v/>
      </c>
    </row>
    <row r="2275" spans="42:52">
      <c r="AP2275" s="1855">
        <f t="shared" si="388"/>
        <v>44811</v>
      </c>
      <c r="AQ2275" s="925" t="str">
        <f t="shared" si="390"/>
        <v>MR</v>
      </c>
      <c r="AR2275" s="1856">
        <f t="shared" si="389"/>
        <v>44811.787499999999</v>
      </c>
      <c r="AS2275" s="927" t="s">
        <v>2116</v>
      </c>
      <c r="AT2275" s="1856" t="str">
        <f t="shared" si="391"/>
        <v/>
      </c>
      <c r="AU2275" s="1856" t="str">
        <f t="shared" si="392"/>
        <v/>
      </c>
      <c r="AV2275" s="1856" t="str">
        <f t="shared" si="393"/>
        <v/>
      </c>
      <c r="AW2275" s="1856" t="str">
        <f t="shared" si="394"/>
        <v/>
      </c>
      <c r="AX2275" s="1856" t="str">
        <f t="shared" si="395"/>
        <v/>
      </c>
      <c r="AY2275" s="1856" t="str">
        <f t="shared" si="396"/>
        <v/>
      </c>
    </row>
    <row r="2276" spans="42:52">
      <c r="AP2276" s="1855">
        <f t="shared" si="388"/>
        <v>44811</v>
      </c>
      <c r="AQ2276" s="925" t="str">
        <f t="shared" si="390"/>
        <v>SS</v>
      </c>
      <c r="AR2276" s="1856">
        <f t="shared" si="389"/>
        <v>44811.837500000001</v>
      </c>
      <c r="AS2276" s="927" t="s">
        <v>1594</v>
      </c>
      <c r="AT2276" s="1856" t="str">
        <f t="shared" si="391"/>
        <v/>
      </c>
      <c r="AU2276" s="1856" t="str">
        <f t="shared" si="392"/>
        <v/>
      </c>
      <c r="AV2276" s="1856" t="str">
        <f t="shared" si="393"/>
        <v/>
      </c>
      <c r="AW2276" s="1856" t="str">
        <f t="shared" si="394"/>
        <v/>
      </c>
      <c r="AX2276" s="1856" t="str">
        <f t="shared" si="395"/>
        <v/>
      </c>
      <c r="AY2276" s="1856" t="str">
        <f t="shared" si="396"/>
        <v/>
      </c>
    </row>
    <row r="2277" spans="42:52">
      <c r="AP2277" s="1855">
        <f t="shared" ref="AP2277:AP2340" si="397">IF(ISNUMBER(AS2277),AP2276+1,AP2276)</f>
        <v>44811</v>
      </c>
      <c r="AQ2277" s="925" t="str">
        <f t="shared" si="390"/>
        <v>EENT</v>
      </c>
      <c r="AR2277" s="1856">
        <f t="shared" si="389"/>
        <v>44811.87777777778</v>
      </c>
      <c r="AS2277" s="927" t="s">
        <v>1596</v>
      </c>
      <c r="AT2277" s="1856" t="str">
        <f t="shared" si="391"/>
        <v/>
      </c>
      <c r="AU2277" s="1856" t="str">
        <f t="shared" si="392"/>
        <v/>
      </c>
      <c r="AV2277" s="1856" t="str">
        <f t="shared" si="393"/>
        <v/>
      </c>
      <c r="AW2277" s="1856" t="str">
        <f t="shared" si="394"/>
        <v/>
      </c>
      <c r="AX2277" s="1856" t="str">
        <f t="shared" si="395"/>
        <v/>
      </c>
      <c r="AY2277" s="1856" t="str">
        <f t="shared" si="396"/>
        <v/>
      </c>
    </row>
    <row r="2278" spans="42:52">
      <c r="AP2278" s="1855">
        <f t="shared" si="397"/>
        <v>44812</v>
      </c>
      <c r="AQ2278" s="925" t="str">
        <f t="shared" si="390"/>
        <v/>
      </c>
      <c r="AR2278" s="1856" t="str">
        <f t="shared" si="389"/>
        <v/>
      </c>
      <c r="AS2278" s="927">
        <v>8</v>
      </c>
      <c r="AT2278" s="1856">
        <f t="shared" si="391"/>
        <v>44812.26458333333</v>
      </c>
      <c r="AU2278" s="1856">
        <f t="shared" si="392"/>
        <v>44812.304861111108</v>
      </c>
      <c r="AV2278" s="1856">
        <f t="shared" si="393"/>
        <v>44812.836111111115</v>
      </c>
      <c r="AW2278" s="1856">
        <f t="shared" si="394"/>
        <v>44812.876388888886</v>
      </c>
      <c r="AX2278" s="1856">
        <f t="shared" si="395"/>
        <v>44812.813888888886</v>
      </c>
      <c r="AY2278" s="1856">
        <f t="shared" si="396"/>
        <v>44812.204166666663</v>
      </c>
      <c r="AZ2278" s="1853">
        <v>0.93</v>
      </c>
    </row>
    <row r="2279" spans="42:52">
      <c r="AP2279" s="1855">
        <f t="shared" si="397"/>
        <v>44812</v>
      </c>
      <c r="AQ2279" s="925" t="str">
        <f t="shared" si="390"/>
        <v/>
      </c>
      <c r="AR2279" s="1856" t="str">
        <f t="shared" si="389"/>
        <v/>
      </c>
      <c r="AS2279" s="927" t="s">
        <v>252</v>
      </c>
      <c r="AT2279" s="1856" t="str">
        <f t="shared" si="391"/>
        <v/>
      </c>
      <c r="AU2279" s="1856" t="str">
        <f t="shared" si="392"/>
        <v/>
      </c>
      <c r="AV2279" s="1856" t="str">
        <f t="shared" si="393"/>
        <v/>
      </c>
      <c r="AW2279" s="1856" t="str">
        <f t="shared" si="394"/>
        <v/>
      </c>
      <c r="AX2279" s="1856" t="str">
        <f t="shared" si="395"/>
        <v/>
      </c>
      <c r="AY2279" s="1856" t="str">
        <f t="shared" si="396"/>
        <v/>
      </c>
    </row>
    <row r="2280" spans="42:52">
      <c r="AP2280" s="1855">
        <f t="shared" si="397"/>
        <v>44812</v>
      </c>
      <c r="AQ2280" s="925" t="str">
        <f t="shared" si="390"/>
        <v/>
      </c>
      <c r="AR2280" s="1856" t="str">
        <f t="shared" si="389"/>
        <v/>
      </c>
      <c r="AT2280" s="1856" t="str">
        <f t="shared" si="391"/>
        <v/>
      </c>
      <c r="AU2280" s="1856" t="str">
        <f t="shared" si="392"/>
        <v/>
      </c>
      <c r="AV2280" s="1856" t="str">
        <f t="shared" si="393"/>
        <v/>
      </c>
      <c r="AW2280" s="1856" t="str">
        <f t="shared" si="394"/>
        <v/>
      </c>
      <c r="AX2280" s="1856" t="str">
        <f t="shared" si="395"/>
        <v/>
      </c>
      <c r="AY2280" s="1856" t="str">
        <f t="shared" si="396"/>
        <v/>
      </c>
    </row>
    <row r="2281" spans="42:52">
      <c r="AP2281" s="1855">
        <f t="shared" si="397"/>
        <v>44812</v>
      </c>
      <c r="AQ2281" s="925" t="str">
        <f t="shared" si="390"/>
        <v>MS</v>
      </c>
      <c r="AR2281" s="1856">
        <f t="shared" ref="AR2281:AR2344" si="398">IF(NOT(ISNUMBER(FIND(":",AS2281))),"",IF(ISNUMBER(FIND(" none",AS2281)),"NONE",AP2281+LEFT(RIGHT(AS2281,5),2)/24+RIGHT(AS2281,2)/1440))</f>
        <v>44812.204166666663</v>
      </c>
      <c r="AS2281" s="927" t="s">
        <v>2117</v>
      </c>
      <c r="AT2281" s="1856" t="str">
        <f t="shared" si="391"/>
        <v/>
      </c>
      <c r="AU2281" s="1856" t="str">
        <f t="shared" si="392"/>
        <v/>
      </c>
      <c r="AV2281" s="1856" t="str">
        <f t="shared" si="393"/>
        <v/>
      </c>
      <c r="AW2281" s="1856" t="str">
        <f t="shared" si="394"/>
        <v/>
      </c>
      <c r="AX2281" s="1856" t="str">
        <f t="shared" si="395"/>
        <v/>
      </c>
      <c r="AY2281" s="1856" t="str">
        <f t="shared" si="396"/>
        <v/>
      </c>
    </row>
    <row r="2282" spans="42:52">
      <c r="AP2282" s="1855">
        <f t="shared" si="397"/>
        <v>44812</v>
      </c>
      <c r="AQ2282" s="925" t="str">
        <f t="shared" si="390"/>
        <v>BMNT</v>
      </c>
      <c r="AR2282" s="1856">
        <f t="shared" si="398"/>
        <v>44812.26458333333</v>
      </c>
      <c r="AS2282" s="927" t="s">
        <v>1439</v>
      </c>
      <c r="AT2282" s="1856" t="str">
        <f t="shared" si="391"/>
        <v/>
      </c>
      <c r="AU2282" s="1856" t="str">
        <f t="shared" si="392"/>
        <v/>
      </c>
      <c r="AV2282" s="1856" t="str">
        <f t="shared" si="393"/>
        <v/>
      </c>
      <c r="AW2282" s="1856" t="str">
        <f t="shared" si="394"/>
        <v/>
      </c>
      <c r="AX2282" s="1856" t="str">
        <f t="shared" si="395"/>
        <v/>
      </c>
      <c r="AY2282" s="1856" t="str">
        <f t="shared" si="396"/>
        <v/>
      </c>
    </row>
    <row r="2283" spans="42:52">
      <c r="AP2283" s="1855">
        <f t="shared" si="397"/>
        <v>44812</v>
      </c>
      <c r="AQ2283" s="925" t="str">
        <f t="shared" si="390"/>
        <v>SR</v>
      </c>
      <c r="AR2283" s="1856">
        <f t="shared" si="398"/>
        <v>44812.304861111108</v>
      </c>
      <c r="AS2283" s="927" t="s">
        <v>1436</v>
      </c>
      <c r="AT2283" s="1856" t="str">
        <f t="shared" si="391"/>
        <v/>
      </c>
      <c r="AU2283" s="1856" t="str">
        <f t="shared" si="392"/>
        <v/>
      </c>
      <c r="AV2283" s="1856" t="str">
        <f t="shared" si="393"/>
        <v/>
      </c>
      <c r="AW2283" s="1856" t="str">
        <f t="shared" si="394"/>
        <v/>
      </c>
      <c r="AX2283" s="1856" t="str">
        <f t="shared" si="395"/>
        <v/>
      </c>
      <c r="AY2283" s="1856" t="str">
        <f t="shared" si="396"/>
        <v/>
      </c>
    </row>
    <row r="2284" spans="42:52">
      <c r="AP2284" s="1855">
        <f t="shared" si="397"/>
        <v>44812</v>
      </c>
      <c r="AQ2284" s="925" t="str">
        <f t="shared" si="390"/>
        <v>MR</v>
      </c>
      <c r="AR2284" s="1856">
        <f t="shared" si="398"/>
        <v>44812.813888888886</v>
      </c>
      <c r="AS2284" s="927" t="s">
        <v>2118</v>
      </c>
      <c r="AT2284" s="1856" t="str">
        <f t="shared" si="391"/>
        <v/>
      </c>
      <c r="AU2284" s="1856" t="str">
        <f t="shared" si="392"/>
        <v/>
      </c>
      <c r="AV2284" s="1856" t="str">
        <f t="shared" si="393"/>
        <v/>
      </c>
      <c r="AW2284" s="1856" t="str">
        <f t="shared" si="394"/>
        <v/>
      </c>
      <c r="AX2284" s="1856" t="str">
        <f t="shared" si="395"/>
        <v/>
      </c>
      <c r="AY2284" s="1856" t="str">
        <f t="shared" si="396"/>
        <v/>
      </c>
    </row>
    <row r="2285" spans="42:52">
      <c r="AP2285" s="1855">
        <f t="shared" si="397"/>
        <v>44812</v>
      </c>
      <c r="AQ2285" s="925" t="str">
        <f t="shared" si="390"/>
        <v>SS</v>
      </c>
      <c r="AR2285" s="1856">
        <f t="shared" si="398"/>
        <v>44812.836111111115</v>
      </c>
      <c r="AS2285" s="927" t="s">
        <v>1586</v>
      </c>
      <c r="AT2285" s="1856" t="str">
        <f t="shared" si="391"/>
        <v/>
      </c>
      <c r="AU2285" s="1856" t="str">
        <f t="shared" si="392"/>
        <v/>
      </c>
      <c r="AV2285" s="1856" t="str">
        <f t="shared" si="393"/>
        <v/>
      </c>
      <c r="AW2285" s="1856" t="str">
        <f t="shared" si="394"/>
        <v/>
      </c>
      <c r="AX2285" s="1856" t="str">
        <f t="shared" si="395"/>
        <v/>
      </c>
      <c r="AY2285" s="1856" t="str">
        <f t="shared" si="396"/>
        <v/>
      </c>
    </row>
    <row r="2286" spans="42:52">
      <c r="AP2286" s="1855">
        <f t="shared" si="397"/>
        <v>44812</v>
      </c>
      <c r="AQ2286" s="925" t="str">
        <f t="shared" si="390"/>
        <v>EENT</v>
      </c>
      <c r="AR2286" s="1856">
        <f t="shared" si="398"/>
        <v>44812.876388888886</v>
      </c>
      <c r="AS2286" s="927" t="s">
        <v>1587</v>
      </c>
      <c r="AT2286" s="1856" t="str">
        <f t="shared" si="391"/>
        <v/>
      </c>
      <c r="AU2286" s="1856" t="str">
        <f t="shared" si="392"/>
        <v/>
      </c>
      <c r="AV2286" s="1856" t="str">
        <f t="shared" si="393"/>
        <v/>
      </c>
      <c r="AW2286" s="1856" t="str">
        <f t="shared" si="394"/>
        <v/>
      </c>
      <c r="AX2286" s="1856" t="str">
        <f t="shared" si="395"/>
        <v/>
      </c>
      <c r="AY2286" s="1856" t="str">
        <f t="shared" si="396"/>
        <v/>
      </c>
    </row>
    <row r="2287" spans="42:52">
      <c r="AP2287" s="1855">
        <f t="shared" si="397"/>
        <v>44813</v>
      </c>
      <c r="AQ2287" s="925" t="str">
        <f t="shared" si="390"/>
        <v/>
      </c>
      <c r="AR2287" s="1856" t="str">
        <f t="shared" si="398"/>
        <v/>
      </c>
      <c r="AS2287" s="927">
        <v>9</v>
      </c>
      <c r="AT2287" s="1856">
        <f t="shared" si="391"/>
        <v>44813.265277777777</v>
      </c>
      <c r="AU2287" s="1856">
        <f t="shared" si="392"/>
        <v>44813.305555555555</v>
      </c>
      <c r="AV2287" s="1856">
        <f t="shared" si="393"/>
        <v>44813.834722222222</v>
      </c>
      <c r="AW2287" s="1856">
        <f t="shared" si="394"/>
        <v>44813.875</v>
      </c>
      <c r="AX2287" s="1856">
        <f t="shared" si="395"/>
        <v>44813.836805555555</v>
      </c>
      <c r="AY2287" s="1856">
        <f t="shared" si="396"/>
        <v>44813.256944444445</v>
      </c>
      <c r="AZ2287" s="1853">
        <v>0.98</v>
      </c>
    </row>
    <row r="2288" spans="42:52">
      <c r="AP2288" s="1855">
        <f t="shared" si="397"/>
        <v>44813</v>
      </c>
      <c r="AQ2288" s="925" t="str">
        <f t="shared" si="390"/>
        <v/>
      </c>
      <c r="AR2288" s="1856" t="str">
        <f t="shared" si="398"/>
        <v/>
      </c>
      <c r="AS2288" s="927" t="s">
        <v>252</v>
      </c>
      <c r="AT2288" s="1856" t="str">
        <f t="shared" si="391"/>
        <v/>
      </c>
      <c r="AU2288" s="1856" t="str">
        <f t="shared" si="392"/>
        <v/>
      </c>
      <c r="AV2288" s="1856" t="str">
        <f t="shared" si="393"/>
        <v/>
      </c>
      <c r="AW2288" s="1856" t="str">
        <f t="shared" si="394"/>
        <v/>
      </c>
      <c r="AX2288" s="1856" t="str">
        <f t="shared" si="395"/>
        <v/>
      </c>
      <c r="AY2288" s="1856" t="str">
        <f t="shared" si="396"/>
        <v/>
      </c>
    </row>
    <row r="2289" spans="42:52">
      <c r="AP2289" s="1855">
        <f t="shared" si="397"/>
        <v>44813</v>
      </c>
      <c r="AQ2289" s="925" t="str">
        <f t="shared" si="390"/>
        <v/>
      </c>
      <c r="AR2289" s="1856" t="str">
        <f t="shared" si="398"/>
        <v/>
      </c>
      <c r="AT2289" s="1856" t="str">
        <f t="shared" si="391"/>
        <v/>
      </c>
      <c r="AU2289" s="1856" t="str">
        <f t="shared" si="392"/>
        <v/>
      </c>
      <c r="AV2289" s="1856" t="str">
        <f t="shared" si="393"/>
        <v/>
      </c>
      <c r="AW2289" s="1856" t="str">
        <f t="shared" si="394"/>
        <v/>
      </c>
      <c r="AX2289" s="1856" t="str">
        <f t="shared" si="395"/>
        <v/>
      </c>
      <c r="AY2289" s="1856" t="str">
        <f t="shared" si="396"/>
        <v/>
      </c>
    </row>
    <row r="2290" spans="42:52">
      <c r="AP2290" s="1855">
        <f t="shared" si="397"/>
        <v>44813</v>
      </c>
      <c r="AQ2290" s="925" t="str">
        <f t="shared" si="390"/>
        <v>MS</v>
      </c>
      <c r="AR2290" s="1856">
        <f t="shared" si="398"/>
        <v>44813.256944444445</v>
      </c>
      <c r="AS2290" s="927" t="s">
        <v>1949</v>
      </c>
      <c r="AT2290" s="1856" t="str">
        <f t="shared" si="391"/>
        <v/>
      </c>
      <c r="AU2290" s="1856" t="str">
        <f t="shared" si="392"/>
        <v/>
      </c>
      <c r="AV2290" s="1856" t="str">
        <f t="shared" si="393"/>
        <v/>
      </c>
      <c r="AW2290" s="1856" t="str">
        <f t="shared" si="394"/>
        <v/>
      </c>
      <c r="AX2290" s="1856" t="str">
        <f t="shared" si="395"/>
        <v/>
      </c>
      <c r="AY2290" s="1856" t="str">
        <f t="shared" si="396"/>
        <v/>
      </c>
    </row>
    <row r="2291" spans="42:52">
      <c r="AP2291" s="1855">
        <f t="shared" si="397"/>
        <v>44813</v>
      </c>
      <c r="AQ2291" s="925" t="str">
        <f t="shared" si="390"/>
        <v>BMNT</v>
      </c>
      <c r="AR2291" s="1856">
        <f t="shared" si="398"/>
        <v>44813.265277777777</v>
      </c>
      <c r="AS2291" s="927" t="s">
        <v>1435</v>
      </c>
      <c r="AT2291" s="1856" t="str">
        <f t="shared" si="391"/>
        <v/>
      </c>
      <c r="AU2291" s="1856" t="str">
        <f t="shared" si="392"/>
        <v/>
      </c>
      <c r="AV2291" s="1856" t="str">
        <f t="shared" si="393"/>
        <v/>
      </c>
      <c r="AW2291" s="1856" t="str">
        <f t="shared" si="394"/>
        <v/>
      </c>
      <c r="AX2291" s="1856" t="str">
        <f t="shared" si="395"/>
        <v/>
      </c>
      <c r="AY2291" s="1856" t="str">
        <f t="shared" si="396"/>
        <v/>
      </c>
    </row>
    <row r="2292" spans="42:52">
      <c r="AP2292" s="1855">
        <f t="shared" si="397"/>
        <v>44813</v>
      </c>
      <c r="AQ2292" s="925" t="str">
        <f t="shared" ref="AQ2292:AQ2355" si="399">IF(NOT(ISNUMBER(FIND(":",AS2292))),"",IF(ISNUMBER(FIND("Sunr",AS2292)),"SR", IF(ISNUMBER(FIND("Suns",AS2292)),"SS",IF(ISNUMBER(FIND("Moonr",AS2292)),"MR",IF(ISNUMBER(FIND("Moons",AS2292)),"MS",IF(ISNUMBER(FIND("Twi",AS2292)),IF(HOUR(AR2292)&lt;12,"BMNT","EENT")))))))</f>
        <v>SR</v>
      </c>
      <c r="AR2292" s="1856">
        <f t="shared" si="398"/>
        <v>44813.305555555555</v>
      </c>
      <c r="AS2292" s="927" t="s">
        <v>1430</v>
      </c>
      <c r="AT2292" s="1856" t="str">
        <f t="shared" si="391"/>
        <v/>
      </c>
      <c r="AU2292" s="1856" t="str">
        <f t="shared" si="392"/>
        <v/>
      </c>
      <c r="AV2292" s="1856" t="str">
        <f t="shared" si="393"/>
        <v/>
      </c>
      <c r="AW2292" s="1856" t="str">
        <f t="shared" si="394"/>
        <v/>
      </c>
      <c r="AX2292" s="1856" t="str">
        <f t="shared" si="395"/>
        <v/>
      </c>
      <c r="AY2292" s="1856" t="str">
        <f t="shared" si="396"/>
        <v/>
      </c>
    </row>
    <row r="2293" spans="42:52">
      <c r="AP2293" s="1855">
        <f t="shared" si="397"/>
        <v>44813</v>
      </c>
      <c r="AQ2293" s="925" t="str">
        <f t="shared" si="399"/>
        <v>SS</v>
      </c>
      <c r="AR2293" s="1856">
        <f t="shared" si="398"/>
        <v>44813.834722222222</v>
      </c>
      <c r="AS2293" s="927" t="s">
        <v>1578</v>
      </c>
      <c r="AT2293" s="1856" t="str">
        <f t="shared" si="391"/>
        <v/>
      </c>
      <c r="AU2293" s="1856" t="str">
        <f t="shared" si="392"/>
        <v/>
      </c>
      <c r="AV2293" s="1856" t="str">
        <f t="shared" si="393"/>
        <v/>
      </c>
      <c r="AW2293" s="1856" t="str">
        <f t="shared" si="394"/>
        <v/>
      </c>
      <c r="AX2293" s="1856" t="str">
        <f t="shared" si="395"/>
        <v/>
      </c>
      <c r="AY2293" s="1856" t="str">
        <f t="shared" si="396"/>
        <v/>
      </c>
    </row>
    <row r="2294" spans="42:52">
      <c r="AP2294" s="1855">
        <f t="shared" si="397"/>
        <v>44813</v>
      </c>
      <c r="AQ2294" s="925" t="str">
        <f t="shared" si="399"/>
        <v>MR</v>
      </c>
      <c r="AR2294" s="1856">
        <f t="shared" si="398"/>
        <v>44813.836805555555</v>
      </c>
      <c r="AS2294" s="927" t="s">
        <v>2119</v>
      </c>
      <c r="AT2294" s="1856" t="str">
        <f t="shared" si="391"/>
        <v/>
      </c>
      <c r="AU2294" s="1856" t="str">
        <f t="shared" si="392"/>
        <v/>
      </c>
      <c r="AV2294" s="1856" t="str">
        <f t="shared" si="393"/>
        <v/>
      </c>
      <c r="AW2294" s="1856" t="str">
        <f t="shared" si="394"/>
        <v/>
      </c>
      <c r="AX2294" s="1856" t="str">
        <f t="shared" si="395"/>
        <v/>
      </c>
      <c r="AY2294" s="1856" t="str">
        <f t="shared" si="396"/>
        <v/>
      </c>
    </row>
    <row r="2295" spans="42:52">
      <c r="AP2295" s="1855">
        <f t="shared" si="397"/>
        <v>44813</v>
      </c>
      <c r="AQ2295" s="925" t="str">
        <f t="shared" si="399"/>
        <v>EENT</v>
      </c>
      <c r="AR2295" s="1856">
        <f t="shared" si="398"/>
        <v>44813.875</v>
      </c>
      <c r="AS2295" s="927" t="s">
        <v>1579</v>
      </c>
      <c r="AT2295" s="1856" t="str">
        <f t="shared" si="391"/>
        <v/>
      </c>
      <c r="AU2295" s="1856" t="str">
        <f t="shared" si="392"/>
        <v/>
      </c>
      <c r="AV2295" s="1856" t="str">
        <f t="shared" si="393"/>
        <v/>
      </c>
      <c r="AW2295" s="1856" t="str">
        <f t="shared" si="394"/>
        <v/>
      </c>
      <c r="AX2295" s="1856" t="str">
        <f t="shared" si="395"/>
        <v/>
      </c>
      <c r="AY2295" s="1856" t="str">
        <f t="shared" si="396"/>
        <v/>
      </c>
    </row>
    <row r="2296" spans="42:52">
      <c r="AP2296" s="1855">
        <f t="shared" si="397"/>
        <v>44814</v>
      </c>
      <c r="AQ2296" s="925" t="str">
        <f t="shared" si="399"/>
        <v/>
      </c>
      <c r="AR2296" s="1856" t="str">
        <f t="shared" si="398"/>
        <v/>
      </c>
      <c r="AS2296" s="927">
        <v>10</v>
      </c>
      <c r="AT2296" s="1856">
        <f t="shared" si="391"/>
        <v>44814.265972222223</v>
      </c>
      <c r="AU2296" s="1856">
        <f t="shared" si="392"/>
        <v>44814.306249999994</v>
      </c>
      <c r="AV2296" s="1856">
        <f t="shared" si="393"/>
        <v>44814.834027777782</v>
      </c>
      <c r="AW2296" s="1856">
        <f t="shared" si="394"/>
        <v>44814.874305555561</v>
      </c>
      <c r="AX2296" s="1856">
        <f t="shared" si="395"/>
        <v>44814.856250000004</v>
      </c>
      <c r="AY2296" s="1856">
        <f t="shared" si="396"/>
        <v>44814.307638888888</v>
      </c>
      <c r="AZ2296" s="1853">
        <v>1</v>
      </c>
    </row>
    <row r="2297" spans="42:52">
      <c r="AP2297" s="1855">
        <f t="shared" si="397"/>
        <v>44814</v>
      </c>
      <c r="AQ2297" s="925" t="str">
        <f t="shared" si="399"/>
        <v/>
      </c>
      <c r="AR2297" s="1856" t="str">
        <f t="shared" si="398"/>
        <v/>
      </c>
      <c r="AS2297" s="927" t="s">
        <v>252</v>
      </c>
      <c r="AT2297" s="1856" t="str">
        <f t="shared" si="391"/>
        <v/>
      </c>
      <c r="AU2297" s="1856" t="str">
        <f t="shared" si="392"/>
        <v/>
      </c>
      <c r="AV2297" s="1856" t="str">
        <f t="shared" si="393"/>
        <v/>
      </c>
      <c r="AW2297" s="1856" t="str">
        <f t="shared" si="394"/>
        <v/>
      </c>
      <c r="AX2297" s="1856" t="str">
        <f t="shared" si="395"/>
        <v/>
      </c>
      <c r="AY2297" s="1856" t="str">
        <f t="shared" si="396"/>
        <v/>
      </c>
    </row>
    <row r="2298" spans="42:52">
      <c r="AP2298" s="1855">
        <f t="shared" si="397"/>
        <v>44814</v>
      </c>
      <c r="AQ2298" s="925" t="str">
        <f t="shared" si="399"/>
        <v/>
      </c>
      <c r="AR2298" s="1856" t="str">
        <f t="shared" si="398"/>
        <v/>
      </c>
      <c r="AT2298" s="1856" t="str">
        <f t="shared" si="391"/>
        <v/>
      </c>
      <c r="AU2298" s="1856" t="str">
        <f t="shared" si="392"/>
        <v/>
      </c>
      <c r="AV2298" s="1856" t="str">
        <f t="shared" si="393"/>
        <v/>
      </c>
      <c r="AW2298" s="1856" t="str">
        <f t="shared" si="394"/>
        <v/>
      </c>
      <c r="AX2298" s="1856" t="str">
        <f t="shared" si="395"/>
        <v/>
      </c>
      <c r="AY2298" s="1856" t="str">
        <f t="shared" si="396"/>
        <v/>
      </c>
    </row>
    <row r="2299" spans="42:52">
      <c r="AP2299" s="1855">
        <f t="shared" si="397"/>
        <v>44814</v>
      </c>
      <c r="AQ2299" s="925" t="str">
        <f t="shared" si="399"/>
        <v>BMNT</v>
      </c>
      <c r="AR2299" s="1856">
        <f t="shared" si="398"/>
        <v>44814.265972222223</v>
      </c>
      <c r="AS2299" s="927" t="s">
        <v>1429</v>
      </c>
      <c r="AT2299" s="1856" t="str">
        <f t="shared" si="391"/>
        <v/>
      </c>
      <c r="AU2299" s="1856" t="str">
        <f t="shared" si="392"/>
        <v/>
      </c>
      <c r="AV2299" s="1856" t="str">
        <f t="shared" si="393"/>
        <v/>
      </c>
      <c r="AW2299" s="1856" t="str">
        <f t="shared" si="394"/>
        <v/>
      </c>
      <c r="AX2299" s="1856" t="str">
        <f t="shared" si="395"/>
        <v/>
      </c>
      <c r="AY2299" s="1856" t="str">
        <f t="shared" si="396"/>
        <v/>
      </c>
    </row>
    <row r="2300" spans="42:52">
      <c r="AP2300" s="1855">
        <f t="shared" si="397"/>
        <v>44814</v>
      </c>
      <c r="AQ2300" s="925" t="str">
        <f t="shared" si="399"/>
        <v>SR</v>
      </c>
      <c r="AR2300" s="1856">
        <f t="shared" si="398"/>
        <v>44814.306249999994</v>
      </c>
      <c r="AS2300" s="927" t="s">
        <v>1618</v>
      </c>
      <c r="AT2300" s="1856" t="str">
        <f t="shared" si="391"/>
        <v/>
      </c>
      <c r="AU2300" s="1856" t="str">
        <f t="shared" si="392"/>
        <v/>
      </c>
      <c r="AV2300" s="1856" t="str">
        <f t="shared" si="393"/>
        <v/>
      </c>
      <c r="AW2300" s="1856" t="str">
        <f t="shared" si="394"/>
        <v/>
      </c>
      <c r="AX2300" s="1856" t="str">
        <f t="shared" si="395"/>
        <v/>
      </c>
      <c r="AY2300" s="1856" t="str">
        <f t="shared" si="396"/>
        <v/>
      </c>
    </row>
    <row r="2301" spans="42:52">
      <c r="AP2301" s="1855">
        <f t="shared" si="397"/>
        <v>44814</v>
      </c>
      <c r="AQ2301" s="925" t="str">
        <f t="shared" si="399"/>
        <v>MS</v>
      </c>
      <c r="AR2301" s="1856">
        <f t="shared" si="398"/>
        <v>44814.307638888888</v>
      </c>
      <c r="AS2301" s="927" t="s">
        <v>2120</v>
      </c>
      <c r="AT2301" s="1856" t="str">
        <f t="shared" si="391"/>
        <v/>
      </c>
      <c r="AU2301" s="1856" t="str">
        <f t="shared" si="392"/>
        <v/>
      </c>
      <c r="AV2301" s="1856" t="str">
        <f t="shared" si="393"/>
        <v/>
      </c>
      <c r="AW2301" s="1856" t="str">
        <f t="shared" si="394"/>
        <v/>
      </c>
      <c r="AX2301" s="1856" t="str">
        <f t="shared" si="395"/>
        <v/>
      </c>
      <c r="AY2301" s="1856" t="str">
        <f t="shared" si="396"/>
        <v/>
      </c>
    </row>
    <row r="2302" spans="42:52">
      <c r="AP2302" s="1855">
        <f t="shared" si="397"/>
        <v>44814</v>
      </c>
      <c r="AQ2302" s="925" t="str">
        <f t="shared" si="399"/>
        <v>SS</v>
      </c>
      <c r="AR2302" s="1856">
        <f t="shared" si="398"/>
        <v>44814.834027777782</v>
      </c>
      <c r="AS2302" s="927" t="s">
        <v>1573</v>
      </c>
      <c r="AT2302" s="1856" t="str">
        <f t="shared" si="391"/>
        <v/>
      </c>
      <c r="AU2302" s="1856" t="str">
        <f t="shared" si="392"/>
        <v/>
      </c>
      <c r="AV2302" s="1856" t="str">
        <f t="shared" si="393"/>
        <v/>
      </c>
      <c r="AW2302" s="1856" t="str">
        <f t="shared" si="394"/>
        <v/>
      </c>
      <c r="AX2302" s="1856" t="str">
        <f t="shared" si="395"/>
        <v/>
      </c>
      <c r="AY2302" s="1856" t="str">
        <f t="shared" si="396"/>
        <v/>
      </c>
    </row>
    <row r="2303" spans="42:52">
      <c r="AP2303" s="1855">
        <f t="shared" si="397"/>
        <v>44814</v>
      </c>
      <c r="AQ2303" s="925" t="str">
        <f t="shared" si="399"/>
        <v>MR</v>
      </c>
      <c r="AR2303" s="1856">
        <f t="shared" si="398"/>
        <v>44814.856250000004</v>
      </c>
      <c r="AS2303" s="927" t="s">
        <v>2121</v>
      </c>
      <c r="AT2303" s="1856" t="str">
        <f t="shared" si="391"/>
        <v/>
      </c>
      <c r="AU2303" s="1856" t="str">
        <f t="shared" si="392"/>
        <v/>
      </c>
      <c r="AV2303" s="1856" t="str">
        <f t="shared" si="393"/>
        <v/>
      </c>
      <c r="AW2303" s="1856" t="str">
        <f t="shared" si="394"/>
        <v/>
      </c>
      <c r="AX2303" s="1856" t="str">
        <f t="shared" si="395"/>
        <v/>
      </c>
      <c r="AY2303" s="1856" t="str">
        <f t="shared" si="396"/>
        <v/>
      </c>
    </row>
    <row r="2304" spans="42:52">
      <c r="AP2304" s="1855">
        <f t="shared" si="397"/>
        <v>44814</v>
      </c>
      <c r="AQ2304" s="925" t="str">
        <f t="shared" si="399"/>
        <v>EENT</v>
      </c>
      <c r="AR2304" s="1856">
        <f t="shared" si="398"/>
        <v>44814.874305555561</v>
      </c>
      <c r="AS2304" s="927" t="s">
        <v>1574</v>
      </c>
      <c r="AT2304" s="1856" t="str">
        <f t="shared" si="391"/>
        <v/>
      </c>
      <c r="AU2304" s="1856" t="str">
        <f t="shared" si="392"/>
        <v/>
      </c>
      <c r="AV2304" s="1856" t="str">
        <f t="shared" si="393"/>
        <v/>
      </c>
      <c r="AW2304" s="1856" t="str">
        <f t="shared" si="394"/>
        <v/>
      </c>
      <c r="AX2304" s="1856" t="str">
        <f t="shared" si="395"/>
        <v/>
      </c>
      <c r="AY2304" s="1856" t="str">
        <f t="shared" si="396"/>
        <v/>
      </c>
    </row>
    <row r="2305" spans="42:52">
      <c r="AP2305" s="1855">
        <f t="shared" si="397"/>
        <v>44815</v>
      </c>
      <c r="AQ2305" s="925" t="str">
        <f t="shared" si="399"/>
        <v/>
      </c>
      <c r="AR2305" s="1856" t="str">
        <f t="shared" si="398"/>
        <v/>
      </c>
      <c r="AS2305" s="927">
        <v>11</v>
      </c>
      <c r="AT2305" s="1856">
        <f t="shared" si="391"/>
        <v>44815.26666666667</v>
      </c>
      <c r="AU2305" s="1856">
        <f t="shared" si="392"/>
        <v>44815.306944444441</v>
      </c>
      <c r="AV2305" s="1856">
        <f t="shared" si="393"/>
        <v>44815.832638888889</v>
      </c>
      <c r="AW2305" s="1856">
        <f t="shared" si="394"/>
        <v>44815.872916666667</v>
      </c>
      <c r="AX2305" s="1856">
        <f t="shared" si="395"/>
        <v>44815.875</v>
      </c>
      <c r="AY2305" s="1856">
        <f t="shared" si="396"/>
        <v>44815.356250000004</v>
      </c>
      <c r="AZ2305" s="1853">
        <v>0.99</v>
      </c>
    </row>
    <row r="2306" spans="42:52">
      <c r="AP2306" s="1855">
        <f t="shared" si="397"/>
        <v>44815</v>
      </c>
      <c r="AQ2306" s="925" t="str">
        <f t="shared" si="399"/>
        <v/>
      </c>
      <c r="AR2306" s="1856" t="str">
        <f t="shared" si="398"/>
        <v/>
      </c>
      <c r="AS2306" s="927" t="s">
        <v>252</v>
      </c>
      <c r="AT2306" s="1856" t="str">
        <f t="shared" si="391"/>
        <v/>
      </c>
      <c r="AU2306" s="1856" t="str">
        <f t="shared" si="392"/>
        <v/>
      </c>
      <c r="AV2306" s="1856" t="str">
        <f t="shared" si="393"/>
        <v/>
      </c>
      <c r="AW2306" s="1856" t="str">
        <f t="shared" si="394"/>
        <v/>
      </c>
      <c r="AX2306" s="1856" t="str">
        <f t="shared" si="395"/>
        <v/>
      </c>
      <c r="AY2306" s="1856" t="str">
        <f t="shared" si="396"/>
        <v/>
      </c>
    </row>
    <row r="2307" spans="42:52">
      <c r="AP2307" s="1855">
        <f t="shared" si="397"/>
        <v>44815</v>
      </c>
      <c r="AQ2307" s="925" t="str">
        <f t="shared" si="399"/>
        <v/>
      </c>
      <c r="AR2307" s="1856" t="str">
        <f t="shared" si="398"/>
        <v/>
      </c>
      <c r="AT2307" s="1856" t="str">
        <f t="shared" si="391"/>
        <v/>
      </c>
      <c r="AU2307" s="1856" t="str">
        <f t="shared" si="392"/>
        <v/>
      </c>
      <c r="AV2307" s="1856" t="str">
        <f t="shared" si="393"/>
        <v/>
      </c>
      <c r="AW2307" s="1856" t="str">
        <f t="shared" si="394"/>
        <v/>
      </c>
      <c r="AX2307" s="1856" t="str">
        <f t="shared" si="395"/>
        <v/>
      </c>
      <c r="AY2307" s="1856" t="str">
        <f t="shared" si="396"/>
        <v/>
      </c>
    </row>
    <row r="2308" spans="42:52">
      <c r="AP2308" s="1855">
        <f t="shared" si="397"/>
        <v>44815</v>
      </c>
      <c r="AQ2308" s="925" t="str">
        <f t="shared" si="399"/>
        <v>BMNT</v>
      </c>
      <c r="AR2308" s="1856">
        <f t="shared" si="398"/>
        <v>44815.26666666667</v>
      </c>
      <c r="AS2308" s="927" t="s">
        <v>1423</v>
      </c>
      <c r="AT2308" s="1856" t="str">
        <f t="shared" si="391"/>
        <v/>
      </c>
      <c r="AU2308" s="1856" t="str">
        <f t="shared" si="392"/>
        <v/>
      </c>
      <c r="AV2308" s="1856" t="str">
        <f t="shared" si="393"/>
        <v/>
      </c>
      <c r="AW2308" s="1856" t="str">
        <f t="shared" si="394"/>
        <v/>
      </c>
      <c r="AX2308" s="1856" t="str">
        <f t="shared" si="395"/>
        <v/>
      </c>
      <c r="AY2308" s="1856" t="str">
        <f t="shared" si="396"/>
        <v/>
      </c>
    </row>
    <row r="2309" spans="42:52">
      <c r="AP2309" s="1855">
        <f t="shared" si="397"/>
        <v>44815</v>
      </c>
      <c r="AQ2309" s="925" t="str">
        <f t="shared" si="399"/>
        <v>SR</v>
      </c>
      <c r="AR2309" s="1856">
        <f t="shared" si="398"/>
        <v>44815.306944444441</v>
      </c>
      <c r="AS2309" s="927" t="s">
        <v>1424</v>
      </c>
      <c r="AT2309" s="1856" t="str">
        <f t="shared" si="391"/>
        <v/>
      </c>
      <c r="AU2309" s="1856" t="str">
        <f t="shared" si="392"/>
        <v/>
      </c>
      <c r="AV2309" s="1856" t="str">
        <f t="shared" si="393"/>
        <v/>
      </c>
      <c r="AW2309" s="1856" t="str">
        <f t="shared" si="394"/>
        <v/>
      </c>
      <c r="AX2309" s="1856" t="str">
        <f t="shared" si="395"/>
        <v/>
      </c>
      <c r="AY2309" s="1856" t="str">
        <f t="shared" si="396"/>
        <v/>
      </c>
    </row>
    <row r="2310" spans="42:52">
      <c r="AP2310" s="1855">
        <f t="shared" si="397"/>
        <v>44815</v>
      </c>
      <c r="AQ2310" s="925" t="str">
        <f t="shared" si="399"/>
        <v>MS</v>
      </c>
      <c r="AR2310" s="1856">
        <f t="shared" si="398"/>
        <v>44815.356250000004</v>
      </c>
      <c r="AS2310" s="927" t="s">
        <v>2122</v>
      </c>
      <c r="AT2310" s="1856" t="str">
        <f t="shared" si="391"/>
        <v/>
      </c>
      <c r="AU2310" s="1856" t="str">
        <f t="shared" si="392"/>
        <v/>
      </c>
      <c r="AV2310" s="1856" t="str">
        <f t="shared" si="393"/>
        <v/>
      </c>
      <c r="AW2310" s="1856" t="str">
        <f t="shared" si="394"/>
        <v/>
      </c>
      <c r="AX2310" s="1856" t="str">
        <f t="shared" si="395"/>
        <v/>
      </c>
      <c r="AY2310" s="1856" t="str">
        <f t="shared" si="396"/>
        <v/>
      </c>
    </row>
    <row r="2311" spans="42:52">
      <c r="AP2311" s="1855">
        <f t="shared" si="397"/>
        <v>44815</v>
      </c>
      <c r="AQ2311" s="925" t="str">
        <f t="shared" si="399"/>
        <v>SS</v>
      </c>
      <c r="AR2311" s="1856">
        <f t="shared" si="398"/>
        <v>44815.832638888889</v>
      </c>
      <c r="AS2311" s="927" t="s">
        <v>1562</v>
      </c>
      <c r="AT2311" s="1856" t="str">
        <f t="shared" si="391"/>
        <v/>
      </c>
      <c r="AU2311" s="1856" t="str">
        <f t="shared" si="392"/>
        <v/>
      </c>
      <c r="AV2311" s="1856" t="str">
        <f t="shared" si="393"/>
        <v/>
      </c>
      <c r="AW2311" s="1856" t="str">
        <f t="shared" si="394"/>
        <v/>
      </c>
      <c r="AX2311" s="1856" t="str">
        <f t="shared" si="395"/>
        <v/>
      </c>
      <c r="AY2311" s="1856" t="str">
        <f t="shared" si="396"/>
        <v/>
      </c>
    </row>
    <row r="2312" spans="42:52">
      <c r="AP2312" s="1855">
        <f t="shared" si="397"/>
        <v>44815</v>
      </c>
      <c r="AQ2312" s="925" t="str">
        <f t="shared" si="399"/>
        <v>EENT</v>
      </c>
      <c r="AR2312" s="1856">
        <f t="shared" si="398"/>
        <v>44815.872916666667</v>
      </c>
      <c r="AS2312" s="927" t="s">
        <v>1566</v>
      </c>
      <c r="AT2312" s="1856" t="str">
        <f t="shared" si="391"/>
        <v/>
      </c>
      <c r="AU2312" s="1856" t="str">
        <f t="shared" si="392"/>
        <v/>
      </c>
      <c r="AV2312" s="1856" t="str">
        <f t="shared" si="393"/>
        <v/>
      </c>
      <c r="AW2312" s="1856" t="str">
        <f t="shared" si="394"/>
        <v/>
      </c>
      <c r="AX2312" s="1856" t="str">
        <f t="shared" si="395"/>
        <v/>
      </c>
      <c r="AY2312" s="1856" t="str">
        <f t="shared" si="396"/>
        <v/>
      </c>
    </row>
    <row r="2313" spans="42:52">
      <c r="AP2313" s="1855">
        <f t="shared" si="397"/>
        <v>44815</v>
      </c>
      <c r="AQ2313" s="925" t="str">
        <f t="shared" si="399"/>
        <v>MR</v>
      </c>
      <c r="AR2313" s="1856">
        <f t="shared" si="398"/>
        <v>44815.875</v>
      </c>
      <c r="AS2313" s="927" t="s">
        <v>2123</v>
      </c>
      <c r="AT2313" s="1856" t="str">
        <f t="shared" si="391"/>
        <v/>
      </c>
      <c r="AU2313" s="1856" t="str">
        <f t="shared" si="392"/>
        <v/>
      </c>
      <c r="AV2313" s="1856" t="str">
        <f t="shared" si="393"/>
        <v/>
      </c>
      <c r="AW2313" s="1856" t="str">
        <f t="shared" si="394"/>
        <v/>
      </c>
      <c r="AX2313" s="1856" t="str">
        <f t="shared" si="395"/>
        <v/>
      </c>
      <c r="AY2313" s="1856" t="str">
        <f t="shared" si="396"/>
        <v/>
      </c>
    </row>
    <row r="2314" spans="42:52">
      <c r="AP2314" s="1855">
        <f t="shared" si="397"/>
        <v>44816</v>
      </c>
      <c r="AQ2314" s="925" t="str">
        <f t="shared" si="399"/>
        <v/>
      </c>
      <c r="AR2314" s="1856" t="str">
        <f t="shared" si="398"/>
        <v/>
      </c>
      <c r="AS2314" s="927">
        <v>12</v>
      </c>
      <c r="AT2314" s="1856">
        <f t="shared" si="391"/>
        <v>44816.267361111109</v>
      </c>
      <c r="AU2314" s="1856">
        <f t="shared" si="392"/>
        <v>44816.307638888888</v>
      </c>
      <c r="AV2314" s="1856">
        <f t="shared" si="393"/>
        <v>44816.831944444442</v>
      </c>
      <c r="AW2314" s="1856">
        <f t="shared" si="394"/>
        <v>44816.871527777781</v>
      </c>
      <c r="AX2314" s="1856">
        <f t="shared" si="395"/>
        <v>44816.893055555556</v>
      </c>
      <c r="AY2314" s="1856">
        <f t="shared" si="396"/>
        <v>44816.40347222222</v>
      </c>
      <c r="AZ2314" s="1853">
        <v>0.96</v>
      </c>
    </row>
    <row r="2315" spans="42:52">
      <c r="AP2315" s="1855">
        <f t="shared" si="397"/>
        <v>44816</v>
      </c>
      <c r="AQ2315" s="925" t="str">
        <f t="shared" si="399"/>
        <v/>
      </c>
      <c r="AR2315" s="1856" t="str">
        <f t="shared" si="398"/>
        <v/>
      </c>
      <c r="AS2315" s="927" t="s">
        <v>252</v>
      </c>
      <c r="AT2315" s="1856" t="str">
        <f t="shared" si="391"/>
        <v/>
      </c>
      <c r="AU2315" s="1856" t="str">
        <f t="shared" si="392"/>
        <v/>
      </c>
      <c r="AV2315" s="1856" t="str">
        <f t="shared" si="393"/>
        <v/>
      </c>
      <c r="AW2315" s="1856" t="str">
        <f t="shared" si="394"/>
        <v/>
      </c>
      <c r="AX2315" s="1856" t="str">
        <f t="shared" si="395"/>
        <v/>
      </c>
      <c r="AY2315" s="1856" t="str">
        <f t="shared" si="396"/>
        <v/>
      </c>
    </row>
    <row r="2316" spans="42:52">
      <c r="AP2316" s="1855">
        <f t="shared" si="397"/>
        <v>44816</v>
      </c>
      <c r="AQ2316" s="925" t="str">
        <f t="shared" si="399"/>
        <v/>
      </c>
      <c r="AR2316" s="1856" t="str">
        <f t="shared" si="398"/>
        <v/>
      </c>
      <c r="AT2316" s="1856" t="str">
        <f t="shared" si="391"/>
        <v/>
      </c>
      <c r="AU2316" s="1856" t="str">
        <f t="shared" si="392"/>
        <v/>
      </c>
      <c r="AV2316" s="1856" t="str">
        <f t="shared" si="393"/>
        <v/>
      </c>
      <c r="AW2316" s="1856" t="str">
        <f t="shared" si="394"/>
        <v/>
      </c>
      <c r="AX2316" s="1856" t="str">
        <f t="shared" si="395"/>
        <v/>
      </c>
      <c r="AY2316" s="1856" t="str">
        <f t="shared" si="396"/>
        <v/>
      </c>
    </row>
    <row r="2317" spans="42:52">
      <c r="AP2317" s="1855">
        <f t="shared" si="397"/>
        <v>44816</v>
      </c>
      <c r="AQ2317" s="925" t="str">
        <f t="shared" si="399"/>
        <v>BMNT</v>
      </c>
      <c r="AR2317" s="1856">
        <f t="shared" si="398"/>
        <v>44816.267361111109</v>
      </c>
      <c r="AS2317" s="927" t="s">
        <v>2124</v>
      </c>
      <c r="AT2317" s="1856" t="str">
        <f t="shared" si="391"/>
        <v/>
      </c>
      <c r="AU2317" s="1856" t="str">
        <f t="shared" si="392"/>
        <v/>
      </c>
      <c r="AV2317" s="1856" t="str">
        <f t="shared" si="393"/>
        <v/>
      </c>
      <c r="AW2317" s="1856" t="str">
        <f t="shared" si="394"/>
        <v/>
      </c>
      <c r="AX2317" s="1856" t="str">
        <f t="shared" si="395"/>
        <v/>
      </c>
      <c r="AY2317" s="1856" t="str">
        <f t="shared" si="396"/>
        <v/>
      </c>
    </row>
    <row r="2318" spans="42:52">
      <c r="AP2318" s="1855">
        <f t="shared" si="397"/>
        <v>44816</v>
      </c>
      <c r="AQ2318" s="925" t="str">
        <f t="shared" si="399"/>
        <v>SR</v>
      </c>
      <c r="AR2318" s="1856">
        <f t="shared" si="398"/>
        <v>44816.307638888888</v>
      </c>
      <c r="AS2318" s="927" t="s">
        <v>1418</v>
      </c>
      <c r="AT2318" s="1856" t="str">
        <f t="shared" si="391"/>
        <v/>
      </c>
      <c r="AU2318" s="1856" t="str">
        <f t="shared" si="392"/>
        <v/>
      </c>
      <c r="AV2318" s="1856" t="str">
        <f t="shared" si="393"/>
        <v/>
      </c>
      <c r="AW2318" s="1856" t="str">
        <f t="shared" si="394"/>
        <v/>
      </c>
      <c r="AX2318" s="1856" t="str">
        <f t="shared" si="395"/>
        <v/>
      </c>
      <c r="AY2318" s="1856" t="str">
        <f t="shared" si="396"/>
        <v/>
      </c>
    </row>
    <row r="2319" spans="42:52">
      <c r="AP2319" s="1855">
        <f t="shared" si="397"/>
        <v>44816</v>
      </c>
      <c r="AQ2319" s="925" t="str">
        <f t="shared" si="399"/>
        <v>MS</v>
      </c>
      <c r="AR2319" s="1856">
        <f t="shared" si="398"/>
        <v>44816.40347222222</v>
      </c>
      <c r="AS2319" s="927" t="s">
        <v>2125</v>
      </c>
      <c r="AT2319" s="1856" t="str">
        <f t="shared" si="391"/>
        <v/>
      </c>
      <c r="AU2319" s="1856" t="str">
        <f t="shared" si="392"/>
        <v/>
      </c>
      <c r="AV2319" s="1856" t="str">
        <f t="shared" si="393"/>
        <v/>
      </c>
      <c r="AW2319" s="1856" t="str">
        <f t="shared" si="394"/>
        <v/>
      </c>
      <c r="AX2319" s="1856" t="str">
        <f t="shared" si="395"/>
        <v/>
      </c>
      <c r="AY2319" s="1856" t="str">
        <f t="shared" si="396"/>
        <v/>
      </c>
    </row>
    <row r="2320" spans="42:52">
      <c r="AP2320" s="1855">
        <f t="shared" si="397"/>
        <v>44816</v>
      </c>
      <c r="AQ2320" s="925" t="str">
        <f t="shared" si="399"/>
        <v>SS</v>
      </c>
      <c r="AR2320" s="1856">
        <f t="shared" si="398"/>
        <v>44816.831944444442</v>
      </c>
      <c r="AS2320" s="927" t="s">
        <v>1558</v>
      </c>
      <c r="AT2320" s="1856" t="str">
        <f t="shared" si="391"/>
        <v/>
      </c>
      <c r="AU2320" s="1856" t="str">
        <f t="shared" si="392"/>
        <v/>
      </c>
      <c r="AV2320" s="1856" t="str">
        <f t="shared" si="393"/>
        <v/>
      </c>
      <c r="AW2320" s="1856" t="str">
        <f t="shared" si="394"/>
        <v/>
      </c>
      <c r="AX2320" s="1856" t="str">
        <f t="shared" si="395"/>
        <v/>
      </c>
      <c r="AY2320" s="1856" t="str">
        <f t="shared" si="396"/>
        <v/>
      </c>
    </row>
    <row r="2321" spans="42:52">
      <c r="AP2321" s="1855">
        <f t="shared" si="397"/>
        <v>44816</v>
      </c>
      <c r="AQ2321" s="925" t="str">
        <f t="shared" si="399"/>
        <v>EENT</v>
      </c>
      <c r="AR2321" s="1856">
        <f t="shared" si="398"/>
        <v>44816.871527777781</v>
      </c>
      <c r="AS2321" s="927" t="s">
        <v>1559</v>
      </c>
      <c r="AT2321" s="1856" t="str">
        <f t="shared" si="391"/>
        <v/>
      </c>
      <c r="AU2321" s="1856" t="str">
        <f t="shared" si="392"/>
        <v/>
      </c>
      <c r="AV2321" s="1856" t="str">
        <f t="shared" si="393"/>
        <v/>
      </c>
      <c r="AW2321" s="1856" t="str">
        <f t="shared" si="394"/>
        <v/>
      </c>
      <c r="AX2321" s="1856" t="str">
        <f t="shared" si="395"/>
        <v/>
      </c>
      <c r="AY2321" s="1856" t="str">
        <f t="shared" si="396"/>
        <v/>
      </c>
    </row>
    <row r="2322" spans="42:52">
      <c r="AP2322" s="1855">
        <f t="shared" si="397"/>
        <v>44816</v>
      </c>
      <c r="AQ2322" s="925" t="str">
        <f t="shared" si="399"/>
        <v>MR</v>
      </c>
      <c r="AR2322" s="1856">
        <f t="shared" si="398"/>
        <v>44816.893055555556</v>
      </c>
      <c r="AS2322" s="927" t="s">
        <v>2126</v>
      </c>
      <c r="AT2322" s="1856" t="str">
        <f t="shared" si="391"/>
        <v/>
      </c>
      <c r="AU2322" s="1856" t="str">
        <f t="shared" si="392"/>
        <v/>
      </c>
      <c r="AV2322" s="1856" t="str">
        <f t="shared" si="393"/>
        <v/>
      </c>
      <c r="AW2322" s="1856" t="str">
        <f t="shared" si="394"/>
        <v/>
      </c>
      <c r="AX2322" s="1856" t="str">
        <f t="shared" si="395"/>
        <v/>
      </c>
      <c r="AY2322" s="1856" t="str">
        <f t="shared" si="396"/>
        <v/>
      </c>
    </row>
    <row r="2323" spans="42:52">
      <c r="AP2323" s="1855">
        <f t="shared" si="397"/>
        <v>44817</v>
      </c>
      <c r="AQ2323" s="925" t="str">
        <f t="shared" si="399"/>
        <v/>
      </c>
      <c r="AR2323" s="1856" t="str">
        <f t="shared" si="398"/>
        <v/>
      </c>
      <c r="AS2323" s="927">
        <v>13</v>
      </c>
      <c r="AT2323" s="1856">
        <f t="shared" si="391"/>
        <v>44817.268055555556</v>
      </c>
      <c r="AU2323" s="1856">
        <f t="shared" si="392"/>
        <v>44817.308333333334</v>
      </c>
      <c r="AV2323" s="1856">
        <f t="shared" si="393"/>
        <v>44817.830555555556</v>
      </c>
      <c r="AW2323" s="1856">
        <f t="shared" si="394"/>
        <v>44817.870833333334</v>
      </c>
      <c r="AX2323" s="1856">
        <f t="shared" si="395"/>
        <v>44817.911805555559</v>
      </c>
      <c r="AY2323" s="1856">
        <f t="shared" si="396"/>
        <v>44817.45</v>
      </c>
      <c r="AZ2323" s="1853">
        <v>0.91</v>
      </c>
    </row>
    <row r="2324" spans="42:52">
      <c r="AP2324" s="1855">
        <f t="shared" si="397"/>
        <v>44817</v>
      </c>
      <c r="AQ2324" s="925" t="str">
        <f t="shared" si="399"/>
        <v/>
      </c>
      <c r="AR2324" s="1856" t="str">
        <f t="shared" si="398"/>
        <v/>
      </c>
      <c r="AS2324" s="927" t="s">
        <v>252</v>
      </c>
      <c r="AT2324" s="1856" t="str">
        <f t="shared" si="391"/>
        <v/>
      </c>
      <c r="AU2324" s="1856" t="str">
        <f t="shared" si="392"/>
        <v/>
      </c>
      <c r="AV2324" s="1856" t="str">
        <f t="shared" si="393"/>
        <v/>
      </c>
      <c r="AW2324" s="1856" t="str">
        <f t="shared" si="394"/>
        <v/>
      </c>
      <c r="AX2324" s="1856" t="str">
        <f t="shared" si="395"/>
        <v/>
      </c>
      <c r="AY2324" s="1856" t="str">
        <f t="shared" si="396"/>
        <v/>
      </c>
    </row>
    <row r="2325" spans="42:52">
      <c r="AP2325" s="1855">
        <f t="shared" si="397"/>
        <v>44817</v>
      </c>
      <c r="AQ2325" s="925" t="str">
        <f t="shared" si="399"/>
        <v/>
      </c>
      <c r="AR2325" s="1856" t="str">
        <f t="shared" si="398"/>
        <v/>
      </c>
      <c r="AT2325" s="1856" t="str">
        <f t="shared" si="391"/>
        <v/>
      </c>
      <c r="AU2325" s="1856" t="str">
        <f t="shared" si="392"/>
        <v/>
      </c>
      <c r="AV2325" s="1856" t="str">
        <f t="shared" si="393"/>
        <v/>
      </c>
      <c r="AW2325" s="1856" t="str">
        <f t="shared" si="394"/>
        <v/>
      </c>
      <c r="AX2325" s="1856" t="str">
        <f t="shared" si="395"/>
        <v/>
      </c>
      <c r="AY2325" s="1856" t="str">
        <f t="shared" si="396"/>
        <v/>
      </c>
    </row>
    <row r="2326" spans="42:52">
      <c r="AP2326" s="1855">
        <f t="shared" si="397"/>
        <v>44817</v>
      </c>
      <c r="AQ2326" s="925" t="str">
        <f t="shared" si="399"/>
        <v>BMNT</v>
      </c>
      <c r="AR2326" s="1856">
        <f t="shared" si="398"/>
        <v>44817.268055555556</v>
      </c>
      <c r="AS2326" s="927" t="s">
        <v>1417</v>
      </c>
      <c r="AT2326" s="1856" t="str">
        <f t="shared" si="391"/>
        <v/>
      </c>
      <c r="AU2326" s="1856" t="str">
        <f t="shared" si="392"/>
        <v/>
      </c>
      <c r="AV2326" s="1856" t="str">
        <f t="shared" si="393"/>
        <v/>
      </c>
      <c r="AW2326" s="1856" t="str">
        <f t="shared" si="394"/>
        <v/>
      </c>
      <c r="AX2326" s="1856" t="str">
        <f t="shared" si="395"/>
        <v/>
      </c>
      <c r="AY2326" s="1856" t="str">
        <f t="shared" si="396"/>
        <v/>
      </c>
    </row>
    <row r="2327" spans="42:52">
      <c r="AP2327" s="1855">
        <f t="shared" si="397"/>
        <v>44817</v>
      </c>
      <c r="AQ2327" s="925" t="str">
        <f t="shared" si="399"/>
        <v>SR</v>
      </c>
      <c r="AR2327" s="1856">
        <f t="shared" si="398"/>
        <v>44817.308333333334</v>
      </c>
      <c r="AS2327" s="927" t="s">
        <v>1412</v>
      </c>
      <c r="AT2327" s="1856" t="str">
        <f t="shared" si="391"/>
        <v/>
      </c>
      <c r="AU2327" s="1856" t="str">
        <f t="shared" si="392"/>
        <v/>
      </c>
      <c r="AV2327" s="1856" t="str">
        <f t="shared" si="393"/>
        <v/>
      </c>
      <c r="AW2327" s="1856" t="str">
        <f t="shared" si="394"/>
        <v/>
      </c>
      <c r="AX2327" s="1856" t="str">
        <f t="shared" si="395"/>
        <v/>
      </c>
      <c r="AY2327" s="1856" t="str">
        <f t="shared" si="396"/>
        <v/>
      </c>
    </row>
    <row r="2328" spans="42:52">
      <c r="AP2328" s="1855">
        <f t="shared" si="397"/>
        <v>44817</v>
      </c>
      <c r="AQ2328" s="925" t="str">
        <f t="shared" si="399"/>
        <v>MS</v>
      </c>
      <c r="AR2328" s="1856">
        <f t="shared" si="398"/>
        <v>44817.45</v>
      </c>
      <c r="AS2328" s="927" t="s">
        <v>2127</v>
      </c>
      <c r="AT2328" s="1856" t="str">
        <f t="shared" si="391"/>
        <v/>
      </c>
      <c r="AU2328" s="1856" t="str">
        <f t="shared" si="392"/>
        <v/>
      </c>
      <c r="AV2328" s="1856" t="str">
        <f t="shared" si="393"/>
        <v/>
      </c>
      <c r="AW2328" s="1856" t="str">
        <f t="shared" si="394"/>
        <v/>
      </c>
      <c r="AX2328" s="1856" t="str">
        <f t="shared" si="395"/>
        <v/>
      </c>
      <c r="AY2328" s="1856" t="str">
        <f t="shared" si="396"/>
        <v/>
      </c>
    </row>
    <row r="2329" spans="42:52">
      <c r="AP2329" s="1855">
        <f t="shared" si="397"/>
        <v>44817</v>
      </c>
      <c r="AQ2329" s="925" t="str">
        <f t="shared" si="399"/>
        <v>SS</v>
      </c>
      <c r="AR2329" s="1856">
        <f t="shared" si="398"/>
        <v>44817.830555555556</v>
      </c>
      <c r="AS2329" s="927" t="s">
        <v>1550</v>
      </c>
      <c r="AT2329" s="1856" t="str">
        <f t="shared" si="391"/>
        <v/>
      </c>
      <c r="AU2329" s="1856" t="str">
        <f t="shared" si="392"/>
        <v/>
      </c>
      <c r="AV2329" s="1856" t="str">
        <f t="shared" si="393"/>
        <v/>
      </c>
      <c r="AW2329" s="1856" t="str">
        <f t="shared" si="394"/>
        <v/>
      </c>
      <c r="AX2329" s="1856" t="str">
        <f t="shared" si="395"/>
        <v/>
      </c>
      <c r="AY2329" s="1856" t="str">
        <f t="shared" si="396"/>
        <v/>
      </c>
    </row>
    <row r="2330" spans="42:52">
      <c r="AP2330" s="1855">
        <f t="shared" si="397"/>
        <v>44817</v>
      </c>
      <c r="AQ2330" s="925" t="str">
        <f t="shared" si="399"/>
        <v>EENT</v>
      </c>
      <c r="AR2330" s="1856">
        <f t="shared" si="398"/>
        <v>44817.870833333334</v>
      </c>
      <c r="AS2330" s="927" t="s">
        <v>1555</v>
      </c>
      <c r="AT2330" s="1856" t="str">
        <f t="shared" si="391"/>
        <v/>
      </c>
      <c r="AU2330" s="1856" t="str">
        <f t="shared" si="392"/>
        <v/>
      </c>
      <c r="AV2330" s="1856" t="str">
        <f t="shared" si="393"/>
        <v/>
      </c>
      <c r="AW2330" s="1856" t="str">
        <f t="shared" si="394"/>
        <v/>
      </c>
      <c r="AX2330" s="1856" t="str">
        <f t="shared" si="395"/>
        <v/>
      </c>
      <c r="AY2330" s="1856" t="str">
        <f t="shared" si="396"/>
        <v/>
      </c>
    </row>
    <row r="2331" spans="42:52">
      <c r="AP2331" s="1855">
        <f t="shared" si="397"/>
        <v>44817</v>
      </c>
      <c r="AQ2331" s="925" t="str">
        <f t="shared" si="399"/>
        <v>MR</v>
      </c>
      <c r="AR2331" s="1856">
        <f t="shared" si="398"/>
        <v>44817.911805555559</v>
      </c>
      <c r="AS2331" s="927" t="s">
        <v>2128</v>
      </c>
      <c r="AT2331" s="1856" t="str">
        <f t="shared" si="391"/>
        <v/>
      </c>
      <c r="AU2331" s="1856" t="str">
        <f t="shared" si="392"/>
        <v/>
      </c>
      <c r="AV2331" s="1856" t="str">
        <f t="shared" si="393"/>
        <v/>
      </c>
      <c r="AW2331" s="1856" t="str">
        <f t="shared" si="394"/>
        <v/>
      </c>
      <c r="AX2331" s="1856" t="str">
        <f t="shared" si="395"/>
        <v/>
      </c>
      <c r="AY2331" s="1856" t="str">
        <f t="shared" si="396"/>
        <v/>
      </c>
    </row>
    <row r="2332" spans="42:52">
      <c r="AP2332" s="1855">
        <f t="shared" si="397"/>
        <v>44818</v>
      </c>
      <c r="AQ2332" s="925" t="str">
        <f t="shared" si="399"/>
        <v/>
      </c>
      <c r="AR2332" s="1856" t="str">
        <f t="shared" si="398"/>
        <v/>
      </c>
      <c r="AS2332" s="927">
        <v>14</v>
      </c>
      <c r="AT2332" s="1856">
        <f t="shared" ref="AT2332:AT2395" si="400">IF(ISNUMBER(AS2332),INDEX(AR2333:AR2343,MATCH($AT$27,AQ2333:AQ2343,0)),"")</f>
        <v>44818.268750000003</v>
      </c>
      <c r="AU2332" s="1856">
        <f t="shared" ref="AU2332:AU2395" si="401">IF(AT2332="","",INDEX(AR2333:AR2343,MATCH($AU$27,AQ2333:AQ2343,0)))</f>
        <v>44818.308333333334</v>
      </c>
      <c r="AV2332" s="1856">
        <f t="shared" ref="AV2332:AV2395" si="402">IF(AT2332="","",INDEX(AR2333:AR2343,MATCH($AV$27,AQ2333:AQ2343,0)))</f>
        <v>44818.829861111109</v>
      </c>
      <c r="AW2332" s="1856">
        <f t="shared" ref="AW2332:AW2395" si="403">IF(AT2332="","",INDEX(AR2333:AR2343,MATCH($AW$27,AQ2333:AQ2343,0)))</f>
        <v>44818.869444444448</v>
      </c>
      <c r="AX2332" s="1856">
        <f t="shared" ref="AX2332:AX2395" si="404">IF(AT2332="","",INDEX(AR2333:AR2343,MATCH($AX$27,AQ2333:AQ2343,0)))</f>
        <v>44818.931944444441</v>
      </c>
      <c r="AY2332" s="1856">
        <f t="shared" ref="AY2332:AY2395" si="405">IF(AT2332="","",INDEX(AR2333:AR2343,MATCH($AY$27,AQ2333:AQ2343,0)))</f>
        <v>44818.495833333334</v>
      </c>
      <c r="AZ2332" s="1853">
        <v>0.84</v>
      </c>
    </row>
    <row r="2333" spans="42:52">
      <c r="AP2333" s="1855">
        <f t="shared" si="397"/>
        <v>44818</v>
      </c>
      <c r="AQ2333" s="925" t="str">
        <f t="shared" si="399"/>
        <v/>
      </c>
      <c r="AR2333" s="1856" t="str">
        <f t="shared" si="398"/>
        <v/>
      </c>
      <c r="AS2333" s="927" t="s">
        <v>252</v>
      </c>
      <c r="AT2333" s="1856" t="str">
        <f t="shared" si="400"/>
        <v/>
      </c>
      <c r="AU2333" s="1856" t="str">
        <f t="shared" si="401"/>
        <v/>
      </c>
      <c r="AV2333" s="1856" t="str">
        <f t="shared" si="402"/>
        <v/>
      </c>
      <c r="AW2333" s="1856" t="str">
        <f t="shared" si="403"/>
        <v/>
      </c>
      <c r="AX2333" s="1856" t="str">
        <f t="shared" si="404"/>
        <v/>
      </c>
      <c r="AY2333" s="1856" t="str">
        <f t="shared" si="405"/>
        <v/>
      </c>
    </row>
    <row r="2334" spans="42:52">
      <c r="AP2334" s="1855">
        <f t="shared" si="397"/>
        <v>44818</v>
      </c>
      <c r="AQ2334" s="925" t="str">
        <f t="shared" si="399"/>
        <v/>
      </c>
      <c r="AR2334" s="1856" t="str">
        <f t="shared" si="398"/>
        <v/>
      </c>
      <c r="AT2334" s="1856" t="str">
        <f t="shared" si="400"/>
        <v/>
      </c>
      <c r="AU2334" s="1856" t="str">
        <f t="shared" si="401"/>
        <v/>
      </c>
      <c r="AV2334" s="1856" t="str">
        <f t="shared" si="402"/>
        <v/>
      </c>
      <c r="AW2334" s="1856" t="str">
        <f t="shared" si="403"/>
        <v/>
      </c>
      <c r="AX2334" s="1856" t="str">
        <f t="shared" si="404"/>
        <v/>
      </c>
      <c r="AY2334" s="1856" t="str">
        <f t="shared" si="405"/>
        <v/>
      </c>
    </row>
    <row r="2335" spans="42:52">
      <c r="AP2335" s="1855">
        <f t="shared" si="397"/>
        <v>44818</v>
      </c>
      <c r="AQ2335" s="925" t="str">
        <f t="shared" si="399"/>
        <v>BMNT</v>
      </c>
      <c r="AR2335" s="1856">
        <f t="shared" si="398"/>
        <v>44818.268750000003</v>
      </c>
      <c r="AS2335" s="927" t="s">
        <v>1411</v>
      </c>
      <c r="AT2335" s="1856" t="str">
        <f t="shared" si="400"/>
        <v/>
      </c>
      <c r="AU2335" s="1856" t="str">
        <f t="shared" si="401"/>
        <v/>
      </c>
      <c r="AV2335" s="1856" t="str">
        <f t="shared" si="402"/>
        <v/>
      </c>
      <c r="AW2335" s="1856" t="str">
        <f t="shared" si="403"/>
        <v/>
      </c>
      <c r="AX2335" s="1856" t="str">
        <f t="shared" si="404"/>
        <v/>
      </c>
      <c r="AY2335" s="1856" t="str">
        <f t="shared" si="405"/>
        <v/>
      </c>
    </row>
    <row r="2336" spans="42:52">
      <c r="AP2336" s="1855">
        <f t="shared" si="397"/>
        <v>44818</v>
      </c>
      <c r="AQ2336" s="925" t="str">
        <f t="shared" si="399"/>
        <v>SR</v>
      </c>
      <c r="AR2336" s="1856">
        <f t="shared" si="398"/>
        <v>44818.308333333334</v>
      </c>
      <c r="AS2336" s="927" t="s">
        <v>1412</v>
      </c>
      <c r="AT2336" s="1856" t="str">
        <f t="shared" si="400"/>
        <v/>
      </c>
      <c r="AU2336" s="1856" t="str">
        <f t="shared" si="401"/>
        <v/>
      </c>
      <c r="AV2336" s="1856" t="str">
        <f t="shared" si="402"/>
        <v/>
      </c>
      <c r="AW2336" s="1856" t="str">
        <f t="shared" si="403"/>
        <v/>
      </c>
      <c r="AX2336" s="1856" t="str">
        <f t="shared" si="404"/>
        <v/>
      </c>
      <c r="AY2336" s="1856" t="str">
        <f t="shared" si="405"/>
        <v/>
      </c>
    </row>
    <row r="2337" spans="42:52">
      <c r="AP2337" s="1855">
        <f t="shared" si="397"/>
        <v>44818</v>
      </c>
      <c r="AQ2337" s="925" t="str">
        <f t="shared" si="399"/>
        <v>MS</v>
      </c>
      <c r="AR2337" s="1856">
        <f t="shared" si="398"/>
        <v>44818.495833333334</v>
      </c>
      <c r="AS2337" s="927" t="s">
        <v>2129</v>
      </c>
      <c r="AT2337" s="1856" t="str">
        <f t="shared" si="400"/>
        <v/>
      </c>
      <c r="AU2337" s="1856" t="str">
        <f t="shared" si="401"/>
        <v/>
      </c>
      <c r="AV2337" s="1856" t="str">
        <f t="shared" si="402"/>
        <v/>
      </c>
      <c r="AW2337" s="1856" t="str">
        <f t="shared" si="403"/>
        <v/>
      </c>
      <c r="AX2337" s="1856" t="str">
        <f t="shared" si="404"/>
        <v/>
      </c>
      <c r="AY2337" s="1856" t="str">
        <f t="shared" si="405"/>
        <v/>
      </c>
    </row>
    <row r="2338" spans="42:52">
      <c r="AP2338" s="1855">
        <f t="shared" si="397"/>
        <v>44818</v>
      </c>
      <c r="AQ2338" s="925" t="str">
        <f t="shared" si="399"/>
        <v>SS</v>
      </c>
      <c r="AR2338" s="1856">
        <f t="shared" si="398"/>
        <v>44818.829861111109</v>
      </c>
      <c r="AS2338" s="927" t="s">
        <v>1547</v>
      </c>
      <c r="AT2338" s="1856" t="str">
        <f t="shared" si="400"/>
        <v/>
      </c>
      <c r="AU2338" s="1856" t="str">
        <f t="shared" si="401"/>
        <v/>
      </c>
      <c r="AV2338" s="1856" t="str">
        <f t="shared" si="402"/>
        <v/>
      </c>
      <c r="AW2338" s="1856" t="str">
        <f t="shared" si="403"/>
        <v/>
      </c>
      <c r="AX2338" s="1856" t="str">
        <f t="shared" si="404"/>
        <v/>
      </c>
      <c r="AY2338" s="1856" t="str">
        <f t="shared" si="405"/>
        <v/>
      </c>
    </row>
    <row r="2339" spans="42:52">
      <c r="AP2339" s="1855">
        <f t="shared" si="397"/>
        <v>44818</v>
      </c>
      <c r="AQ2339" s="925" t="str">
        <f t="shared" si="399"/>
        <v>EENT</v>
      </c>
      <c r="AR2339" s="1856">
        <f t="shared" si="398"/>
        <v>44818.869444444448</v>
      </c>
      <c r="AS2339" s="927" t="s">
        <v>1548</v>
      </c>
      <c r="AT2339" s="1856" t="str">
        <f t="shared" si="400"/>
        <v/>
      </c>
      <c r="AU2339" s="1856" t="str">
        <f t="shared" si="401"/>
        <v/>
      </c>
      <c r="AV2339" s="1856" t="str">
        <f t="shared" si="402"/>
        <v/>
      </c>
      <c r="AW2339" s="1856" t="str">
        <f t="shared" si="403"/>
        <v/>
      </c>
      <c r="AX2339" s="1856" t="str">
        <f t="shared" si="404"/>
        <v/>
      </c>
      <c r="AY2339" s="1856" t="str">
        <f t="shared" si="405"/>
        <v/>
      </c>
    </row>
    <row r="2340" spans="42:52">
      <c r="AP2340" s="1855">
        <f t="shared" si="397"/>
        <v>44818</v>
      </c>
      <c r="AQ2340" s="925" t="str">
        <f t="shared" si="399"/>
        <v>MR</v>
      </c>
      <c r="AR2340" s="1856">
        <f t="shared" si="398"/>
        <v>44818.931944444441</v>
      </c>
      <c r="AS2340" s="927" t="s">
        <v>2130</v>
      </c>
      <c r="AT2340" s="1856" t="str">
        <f t="shared" si="400"/>
        <v/>
      </c>
      <c r="AU2340" s="1856" t="str">
        <f t="shared" si="401"/>
        <v/>
      </c>
      <c r="AV2340" s="1856" t="str">
        <f t="shared" si="402"/>
        <v/>
      </c>
      <c r="AW2340" s="1856" t="str">
        <f t="shared" si="403"/>
        <v/>
      </c>
      <c r="AX2340" s="1856" t="str">
        <f t="shared" si="404"/>
        <v/>
      </c>
      <c r="AY2340" s="1856" t="str">
        <f t="shared" si="405"/>
        <v/>
      </c>
    </row>
    <row r="2341" spans="42:52">
      <c r="AP2341" s="1855">
        <f t="shared" ref="AP2341:AP2404" si="406">IF(ISNUMBER(AS2341),AP2340+1,AP2340)</f>
        <v>44819</v>
      </c>
      <c r="AQ2341" s="925" t="str">
        <f t="shared" si="399"/>
        <v/>
      </c>
      <c r="AR2341" s="1856" t="str">
        <f t="shared" si="398"/>
        <v/>
      </c>
      <c r="AS2341" s="927">
        <v>15</v>
      </c>
      <c r="AT2341" s="1856">
        <f t="shared" si="400"/>
        <v>44819.269444444442</v>
      </c>
      <c r="AU2341" s="1856">
        <f t="shared" si="401"/>
        <v>44819.309027777774</v>
      </c>
      <c r="AV2341" s="1856">
        <f t="shared" si="402"/>
        <v>44819.828472222223</v>
      </c>
      <c r="AW2341" s="1856">
        <f t="shared" si="403"/>
        <v>44819.868750000001</v>
      </c>
      <c r="AX2341" s="1856">
        <f t="shared" si="404"/>
        <v>44819.954166666663</v>
      </c>
      <c r="AY2341" s="1856">
        <f t="shared" si="405"/>
        <v>44819.540277777778</v>
      </c>
      <c r="AZ2341" s="1853">
        <v>0.75</v>
      </c>
    </row>
    <row r="2342" spans="42:52">
      <c r="AP2342" s="1855">
        <f t="shared" si="406"/>
        <v>44819</v>
      </c>
      <c r="AQ2342" s="925" t="str">
        <f t="shared" si="399"/>
        <v/>
      </c>
      <c r="AR2342" s="1856" t="str">
        <f t="shared" si="398"/>
        <v/>
      </c>
      <c r="AS2342" s="927" t="s">
        <v>252</v>
      </c>
      <c r="AT2342" s="1856" t="str">
        <f t="shared" si="400"/>
        <v/>
      </c>
      <c r="AU2342" s="1856" t="str">
        <f t="shared" si="401"/>
        <v/>
      </c>
      <c r="AV2342" s="1856" t="str">
        <f t="shared" si="402"/>
        <v/>
      </c>
      <c r="AW2342" s="1856" t="str">
        <f t="shared" si="403"/>
        <v/>
      </c>
      <c r="AX2342" s="1856" t="str">
        <f t="shared" si="404"/>
        <v/>
      </c>
      <c r="AY2342" s="1856" t="str">
        <f t="shared" si="405"/>
        <v/>
      </c>
    </row>
    <row r="2343" spans="42:52">
      <c r="AP2343" s="1855">
        <f t="shared" si="406"/>
        <v>44819</v>
      </c>
      <c r="AQ2343" s="925" t="str">
        <f t="shared" si="399"/>
        <v/>
      </c>
      <c r="AR2343" s="1856" t="str">
        <f t="shared" si="398"/>
        <v/>
      </c>
      <c r="AT2343" s="1856" t="str">
        <f t="shared" si="400"/>
        <v/>
      </c>
      <c r="AU2343" s="1856" t="str">
        <f t="shared" si="401"/>
        <v/>
      </c>
      <c r="AV2343" s="1856" t="str">
        <f t="shared" si="402"/>
        <v/>
      </c>
      <c r="AW2343" s="1856" t="str">
        <f t="shared" si="403"/>
        <v/>
      </c>
      <c r="AX2343" s="1856" t="str">
        <f t="shared" si="404"/>
        <v/>
      </c>
      <c r="AY2343" s="1856" t="str">
        <f t="shared" si="405"/>
        <v/>
      </c>
    </row>
    <row r="2344" spans="42:52">
      <c r="AP2344" s="1855">
        <f t="shared" si="406"/>
        <v>44819</v>
      </c>
      <c r="AQ2344" s="925" t="str">
        <f t="shared" si="399"/>
        <v>BMNT</v>
      </c>
      <c r="AR2344" s="1856">
        <f t="shared" si="398"/>
        <v>44819.269444444442</v>
      </c>
      <c r="AS2344" s="927" t="s">
        <v>1405</v>
      </c>
      <c r="AT2344" s="1856" t="str">
        <f t="shared" si="400"/>
        <v/>
      </c>
      <c r="AU2344" s="1856" t="str">
        <f t="shared" si="401"/>
        <v/>
      </c>
      <c r="AV2344" s="1856" t="str">
        <f t="shared" si="402"/>
        <v/>
      </c>
      <c r="AW2344" s="1856" t="str">
        <f t="shared" si="403"/>
        <v/>
      </c>
      <c r="AX2344" s="1856" t="str">
        <f t="shared" si="404"/>
        <v/>
      </c>
      <c r="AY2344" s="1856" t="str">
        <f t="shared" si="405"/>
        <v/>
      </c>
    </row>
    <row r="2345" spans="42:52">
      <c r="AP2345" s="1855">
        <f t="shared" si="406"/>
        <v>44819</v>
      </c>
      <c r="AQ2345" s="925" t="str">
        <f t="shared" si="399"/>
        <v>SR</v>
      </c>
      <c r="AR2345" s="1856">
        <f t="shared" ref="AR2345:AR2408" si="407">IF(NOT(ISNUMBER(FIND(":",AS2345))),"",IF(ISNUMBER(FIND(" none",AS2345)),"NONE",AP2345+LEFT(RIGHT(AS2345,5),2)/24+RIGHT(AS2345,2)/1440))</f>
        <v>44819.309027777774</v>
      </c>
      <c r="AS2345" s="927" t="s">
        <v>1406</v>
      </c>
      <c r="AT2345" s="1856" t="str">
        <f t="shared" si="400"/>
        <v/>
      </c>
      <c r="AU2345" s="1856" t="str">
        <f t="shared" si="401"/>
        <v/>
      </c>
      <c r="AV2345" s="1856" t="str">
        <f t="shared" si="402"/>
        <v/>
      </c>
      <c r="AW2345" s="1856" t="str">
        <f t="shared" si="403"/>
        <v/>
      </c>
      <c r="AX2345" s="1856" t="str">
        <f t="shared" si="404"/>
        <v/>
      </c>
      <c r="AY2345" s="1856" t="str">
        <f t="shared" si="405"/>
        <v/>
      </c>
    </row>
    <row r="2346" spans="42:52">
      <c r="AP2346" s="1855">
        <f t="shared" si="406"/>
        <v>44819</v>
      </c>
      <c r="AQ2346" s="925" t="str">
        <f t="shared" si="399"/>
        <v>MS</v>
      </c>
      <c r="AR2346" s="1856">
        <f t="shared" si="407"/>
        <v>44819.540277777778</v>
      </c>
      <c r="AS2346" s="927" t="s">
        <v>2131</v>
      </c>
      <c r="AT2346" s="1856" t="str">
        <f t="shared" si="400"/>
        <v/>
      </c>
      <c r="AU2346" s="1856" t="str">
        <f t="shared" si="401"/>
        <v/>
      </c>
      <c r="AV2346" s="1856" t="str">
        <f t="shared" si="402"/>
        <v/>
      </c>
      <c r="AW2346" s="1856" t="str">
        <f t="shared" si="403"/>
        <v/>
      </c>
      <c r="AX2346" s="1856" t="str">
        <f t="shared" si="404"/>
        <v/>
      </c>
      <c r="AY2346" s="1856" t="str">
        <f t="shared" si="405"/>
        <v/>
      </c>
    </row>
    <row r="2347" spans="42:52">
      <c r="AP2347" s="1855">
        <f t="shared" si="406"/>
        <v>44819</v>
      </c>
      <c r="AQ2347" s="925" t="str">
        <f t="shared" si="399"/>
        <v>SS</v>
      </c>
      <c r="AR2347" s="1856">
        <f t="shared" si="407"/>
        <v>44819.828472222223</v>
      </c>
      <c r="AS2347" s="927" t="s">
        <v>1540</v>
      </c>
      <c r="AT2347" s="1856" t="str">
        <f t="shared" si="400"/>
        <v/>
      </c>
      <c r="AU2347" s="1856" t="str">
        <f t="shared" si="401"/>
        <v/>
      </c>
      <c r="AV2347" s="1856" t="str">
        <f t="shared" si="402"/>
        <v/>
      </c>
      <c r="AW2347" s="1856" t="str">
        <f t="shared" si="403"/>
        <v/>
      </c>
      <c r="AX2347" s="1856" t="str">
        <f t="shared" si="404"/>
        <v/>
      </c>
      <c r="AY2347" s="1856" t="str">
        <f t="shared" si="405"/>
        <v/>
      </c>
    </row>
    <row r="2348" spans="42:52">
      <c r="AP2348" s="1855">
        <f t="shared" si="406"/>
        <v>44819</v>
      </c>
      <c r="AQ2348" s="925" t="str">
        <f t="shared" si="399"/>
        <v>EENT</v>
      </c>
      <c r="AR2348" s="1856">
        <f t="shared" si="407"/>
        <v>44819.868750000001</v>
      </c>
      <c r="AS2348" s="927" t="s">
        <v>1544</v>
      </c>
      <c r="AT2348" s="1856" t="str">
        <f t="shared" si="400"/>
        <v/>
      </c>
      <c r="AU2348" s="1856" t="str">
        <f t="shared" si="401"/>
        <v/>
      </c>
      <c r="AV2348" s="1856" t="str">
        <f t="shared" si="402"/>
        <v/>
      </c>
      <c r="AW2348" s="1856" t="str">
        <f t="shared" si="403"/>
        <v/>
      </c>
      <c r="AX2348" s="1856" t="str">
        <f t="shared" si="404"/>
        <v/>
      </c>
      <c r="AY2348" s="1856" t="str">
        <f t="shared" si="405"/>
        <v/>
      </c>
    </row>
    <row r="2349" spans="42:52">
      <c r="AP2349" s="1855">
        <f t="shared" si="406"/>
        <v>44819</v>
      </c>
      <c r="AQ2349" s="925" t="str">
        <f t="shared" si="399"/>
        <v>MR</v>
      </c>
      <c r="AR2349" s="1856">
        <f t="shared" si="407"/>
        <v>44819.954166666663</v>
      </c>
      <c r="AS2349" s="927" t="s">
        <v>2132</v>
      </c>
      <c r="AT2349" s="1856" t="str">
        <f t="shared" si="400"/>
        <v/>
      </c>
      <c r="AU2349" s="1856" t="str">
        <f t="shared" si="401"/>
        <v/>
      </c>
      <c r="AV2349" s="1856" t="str">
        <f t="shared" si="402"/>
        <v/>
      </c>
      <c r="AW2349" s="1856" t="str">
        <f t="shared" si="403"/>
        <v/>
      </c>
      <c r="AX2349" s="1856" t="str">
        <f t="shared" si="404"/>
        <v/>
      </c>
      <c r="AY2349" s="1856" t="str">
        <f t="shared" si="405"/>
        <v/>
      </c>
    </row>
    <row r="2350" spans="42:52">
      <c r="AP2350" s="1855">
        <f t="shared" si="406"/>
        <v>44820</v>
      </c>
      <c r="AQ2350" s="925" t="str">
        <f t="shared" si="399"/>
        <v/>
      </c>
      <c r="AR2350" s="1856" t="str">
        <f t="shared" si="407"/>
        <v/>
      </c>
      <c r="AS2350" s="927">
        <v>16</v>
      </c>
      <c r="AT2350" s="1856">
        <f t="shared" si="400"/>
        <v>44820.270138888889</v>
      </c>
      <c r="AU2350" s="1856">
        <f t="shared" si="401"/>
        <v>44820.30972222222</v>
      </c>
      <c r="AV2350" s="1856">
        <f t="shared" si="402"/>
        <v>44820.827777777777</v>
      </c>
      <c r="AW2350" s="1856">
        <f t="shared" si="403"/>
        <v>44820.867361111115</v>
      </c>
      <c r="AX2350" s="1856">
        <f t="shared" si="404"/>
        <v>44820.980555555558</v>
      </c>
      <c r="AY2350" s="1856">
        <f t="shared" si="405"/>
        <v>44820.583333333336</v>
      </c>
      <c r="AZ2350" s="1853">
        <v>0.66</v>
      </c>
    </row>
    <row r="2351" spans="42:52">
      <c r="AP2351" s="1855">
        <f t="shared" si="406"/>
        <v>44820</v>
      </c>
      <c r="AQ2351" s="925" t="str">
        <f t="shared" si="399"/>
        <v/>
      </c>
      <c r="AR2351" s="1856" t="str">
        <f t="shared" si="407"/>
        <v/>
      </c>
      <c r="AS2351" s="927" t="s">
        <v>252</v>
      </c>
      <c r="AT2351" s="1856" t="str">
        <f t="shared" si="400"/>
        <v/>
      </c>
      <c r="AU2351" s="1856" t="str">
        <f t="shared" si="401"/>
        <v/>
      </c>
      <c r="AV2351" s="1856" t="str">
        <f t="shared" si="402"/>
        <v/>
      </c>
      <c r="AW2351" s="1856" t="str">
        <f t="shared" si="403"/>
        <v/>
      </c>
      <c r="AX2351" s="1856" t="str">
        <f t="shared" si="404"/>
        <v/>
      </c>
      <c r="AY2351" s="1856" t="str">
        <f t="shared" si="405"/>
        <v/>
      </c>
    </row>
    <row r="2352" spans="42:52">
      <c r="AP2352" s="1855">
        <f t="shared" si="406"/>
        <v>44820</v>
      </c>
      <c r="AQ2352" s="925" t="str">
        <f t="shared" si="399"/>
        <v/>
      </c>
      <c r="AR2352" s="1856" t="str">
        <f t="shared" si="407"/>
        <v/>
      </c>
      <c r="AT2352" s="1856" t="str">
        <f t="shared" si="400"/>
        <v/>
      </c>
      <c r="AU2352" s="1856" t="str">
        <f t="shared" si="401"/>
        <v/>
      </c>
      <c r="AV2352" s="1856" t="str">
        <f t="shared" si="402"/>
        <v/>
      </c>
      <c r="AW2352" s="1856" t="str">
        <f t="shared" si="403"/>
        <v/>
      </c>
      <c r="AX2352" s="1856" t="str">
        <f t="shared" si="404"/>
        <v/>
      </c>
      <c r="AY2352" s="1856" t="str">
        <f t="shared" si="405"/>
        <v/>
      </c>
    </row>
    <row r="2353" spans="42:52">
      <c r="AP2353" s="1855">
        <f t="shared" si="406"/>
        <v>44820</v>
      </c>
      <c r="AQ2353" s="925" t="str">
        <f t="shared" si="399"/>
        <v>BMNT</v>
      </c>
      <c r="AR2353" s="1856">
        <f t="shared" si="407"/>
        <v>44820.270138888889</v>
      </c>
      <c r="AS2353" s="927" t="s">
        <v>1601</v>
      </c>
      <c r="AT2353" s="1856" t="str">
        <f t="shared" si="400"/>
        <v/>
      </c>
      <c r="AU2353" s="1856" t="str">
        <f t="shared" si="401"/>
        <v/>
      </c>
      <c r="AV2353" s="1856" t="str">
        <f t="shared" si="402"/>
        <v/>
      </c>
      <c r="AW2353" s="1856" t="str">
        <f t="shared" si="403"/>
        <v/>
      </c>
      <c r="AX2353" s="1856" t="str">
        <f t="shared" si="404"/>
        <v/>
      </c>
      <c r="AY2353" s="1856" t="str">
        <f t="shared" si="405"/>
        <v/>
      </c>
    </row>
    <row r="2354" spans="42:52">
      <c r="AP2354" s="1855">
        <f t="shared" si="406"/>
        <v>44820</v>
      </c>
      <c r="AQ2354" s="925" t="str">
        <f t="shared" si="399"/>
        <v>SR</v>
      </c>
      <c r="AR2354" s="1856">
        <f t="shared" si="407"/>
        <v>44820.30972222222</v>
      </c>
      <c r="AS2354" s="927" t="s">
        <v>2133</v>
      </c>
      <c r="AT2354" s="1856" t="str">
        <f t="shared" si="400"/>
        <v/>
      </c>
      <c r="AU2354" s="1856" t="str">
        <f t="shared" si="401"/>
        <v/>
      </c>
      <c r="AV2354" s="1856" t="str">
        <f t="shared" si="402"/>
        <v/>
      </c>
      <c r="AW2354" s="1856" t="str">
        <f t="shared" si="403"/>
        <v/>
      </c>
      <c r="AX2354" s="1856" t="str">
        <f t="shared" si="404"/>
        <v/>
      </c>
      <c r="AY2354" s="1856" t="str">
        <f t="shared" si="405"/>
        <v/>
      </c>
    </row>
    <row r="2355" spans="42:52">
      <c r="AP2355" s="1855">
        <f t="shared" si="406"/>
        <v>44820</v>
      </c>
      <c r="AQ2355" s="925" t="str">
        <f t="shared" si="399"/>
        <v>MS</v>
      </c>
      <c r="AR2355" s="1856">
        <f t="shared" si="407"/>
        <v>44820.583333333336</v>
      </c>
      <c r="AS2355" s="927" t="s">
        <v>2134</v>
      </c>
      <c r="AT2355" s="1856" t="str">
        <f t="shared" si="400"/>
        <v/>
      </c>
      <c r="AU2355" s="1856" t="str">
        <f t="shared" si="401"/>
        <v/>
      </c>
      <c r="AV2355" s="1856" t="str">
        <f t="shared" si="402"/>
        <v/>
      </c>
      <c r="AW2355" s="1856" t="str">
        <f t="shared" si="403"/>
        <v/>
      </c>
      <c r="AX2355" s="1856" t="str">
        <f t="shared" si="404"/>
        <v/>
      </c>
      <c r="AY2355" s="1856" t="str">
        <f t="shared" si="405"/>
        <v/>
      </c>
    </row>
    <row r="2356" spans="42:52">
      <c r="AP2356" s="1855">
        <f t="shared" si="406"/>
        <v>44820</v>
      </c>
      <c r="AQ2356" s="925" t="str">
        <f t="shared" ref="AQ2356:AQ2419" si="408">IF(NOT(ISNUMBER(FIND(":",AS2356))),"",IF(ISNUMBER(FIND("Sunr",AS2356)),"SR", IF(ISNUMBER(FIND("Suns",AS2356)),"SS",IF(ISNUMBER(FIND("Moonr",AS2356)),"MR",IF(ISNUMBER(FIND("Moons",AS2356)),"MS",IF(ISNUMBER(FIND("Twi",AS2356)),IF(HOUR(AR2356)&lt;12,"BMNT","EENT")))))))</f>
        <v>SS</v>
      </c>
      <c r="AR2356" s="1856">
        <f t="shared" si="407"/>
        <v>44820.827777777777</v>
      </c>
      <c r="AS2356" s="927" t="s">
        <v>1537</v>
      </c>
      <c r="AT2356" s="1856" t="str">
        <f t="shared" si="400"/>
        <v/>
      </c>
      <c r="AU2356" s="1856" t="str">
        <f t="shared" si="401"/>
        <v/>
      </c>
      <c r="AV2356" s="1856" t="str">
        <f t="shared" si="402"/>
        <v/>
      </c>
      <c r="AW2356" s="1856" t="str">
        <f t="shared" si="403"/>
        <v/>
      </c>
      <c r="AX2356" s="1856" t="str">
        <f t="shared" si="404"/>
        <v/>
      </c>
      <c r="AY2356" s="1856" t="str">
        <f t="shared" si="405"/>
        <v/>
      </c>
    </row>
    <row r="2357" spans="42:52">
      <c r="AP2357" s="1855">
        <f t="shared" si="406"/>
        <v>44820</v>
      </c>
      <c r="AQ2357" s="925" t="str">
        <f t="shared" si="408"/>
        <v>EENT</v>
      </c>
      <c r="AR2357" s="1856">
        <f t="shared" si="407"/>
        <v>44820.867361111115</v>
      </c>
      <c r="AS2357" s="927" t="s">
        <v>1538</v>
      </c>
      <c r="AT2357" s="1856" t="str">
        <f t="shared" si="400"/>
        <v/>
      </c>
      <c r="AU2357" s="1856" t="str">
        <f t="shared" si="401"/>
        <v/>
      </c>
      <c r="AV2357" s="1856" t="str">
        <f t="shared" si="402"/>
        <v/>
      </c>
      <c r="AW2357" s="1856" t="str">
        <f t="shared" si="403"/>
        <v/>
      </c>
      <c r="AX2357" s="1856" t="str">
        <f t="shared" si="404"/>
        <v/>
      </c>
      <c r="AY2357" s="1856" t="str">
        <f t="shared" si="405"/>
        <v/>
      </c>
    </row>
    <row r="2358" spans="42:52">
      <c r="AP2358" s="1855">
        <f t="shared" si="406"/>
        <v>44820</v>
      </c>
      <c r="AQ2358" s="925" t="str">
        <f t="shared" si="408"/>
        <v>MR</v>
      </c>
      <c r="AR2358" s="1856">
        <f t="shared" si="407"/>
        <v>44820.980555555558</v>
      </c>
      <c r="AS2358" s="927" t="s">
        <v>2135</v>
      </c>
      <c r="AT2358" s="1856" t="str">
        <f t="shared" si="400"/>
        <v/>
      </c>
      <c r="AU2358" s="1856" t="str">
        <f t="shared" si="401"/>
        <v/>
      </c>
      <c r="AV2358" s="1856" t="str">
        <f t="shared" si="402"/>
        <v/>
      </c>
      <c r="AW2358" s="1856" t="str">
        <f t="shared" si="403"/>
        <v/>
      </c>
      <c r="AX2358" s="1856" t="str">
        <f t="shared" si="404"/>
        <v/>
      </c>
      <c r="AY2358" s="1856" t="str">
        <f t="shared" si="405"/>
        <v/>
      </c>
    </row>
    <row r="2359" spans="42:52">
      <c r="AP2359" s="1855">
        <f t="shared" si="406"/>
        <v>44821</v>
      </c>
      <c r="AQ2359" s="925" t="str">
        <f t="shared" si="408"/>
        <v/>
      </c>
      <c r="AR2359" s="1856" t="str">
        <f t="shared" si="407"/>
        <v/>
      </c>
      <c r="AS2359" s="927">
        <v>17</v>
      </c>
      <c r="AT2359" s="1856">
        <f t="shared" si="400"/>
        <v>44821.270833333336</v>
      </c>
      <c r="AU2359" s="1856">
        <f t="shared" si="401"/>
        <v>44821.310416666667</v>
      </c>
      <c r="AV2359" s="1856">
        <f t="shared" si="402"/>
        <v>44821.826388888883</v>
      </c>
      <c r="AW2359" s="1856">
        <f t="shared" si="403"/>
        <v>44821.865972222222</v>
      </c>
      <c r="AX2359" s="1856" t="str">
        <f t="shared" si="404"/>
        <v>NONE</v>
      </c>
      <c r="AY2359" s="1856">
        <f t="shared" si="405"/>
        <v>44821.625</v>
      </c>
      <c r="AZ2359" s="1853">
        <v>0.56999999999999995</v>
      </c>
    </row>
    <row r="2360" spans="42:52">
      <c r="AP2360" s="1855">
        <f t="shared" si="406"/>
        <v>44821</v>
      </c>
      <c r="AQ2360" s="925" t="str">
        <f t="shared" si="408"/>
        <v/>
      </c>
      <c r="AR2360" s="1856" t="str">
        <f t="shared" si="407"/>
        <v/>
      </c>
      <c r="AS2360" s="927" t="s">
        <v>252</v>
      </c>
      <c r="AT2360" s="1856" t="str">
        <f t="shared" si="400"/>
        <v/>
      </c>
      <c r="AU2360" s="1856" t="str">
        <f t="shared" si="401"/>
        <v/>
      </c>
      <c r="AV2360" s="1856" t="str">
        <f t="shared" si="402"/>
        <v/>
      </c>
      <c r="AW2360" s="1856" t="str">
        <f t="shared" si="403"/>
        <v/>
      </c>
      <c r="AX2360" s="1856" t="str">
        <f t="shared" si="404"/>
        <v/>
      </c>
      <c r="AY2360" s="1856" t="str">
        <f t="shared" si="405"/>
        <v/>
      </c>
    </row>
    <row r="2361" spans="42:52">
      <c r="AP2361" s="1855">
        <f t="shared" si="406"/>
        <v>44821</v>
      </c>
      <c r="AQ2361" s="925" t="str">
        <f t="shared" si="408"/>
        <v/>
      </c>
      <c r="AR2361" s="1856" t="str">
        <f t="shared" si="407"/>
        <v/>
      </c>
      <c r="AT2361" s="1856" t="str">
        <f t="shared" si="400"/>
        <v/>
      </c>
      <c r="AU2361" s="1856" t="str">
        <f t="shared" si="401"/>
        <v/>
      </c>
      <c r="AV2361" s="1856" t="str">
        <f t="shared" si="402"/>
        <v/>
      </c>
      <c r="AW2361" s="1856" t="str">
        <f t="shared" si="403"/>
        <v/>
      </c>
      <c r="AX2361" s="1856" t="str">
        <f t="shared" si="404"/>
        <v/>
      </c>
      <c r="AY2361" s="1856" t="str">
        <f t="shared" si="405"/>
        <v/>
      </c>
    </row>
    <row r="2362" spans="42:52">
      <c r="AP2362" s="1855">
        <f t="shared" si="406"/>
        <v>44821</v>
      </c>
      <c r="AQ2362" s="925" t="str">
        <f t="shared" si="408"/>
        <v>BMNT</v>
      </c>
      <c r="AR2362" s="1856">
        <f t="shared" si="407"/>
        <v>44821.270833333336</v>
      </c>
      <c r="AS2362" s="927" t="s">
        <v>1399</v>
      </c>
      <c r="AT2362" s="1856" t="str">
        <f t="shared" si="400"/>
        <v/>
      </c>
      <c r="AU2362" s="1856" t="str">
        <f t="shared" si="401"/>
        <v/>
      </c>
      <c r="AV2362" s="1856" t="str">
        <f t="shared" si="402"/>
        <v/>
      </c>
      <c r="AW2362" s="1856" t="str">
        <f t="shared" si="403"/>
        <v/>
      </c>
      <c r="AX2362" s="1856" t="str">
        <f t="shared" si="404"/>
        <v/>
      </c>
      <c r="AY2362" s="1856" t="str">
        <f t="shared" si="405"/>
        <v/>
      </c>
    </row>
    <row r="2363" spans="42:52">
      <c r="AP2363" s="1855">
        <f t="shared" si="406"/>
        <v>44821</v>
      </c>
      <c r="AQ2363" s="925" t="str">
        <f t="shared" si="408"/>
        <v>SR</v>
      </c>
      <c r="AR2363" s="1856">
        <f t="shared" si="407"/>
        <v>44821.310416666667</v>
      </c>
      <c r="AS2363" s="927" t="s">
        <v>1400</v>
      </c>
      <c r="AT2363" s="1856" t="str">
        <f t="shared" si="400"/>
        <v/>
      </c>
      <c r="AU2363" s="1856" t="str">
        <f t="shared" si="401"/>
        <v/>
      </c>
      <c r="AV2363" s="1856" t="str">
        <f t="shared" si="402"/>
        <v/>
      </c>
      <c r="AW2363" s="1856" t="str">
        <f t="shared" si="403"/>
        <v/>
      </c>
      <c r="AX2363" s="1856" t="str">
        <f t="shared" si="404"/>
        <v/>
      </c>
      <c r="AY2363" s="1856" t="str">
        <f t="shared" si="405"/>
        <v/>
      </c>
    </row>
    <row r="2364" spans="42:52">
      <c r="AP2364" s="1855">
        <f t="shared" si="406"/>
        <v>44821</v>
      </c>
      <c r="AQ2364" s="925" t="str">
        <f t="shared" si="408"/>
        <v>MS</v>
      </c>
      <c r="AR2364" s="1856">
        <f t="shared" si="407"/>
        <v>44821.625</v>
      </c>
      <c r="AS2364" s="927" t="s">
        <v>2136</v>
      </c>
      <c r="AT2364" s="1856" t="str">
        <f t="shared" si="400"/>
        <v/>
      </c>
      <c r="AU2364" s="1856" t="str">
        <f t="shared" si="401"/>
        <v/>
      </c>
      <c r="AV2364" s="1856" t="str">
        <f t="shared" si="402"/>
        <v/>
      </c>
      <c r="AW2364" s="1856" t="str">
        <f t="shared" si="403"/>
        <v/>
      </c>
      <c r="AX2364" s="1856" t="str">
        <f t="shared" si="404"/>
        <v/>
      </c>
      <c r="AY2364" s="1856" t="str">
        <f t="shared" si="405"/>
        <v/>
      </c>
    </row>
    <row r="2365" spans="42:52">
      <c r="AP2365" s="1855">
        <f t="shared" si="406"/>
        <v>44821</v>
      </c>
      <c r="AQ2365" s="925" t="str">
        <f t="shared" si="408"/>
        <v>SS</v>
      </c>
      <c r="AR2365" s="1856">
        <f t="shared" si="407"/>
        <v>44821.826388888883</v>
      </c>
      <c r="AS2365" s="927" t="s">
        <v>1529</v>
      </c>
      <c r="AT2365" s="1856" t="str">
        <f t="shared" si="400"/>
        <v/>
      </c>
      <c r="AU2365" s="1856" t="str">
        <f t="shared" si="401"/>
        <v/>
      </c>
      <c r="AV2365" s="1856" t="str">
        <f t="shared" si="402"/>
        <v/>
      </c>
      <c r="AW2365" s="1856" t="str">
        <f t="shared" si="403"/>
        <v/>
      </c>
      <c r="AX2365" s="1856" t="str">
        <f t="shared" si="404"/>
        <v/>
      </c>
      <c r="AY2365" s="1856" t="str">
        <f t="shared" si="405"/>
        <v/>
      </c>
    </row>
    <row r="2366" spans="42:52">
      <c r="AP2366" s="1855">
        <f t="shared" si="406"/>
        <v>44821</v>
      </c>
      <c r="AQ2366" s="925" t="str">
        <f t="shared" si="408"/>
        <v>EENT</v>
      </c>
      <c r="AR2366" s="1856">
        <f t="shared" si="407"/>
        <v>44821.865972222222</v>
      </c>
      <c r="AS2366" s="927" t="s">
        <v>1530</v>
      </c>
      <c r="AT2366" s="1856" t="str">
        <f t="shared" si="400"/>
        <v/>
      </c>
      <c r="AU2366" s="1856" t="str">
        <f t="shared" si="401"/>
        <v/>
      </c>
      <c r="AV2366" s="1856" t="str">
        <f t="shared" si="402"/>
        <v/>
      </c>
      <c r="AW2366" s="1856" t="str">
        <f t="shared" si="403"/>
        <v/>
      </c>
      <c r="AX2366" s="1856" t="str">
        <f t="shared" si="404"/>
        <v/>
      </c>
      <c r="AY2366" s="1856" t="str">
        <f t="shared" si="405"/>
        <v/>
      </c>
    </row>
    <row r="2367" spans="42:52">
      <c r="AP2367" s="1855">
        <f t="shared" si="406"/>
        <v>44821</v>
      </c>
      <c r="AQ2367" s="925" t="str">
        <f t="shared" si="408"/>
        <v>MR</v>
      </c>
      <c r="AR2367" s="1856" t="str">
        <f t="shared" si="407"/>
        <v>NONE</v>
      </c>
      <c r="AS2367" s="927" t="s">
        <v>1153</v>
      </c>
      <c r="AT2367" s="1856" t="str">
        <f t="shared" si="400"/>
        <v/>
      </c>
      <c r="AU2367" s="1856" t="str">
        <f t="shared" si="401"/>
        <v/>
      </c>
      <c r="AV2367" s="1856" t="str">
        <f t="shared" si="402"/>
        <v/>
      </c>
      <c r="AW2367" s="1856" t="str">
        <f t="shared" si="403"/>
        <v/>
      </c>
      <c r="AX2367" s="1856" t="str">
        <f t="shared" si="404"/>
        <v/>
      </c>
      <c r="AY2367" s="1856" t="str">
        <f t="shared" si="405"/>
        <v/>
      </c>
    </row>
    <row r="2368" spans="42:52">
      <c r="AP2368" s="1855">
        <f t="shared" si="406"/>
        <v>44822</v>
      </c>
      <c r="AQ2368" s="925" t="str">
        <f t="shared" si="408"/>
        <v/>
      </c>
      <c r="AR2368" s="1856" t="str">
        <f t="shared" si="407"/>
        <v/>
      </c>
      <c r="AS2368" s="927">
        <v>18</v>
      </c>
      <c r="AT2368" s="1856">
        <f t="shared" si="400"/>
        <v>44822.271527777775</v>
      </c>
      <c r="AU2368" s="1856">
        <f t="shared" si="401"/>
        <v>44822.311111111107</v>
      </c>
      <c r="AV2368" s="1856">
        <f t="shared" si="402"/>
        <v>44822.824999999997</v>
      </c>
      <c r="AW2368" s="1856">
        <f t="shared" si="403"/>
        <v>44822.865277777782</v>
      </c>
      <c r="AX2368" s="1856">
        <f t="shared" si="404"/>
        <v>44822.010416666664</v>
      </c>
      <c r="AY2368" s="1856">
        <f t="shared" si="405"/>
        <v>44822.662499999999</v>
      </c>
      <c r="AZ2368" s="1853">
        <v>0.47</v>
      </c>
    </row>
    <row r="2369" spans="42:52">
      <c r="AP2369" s="1855">
        <f t="shared" si="406"/>
        <v>44822</v>
      </c>
      <c r="AQ2369" s="925" t="str">
        <f t="shared" si="408"/>
        <v/>
      </c>
      <c r="AR2369" s="1856" t="str">
        <f t="shared" si="407"/>
        <v/>
      </c>
      <c r="AS2369" s="927" t="s">
        <v>252</v>
      </c>
      <c r="AT2369" s="1856" t="str">
        <f t="shared" si="400"/>
        <v/>
      </c>
      <c r="AU2369" s="1856" t="str">
        <f t="shared" si="401"/>
        <v/>
      </c>
      <c r="AV2369" s="1856" t="str">
        <f t="shared" si="402"/>
        <v/>
      </c>
      <c r="AW2369" s="1856" t="str">
        <f t="shared" si="403"/>
        <v/>
      </c>
      <c r="AX2369" s="1856" t="str">
        <f t="shared" si="404"/>
        <v/>
      </c>
      <c r="AY2369" s="1856" t="str">
        <f t="shared" si="405"/>
        <v/>
      </c>
    </row>
    <row r="2370" spans="42:52">
      <c r="AP2370" s="1855">
        <f t="shared" si="406"/>
        <v>44822</v>
      </c>
      <c r="AQ2370" s="925" t="str">
        <f t="shared" si="408"/>
        <v/>
      </c>
      <c r="AR2370" s="1856" t="str">
        <f t="shared" si="407"/>
        <v/>
      </c>
      <c r="AT2370" s="1856" t="str">
        <f t="shared" si="400"/>
        <v/>
      </c>
      <c r="AU2370" s="1856" t="str">
        <f t="shared" si="401"/>
        <v/>
      </c>
      <c r="AV2370" s="1856" t="str">
        <f t="shared" si="402"/>
        <v/>
      </c>
      <c r="AW2370" s="1856" t="str">
        <f t="shared" si="403"/>
        <v/>
      </c>
      <c r="AX2370" s="1856" t="str">
        <f t="shared" si="404"/>
        <v/>
      </c>
      <c r="AY2370" s="1856" t="str">
        <f t="shared" si="405"/>
        <v/>
      </c>
    </row>
    <row r="2371" spans="42:52">
      <c r="AP2371" s="1855">
        <f t="shared" si="406"/>
        <v>44822</v>
      </c>
      <c r="AQ2371" s="925" t="str">
        <f t="shared" si="408"/>
        <v>MR</v>
      </c>
      <c r="AR2371" s="1856">
        <f t="shared" si="407"/>
        <v>44822.010416666664</v>
      </c>
      <c r="AS2371" s="927" t="s">
        <v>2137</v>
      </c>
      <c r="AT2371" s="1856" t="str">
        <f t="shared" si="400"/>
        <v/>
      </c>
      <c r="AU2371" s="1856" t="str">
        <f t="shared" si="401"/>
        <v/>
      </c>
      <c r="AV2371" s="1856" t="str">
        <f t="shared" si="402"/>
        <v/>
      </c>
      <c r="AW2371" s="1856" t="str">
        <f t="shared" si="403"/>
        <v/>
      </c>
      <c r="AX2371" s="1856" t="str">
        <f t="shared" si="404"/>
        <v/>
      </c>
      <c r="AY2371" s="1856" t="str">
        <f t="shared" si="405"/>
        <v/>
      </c>
    </row>
    <row r="2372" spans="42:52">
      <c r="AP2372" s="1855">
        <f t="shared" si="406"/>
        <v>44822</v>
      </c>
      <c r="AQ2372" s="925" t="str">
        <f t="shared" si="408"/>
        <v>BMNT</v>
      </c>
      <c r="AR2372" s="1856">
        <f t="shared" si="407"/>
        <v>44822.271527777775</v>
      </c>
      <c r="AS2372" s="927" t="s">
        <v>1393</v>
      </c>
      <c r="AT2372" s="1856" t="str">
        <f t="shared" si="400"/>
        <v/>
      </c>
      <c r="AU2372" s="1856" t="str">
        <f t="shared" si="401"/>
        <v/>
      </c>
      <c r="AV2372" s="1856" t="str">
        <f t="shared" si="402"/>
        <v/>
      </c>
      <c r="AW2372" s="1856" t="str">
        <f t="shared" si="403"/>
        <v/>
      </c>
      <c r="AX2372" s="1856" t="str">
        <f t="shared" si="404"/>
        <v/>
      </c>
      <c r="AY2372" s="1856" t="str">
        <f t="shared" si="405"/>
        <v/>
      </c>
    </row>
    <row r="2373" spans="42:52">
      <c r="AP2373" s="1855">
        <f t="shared" si="406"/>
        <v>44822</v>
      </c>
      <c r="AQ2373" s="925" t="str">
        <f t="shared" si="408"/>
        <v>SR</v>
      </c>
      <c r="AR2373" s="1856">
        <f t="shared" si="407"/>
        <v>44822.311111111107</v>
      </c>
      <c r="AS2373" s="927" t="s">
        <v>1394</v>
      </c>
      <c r="AT2373" s="1856" t="str">
        <f t="shared" si="400"/>
        <v/>
      </c>
      <c r="AU2373" s="1856" t="str">
        <f t="shared" si="401"/>
        <v/>
      </c>
      <c r="AV2373" s="1856" t="str">
        <f t="shared" si="402"/>
        <v/>
      </c>
      <c r="AW2373" s="1856" t="str">
        <f t="shared" si="403"/>
        <v/>
      </c>
      <c r="AX2373" s="1856" t="str">
        <f t="shared" si="404"/>
        <v/>
      </c>
      <c r="AY2373" s="1856" t="str">
        <f t="shared" si="405"/>
        <v/>
      </c>
    </row>
    <row r="2374" spans="42:52">
      <c r="AP2374" s="1855">
        <f t="shared" si="406"/>
        <v>44822</v>
      </c>
      <c r="AQ2374" s="925" t="str">
        <f t="shared" si="408"/>
        <v>MS</v>
      </c>
      <c r="AR2374" s="1856">
        <f t="shared" si="407"/>
        <v>44822.662499999999</v>
      </c>
      <c r="AS2374" s="927" t="s">
        <v>2138</v>
      </c>
      <c r="AT2374" s="1856" t="str">
        <f t="shared" si="400"/>
        <v/>
      </c>
      <c r="AU2374" s="1856" t="str">
        <f t="shared" si="401"/>
        <v/>
      </c>
      <c r="AV2374" s="1856" t="str">
        <f t="shared" si="402"/>
        <v/>
      </c>
      <c r="AW2374" s="1856" t="str">
        <f t="shared" si="403"/>
        <v/>
      </c>
      <c r="AX2374" s="1856" t="str">
        <f t="shared" si="404"/>
        <v/>
      </c>
      <c r="AY2374" s="1856" t="str">
        <f t="shared" si="405"/>
        <v/>
      </c>
    </row>
    <row r="2375" spans="42:52">
      <c r="AP2375" s="1855">
        <f t="shared" si="406"/>
        <v>44822</v>
      </c>
      <c r="AQ2375" s="925" t="str">
        <f t="shared" si="408"/>
        <v>SS</v>
      </c>
      <c r="AR2375" s="1856">
        <f t="shared" si="407"/>
        <v>44822.824999999997</v>
      </c>
      <c r="AS2375" s="927" t="s">
        <v>1519</v>
      </c>
      <c r="AT2375" s="1856" t="str">
        <f t="shared" si="400"/>
        <v/>
      </c>
      <c r="AU2375" s="1856" t="str">
        <f t="shared" si="401"/>
        <v/>
      </c>
      <c r="AV2375" s="1856" t="str">
        <f t="shared" si="402"/>
        <v/>
      </c>
      <c r="AW2375" s="1856" t="str">
        <f t="shared" si="403"/>
        <v/>
      </c>
      <c r="AX2375" s="1856" t="str">
        <f t="shared" si="404"/>
        <v/>
      </c>
      <c r="AY2375" s="1856" t="str">
        <f t="shared" si="405"/>
        <v/>
      </c>
    </row>
    <row r="2376" spans="42:52">
      <c r="AP2376" s="1855">
        <f t="shared" si="406"/>
        <v>44822</v>
      </c>
      <c r="AQ2376" s="925" t="str">
        <f t="shared" si="408"/>
        <v>EENT</v>
      </c>
      <c r="AR2376" s="1856">
        <f t="shared" si="407"/>
        <v>44822.865277777782</v>
      </c>
      <c r="AS2376" s="927" t="s">
        <v>1525</v>
      </c>
      <c r="AT2376" s="1856" t="str">
        <f t="shared" si="400"/>
        <v/>
      </c>
      <c r="AU2376" s="1856" t="str">
        <f t="shared" si="401"/>
        <v/>
      </c>
      <c r="AV2376" s="1856" t="str">
        <f t="shared" si="402"/>
        <v/>
      </c>
      <c r="AW2376" s="1856" t="str">
        <f t="shared" si="403"/>
        <v/>
      </c>
      <c r="AX2376" s="1856" t="str">
        <f t="shared" si="404"/>
        <v/>
      </c>
      <c r="AY2376" s="1856" t="str">
        <f t="shared" si="405"/>
        <v/>
      </c>
    </row>
    <row r="2377" spans="42:52">
      <c r="AP2377" s="1855">
        <f t="shared" si="406"/>
        <v>44823</v>
      </c>
      <c r="AQ2377" s="925" t="str">
        <f t="shared" si="408"/>
        <v/>
      </c>
      <c r="AR2377" s="1856" t="str">
        <f t="shared" si="407"/>
        <v/>
      </c>
      <c r="AS2377" s="927">
        <v>19</v>
      </c>
      <c r="AT2377" s="1856">
        <f t="shared" si="400"/>
        <v>44823.272222222222</v>
      </c>
      <c r="AU2377" s="1856">
        <f t="shared" si="401"/>
        <v>44823.311805555553</v>
      </c>
      <c r="AV2377" s="1856">
        <f t="shared" si="402"/>
        <v>44823.82430555555</v>
      </c>
      <c r="AW2377" s="1856">
        <f t="shared" si="403"/>
        <v>44823.863888888889</v>
      </c>
      <c r="AX2377" s="1856">
        <f t="shared" si="404"/>
        <v>44823.045138888883</v>
      </c>
      <c r="AY2377" s="1856">
        <f t="shared" si="405"/>
        <v>44823.696527777778</v>
      </c>
      <c r="AZ2377" s="1853">
        <v>0.38</v>
      </c>
    </row>
    <row r="2378" spans="42:52">
      <c r="AP2378" s="1855">
        <f t="shared" si="406"/>
        <v>44823</v>
      </c>
      <c r="AQ2378" s="925" t="str">
        <f t="shared" si="408"/>
        <v/>
      </c>
      <c r="AR2378" s="1856" t="str">
        <f t="shared" si="407"/>
        <v/>
      </c>
      <c r="AS2378" s="927" t="s">
        <v>252</v>
      </c>
      <c r="AT2378" s="1856" t="str">
        <f t="shared" si="400"/>
        <v/>
      </c>
      <c r="AU2378" s="1856" t="str">
        <f t="shared" si="401"/>
        <v/>
      </c>
      <c r="AV2378" s="1856" t="str">
        <f t="shared" si="402"/>
        <v/>
      </c>
      <c r="AW2378" s="1856" t="str">
        <f t="shared" si="403"/>
        <v/>
      </c>
      <c r="AX2378" s="1856" t="str">
        <f t="shared" si="404"/>
        <v/>
      </c>
      <c r="AY2378" s="1856" t="str">
        <f t="shared" si="405"/>
        <v/>
      </c>
    </row>
    <row r="2379" spans="42:52">
      <c r="AP2379" s="1855">
        <f t="shared" si="406"/>
        <v>44823</v>
      </c>
      <c r="AQ2379" s="925" t="str">
        <f t="shared" si="408"/>
        <v/>
      </c>
      <c r="AR2379" s="1856" t="str">
        <f t="shared" si="407"/>
        <v/>
      </c>
      <c r="AT2379" s="1856" t="str">
        <f t="shared" si="400"/>
        <v/>
      </c>
      <c r="AU2379" s="1856" t="str">
        <f t="shared" si="401"/>
        <v/>
      </c>
      <c r="AV2379" s="1856" t="str">
        <f t="shared" si="402"/>
        <v/>
      </c>
      <c r="AW2379" s="1856" t="str">
        <f t="shared" si="403"/>
        <v/>
      </c>
      <c r="AX2379" s="1856" t="str">
        <f t="shared" si="404"/>
        <v/>
      </c>
      <c r="AY2379" s="1856" t="str">
        <f t="shared" si="405"/>
        <v/>
      </c>
    </row>
    <row r="2380" spans="42:52">
      <c r="AP2380" s="1855">
        <f t="shared" si="406"/>
        <v>44823</v>
      </c>
      <c r="AQ2380" s="925" t="str">
        <f t="shared" si="408"/>
        <v>MR</v>
      </c>
      <c r="AR2380" s="1856">
        <f t="shared" si="407"/>
        <v>44823.045138888883</v>
      </c>
      <c r="AS2380" s="927" t="s">
        <v>2139</v>
      </c>
      <c r="AT2380" s="1856" t="str">
        <f t="shared" si="400"/>
        <v/>
      </c>
      <c r="AU2380" s="1856" t="str">
        <f t="shared" si="401"/>
        <v/>
      </c>
      <c r="AV2380" s="1856" t="str">
        <f t="shared" si="402"/>
        <v/>
      </c>
      <c r="AW2380" s="1856" t="str">
        <f t="shared" si="403"/>
        <v/>
      </c>
      <c r="AX2380" s="1856" t="str">
        <f t="shared" si="404"/>
        <v/>
      </c>
      <c r="AY2380" s="1856" t="str">
        <f t="shared" si="405"/>
        <v/>
      </c>
    </row>
    <row r="2381" spans="42:52">
      <c r="AP2381" s="1855">
        <f t="shared" si="406"/>
        <v>44823</v>
      </c>
      <c r="AQ2381" s="925" t="str">
        <f t="shared" si="408"/>
        <v>BMNT</v>
      </c>
      <c r="AR2381" s="1856">
        <f t="shared" si="407"/>
        <v>44823.272222222222</v>
      </c>
      <c r="AS2381" s="927" t="s">
        <v>1387</v>
      </c>
      <c r="AT2381" s="1856" t="str">
        <f t="shared" si="400"/>
        <v/>
      </c>
      <c r="AU2381" s="1856" t="str">
        <f t="shared" si="401"/>
        <v/>
      </c>
      <c r="AV2381" s="1856" t="str">
        <f t="shared" si="402"/>
        <v/>
      </c>
      <c r="AW2381" s="1856" t="str">
        <f t="shared" si="403"/>
        <v/>
      </c>
      <c r="AX2381" s="1856" t="str">
        <f t="shared" si="404"/>
        <v/>
      </c>
      <c r="AY2381" s="1856" t="str">
        <f t="shared" si="405"/>
        <v/>
      </c>
    </row>
    <row r="2382" spans="42:52">
      <c r="AP2382" s="1855">
        <f t="shared" si="406"/>
        <v>44823</v>
      </c>
      <c r="AQ2382" s="925" t="str">
        <f t="shared" si="408"/>
        <v>SR</v>
      </c>
      <c r="AR2382" s="1856">
        <f t="shared" si="407"/>
        <v>44823.311805555553</v>
      </c>
      <c r="AS2382" s="927" t="s">
        <v>1388</v>
      </c>
      <c r="AT2382" s="1856" t="str">
        <f t="shared" si="400"/>
        <v/>
      </c>
      <c r="AU2382" s="1856" t="str">
        <f t="shared" si="401"/>
        <v/>
      </c>
      <c r="AV2382" s="1856" t="str">
        <f t="shared" si="402"/>
        <v/>
      </c>
      <c r="AW2382" s="1856" t="str">
        <f t="shared" si="403"/>
        <v/>
      </c>
      <c r="AX2382" s="1856" t="str">
        <f t="shared" si="404"/>
        <v/>
      </c>
      <c r="AY2382" s="1856" t="str">
        <f t="shared" si="405"/>
        <v/>
      </c>
    </row>
    <row r="2383" spans="42:52">
      <c r="AP2383" s="1855">
        <f t="shared" si="406"/>
        <v>44823</v>
      </c>
      <c r="AQ2383" s="925" t="str">
        <f t="shared" si="408"/>
        <v>MS</v>
      </c>
      <c r="AR2383" s="1856">
        <f t="shared" si="407"/>
        <v>44823.696527777778</v>
      </c>
      <c r="AS2383" s="927" t="s">
        <v>2140</v>
      </c>
      <c r="AT2383" s="1856" t="str">
        <f t="shared" si="400"/>
        <v/>
      </c>
      <c r="AU2383" s="1856" t="str">
        <f t="shared" si="401"/>
        <v/>
      </c>
      <c r="AV2383" s="1856" t="str">
        <f t="shared" si="402"/>
        <v/>
      </c>
      <c r="AW2383" s="1856" t="str">
        <f t="shared" si="403"/>
        <v/>
      </c>
      <c r="AX2383" s="1856" t="str">
        <f t="shared" si="404"/>
        <v/>
      </c>
      <c r="AY2383" s="1856" t="str">
        <f t="shared" si="405"/>
        <v/>
      </c>
    </row>
    <row r="2384" spans="42:52">
      <c r="AP2384" s="1855">
        <f t="shared" si="406"/>
        <v>44823</v>
      </c>
      <c r="AQ2384" s="925" t="str">
        <f t="shared" si="408"/>
        <v>SS</v>
      </c>
      <c r="AR2384" s="1856">
        <f t="shared" si="407"/>
        <v>44823.82430555555</v>
      </c>
      <c r="AS2384" s="927" t="s">
        <v>2141</v>
      </c>
      <c r="AT2384" s="1856" t="str">
        <f t="shared" si="400"/>
        <v/>
      </c>
      <c r="AU2384" s="1856" t="str">
        <f t="shared" si="401"/>
        <v/>
      </c>
      <c r="AV2384" s="1856" t="str">
        <f t="shared" si="402"/>
        <v/>
      </c>
      <c r="AW2384" s="1856" t="str">
        <f t="shared" si="403"/>
        <v/>
      </c>
      <c r="AX2384" s="1856" t="str">
        <f t="shared" si="404"/>
        <v/>
      </c>
      <c r="AY2384" s="1856" t="str">
        <f t="shared" si="405"/>
        <v/>
      </c>
    </row>
    <row r="2385" spans="42:52">
      <c r="AP2385" s="1855">
        <f t="shared" si="406"/>
        <v>44823</v>
      </c>
      <c r="AQ2385" s="925" t="str">
        <f t="shared" si="408"/>
        <v>EENT</v>
      </c>
      <c r="AR2385" s="1856">
        <f t="shared" si="407"/>
        <v>44823.863888888889</v>
      </c>
      <c r="AS2385" s="927" t="s">
        <v>2142</v>
      </c>
      <c r="AT2385" s="1856" t="str">
        <f t="shared" si="400"/>
        <v/>
      </c>
      <c r="AU2385" s="1856" t="str">
        <f t="shared" si="401"/>
        <v/>
      </c>
      <c r="AV2385" s="1856" t="str">
        <f t="shared" si="402"/>
        <v/>
      </c>
      <c r="AW2385" s="1856" t="str">
        <f t="shared" si="403"/>
        <v/>
      </c>
      <c r="AX2385" s="1856" t="str">
        <f t="shared" si="404"/>
        <v/>
      </c>
      <c r="AY2385" s="1856" t="str">
        <f t="shared" si="405"/>
        <v/>
      </c>
    </row>
    <row r="2386" spans="42:52">
      <c r="AP2386" s="1855">
        <f t="shared" si="406"/>
        <v>44824</v>
      </c>
      <c r="AQ2386" s="925" t="str">
        <f t="shared" si="408"/>
        <v/>
      </c>
      <c r="AR2386" s="1856" t="str">
        <f t="shared" si="407"/>
        <v/>
      </c>
      <c r="AS2386" s="927">
        <v>20</v>
      </c>
      <c r="AT2386" s="1856">
        <f t="shared" si="400"/>
        <v>44824.272916666669</v>
      </c>
      <c r="AU2386" s="1856">
        <f t="shared" si="401"/>
        <v>44824.3125</v>
      </c>
      <c r="AV2386" s="1856">
        <f t="shared" si="402"/>
        <v>44824.822916666664</v>
      </c>
      <c r="AW2386" s="1856">
        <f t="shared" si="403"/>
        <v>44824.862500000003</v>
      </c>
      <c r="AX2386" s="1856">
        <f t="shared" si="404"/>
        <v>44824.083333333336</v>
      </c>
      <c r="AY2386" s="1856">
        <f t="shared" si="405"/>
        <v>44824.725694444445</v>
      </c>
      <c r="AZ2386" s="1853">
        <v>0.28999999999999998</v>
      </c>
    </row>
    <row r="2387" spans="42:52">
      <c r="AP2387" s="1855">
        <f t="shared" si="406"/>
        <v>44824</v>
      </c>
      <c r="AQ2387" s="925" t="str">
        <f t="shared" si="408"/>
        <v/>
      </c>
      <c r="AR2387" s="1856" t="str">
        <f t="shared" si="407"/>
        <v/>
      </c>
      <c r="AS2387" s="927" t="s">
        <v>252</v>
      </c>
      <c r="AT2387" s="1856" t="str">
        <f t="shared" si="400"/>
        <v/>
      </c>
      <c r="AU2387" s="1856" t="str">
        <f t="shared" si="401"/>
        <v/>
      </c>
      <c r="AV2387" s="1856" t="str">
        <f t="shared" si="402"/>
        <v/>
      </c>
      <c r="AW2387" s="1856" t="str">
        <f t="shared" si="403"/>
        <v/>
      </c>
      <c r="AX2387" s="1856" t="str">
        <f t="shared" si="404"/>
        <v/>
      </c>
      <c r="AY2387" s="1856" t="str">
        <f t="shared" si="405"/>
        <v/>
      </c>
    </row>
    <row r="2388" spans="42:52">
      <c r="AP2388" s="1855">
        <f t="shared" si="406"/>
        <v>44824</v>
      </c>
      <c r="AQ2388" s="925" t="str">
        <f t="shared" si="408"/>
        <v/>
      </c>
      <c r="AR2388" s="1856" t="str">
        <f t="shared" si="407"/>
        <v/>
      </c>
      <c r="AT2388" s="1856" t="str">
        <f t="shared" si="400"/>
        <v/>
      </c>
      <c r="AU2388" s="1856" t="str">
        <f t="shared" si="401"/>
        <v/>
      </c>
      <c r="AV2388" s="1856" t="str">
        <f t="shared" si="402"/>
        <v/>
      </c>
      <c r="AW2388" s="1856" t="str">
        <f t="shared" si="403"/>
        <v/>
      </c>
      <c r="AX2388" s="1856" t="str">
        <f t="shared" si="404"/>
        <v/>
      </c>
      <c r="AY2388" s="1856" t="str">
        <f t="shared" si="405"/>
        <v/>
      </c>
    </row>
    <row r="2389" spans="42:52">
      <c r="AP2389" s="1855">
        <f t="shared" si="406"/>
        <v>44824</v>
      </c>
      <c r="AQ2389" s="925" t="str">
        <f t="shared" si="408"/>
        <v>MR</v>
      </c>
      <c r="AR2389" s="1856">
        <f t="shared" si="407"/>
        <v>44824.083333333336</v>
      </c>
      <c r="AS2389" s="927" t="s">
        <v>2143</v>
      </c>
      <c r="AT2389" s="1856" t="str">
        <f t="shared" si="400"/>
        <v/>
      </c>
      <c r="AU2389" s="1856" t="str">
        <f t="shared" si="401"/>
        <v/>
      </c>
      <c r="AV2389" s="1856" t="str">
        <f t="shared" si="402"/>
        <v/>
      </c>
      <c r="AW2389" s="1856" t="str">
        <f t="shared" si="403"/>
        <v/>
      </c>
      <c r="AX2389" s="1856" t="str">
        <f t="shared" si="404"/>
        <v/>
      </c>
      <c r="AY2389" s="1856" t="str">
        <f t="shared" si="405"/>
        <v/>
      </c>
    </row>
    <row r="2390" spans="42:52">
      <c r="AP2390" s="1855">
        <f t="shared" si="406"/>
        <v>44824</v>
      </c>
      <c r="AQ2390" s="925" t="str">
        <f t="shared" si="408"/>
        <v>BMNT</v>
      </c>
      <c r="AR2390" s="1856">
        <f t="shared" si="407"/>
        <v>44824.272916666669</v>
      </c>
      <c r="AS2390" s="927" t="s">
        <v>1383</v>
      </c>
      <c r="AT2390" s="1856" t="str">
        <f t="shared" si="400"/>
        <v/>
      </c>
      <c r="AU2390" s="1856" t="str">
        <f t="shared" si="401"/>
        <v/>
      </c>
      <c r="AV2390" s="1856" t="str">
        <f t="shared" si="402"/>
        <v/>
      </c>
      <c r="AW2390" s="1856" t="str">
        <f t="shared" si="403"/>
        <v/>
      </c>
      <c r="AX2390" s="1856" t="str">
        <f t="shared" si="404"/>
        <v/>
      </c>
      <c r="AY2390" s="1856" t="str">
        <f t="shared" si="405"/>
        <v/>
      </c>
    </row>
    <row r="2391" spans="42:52">
      <c r="AP2391" s="1855">
        <f t="shared" si="406"/>
        <v>44824</v>
      </c>
      <c r="AQ2391" s="925" t="str">
        <f t="shared" si="408"/>
        <v>SR</v>
      </c>
      <c r="AR2391" s="1856">
        <f t="shared" si="407"/>
        <v>44824.3125</v>
      </c>
      <c r="AS2391" s="927" t="s">
        <v>1592</v>
      </c>
      <c r="AT2391" s="1856" t="str">
        <f t="shared" si="400"/>
        <v/>
      </c>
      <c r="AU2391" s="1856" t="str">
        <f t="shared" si="401"/>
        <v/>
      </c>
      <c r="AV2391" s="1856" t="str">
        <f t="shared" si="402"/>
        <v/>
      </c>
      <c r="AW2391" s="1856" t="str">
        <f t="shared" si="403"/>
        <v/>
      </c>
      <c r="AX2391" s="1856" t="str">
        <f t="shared" si="404"/>
        <v/>
      </c>
      <c r="AY2391" s="1856" t="str">
        <f t="shared" si="405"/>
        <v/>
      </c>
    </row>
    <row r="2392" spans="42:52">
      <c r="AP2392" s="1855">
        <f t="shared" si="406"/>
        <v>44824</v>
      </c>
      <c r="AQ2392" s="925" t="str">
        <f t="shared" si="408"/>
        <v>MS</v>
      </c>
      <c r="AR2392" s="1856">
        <f t="shared" si="407"/>
        <v>44824.725694444445</v>
      </c>
      <c r="AS2392" s="927" t="s">
        <v>2144</v>
      </c>
      <c r="AT2392" s="1856" t="str">
        <f t="shared" si="400"/>
        <v/>
      </c>
      <c r="AU2392" s="1856" t="str">
        <f t="shared" si="401"/>
        <v/>
      </c>
      <c r="AV2392" s="1856" t="str">
        <f t="shared" si="402"/>
        <v/>
      </c>
      <c r="AW2392" s="1856" t="str">
        <f t="shared" si="403"/>
        <v/>
      </c>
      <c r="AX2392" s="1856" t="str">
        <f t="shared" si="404"/>
        <v/>
      </c>
      <c r="AY2392" s="1856" t="str">
        <f t="shared" si="405"/>
        <v/>
      </c>
    </row>
    <row r="2393" spans="42:52">
      <c r="AP2393" s="1855">
        <f t="shared" si="406"/>
        <v>44824</v>
      </c>
      <c r="AQ2393" s="925" t="str">
        <f t="shared" si="408"/>
        <v>SS</v>
      </c>
      <c r="AR2393" s="1856">
        <f t="shared" si="407"/>
        <v>44824.822916666664</v>
      </c>
      <c r="AS2393" s="927" t="s">
        <v>2145</v>
      </c>
      <c r="AT2393" s="1856" t="str">
        <f t="shared" si="400"/>
        <v/>
      </c>
      <c r="AU2393" s="1856" t="str">
        <f t="shared" si="401"/>
        <v/>
      </c>
      <c r="AV2393" s="1856" t="str">
        <f t="shared" si="402"/>
        <v/>
      </c>
      <c r="AW2393" s="1856" t="str">
        <f t="shared" si="403"/>
        <v/>
      </c>
      <c r="AX2393" s="1856" t="str">
        <f t="shared" si="404"/>
        <v/>
      </c>
      <c r="AY2393" s="1856" t="str">
        <f t="shared" si="405"/>
        <v/>
      </c>
    </row>
    <row r="2394" spans="42:52">
      <c r="AP2394" s="1855">
        <f t="shared" si="406"/>
        <v>44824</v>
      </c>
      <c r="AQ2394" s="925" t="str">
        <f t="shared" si="408"/>
        <v>EENT</v>
      </c>
      <c r="AR2394" s="1856">
        <f t="shared" si="407"/>
        <v>44824.862500000003</v>
      </c>
      <c r="AS2394" s="927" t="s">
        <v>2146</v>
      </c>
      <c r="AT2394" s="1856" t="str">
        <f t="shared" si="400"/>
        <v/>
      </c>
      <c r="AU2394" s="1856" t="str">
        <f t="shared" si="401"/>
        <v/>
      </c>
      <c r="AV2394" s="1856" t="str">
        <f t="shared" si="402"/>
        <v/>
      </c>
      <c r="AW2394" s="1856" t="str">
        <f t="shared" si="403"/>
        <v/>
      </c>
      <c r="AX2394" s="1856" t="str">
        <f t="shared" si="404"/>
        <v/>
      </c>
      <c r="AY2394" s="1856" t="str">
        <f t="shared" si="405"/>
        <v/>
      </c>
    </row>
    <row r="2395" spans="42:52">
      <c r="AP2395" s="1855">
        <f t="shared" si="406"/>
        <v>44825</v>
      </c>
      <c r="AQ2395" s="925" t="str">
        <f t="shared" si="408"/>
        <v/>
      </c>
      <c r="AR2395" s="1856" t="str">
        <f t="shared" si="407"/>
        <v/>
      </c>
      <c r="AS2395" s="927">
        <v>21</v>
      </c>
      <c r="AT2395" s="1856">
        <f t="shared" si="400"/>
        <v>44825.272916666669</v>
      </c>
      <c r="AU2395" s="1856">
        <f t="shared" si="401"/>
        <v>44825.3125</v>
      </c>
      <c r="AV2395" s="1856">
        <f t="shared" si="402"/>
        <v>44825.822222222218</v>
      </c>
      <c r="AW2395" s="1856">
        <f t="shared" si="403"/>
        <v>44825.861805555556</v>
      </c>
      <c r="AX2395" s="1856">
        <f t="shared" si="404"/>
        <v>44825.124305555561</v>
      </c>
      <c r="AY2395" s="1856">
        <f t="shared" si="405"/>
        <v>44825.750694444447</v>
      </c>
      <c r="AZ2395" s="1853">
        <v>0.21</v>
      </c>
    </row>
    <row r="2396" spans="42:52">
      <c r="AP2396" s="1855">
        <f t="shared" si="406"/>
        <v>44825</v>
      </c>
      <c r="AQ2396" s="925" t="str">
        <f t="shared" si="408"/>
        <v/>
      </c>
      <c r="AR2396" s="1856" t="str">
        <f t="shared" si="407"/>
        <v/>
      </c>
      <c r="AS2396" s="927" t="s">
        <v>252</v>
      </c>
      <c r="AT2396" s="1856" t="str">
        <f t="shared" ref="AT2396:AT2459" si="409">IF(ISNUMBER(AS2396),INDEX(AR2397:AR2407,MATCH($AT$27,AQ2397:AQ2407,0)),"")</f>
        <v/>
      </c>
      <c r="AU2396" s="1856" t="str">
        <f t="shared" ref="AU2396:AU2459" si="410">IF(AT2396="","",INDEX(AR2397:AR2407,MATCH($AU$27,AQ2397:AQ2407,0)))</f>
        <v/>
      </c>
      <c r="AV2396" s="1856" t="str">
        <f t="shared" ref="AV2396:AV2459" si="411">IF(AT2396="","",INDEX(AR2397:AR2407,MATCH($AV$27,AQ2397:AQ2407,0)))</f>
        <v/>
      </c>
      <c r="AW2396" s="1856" t="str">
        <f t="shared" ref="AW2396:AW2459" si="412">IF(AT2396="","",INDEX(AR2397:AR2407,MATCH($AW$27,AQ2397:AQ2407,0)))</f>
        <v/>
      </c>
      <c r="AX2396" s="1856" t="str">
        <f t="shared" ref="AX2396:AX2459" si="413">IF(AT2396="","",INDEX(AR2397:AR2407,MATCH($AX$27,AQ2397:AQ2407,0)))</f>
        <v/>
      </c>
      <c r="AY2396" s="1856" t="str">
        <f t="shared" ref="AY2396:AY2459" si="414">IF(AT2396="","",INDEX(AR2397:AR2407,MATCH($AY$27,AQ2397:AQ2407,0)))</f>
        <v/>
      </c>
    </row>
    <row r="2397" spans="42:52">
      <c r="AP2397" s="1855">
        <f t="shared" si="406"/>
        <v>44825</v>
      </c>
      <c r="AQ2397" s="925" t="str">
        <f t="shared" si="408"/>
        <v/>
      </c>
      <c r="AR2397" s="1856" t="str">
        <f t="shared" si="407"/>
        <v/>
      </c>
      <c r="AT2397" s="1856" t="str">
        <f t="shared" si="409"/>
        <v/>
      </c>
      <c r="AU2397" s="1856" t="str">
        <f t="shared" si="410"/>
        <v/>
      </c>
      <c r="AV2397" s="1856" t="str">
        <f t="shared" si="411"/>
        <v/>
      </c>
      <c r="AW2397" s="1856" t="str">
        <f t="shared" si="412"/>
        <v/>
      </c>
      <c r="AX2397" s="1856" t="str">
        <f t="shared" si="413"/>
        <v/>
      </c>
      <c r="AY2397" s="1856" t="str">
        <f t="shared" si="414"/>
        <v/>
      </c>
    </row>
    <row r="2398" spans="42:52">
      <c r="AP2398" s="1855">
        <f t="shared" si="406"/>
        <v>44825</v>
      </c>
      <c r="AQ2398" s="925" t="str">
        <f t="shared" si="408"/>
        <v>MR</v>
      </c>
      <c r="AR2398" s="1856">
        <f t="shared" si="407"/>
        <v>44825.124305555561</v>
      </c>
      <c r="AS2398" s="927" t="s">
        <v>2021</v>
      </c>
      <c r="AT2398" s="1856" t="str">
        <f t="shared" si="409"/>
        <v/>
      </c>
      <c r="AU2398" s="1856" t="str">
        <f t="shared" si="410"/>
        <v/>
      </c>
      <c r="AV2398" s="1856" t="str">
        <f t="shared" si="411"/>
        <v/>
      </c>
      <c r="AW2398" s="1856" t="str">
        <f t="shared" si="412"/>
        <v/>
      </c>
      <c r="AX2398" s="1856" t="str">
        <f t="shared" si="413"/>
        <v/>
      </c>
      <c r="AY2398" s="1856" t="str">
        <f t="shared" si="414"/>
        <v/>
      </c>
    </row>
    <row r="2399" spans="42:52">
      <c r="AP2399" s="1855">
        <f t="shared" si="406"/>
        <v>44825</v>
      </c>
      <c r="AQ2399" s="925" t="str">
        <f t="shared" si="408"/>
        <v>BMNT</v>
      </c>
      <c r="AR2399" s="1856">
        <f t="shared" si="407"/>
        <v>44825.272916666669</v>
      </c>
      <c r="AS2399" s="927" t="s">
        <v>1383</v>
      </c>
      <c r="AT2399" s="1856" t="str">
        <f t="shared" si="409"/>
        <v/>
      </c>
      <c r="AU2399" s="1856" t="str">
        <f t="shared" si="410"/>
        <v/>
      </c>
      <c r="AV2399" s="1856" t="str">
        <f t="shared" si="411"/>
        <v/>
      </c>
      <c r="AW2399" s="1856" t="str">
        <f t="shared" si="412"/>
        <v/>
      </c>
      <c r="AX2399" s="1856" t="str">
        <f t="shared" si="413"/>
        <v/>
      </c>
      <c r="AY2399" s="1856" t="str">
        <f t="shared" si="414"/>
        <v/>
      </c>
    </row>
    <row r="2400" spans="42:52">
      <c r="AP2400" s="1855">
        <f t="shared" si="406"/>
        <v>44825</v>
      </c>
      <c r="AQ2400" s="925" t="str">
        <f t="shared" si="408"/>
        <v>SR</v>
      </c>
      <c r="AR2400" s="1856">
        <f t="shared" si="407"/>
        <v>44825.3125</v>
      </c>
      <c r="AS2400" s="927" t="s">
        <v>1592</v>
      </c>
      <c r="AT2400" s="1856" t="str">
        <f t="shared" si="409"/>
        <v/>
      </c>
      <c r="AU2400" s="1856" t="str">
        <f t="shared" si="410"/>
        <v/>
      </c>
      <c r="AV2400" s="1856" t="str">
        <f t="shared" si="411"/>
        <v/>
      </c>
      <c r="AW2400" s="1856" t="str">
        <f t="shared" si="412"/>
        <v/>
      </c>
      <c r="AX2400" s="1856" t="str">
        <f t="shared" si="413"/>
        <v/>
      </c>
      <c r="AY2400" s="1856" t="str">
        <f t="shared" si="414"/>
        <v/>
      </c>
    </row>
    <row r="2401" spans="42:52">
      <c r="AP2401" s="1855">
        <f t="shared" si="406"/>
        <v>44825</v>
      </c>
      <c r="AQ2401" s="925" t="str">
        <f t="shared" si="408"/>
        <v>MS</v>
      </c>
      <c r="AR2401" s="1856">
        <f t="shared" si="407"/>
        <v>44825.750694444447</v>
      </c>
      <c r="AS2401" s="927" t="s">
        <v>2147</v>
      </c>
      <c r="AT2401" s="1856" t="str">
        <f t="shared" si="409"/>
        <v/>
      </c>
      <c r="AU2401" s="1856" t="str">
        <f t="shared" si="410"/>
        <v/>
      </c>
      <c r="AV2401" s="1856" t="str">
        <f t="shared" si="411"/>
        <v/>
      </c>
      <c r="AW2401" s="1856" t="str">
        <f t="shared" si="412"/>
        <v/>
      </c>
      <c r="AX2401" s="1856" t="str">
        <f t="shared" si="413"/>
        <v/>
      </c>
      <c r="AY2401" s="1856" t="str">
        <f t="shared" si="414"/>
        <v/>
      </c>
    </row>
    <row r="2402" spans="42:52">
      <c r="AP2402" s="1855">
        <f t="shared" si="406"/>
        <v>44825</v>
      </c>
      <c r="AQ2402" s="925" t="str">
        <f t="shared" si="408"/>
        <v>SS</v>
      </c>
      <c r="AR2402" s="1856">
        <f t="shared" si="407"/>
        <v>44825.822222222218</v>
      </c>
      <c r="AS2402" s="927" t="s">
        <v>2148</v>
      </c>
      <c r="AT2402" s="1856" t="str">
        <f t="shared" si="409"/>
        <v/>
      </c>
      <c r="AU2402" s="1856" t="str">
        <f t="shared" si="410"/>
        <v/>
      </c>
      <c r="AV2402" s="1856" t="str">
        <f t="shared" si="411"/>
        <v/>
      </c>
      <c r="AW2402" s="1856" t="str">
        <f t="shared" si="412"/>
        <v/>
      </c>
      <c r="AX2402" s="1856" t="str">
        <f t="shared" si="413"/>
        <v/>
      </c>
      <c r="AY2402" s="1856" t="str">
        <f t="shared" si="414"/>
        <v/>
      </c>
    </row>
    <row r="2403" spans="42:52">
      <c r="AP2403" s="1855">
        <f t="shared" si="406"/>
        <v>44825</v>
      </c>
      <c r="AQ2403" s="925" t="str">
        <f t="shared" si="408"/>
        <v>EENT</v>
      </c>
      <c r="AR2403" s="1856">
        <f t="shared" si="407"/>
        <v>44825.861805555556</v>
      </c>
      <c r="AS2403" s="927" t="s">
        <v>2149</v>
      </c>
      <c r="AT2403" s="1856" t="str">
        <f t="shared" si="409"/>
        <v/>
      </c>
      <c r="AU2403" s="1856" t="str">
        <f t="shared" si="410"/>
        <v/>
      </c>
      <c r="AV2403" s="1856" t="str">
        <f t="shared" si="411"/>
        <v/>
      </c>
      <c r="AW2403" s="1856" t="str">
        <f t="shared" si="412"/>
        <v/>
      </c>
      <c r="AX2403" s="1856" t="str">
        <f t="shared" si="413"/>
        <v/>
      </c>
      <c r="AY2403" s="1856" t="str">
        <f t="shared" si="414"/>
        <v/>
      </c>
    </row>
    <row r="2404" spans="42:52">
      <c r="AP2404" s="1855">
        <f t="shared" si="406"/>
        <v>44826</v>
      </c>
      <c r="AQ2404" s="925" t="str">
        <f t="shared" si="408"/>
        <v/>
      </c>
      <c r="AR2404" s="1856" t="str">
        <f t="shared" si="407"/>
        <v/>
      </c>
      <c r="AS2404" s="927">
        <v>22</v>
      </c>
      <c r="AT2404" s="1856">
        <f t="shared" si="409"/>
        <v>44826.273611111108</v>
      </c>
      <c r="AU2404" s="1856">
        <f t="shared" si="410"/>
        <v>44826.313194444439</v>
      </c>
      <c r="AV2404" s="1856">
        <f t="shared" si="411"/>
        <v>44826.820833333331</v>
      </c>
      <c r="AW2404" s="1856">
        <f t="shared" si="412"/>
        <v>44826.86041666667</v>
      </c>
      <c r="AX2404" s="1856">
        <f t="shared" si="413"/>
        <v>44826.166666666664</v>
      </c>
      <c r="AY2404" s="1856">
        <f t="shared" si="414"/>
        <v>44826.772222222222</v>
      </c>
      <c r="AZ2404" s="1853">
        <v>0.14000000000000001</v>
      </c>
    </row>
    <row r="2405" spans="42:52">
      <c r="AP2405" s="1855">
        <f t="shared" ref="AP2405:AP2468" si="415">IF(ISNUMBER(AS2405),AP2404+1,AP2404)</f>
        <v>44826</v>
      </c>
      <c r="AQ2405" s="925" t="str">
        <f t="shared" si="408"/>
        <v/>
      </c>
      <c r="AR2405" s="1856" t="str">
        <f t="shared" si="407"/>
        <v/>
      </c>
      <c r="AS2405" s="927" t="s">
        <v>252</v>
      </c>
      <c r="AT2405" s="1856" t="str">
        <f t="shared" si="409"/>
        <v/>
      </c>
      <c r="AU2405" s="1856" t="str">
        <f t="shared" si="410"/>
        <v/>
      </c>
      <c r="AV2405" s="1856" t="str">
        <f t="shared" si="411"/>
        <v/>
      </c>
      <c r="AW2405" s="1856" t="str">
        <f t="shared" si="412"/>
        <v/>
      </c>
      <c r="AX2405" s="1856" t="str">
        <f t="shared" si="413"/>
        <v/>
      </c>
      <c r="AY2405" s="1856" t="str">
        <f t="shared" si="414"/>
        <v/>
      </c>
    </row>
    <row r="2406" spans="42:52">
      <c r="AP2406" s="1855">
        <f t="shared" si="415"/>
        <v>44826</v>
      </c>
      <c r="AQ2406" s="925" t="str">
        <f t="shared" si="408"/>
        <v/>
      </c>
      <c r="AR2406" s="1856" t="str">
        <f t="shared" si="407"/>
        <v/>
      </c>
      <c r="AT2406" s="1856" t="str">
        <f t="shared" si="409"/>
        <v/>
      </c>
      <c r="AU2406" s="1856" t="str">
        <f t="shared" si="410"/>
        <v/>
      </c>
      <c r="AV2406" s="1856" t="str">
        <f t="shared" si="411"/>
        <v/>
      </c>
      <c r="AW2406" s="1856" t="str">
        <f t="shared" si="412"/>
        <v/>
      </c>
      <c r="AX2406" s="1856" t="str">
        <f t="shared" si="413"/>
        <v/>
      </c>
      <c r="AY2406" s="1856" t="str">
        <f t="shared" si="414"/>
        <v/>
      </c>
    </row>
    <row r="2407" spans="42:52">
      <c r="AP2407" s="1855">
        <f t="shared" si="415"/>
        <v>44826</v>
      </c>
      <c r="AQ2407" s="925" t="str">
        <f t="shared" si="408"/>
        <v>MR</v>
      </c>
      <c r="AR2407" s="1856">
        <f t="shared" si="407"/>
        <v>44826.166666666664</v>
      </c>
      <c r="AS2407" s="927" t="s">
        <v>2150</v>
      </c>
      <c r="AT2407" s="1856" t="str">
        <f t="shared" si="409"/>
        <v/>
      </c>
      <c r="AU2407" s="1856" t="str">
        <f t="shared" si="410"/>
        <v/>
      </c>
      <c r="AV2407" s="1856" t="str">
        <f t="shared" si="411"/>
        <v/>
      </c>
      <c r="AW2407" s="1856" t="str">
        <f t="shared" si="412"/>
        <v/>
      </c>
      <c r="AX2407" s="1856" t="str">
        <f t="shared" si="413"/>
        <v/>
      </c>
      <c r="AY2407" s="1856" t="str">
        <f t="shared" si="414"/>
        <v/>
      </c>
    </row>
    <row r="2408" spans="42:52">
      <c r="AP2408" s="1855">
        <f t="shared" si="415"/>
        <v>44826</v>
      </c>
      <c r="AQ2408" s="925" t="str">
        <f t="shared" si="408"/>
        <v>BMNT</v>
      </c>
      <c r="AR2408" s="1856">
        <f t="shared" si="407"/>
        <v>44826.273611111108</v>
      </c>
      <c r="AS2408" s="927" t="s">
        <v>1377</v>
      </c>
      <c r="AT2408" s="1856" t="str">
        <f t="shared" si="409"/>
        <v/>
      </c>
      <c r="AU2408" s="1856" t="str">
        <f t="shared" si="410"/>
        <v/>
      </c>
      <c r="AV2408" s="1856" t="str">
        <f t="shared" si="411"/>
        <v/>
      </c>
      <c r="AW2408" s="1856" t="str">
        <f t="shared" si="412"/>
        <v/>
      </c>
      <c r="AX2408" s="1856" t="str">
        <f t="shared" si="413"/>
        <v/>
      </c>
      <c r="AY2408" s="1856" t="str">
        <f t="shared" si="414"/>
        <v/>
      </c>
    </row>
    <row r="2409" spans="42:52">
      <c r="AP2409" s="1855">
        <f t="shared" si="415"/>
        <v>44826</v>
      </c>
      <c r="AQ2409" s="925" t="str">
        <f t="shared" si="408"/>
        <v>SR</v>
      </c>
      <c r="AR2409" s="1856">
        <f t="shared" ref="AR2409:AR2472" si="416">IF(NOT(ISNUMBER(FIND(":",AS2409))),"",IF(ISNUMBER(FIND(" none",AS2409)),"NONE",AP2409+LEFT(RIGHT(AS2409,5),2)/24+RIGHT(AS2409,2)/1440))</f>
        <v>44826.313194444439</v>
      </c>
      <c r="AS2409" s="927" t="s">
        <v>1384</v>
      </c>
      <c r="AT2409" s="1856" t="str">
        <f t="shared" si="409"/>
        <v/>
      </c>
      <c r="AU2409" s="1856" t="str">
        <f t="shared" si="410"/>
        <v/>
      </c>
      <c r="AV2409" s="1856" t="str">
        <f t="shared" si="411"/>
        <v/>
      </c>
      <c r="AW2409" s="1856" t="str">
        <f t="shared" si="412"/>
        <v/>
      </c>
      <c r="AX2409" s="1856" t="str">
        <f t="shared" si="413"/>
        <v/>
      </c>
      <c r="AY2409" s="1856" t="str">
        <f t="shared" si="414"/>
        <v/>
      </c>
    </row>
    <row r="2410" spans="42:52">
      <c r="AP2410" s="1855">
        <f t="shared" si="415"/>
        <v>44826</v>
      </c>
      <c r="AQ2410" s="925" t="str">
        <f t="shared" si="408"/>
        <v>MS</v>
      </c>
      <c r="AR2410" s="1856">
        <f t="shared" si="416"/>
        <v>44826.772222222222</v>
      </c>
      <c r="AS2410" s="927" t="s">
        <v>1718</v>
      </c>
      <c r="AT2410" s="1856" t="str">
        <f t="shared" si="409"/>
        <v/>
      </c>
      <c r="AU2410" s="1856" t="str">
        <f t="shared" si="410"/>
        <v/>
      </c>
      <c r="AV2410" s="1856" t="str">
        <f t="shared" si="411"/>
        <v/>
      </c>
      <c r="AW2410" s="1856" t="str">
        <f t="shared" si="412"/>
        <v/>
      </c>
      <c r="AX2410" s="1856" t="str">
        <f t="shared" si="413"/>
        <v/>
      </c>
      <c r="AY2410" s="1856" t="str">
        <f t="shared" si="414"/>
        <v/>
      </c>
    </row>
    <row r="2411" spans="42:52">
      <c r="AP2411" s="1855">
        <f t="shared" si="415"/>
        <v>44826</v>
      </c>
      <c r="AQ2411" s="925" t="str">
        <f t="shared" si="408"/>
        <v>SS</v>
      </c>
      <c r="AR2411" s="1856">
        <f t="shared" si="416"/>
        <v>44826.820833333331</v>
      </c>
      <c r="AS2411" s="927" t="s">
        <v>2151</v>
      </c>
      <c r="AT2411" s="1856" t="str">
        <f t="shared" si="409"/>
        <v/>
      </c>
      <c r="AU2411" s="1856" t="str">
        <f t="shared" si="410"/>
        <v/>
      </c>
      <c r="AV2411" s="1856" t="str">
        <f t="shared" si="411"/>
        <v/>
      </c>
      <c r="AW2411" s="1856" t="str">
        <f t="shared" si="412"/>
        <v/>
      </c>
      <c r="AX2411" s="1856" t="str">
        <f t="shared" si="413"/>
        <v/>
      </c>
      <c r="AY2411" s="1856" t="str">
        <f t="shared" si="414"/>
        <v/>
      </c>
    </row>
    <row r="2412" spans="42:52">
      <c r="AP2412" s="1855">
        <f t="shared" si="415"/>
        <v>44826</v>
      </c>
      <c r="AQ2412" s="925" t="str">
        <f t="shared" si="408"/>
        <v>EENT</v>
      </c>
      <c r="AR2412" s="1856">
        <f t="shared" si="416"/>
        <v>44826.86041666667</v>
      </c>
      <c r="AS2412" s="927" t="s">
        <v>2152</v>
      </c>
      <c r="AT2412" s="1856" t="str">
        <f t="shared" si="409"/>
        <v/>
      </c>
      <c r="AU2412" s="1856" t="str">
        <f t="shared" si="410"/>
        <v/>
      </c>
      <c r="AV2412" s="1856" t="str">
        <f t="shared" si="411"/>
        <v/>
      </c>
      <c r="AW2412" s="1856" t="str">
        <f t="shared" si="412"/>
        <v/>
      </c>
      <c r="AX2412" s="1856" t="str">
        <f t="shared" si="413"/>
        <v/>
      </c>
      <c r="AY2412" s="1856" t="str">
        <f t="shared" si="414"/>
        <v/>
      </c>
    </row>
    <row r="2413" spans="42:52">
      <c r="AP2413" s="1855">
        <f t="shared" si="415"/>
        <v>44827</v>
      </c>
      <c r="AQ2413" s="925" t="str">
        <f t="shared" si="408"/>
        <v/>
      </c>
      <c r="AR2413" s="1856" t="str">
        <f t="shared" si="416"/>
        <v/>
      </c>
      <c r="AS2413" s="927">
        <v>23</v>
      </c>
      <c r="AT2413" s="1856">
        <f t="shared" si="409"/>
        <v>44827.274305555555</v>
      </c>
      <c r="AU2413" s="1856">
        <f t="shared" si="410"/>
        <v>44827.313888888886</v>
      </c>
      <c r="AV2413" s="1856">
        <f t="shared" si="411"/>
        <v>44827.820138888885</v>
      </c>
      <c r="AW2413" s="1856">
        <f t="shared" si="412"/>
        <v>44827.859722222223</v>
      </c>
      <c r="AX2413" s="1856">
        <f t="shared" si="413"/>
        <v>44827.210416666669</v>
      </c>
      <c r="AY2413" s="1856">
        <f t="shared" si="414"/>
        <v>44827.791666666664</v>
      </c>
      <c r="AZ2413" s="1853">
        <v>0.08</v>
      </c>
    </row>
    <row r="2414" spans="42:52">
      <c r="AP2414" s="1855">
        <f t="shared" si="415"/>
        <v>44827</v>
      </c>
      <c r="AQ2414" s="925" t="str">
        <f t="shared" si="408"/>
        <v/>
      </c>
      <c r="AR2414" s="1856" t="str">
        <f t="shared" si="416"/>
        <v/>
      </c>
      <c r="AS2414" s="927" t="s">
        <v>252</v>
      </c>
      <c r="AT2414" s="1856" t="str">
        <f t="shared" si="409"/>
        <v/>
      </c>
      <c r="AU2414" s="1856" t="str">
        <f t="shared" si="410"/>
        <v/>
      </c>
      <c r="AV2414" s="1856" t="str">
        <f t="shared" si="411"/>
        <v/>
      </c>
      <c r="AW2414" s="1856" t="str">
        <f t="shared" si="412"/>
        <v/>
      </c>
      <c r="AX2414" s="1856" t="str">
        <f t="shared" si="413"/>
        <v/>
      </c>
      <c r="AY2414" s="1856" t="str">
        <f t="shared" si="414"/>
        <v/>
      </c>
    </row>
    <row r="2415" spans="42:52">
      <c r="AP2415" s="1855">
        <f t="shared" si="415"/>
        <v>44827</v>
      </c>
      <c r="AQ2415" s="925" t="str">
        <f t="shared" si="408"/>
        <v/>
      </c>
      <c r="AR2415" s="1856" t="str">
        <f t="shared" si="416"/>
        <v/>
      </c>
      <c r="AT2415" s="1856" t="str">
        <f t="shared" si="409"/>
        <v/>
      </c>
      <c r="AU2415" s="1856" t="str">
        <f t="shared" si="410"/>
        <v/>
      </c>
      <c r="AV2415" s="1856" t="str">
        <f t="shared" si="411"/>
        <v/>
      </c>
      <c r="AW2415" s="1856" t="str">
        <f t="shared" si="412"/>
        <v/>
      </c>
      <c r="AX2415" s="1856" t="str">
        <f t="shared" si="413"/>
        <v/>
      </c>
      <c r="AY2415" s="1856" t="str">
        <f t="shared" si="414"/>
        <v/>
      </c>
    </row>
    <row r="2416" spans="42:52">
      <c r="AP2416" s="1855">
        <f t="shared" si="415"/>
        <v>44827</v>
      </c>
      <c r="AQ2416" s="925" t="str">
        <f t="shared" si="408"/>
        <v>MR</v>
      </c>
      <c r="AR2416" s="1856">
        <f t="shared" si="416"/>
        <v>44827.210416666669</v>
      </c>
      <c r="AS2416" s="927" t="s">
        <v>2153</v>
      </c>
      <c r="AT2416" s="1856" t="str">
        <f t="shared" si="409"/>
        <v/>
      </c>
      <c r="AU2416" s="1856" t="str">
        <f t="shared" si="410"/>
        <v/>
      </c>
      <c r="AV2416" s="1856" t="str">
        <f t="shared" si="411"/>
        <v/>
      </c>
      <c r="AW2416" s="1856" t="str">
        <f t="shared" si="412"/>
        <v/>
      </c>
      <c r="AX2416" s="1856" t="str">
        <f t="shared" si="413"/>
        <v/>
      </c>
      <c r="AY2416" s="1856" t="str">
        <f t="shared" si="414"/>
        <v/>
      </c>
    </row>
    <row r="2417" spans="42:52">
      <c r="AP2417" s="1855">
        <f t="shared" si="415"/>
        <v>44827</v>
      </c>
      <c r="AQ2417" s="925" t="str">
        <f t="shared" si="408"/>
        <v>BMNT</v>
      </c>
      <c r="AR2417" s="1856">
        <f t="shared" si="416"/>
        <v>44827.274305555555</v>
      </c>
      <c r="AS2417" s="927" t="s">
        <v>1371</v>
      </c>
      <c r="AT2417" s="1856" t="str">
        <f t="shared" si="409"/>
        <v/>
      </c>
      <c r="AU2417" s="1856" t="str">
        <f t="shared" si="410"/>
        <v/>
      </c>
      <c r="AV2417" s="1856" t="str">
        <f t="shared" si="411"/>
        <v/>
      </c>
      <c r="AW2417" s="1856" t="str">
        <f t="shared" si="412"/>
        <v/>
      </c>
      <c r="AX2417" s="1856" t="str">
        <f t="shared" si="413"/>
        <v/>
      </c>
      <c r="AY2417" s="1856" t="str">
        <f t="shared" si="414"/>
        <v/>
      </c>
    </row>
    <row r="2418" spans="42:52">
      <c r="AP2418" s="1855">
        <f t="shared" si="415"/>
        <v>44827</v>
      </c>
      <c r="AQ2418" s="925" t="str">
        <f t="shared" si="408"/>
        <v>SR</v>
      </c>
      <c r="AR2418" s="1856">
        <f t="shared" si="416"/>
        <v>44827.313888888886</v>
      </c>
      <c r="AS2418" s="927" t="s">
        <v>1378</v>
      </c>
      <c r="AT2418" s="1856" t="str">
        <f t="shared" si="409"/>
        <v/>
      </c>
      <c r="AU2418" s="1856" t="str">
        <f t="shared" si="410"/>
        <v/>
      </c>
      <c r="AV2418" s="1856" t="str">
        <f t="shared" si="411"/>
        <v/>
      </c>
      <c r="AW2418" s="1856" t="str">
        <f t="shared" si="412"/>
        <v/>
      </c>
      <c r="AX2418" s="1856" t="str">
        <f t="shared" si="413"/>
        <v/>
      </c>
      <c r="AY2418" s="1856" t="str">
        <f t="shared" si="414"/>
        <v/>
      </c>
    </row>
    <row r="2419" spans="42:52">
      <c r="AP2419" s="1855">
        <f t="shared" si="415"/>
        <v>44827</v>
      </c>
      <c r="AQ2419" s="925" t="str">
        <f t="shared" si="408"/>
        <v>MS</v>
      </c>
      <c r="AR2419" s="1856">
        <f t="shared" si="416"/>
        <v>44827.791666666664</v>
      </c>
      <c r="AS2419" s="927" t="s">
        <v>2154</v>
      </c>
      <c r="AT2419" s="1856" t="str">
        <f t="shared" si="409"/>
        <v/>
      </c>
      <c r="AU2419" s="1856" t="str">
        <f t="shared" si="410"/>
        <v/>
      </c>
      <c r="AV2419" s="1856" t="str">
        <f t="shared" si="411"/>
        <v/>
      </c>
      <c r="AW2419" s="1856" t="str">
        <f t="shared" si="412"/>
        <v/>
      </c>
      <c r="AX2419" s="1856" t="str">
        <f t="shared" si="413"/>
        <v/>
      </c>
      <c r="AY2419" s="1856" t="str">
        <f t="shared" si="414"/>
        <v/>
      </c>
    </row>
    <row r="2420" spans="42:52">
      <c r="AP2420" s="1855">
        <f t="shared" si="415"/>
        <v>44827</v>
      </c>
      <c r="AQ2420" s="925" t="str">
        <f t="shared" ref="AQ2420:AQ2483" si="417">IF(NOT(ISNUMBER(FIND(":",AS2420))),"",IF(ISNUMBER(FIND("Sunr",AS2420)),"SR", IF(ISNUMBER(FIND("Suns",AS2420)),"SS",IF(ISNUMBER(FIND("Moonr",AS2420)),"MR",IF(ISNUMBER(FIND("Moons",AS2420)),"MS",IF(ISNUMBER(FIND("Twi",AS2420)),IF(HOUR(AR2420)&lt;12,"BMNT","EENT")))))))</f>
        <v>SS</v>
      </c>
      <c r="AR2420" s="1856">
        <f t="shared" si="416"/>
        <v>44827.820138888885</v>
      </c>
      <c r="AS2420" s="927" t="s">
        <v>2155</v>
      </c>
      <c r="AT2420" s="1856" t="str">
        <f t="shared" si="409"/>
        <v/>
      </c>
      <c r="AU2420" s="1856" t="str">
        <f t="shared" si="410"/>
        <v/>
      </c>
      <c r="AV2420" s="1856" t="str">
        <f t="shared" si="411"/>
        <v/>
      </c>
      <c r="AW2420" s="1856" t="str">
        <f t="shared" si="412"/>
        <v/>
      </c>
      <c r="AX2420" s="1856" t="str">
        <f t="shared" si="413"/>
        <v/>
      </c>
      <c r="AY2420" s="1856" t="str">
        <f t="shared" si="414"/>
        <v/>
      </c>
    </row>
    <row r="2421" spans="42:52">
      <c r="AP2421" s="1855">
        <f t="shared" si="415"/>
        <v>44827</v>
      </c>
      <c r="AQ2421" s="925" t="str">
        <f t="shared" si="417"/>
        <v>EENT</v>
      </c>
      <c r="AR2421" s="1856">
        <f t="shared" si="416"/>
        <v>44827.859722222223</v>
      </c>
      <c r="AS2421" s="927" t="s">
        <v>2156</v>
      </c>
      <c r="AT2421" s="1856" t="str">
        <f t="shared" si="409"/>
        <v/>
      </c>
      <c r="AU2421" s="1856" t="str">
        <f t="shared" si="410"/>
        <v/>
      </c>
      <c r="AV2421" s="1856" t="str">
        <f t="shared" si="411"/>
        <v/>
      </c>
      <c r="AW2421" s="1856" t="str">
        <f t="shared" si="412"/>
        <v/>
      </c>
      <c r="AX2421" s="1856" t="str">
        <f t="shared" si="413"/>
        <v/>
      </c>
      <c r="AY2421" s="1856" t="str">
        <f t="shared" si="414"/>
        <v/>
      </c>
    </row>
    <row r="2422" spans="42:52">
      <c r="AP2422" s="1855">
        <f t="shared" si="415"/>
        <v>44828</v>
      </c>
      <c r="AQ2422" s="925" t="str">
        <f t="shared" si="417"/>
        <v/>
      </c>
      <c r="AR2422" s="1856" t="str">
        <f t="shared" si="416"/>
        <v/>
      </c>
      <c r="AS2422" s="927">
        <v>24</v>
      </c>
      <c r="AT2422" s="1856">
        <f t="shared" si="409"/>
        <v>44828.275000000001</v>
      </c>
      <c r="AU2422" s="1856">
        <f t="shared" si="410"/>
        <v>44828.314583333333</v>
      </c>
      <c r="AV2422" s="1856">
        <f t="shared" si="411"/>
        <v>44828.818749999999</v>
      </c>
      <c r="AW2422" s="1856">
        <f t="shared" si="412"/>
        <v>44828.858333333337</v>
      </c>
      <c r="AX2422" s="1856">
        <f t="shared" si="413"/>
        <v>44828.253472222219</v>
      </c>
      <c r="AY2422" s="1856">
        <f t="shared" si="414"/>
        <v>44828.809027777774</v>
      </c>
      <c r="AZ2422" s="1853">
        <v>0.03</v>
      </c>
    </row>
    <row r="2423" spans="42:52">
      <c r="AP2423" s="1855">
        <f t="shared" si="415"/>
        <v>44828</v>
      </c>
      <c r="AQ2423" s="925" t="str">
        <f t="shared" si="417"/>
        <v/>
      </c>
      <c r="AR2423" s="1856" t="str">
        <f t="shared" si="416"/>
        <v/>
      </c>
      <c r="AS2423" s="927" t="s">
        <v>252</v>
      </c>
      <c r="AT2423" s="1856" t="str">
        <f t="shared" si="409"/>
        <v/>
      </c>
      <c r="AU2423" s="1856" t="str">
        <f t="shared" si="410"/>
        <v/>
      </c>
      <c r="AV2423" s="1856" t="str">
        <f t="shared" si="411"/>
        <v/>
      </c>
      <c r="AW2423" s="1856" t="str">
        <f t="shared" si="412"/>
        <v/>
      </c>
      <c r="AX2423" s="1856" t="str">
        <f t="shared" si="413"/>
        <v/>
      </c>
      <c r="AY2423" s="1856" t="str">
        <f t="shared" si="414"/>
        <v/>
      </c>
    </row>
    <row r="2424" spans="42:52">
      <c r="AP2424" s="1855">
        <f t="shared" si="415"/>
        <v>44828</v>
      </c>
      <c r="AQ2424" s="925" t="str">
        <f t="shared" si="417"/>
        <v/>
      </c>
      <c r="AR2424" s="1856" t="str">
        <f t="shared" si="416"/>
        <v/>
      </c>
      <c r="AT2424" s="1856" t="str">
        <f t="shared" si="409"/>
        <v/>
      </c>
      <c r="AU2424" s="1856" t="str">
        <f t="shared" si="410"/>
        <v/>
      </c>
      <c r="AV2424" s="1856" t="str">
        <f t="shared" si="411"/>
        <v/>
      </c>
      <c r="AW2424" s="1856" t="str">
        <f t="shared" si="412"/>
        <v/>
      </c>
      <c r="AX2424" s="1856" t="str">
        <f t="shared" si="413"/>
        <v/>
      </c>
      <c r="AY2424" s="1856" t="str">
        <f t="shared" si="414"/>
        <v/>
      </c>
    </row>
    <row r="2425" spans="42:52">
      <c r="AP2425" s="1855">
        <f t="shared" si="415"/>
        <v>44828</v>
      </c>
      <c r="AQ2425" s="925" t="str">
        <f t="shared" si="417"/>
        <v>MR</v>
      </c>
      <c r="AR2425" s="1856">
        <f t="shared" si="416"/>
        <v>44828.253472222219</v>
      </c>
      <c r="AS2425" s="927" t="s">
        <v>2157</v>
      </c>
      <c r="AT2425" s="1856" t="str">
        <f t="shared" si="409"/>
        <v/>
      </c>
      <c r="AU2425" s="1856" t="str">
        <f t="shared" si="410"/>
        <v/>
      </c>
      <c r="AV2425" s="1856" t="str">
        <f t="shared" si="411"/>
        <v/>
      </c>
      <c r="AW2425" s="1856" t="str">
        <f t="shared" si="412"/>
        <v/>
      </c>
      <c r="AX2425" s="1856" t="str">
        <f t="shared" si="413"/>
        <v/>
      </c>
      <c r="AY2425" s="1856" t="str">
        <f t="shared" si="414"/>
        <v/>
      </c>
    </row>
    <row r="2426" spans="42:52">
      <c r="AP2426" s="1855">
        <f t="shared" si="415"/>
        <v>44828</v>
      </c>
      <c r="AQ2426" s="925" t="str">
        <f t="shared" si="417"/>
        <v>BMNT</v>
      </c>
      <c r="AR2426" s="1856">
        <f t="shared" si="416"/>
        <v>44828.275000000001</v>
      </c>
      <c r="AS2426" s="927" t="s">
        <v>1365</v>
      </c>
      <c r="AT2426" s="1856" t="str">
        <f t="shared" si="409"/>
        <v/>
      </c>
      <c r="AU2426" s="1856" t="str">
        <f t="shared" si="410"/>
        <v/>
      </c>
      <c r="AV2426" s="1856" t="str">
        <f t="shared" si="411"/>
        <v/>
      </c>
      <c r="AW2426" s="1856" t="str">
        <f t="shared" si="412"/>
        <v/>
      </c>
      <c r="AX2426" s="1856" t="str">
        <f t="shared" si="413"/>
        <v/>
      </c>
      <c r="AY2426" s="1856" t="str">
        <f t="shared" si="414"/>
        <v/>
      </c>
    </row>
    <row r="2427" spans="42:52">
      <c r="AP2427" s="1855">
        <f t="shared" si="415"/>
        <v>44828</v>
      </c>
      <c r="AQ2427" s="925" t="str">
        <f t="shared" si="417"/>
        <v>SR</v>
      </c>
      <c r="AR2427" s="1856">
        <f t="shared" si="416"/>
        <v>44828.314583333333</v>
      </c>
      <c r="AS2427" s="927" t="s">
        <v>1372</v>
      </c>
      <c r="AT2427" s="1856" t="str">
        <f t="shared" si="409"/>
        <v/>
      </c>
      <c r="AU2427" s="1856" t="str">
        <f t="shared" si="410"/>
        <v/>
      </c>
      <c r="AV2427" s="1856" t="str">
        <f t="shared" si="411"/>
        <v/>
      </c>
      <c r="AW2427" s="1856" t="str">
        <f t="shared" si="412"/>
        <v/>
      </c>
      <c r="AX2427" s="1856" t="str">
        <f t="shared" si="413"/>
        <v/>
      </c>
      <c r="AY2427" s="1856" t="str">
        <f t="shared" si="414"/>
        <v/>
      </c>
    </row>
    <row r="2428" spans="42:52">
      <c r="AP2428" s="1855">
        <f t="shared" si="415"/>
        <v>44828</v>
      </c>
      <c r="AQ2428" s="925" t="str">
        <f t="shared" si="417"/>
        <v>MS</v>
      </c>
      <c r="AR2428" s="1856">
        <f t="shared" si="416"/>
        <v>44828.809027777774</v>
      </c>
      <c r="AS2428" s="927" t="s">
        <v>1978</v>
      </c>
      <c r="AT2428" s="1856" t="str">
        <f t="shared" si="409"/>
        <v/>
      </c>
      <c r="AU2428" s="1856" t="str">
        <f t="shared" si="410"/>
        <v/>
      </c>
      <c r="AV2428" s="1856" t="str">
        <f t="shared" si="411"/>
        <v/>
      </c>
      <c r="AW2428" s="1856" t="str">
        <f t="shared" si="412"/>
        <v/>
      </c>
      <c r="AX2428" s="1856" t="str">
        <f t="shared" si="413"/>
        <v/>
      </c>
      <c r="AY2428" s="1856" t="str">
        <f t="shared" si="414"/>
        <v/>
      </c>
    </row>
    <row r="2429" spans="42:52">
      <c r="AP2429" s="1855">
        <f t="shared" si="415"/>
        <v>44828</v>
      </c>
      <c r="AQ2429" s="925" t="str">
        <f t="shared" si="417"/>
        <v>SS</v>
      </c>
      <c r="AR2429" s="1856">
        <f t="shared" si="416"/>
        <v>44828.818749999999</v>
      </c>
      <c r="AS2429" s="927" t="s">
        <v>2158</v>
      </c>
      <c r="AT2429" s="1856" t="str">
        <f t="shared" si="409"/>
        <v/>
      </c>
      <c r="AU2429" s="1856" t="str">
        <f t="shared" si="410"/>
        <v/>
      </c>
      <c r="AV2429" s="1856" t="str">
        <f t="shared" si="411"/>
        <v/>
      </c>
      <c r="AW2429" s="1856" t="str">
        <f t="shared" si="412"/>
        <v/>
      </c>
      <c r="AX2429" s="1856" t="str">
        <f t="shared" si="413"/>
        <v/>
      </c>
      <c r="AY2429" s="1856" t="str">
        <f t="shared" si="414"/>
        <v/>
      </c>
    </row>
    <row r="2430" spans="42:52">
      <c r="AP2430" s="1855">
        <f t="shared" si="415"/>
        <v>44828</v>
      </c>
      <c r="AQ2430" s="925" t="str">
        <f t="shared" si="417"/>
        <v>EENT</v>
      </c>
      <c r="AR2430" s="1856">
        <f t="shared" si="416"/>
        <v>44828.858333333337</v>
      </c>
      <c r="AS2430" s="927" t="s">
        <v>2159</v>
      </c>
      <c r="AT2430" s="1856" t="str">
        <f t="shared" si="409"/>
        <v/>
      </c>
      <c r="AU2430" s="1856" t="str">
        <f t="shared" si="410"/>
        <v/>
      </c>
      <c r="AV2430" s="1856" t="str">
        <f t="shared" si="411"/>
        <v/>
      </c>
      <c r="AW2430" s="1856" t="str">
        <f t="shared" si="412"/>
        <v/>
      </c>
      <c r="AX2430" s="1856" t="str">
        <f t="shared" si="413"/>
        <v/>
      </c>
      <c r="AY2430" s="1856" t="str">
        <f t="shared" si="414"/>
        <v/>
      </c>
    </row>
    <row r="2431" spans="42:52">
      <c r="AP2431" s="1855">
        <f t="shared" si="415"/>
        <v>44829</v>
      </c>
      <c r="AQ2431" s="925" t="str">
        <f t="shared" si="417"/>
        <v/>
      </c>
      <c r="AR2431" s="1856" t="str">
        <f t="shared" si="416"/>
        <v/>
      </c>
      <c r="AS2431" s="927">
        <v>25</v>
      </c>
      <c r="AT2431" s="1856">
        <f t="shared" si="409"/>
        <v>44829.275694444441</v>
      </c>
      <c r="AU2431" s="1856">
        <f t="shared" si="410"/>
        <v>44829.315277777772</v>
      </c>
      <c r="AV2431" s="1856">
        <f t="shared" si="411"/>
        <v>44829.818055555552</v>
      </c>
      <c r="AW2431" s="1856">
        <f t="shared" si="412"/>
        <v>44829.856944444444</v>
      </c>
      <c r="AX2431" s="1856">
        <f t="shared" si="413"/>
        <v>44829.297222222223</v>
      </c>
      <c r="AY2431" s="1856">
        <f t="shared" si="414"/>
        <v>44829.825694444444</v>
      </c>
      <c r="AZ2431" s="1853">
        <v>0.01</v>
      </c>
    </row>
    <row r="2432" spans="42:52">
      <c r="AP2432" s="1855">
        <f t="shared" si="415"/>
        <v>44829</v>
      </c>
      <c r="AQ2432" s="925" t="str">
        <f t="shared" si="417"/>
        <v/>
      </c>
      <c r="AR2432" s="1856" t="str">
        <f t="shared" si="416"/>
        <v/>
      </c>
      <c r="AS2432" s="927" t="s">
        <v>252</v>
      </c>
      <c r="AT2432" s="1856" t="str">
        <f t="shared" si="409"/>
        <v/>
      </c>
      <c r="AU2432" s="1856" t="str">
        <f t="shared" si="410"/>
        <v/>
      </c>
      <c r="AV2432" s="1856" t="str">
        <f t="shared" si="411"/>
        <v/>
      </c>
      <c r="AW2432" s="1856" t="str">
        <f t="shared" si="412"/>
        <v/>
      </c>
      <c r="AX2432" s="1856" t="str">
        <f t="shared" si="413"/>
        <v/>
      </c>
      <c r="AY2432" s="1856" t="str">
        <f t="shared" si="414"/>
        <v/>
      </c>
    </row>
    <row r="2433" spans="42:52">
      <c r="AP2433" s="1855">
        <f t="shared" si="415"/>
        <v>44829</v>
      </c>
      <c r="AQ2433" s="925" t="str">
        <f t="shared" si="417"/>
        <v/>
      </c>
      <c r="AR2433" s="1856" t="str">
        <f t="shared" si="416"/>
        <v/>
      </c>
      <c r="AT2433" s="1856" t="str">
        <f t="shared" si="409"/>
        <v/>
      </c>
      <c r="AU2433" s="1856" t="str">
        <f t="shared" si="410"/>
        <v/>
      </c>
      <c r="AV2433" s="1856" t="str">
        <f t="shared" si="411"/>
        <v/>
      </c>
      <c r="AW2433" s="1856" t="str">
        <f t="shared" si="412"/>
        <v/>
      </c>
      <c r="AX2433" s="1856" t="str">
        <f t="shared" si="413"/>
        <v/>
      </c>
      <c r="AY2433" s="1856" t="str">
        <f t="shared" si="414"/>
        <v/>
      </c>
    </row>
    <row r="2434" spans="42:52">
      <c r="AP2434" s="1855">
        <f t="shared" si="415"/>
        <v>44829</v>
      </c>
      <c r="AQ2434" s="925" t="str">
        <f t="shared" si="417"/>
        <v>BMNT</v>
      </c>
      <c r="AR2434" s="1856">
        <f t="shared" si="416"/>
        <v>44829.275694444441</v>
      </c>
      <c r="AS2434" s="927" t="s">
        <v>1359</v>
      </c>
      <c r="AT2434" s="1856" t="str">
        <f t="shared" si="409"/>
        <v/>
      </c>
      <c r="AU2434" s="1856" t="str">
        <f t="shared" si="410"/>
        <v/>
      </c>
      <c r="AV2434" s="1856" t="str">
        <f t="shared" si="411"/>
        <v/>
      </c>
      <c r="AW2434" s="1856" t="str">
        <f t="shared" si="412"/>
        <v/>
      </c>
      <c r="AX2434" s="1856" t="str">
        <f t="shared" si="413"/>
        <v/>
      </c>
      <c r="AY2434" s="1856" t="str">
        <f t="shared" si="414"/>
        <v/>
      </c>
    </row>
    <row r="2435" spans="42:52">
      <c r="AP2435" s="1855">
        <f t="shared" si="415"/>
        <v>44829</v>
      </c>
      <c r="AQ2435" s="925" t="str">
        <f t="shared" si="417"/>
        <v>MR</v>
      </c>
      <c r="AR2435" s="1856">
        <f t="shared" si="416"/>
        <v>44829.297222222223</v>
      </c>
      <c r="AS2435" s="927" t="s">
        <v>2160</v>
      </c>
      <c r="AT2435" s="1856" t="str">
        <f t="shared" si="409"/>
        <v/>
      </c>
      <c r="AU2435" s="1856" t="str">
        <f t="shared" si="410"/>
        <v/>
      </c>
      <c r="AV2435" s="1856" t="str">
        <f t="shared" si="411"/>
        <v/>
      </c>
      <c r="AW2435" s="1856" t="str">
        <f t="shared" si="412"/>
        <v/>
      </c>
      <c r="AX2435" s="1856" t="str">
        <f t="shared" si="413"/>
        <v/>
      </c>
      <c r="AY2435" s="1856" t="str">
        <f t="shared" si="414"/>
        <v/>
      </c>
    </row>
    <row r="2436" spans="42:52">
      <c r="AP2436" s="1855">
        <f t="shared" si="415"/>
        <v>44829</v>
      </c>
      <c r="AQ2436" s="925" t="str">
        <f t="shared" si="417"/>
        <v>SR</v>
      </c>
      <c r="AR2436" s="1856">
        <f t="shared" si="416"/>
        <v>44829.315277777772</v>
      </c>
      <c r="AS2436" s="927" t="s">
        <v>1367</v>
      </c>
      <c r="AT2436" s="1856" t="str">
        <f t="shared" si="409"/>
        <v/>
      </c>
      <c r="AU2436" s="1856" t="str">
        <f t="shared" si="410"/>
        <v/>
      </c>
      <c r="AV2436" s="1856" t="str">
        <f t="shared" si="411"/>
        <v/>
      </c>
      <c r="AW2436" s="1856" t="str">
        <f t="shared" si="412"/>
        <v/>
      </c>
      <c r="AX2436" s="1856" t="str">
        <f t="shared" si="413"/>
        <v/>
      </c>
      <c r="AY2436" s="1856" t="str">
        <f t="shared" si="414"/>
        <v/>
      </c>
    </row>
    <row r="2437" spans="42:52">
      <c r="AP2437" s="1855">
        <f t="shared" si="415"/>
        <v>44829</v>
      </c>
      <c r="AQ2437" s="925" t="str">
        <f t="shared" si="417"/>
        <v>SS</v>
      </c>
      <c r="AR2437" s="1856">
        <f t="shared" si="416"/>
        <v>44829.818055555552</v>
      </c>
      <c r="AS2437" s="927" t="s">
        <v>2161</v>
      </c>
      <c r="AT2437" s="1856" t="str">
        <f t="shared" si="409"/>
        <v/>
      </c>
      <c r="AU2437" s="1856" t="str">
        <f t="shared" si="410"/>
        <v/>
      </c>
      <c r="AV2437" s="1856" t="str">
        <f t="shared" si="411"/>
        <v/>
      </c>
      <c r="AW2437" s="1856" t="str">
        <f t="shared" si="412"/>
        <v/>
      </c>
      <c r="AX2437" s="1856" t="str">
        <f t="shared" si="413"/>
        <v/>
      </c>
      <c r="AY2437" s="1856" t="str">
        <f t="shared" si="414"/>
        <v/>
      </c>
    </row>
    <row r="2438" spans="42:52">
      <c r="AP2438" s="1855">
        <f t="shared" si="415"/>
        <v>44829</v>
      </c>
      <c r="AQ2438" s="925" t="str">
        <f t="shared" si="417"/>
        <v>MS</v>
      </c>
      <c r="AR2438" s="1856">
        <f t="shared" si="416"/>
        <v>44829.825694444444</v>
      </c>
      <c r="AS2438" s="927" t="s">
        <v>2162</v>
      </c>
      <c r="AT2438" s="1856" t="str">
        <f t="shared" si="409"/>
        <v/>
      </c>
      <c r="AU2438" s="1856" t="str">
        <f t="shared" si="410"/>
        <v/>
      </c>
      <c r="AV2438" s="1856" t="str">
        <f t="shared" si="411"/>
        <v/>
      </c>
      <c r="AW2438" s="1856" t="str">
        <f t="shared" si="412"/>
        <v/>
      </c>
      <c r="AX2438" s="1856" t="str">
        <f t="shared" si="413"/>
        <v/>
      </c>
      <c r="AY2438" s="1856" t="str">
        <f t="shared" si="414"/>
        <v/>
      </c>
    </row>
    <row r="2439" spans="42:52">
      <c r="AP2439" s="1855">
        <f t="shared" si="415"/>
        <v>44829</v>
      </c>
      <c r="AQ2439" s="925" t="str">
        <f t="shared" si="417"/>
        <v>EENT</v>
      </c>
      <c r="AR2439" s="1856">
        <f t="shared" si="416"/>
        <v>44829.856944444444</v>
      </c>
      <c r="AS2439" s="927" t="s">
        <v>2163</v>
      </c>
      <c r="AT2439" s="1856" t="str">
        <f t="shared" si="409"/>
        <v/>
      </c>
      <c r="AU2439" s="1856" t="str">
        <f t="shared" si="410"/>
        <v/>
      </c>
      <c r="AV2439" s="1856" t="str">
        <f t="shared" si="411"/>
        <v/>
      </c>
      <c r="AW2439" s="1856" t="str">
        <f t="shared" si="412"/>
        <v/>
      </c>
      <c r="AX2439" s="1856" t="str">
        <f t="shared" si="413"/>
        <v/>
      </c>
      <c r="AY2439" s="1856" t="str">
        <f t="shared" si="414"/>
        <v/>
      </c>
    </row>
    <row r="2440" spans="42:52">
      <c r="AP2440" s="1855">
        <f t="shared" si="415"/>
        <v>44830</v>
      </c>
      <c r="AQ2440" s="925" t="str">
        <f t="shared" si="417"/>
        <v/>
      </c>
      <c r="AR2440" s="1856" t="str">
        <f t="shared" si="416"/>
        <v/>
      </c>
      <c r="AS2440" s="927">
        <v>26</v>
      </c>
      <c r="AT2440" s="1856">
        <f t="shared" si="409"/>
        <v>44830.276388888888</v>
      </c>
      <c r="AU2440" s="1856">
        <f t="shared" si="410"/>
        <v>44830.315972222219</v>
      </c>
      <c r="AV2440" s="1856">
        <f t="shared" si="411"/>
        <v>44830.816666666666</v>
      </c>
      <c r="AW2440" s="1856">
        <f t="shared" si="412"/>
        <v>44830.856250000004</v>
      </c>
      <c r="AX2440" s="1856">
        <f t="shared" si="413"/>
        <v>44830.341666666667</v>
      </c>
      <c r="AY2440" s="1856">
        <f t="shared" si="414"/>
        <v>44830.843055555561</v>
      </c>
      <c r="AZ2440" s="1853">
        <v>0</v>
      </c>
    </row>
    <row r="2441" spans="42:52">
      <c r="AP2441" s="1855">
        <f t="shared" si="415"/>
        <v>44830</v>
      </c>
      <c r="AQ2441" s="925" t="str">
        <f t="shared" si="417"/>
        <v/>
      </c>
      <c r="AR2441" s="1856" t="str">
        <f t="shared" si="416"/>
        <v/>
      </c>
      <c r="AS2441" s="927" t="s">
        <v>252</v>
      </c>
      <c r="AT2441" s="1856" t="str">
        <f t="shared" si="409"/>
        <v/>
      </c>
      <c r="AU2441" s="1856" t="str">
        <f t="shared" si="410"/>
        <v/>
      </c>
      <c r="AV2441" s="1856" t="str">
        <f t="shared" si="411"/>
        <v/>
      </c>
      <c r="AW2441" s="1856" t="str">
        <f t="shared" si="412"/>
        <v/>
      </c>
      <c r="AX2441" s="1856" t="str">
        <f t="shared" si="413"/>
        <v/>
      </c>
      <c r="AY2441" s="1856" t="str">
        <f t="shared" si="414"/>
        <v/>
      </c>
    </row>
    <row r="2442" spans="42:52">
      <c r="AP2442" s="1855">
        <f t="shared" si="415"/>
        <v>44830</v>
      </c>
      <c r="AQ2442" s="925" t="str">
        <f t="shared" si="417"/>
        <v/>
      </c>
      <c r="AR2442" s="1856" t="str">
        <f t="shared" si="416"/>
        <v/>
      </c>
      <c r="AT2442" s="1856" t="str">
        <f t="shared" si="409"/>
        <v/>
      </c>
      <c r="AU2442" s="1856" t="str">
        <f t="shared" si="410"/>
        <v/>
      </c>
      <c r="AV2442" s="1856" t="str">
        <f t="shared" si="411"/>
        <v/>
      </c>
      <c r="AW2442" s="1856" t="str">
        <f t="shared" si="412"/>
        <v/>
      </c>
      <c r="AX2442" s="1856" t="str">
        <f t="shared" si="413"/>
        <v/>
      </c>
      <c r="AY2442" s="1856" t="str">
        <f t="shared" si="414"/>
        <v/>
      </c>
    </row>
    <row r="2443" spans="42:52">
      <c r="AP2443" s="1855">
        <f t="shared" si="415"/>
        <v>44830</v>
      </c>
      <c r="AQ2443" s="925" t="str">
        <f t="shared" si="417"/>
        <v>BMNT</v>
      </c>
      <c r="AR2443" s="1856">
        <f t="shared" si="416"/>
        <v>44830.276388888888</v>
      </c>
      <c r="AS2443" s="927" t="s">
        <v>1576</v>
      </c>
      <c r="AT2443" s="1856" t="str">
        <f t="shared" si="409"/>
        <v/>
      </c>
      <c r="AU2443" s="1856" t="str">
        <f t="shared" si="410"/>
        <v/>
      </c>
      <c r="AV2443" s="1856" t="str">
        <f t="shared" si="411"/>
        <v/>
      </c>
      <c r="AW2443" s="1856" t="str">
        <f t="shared" si="412"/>
        <v/>
      </c>
      <c r="AX2443" s="1856" t="str">
        <f t="shared" si="413"/>
        <v/>
      </c>
      <c r="AY2443" s="1856" t="str">
        <f t="shared" si="414"/>
        <v/>
      </c>
    </row>
    <row r="2444" spans="42:52">
      <c r="AP2444" s="1855">
        <f t="shared" si="415"/>
        <v>44830</v>
      </c>
      <c r="AQ2444" s="925" t="str">
        <f t="shared" si="417"/>
        <v>SR</v>
      </c>
      <c r="AR2444" s="1856">
        <f t="shared" si="416"/>
        <v>44830.315972222219</v>
      </c>
      <c r="AS2444" s="927" t="s">
        <v>1361</v>
      </c>
      <c r="AT2444" s="1856" t="str">
        <f t="shared" si="409"/>
        <v/>
      </c>
      <c r="AU2444" s="1856" t="str">
        <f t="shared" si="410"/>
        <v/>
      </c>
      <c r="AV2444" s="1856" t="str">
        <f t="shared" si="411"/>
        <v/>
      </c>
      <c r="AW2444" s="1856" t="str">
        <f t="shared" si="412"/>
        <v/>
      </c>
      <c r="AX2444" s="1856" t="str">
        <f t="shared" si="413"/>
        <v/>
      </c>
      <c r="AY2444" s="1856" t="str">
        <f t="shared" si="414"/>
        <v/>
      </c>
    </row>
    <row r="2445" spans="42:52">
      <c r="AP2445" s="1855">
        <f t="shared" si="415"/>
        <v>44830</v>
      </c>
      <c r="AQ2445" s="925" t="str">
        <f t="shared" si="417"/>
        <v>MR</v>
      </c>
      <c r="AR2445" s="1856">
        <f t="shared" si="416"/>
        <v>44830.341666666667</v>
      </c>
      <c r="AS2445" s="927" t="s">
        <v>2164</v>
      </c>
      <c r="AT2445" s="1856" t="str">
        <f t="shared" si="409"/>
        <v/>
      </c>
      <c r="AU2445" s="1856" t="str">
        <f t="shared" si="410"/>
        <v/>
      </c>
      <c r="AV2445" s="1856" t="str">
        <f t="shared" si="411"/>
        <v/>
      </c>
      <c r="AW2445" s="1856" t="str">
        <f t="shared" si="412"/>
        <v/>
      </c>
      <c r="AX2445" s="1856" t="str">
        <f t="shared" si="413"/>
        <v/>
      </c>
      <c r="AY2445" s="1856" t="str">
        <f t="shared" si="414"/>
        <v/>
      </c>
    </row>
    <row r="2446" spans="42:52">
      <c r="AP2446" s="1855">
        <f t="shared" si="415"/>
        <v>44830</v>
      </c>
      <c r="AQ2446" s="925" t="str">
        <f t="shared" si="417"/>
        <v>SS</v>
      </c>
      <c r="AR2446" s="1856">
        <f t="shared" si="416"/>
        <v>44830.816666666666</v>
      </c>
      <c r="AS2446" s="927" t="s">
        <v>2165</v>
      </c>
      <c r="AT2446" s="1856" t="str">
        <f t="shared" si="409"/>
        <v/>
      </c>
      <c r="AU2446" s="1856" t="str">
        <f t="shared" si="410"/>
        <v/>
      </c>
      <c r="AV2446" s="1856" t="str">
        <f t="shared" si="411"/>
        <v/>
      </c>
      <c r="AW2446" s="1856" t="str">
        <f t="shared" si="412"/>
        <v/>
      </c>
      <c r="AX2446" s="1856" t="str">
        <f t="shared" si="413"/>
        <v/>
      </c>
      <c r="AY2446" s="1856" t="str">
        <f t="shared" si="414"/>
        <v/>
      </c>
    </row>
    <row r="2447" spans="42:52">
      <c r="AP2447" s="1855">
        <f t="shared" si="415"/>
        <v>44830</v>
      </c>
      <c r="AQ2447" s="925" t="str">
        <f t="shared" si="417"/>
        <v>MS</v>
      </c>
      <c r="AR2447" s="1856">
        <f t="shared" si="416"/>
        <v>44830.843055555561</v>
      </c>
      <c r="AS2447" s="927" t="s">
        <v>2166</v>
      </c>
      <c r="AT2447" s="1856" t="str">
        <f t="shared" si="409"/>
        <v/>
      </c>
      <c r="AU2447" s="1856" t="str">
        <f t="shared" si="410"/>
        <v/>
      </c>
      <c r="AV2447" s="1856" t="str">
        <f t="shared" si="411"/>
        <v/>
      </c>
      <c r="AW2447" s="1856" t="str">
        <f t="shared" si="412"/>
        <v/>
      </c>
      <c r="AX2447" s="1856" t="str">
        <f t="shared" si="413"/>
        <v/>
      </c>
      <c r="AY2447" s="1856" t="str">
        <f t="shared" si="414"/>
        <v/>
      </c>
    </row>
    <row r="2448" spans="42:52">
      <c r="AP2448" s="1855">
        <f t="shared" si="415"/>
        <v>44830</v>
      </c>
      <c r="AQ2448" s="925" t="str">
        <f t="shared" si="417"/>
        <v>EENT</v>
      </c>
      <c r="AR2448" s="1856">
        <f t="shared" si="416"/>
        <v>44830.856250000004</v>
      </c>
      <c r="AS2448" s="927" t="s">
        <v>2167</v>
      </c>
      <c r="AT2448" s="1856" t="str">
        <f t="shared" si="409"/>
        <v/>
      </c>
      <c r="AU2448" s="1856" t="str">
        <f t="shared" si="410"/>
        <v/>
      </c>
      <c r="AV2448" s="1856" t="str">
        <f t="shared" si="411"/>
        <v/>
      </c>
      <c r="AW2448" s="1856" t="str">
        <f t="shared" si="412"/>
        <v/>
      </c>
      <c r="AX2448" s="1856" t="str">
        <f t="shared" si="413"/>
        <v/>
      </c>
      <c r="AY2448" s="1856" t="str">
        <f t="shared" si="414"/>
        <v/>
      </c>
    </row>
    <row r="2449" spans="42:52">
      <c r="AP2449" s="1855">
        <f t="shared" si="415"/>
        <v>44831</v>
      </c>
      <c r="AQ2449" s="925" t="str">
        <f t="shared" si="417"/>
        <v/>
      </c>
      <c r="AR2449" s="1856" t="str">
        <f t="shared" si="416"/>
        <v/>
      </c>
      <c r="AS2449" s="927">
        <v>27</v>
      </c>
      <c r="AT2449" s="1856">
        <f t="shared" si="409"/>
        <v>44831.277083333334</v>
      </c>
      <c r="AU2449" s="1856">
        <f t="shared" si="410"/>
        <v>44831.316666666666</v>
      </c>
      <c r="AV2449" s="1856">
        <f t="shared" si="411"/>
        <v>44831.815277777772</v>
      </c>
      <c r="AW2449" s="1856">
        <f t="shared" si="412"/>
        <v>44831.854861111111</v>
      </c>
      <c r="AX2449" s="1856">
        <f t="shared" si="413"/>
        <v>44831.387499999997</v>
      </c>
      <c r="AY2449" s="1856">
        <f t="shared" si="414"/>
        <v>44831.861111111117</v>
      </c>
      <c r="AZ2449" s="1853">
        <v>0.02</v>
      </c>
    </row>
    <row r="2450" spans="42:52">
      <c r="AP2450" s="1855">
        <f t="shared" si="415"/>
        <v>44831</v>
      </c>
      <c r="AQ2450" s="925" t="str">
        <f t="shared" si="417"/>
        <v/>
      </c>
      <c r="AR2450" s="1856" t="str">
        <f t="shared" si="416"/>
        <v/>
      </c>
      <c r="AS2450" s="927" t="s">
        <v>252</v>
      </c>
      <c r="AT2450" s="1856" t="str">
        <f t="shared" si="409"/>
        <v/>
      </c>
      <c r="AU2450" s="1856" t="str">
        <f t="shared" si="410"/>
        <v/>
      </c>
      <c r="AV2450" s="1856" t="str">
        <f t="shared" si="411"/>
        <v/>
      </c>
      <c r="AW2450" s="1856" t="str">
        <f t="shared" si="412"/>
        <v/>
      </c>
      <c r="AX2450" s="1856" t="str">
        <f t="shared" si="413"/>
        <v/>
      </c>
      <c r="AY2450" s="1856" t="str">
        <f t="shared" si="414"/>
        <v/>
      </c>
    </row>
    <row r="2451" spans="42:52">
      <c r="AP2451" s="1855">
        <f t="shared" si="415"/>
        <v>44831</v>
      </c>
      <c r="AQ2451" s="925" t="str">
        <f t="shared" si="417"/>
        <v/>
      </c>
      <c r="AR2451" s="1856" t="str">
        <f t="shared" si="416"/>
        <v/>
      </c>
      <c r="AT2451" s="1856" t="str">
        <f t="shared" si="409"/>
        <v/>
      </c>
      <c r="AU2451" s="1856" t="str">
        <f t="shared" si="410"/>
        <v/>
      </c>
      <c r="AV2451" s="1856" t="str">
        <f t="shared" si="411"/>
        <v/>
      </c>
      <c r="AW2451" s="1856" t="str">
        <f t="shared" si="412"/>
        <v/>
      </c>
      <c r="AX2451" s="1856" t="str">
        <f t="shared" si="413"/>
        <v/>
      </c>
      <c r="AY2451" s="1856" t="str">
        <f t="shared" si="414"/>
        <v/>
      </c>
    </row>
    <row r="2452" spans="42:52">
      <c r="AP2452" s="1855">
        <f t="shared" si="415"/>
        <v>44831</v>
      </c>
      <c r="AQ2452" s="925" t="str">
        <f t="shared" si="417"/>
        <v>BMNT</v>
      </c>
      <c r="AR2452" s="1856">
        <f t="shared" si="416"/>
        <v>44831.277083333334</v>
      </c>
      <c r="AS2452" s="927" t="s">
        <v>1354</v>
      </c>
      <c r="AT2452" s="1856" t="str">
        <f t="shared" si="409"/>
        <v/>
      </c>
      <c r="AU2452" s="1856" t="str">
        <f t="shared" si="410"/>
        <v/>
      </c>
      <c r="AV2452" s="1856" t="str">
        <f t="shared" si="411"/>
        <v/>
      </c>
      <c r="AW2452" s="1856" t="str">
        <f t="shared" si="412"/>
        <v/>
      </c>
      <c r="AX2452" s="1856" t="str">
        <f t="shared" si="413"/>
        <v/>
      </c>
      <c r="AY2452" s="1856" t="str">
        <f t="shared" si="414"/>
        <v/>
      </c>
    </row>
    <row r="2453" spans="42:52">
      <c r="AP2453" s="1855">
        <f t="shared" si="415"/>
        <v>44831</v>
      </c>
      <c r="AQ2453" s="925" t="str">
        <f t="shared" si="417"/>
        <v>SR</v>
      </c>
      <c r="AR2453" s="1856">
        <f t="shared" si="416"/>
        <v>44831.316666666666</v>
      </c>
      <c r="AS2453" s="927" t="s">
        <v>1355</v>
      </c>
      <c r="AT2453" s="1856" t="str">
        <f t="shared" si="409"/>
        <v/>
      </c>
      <c r="AU2453" s="1856" t="str">
        <f t="shared" si="410"/>
        <v/>
      </c>
      <c r="AV2453" s="1856" t="str">
        <f t="shared" si="411"/>
        <v/>
      </c>
      <c r="AW2453" s="1856" t="str">
        <f t="shared" si="412"/>
        <v/>
      </c>
      <c r="AX2453" s="1856" t="str">
        <f t="shared" si="413"/>
        <v/>
      </c>
      <c r="AY2453" s="1856" t="str">
        <f t="shared" si="414"/>
        <v/>
      </c>
    </row>
    <row r="2454" spans="42:52">
      <c r="AP2454" s="1855">
        <f t="shared" si="415"/>
        <v>44831</v>
      </c>
      <c r="AQ2454" s="925" t="str">
        <f t="shared" si="417"/>
        <v>MR</v>
      </c>
      <c r="AR2454" s="1856">
        <f t="shared" si="416"/>
        <v>44831.387499999997</v>
      </c>
      <c r="AS2454" s="927" t="s">
        <v>2168</v>
      </c>
      <c r="AT2454" s="1856" t="str">
        <f t="shared" si="409"/>
        <v/>
      </c>
      <c r="AU2454" s="1856" t="str">
        <f t="shared" si="410"/>
        <v/>
      </c>
      <c r="AV2454" s="1856" t="str">
        <f t="shared" si="411"/>
        <v/>
      </c>
      <c r="AW2454" s="1856" t="str">
        <f t="shared" si="412"/>
        <v/>
      </c>
      <c r="AX2454" s="1856" t="str">
        <f t="shared" si="413"/>
        <v/>
      </c>
      <c r="AY2454" s="1856" t="str">
        <f t="shared" si="414"/>
        <v/>
      </c>
    </row>
    <row r="2455" spans="42:52">
      <c r="AP2455" s="1855">
        <f t="shared" si="415"/>
        <v>44831</v>
      </c>
      <c r="AQ2455" s="925" t="str">
        <f t="shared" si="417"/>
        <v>SS</v>
      </c>
      <c r="AR2455" s="1856">
        <f t="shared" si="416"/>
        <v>44831.815277777772</v>
      </c>
      <c r="AS2455" s="927" t="s">
        <v>2169</v>
      </c>
      <c r="AT2455" s="1856" t="str">
        <f t="shared" si="409"/>
        <v/>
      </c>
      <c r="AU2455" s="1856" t="str">
        <f t="shared" si="410"/>
        <v/>
      </c>
      <c r="AV2455" s="1856" t="str">
        <f t="shared" si="411"/>
        <v/>
      </c>
      <c r="AW2455" s="1856" t="str">
        <f t="shared" si="412"/>
        <v/>
      </c>
      <c r="AX2455" s="1856" t="str">
        <f t="shared" si="413"/>
        <v/>
      </c>
      <c r="AY2455" s="1856" t="str">
        <f t="shared" si="414"/>
        <v/>
      </c>
    </row>
    <row r="2456" spans="42:52">
      <c r="AP2456" s="1855">
        <f t="shared" si="415"/>
        <v>44831</v>
      </c>
      <c r="AQ2456" s="925" t="str">
        <f t="shared" si="417"/>
        <v>EENT</v>
      </c>
      <c r="AR2456" s="1856">
        <f t="shared" si="416"/>
        <v>44831.854861111111</v>
      </c>
      <c r="AS2456" s="927" t="s">
        <v>2170</v>
      </c>
      <c r="AT2456" s="1856" t="str">
        <f t="shared" si="409"/>
        <v/>
      </c>
      <c r="AU2456" s="1856" t="str">
        <f t="shared" si="410"/>
        <v/>
      </c>
      <c r="AV2456" s="1856" t="str">
        <f t="shared" si="411"/>
        <v/>
      </c>
      <c r="AW2456" s="1856" t="str">
        <f t="shared" si="412"/>
        <v/>
      </c>
      <c r="AX2456" s="1856" t="str">
        <f t="shared" si="413"/>
        <v/>
      </c>
      <c r="AY2456" s="1856" t="str">
        <f t="shared" si="414"/>
        <v/>
      </c>
    </row>
    <row r="2457" spans="42:52">
      <c r="AP2457" s="1855">
        <f t="shared" si="415"/>
        <v>44831</v>
      </c>
      <c r="AQ2457" s="925" t="str">
        <f t="shared" si="417"/>
        <v>MS</v>
      </c>
      <c r="AR2457" s="1856">
        <f t="shared" si="416"/>
        <v>44831.861111111117</v>
      </c>
      <c r="AS2457" s="927" t="s">
        <v>2171</v>
      </c>
      <c r="AT2457" s="1856" t="str">
        <f t="shared" si="409"/>
        <v/>
      </c>
      <c r="AU2457" s="1856" t="str">
        <f t="shared" si="410"/>
        <v/>
      </c>
      <c r="AV2457" s="1856" t="str">
        <f t="shared" si="411"/>
        <v/>
      </c>
      <c r="AW2457" s="1856" t="str">
        <f t="shared" si="412"/>
        <v/>
      </c>
      <c r="AX2457" s="1856" t="str">
        <f t="shared" si="413"/>
        <v/>
      </c>
      <c r="AY2457" s="1856" t="str">
        <f t="shared" si="414"/>
        <v/>
      </c>
    </row>
    <row r="2458" spans="42:52">
      <c r="AP2458" s="1855">
        <f t="shared" si="415"/>
        <v>44832</v>
      </c>
      <c r="AQ2458" s="925" t="str">
        <f t="shared" si="417"/>
        <v/>
      </c>
      <c r="AR2458" s="1856" t="str">
        <f t="shared" si="416"/>
        <v/>
      </c>
      <c r="AS2458" s="927">
        <v>28</v>
      </c>
      <c r="AT2458" s="1856">
        <f t="shared" si="409"/>
        <v>44832.277777777781</v>
      </c>
      <c r="AU2458" s="1856">
        <f t="shared" si="410"/>
        <v>44832.316666666666</v>
      </c>
      <c r="AV2458" s="1856">
        <f t="shared" si="411"/>
        <v>44832.814583333333</v>
      </c>
      <c r="AW2458" s="1856">
        <f t="shared" si="412"/>
        <v>44832.854166666672</v>
      </c>
      <c r="AX2458" s="1856">
        <f t="shared" si="413"/>
        <v>44832.434027777774</v>
      </c>
      <c r="AY2458" s="1856">
        <f t="shared" si="414"/>
        <v>44832.881249999999</v>
      </c>
      <c r="AZ2458" s="1853">
        <v>0.06</v>
      </c>
    </row>
    <row r="2459" spans="42:52">
      <c r="AP2459" s="1855">
        <f t="shared" si="415"/>
        <v>44832</v>
      </c>
      <c r="AQ2459" s="925" t="str">
        <f t="shared" si="417"/>
        <v/>
      </c>
      <c r="AR2459" s="1856" t="str">
        <f t="shared" si="416"/>
        <v/>
      </c>
      <c r="AS2459" s="927" t="s">
        <v>252</v>
      </c>
      <c r="AT2459" s="1856" t="str">
        <f t="shared" si="409"/>
        <v/>
      </c>
      <c r="AU2459" s="1856" t="str">
        <f t="shared" si="410"/>
        <v/>
      </c>
      <c r="AV2459" s="1856" t="str">
        <f t="shared" si="411"/>
        <v/>
      </c>
      <c r="AW2459" s="1856" t="str">
        <f t="shared" si="412"/>
        <v/>
      </c>
      <c r="AX2459" s="1856" t="str">
        <f t="shared" si="413"/>
        <v/>
      </c>
      <c r="AY2459" s="1856" t="str">
        <f t="shared" si="414"/>
        <v/>
      </c>
    </row>
    <row r="2460" spans="42:52">
      <c r="AP2460" s="1855">
        <f t="shared" si="415"/>
        <v>44832</v>
      </c>
      <c r="AQ2460" s="925" t="str">
        <f t="shared" si="417"/>
        <v/>
      </c>
      <c r="AR2460" s="1856" t="str">
        <f t="shared" si="416"/>
        <v/>
      </c>
      <c r="AT2460" s="1856" t="str">
        <f t="shared" ref="AT2460:AT2523" si="418">IF(ISNUMBER(AS2460),INDEX(AR2461:AR2471,MATCH($AT$27,AQ2461:AQ2471,0)),"")</f>
        <v/>
      </c>
      <c r="AU2460" s="1856" t="str">
        <f t="shared" ref="AU2460:AU2523" si="419">IF(AT2460="","",INDEX(AR2461:AR2471,MATCH($AU$27,AQ2461:AQ2471,0)))</f>
        <v/>
      </c>
      <c r="AV2460" s="1856" t="str">
        <f t="shared" ref="AV2460:AV2523" si="420">IF(AT2460="","",INDEX(AR2461:AR2471,MATCH($AV$27,AQ2461:AQ2471,0)))</f>
        <v/>
      </c>
      <c r="AW2460" s="1856" t="str">
        <f t="shared" ref="AW2460:AW2523" si="421">IF(AT2460="","",INDEX(AR2461:AR2471,MATCH($AW$27,AQ2461:AQ2471,0)))</f>
        <v/>
      </c>
      <c r="AX2460" s="1856" t="str">
        <f t="shared" ref="AX2460:AX2523" si="422">IF(AT2460="","",INDEX(AR2461:AR2471,MATCH($AX$27,AQ2461:AQ2471,0)))</f>
        <v/>
      </c>
      <c r="AY2460" s="1856" t="str">
        <f t="shared" ref="AY2460:AY2523" si="423">IF(AT2460="","",INDEX(AR2461:AR2471,MATCH($AY$27,AQ2461:AQ2471,0)))</f>
        <v/>
      </c>
    </row>
    <row r="2461" spans="42:52">
      <c r="AP2461" s="1855">
        <f t="shared" si="415"/>
        <v>44832</v>
      </c>
      <c r="AQ2461" s="925" t="str">
        <f t="shared" si="417"/>
        <v>BMNT</v>
      </c>
      <c r="AR2461" s="1856">
        <f t="shared" si="416"/>
        <v>44832.277777777781</v>
      </c>
      <c r="AS2461" s="927" t="s">
        <v>1348</v>
      </c>
      <c r="AT2461" s="1856" t="str">
        <f t="shared" si="418"/>
        <v/>
      </c>
      <c r="AU2461" s="1856" t="str">
        <f t="shared" si="419"/>
        <v/>
      </c>
      <c r="AV2461" s="1856" t="str">
        <f t="shared" si="420"/>
        <v/>
      </c>
      <c r="AW2461" s="1856" t="str">
        <f t="shared" si="421"/>
        <v/>
      </c>
      <c r="AX2461" s="1856" t="str">
        <f t="shared" si="422"/>
        <v/>
      </c>
      <c r="AY2461" s="1856" t="str">
        <f t="shared" si="423"/>
        <v/>
      </c>
    </row>
    <row r="2462" spans="42:52">
      <c r="AP2462" s="1855">
        <f t="shared" si="415"/>
        <v>44832</v>
      </c>
      <c r="AQ2462" s="925" t="str">
        <f t="shared" si="417"/>
        <v>SR</v>
      </c>
      <c r="AR2462" s="1856">
        <f t="shared" si="416"/>
        <v>44832.316666666666</v>
      </c>
      <c r="AS2462" s="927" t="s">
        <v>1355</v>
      </c>
      <c r="AT2462" s="1856" t="str">
        <f t="shared" si="418"/>
        <v/>
      </c>
      <c r="AU2462" s="1856" t="str">
        <f t="shared" si="419"/>
        <v/>
      </c>
      <c r="AV2462" s="1856" t="str">
        <f t="shared" si="420"/>
        <v/>
      </c>
      <c r="AW2462" s="1856" t="str">
        <f t="shared" si="421"/>
        <v/>
      </c>
      <c r="AX2462" s="1856" t="str">
        <f t="shared" si="422"/>
        <v/>
      </c>
      <c r="AY2462" s="1856" t="str">
        <f t="shared" si="423"/>
        <v/>
      </c>
    </row>
    <row r="2463" spans="42:52">
      <c r="AP2463" s="1855">
        <f t="shared" si="415"/>
        <v>44832</v>
      </c>
      <c r="AQ2463" s="925" t="str">
        <f t="shared" si="417"/>
        <v>MR</v>
      </c>
      <c r="AR2463" s="1856">
        <f t="shared" si="416"/>
        <v>44832.434027777774</v>
      </c>
      <c r="AS2463" s="927" t="s">
        <v>1614</v>
      </c>
      <c r="AT2463" s="1856" t="str">
        <f t="shared" si="418"/>
        <v/>
      </c>
      <c r="AU2463" s="1856" t="str">
        <f t="shared" si="419"/>
        <v/>
      </c>
      <c r="AV2463" s="1856" t="str">
        <f t="shared" si="420"/>
        <v/>
      </c>
      <c r="AW2463" s="1856" t="str">
        <f t="shared" si="421"/>
        <v/>
      </c>
      <c r="AX2463" s="1856" t="str">
        <f t="shared" si="422"/>
        <v/>
      </c>
      <c r="AY2463" s="1856" t="str">
        <f t="shared" si="423"/>
        <v/>
      </c>
    </row>
    <row r="2464" spans="42:52">
      <c r="AP2464" s="1855">
        <f t="shared" si="415"/>
        <v>44832</v>
      </c>
      <c r="AQ2464" s="925" t="str">
        <f t="shared" si="417"/>
        <v>SS</v>
      </c>
      <c r="AR2464" s="1856">
        <f t="shared" si="416"/>
        <v>44832.814583333333</v>
      </c>
      <c r="AS2464" s="927" t="s">
        <v>2172</v>
      </c>
      <c r="AT2464" s="1856" t="str">
        <f t="shared" si="418"/>
        <v/>
      </c>
      <c r="AU2464" s="1856" t="str">
        <f t="shared" si="419"/>
        <v/>
      </c>
      <c r="AV2464" s="1856" t="str">
        <f t="shared" si="420"/>
        <v/>
      </c>
      <c r="AW2464" s="1856" t="str">
        <f t="shared" si="421"/>
        <v/>
      </c>
      <c r="AX2464" s="1856" t="str">
        <f t="shared" si="422"/>
        <v/>
      </c>
      <c r="AY2464" s="1856" t="str">
        <f t="shared" si="423"/>
        <v/>
      </c>
    </row>
    <row r="2465" spans="42:52">
      <c r="AP2465" s="1855">
        <f t="shared" si="415"/>
        <v>44832</v>
      </c>
      <c r="AQ2465" s="925" t="str">
        <f t="shared" si="417"/>
        <v>EENT</v>
      </c>
      <c r="AR2465" s="1856">
        <f t="shared" si="416"/>
        <v>44832.854166666672</v>
      </c>
      <c r="AS2465" s="927" t="s">
        <v>2173</v>
      </c>
      <c r="AT2465" s="1856" t="str">
        <f t="shared" si="418"/>
        <v/>
      </c>
      <c r="AU2465" s="1856" t="str">
        <f t="shared" si="419"/>
        <v/>
      </c>
      <c r="AV2465" s="1856" t="str">
        <f t="shared" si="420"/>
        <v/>
      </c>
      <c r="AW2465" s="1856" t="str">
        <f t="shared" si="421"/>
        <v/>
      </c>
      <c r="AX2465" s="1856" t="str">
        <f t="shared" si="422"/>
        <v/>
      </c>
      <c r="AY2465" s="1856" t="str">
        <f t="shared" si="423"/>
        <v/>
      </c>
    </row>
    <row r="2466" spans="42:52">
      <c r="AP2466" s="1855">
        <f t="shared" si="415"/>
        <v>44832</v>
      </c>
      <c r="AQ2466" s="925" t="str">
        <f t="shared" si="417"/>
        <v>MS</v>
      </c>
      <c r="AR2466" s="1856">
        <f t="shared" si="416"/>
        <v>44832.881249999999</v>
      </c>
      <c r="AS2466" s="927" t="s">
        <v>2174</v>
      </c>
      <c r="AT2466" s="1856" t="str">
        <f t="shared" si="418"/>
        <v/>
      </c>
      <c r="AU2466" s="1856" t="str">
        <f t="shared" si="419"/>
        <v/>
      </c>
      <c r="AV2466" s="1856" t="str">
        <f t="shared" si="420"/>
        <v/>
      </c>
      <c r="AW2466" s="1856" t="str">
        <f t="shared" si="421"/>
        <v/>
      </c>
      <c r="AX2466" s="1856" t="str">
        <f t="shared" si="422"/>
        <v/>
      </c>
      <c r="AY2466" s="1856" t="str">
        <f t="shared" si="423"/>
        <v/>
      </c>
    </row>
    <row r="2467" spans="42:52">
      <c r="AP2467" s="1855">
        <f t="shared" si="415"/>
        <v>44833</v>
      </c>
      <c r="AQ2467" s="925" t="str">
        <f t="shared" si="417"/>
        <v/>
      </c>
      <c r="AR2467" s="1856" t="str">
        <f t="shared" si="416"/>
        <v/>
      </c>
      <c r="AS2467" s="927">
        <v>29</v>
      </c>
      <c r="AT2467" s="1856">
        <f t="shared" si="418"/>
        <v>44833.27847222222</v>
      </c>
      <c r="AU2467" s="1856">
        <f t="shared" si="419"/>
        <v>44833.317361111105</v>
      </c>
      <c r="AV2467" s="1856">
        <f t="shared" si="420"/>
        <v>44833.813194444439</v>
      </c>
      <c r="AW2467" s="1856">
        <f t="shared" si="421"/>
        <v>44833.852777777778</v>
      </c>
      <c r="AX2467" s="1856">
        <f t="shared" si="422"/>
        <v>44833.483333333337</v>
      </c>
      <c r="AY2467" s="1856">
        <f t="shared" si="423"/>
        <v>44833.904861111114</v>
      </c>
      <c r="AZ2467" s="1853">
        <v>0.12</v>
      </c>
    </row>
    <row r="2468" spans="42:52">
      <c r="AP2468" s="1855">
        <f t="shared" si="415"/>
        <v>44833</v>
      </c>
      <c r="AQ2468" s="925" t="str">
        <f t="shared" si="417"/>
        <v/>
      </c>
      <c r="AR2468" s="1856" t="str">
        <f t="shared" si="416"/>
        <v/>
      </c>
      <c r="AS2468" s="927" t="s">
        <v>252</v>
      </c>
      <c r="AT2468" s="1856" t="str">
        <f t="shared" si="418"/>
        <v/>
      </c>
      <c r="AU2468" s="1856" t="str">
        <f t="shared" si="419"/>
        <v/>
      </c>
      <c r="AV2468" s="1856" t="str">
        <f t="shared" si="420"/>
        <v/>
      </c>
      <c r="AW2468" s="1856" t="str">
        <f t="shared" si="421"/>
        <v/>
      </c>
      <c r="AX2468" s="1856" t="str">
        <f t="shared" si="422"/>
        <v/>
      </c>
      <c r="AY2468" s="1856" t="str">
        <f t="shared" si="423"/>
        <v/>
      </c>
    </row>
    <row r="2469" spans="42:52">
      <c r="AP2469" s="1855">
        <f t="shared" ref="AP2469:AP2532" si="424">IF(ISNUMBER(AS2469),AP2468+1,AP2468)</f>
        <v>44833</v>
      </c>
      <c r="AQ2469" s="925" t="str">
        <f t="shared" si="417"/>
        <v/>
      </c>
      <c r="AR2469" s="1856" t="str">
        <f t="shared" si="416"/>
        <v/>
      </c>
      <c r="AT2469" s="1856" t="str">
        <f t="shared" si="418"/>
        <v/>
      </c>
      <c r="AU2469" s="1856" t="str">
        <f t="shared" si="419"/>
        <v/>
      </c>
      <c r="AV2469" s="1856" t="str">
        <f t="shared" si="420"/>
        <v/>
      </c>
      <c r="AW2469" s="1856" t="str">
        <f t="shared" si="421"/>
        <v/>
      </c>
      <c r="AX2469" s="1856" t="str">
        <f t="shared" si="422"/>
        <v/>
      </c>
      <c r="AY2469" s="1856" t="str">
        <f t="shared" si="423"/>
        <v/>
      </c>
    </row>
    <row r="2470" spans="42:52">
      <c r="AP2470" s="1855">
        <f t="shared" si="424"/>
        <v>44833</v>
      </c>
      <c r="AQ2470" s="925" t="str">
        <f t="shared" si="417"/>
        <v>BMNT</v>
      </c>
      <c r="AR2470" s="1856">
        <f t="shared" si="416"/>
        <v>44833.27847222222</v>
      </c>
      <c r="AS2470" s="927" t="s">
        <v>1342</v>
      </c>
      <c r="AT2470" s="1856" t="str">
        <f t="shared" si="418"/>
        <v/>
      </c>
      <c r="AU2470" s="1856" t="str">
        <f t="shared" si="419"/>
        <v/>
      </c>
      <c r="AV2470" s="1856" t="str">
        <f t="shared" si="420"/>
        <v/>
      </c>
      <c r="AW2470" s="1856" t="str">
        <f t="shared" si="421"/>
        <v/>
      </c>
      <c r="AX2470" s="1856" t="str">
        <f t="shared" si="422"/>
        <v/>
      </c>
      <c r="AY2470" s="1856" t="str">
        <f t="shared" si="423"/>
        <v/>
      </c>
    </row>
    <row r="2471" spans="42:52">
      <c r="AP2471" s="1855">
        <f t="shared" si="424"/>
        <v>44833</v>
      </c>
      <c r="AQ2471" s="925" t="str">
        <f t="shared" si="417"/>
        <v>SR</v>
      </c>
      <c r="AR2471" s="1856">
        <f t="shared" si="416"/>
        <v>44833.317361111105</v>
      </c>
      <c r="AS2471" s="927" t="s">
        <v>1571</v>
      </c>
      <c r="AT2471" s="1856" t="str">
        <f t="shared" si="418"/>
        <v/>
      </c>
      <c r="AU2471" s="1856" t="str">
        <f t="shared" si="419"/>
        <v/>
      </c>
      <c r="AV2471" s="1856" t="str">
        <f t="shared" si="420"/>
        <v/>
      </c>
      <c r="AW2471" s="1856" t="str">
        <f t="shared" si="421"/>
        <v/>
      </c>
      <c r="AX2471" s="1856" t="str">
        <f t="shared" si="422"/>
        <v/>
      </c>
      <c r="AY2471" s="1856" t="str">
        <f t="shared" si="423"/>
        <v/>
      </c>
    </row>
    <row r="2472" spans="42:52">
      <c r="AP2472" s="1855">
        <f t="shared" si="424"/>
        <v>44833</v>
      </c>
      <c r="AQ2472" s="925" t="str">
        <f t="shared" si="417"/>
        <v>MR</v>
      </c>
      <c r="AR2472" s="1856">
        <f t="shared" si="416"/>
        <v>44833.483333333337</v>
      </c>
      <c r="AS2472" s="927" t="s">
        <v>2175</v>
      </c>
      <c r="AT2472" s="1856" t="str">
        <f t="shared" si="418"/>
        <v/>
      </c>
      <c r="AU2472" s="1856" t="str">
        <f t="shared" si="419"/>
        <v/>
      </c>
      <c r="AV2472" s="1856" t="str">
        <f t="shared" si="420"/>
        <v/>
      </c>
      <c r="AW2472" s="1856" t="str">
        <f t="shared" si="421"/>
        <v/>
      </c>
      <c r="AX2472" s="1856" t="str">
        <f t="shared" si="422"/>
        <v/>
      </c>
      <c r="AY2472" s="1856" t="str">
        <f t="shared" si="423"/>
        <v/>
      </c>
    </row>
    <row r="2473" spans="42:52">
      <c r="AP2473" s="1855">
        <f t="shared" si="424"/>
        <v>44833</v>
      </c>
      <c r="AQ2473" s="925" t="str">
        <f t="shared" si="417"/>
        <v>SS</v>
      </c>
      <c r="AR2473" s="1856">
        <f t="shared" ref="AR2473:AR2536" si="425">IF(NOT(ISNUMBER(FIND(":",AS2473))),"",IF(ISNUMBER(FIND(" none",AS2473)),"NONE",AP2473+LEFT(RIGHT(AS2473,5),2)/24+RIGHT(AS2473,2)/1440))</f>
        <v>44833.813194444439</v>
      </c>
      <c r="AS2473" s="927" t="s">
        <v>2176</v>
      </c>
      <c r="AT2473" s="1856" t="str">
        <f t="shared" si="418"/>
        <v/>
      </c>
      <c r="AU2473" s="1856" t="str">
        <f t="shared" si="419"/>
        <v/>
      </c>
      <c r="AV2473" s="1856" t="str">
        <f t="shared" si="420"/>
        <v/>
      </c>
      <c r="AW2473" s="1856" t="str">
        <f t="shared" si="421"/>
        <v/>
      </c>
      <c r="AX2473" s="1856" t="str">
        <f t="shared" si="422"/>
        <v/>
      </c>
      <c r="AY2473" s="1856" t="str">
        <f t="shared" si="423"/>
        <v/>
      </c>
    </row>
    <row r="2474" spans="42:52">
      <c r="AP2474" s="1855">
        <f t="shared" si="424"/>
        <v>44833</v>
      </c>
      <c r="AQ2474" s="925" t="str">
        <f t="shared" si="417"/>
        <v>EENT</v>
      </c>
      <c r="AR2474" s="1856">
        <f t="shared" si="425"/>
        <v>44833.852777777778</v>
      </c>
      <c r="AS2474" s="927" t="s">
        <v>2177</v>
      </c>
      <c r="AT2474" s="1856" t="str">
        <f t="shared" si="418"/>
        <v/>
      </c>
      <c r="AU2474" s="1856" t="str">
        <f t="shared" si="419"/>
        <v/>
      </c>
      <c r="AV2474" s="1856" t="str">
        <f t="shared" si="420"/>
        <v/>
      </c>
      <c r="AW2474" s="1856" t="str">
        <f t="shared" si="421"/>
        <v/>
      </c>
      <c r="AX2474" s="1856" t="str">
        <f t="shared" si="422"/>
        <v/>
      </c>
      <c r="AY2474" s="1856" t="str">
        <f t="shared" si="423"/>
        <v/>
      </c>
    </row>
    <row r="2475" spans="42:52">
      <c r="AP2475" s="1855">
        <f t="shared" si="424"/>
        <v>44833</v>
      </c>
      <c r="AQ2475" s="925" t="str">
        <f t="shared" si="417"/>
        <v>MS</v>
      </c>
      <c r="AR2475" s="1856">
        <f t="shared" si="425"/>
        <v>44833.904861111114</v>
      </c>
      <c r="AS2475" s="927" t="s">
        <v>2178</v>
      </c>
      <c r="AT2475" s="1856" t="str">
        <f t="shared" si="418"/>
        <v/>
      </c>
      <c r="AU2475" s="1856" t="str">
        <f t="shared" si="419"/>
        <v/>
      </c>
      <c r="AV2475" s="1856" t="str">
        <f t="shared" si="420"/>
        <v/>
      </c>
      <c r="AW2475" s="1856" t="str">
        <f t="shared" si="421"/>
        <v/>
      </c>
      <c r="AX2475" s="1856" t="str">
        <f t="shared" si="422"/>
        <v/>
      </c>
      <c r="AY2475" s="1856" t="str">
        <f t="shared" si="423"/>
        <v/>
      </c>
    </row>
    <row r="2476" spans="42:52">
      <c r="AP2476" s="1855">
        <f t="shared" si="424"/>
        <v>44834</v>
      </c>
      <c r="AQ2476" s="925" t="str">
        <f t="shared" si="417"/>
        <v/>
      </c>
      <c r="AR2476" s="1856" t="str">
        <f t="shared" si="425"/>
        <v/>
      </c>
      <c r="AS2476" s="927">
        <v>30</v>
      </c>
      <c r="AT2476" s="1856">
        <f t="shared" si="418"/>
        <v>44834.279166666667</v>
      </c>
      <c r="AU2476" s="1856">
        <f t="shared" si="419"/>
        <v>44834.318055555552</v>
      </c>
      <c r="AV2476" s="1856">
        <f t="shared" si="420"/>
        <v>44834.8125</v>
      </c>
      <c r="AW2476" s="1856">
        <f t="shared" si="421"/>
        <v>44834.851388888892</v>
      </c>
      <c r="AX2476" s="1856">
        <f t="shared" si="422"/>
        <v>44834.533333333333</v>
      </c>
      <c r="AY2476" s="1856">
        <f t="shared" si="423"/>
        <v>44834.934027777774</v>
      </c>
      <c r="AZ2476" s="1853">
        <v>0.2</v>
      </c>
    </row>
    <row r="2477" spans="42:52">
      <c r="AP2477" s="1855">
        <f t="shared" si="424"/>
        <v>44834</v>
      </c>
      <c r="AQ2477" s="925" t="str">
        <f t="shared" si="417"/>
        <v/>
      </c>
      <c r="AR2477" s="1856" t="str">
        <f t="shared" si="425"/>
        <v/>
      </c>
      <c r="AS2477" s="927" t="s">
        <v>252</v>
      </c>
      <c r="AT2477" s="1856" t="str">
        <f t="shared" si="418"/>
        <v/>
      </c>
      <c r="AU2477" s="1856" t="str">
        <f t="shared" si="419"/>
        <v/>
      </c>
      <c r="AV2477" s="1856" t="str">
        <f t="shared" si="420"/>
        <v/>
      </c>
      <c r="AW2477" s="1856" t="str">
        <f t="shared" si="421"/>
        <v/>
      </c>
      <c r="AX2477" s="1856" t="str">
        <f t="shared" si="422"/>
        <v/>
      </c>
      <c r="AY2477" s="1856" t="str">
        <f t="shared" si="423"/>
        <v/>
      </c>
    </row>
    <row r="2478" spans="42:52">
      <c r="AP2478" s="1855">
        <f t="shared" si="424"/>
        <v>44834</v>
      </c>
      <c r="AQ2478" s="925" t="str">
        <f t="shared" si="417"/>
        <v/>
      </c>
      <c r="AR2478" s="1856" t="str">
        <f t="shared" si="425"/>
        <v/>
      </c>
      <c r="AT2478" s="1856" t="str">
        <f t="shared" si="418"/>
        <v/>
      </c>
      <c r="AU2478" s="1856" t="str">
        <f t="shared" si="419"/>
        <v/>
      </c>
      <c r="AV2478" s="1856" t="str">
        <f t="shared" si="420"/>
        <v/>
      </c>
      <c r="AW2478" s="1856" t="str">
        <f t="shared" si="421"/>
        <v/>
      </c>
      <c r="AX2478" s="1856" t="str">
        <f t="shared" si="422"/>
        <v/>
      </c>
      <c r="AY2478" s="1856" t="str">
        <f t="shared" si="423"/>
        <v/>
      </c>
    </row>
    <row r="2479" spans="42:52">
      <c r="AP2479" s="1855">
        <f t="shared" si="424"/>
        <v>44834</v>
      </c>
      <c r="AQ2479" s="925" t="str">
        <f t="shared" si="417"/>
        <v>BMNT</v>
      </c>
      <c r="AR2479" s="1856">
        <f t="shared" si="425"/>
        <v>44834.279166666667</v>
      </c>
      <c r="AS2479" s="927" t="s">
        <v>1336</v>
      </c>
      <c r="AT2479" s="1856" t="str">
        <f t="shared" si="418"/>
        <v/>
      </c>
      <c r="AU2479" s="1856" t="str">
        <f t="shared" si="419"/>
        <v/>
      </c>
      <c r="AV2479" s="1856" t="str">
        <f t="shared" si="420"/>
        <v/>
      </c>
      <c r="AW2479" s="1856" t="str">
        <f t="shared" si="421"/>
        <v/>
      </c>
      <c r="AX2479" s="1856" t="str">
        <f t="shared" si="422"/>
        <v/>
      </c>
      <c r="AY2479" s="1856" t="str">
        <f t="shared" si="423"/>
        <v/>
      </c>
    </row>
    <row r="2480" spans="42:52">
      <c r="AP2480" s="1855">
        <f t="shared" si="424"/>
        <v>44834</v>
      </c>
      <c r="AQ2480" s="925" t="str">
        <f t="shared" si="417"/>
        <v>SR</v>
      </c>
      <c r="AR2480" s="1856">
        <f t="shared" si="425"/>
        <v>44834.318055555552</v>
      </c>
      <c r="AS2480" s="927" t="s">
        <v>1349</v>
      </c>
      <c r="AT2480" s="1856" t="str">
        <f t="shared" si="418"/>
        <v/>
      </c>
      <c r="AU2480" s="1856" t="str">
        <f t="shared" si="419"/>
        <v/>
      </c>
      <c r="AV2480" s="1856" t="str">
        <f t="shared" si="420"/>
        <v/>
      </c>
      <c r="AW2480" s="1856" t="str">
        <f t="shared" si="421"/>
        <v/>
      </c>
      <c r="AX2480" s="1856" t="str">
        <f t="shared" si="422"/>
        <v/>
      </c>
      <c r="AY2480" s="1856" t="str">
        <f t="shared" si="423"/>
        <v/>
      </c>
    </row>
    <row r="2481" spans="42:52">
      <c r="AP2481" s="1855">
        <f t="shared" si="424"/>
        <v>44834</v>
      </c>
      <c r="AQ2481" s="925" t="str">
        <f t="shared" si="417"/>
        <v>MR</v>
      </c>
      <c r="AR2481" s="1856">
        <f t="shared" si="425"/>
        <v>44834.533333333333</v>
      </c>
      <c r="AS2481" s="927" t="s">
        <v>2179</v>
      </c>
      <c r="AT2481" s="1856" t="str">
        <f t="shared" si="418"/>
        <v/>
      </c>
      <c r="AU2481" s="1856" t="str">
        <f t="shared" si="419"/>
        <v/>
      </c>
      <c r="AV2481" s="1856" t="str">
        <f t="shared" si="420"/>
        <v/>
      </c>
      <c r="AW2481" s="1856" t="str">
        <f t="shared" si="421"/>
        <v/>
      </c>
      <c r="AX2481" s="1856" t="str">
        <f t="shared" si="422"/>
        <v/>
      </c>
      <c r="AY2481" s="1856" t="str">
        <f t="shared" si="423"/>
        <v/>
      </c>
    </row>
    <row r="2482" spans="42:52">
      <c r="AP2482" s="1855">
        <f t="shared" si="424"/>
        <v>44834</v>
      </c>
      <c r="AQ2482" s="925" t="str">
        <f t="shared" si="417"/>
        <v>SS</v>
      </c>
      <c r="AR2482" s="1856">
        <f t="shared" si="425"/>
        <v>44834.8125</v>
      </c>
      <c r="AS2482" s="927" t="s">
        <v>2180</v>
      </c>
      <c r="AT2482" s="1856" t="str">
        <f t="shared" si="418"/>
        <v/>
      </c>
      <c r="AU2482" s="1856" t="str">
        <f t="shared" si="419"/>
        <v/>
      </c>
      <c r="AV2482" s="1856" t="str">
        <f t="shared" si="420"/>
        <v/>
      </c>
      <c r="AW2482" s="1856" t="str">
        <f t="shared" si="421"/>
        <v/>
      </c>
      <c r="AX2482" s="1856" t="str">
        <f t="shared" si="422"/>
        <v/>
      </c>
      <c r="AY2482" s="1856" t="str">
        <f t="shared" si="423"/>
        <v/>
      </c>
    </row>
    <row r="2483" spans="42:52">
      <c r="AP2483" s="1855">
        <f t="shared" si="424"/>
        <v>44834</v>
      </c>
      <c r="AQ2483" s="925" t="str">
        <f t="shared" si="417"/>
        <v>EENT</v>
      </c>
      <c r="AR2483" s="1856">
        <f t="shared" si="425"/>
        <v>44834.851388888892</v>
      </c>
      <c r="AS2483" s="927" t="s">
        <v>2181</v>
      </c>
      <c r="AT2483" s="1856" t="str">
        <f t="shared" si="418"/>
        <v/>
      </c>
      <c r="AU2483" s="1856" t="str">
        <f t="shared" si="419"/>
        <v/>
      </c>
      <c r="AV2483" s="1856" t="str">
        <f t="shared" si="420"/>
        <v/>
      </c>
      <c r="AW2483" s="1856" t="str">
        <f t="shared" si="421"/>
        <v/>
      </c>
      <c r="AX2483" s="1856" t="str">
        <f t="shared" si="422"/>
        <v/>
      </c>
      <c r="AY2483" s="1856" t="str">
        <f t="shared" si="423"/>
        <v/>
      </c>
    </row>
    <row r="2484" spans="42:52">
      <c r="AP2484" s="1855">
        <f t="shared" si="424"/>
        <v>44834</v>
      </c>
      <c r="AQ2484" s="925" t="str">
        <f t="shared" ref="AQ2484:AQ2547" si="426">IF(NOT(ISNUMBER(FIND(":",AS2484))),"",IF(ISNUMBER(FIND("Sunr",AS2484)),"SR", IF(ISNUMBER(FIND("Suns",AS2484)),"SS",IF(ISNUMBER(FIND("Moonr",AS2484)),"MR",IF(ISNUMBER(FIND("Moons",AS2484)),"MS",IF(ISNUMBER(FIND("Twi",AS2484)),IF(HOUR(AR2484)&lt;12,"BMNT","EENT")))))))</f>
        <v>MS</v>
      </c>
      <c r="AR2484" s="1856">
        <f t="shared" si="425"/>
        <v>44834.934027777774</v>
      </c>
      <c r="AS2484" s="927" t="s">
        <v>2182</v>
      </c>
      <c r="AT2484" s="1856" t="str">
        <f t="shared" si="418"/>
        <v/>
      </c>
      <c r="AU2484" s="1856" t="str">
        <f t="shared" si="419"/>
        <v/>
      </c>
      <c r="AV2484" s="1856" t="str">
        <f t="shared" si="420"/>
        <v/>
      </c>
      <c r="AW2484" s="1856" t="str">
        <f t="shared" si="421"/>
        <v/>
      </c>
      <c r="AX2484" s="1856" t="str">
        <f t="shared" si="422"/>
        <v/>
      </c>
      <c r="AY2484" s="1856" t="str">
        <f t="shared" si="423"/>
        <v/>
      </c>
    </row>
    <row r="2485" spans="42:52">
      <c r="AP2485" s="1855">
        <f t="shared" si="424"/>
        <v>44835</v>
      </c>
      <c r="AQ2485" s="925" t="str">
        <f t="shared" si="426"/>
        <v/>
      </c>
      <c r="AR2485" s="1856" t="str">
        <f t="shared" si="425"/>
        <v/>
      </c>
      <c r="AS2485" s="927">
        <v>1</v>
      </c>
      <c r="AT2485" s="1856">
        <f t="shared" si="418"/>
        <v>44835.279166666667</v>
      </c>
      <c r="AU2485" s="1856">
        <f t="shared" si="419"/>
        <v>44835.318749999999</v>
      </c>
      <c r="AV2485" s="1856">
        <f t="shared" si="420"/>
        <v>44835.811111111107</v>
      </c>
      <c r="AW2485" s="1856">
        <f t="shared" si="421"/>
        <v>44835.850694444445</v>
      </c>
      <c r="AX2485" s="1856">
        <f t="shared" si="422"/>
        <v>44835.582638888889</v>
      </c>
      <c r="AY2485" s="1856">
        <f t="shared" si="423"/>
        <v>44835.96875</v>
      </c>
      <c r="AZ2485" s="1853">
        <v>0.3</v>
      </c>
    </row>
    <row r="2486" spans="42:52">
      <c r="AP2486" s="1855">
        <f t="shared" si="424"/>
        <v>44835</v>
      </c>
      <c r="AQ2486" s="925" t="str">
        <f t="shared" si="426"/>
        <v/>
      </c>
      <c r="AR2486" s="1856" t="str">
        <f t="shared" si="425"/>
        <v/>
      </c>
      <c r="AS2486" s="927" t="s">
        <v>252</v>
      </c>
      <c r="AT2486" s="1856" t="str">
        <f t="shared" si="418"/>
        <v/>
      </c>
      <c r="AU2486" s="1856" t="str">
        <f t="shared" si="419"/>
        <v/>
      </c>
      <c r="AV2486" s="1856" t="str">
        <f t="shared" si="420"/>
        <v/>
      </c>
      <c r="AW2486" s="1856" t="str">
        <f t="shared" si="421"/>
        <v/>
      </c>
      <c r="AX2486" s="1856" t="str">
        <f t="shared" si="422"/>
        <v/>
      </c>
      <c r="AY2486" s="1856" t="str">
        <f t="shared" si="423"/>
        <v/>
      </c>
    </row>
    <row r="2487" spans="42:52">
      <c r="AP2487" s="1855">
        <f t="shared" si="424"/>
        <v>44835</v>
      </c>
      <c r="AQ2487" s="925" t="str">
        <f t="shared" si="426"/>
        <v/>
      </c>
      <c r="AR2487" s="1856" t="str">
        <f t="shared" si="425"/>
        <v/>
      </c>
      <c r="AT2487" s="1856" t="str">
        <f t="shared" si="418"/>
        <v/>
      </c>
      <c r="AU2487" s="1856" t="str">
        <f t="shared" si="419"/>
        <v/>
      </c>
      <c r="AV2487" s="1856" t="str">
        <f t="shared" si="420"/>
        <v/>
      </c>
      <c r="AW2487" s="1856" t="str">
        <f t="shared" si="421"/>
        <v/>
      </c>
      <c r="AX2487" s="1856" t="str">
        <f t="shared" si="422"/>
        <v/>
      </c>
      <c r="AY2487" s="1856" t="str">
        <f t="shared" si="423"/>
        <v/>
      </c>
    </row>
    <row r="2488" spans="42:52">
      <c r="AP2488" s="1855">
        <f t="shared" si="424"/>
        <v>44835</v>
      </c>
      <c r="AQ2488" s="925" t="str">
        <f t="shared" si="426"/>
        <v>BMNT</v>
      </c>
      <c r="AR2488" s="1856">
        <f t="shared" si="425"/>
        <v>44835.279166666667</v>
      </c>
      <c r="AS2488" s="927" t="s">
        <v>1336</v>
      </c>
      <c r="AT2488" s="1856" t="str">
        <f t="shared" si="418"/>
        <v/>
      </c>
      <c r="AU2488" s="1856" t="str">
        <f t="shared" si="419"/>
        <v/>
      </c>
      <c r="AV2488" s="1856" t="str">
        <f t="shared" si="420"/>
        <v/>
      </c>
      <c r="AW2488" s="1856" t="str">
        <f t="shared" si="421"/>
        <v/>
      </c>
      <c r="AX2488" s="1856" t="str">
        <f t="shared" si="422"/>
        <v/>
      </c>
      <c r="AY2488" s="1856" t="str">
        <f t="shared" si="423"/>
        <v/>
      </c>
    </row>
    <row r="2489" spans="42:52">
      <c r="AP2489" s="1855">
        <f t="shared" si="424"/>
        <v>44835</v>
      </c>
      <c r="AQ2489" s="925" t="str">
        <f t="shared" si="426"/>
        <v>SR</v>
      </c>
      <c r="AR2489" s="1856">
        <f t="shared" si="425"/>
        <v>44835.318749999999</v>
      </c>
      <c r="AS2489" s="927" t="s">
        <v>1343</v>
      </c>
      <c r="AT2489" s="1856" t="str">
        <f t="shared" si="418"/>
        <v/>
      </c>
      <c r="AU2489" s="1856" t="str">
        <f t="shared" si="419"/>
        <v/>
      </c>
      <c r="AV2489" s="1856" t="str">
        <f t="shared" si="420"/>
        <v/>
      </c>
      <c r="AW2489" s="1856" t="str">
        <f t="shared" si="421"/>
        <v/>
      </c>
      <c r="AX2489" s="1856" t="str">
        <f t="shared" si="422"/>
        <v/>
      </c>
      <c r="AY2489" s="1856" t="str">
        <f t="shared" si="423"/>
        <v/>
      </c>
    </row>
    <row r="2490" spans="42:52">
      <c r="AP2490" s="1855">
        <f t="shared" si="424"/>
        <v>44835</v>
      </c>
      <c r="AQ2490" s="925" t="str">
        <f t="shared" si="426"/>
        <v>MR</v>
      </c>
      <c r="AR2490" s="1856">
        <f t="shared" si="425"/>
        <v>44835.582638888889</v>
      </c>
      <c r="AS2490" s="927" t="s">
        <v>2183</v>
      </c>
      <c r="AT2490" s="1856" t="str">
        <f t="shared" si="418"/>
        <v/>
      </c>
      <c r="AU2490" s="1856" t="str">
        <f t="shared" si="419"/>
        <v/>
      </c>
      <c r="AV2490" s="1856" t="str">
        <f t="shared" si="420"/>
        <v/>
      </c>
      <c r="AW2490" s="1856" t="str">
        <f t="shared" si="421"/>
        <v/>
      </c>
      <c r="AX2490" s="1856" t="str">
        <f t="shared" si="422"/>
        <v/>
      </c>
      <c r="AY2490" s="1856" t="str">
        <f t="shared" si="423"/>
        <v/>
      </c>
    </row>
    <row r="2491" spans="42:52">
      <c r="AP2491" s="1855">
        <f t="shared" si="424"/>
        <v>44835</v>
      </c>
      <c r="AQ2491" s="925" t="str">
        <f t="shared" si="426"/>
        <v>SS</v>
      </c>
      <c r="AR2491" s="1856">
        <f t="shared" si="425"/>
        <v>44835.811111111107</v>
      </c>
      <c r="AS2491" s="927" t="s">
        <v>2184</v>
      </c>
      <c r="AT2491" s="1856" t="str">
        <f t="shared" si="418"/>
        <v/>
      </c>
      <c r="AU2491" s="1856" t="str">
        <f t="shared" si="419"/>
        <v/>
      </c>
      <c r="AV2491" s="1856" t="str">
        <f t="shared" si="420"/>
        <v/>
      </c>
      <c r="AW2491" s="1856" t="str">
        <f t="shared" si="421"/>
        <v/>
      </c>
      <c r="AX2491" s="1856" t="str">
        <f t="shared" si="422"/>
        <v/>
      </c>
      <c r="AY2491" s="1856" t="str">
        <f t="shared" si="423"/>
        <v/>
      </c>
    </row>
    <row r="2492" spans="42:52">
      <c r="AP2492" s="1855">
        <f t="shared" si="424"/>
        <v>44835</v>
      </c>
      <c r="AQ2492" s="925" t="str">
        <f t="shared" si="426"/>
        <v>EENT</v>
      </c>
      <c r="AR2492" s="1856">
        <f t="shared" si="425"/>
        <v>44835.850694444445</v>
      </c>
      <c r="AS2492" s="927" t="s">
        <v>2185</v>
      </c>
      <c r="AT2492" s="1856" t="str">
        <f t="shared" si="418"/>
        <v/>
      </c>
      <c r="AU2492" s="1856" t="str">
        <f t="shared" si="419"/>
        <v/>
      </c>
      <c r="AV2492" s="1856" t="str">
        <f t="shared" si="420"/>
        <v/>
      </c>
      <c r="AW2492" s="1856" t="str">
        <f t="shared" si="421"/>
        <v/>
      </c>
      <c r="AX2492" s="1856" t="str">
        <f t="shared" si="422"/>
        <v/>
      </c>
      <c r="AY2492" s="1856" t="str">
        <f t="shared" si="423"/>
        <v/>
      </c>
    </row>
    <row r="2493" spans="42:52">
      <c r="AP2493" s="1855">
        <f t="shared" si="424"/>
        <v>44835</v>
      </c>
      <c r="AQ2493" s="925" t="str">
        <f t="shared" si="426"/>
        <v>MS</v>
      </c>
      <c r="AR2493" s="1856">
        <f t="shared" si="425"/>
        <v>44835.96875</v>
      </c>
      <c r="AS2493" s="927" t="s">
        <v>2186</v>
      </c>
      <c r="AT2493" s="1856" t="str">
        <f t="shared" si="418"/>
        <v/>
      </c>
      <c r="AU2493" s="1856" t="str">
        <f t="shared" si="419"/>
        <v/>
      </c>
      <c r="AV2493" s="1856" t="str">
        <f t="shared" si="420"/>
        <v/>
      </c>
      <c r="AW2493" s="1856" t="str">
        <f t="shared" si="421"/>
        <v/>
      </c>
      <c r="AX2493" s="1856" t="str">
        <f t="shared" si="422"/>
        <v/>
      </c>
      <c r="AY2493" s="1856" t="str">
        <f t="shared" si="423"/>
        <v/>
      </c>
    </row>
    <row r="2494" spans="42:52">
      <c r="AP2494" s="1855">
        <f t="shared" si="424"/>
        <v>44836</v>
      </c>
      <c r="AQ2494" s="925" t="str">
        <f t="shared" si="426"/>
        <v/>
      </c>
      <c r="AR2494" s="1856" t="str">
        <f t="shared" si="425"/>
        <v/>
      </c>
      <c r="AS2494" s="927">
        <v>2</v>
      </c>
      <c r="AT2494" s="1856">
        <f t="shared" si="418"/>
        <v>44836.279861111114</v>
      </c>
      <c r="AU2494" s="1856">
        <f t="shared" si="419"/>
        <v>44836.319444444445</v>
      </c>
      <c r="AV2494" s="1856">
        <f t="shared" si="420"/>
        <v>44836.810416666667</v>
      </c>
      <c r="AW2494" s="1856">
        <f t="shared" si="421"/>
        <v>44836.849305555559</v>
      </c>
      <c r="AX2494" s="1856">
        <f t="shared" si="422"/>
        <v>44836.628472222219</v>
      </c>
      <c r="AY2494" s="1856" t="str">
        <f t="shared" si="423"/>
        <v>NONE</v>
      </c>
      <c r="AZ2494" s="1853">
        <v>0.41</v>
      </c>
    </row>
    <row r="2495" spans="42:52">
      <c r="AP2495" s="1855">
        <f t="shared" si="424"/>
        <v>44836</v>
      </c>
      <c r="AQ2495" s="925" t="str">
        <f t="shared" si="426"/>
        <v/>
      </c>
      <c r="AR2495" s="1856" t="str">
        <f t="shared" si="425"/>
        <v/>
      </c>
      <c r="AS2495" s="927" t="s">
        <v>252</v>
      </c>
      <c r="AT2495" s="1856" t="str">
        <f t="shared" si="418"/>
        <v/>
      </c>
      <c r="AU2495" s="1856" t="str">
        <f t="shared" si="419"/>
        <v/>
      </c>
      <c r="AV2495" s="1856" t="str">
        <f t="shared" si="420"/>
        <v/>
      </c>
      <c r="AW2495" s="1856" t="str">
        <f t="shared" si="421"/>
        <v/>
      </c>
      <c r="AX2495" s="1856" t="str">
        <f t="shared" si="422"/>
        <v/>
      </c>
      <c r="AY2495" s="1856" t="str">
        <f t="shared" si="423"/>
        <v/>
      </c>
    </row>
    <row r="2496" spans="42:52">
      <c r="AP2496" s="1855">
        <f t="shared" si="424"/>
        <v>44836</v>
      </c>
      <c r="AQ2496" s="925" t="str">
        <f t="shared" si="426"/>
        <v/>
      </c>
      <c r="AR2496" s="1856" t="str">
        <f t="shared" si="425"/>
        <v/>
      </c>
      <c r="AT2496" s="1856" t="str">
        <f t="shared" si="418"/>
        <v/>
      </c>
      <c r="AU2496" s="1856" t="str">
        <f t="shared" si="419"/>
        <v/>
      </c>
      <c r="AV2496" s="1856" t="str">
        <f t="shared" si="420"/>
        <v/>
      </c>
      <c r="AW2496" s="1856" t="str">
        <f t="shared" si="421"/>
        <v/>
      </c>
      <c r="AX2496" s="1856" t="str">
        <f t="shared" si="422"/>
        <v/>
      </c>
      <c r="AY2496" s="1856" t="str">
        <f t="shared" si="423"/>
        <v/>
      </c>
    </row>
    <row r="2497" spans="42:52">
      <c r="AP2497" s="1855">
        <f t="shared" si="424"/>
        <v>44836</v>
      </c>
      <c r="AQ2497" s="925" t="str">
        <f t="shared" si="426"/>
        <v>BMNT</v>
      </c>
      <c r="AR2497" s="1856">
        <f t="shared" si="425"/>
        <v>44836.279861111114</v>
      </c>
      <c r="AS2497" s="927" t="s">
        <v>1321</v>
      </c>
      <c r="AT2497" s="1856" t="str">
        <f t="shared" si="418"/>
        <v/>
      </c>
      <c r="AU2497" s="1856" t="str">
        <f t="shared" si="419"/>
        <v/>
      </c>
      <c r="AV2497" s="1856" t="str">
        <f t="shared" si="420"/>
        <v/>
      </c>
      <c r="AW2497" s="1856" t="str">
        <f t="shared" si="421"/>
        <v/>
      </c>
      <c r="AX2497" s="1856" t="str">
        <f t="shared" si="422"/>
        <v/>
      </c>
      <c r="AY2497" s="1856" t="str">
        <f t="shared" si="423"/>
        <v/>
      </c>
    </row>
    <row r="2498" spans="42:52">
      <c r="AP2498" s="1855">
        <f t="shared" si="424"/>
        <v>44836</v>
      </c>
      <c r="AQ2498" s="925" t="str">
        <f t="shared" si="426"/>
        <v>SR</v>
      </c>
      <c r="AR2498" s="1856">
        <f t="shared" si="425"/>
        <v>44836.319444444445</v>
      </c>
      <c r="AS2498" s="927" t="s">
        <v>1337</v>
      </c>
      <c r="AT2498" s="1856" t="str">
        <f t="shared" si="418"/>
        <v/>
      </c>
      <c r="AU2498" s="1856" t="str">
        <f t="shared" si="419"/>
        <v/>
      </c>
      <c r="AV2498" s="1856" t="str">
        <f t="shared" si="420"/>
        <v/>
      </c>
      <c r="AW2498" s="1856" t="str">
        <f t="shared" si="421"/>
        <v/>
      </c>
      <c r="AX2498" s="1856" t="str">
        <f t="shared" si="422"/>
        <v/>
      </c>
      <c r="AY2498" s="1856" t="str">
        <f t="shared" si="423"/>
        <v/>
      </c>
    </row>
    <row r="2499" spans="42:52">
      <c r="AP2499" s="1855">
        <f t="shared" si="424"/>
        <v>44836</v>
      </c>
      <c r="AQ2499" s="925" t="str">
        <f t="shared" si="426"/>
        <v>MR</v>
      </c>
      <c r="AR2499" s="1856">
        <f t="shared" si="425"/>
        <v>44836.628472222219</v>
      </c>
      <c r="AS2499" s="927" t="s">
        <v>2187</v>
      </c>
      <c r="AT2499" s="1856" t="str">
        <f t="shared" si="418"/>
        <v/>
      </c>
      <c r="AU2499" s="1856" t="str">
        <f t="shared" si="419"/>
        <v/>
      </c>
      <c r="AV2499" s="1856" t="str">
        <f t="shared" si="420"/>
        <v/>
      </c>
      <c r="AW2499" s="1856" t="str">
        <f t="shared" si="421"/>
        <v/>
      </c>
      <c r="AX2499" s="1856" t="str">
        <f t="shared" si="422"/>
        <v/>
      </c>
      <c r="AY2499" s="1856" t="str">
        <f t="shared" si="423"/>
        <v/>
      </c>
    </row>
    <row r="2500" spans="42:52">
      <c r="AP2500" s="1855">
        <f t="shared" si="424"/>
        <v>44836</v>
      </c>
      <c r="AQ2500" s="925" t="str">
        <f t="shared" si="426"/>
        <v>SS</v>
      </c>
      <c r="AR2500" s="1856">
        <f t="shared" si="425"/>
        <v>44836.810416666667</v>
      </c>
      <c r="AS2500" s="927" t="s">
        <v>2188</v>
      </c>
      <c r="AT2500" s="1856" t="str">
        <f t="shared" si="418"/>
        <v/>
      </c>
      <c r="AU2500" s="1856" t="str">
        <f t="shared" si="419"/>
        <v/>
      </c>
      <c r="AV2500" s="1856" t="str">
        <f t="shared" si="420"/>
        <v/>
      </c>
      <c r="AW2500" s="1856" t="str">
        <f t="shared" si="421"/>
        <v/>
      </c>
      <c r="AX2500" s="1856" t="str">
        <f t="shared" si="422"/>
        <v/>
      </c>
      <c r="AY2500" s="1856" t="str">
        <f t="shared" si="423"/>
        <v/>
      </c>
    </row>
    <row r="2501" spans="42:52">
      <c r="AP2501" s="1855">
        <f t="shared" si="424"/>
        <v>44836</v>
      </c>
      <c r="AQ2501" s="925" t="str">
        <f t="shared" si="426"/>
        <v>EENT</v>
      </c>
      <c r="AR2501" s="1856">
        <f t="shared" si="425"/>
        <v>44836.849305555559</v>
      </c>
      <c r="AS2501" s="927" t="s">
        <v>2189</v>
      </c>
      <c r="AT2501" s="1856" t="str">
        <f t="shared" si="418"/>
        <v/>
      </c>
      <c r="AU2501" s="1856" t="str">
        <f t="shared" si="419"/>
        <v/>
      </c>
      <c r="AV2501" s="1856" t="str">
        <f t="shared" si="420"/>
        <v/>
      </c>
      <c r="AW2501" s="1856" t="str">
        <f t="shared" si="421"/>
        <v/>
      </c>
      <c r="AX2501" s="1856" t="str">
        <f t="shared" si="422"/>
        <v/>
      </c>
      <c r="AY2501" s="1856" t="str">
        <f t="shared" si="423"/>
        <v/>
      </c>
    </row>
    <row r="2502" spans="42:52">
      <c r="AP2502" s="1855">
        <f t="shared" si="424"/>
        <v>44836</v>
      </c>
      <c r="AQ2502" s="925" t="str">
        <f t="shared" si="426"/>
        <v>MS</v>
      </c>
      <c r="AR2502" s="1856" t="str">
        <f t="shared" si="425"/>
        <v>NONE</v>
      </c>
      <c r="AS2502" s="927" t="s">
        <v>948</v>
      </c>
      <c r="AT2502" s="1856" t="str">
        <f t="shared" si="418"/>
        <v/>
      </c>
      <c r="AU2502" s="1856" t="str">
        <f t="shared" si="419"/>
        <v/>
      </c>
      <c r="AV2502" s="1856" t="str">
        <f t="shared" si="420"/>
        <v/>
      </c>
      <c r="AW2502" s="1856" t="str">
        <f t="shared" si="421"/>
        <v/>
      </c>
      <c r="AX2502" s="1856" t="str">
        <f t="shared" si="422"/>
        <v/>
      </c>
      <c r="AY2502" s="1856" t="str">
        <f t="shared" si="423"/>
        <v/>
      </c>
    </row>
    <row r="2503" spans="42:52">
      <c r="AP2503" s="1855">
        <f t="shared" si="424"/>
        <v>44837</v>
      </c>
      <c r="AQ2503" s="925" t="str">
        <f t="shared" si="426"/>
        <v/>
      </c>
      <c r="AR2503" s="1856" t="str">
        <f t="shared" si="425"/>
        <v/>
      </c>
      <c r="AS2503" s="927">
        <v>3</v>
      </c>
      <c r="AT2503" s="1856">
        <f t="shared" si="418"/>
        <v>44837.280555555553</v>
      </c>
      <c r="AU2503" s="1856">
        <f t="shared" si="419"/>
        <v>44837.320138888885</v>
      </c>
      <c r="AV2503" s="1856">
        <f t="shared" si="420"/>
        <v>44837.809027777774</v>
      </c>
      <c r="AW2503" s="1856">
        <f t="shared" si="421"/>
        <v>44837.848611111112</v>
      </c>
      <c r="AX2503" s="1856">
        <f t="shared" si="422"/>
        <v>44837.668749999997</v>
      </c>
      <c r="AY2503" s="1856">
        <f t="shared" si="423"/>
        <v>44837.011111111111</v>
      </c>
      <c r="AZ2503" s="1853">
        <v>0.53</v>
      </c>
    </row>
    <row r="2504" spans="42:52">
      <c r="AP2504" s="1855">
        <f t="shared" si="424"/>
        <v>44837</v>
      </c>
      <c r="AQ2504" s="925" t="str">
        <f t="shared" si="426"/>
        <v/>
      </c>
      <c r="AR2504" s="1856" t="str">
        <f t="shared" si="425"/>
        <v/>
      </c>
      <c r="AS2504" s="927" t="s">
        <v>252</v>
      </c>
      <c r="AT2504" s="1856" t="str">
        <f t="shared" si="418"/>
        <v/>
      </c>
      <c r="AU2504" s="1856" t="str">
        <f t="shared" si="419"/>
        <v/>
      </c>
      <c r="AV2504" s="1856" t="str">
        <f t="shared" si="420"/>
        <v/>
      </c>
      <c r="AW2504" s="1856" t="str">
        <f t="shared" si="421"/>
        <v/>
      </c>
      <c r="AX2504" s="1856" t="str">
        <f t="shared" si="422"/>
        <v/>
      </c>
      <c r="AY2504" s="1856" t="str">
        <f t="shared" si="423"/>
        <v/>
      </c>
    </row>
    <row r="2505" spans="42:52">
      <c r="AP2505" s="1855">
        <f t="shared" si="424"/>
        <v>44837</v>
      </c>
      <c r="AQ2505" s="925" t="str">
        <f t="shared" si="426"/>
        <v/>
      </c>
      <c r="AR2505" s="1856" t="str">
        <f t="shared" si="425"/>
        <v/>
      </c>
      <c r="AT2505" s="1856" t="str">
        <f t="shared" si="418"/>
        <v/>
      </c>
      <c r="AU2505" s="1856" t="str">
        <f t="shared" si="419"/>
        <v/>
      </c>
      <c r="AV2505" s="1856" t="str">
        <f t="shared" si="420"/>
        <v/>
      </c>
      <c r="AW2505" s="1856" t="str">
        <f t="shared" si="421"/>
        <v/>
      </c>
      <c r="AX2505" s="1856" t="str">
        <f t="shared" si="422"/>
        <v/>
      </c>
      <c r="AY2505" s="1856" t="str">
        <f t="shared" si="423"/>
        <v/>
      </c>
    </row>
    <row r="2506" spans="42:52">
      <c r="AP2506" s="1855">
        <f t="shared" si="424"/>
        <v>44837</v>
      </c>
      <c r="AQ2506" s="925" t="str">
        <f t="shared" si="426"/>
        <v>MS</v>
      </c>
      <c r="AR2506" s="1856">
        <f t="shared" si="425"/>
        <v>44837.011111111111</v>
      </c>
      <c r="AS2506" s="927" t="s">
        <v>1308</v>
      </c>
      <c r="AT2506" s="1856" t="str">
        <f t="shared" si="418"/>
        <v/>
      </c>
      <c r="AU2506" s="1856" t="str">
        <f t="shared" si="419"/>
        <v/>
      </c>
      <c r="AV2506" s="1856" t="str">
        <f t="shared" si="420"/>
        <v/>
      </c>
      <c r="AW2506" s="1856" t="str">
        <f t="shared" si="421"/>
        <v/>
      </c>
      <c r="AX2506" s="1856" t="str">
        <f t="shared" si="422"/>
        <v/>
      </c>
      <c r="AY2506" s="1856" t="str">
        <f t="shared" si="423"/>
        <v/>
      </c>
    </row>
    <row r="2507" spans="42:52">
      <c r="AP2507" s="1855">
        <f t="shared" si="424"/>
        <v>44837</v>
      </c>
      <c r="AQ2507" s="925" t="str">
        <f t="shared" si="426"/>
        <v>BMNT</v>
      </c>
      <c r="AR2507" s="1856">
        <f t="shared" si="425"/>
        <v>44837.280555555553</v>
      </c>
      <c r="AS2507" s="927" t="s">
        <v>1309</v>
      </c>
      <c r="AT2507" s="1856" t="str">
        <f t="shared" si="418"/>
        <v/>
      </c>
      <c r="AU2507" s="1856" t="str">
        <f t="shared" si="419"/>
        <v/>
      </c>
      <c r="AV2507" s="1856" t="str">
        <f t="shared" si="420"/>
        <v/>
      </c>
      <c r="AW2507" s="1856" t="str">
        <f t="shared" si="421"/>
        <v/>
      </c>
      <c r="AX2507" s="1856" t="str">
        <f t="shared" si="422"/>
        <v/>
      </c>
      <c r="AY2507" s="1856" t="str">
        <f t="shared" si="423"/>
        <v/>
      </c>
    </row>
    <row r="2508" spans="42:52">
      <c r="AP2508" s="1855">
        <f t="shared" si="424"/>
        <v>44837</v>
      </c>
      <c r="AQ2508" s="925" t="str">
        <f t="shared" si="426"/>
        <v>SR</v>
      </c>
      <c r="AR2508" s="1856">
        <f t="shared" si="425"/>
        <v>44837.320138888885</v>
      </c>
      <c r="AS2508" s="927" t="s">
        <v>1331</v>
      </c>
      <c r="AT2508" s="1856" t="str">
        <f t="shared" si="418"/>
        <v/>
      </c>
      <c r="AU2508" s="1856" t="str">
        <f t="shared" si="419"/>
        <v/>
      </c>
      <c r="AV2508" s="1856" t="str">
        <f t="shared" si="420"/>
        <v/>
      </c>
      <c r="AW2508" s="1856" t="str">
        <f t="shared" si="421"/>
        <v/>
      </c>
      <c r="AX2508" s="1856" t="str">
        <f t="shared" si="422"/>
        <v/>
      </c>
      <c r="AY2508" s="1856" t="str">
        <f t="shared" si="423"/>
        <v/>
      </c>
    </row>
    <row r="2509" spans="42:52">
      <c r="AP2509" s="1855">
        <f t="shared" si="424"/>
        <v>44837</v>
      </c>
      <c r="AQ2509" s="925" t="str">
        <f t="shared" si="426"/>
        <v>MR</v>
      </c>
      <c r="AR2509" s="1856">
        <f t="shared" si="425"/>
        <v>44837.668749999997</v>
      </c>
      <c r="AS2509" s="927" t="s">
        <v>2190</v>
      </c>
      <c r="AT2509" s="1856" t="str">
        <f t="shared" si="418"/>
        <v/>
      </c>
      <c r="AU2509" s="1856" t="str">
        <f t="shared" si="419"/>
        <v/>
      </c>
      <c r="AV2509" s="1856" t="str">
        <f t="shared" si="420"/>
        <v/>
      </c>
      <c r="AW2509" s="1856" t="str">
        <f t="shared" si="421"/>
        <v/>
      </c>
      <c r="AX2509" s="1856" t="str">
        <f t="shared" si="422"/>
        <v/>
      </c>
      <c r="AY2509" s="1856" t="str">
        <f t="shared" si="423"/>
        <v/>
      </c>
    </row>
    <row r="2510" spans="42:52">
      <c r="AP2510" s="1855">
        <f t="shared" si="424"/>
        <v>44837</v>
      </c>
      <c r="AQ2510" s="925" t="str">
        <f t="shared" si="426"/>
        <v>SS</v>
      </c>
      <c r="AR2510" s="1856">
        <f t="shared" si="425"/>
        <v>44837.809027777774</v>
      </c>
      <c r="AS2510" s="927" t="s">
        <v>2191</v>
      </c>
      <c r="AT2510" s="1856" t="str">
        <f t="shared" si="418"/>
        <v/>
      </c>
      <c r="AU2510" s="1856" t="str">
        <f t="shared" si="419"/>
        <v/>
      </c>
      <c r="AV2510" s="1856" t="str">
        <f t="shared" si="420"/>
        <v/>
      </c>
      <c r="AW2510" s="1856" t="str">
        <f t="shared" si="421"/>
        <v/>
      </c>
      <c r="AX2510" s="1856" t="str">
        <f t="shared" si="422"/>
        <v/>
      </c>
      <c r="AY2510" s="1856" t="str">
        <f t="shared" si="423"/>
        <v/>
      </c>
    </row>
    <row r="2511" spans="42:52">
      <c r="AP2511" s="1855">
        <f t="shared" si="424"/>
        <v>44837</v>
      </c>
      <c r="AQ2511" s="925" t="str">
        <f t="shared" si="426"/>
        <v>EENT</v>
      </c>
      <c r="AR2511" s="1856">
        <f t="shared" si="425"/>
        <v>44837.848611111112</v>
      </c>
      <c r="AS2511" s="927" t="s">
        <v>2192</v>
      </c>
      <c r="AT2511" s="1856" t="str">
        <f t="shared" si="418"/>
        <v/>
      </c>
      <c r="AU2511" s="1856" t="str">
        <f t="shared" si="419"/>
        <v/>
      </c>
      <c r="AV2511" s="1856" t="str">
        <f t="shared" si="420"/>
        <v/>
      </c>
      <c r="AW2511" s="1856" t="str">
        <f t="shared" si="421"/>
        <v/>
      </c>
      <c r="AX2511" s="1856" t="str">
        <f t="shared" si="422"/>
        <v/>
      </c>
      <c r="AY2511" s="1856" t="str">
        <f t="shared" si="423"/>
        <v/>
      </c>
    </row>
    <row r="2512" spans="42:52">
      <c r="AP2512" s="1855">
        <f t="shared" si="424"/>
        <v>44838</v>
      </c>
      <c r="AQ2512" s="925" t="str">
        <f t="shared" si="426"/>
        <v/>
      </c>
      <c r="AR2512" s="1856" t="str">
        <f t="shared" si="425"/>
        <v/>
      </c>
      <c r="AS2512" s="927">
        <v>4</v>
      </c>
      <c r="AT2512" s="1856">
        <f t="shared" si="418"/>
        <v>44838.28125</v>
      </c>
      <c r="AU2512" s="1856">
        <f t="shared" si="419"/>
        <v>44838.320833333331</v>
      </c>
      <c r="AV2512" s="1856">
        <f t="shared" si="420"/>
        <v>44838.808333333334</v>
      </c>
      <c r="AW2512" s="1856">
        <f t="shared" si="421"/>
        <v>44838.847222222226</v>
      </c>
      <c r="AX2512" s="1856">
        <f t="shared" si="422"/>
        <v>44838.70208333333</v>
      </c>
      <c r="AY2512" s="1856">
        <f t="shared" si="423"/>
        <v>44838.058333333334</v>
      </c>
      <c r="AZ2512" s="1853">
        <v>0.64</v>
      </c>
    </row>
    <row r="2513" spans="42:52">
      <c r="AP2513" s="1855">
        <f t="shared" si="424"/>
        <v>44838</v>
      </c>
      <c r="AQ2513" s="925" t="str">
        <f t="shared" si="426"/>
        <v/>
      </c>
      <c r="AR2513" s="1856" t="str">
        <f t="shared" si="425"/>
        <v/>
      </c>
      <c r="AS2513" s="927" t="s">
        <v>252</v>
      </c>
      <c r="AT2513" s="1856" t="str">
        <f t="shared" si="418"/>
        <v/>
      </c>
      <c r="AU2513" s="1856" t="str">
        <f t="shared" si="419"/>
        <v/>
      </c>
      <c r="AV2513" s="1856" t="str">
        <f t="shared" si="420"/>
        <v/>
      </c>
      <c r="AW2513" s="1856" t="str">
        <f t="shared" si="421"/>
        <v/>
      </c>
      <c r="AX2513" s="1856" t="str">
        <f t="shared" si="422"/>
        <v/>
      </c>
      <c r="AY2513" s="1856" t="str">
        <f t="shared" si="423"/>
        <v/>
      </c>
    </row>
    <row r="2514" spans="42:52">
      <c r="AP2514" s="1855">
        <f t="shared" si="424"/>
        <v>44838</v>
      </c>
      <c r="AQ2514" s="925" t="str">
        <f t="shared" si="426"/>
        <v/>
      </c>
      <c r="AR2514" s="1856" t="str">
        <f t="shared" si="425"/>
        <v/>
      </c>
      <c r="AT2514" s="1856" t="str">
        <f t="shared" si="418"/>
        <v/>
      </c>
      <c r="AU2514" s="1856" t="str">
        <f t="shared" si="419"/>
        <v/>
      </c>
      <c r="AV2514" s="1856" t="str">
        <f t="shared" si="420"/>
        <v/>
      </c>
      <c r="AW2514" s="1856" t="str">
        <f t="shared" si="421"/>
        <v/>
      </c>
      <c r="AX2514" s="1856" t="str">
        <f t="shared" si="422"/>
        <v/>
      </c>
      <c r="AY2514" s="1856" t="str">
        <f t="shared" si="423"/>
        <v/>
      </c>
    </row>
    <row r="2515" spans="42:52">
      <c r="AP2515" s="1855">
        <f t="shared" si="424"/>
        <v>44838</v>
      </c>
      <c r="AQ2515" s="925" t="str">
        <f t="shared" si="426"/>
        <v>MS</v>
      </c>
      <c r="AR2515" s="1856">
        <f t="shared" si="425"/>
        <v>44838.058333333334</v>
      </c>
      <c r="AS2515" s="927" t="s">
        <v>2193</v>
      </c>
      <c r="AT2515" s="1856" t="str">
        <f t="shared" si="418"/>
        <v/>
      </c>
      <c r="AU2515" s="1856" t="str">
        <f t="shared" si="419"/>
        <v/>
      </c>
      <c r="AV2515" s="1856" t="str">
        <f t="shared" si="420"/>
        <v/>
      </c>
      <c r="AW2515" s="1856" t="str">
        <f t="shared" si="421"/>
        <v/>
      </c>
      <c r="AX2515" s="1856" t="str">
        <f t="shared" si="422"/>
        <v/>
      </c>
      <c r="AY2515" s="1856" t="str">
        <f t="shared" si="423"/>
        <v/>
      </c>
    </row>
    <row r="2516" spans="42:52">
      <c r="AP2516" s="1855">
        <f t="shared" si="424"/>
        <v>44838</v>
      </c>
      <c r="AQ2516" s="925" t="str">
        <f t="shared" si="426"/>
        <v>BMNT</v>
      </c>
      <c r="AR2516" s="1856">
        <f t="shared" si="425"/>
        <v>44838.28125</v>
      </c>
      <c r="AS2516" s="927" t="s">
        <v>1299</v>
      </c>
      <c r="AT2516" s="1856" t="str">
        <f t="shared" si="418"/>
        <v/>
      </c>
      <c r="AU2516" s="1856" t="str">
        <f t="shared" si="419"/>
        <v/>
      </c>
      <c r="AV2516" s="1856" t="str">
        <f t="shared" si="420"/>
        <v/>
      </c>
      <c r="AW2516" s="1856" t="str">
        <f t="shared" si="421"/>
        <v/>
      </c>
      <c r="AX2516" s="1856" t="str">
        <f t="shared" si="422"/>
        <v/>
      </c>
      <c r="AY2516" s="1856" t="str">
        <f t="shared" si="423"/>
        <v/>
      </c>
    </row>
    <row r="2517" spans="42:52">
      <c r="AP2517" s="1855">
        <f t="shared" si="424"/>
        <v>44838</v>
      </c>
      <c r="AQ2517" s="925" t="str">
        <f t="shared" si="426"/>
        <v>SR</v>
      </c>
      <c r="AR2517" s="1856">
        <f t="shared" si="425"/>
        <v>44838.320833333331</v>
      </c>
      <c r="AS2517" s="927" t="s">
        <v>1323</v>
      </c>
      <c r="AT2517" s="1856" t="str">
        <f t="shared" si="418"/>
        <v/>
      </c>
      <c r="AU2517" s="1856" t="str">
        <f t="shared" si="419"/>
        <v/>
      </c>
      <c r="AV2517" s="1856" t="str">
        <f t="shared" si="420"/>
        <v/>
      </c>
      <c r="AW2517" s="1856" t="str">
        <f t="shared" si="421"/>
        <v/>
      </c>
      <c r="AX2517" s="1856" t="str">
        <f t="shared" si="422"/>
        <v/>
      </c>
      <c r="AY2517" s="1856" t="str">
        <f t="shared" si="423"/>
        <v/>
      </c>
    </row>
    <row r="2518" spans="42:52">
      <c r="AP2518" s="1855">
        <f t="shared" si="424"/>
        <v>44838</v>
      </c>
      <c r="AQ2518" s="925" t="str">
        <f t="shared" si="426"/>
        <v>MR</v>
      </c>
      <c r="AR2518" s="1856">
        <f t="shared" si="425"/>
        <v>44838.70208333333</v>
      </c>
      <c r="AS2518" s="927" t="s">
        <v>2194</v>
      </c>
      <c r="AT2518" s="1856" t="str">
        <f t="shared" si="418"/>
        <v/>
      </c>
      <c r="AU2518" s="1856" t="str">
        <f t="shared" si="419"/>
        <v/>
      </c>
      <c r="AV2518" s="1856" t="str">
        <f t="shared" si="420"/>
        <v/>
      </c>
      <c r="AW2518" s="1856" t="str">
        <f t="shared" si="421"/>
        <v/>
      </c>
      <c r="AX2518" s="1856" t="str">
        <f t="shared" si="422"/>
        <v/>
      </c>
      <c r="AY2518" s="1856" t="str">
        <f t="shared" si="423"/>
        <v/>
      </c>
    </row>
    <row r="2519" spans="42:52">
      <c r="AP2519" s="1855">
        <f t="shared" si="424"/>
        <v>44838</v>
      </c>
      <c r="AQ2519" s="925" t="str">
        <f t="shared" si="426"/>
        <v>SS</v>
      </c>
      <c r="AR2519" s="1856">
        <f t="shared" si="425"/>
        <v>44838.808333333334</v>
      </c>
      <c r="AS2519" s="927" t="s">
        <v>2195</v>
      </c>
      <c r="AT2519" s="1856" t="str">
        <f t="shared" si="418"/>
        <v/>
      </c>
      <c r="AU2519" s="1856" t="str">
        <f t="shared" si="419"/>
        <v/>
      </c>
      <c r="AV2519" s="1856" t="str">
        <f t="shared" si="420"/>
        <v/>
      </c>
      <c r="AW2519" s="1856" t="str">
        <f t="shared" si="421"/>
        <v/>
      </c>
      <c r="AX2519" s="1856" t="str">
        <f t="shared" si="422"/>
        <v/>
      </c>
      <c r="AY2519" s="1856" t="str">
        <f t="shared" si="423"/>
        <v/>
      </c>
    </row>
    <row r="2520" spans="42:52">
      <c r="AP2520" s="1855">
        <f t="shared" si="424"/>
        <v>44838</v>
      </c>
      <c r="AQ2520" s="925" t="str">
        <f t="shared" si="426"/>
        <v>EENT</v>
      </c>
      <c r="AR2520" s="1856">
        <f t="shared" si="425"/>
        <v>44838.847222222226</v>
      </c>
      <c r="AS2520" s="927" t="s">
        <v>2196</v>
      </c>
      <c r="AT2520" s="1856" t="str">
        <f t="shared" si="418"/>
        <v/>
      </c>
      <c r="AU2520" s="1856" t="str">
        <f t="shared" si="419"/>
        <v/>
      </c>
      <c r="AV2520" s="1856" t="str">
        <f t="shared" si="420"/>
        <v/>
      </c>
      <c r="AW2520" s="1856" t="str">
        <f t="shared" si="421"/>
        <v/>
      </c>
      <c r="AX2520" s="1856" t="str">
        <f t="shared" si="422"/>
        <v/>
      </c>
      <c r="AY2520" s="1856" t="str">
        <f t="shared" si="423"/>
        <v/>
      </c>
    </row>
    <row r="2521" spans="42:52">
      <c r="AP2521" s="1855">
        <f t="shared" si="424"/>
        <v>44839</v>
      </c>
      <c r="AQ2521" s="925" t="str">
        <f t="shared" si="426"/>
        <v/>
      </c>
      <c r="AR2521" s="1856" t="str">
        <f t="shared" si="425"/>
        <v/>
      </c>
      <c r="AS2521" s="927">
        <v>5</v>
      </c>
      <c r="AT2521" s="1856">
        <f t="shared" si="418"/>
        <v>44839.281944444447</v>
      </c>
      <c r="AU2521" s="1856">
        <f t="shared" si="419"/>
        <v>44839.321527777778</v>
      </c>
      <c r="AV2521" s="1856">
        <f t="shared" si="420"/>
        <v>44839.806944444441</v>
      </c>
      <c r="AW2521" s="1856">
        <f t="shared" si="421"/>
        <v>44839.84652777778</v>
      </c>
      <c r="AX2521" s="1856">
        <f t="shared" si="422"/>
        <v>44839.729861111111</v>
      </c>
      <c r="AY2521" s="1856">
        <f t="shared" si="423"/>
        <v>44839.109027777777</v>
      </c>
      <c r="AZ2521" s="1853">
        <v>0.74</v>
      </c>
    </row>
    <row r="2522" spans="42:52">
      <c r="AP2522" s="1855">
        <f t="shared" si="424"/>
        <v>44839</v>
      </c>
      <c r="AQ2522" s="925" t="str">
        <f t="shared" si="426"/>
        <v/>
      </c>
      <c r="AR2522" s="1856" t="str">
        <f t="shared" si="425"/>
        <v/>
      </c>
      <c r="AS2522" s="927" t="s">
        <v>252</v>
      </c>
      <c r="AT2522" s="1856" t="str">
        <f t="shared" si="418"/>
        <v/>
      </c>
      <c r="AU2522" s="1856" t="str">
        <f t="shared" si="419"/>
        <v/>
      </c>
      <c r="AV2522" s="1856" t="str">
        <f t="shared" si="420"/>
        <v/>
      </c>
      <c r="AW2522" s="1856" t="str">
        <f t="shared" si="421"/>
        <v/>
      </c>
      <c r="AX2522" s="1856" t="str">
        <f t="shared" si="422"/>
        <v/>
      </c>
      <c r="AY2522" s="1856" t="str">
        <f t="shared" si="423"/>
        <v/>
      </c>
    </row>
    <row r="2523" spans="42:52">
      <c r="AP2523" s="1855">
        <f t="shared" si="424"/>
        <v>44839</v>
      </c>
      <c r="AQ2523" s="925" t="str">
        <f t="shared" si="426"/>
        <v/>
      </c>
      <c r="AR2523" s="1856" t="str">
        <f t="shared" si="425"/>
        <v/>
      </c>
      <c r="AT2523" s="1856" t="str">
        <f t="shared" si="418"/>
        <v/>
      </c>
      <c r="AU2523" s="1856" t="str">
        <f t="shared" si="419"/>
        <v/>
      </c>
      <c r="AV2523" s="1856" t="str">
        <f t="shared" si="420"/>
        <v/>
      </c>
      <c r="AW2523" s="1856" t="str">
        <f t="shared" si="421"/>
        <v/>
      </c>
      <c r="AX2523" s="1856" t="str">
        <f t="shared" si="422"/>
        <v/>
      </c>
      <c r="AY2523" s="1856" t="str">
        <f t="shared" si="423"/>
        <v/>
      </c>
    </row>
    <row r="2524" spans="42:52">
      <c r="AP2524" s="1855">
        <f t="shared" si="424"/>
        <v>44839</v>
      </c>
      <c r="AQ2524" s="925" t="str">
        <f t="shared" si="426"/>
        <v>MS</v>
      </c>
      <c r="AR2524" s="1856">
        <f t="shared" si="425"/>
        <v>44839.109027777777</v>
      </c>
      <c r="AS2524" s="927" t="s">
        <v>2197</v>
      </c>
      <c r="AT2524" s="1856" t="str">
        <f t="shared" ref="AT2524:AT2587" si="427">IF(ISNUMBER(AS2524),INDEX(AR2525:AR2535,MATCH($AT$27,AQ2525:AQ2535,0)),"")</f>
        <v/>
      </c>
      <c r="AU2524" s="1856" t="str">
        <f t="shared" ref="AU2524:AU2587" si="428">IF(AT2524="","",INDEX(AR2525:AR2535,MATCH($AU$27,AQ2525:AQ2535,0)))</f>
        <v/>
      </c>
      <c r="AV2524" s="1856" t="str">
        <f t="shared" ref="AV2524:AV2587" si="429">IF(AT2524="","",INDEX(AR2525:AR2535,MATCH($AV$27,AQ2525:AQ2535,0)))</f>
        <v/>
      </c>
      <c r="AW2524" s="1856" t="str">
        <f t="shared" ref="AW2524:AW2587" si="430">IF(AT2524="","",INDEX(AR2525:AR2535,MATCH($AW$27,AQ2525:AQ2535,0)))</f>
        <v/>
      </c>
      <c r="AX2524" s="1856" t="str">
        <f t="shared" ref="AX2524:AX2587" si="431">IF(AT2524="","",INDEX(AR2525:AR2535,MATCH($AX$27,AQ2525:AQ2535,0)))</f>
        <v/>
      </c>
      <c r="AY2524" s="1856" t="str">
        <f t="shared" ref="AY2524:AY2587" si="432">IF(AT2524="","",INDEX(AR2525:AR2535,MATCH($AY$27,AQ2525:AQ2535,0)))</f>
        <v/>
      </c>
    </row>
    <row r="2525" spans="42:52">
      <c r="AP2525" s="1855">
        <f t="shared" si="424"/>
        <v>44839</v>
      </c>
      <c r="AQ2525" s="925" t="str">
        <f t="shared" si="426"/>
        <v>BMNT</v>
      </c>
      <c r="AR2525" s="1856">
        <f t="shared" si="425"/>
        <v>44839.281944444447</v>
      </c>
      <c r="AS2525" s="927" t="s">
        <v>1290</v>
      </c>
      <c r="AT2525" s="1856" t="str">
        <f t="shared" si="427"/>
        <v/>
      </c>
      <c r="AU2525" s="1856" t="str">
        <f t="shared" si="428"/>
        <v/>
      </c>
      <c r="AV2525" s="1856" t="str">
        <f t="shared" si="429"/>
        <v/>
      </c>
      <c r="AW2525" s="1856" t="str">
        <f t="shared" si="430"/>
        <v/>
      </c>
      <c r="AX2525" s="1856" t="str">
        <f t="shared" si="431"/>
        <v/>
      </c>
      <c r="AY2525" s="1856" t="str">
        <f t="shared" si="432"/>
        <v/>
      </c>
    </row>
    <row r="2526" spans="42:52">
      <c r="AP2526" s="1855">
        <f t="shared" si="424"/>
        <v>44839</v>
      </c>
      <c r="AQ2526" s="925" t="str">
        <f t="shared" si="426"/>
        <v>SR</v>
      </c>
      <c r="AR2526" s="1856">
        <f t="shared" si="425"/>
        <v>44839.321527777778</v>
      </c>
      <c r="AS2526" s="927" t="s">
        <v>1311</v>
      </c>
      <c r="AT2526" s="1856" t="str">
        <f t="shared" si="427"/>
        <v/>
      </c>
      <c r="AU2526" s="1856" t="str">
        <f t="shared" si="428"/>
        <v/>
      </c>
      <c r="AV2526" s="1856" t="str">
        <f t="shared" si="429"/>
        <v/>
      </c>
      <c r="AW2526" s="1856" t="str">
        <f t="shared" si="430"/>
        <v/>
      </c>
      <c r="AX2526" s="1856" t="str">
        <f t="shared" si="431"/>
        <v/>
      </c>
      <c r="AY2526" s="1856" t="str">
        <f t="shared" si="432"/>
        <v/>
      </c>
    </row>
    <row r="2527" spans="42:52">
      <c r="AP2527" s="1855">
        <f t="shared" si="424"/>
        <v>44839</v>
      </c>
      <c r="AQ2527" s="925" t="str">
        <f t="shared" si="426"/>
        <v>MR</v>
      </c>
      <c r="AR2527" s="1856">
        <f t="shared" si="425"/>
        <v>44839.729861111111</v>
      </c>
      <c r="AS2527" s="927" t="s">
        <v>1066</v>
      </c>
      <c r="AT2527" s="1856" t="str">
        <f t="shared" si="427"/>
        <v/>
      </c>
      <c r="AU2527" s="1856" t="str">
        <f t="shared" si="428"/>
        <v/>
      </c>
      <c r="AV2527" s="1856" t="str">
        <f t="shared" si="429"/>
        <v/>
      </c>
      <c r="AW2527" s="1856" t="str">
        <f t="shared" si="430"/>
        <v/>
      </c>
      <c r="AX2527" s="1856" t="str">
        <f t="shared" si="431"/>
        <v/>
      </c>
      <c r="AY2527" s="1856" t="str">
        <f t="shared" si="432"/>
        <v/>
      </c>
    </row>
    <row r="2528" spans="42:52">
      <c r="AP2528" s="1855">
        <f t="shared" si="424"/>
        <v>44839</v>
      </c>
      <c r="AQ2528" s="925" t="str">
        <f t="shared" si="426"/>
        <v>SS</v>
      </c>
      <c r="AR2528" s="1856">
        <f t="shared" si="425"/>
        <v>44839.806944444441</v>
      </c>
      <c r="AS2528" s="927" t="s">
        <v>2198</v>
      </c>
      <c r="AT2528" s="1856" t="str">
        <f t="shared" si="427"/>
        <v/>
      </c>
      <c r="AU2528" s="1856" t="str">
        <f t="shared" si="428"/>
        <v/>
      </c>
      <c r="AV2528" s="1856" t="str">
        <f t="shared" si="429"/>
        <v/>
      </c>
      <c r="AW2528" s="1856" t="str">
        <f t="shared" si="430"/>
        <v/>
      </c>
      <c r="AX2528" s="1856" t="str">
        <f t="shared" si="431"/>
        <v/>
      </c>
      <c r="AY2528" s="1856" t="str">
        <f t="shared" si="432"/>
        <v/>
      </c>
    </row>
    <row r="2529" spans="42:52">
      <c r="AP2529" s="1855">
        <f t="shared" si="424"/>
        <v>44839</v>
      </c>
      <c r="AQ2529" s="925" t="str">
        <f t="shared" si="426"/>
        <v>EENT</v>
      </c>
      <c r="AR2529" s="1856">
        <f t="shared" si="425"/>
        <v>44839.84652777778</v>
      </c>
      <c r="AS2529" s="927" t="s">
        <v>2199</v>
      </c>
      <c r="AT2529" s="1856" t="str">
        <f t="shared" si="427"/>
        <v/>
      </c>
      <c r="AU2529" s="1856" t="str">
        <f t="shared" si="428"/>
        <v/>
      </c>
      <c r="AV2529" s="1856" t="str">
        <f t="shared" si="429"/>
        <v/>
      </c>
      <c r="AW2529" s="1856" t="str">
        <f t="shared" si="430"/>
        <v/>
      </c>
      <c r="AX2529" s="1856" t="str">
        <f t="shared" si="431"/>
        <v/>
      </c>
      <c r="AY2529" s="1856" t="str">
        <f t="shared" si="432"/>
        <v/>
      </c>
    </row>
    <row r="2530" spans="42:52">
      <c r="AP2530" s="1855">
        <f t="shared" si="424"/>
        <v>44840</v>
      </c>
      <c r="AQ2530" s="925" t="str">
        <f t="shared" si="426"/>
        <v/>
      </c>
      <c r="AR2530" s="1856" t="str">
        <f t="shared" si="425"/>
        <v/>
      </c>
      <c r="AS2530" s="927">
        <v>6</v>
      </c>
      <c r="AT2530" s="1856">
        <f t="shared" si="427"/>
        <v>44840.282638888886</v>
      </c>
      <c r="AU2530" s="1856">
        <f t="shared" si="428"/>
        <v>44840.322222222218</v>
      </c>
      <c r="AV2530" s="1856">
        <f t="shared" si="429"/>
        <v>44840.806249999994</v>
      </c>
      <c r="AW2530" s="1856">
        <f t="shared" si="430"/>
        <v>44840.845138888893</v>
      </c>
      <c r="AX2530" s="1856">
        <f t="shared" si="431"/>
        <v>44840.75277777778</v>
      </c>
      <c r="AY2530" s="1856">
        <f t="shared" si="432"/>
        <v>44840.160416666666</v>
      </c>
      <c r="AZ2530" s="1853">
        <v>0.84</v>
      </c>
    </row>
    <row r="2531" spans="42:52">
      <c r="AP2531" s="1855">
        <f t="shared" si="424"/>
        <v>44840</v>
      </c>
      <c r="AQ2531" s="925" t="str">
        <f t="shared" si="426"/>
        <v/>
      </c>
      <c r="AR2531" s="1856" t="str">
        <f t="shared" si="425"/>
        <v/>
      </c>
      <c r="AS2531" s="927" t="s">
        <v>252</v>
      </c>
      <c r="AT2531" s="1856" t="str">
        <f t="shared" si="427"/>
        <v/>
      </c>
      <c r="AU2531" s="1856" t="str">
        <f t="shared" si="428"/>
        <v/>
      </c>
      <c r="AV2531" s="1856" t="str">
        <f t="shared" si="429"/>
        <v/>
      </c>
      <c r="AW2531" s="1856" t="str">
        <f t="shared" si="430"/>
        <v/>
      </c>
      <c r="AX2531" s="1856" t="str">
        <f t="shared" si="431"/>
        <v/>
      </c>
      <c r="AY2531" s="1856" t="str">
        <f t="shared" si="432"/>
        <v/>
      </c>
    </row>
    <row r="2532" spans="42:52">
      <c r="AP2532" s="1855">
        <f t="shared" si="424"/>
        <v>44840</v>
      </c>
      <c r="AQ2532" s="925" t="str">
        <f t="shared" si="426"/>
        <v/>
      </c>
      <c r="AR2532" s="1856" t="str">
        <f t="shared" si="425"/>
        <v/>
      </c>
      <c r="AT2532" s="1856" t="str">
        <f t="shared" si="427"/>
        <v/>
      </c>
      <c r="AU2532" s="1856" t="str">
        <f t="shared" si="428"/>
        <v/>
      </c>
      <c r="AV2532" s="1856" t="str">
        <f t="shared" si="429"/>
        <v/>
      </c>
      <c r="AW2532" s="1856" t="str">
        <f t="shared" si="430"/>
        <v/>
      </c>
      <c r="AX2532" s="1856" t="str">
        <f t="shared" si="431"/>
        <v/>
      </c>
      <c r="AY2532" s="1856" t="str">
        <f t="shared" si="432"/>
        <v/>
      </c>
    </row>
    <row r="2533" spans="42:52">
      <c r="AP2533" s="1855">
        <f t="shared" ref="AP2533:AP2596" si="433">IF(ISNUMBER(AS2533),AP2532+1,AP2532)</f>
        <v>44840</v>
      </c>
      <c r="AQ2533" s="925" t="str">
        <f t="shared" si="426"/>
        <v>MS</v>
      </c>
      <c r="AR2533" s="1856">
        <f t="shared" si="425"/>
        <v>44840.160416666666</v>
      </c>
      <c r="AS2533" s="927" t="s">
        <v>1509</v>
      </c>
      <c r="AT2533" s="1856" t="str">
        <f t="shared" si="427"/>
        <v/>
      </c>
      <c r="AU2533" s="1856" t="str">
        <f t="shared" si="428"/>
        <v/>
      </c>
      <c r="AV2533" s="1856" t="str">
        <f t="shared" si="429"/>
        <v/>
      </c>
      <c r="AW2533" s="1856" t="str">
        <f t="shared" si="430"/>
        <v/>
      </c>
      <c r="AX2533" s="1856" t="str">
        <f t="shared" si="431"/>
        <v/>
      </c>
      <c r="AY2533" s="1856" t="str">
        <f t="shared" si="432"/>
        <v/>
      </c>
    </row>
    <row r="2534" spans="42:52">
      <c r="AP2534" s="1855">
        <f t="shared" si="433"/>
        <v>44840</v>
      </c>
      <c r="AQ2534" s="925" t="str">
        <f t="shared" si="426"/>
        <v>BMNT</v>
      </c>
      <c r="AR2534" s="1856">
        <f t="shared" si="425"/>
        <v>44840.282638888886</v>
      </c>
      <c r="AS2534" s="927" t="s">
        <v>1277</v>
      </c>
      <c r="AT2534" s="1856" t="str">
        <f t="shared" si="427"/>
        <v/>
      </c>
      <c r="AU2534" s="1856" t="str">
        <f t="shared" si="428"/>
        <v/>
      </c>
      <c r="AV2534" s="1856" t="str">
        <f t="shared" si="429"/>
        <v/>
      </c>
      <c r="AW2534" s="1856" t="str">
        <f t="shared" si="430"/>
        <v/>
      </c>
      <c r="AX2534" s="1856" t="str">
        <f t="shared" si="431"/>
        <v/>
      </c>
      <c r="AY2534" s="1856" t="str">
        <f t="shared" si="432"/>
        <v/>
      </c>
    </row>
    <row r="2535" spans="42:52">
      <c r="AP2535" s="1855">
        <f t="shared" si="433"/>
        <v>44840</v>
      </c>
      <c r="AQ2535" s="925" t="str">
        <f t="shared" si="426"/>
        <v>SR</v>
      </c>
      <c r="AR2535" s="1856">
        <f t="shared" si="425"/>
        <v>44840.322222222218</v>
      </c>
      <c r="AS2535" s="927" t="s">
        <v>1300</v>
      </c>
      <c r="AT2535" s="1856" t="str">
        <f t="shared" si="427"/>
        <v/>
      </c>
      <c r="AU2535" s="1856" t="str">
        <f t="shared" si="428"/>
        <v/>
      </c>
      <c r="AV2535" s="1856" t="str">
        <f t="shared" si="429"/>
        <v/>
      </c>
      <c r="AW2535" s="1856" t="str">
        <f t="shared" si="430"/>
        <v/>
      </c>
      <c r="AX2535" s="1856" t="str">
        <f t="shared" si="431"/>
        <v/>
      </c>
      <c r="AY2535" s="1856" t="str">
        <f t="shared" si="432"/>
        <v/>
      </c>
    </row>
    <row r="2536" spans="42:52">
      <c r="AP2536" s="1855">
        <f t="shared" si="433"/>
        <v>44840</v>
      </c>
      <c r="AQ2536" s="925" t="str">
        <f t="shared" si="426"/>
        <v>MR</v>
      </c>
      <c r="AR2536" s="1856">
        <f t="shared" si="425"/>
        <v>44840.75277777778</v>
      </c>
      <c r="AS2536" s="927" t="s">
        <v>2200</v>
      </c>
      <c r="AT2536" s="1856" t="str">
        <f t="shared" si="427"/>
        <v/>
      </c>
      <c r="AU2536" s="1856" t="str">
        <f t="shared" si="428"/>
        <v/>
      </c>
      <c r="AV2536" s="1856" t="str">
        <f t="shared" si="429"/>
        <v/>
      </c>
      <c r="AW2536" s="1856" t="str">
        <f t="shared" si="430"/>
        <v/>
      </c>
      <c r="AX2536" s="1856" t="str">
        <f t="shared" si="431"/>
        <v/>
      </c>
      <c r="AY2536" s="1856" t="str">
        <f t="shared" si="432"/>
        <v/>
      </c>
    </row>
    <row r="2537" spans="42:52">
      <c r="AP2537" s="1855">
        <f t="shared" si="433"/>
        <v>44840</v>
      </c>
      <c r="AQ2537" s="925" t="str">
        <f t="shared" si="426"/>
        <v>SS</v>
      </c>
      <c r="AR2537" s="1856">
        <f t="shared" ref="AR2537:AR2600" si="434">IF(NOT(ISNUMBER(FIND(":",AS2537))),"",IF(ISNUMBER(FIND(" none",AS2537)),"NONE",AP2537+LEFT(RIGHT(AS2537,5),2)/24+RIGHT(AS2537,2)/1440))</f>
        <v>44840.806249999994</v>
      </c>
      <c r="AS2537" s="927" t="s">
        <v>2201</v>
      </c>
      <c r="AT2537" s="1856" t="str">
        <f t="shared" si="427"/>
        <v/>
      </c>
      <c r="AU2537" s="1856" t="str">
        <f t="shared" si="428"/>
        <v/>
      </c>
      <c r="AV2537" s="1856" t="str">
        <f t="shared" si="429"/>
        <v/>
      </c>
      <c r="AW2537" s="1856" t="str">
        <f t="shared" si="430"/>
        <v/>
      </c>
      <c r="AX2537" s="1856" t="str">
        <f t="shared" si="431"/>
        <v/>
      </c>
      <c r="AY2537" s="1856" t="str">
        <f t="shared" si="432"/>
        <v/>
      </c>
    </row>
    <row r="2538" spans="42:52">
      <c r="AP2538" s="1855">
        <f t="shared" si="433"/>
        <v>44840</v>
      </c>
      <c r="AQ2538" s="925" t="str">
        <f t="shared" si="426"/>
        <v>EENT</v>
      </c>
      <c r="AR2538" s="1856">
        <f t="shared" si="434"/>
        <v>44840.845138888893</v>
      </c>
      <c r="AS2538" s="927" t="s">
        <v>2202</v>
      </c>
      <c r="AT2538" s="1856" t="str">
        <f t="shared" si="427"/>
        <v/>
      </c>
      <c r="AU2538" s="1856" t="str">
        <f t="shared" si="428"/>
        <v/>
      </c>
      <c r="AV2538" s="1856" t="str">
        <f t="shared" si="429"/>
        <v/>
      </c>
      <c r="AW2538" s="1856" t="str">
        <f t="shared" si="430"/>
        <v/>
      </c>
      <c r="AX2538" s="1856" t="str">
        <f t="shared" si="431"/>
        <v/>
      </c>
      <c r="AY2538" s="1856" t="str">
        <f t="shared" si="432"/>
        <v/>
      </c>
    </row>
    <row r="2539" spans="42:52">
      <c r="AP2539" s="1855">
        <f t="shared" si="433"/>
        <v>44841</v>
      </c>
      <c r="AQ2539" s="925" t="str">
        <f t="shared" si="426"/>
        <v/>
      </c>
      <c r="AR2539" s="1856" t="str">
        <f t="shared" si="434"/>
        <v/>
      </c>
      <c r="AS2539" s="927">
        <v>7</v>
      </c>
      <c r="AT2539" s="1856">
        <f t="shared" si="427"/>
        <v>44841.283333333333</v>
      </c>
      <c r="AU2539" s="1856">
        <f t="shared" si="428"/>
        <v>44841.322222222218</v>
      </c>
      <c r="AV2539" s="1856">
        <f t="shared" si="429"/>
        <v>44841.804861111108</v>
      </c>
      <c r="AW2539" s="1856">
        <f t="shared" si="430"/>
        <v>44841.844444444447</v>
      </c>
      <c r="AX2539" s="1856">
        <f t="shared" si="431"/>
        <v>44841.772916666669</v>
      </c>
      <c r="AY2539" s="1856">
        <f t="shared" si="432"/>
        <v>44841.210416666669</v>
      </c>
      <c r="AZ2539" s="1853">
        <v>0.91</v>
      </c>
    </row>
    <row r="2540" spans="42:52">
      <c r="AP2540" s="1855">
        <f t="shared" si="433"/>
        <v>44841</v>
      </c>
      <c r="AQ2540" s="925" t="str">
        <f t="shared" si="426"/>
        <v/>
      </c>
      <c r="AR2540" s="1856" t="str">
        <f t="shared" si="434"/>
        <v/>
      </c>
      <c r="AS2540" s="927" t="s">
        <v>252</v>
      </c>
      <c r="AT2540" s="1856" t="str">
        <f t="shared" si="427"/>
        <v/>
      </c>
      <c r="AU2540" s="1856" t="str">
        <f t="shared" si="428"/>
        <v/>
      </c>
      <c r="AV2540" s="1856" t="str">
        <f t="shared" si="429"/>
        <v/>
      </c>
      <c r="AW2540" s="1856" t="str">
        <f t="shared" si="430"/>
        <v/>
      </c>
      <c r="AX2540" s="1856" t="str">
        <f t="shared" si="431"/>
        <v/>
      </c>
      <c r="AY2540" s="1856" t="str">
        <f t="shared" si="432"/>
        <v/>
      </c>
    </row>
    <row r="2541" spans="42:52">
      <c r="AP2541" s="1855">
        <f t="shared" si="433"/>
        <v>44841</v>
      </c>
      <c r="AQ2541" s="925" t="str">
        <f t="shared" si="426"/>
        <v/>
      </c>
      <c r="AR2541" s="1856" t="str">
        <f t="shared" si="434"/>
        <v/>
      </c>
      <c r="AT2541" s="1856" t="str">
        <f t="shared" si="427"/>
        <v/>
      </c>
      <c r="AU2541" s="1856" t="str">
        <f t="shared" si="428"/>
        <v/>
      </c>
      <c r="AV2541" s="1856" t="str">
        <f t="shared" si="429"/>
        <v/>
      </c>
      <c r="AW2541" s="1856" t="str">
        <f t="shared" si="430"/>
        <v/>
      </c>
      <c r="AX2541" s="1856" t="str">
        <f t="shared" si="431"/>
        <v/>
      </c>
      <c r="AY2541" s="1856" t="str">
        <f t="shared" si="432"/>
        <v/>
      </c>
    </row>
    <row r="2542" spans="42:52">
      <c r="AP2542" s="1855">
        <f t="shared" si="433"/>
        <v>44841</v>
      </c>
      <c r="AQ2542" s="925" t="str">
        <f t="shared" si="426"/>
        <v>MS</v>
      </c>
      <c r="AR2542" s="1856">
        <f t="shared" si="434"/>
        <v>44841.210416666669</v>
      </c>
      <c r="AS2542" s="927" t="s">
        <v>2203</v>
      </c>
      <c r="AT2542" s="1856" t="str">
        <f t="shared" si="427"/>
        <v/>
      </c>
      <c r="AU2542" s="1856" t="str">
        <f t="shared" si="428"/>
        <v/>
      </c>
      <c r="AV2542" s="1856" t="str">
        <f t="shared" si="429"/>
        <v/>
      </c>
      <c r="AW2542" s="1856" t="str">
        <f t="shared" si="430"/>
        <v/>
      </c>
      <c r="AX2542" s="1856" t="str">
        <f t="shared" si="431"/>
        <v/>
      </c>
      <c r="AY2542" s="1856" t="str">
        <f t="shared" si="432"/>
        <v/>
      </c>
    </row>
    <row r="2543" spans="42:52">
      <c r="AP2543" s="1855">
        <f t="shared" si="433"/>
        <v>44841</v>
      </c>
      <c r="AQ2543" s="925" t="str">
        <f t="shared" si="426"/>
        <v>BMNT</v>
      </c>
      <c r="AR2543" s="1856">
        <f t="shared" si="434"/>
        <v>44841.283333333333</v>
      </c>
      <c r="AS2543" s="927" t="s">
        <v>1256</v>
      </c>
      <c r="AT2543" s="1856" t="str">
        <f t="shared" si="427"/>
        <v/>
      </c>
      <c r="AU2543" s="1856" t="str">
        <f t="shared" si="428"/>
        <v/>
      </c>
      <c r="AV2543" s="1856" t="str">
        <f t="shared" si="429"/>
        <v/>
      </c>
      <c r="AW2543" s="1856" t="str">
        <f t="shared" si="430"/>
        <v/>
      </c>
      <c r="AX2543" s="1856" t="str">
        <f t="shared" si="431"/>
        <v/>
      </c>
      <c r="AY2543" s="1856" t="str">
        <f t="shared" si="432"/>
        <v/>
      </c>
    </row>
    <row r="2544" spans="42:52">
      <c r="AP2544" s="1855">
        <f t="shared" si="433"/>
        <v>44841</v>
      </c>
      <c r="AQ2544" s="925" t="str">
        <f t="shared" si="426"/>
        <v>SR</v>
      </c>
      <c r="AR2544" s="1856">
        <f t="shared" si="434"/>
        <v>44841.322222222218</v>
      </c>
      <c r="AS2544" s="927" t="s">
        <v>1300</v>
      </c>
      <c r="AT2544" s="1856" t="str">
        <f t="shared" si="427"/>
        <v/>
      </c>
      <c r="AU2544" s="1856" t="str">
        <f t="shared" si="428"/>
        <v/>
      </c>
      <c r="AV2544" s="1856" t="str">
        <f t="shared" si="429"/>
        <v/>
      </c>
      <c r="AW2544" s="1856" t="str">
        <f t="shared" si="430"/>
        <v/>
      </c>
      <c r="AX2544" s="1856" t="str">
        <f t="shared" si="431"/>
        <v/>
      </c>
      <c r="AY2544" s="1856" t="str">
        <f t="shared" si="432"/>
        <v/>
      </c>
    </row>
    <row r="2545" spans="42:52">
      <c r="AP2545" s="1855">
        <f t="shared" si="433"/>
        <v>44841</v>
      </c>
      <c r="AQ2545" s="925" t="str">
        <f t="shared" si="426"/>
        <v>MR</v>
      </c>
      <c r="AR2545" s="1856">
        <f t="shared" si="434"/>
        <v>44841.772916666669</v>
      </c>
      <c r="AS2545" s="927" t="s">
        <v>2204</v>
      </c>
      <c r="AT2545" s="1856" t="str">
        <f t="shared" si="427"/>
        <v/>
      </c>
      <c r="AU2545" s="1856" t="str">
        <f t="shared" si="428"/>
        <v/>
      </c>
      <c r="AV2545" s="1856" t="str">
        <f t="shared" si="429"/>
        <v/>
      </c>
      <c r="AW2545" s="1856" t="str">
        <f t="shared" si="430"/>
        <v/>
      </c>
      <c r="AX2545" s="1856" t="str">
        <f t="shared" si="431"/>
        <v/>
      </c>
      <c r="AY2545" s="1856" t="str">
        <f t="shared" si="432"/>
        <v/>
      </c>
    </row>
    <row r="2546" spans="42:52">
      <c r="AP2546" s="1855">
        <f t="shared" si="433"/>
        <v>44841</v>
      </c>
      <c r="AQ2546" s="925" t="str">
        <f t="shared" si="426"/>
        <v>SS</v>
      </c>
      <c r="AR2546" s="1856">
        <f t="shared" si="434"/>
        <v>44841.804861111108</v>
      </c>
      <c r="AS2546" s="927" t="s">
        <v>2205</v>
      </c>
      <c r="AT2546" s="1856" t="str">
        <f t="shared" si="427"/>
        <v/>
      </c>
      <c r="AU2546" s="1856" t="str">
        <f t="shared" si="428"/>
        <v/>
      </c>
      <c r="AV2546" s="1856" t="str">
        <f t="shared" si="429"/>
        <v/>
      </c>
      <c r="AW2546" s="1856" t="str">
        <f t="shared" si="430"/>
        <v/>
      </c>
      <c r="AX2546" s="1856" t="str">
        <f t="shared" si="431"/>
        <v/>
      </c>
      <c r="AY2546" s="1856" t="str">
        <f t="shared" si="432"/>
        <v/>
      </c>
    </row>
    <row r="2547" spans="42:52">
      <c r="AP2547" s="1855">
        <f t="shared" si="433"/>
        <v>44841</v>
      </c>
      <c r="AQ2547" s="925" t="str">
        <f t="shared" si="426"/>
        <v>EENT</v>
      </c>
      <c r="AR2547" s="1856">
        <f t="shared" si="434"/>
        <v>44841.844444444447</v>
      </c>
      <c r="AS2547" s="927" t="s">
        <v>2206</v>
      </c>
      <c r="AT2547" s="1856" t="str">
        <f t="shared" si="427"/>
        <v/>
      </c>
      <c r="AU2547" s="1856" t="str">
        <f t="shared" si="428"/>
        <v/>
      </c>
      <c r="AV2547" s="1856" t="str">
        <f t="shared" si="429"/>
        <v/>
      </c>
      <c r="AW2547" s="1856" t="str">
        <f t="shared" si="430"/>
        <v/>
      </c>
      <c r="AX2547" s="1856" t="str">
        <f t="shared" si="431"/>
        <v/>
      </c>
      <c r="AY2547" s="1856" t="str">
        <f t="shared" si="432"/>
        <v/>
      </c>
    </row>
    <row r="2548" spans="42:52">
      <c r="AP2548" s="1855">
        <f t="shared" si="433"/>
        <v>44842</v>
      </c>
      <c r="AQ2548" s="925" t="str">
        <f t="shared" ref="AQ2548:AQ2611" si="435">IF(NOT(ISNUMBER(FIND(":",AS2548))),"",IF(ISNUMBER(FIND("Sunr",AS2548)),"SR", IF(ISNUMBER(FIND("Suns",AS2548)),"SS",IF(ISNUMBER(FIND("Moonr",AS2548)),"MR",IF(ISNUMBER(FIND("Moons",AS2548)),"MS",IF(ISNUMBER(FIND("Twi",AS2548)),IF(HOUR(AR2548)&lt;12,"BMNT","EENT")))))))</f>
        <v/>
      </c>
      <c r="AR2548" s="1856" t="str">
        <f t="shared" si="434"/>
        <v/>
      </c>
      <c r="AS2548" s="927">
        <v>8</v>
      </c>
      <c r="AT2548" s="1856">
        <f t="shared" si="427"/>
        <v>44842.28402777778</v>
      </c>
      <c r="AU2548" s="1856">
        <f t="shared" si="428"/>
        <v>44842.322916666664</v>
      </c>
      <c r="AV2548" s="1856">
        <f t="shared" si="429"/>
        <v>44842.804166666661</v>
      </c>
      <c r="AW2548" s="1856">
        <f t="shared" si="430"/>
        <v>44842.843055555561</v>
      </c>
      <c r="AX2548" s="1856">
        <f t="shared" si="431"/>
        <v>44842.790972222225</v>
      </c>
      <c r="AY2548" s="1856">
        <f t="shared" si="432"/>
        <v>44842.259027777778</v>
      </c>
      <c r="AZ2548" s="1853">
        <v>0.97</v>
      </c>
    </row>
    <row r="2549" spans="42:52">
      <c r="AP2549" s="1855">
        <f t="shared" si="433"/>
        <v>44842</v>
      </c>
      <c r="AQ2549" s="925" t="str">
        <f t="shared" si="435"/>
        <v/>
      </c>
      <c r="AR2549" s="1856" t="str">
        <f t="shared" si="434"/>
        <v/>
      </c>
      <c r="AS2549" s="927" t="s">
        <v>252</v>
      </c>
      <c r="AT2549" s="1856" t="str">
        <f t="shared" si="427"/>
        <v/>
      </c>
      <c r="AU2549" s="1856" t="str">
        <f t="shared" si="428"/>
        <v/>
      </c>
      <c r="AV2549" s="1856" t="str">
        <f t="shared" si="429"/>
        <v/>
      </c>
      <c r="AW2549" s="1856" t="str">
        <f t="shared" si="430"/>
        <v/>
      </c>
      <c r="AX2549" s="1856" t="str">
        <f t="shared" si="431"/>
        <v/>
      </c>
      <c r="AY2549" s="1856" t="str">
        <f t="shared" si="432"/>
        <v/>
      </c>
    </row>
    <row r="2550" spans="42:52">
      <c r="AP2550" s="1855">
        <f t="shared" si="433"/>
        <v>44842</v>
      </c>
      <c r="AQ2550" s="925" t="str">
        <f t="shared" si="435"/>
        <v/>
      </c>
      <c r="AR2550" s="1856" t="str">
        <f t="shared" si="434"/>
        <v/>
      </c>
      <c r="AT2550" s="1856" t="str">
        <f t="shared" si="427"/>
        <v/>
      </c>
      <c r="AU2550" s="1856" t="str">
        <f t="shared" si="428"/>
        <v/>
      </c>
      <c r="AV2550" s="1856" t="str">
        <f t="shared" si="429"/>
        <v/>
      </c>
      <c r="AW2550" s="1856" t="str">
        <f t="shared" si="430"/>
        <v/>
      </c>
      <c r="AX2550" s="1856" t="str">
        <f t="shared" si="431"/>
        <v/>
      </c>
      <c r="AY2550" s="1856" t="str">
        <f t="shared" si="432"/>
        <v/>
      </c>
    </row>
    <row r="2551" spans="42:52">
      <c r="AP2551" s="1855">
        <f t="shared" si="433"/>
        <v>44842</v>
      </c>
      <c r="AQ2551" s="925" t="str">
        <f t="shared" si="435"/>
        <v>MS</v>
      </c>
      <c r="AR2551" s="1856">
        <f t="shared" si="434"/>
        <v>44842.259027777778</v>
      </c>
      <c r="AS2551" s="927" t="s">
        <v>2207</v>
      </c>
      <c r="AT2551" s="1856" t="str">
        <f t="shared" si="427"/>
        <v/>
      </c>
      <c r="AU2551" s="1856" t="str">
        <f t="shared" si="428"/>
        <v/>
      </c>
      <c r="AV2551" s="1856" t="str">
        <f t="shared" si="429"/>
        <v/>
      </c>
      <c r="AW2551" s="1856" t="str">
        <f t="shared" si="430"/>
        <v/>
      </c>
      <c r="AX2551" s="1856" t="str">
        <f t="shared" si="431"/>
        <v/>
      </c>
      <c r="AY2551" s="1856" t="str">
        <f t="shared" si="432"/>
        <v/>
      </c>
    </row>
    <row r="2552" spans="42:52">
      <c r="AP2552" s="1855">
        <f t="shared" si="433"/>
        <v>44842</v>
      </c>
      <c r="AQ2552" s="925" t="str">
        <f t="shared" si="435"/>
        <v>BMNT</v>
      </c>
      <c r="AR2552" s="1856">
        <f t="shared" si="434"/>
        <v>44842.28402777778</v>
      </c>
      <c r="AS2552" s="927" t="s">
        <v>1243</v>
      </c>
      <c r="AT2552" s="1856" t="str">
        <f t="shared" si="427"/>
        <v/>
      </c>
      <c r="AU2552" s="1856" t="str">
        <f t="shared" si="428"/>
        <v/>
      </c>
      <c r="AV2552" s="1856" t="str">
        <f t="shared" si="429"/>
        <v/>
      </c>
      <c r="AW2552" s="1856" t="str">
        <f t="shared" si="430"/>
        <v/>
      </c>
      <c r="AX2552" s="1856" t="str">
        <f t="shared" si="431"/>
        <v/>
      </c>
      <c r="AY2552" s="1856" t="str">
        <f t="shared" si="432"/>
        <v/>
      </c>
    </row>
    <row r="2553" spans="42:52">
      <c r="AP2553" s="1855">
        <f t="shared" si="433"/>
        <v>44842</v>
      </c>
      <c r="AQ2553" s="925" t="str">
        <f t="shared" si="435"/>
        <v>SR</v>
      </c>
      <c r="AR2553" s="1856">
        <f t="shared" si="434"/>
        <v>44842.322916666664</v>
      </c>
      <c r="AS2553" s="927" t="s">
        <v>1291</v>
      </c>
      <c r="AT2553" s="1856" t="str">
        <f t="shared" si="427"/>
        <v/>
      </c>
      <c r="AU2553" s="1856" t="str">
        <f t="shared" si="428"/>
        <v/>
      </c>
      <c r="AV2553" s="1856" t="str">
        <f t="shared" si="429"/>
        <v/>
      </c>
      <c r="AW2553" s="1856" t="str">
        <f t="shared" si="430"/>
        <v/>
      </c>
      <c r="AX2553" s="1856" t="str">
        <f t="shared" si="431"/>
        <v/>
      </c>
      <c r="AY2553" s="1856" t="str">
        <f t="shared" si="432"/>
        <v/>
      </c>
    </row>
    <row r="2554" spans="42:52">
      <c r="AP2554" s="1855">
        <f t="shared" si="433"/>
        <v>44842</v>
      </c>
      <c r="AQ2554" s="925" t="str">
        <f t="shared" si="435"/>
        <v>MR</v>
      </c>
      <c r="AR2554" s="1856">
        <f t="shared" si="434"/>
        <v>44842.790972222225</v>
      </c>
      <c r="AS2554" s="927" t="s">
        <v>2208</v>
      </c>
      <c r="AT2554" s="1856" t="str">
        <f t="shared" si="427"/>
        <v/>
      </c>
      <c r="AU2554" s="1856" t="str">
        <f t="shared" si="428"/>
        <v/>
      </c>
      <c r="AV2554" s="1856" t="str">
        <f t="shared" si="429"/>
        <v/>
      </c>
      <c r="AW2554" s="1856" t="str">
        <f t="shared" si="430"/>
        <v/>
      </c>
      <c r="AX2554" s="1856" t="str">
        <f t="shared" si="431"/>
        <v/>
      </c>
      <c r="AY2554" s="1856" t="str">
        <f t="shared" si="432"/>
        <v/>
      </c>
    </row>
    <row r="2555" spans="42:52">
      <c r="AP2555" s="1855">
        <f t="shared" si="433"/>
        <v>44842</v>
      </c>
      <c r="AQ2555" s="925" t="str">
        <f t="shared" si="435"/>
        <v>SS</v>
      </c>
      <c r="AR2555" s="1856">
        <f t="shared" si="434"/>
        <v>44842.804166666661</v>
      </c>
      <c r="AS2555" s="927" t="s">
        <v>2209</v>
      </c>
      <c r="AT2555" s="1856" t="str">
        <f t="shared" si="427"/>
        <v/>
      </c>
      <c r="AU2555" s="1856" t="str">
        <f t="shared" si="428"/>
        <v/>
      </c>
      <c r="AV2555" s="1856" t="str">
        <f t="shared" si="429"/>
        <v/>
      </c>
      <c r="AW2555" s="1856" t="str">
        <f t="shared" si="430"/>
        <v/>
      </c>
      <c r="AX2555" s="1856" t="str">
        <f t="shared" si="431"/>
        <v/>
      </c>
      <c r="AY2555" s="1856" t="str">
        <f t="shared" si="432"/>
        <v/>
      </c>
    </row>
    <row r="2556" spans="42:52">
      <c r="AP2556" s="1855">
        <f t="shared" si="433"/>
        <v>44842</v>
      </c>
      <c r="AQ2556" s="925" t="str">
        <f t="shared" si="435"/>
        <v>EENT</v>
      </c>
      <c r="AR2556" s="1856">
        <f t="shared" si="434"/>
        <v>44842.843055555561</v>
      </c>
      <c r="AS2556" s="927" t="s">
        <v>2210</v>
      </c>
      <c r="AT2556" s="1856" t="str">
        <f t="shared" si="427"/>
        <v/>
      </c>
      <c r="AU2556" s="1856" t="str">
        <f t="shared" si="428"/>
        <v/>
      </c>
      <c r="AV2556" s="1856" t="str">
        <f t="shared" si="429"/>
        <v/>
      </c>
      <c r="AW2556" s="1856" t="str">
        <f t="shared" si="430"/>
        <v/>
      </c>
      <c r="AX2556" s="1856" t="str">
        <f t="shared" si="431"/>
        <v/>
      </c>
      <c r="AY2556" s="1856" t="str">
        <f t="shared" si="432"/>
        <v/>
      </c>
    </row>
    <row r="2557" spans="42:52">
      <c r="AP2557" s="1855">
        <f t="shared" si="433"/>
        <v>44843</v>
      </c>
      <c r="AQ2557" s="925" t="str">
        <f t="shared" si="435"/>
        <v/>
      </c>
      <c r="AR2557" s="1856" t="str">
        <f t="shared" si="434"/>
        <v/>
      </c>
      <c r="AS2557" s="927">
        <v>9</v>
      </c>
      <c r="AT2557" s="1856">
        <f t="shared" si="427"/>
        <v>44843.284722222219</v>
      </c>
      <c r="AU2557" s="1856">
        <f t="shared" si="428"/>
        <v>44843.323611111111</v>
      </c>
      <c r="AV2557" s="1856">
        <f t="shared" si="429"/>
        <v>44843.802777777775</v>
      </c>
      <c r="AW2557" s="1856">
        <f t="shared" si="430"/>
        <v>44843.842361111114</v>
      </c>
      <c r="AX2557" s="1856">
        <f t="shared" si="431"/>
        <v>44843.809027777774</v>
      </c>
      <c r="AY2557" s="1856">
        <f t="shared" si="432"/>
        <v>44843.306944444441</v>
      </c>
      <c r="AZ2557" s="1853">
        <v>0.99</v>
      </c>
    </row>
    <row r="2558" spans="42:52">
      <c r="AP2558" s="1855">
        <f t="shared" si="433"/>
        <v>44843</v>
      </c>
      <c r="AQ2558" s="925" t="str">
        <f t="shared" si="435"/>
        <v/>
      </c>
      <c r="AR2558" s="1856" t="str">
        <f t="shared" si="434"/>
        <v/>
      </c>
      <c r="AS2558" s="927" t="s">
        <v>252</v>
      </c>
      <c r="AT2558" s="1856" t="str">
        <f t="shared" si="427"/>
        <v/>
      </c>
      <c r="AU2558" s="1856" t="str">
        <f t="shared" si="428"/>
        <v/>
      </c>
      <c r="AV2558" s="1856" t="str">
        <f t="shared" si="429"/>
        <v/>
      </c>
      <c r="AW2558" s="1856" t="str">
        <f t="shared" si="430"/>
        <v/>
      </c>
      <c r="AX2558" s="1856" t="str">
        <f t="shared" si="431"/>
        <v/>
      </c>
      <c r="AY2558" s="1856" t="str">
        <f t="shared" si="432"/>
        <v/>
      </c>
    </row>
    <row r="2559" spans="42:52">
      <c r="AP2559" s="1855">
        <f t="shared" si="433"/>
        <v>44843</v>
      </c>
      <c r="AQ2559" s="925" t="str">
        <f t="shared" si="435"/>
        <v/>
      </c>
      <c r="AR2559" s="1856" t="str">
        <f t="shared" si="434"/>
        <v/>
      </c>
      <c r="AT2559" s="1856" t="str">
        <f t="shared" si="427"/>
        <v/>
      </c>
      <c r="AU2559" s="1856" t="str">
        <f t="shared" si="428"/>
        <v/>
      </c>
      <c r="AV2559" s="1856" t="str">
        <f t="shared" si="429"/>
        <v/>
      </c>
      <c r="AW2559" s="1856" t="str">
        <f t="shared" si="430"/>
        <v/>
      </c>
      <c r="AX2559" s="1856" t="str">
        <f t="shared" si="431"/>
        <v/>
      </c>
      <c r="AY2559" s="1856" t="str">
        <f t="shared" si="432"/>
        <v/>
      </c>
    </row>
    <row r="2560" spans="42:52">
      <c r="AP2560" s="1855">
        <f t="shared" si="433"/>
        <v>44843</v>
      </c>
      <c r="AQ2560" s="925" t="str">
        <f t="shared" si="435"/>
        <v>BMNT</v>
      </c>
      <c r="AR2560" s="1856">
        <f t="shared" si="434"/>
        <v>44843.284722222219</v>
      </c>
      <c r="AS2560" s="927" t="s">
        <v>1231</v>
      </c>
      <c r="AT2560" s="1856" t="str">
        <f t="shared" si="427"/>
        <v/>
      </c>
      <c r="AU2560" s="1856" t="str">
        <f t="shared" si="428"/>
        <v/>
      </c>
      <c r="AV2560" s="1856" t="str">
        <f t="shared" si="429"/>
        <v/>
      </c>
      <c r="AW2560" s="1856" t="str">
        <f t="shared" si="430"/>
        <v/>
      </c>
      <c r="AX2560" s="1856" t="str">
        <f t="shared" si="431"/>
        <v/>
      </c>
      <c r="AY2560" s="1856" t="str">
        <f t="shared" si="432"/>
        <v/>
      </c>
    </row>
    <row r="2561" spans="42:52">
      <c r="AP2561" s="1855">
        <f t="shared" si="433"/>
        <v>44843</v>
      </c>
      <c r="AQ2561" s="925" t="str">
        <f t="shared" si="435"/>
        <v>MS</v>
      </c>
      <c r="AR2561" s="1856">
        <f t="shared" si="434"/>
        <v>44843.306944444441</v>
      </c>
      <c r="AS2561" s="927" t="s">
        <v>2211</v>
      </c>
      <c r="AT2561" s="1856" t="str">
        <f t="shared" si="427"/>
        <v/>
      </c>
      <c r="AU2561" s="1856" t="str">
        <f t="shared" si="428"/>
        <v/>
      </c>
      <c r="AV2561" s="1856" t="str">
        <f t="shared" si="429"/>
        <v/>
      </c>
      <c r="AW2561" s="1856" t="str">
        <f t="shared" si="430"/>
        <v/>
      </c>
      <c r="AX2561" s="1856" t="str">
        <f t="shared" si="431"/>
        <v/>
      </c>
      <c r="AY2561" s="1856" t="str">
        <f t="shared" si="432"/>
        <v/>
      </c>
    </row>
    <row r="2562" spans="42:52">
      <c r="AP2562" s="1855">
        <f t="shared" si="433"/>
        <v>44843</v>
      </c>
      <c r="AQ2562" s="925" t="str">
        <f t="shared" si="435"/>
        <v>SR</v>
      </c>
      <c r="AR2562" s="1856">
        <f t="shared" si="434"/>
        <v>44843.323611111111</v>
      </c>
      <c r="AS2562" s="927" t="s">
        <v>1279</v>
      </c>
      <c r="AT2562" s="1856" t="str">
        <f t="shared" si="427"/>
        <v/>
      </c>
      <c r="AU2562" s="1856" t="str">
        <f t="shared" si="428"/>
        <v/>
      </c>
      <c r="AV2562" s="1856" t="str">
        <f t="shared" si="429"/>
        <v/>
      </c>
      <c r="AW2562" s="1856" t="str">
        <f t="shared" si="430"/>
        <v/>
      </c>
      <c r="AX2562" s="1856" t="str">
        <f t="shared" si="431"/>
        <v/>
      </c>
      <c r="AY2562" s="1856" t="str">
        <f t="shared" si="432"/>
        <v/>
      </c>
    </row>
    <row r="2563" spans="42:52">
      <c r="AP2563" s="1855">
        <f t="shared" si="433"/>
        <v>44843</v>
      </c>
      <c r="AQ2563" s="925" t="str">
        <f t="shared" si="435"/>
        <v>SS</v>
      </c>
      <c r="AR2563" s="1856">
        <f t="shared" si="434"/>
        <v>44843.802777777775</v>
      </c>
      <c r="AS2563" s="927" t="s">
        <v>2212</v>
      </c>
      <c r="AT2563" s="1856" t="str">
        <f t="shared" si="427"/>
        <v/>
      </c>
      <c r="AU2563" s="1856" t="str">
        <f t="shared" si="428"/>
        <v/>
      </c>
      <c r="AV2563" s="1856" t="str">
        <f t="shared" si="429"/>
        <v/>
      </c>
      <c r="AW2563" s="1856" t="str">
        <f t="shared" si="430"/>
        <v/>
      </c>
      <c r="AX2563" s="1856" t="str">
        <f t="shared" si="431"/>
        <v/>
      </c>
      <c r="AY2563" s="1856" t="str">
        <f t="shared" si="432"/>
        <v/>
      </c>
    </row>
    <row r="2564" spans="42:52">
      <c r="AP2564" s="1855">
        <f t="shared" si="433"/>
        <v>44843</v>
      </c>
      <c r="AQ2564" s="925" t="str">
        <f t="shared" si="435"/>
        <v>MR</v>
      </c>
      <c r="AR2564" s="1856">
        <f t="shared" si="434"/>
        <v>44843.809027777774</v>
      </c>
      <c r="AS2564" s="927" t="s">
        <v>1536</v>
      </c>
      <c r="AT2564" s="1856" t="str">
        <f t="shared" si="427"/>
        <v/>
      </c>
      <c r="AU2564" s="1856" t="str">
        <f t="shared" si="428"/>
        <v/>
      </c>
      <c r="AV2564" s="1856" t="str">
        <f t="shared" si="429"/>
        <v/>
      </c>
      <c r="AW2564" s="1856" t="str">
        <f t="shared" si="430"/>
        <v/>
      </c>
      <c r="AX2564" s="1856" t="str">
        <f t="shared" si="431"/>
        <v/>
      </c>
      <c r="AY2564" s="1856" t="str">
        <f t="shared" si="432"/>
        <v/>
      </c>
    </row>
    <row r="2565" spans="42:52">
      <c r="AP2565" s="1855">
        <f t="shared" si="433"/>
        <v>44843</v>
      </c>
      <c r="AQ2565" s="925" t="str">
        <f t="shared" si="435"/>
        <v>EENT</v>
      </c>
      <c r="AR2565" s="1856">
        <f t="shared" si="434"/>
        <v>44843.842361111114</v>
      </c>
      <c r="AS2565" s="927" t="s">
        <v>2213</v>
      </c>
      <c r="AT2565" s="1856" t="str">
        <f t="shared" si="427"/>
        <v/>
      </c>
      <c r="AU2565" s="1856" t="str">
        <f t="shared" si="428"/>
        <v/>
      </c>
      <c r="AV2565" s="1856" t="str">
        <f t="shared" si="429"/>
        <v/>
      </c>
      <c r="AW2565" s="1856" t="str">
        <f t="shared" si="430"/>
        <v/>
      </c>
      <c r="AX2565" s="1856" t="str">
        <f t="shared" si="431"/>
        <v/>
      </c>
      <c r="AY2565" s="1856" t="str">
        <f t="shared" si="432"/>
        <v/>
      </c>
    </row>
    <row r="2566" spans="42:52">
      <c r="AP2566" s="1855">
        <f t="shared" si="433"/>
        <v>44844</v>
      </c>
      <c r="AQ2566" s="925" t="str">
        <f t="shared" si="435"/>
        <v/>
      </c>
      <c r="AR2566" s="1856" t="str">
        <f t="shared" si="434"/>
        <v/>
      </c>
      <c r="AS2566" s="927">
        <v>10</v>
      </c>
      <c r="AT2566" s="1856">
        <f t="shared" si="427"/>
        <v>44844.284722222219</v>
      </c>
      <c r="AU2566" s="1856">
        <f t="shared" si="428"/>
        <v>44844.32430555555</v>
      </c>
      <c r="AV2566" s="1856">
        <f t="shared" si="429"/>
        <v>44844.802083333328</v>
      </c>
      <c r="AW2566" s="1856">
        <f t="shared" si="430"/>
        <v>44844.840972222228</v>
      </c>
      <c r="AX2566" s="1856">
        <f t="shared" si="431"/>
        <v>44844.82708333333</v>
      </c>
      <c r="AY2566" s="1856">
        <f t="shared" si="432"/>
        <v>44844.353472222225</v>
      </c>
      <c r="AZ2566" s="1853">
        <v>1</v>
      </c>
    </row>
    <row r="2567" spans="42:52">
      <c r="AP2567" s="1855">
        <f t="shared" si="433"/>
        <v>44844</v>
      </c>
      <c r="AQ2567" s="925" t="str">
        <f t="shared" si="435"/>
        <v/>
      </c>
      <c r="AR2567" s="1856" t="str">
        <f t="shared" si="434"/>
        <v/>
      </c>
      <c r="AS2567" s="927" t="s">
        <v>252</v>
      </c>
      <c r="AT2567" s="1856" t="str">
        <f t="shared" si="427"/>
        <v/>
      </c>
      <c r="AU2567" s="1856" t="str">
        <f t="shared" si="428"/>
        <v/>
      </c>
      <c r="AV2567" s="1856" t="str">
        <f t="shared" si="429"/>
        <v/>
      </c>
      <c r="AW2567" s="1856" t="str">
        <f t="shared" si="430"/>
        <v/>
      </c>
      <c r="AX2567" s="1856" t="str">
        <f t="shared" si="431"/>
        <v/>
      </c>
      <c r="AY2567" s="1856" t="str">
        <f t="shared" si="432"/>
        <v/>
      </c>
    </row>
    <row r="2568" spans="42:52">
      <c r="AP2568" s="1855">
        <f t="shared" si="433"/>
        <v>44844</v>
      </c>
      <c r="AQ2568" s="925" t="str">
        <f t="shared" si="435"/>
        <v/>
      </c>
      <c r="AR2568" s="1856" t="str">
        <f t="shared" si="434"/>
        <v/>
      </c>
      <c r="AT2568" s="1856" t="str">
        <f t="shared" si="427"/>
        <v/>
      </c>
      <c r="AU2568" s="1856" t="str">
        <f t="shared" si="428"/>
        <v/>
      </c>
      <c r="AV2568" s="1856" t="str">
        <f t="shared" si="429"/>
        <v/>
      </c>
      <c r="AW2568" s="1856" t="str">
        <f t="shared" si="430"/>
        <v/>
      </c>
      <c r="AX2568" s="1856" t="str">
        <f t="shared" si="431"/>
        <v/>
      </c>
      <c r="AY2568" s="1856" t="str">
        <f t="shared" si="432"/>
        <v/>
      </c>
    </row>
    <row r="2569" spans="42:52">
      <c r="AP2569" s="1855">
        <f t="shared" si="433"/>
        <v>44844</v>
      </c>
      <c r="AQ2569" s="925" t="str">
        <f t="shared" si="435"/>
        <v>BMNT</v>
      </c>
      <c r="AR2569" s="1856">
        <f t="shared" si="434"/>
        <v>44844.284722222219</v>
      </c>
      <c r="AS2569" s="927" t="s">
        <v>1231</v>
      </c>
      <c r="AT2569" s="1856" t="str">
        <f t="shared" si="427"/>
        <v/>
      </c>
      <c r="AU2569" s="1856" t="str">
        <f t="shared" si="428"/>
        <v/>
      </c>
      <c r="AV2569" s="1856" t="str">
        <f t="shared" si="429"/>
        <v/>
      </c>
      <c r="AW2569" s="1856" t="str">
        <f t="shared" si="430"/>
        <v/>
      </c>
      <c r="AX2569" s="1856" t="str">
        <f t="shared" si="431"/>
        <v/>
      </c>
      <c r="AY2569" s="1856" t="str">
        <f t="shared" si="432"/>
        <v/>
      </c>
    </row>
    <row r="2570" spans="42:52">
      <c r="AP2570" s="1855">
        <f t="shared" si="433"/>
        <v>44844</v>
      </c>
      <c r="AQ2570" s="925" t="str">
        <f t="shared" si="435"/>
        <v>SR</v>
      </c>
      <c r="AR2570" s="1856">
        <f t="shared" si="434"/>
        <v>44844.32430555555</v>
      </c>
      <c r="AS2570" s="927" t="s">
        <v>1265</v>
      </c>
      <c r="AT2570" s="1856" t="str">
        <f t="shared" si="427"/>
        <v/>
      </c>
      <c r="AU2570" s="1856" t="str">
        <f t="shared" si="428"/>
        <v/>
      </c>
      <c r="AV2570" s="1856" t="str">
        <f t="shared" si="429"/>
        <v/>
      </c>
      <c r="AW2570" s="1856" t="str">
        <f t="shared" si="430"/>
        <v/>
      </c>
      <c r="AX2570" s="1856" t="str">
        <f t="shared" si="431"/>
        <v/>
      </c>
      <c r="AY2570" s="1856" t="str">
        <f t="shared" si="432"/>
        <v/>
      </c>
    </row>
    <row r="2571" spans="42:52">
      <c r="AP2571" s="1855">
        <f t="shared" si="433"/>
        <v>44844</v>
      </c>
      <c r="AQ2571" s="925" t="str">
        <f t="shared" si="435"/>
        <v>MS</v>
      </c>
      <c r="AR2571" s="1856">
        <f t="shared" si="434"/>
        <v>44844.353472222225</v>
      </c>
      <c r="AS2571" s="927" t="s">
        <v>2214</v>
      </c>
      <c r="AT2571" s="1856" t="str">
        <f t="shared" si="427"/>
        <v/>
      </c>
      <c r="AU2571" s="1856" t="str">
        <f t="shared" si="428"/>
        <v/>
      </c>
      <c r="AV2571" s="1856" t="str">
        <f t="shared" si="429"/>
        <v/>
      </c>
      <c r="AW2571" s="1856" t="str">
        <f t="shared" si="430"/>
        <v/>
      </c>
      <c r="AX2571" s="1856" t="str">
        <f t="shared" si="431"/>
        <v/>
      </c>
      <c r="AY2571" s="1856" t="str">
        <f t="shared" si="432"/>
        <v/>
      </c>
    </row>
    <row r="2572" spans="42:52">
      <c r="AP2572" s="1855">
        <f t="shared" si="433"/>
        <v>44844</v>
      </c>
      <c r="AQ2572" s="925" t="str">
        <f t="shared" si="435"/>
        <v>SS</v>
      </c>
      <c r="AR2572" s="1856">
        <f t="shared" si="434"/>
        <v>44844.802083333328</v>
      </c>
      <c r="AS2572" s="927" t="s">
        <v>2215</v>
      </c>
      <c r="AT2572" s="1856" t="str">
        <f t="shared" si="427"/>
        <v/>
      </c>
      <c r="AU2572" s="1856" t="str">
        <f t="shared" si="428"/>
        <v/>
      </c>
      <c r="AV2572" s="1856" t="str">
        <f t="shared" si="429"/>
        <v/>
      </c>
      <c r="AW2572" s="1856" t="str">
        <f t="shared" si="430"/>
        <v/>
      </c>
      <c r="AX2572" s="1856" t="str">
        <f t="shared" si="431"/>
        <v/>
      </c>
      <c r="AY2572" s="1856" t="str">
        <f t="shared" si="432"/>
        <v/>
      </c>
    </row>
    <row r="2573" spans="42:52">
      <c r="AP2573" s="1855">
        <f t="shared" si="433"/>
        <v>44844</v>
      </c>
      <c r="AQ2573" s="925" t="str">
        <f t="shared" si="435"/>
        <v>MR</v>
      </c>
      <c r="AR2573" s="1856">
        <f t="shared" si="434"/>
        <v>44844.82708333333</v>
      </c>
      <c r="AS2573" s="927" t="s">
        <v>2216</v>
      </c>
      <c r="AT2573" s="1856" t="str">
        <f t="shared" si="427"/>
        <v/>
      </c>
      <c r="AU2573" s="1856" t="str">
        <f t="shared" si="428"/>
        <v/>
      </c>
      <c r="AV2573" s="1856" t="str">
        <f t="shared" si="429"/>
        <v/>
      </c>
      <c r="AW2573" s="1856" t="str">
        <f t="shared" si="430"/>
        <v/>
      </c>
      <c r="AX2573" s="1856" t="str">
        <f t="shared" si="431"/>
        <v/>
      </c>
      <c r="AY2573" s="1856" t="str">
        <f t="shared" si="432"/>
        <v/>
      </c>
    </row>
    <row r="2574" spans="42:52">
      <c r="AP2574" s="1855">
        <f t="shared" si="433"/>
        <v>44844</v>
      </c>
      <c r="AQ2574" s="925" t="str">
        <f t="shared" si="435"/>
        <v>EENT</v>
      </c>
      <c r="AR2574" s="1856">
        <f t="shared" si="434"/>
        <v>44844.840972222228</v>
      </c>
      <c r="AS2574" s="927" t="s">
        <v>2217</v>
      </c>
      <c r="AT2574" s="1856" t="str">
        <f t="shared" si="427"/>
        <v/>
      </c>
      <c r="AU2574" s="1856" t="str">
        <f t="shared" si="428"/>
        <v/>
      </c>
      <c r="AV2574" s="1856" t="str">
        <f t="shared" si="429"/>
        <v/>
      </c>
      <c r="AW2574" s="1856" t="str">
        <f t="shared" si="430"/>
        <v/>
      </c>
      <c r="AX2574" s="1856" t="str">
        <f t="shared" si="431"/>
        <v/>
      </c>
      <c r="AY2574" s="1856" t="str">
        <f t="shared" si="432"/>
        <v/>
      </c>
    </row>
    <row r="2575" spans="42:52">
      <c r="AP2575" s="1855">
        <f t="shared" si="433"/>
        <v>44845</v>
      </c>
      <c r="AQ2575" s="925" t="str">
        <f t="shared" si="435"/>
        <v/>
      </c>
      <c r="AR2575" s="1856" t="str">
        <f t="shared" si="434"/>
        <v/>
      </c>
      <c r="AS2575" s="927">
        <v>11</v>
      </c>
      <c r="AT2575" s="1856">
        <f t="shared" si="427"/>
        <v>44845.285416666666</v>
      </c>
      <c r="AU2575" s="1856">
        <f t="shared" si="428"/>
        <v>44845.324999999997</v>
      </c>
      <c r="AV2575" s="1856">
        <f t="shared" si="429"/>
        <v>44845.800694444442</v>
      </c>
      <c r="AW2575" s="1856">
        <f t="shared" si="430"/>
        <v>44845.840277777781</v>
      </c>
      <c r="AX2575" s="1856">
        <f t="shared" si="431"/>
        <v>44845.84652777778</v>
      </c>
      <c r="AY2575" s="1856">
        <f t="shared" si="432"/>
        <v>44845.399305555555</v>
      </c>
      <c r="AZ2575" s="1853">
        <v>0.98</v>
      </c>
    </row>
    <row r="2576" spans="42:52">
      <c r="AP2576" s="1855">
        <f t="shared" si="433"/>
        <v>44845</v>
      </c>
      <c r="AQ2576" s="925" t="str">
        <f t="shared" si="435"/>
        <v/>
      </c>
      <c r="AR2576" s="1856" t="str">
        <f t="shared" si="434"/>
        <v/>
      </c>
      <c r="AS2576" s="927" t="s">
        <v>252</v>
      </c>
      <c r="AT2576" s="1856" t="str">
        <f t="shared" si="427"/>
        <v/>
      </c>
      <c r="AU2576" s="1856" t="str">
        <f t="shared" si="428"/>
        <v/>
      </c>
      <c r="AV2576" s="1856" t="str">
        <f t="shared" si="429"/>
        <v/>
      </c>
      <c r="AW2576" s="1856" t="str">
        <f t="shared" si="430"/>
        <v/>
      </c>
      <c r="AX2576" s="1856" t="str">
        <f t="shared" si="431"/>
        <v/>
      </c>
      <c r="AY2576" s="1856" t="str">
        <f t="shared" si="432"/>
        <v/>
      </c>
    </row>
    <row r="2577" spans="42:52">
      <c r="AP2577" s="1855">
        <f t="shared" si="433"/>
        <v>44845</v>
      </c>
      <c r="AQ2577" s="925" t="str">
        <f t="shared" si="435"/>
        <v/>
      </c>
      <c r="AR2577" s="1856" t="str">
        <f t="shared" si="434"/>
        <v/>
      </c>
      <c r="AT2577" s="1856" t="str">
        <f t="shared" si="427"/>
        <v/>
      </c>
      <c r="AU2577" s="1856" t="str">
        <f t="shared" si="428"/>
        <v/>
      </c>
      <c r="AV2577" s="1856" t="str">
        <f t="shared" si="429"/>
        <v/>
      </c>
      <c r="AW2577" s="1856" t="str">
        <f t="shared" si="430"/>
        <v/>
      </c>
      <c r="AX2577" s="1856" t="str">
        <f t="shared" si="431"/>
        <v/>
      </c>
      <c r="AY2577" s="1856" t="str">
        <f t="shared" si="432"/>
        <v/>
      </c>
    </row>
    <row r="2578" spans="42:52">
      <c r="AP2578" s="1855">
        <f t="shared" si="433"/>
        <v>44845</v>
      </c>
      <c r="AQ2578" s="925" t="str">
        <f t="shared" si="435"/>
        <v>BMNT</v>
      </c>
      <c r="AR2578" s="1856">
        <f t="shared" si="434"/>
        <v>44845.285416666666</v>
      </c>
      <c r="AS2578" s="927" t="s">
        <v>1206</v>
      </c>
      <c r="AT2578" s="1856" t="str">
        <f t="shared" si="427"/>
        <v/>
      </c>
      <c r="AU2578" s="1856" t="str">
        <f t="shared" si="428"/>
        <v/>
      </c>
      <c r="AV2578" s="1856" t="str">
        <f t="shared" si="429"/>
        <v/>
      </c>
      <c r="AW2578" s="1856" t="str">
        <f t="shared" si="430"/>
        <v/>
      </c>
      <c r="AX2578" s="1856" t="str">
        <f t="shared" si="431"/>
        <v/>
      </c>
      <c r="AY2578" s="1856" t="str">
        <f t="shared" si="432"/>
        <v/>
      </c>
    </row>
    <row r="2579" spans="42:52">
      <c r="AP2579" s="1855">
        <f t="shared" si="433"/>
        <v>44845</v>
      </c>
      <c r="AQ2579" s="925" t="str">
        <f t="shared" si="435"/>
        <v>SR</v>
      </c>
      <c r="AR2579" s="1856">
        <f t="shared" si="434"/>
        <v>44845.324999999997</v>
      </c>
      <c r="AS2579" s="927" t="s">
        <v>1245</v>
      </c>
      <c r="AT2579" s="1856" t="str">
        <f t="shared" si="427"/>
        <v/>
      </c>
      <c r="AU2579" s="1856" t="str">
        <f t="shared" si="428"/>
        <v/>
      </c>
      <c r="AV2579" s="1856" t="str">
        <f t="shared" si="429"/>
        <v/>
      </c>
      <c r="AW2579" s="1856" t="str">
        <f t="shared" si="430"/>
        <v/>
      </c>
      <c r="AX2579" s="1856" t="str">
        <f t="shared" si="431"/>
        <v/>
      </c>
      <c r="AY2579" s="1856" t="str">
        <f t="shared" si="432"/>
        <v/>
      </c>
    </row>
    <row r="2580" spans="42:52">
      <c r="AP2580" s="1855">
        <f t="shared" si="433"/>
        <v>44845</v>
      </c>
      <c r="AQ2580" s="925" t="str">
        <f t="shared" si="435"/>
        <v>MS</v>
      </c>
      <c r="AR2580" s="1856">
        <f t="shared" si="434"/>
        <v>44845.399305555555</v>
      </c>
      <c r="AS2580" s="927" t="s">
        <v>2218</v>
      </c>
      <c r="AT2580" s="1856" t="str">
        <f t="shared" si="427"/>
        <v/>
      </c>
      <c r="AU2580" s="1856" t="str">
        <f t="shared" si="428"/>
        <v/>
      </c>
      <c r="AV2580" s="1856" t="str">
        <f t="shared" si="429"/>
        <v/>
      </c>
      <c r="AW2580" s="1856" t="str">
        <f t="shared" si="430"/>
        <v/>
      </c>
      <c r="AX2580" s="1856" t="str">
        <f t="shared" si="431"/>
        <v/>
      </c>
      <c r="AY2580" s="1856" t="str">
        <f t="shared" si="432"/>
        <v/>
      </c>
    </row>
    <row r="2581" spans="42:52">
      <c r="AP2581" s="1855">
        <f t="shared" si="433"/>
        <v>44845</v>
      </c>
      <c r="AQ2581" s="925" t="str">
        <f t="shared" si="435"/>
        <v>SS</v>
      </c>
      <c r="AR2581" s="1856">
        <f t="shared" si="434"/>
        <v>44845.800694444442</v>
      </c>
      <c r="AS2581" s="927" t="s">
        <v>2219</v>
      </c>
      <c r="AT2581" s="1856" t="str">
        <f t="shared" si="427"/>
        <v/>
      </c>
      <c r="AU2581" s="1856" t="str">
        <f t="shared" si="428"/>
        <v/>
      </c>
      <c r="AV2581" s="1856" t="str">
        <f t="shared" si="429"/>
        <v/>
      </c>
      <c r="AW2581" s="1856" t="str">
        <f t="shared" si="430"/>
        <v/>
      </c>
      <c r="AX2581" s="1856" t="str">
        <f t="shared" si="431"/>
        <v/>
      </c>
      <c r="AY2581" s="1856" t="str">
        <f t="shared" si="432"/>
        <v/>
      </c>
    </row>
    <row r="2582" spans="42:52">
      <c r="AP2582" s="1855">
        <f t="shared" si="433"/>
        <v>44845</v>
      </c>
      <c r="AQ2582" s="925" t="str">
        <f t="shared" si="435"/>
        <v>EENT</v>
      </c>
      <c r="AR2582" s="1856">
        <f t="shared" si="434"/>
        <v>44845.840277777781</v>
      </c>
      <c r="AS2582" s="927" t="s">
        <v>2220</v>
      </c>
      <c r="AT2582" s="1856" t="str">
        <f t="shared" si="427"/>
        <v/>
      </c>
      <c r="AU2582" s="1856" t="str">
        <f t="shared" si="428"/>
        <v/>
      </c>
      <c r="AV2582" s="1856" t="str">
        <f t="shared" si="429"/>
        <v/>
      </c>
      <c r="AW2582" s="1856" t="str">
        <f t="shared" si="430"/>
        <v/>
      </c>
      <c r="AX2582" s="1856" t="str">
        <f t="shared" si="431"/>
        <v/>
      </c>
      <c r="AY2582" s="1856" t="str">
        <f t="shared" si="432"/>
        <v/>
      </c>
    </row>
    <row r="2583" spans="42:52">
      <c r="AP2583" s="1855">
        <f t="shared" si="433"/>
        <v>44845</v>
      </c>
      <c r="AQ2583" s="925" t="str">
        <f t="shared" si="435"/>
        <v>MR</v>
      </c>
      <c r="AR2583" s="1856">
        <f t="shared" si="434"/>
        <v>44845.84652777778</v>
      </c>
      <c r="AS2583" s="927" t="s">
        <v>2221</v>
      </c>
      <c r="AT2583" s="1856" t="str">
        <f t="shared" si="427"/>
        <v/>
      </c>
      <c r="AU2583" s="1856" t="str">
        <f t="shared" si="428"/>
        <v/>
      </c>
      <c r="AV2583" s="1856" t="str">
        <f t="shared" si="429"/>
        <v/>
      </c>
      <c r="AW2583" s="1856" t="str">
        <f t="shared" si="430"/>
        <v/>
      </c>
      <c r="AX2583" s="1856" t="str">
        <f t="shared" si="431"/>
        <v/>
      </c>
      <c r="AY2583" s="1856" t="str">
        <f t="shared" si="432"/>
        <v/>
      </c>
    </row>
    <row r="2584" spans="42:52">
      <c r="AP2584" s="1855">
        <f t="shared" si="433"/>
        <v>44846</v>
      </c>
      <c r="AQ2584" s="925" t="str">
        <f t="shared" si="435"/>
        <v/>
      </c>
      <c r="AR2584" s="1856" t="str">
        <f t="shared" si="434"/>
        <v/>
      </c>
      <c r="AS2584" s="927">
        <v>12</v>
      </c>
      <c r="AT2584" s="1856">
        <f t="shared" si="427"/>
        <v>44846.286111111112</v>
      </c>
      <c r="AU2584" s="1856">
        <f t="shared" si="428"/>
        <v>44846.325694444444</v>
      </c>
      <c r="AV2584" s="1856">
        <f t="shared" si="429"/>
        <v>44846.799999999996</v>
      </c>
      <c r="AW2584" s="1856">
        <f t="shared" si="430"/>
        <v>44846.839583333334</v>
      </c>
      <c r="AX2584" s="1856">
        <f t="shared" si="431"/>
        <v>44846.868055555555</v>
      </c>
      <c r="AY2584" s="1856">
        <f t="shared" si="432"/>
        <v>44846.445138888885</v>
      </c>
      <c r="AZ2584" s="1853">
        <v>0.94</v>
      </c>
    </row>
    <row r="2585" spans="42:52">
      <c r="AP2585" s="1855">
        <f t="shared" si="433"/>
        <v>44846</v>
      </c>
      <c r="AQ2585" s="925" t="str">
        <f t="shared" si="435"/>
        <v/>
      </c>
      <c r="AR2585" s="1856" t="str">
        <f t="shared" si="434"/>
        <v/>
      </c>
      <c r="AS2585" s="927" t="s">
        <v>252</v>
      </c>
      <c r="AT2585" s="1856" t="str">
        <f t="shared" si="427"/>
        <v/>
      </c>
      <c r="AU2585" s="1856" t="str">
        <f t="shared" si="428"/>
        <v/>
      </c>
      <c r="AV2585" s="1856" t="str">
        <f t="shared" si="429"/>
        <v/>
      </c>
      <c r="AW2585" s="1856" t="str">
        <f t="shared" si="430"/>
        <v/>
      </c>
      <c r="AX2585" s="1856" t="str">
        <f t="shared" si="431"/>
        <v/>
      </c>
      <c r="AY2585" s="1856" t="str">
        <f t="shared" si="432"/>
        <v/>
      </c>
    </row>
    <row r="2586" spans="42:52">
      <c r="AP2586" s="1855">
        <f t="shared" si="433"/>
        <v>44846</v>
      </c>
      <c r="AQ2586" s="925" t="str">
        <f t="shared" si="435"/>
        <v/>
      </c>
      <c r="AR2586" s="1856" t="str">
        <f t="shared" si="434"/>
        <v/>
      </c>
      <c r="AT2586" s="1856" t="str">
        <f t="shared" si="427"/>
        <v/>
      </c>
      <c r="AU2586" s="1856" t="str">
        <f t="shared" si="428"/>
        <v/>
      </c>
      <c r="AV2586" s="1856" t="str">
        <f t="shared" si="429"/>
        <v/>
      </c>
      <c r="AW2586" s="1856" t="str">
        <f t="shared" si="430"/>
        <v/>
      </c>
      <c r="AX2586" s="1856" t="str">
        <f t="shared" si="431"/>
        <v/>
      </c>
      <c r="AY2586" s="1856" t="str">
        <f t="shared" si="432"/>
        <v/>
      </c>
    </row>
    <row r="2587" spans="42:52">
      <c r="AP2587" s="1855">
        <f t="shared" si="433"/>
        <v>44846</v>
      </c>
      <c r="AQ2587" s="925" t="str">
        <f t="shared" si="435"/>
        <v>BMNT</v>
      </c>
      <c r="AR2587" s="1856">
        <f t="shared" si="434"/>
        <v>44846.286111111112</v>
      </c>
      <c r="AS2587" s="927" t="s">
        <v>1193</v>
      </c>
      <c r="AT2587" s="1856" t="str">
        <f t="shared" si="427"/>
        <v/>
      </c>
      <c r="AU2587" s="1856" t="str">
        <f t="shared" si="428"/>
        <v/>
      </c>
      <c r="AV2587" s="1856" t="str">
        <f t="shared" si="429"/>
        <v/>
      </c>
      <c r="AW2587" s="1856" t="str">
        <f t="shared" si="430"/>
        <v/>
      </c>
      <c r="AX2587" s="1856" t="str">
        <f t="shared" si="431"/>
        <v/>
      </c>
      <c r="AY2587" s="1856" t="str">
        <f t="shared" si="432"/>
        <v/>
      </c>
    </row>
    <row r="2588" spans="42:52">
      <c r="AP2588" s="1855">
        <f t="shared" si="433"/>
        <v>44846</v>
      </c>
      <c r="AQ2588" s="925" t="str">
        <f t="shared" si="435"/>
        <v>SR</v>
      </c>
      <c r="AR2588" s="1856">
        <f t="shared" si="434"/>
        <v>44846.325694444444</v>
      </c>
      <c r="AS2588" s="927" t="s">
        <v>1235</v>
      </c>
      <c r="AT2588" s="1856" t="str">
        <f t="shared" ref="AT2588:AT2651" si="436">IF(ISNUMBER(AS2588),INDEX(AR2589:AR2599,MATCH($AT$27,AQ2589:AQ2599,0)),"")</f>
        <v/>
      </c>
      <c r="AU2588" s="1856" t="str">
        <f t="shared" ref="AU2588:AU2651" si="437">IF(AT2588="","",INDEX(AR2589:AR2599,MATCH($AU$27,AQ2589:AQ2599,0)))</f>
        <v/>
      </c>
      <c r="AV2588" s="1856" t="str">
        <f t="shared" ref="AV2588:AV2651" si="438">IF(AT2588="","",INDEX(AR2589:AR2599,MATCH($AV$27,AQ2589:AQ2599,0)))</f>
        <v/>
      </c>
      <c r="AW2588" s="1856" t="str">
        <f t="shared" ref="AW2588:AW2651" si="439">IF(AT2588="","",INDEX(AR2589:AR2599,MATCH($AW$27,AQ2589:AQ2599,0)))</f>
        <v/>
      </c>
      <c r="AX2588" s="1856" t="str">
        <f t="shared" ref="AX2588:AX2651" si="440">IF(AT2588="","",INDEX(AR2589:AR2599,MATCH($AX$27,AQ2589:AQ2599,0)))</f>
        <v/>
      </c>
      <c r="AY2588" s="1856" t="str">
        <f t="shared" ref="AY2588:AY2651" si="441">IF(AT2588="","",INDEX(AR2589:AR2599,MATCH($AY$27,AQ2589:AQ2599,0)))</f>
        <v/>
      </c>
    </row>
    <row r="2589" spans="42:52">
      <c r="AP2589" s="1855">
        <f t="shared" si="433"/>
        <v>44846</v>
      </c>
      <c r="AQ2589" s="925" t="str">
        <f t="shared" si="435"/>
        <v>MS</v>
      </c>
      <c r="AR2589" s="1856">
        <f t="shared" si="434"/>
        <v>44846.445138888885</v>
      </c>
      <c r="AS2589" s="927" t="s">
        <v>2222</v>
      </c>
      <c r="AT2589" s="1856" t="str">
        <f t="shared" si="436"/>
        <v/>
      </c>
      <c r="AU2589" s="1856" t="str">
        <f t="shared" si="437"/>
        <v/>
      </c>
      <c r="AV2589" s="1856" t="str">
        <f t="shared" si="438"/>
        <v/>
      </c>
      <c r="AW2589" s="1856" t="str">
        <f t="shared" si="439"/>
        <v/>
      </c>
      <c r="AX2589" s="1856" t="str">
        <f t="shared" si="440"/>
        <v/>
      </c>
      <c r="AY2589" s="1856" t="str">
        <f t="shared" si="441"/>
        <v/>
      </c>
    </row>
    <row r="2590" spans="42:52">
      <c r="AP2590" s="1855">
        <f t="shared" si="433"/>
        <v>44846</v>
      </c>
      <c r="AQ2590" s="925" t="str">
        <f t="shared" si="435"/>
        <v>SS</v>
      </c>
      <c r="AR2590" s="1856">
        <f t="shared" si="434"/>
        <v>44846.799999999996</v>
      </c>
      <c r="AS2590" s="927" t="s">
        <v>2223</v>
      </c>
      <c r="AT2590" s="1856" t="str">
        <f t="shared" si="436"/>
        <v/>
      </c>
      <c r="AU2590" s="1856" t="str">
        <f t="shared" si="437"/>
        <v/>
      </c>
      <c r="AV2590" s="1856" t="str">
        <f t="shared" si="438"/>
        <v/>
      </c>
      <c r="AW2590" s="1856" t="str">
        <f t="shared" si="439"/>
        <v/>
      </c>
      <c r="AX2590" s="1856" t="str">
        <f t="shared" si="440"/>
        <v/>
      </c>
      <c r="AY2590" s="1856" t="str">
        <f t="shared" si="441"/>
        <v/>
      </c>
    </row>
    <row r="2591" spans="42:52">
      <c r="AP2591" s="1855">
        <f t="shared" si="433"/>
        <v>44846</v>
      </c>
      <c r="AQ2591" s="925" t="str">
        <f t="shared" si="435"/>
        <v>EENT</v>
      </c>
      <c r="AR2591" s="1856">
        <f t="shared" si="434"/>
        <v>44846.839583333334</v>
      </c>
      <c r="AS2591" s="927" t="s">
        <v>2224</v>
      </c>
      <c r="AT2591" s="1856" t="str">
        <f t="shared" si="436"/>
        <v/>
      </c>
      <c r="AU2591" s="1856" t="str">
        <f t="shared" si="437"/>
        <v/>
      </c>
      <c r="AV2591" s="1856" t="str">
        <f t="shared" si="438"/>
        <v/>
      </c>
      <c r="AW2591" s="1856" t="str">
        <f t="shared" si="439"/>
        <v/>
      </c>
      <c r="AX2591" s="1856" t="str">
        <f t="shared" si="440"/>
        <v/>
      </c>
      <c r="AY2591" s="1856" t="str">
        <f t="shared" si="441"/>
        <v/>
      </c>
    </row>
    <row r="2592" spans="42:52">
      <c r="AP2592" s="1855">
        <f t="shared" si="433"/>
        <v>44846</v>
      </c>
      <c r="AQ2592" s="925" t="str">
        <f t="shared" si="435"/>
        <v>MR</v>
      </c>
      <c r="AR2592" s="1856">
        <f t="shared" si="434"/>
        <v>44846.868055555555</v>
      </c>
      <c r="AS2592" s="927" t="s">
        <v>2225</v>
      </c>
      <c r="AT2592" s="1856" t="str">
        <f t="shared" si="436"/>
        <v/>
      </c>
      <c r="AU2592" s="1856" t="str">
        <f t="shared" si="437"/>
        <v/>
      </c>
      <c r="AV2592" s="1856" t="str">
        <f t="shared" si="438"/>
        <v/>
      </c>
      <c r="AW2592" s="1856" t="str">
        <f t="shared" si="439"/>
        <v/>
      </c>
      <c r="AX2592" s="1856" t="str">
        <f t="shared" si="440"/>
        <v/>
      </c>
      <c r="AY2592" s="1856" t="str">
        <f t="shared" si="441"/>
        <v/>
      </c>
    </row>
    <row r="2593" spans="42:52">
      <c r="AP2593" s="1855">
        <f t="shared" si="433"/>
        <v>44847</v>
      </c>
      <c r="AQ2593" s="925" t="str">
        <f t="shared" si="435"/>
        <v/>
      </c>
      <c r="AR2593" s="1856" t="str">
        <f t="shared" si="434"/>
        <v/>
      </c>
      <c r="AS2593" s="927">
        <v>13</v>
      </c>
      <c r="AT2593" s="1856">
        <f t="shared" si="436"/>
        <v>44847.286805555559</v>
      </c>
      <c r="AU2593" s="1856">
        <f t="shared" si="437"/>
        <v>44847.326388888883</v>
      </c>
      <c r="AV2593" s="1856">
        <f t="shared" si="438"/>
        <v>44847.798611111109</v>
      </c>
      <c r="AW2593" s="1856">
        <f t="shared" si="439"/>
        <v>44847.838194444448</v>
      </c>
      <c r="AX2593" s="1856">
        <f t="shared" si="440"/>
        <v>44847.893055555556</v>
      </c>
      <c r="AY2593" s="1856">
        <f t="shared" si="441"/>
        <v>44847.490277777782</v>
      </c>
      <c r="AZ2593" s="1853">
        <v>0.88</v>
      </c>
    </row>
    <row r="2594" spans="42:52">
      <c r="AP2594" s="1855">
        <f t="shared" si="433"/>
        <v>44847</v>
      </c>
      <c r="AQ2594" s="925" t="str">
        <f t="shared" si="435"/>
        <v/>
      </c>
      <c r="AR2594" s="1856" t="str">
        <f t="shared" si="434"/>
        <v/>
      </c>
      <c r="AS2594" s="927" t="s">
        <v>252</v>
      </c>
      <c r="AT2594" s="1856" t="str">
        <f t="shared" si="436"/>
        <v/>
      </c>
      <c r="AU2594" s="1856" t="str">
        <f t="shared" si="437"/>
        <v/>
      </c>
      <c r="AV2594" s="1856" t="str">
        <f t="shared" si="438"/>
        <v/>
      </c>
      <c r="AW2594" s="1856" t="str">
        <f t="shared" si="439"/>
        <v/>
      </c>
      <c r="AX2594" s="1856" t="str">
        <f t="shared" si="440"/>
        <v/>
      </c>
      <c r="AY2594" s="1856" t="str">
        <f t="shared" si="441"/>
        <v/>
      </c>
    </row>
    <row r="2595" spans="42:52">
      <c r="AP2595" s="1855">
        <f t="shared" si="433"/>
        <v>44847</v>
      </c>
      <c r="AQ2595" s="925" t="str">
        <f t="shared" si="435"/>
        <v/>
      </c>
      <c r="AR2595" s="1856" t="str">
        <f t="shared" si="434"/>
        <v/>
      </c>
      <c r="AT2595" s="1856" t="str">
        <f t="shared" si="436"/>
        <v/>
      </c>
      <c r="AU2595" s="1856" t="str">
        <f t="shared" si="437"/>
        <v/>
      </c>
      <c r="AV2595" s="1856" t="str">
        <f t="shared" si="438"/>
        <v/>
      </c>
      <c r="AW2595" s="1856" t="str">
        <f t="shared" si="439"/>
        <v/>
      </c>
      <c r="AX2595" s="1856" t="str">
        <f t="shared" si="440"/>
        <v/>
      </c>
      <c r="AY2595" s="1856" t="str">
        <f t="shared" si="441"/>
        <v/>
      </c>
    </row>
    <row r="2596" spans="42:52">
      <c r="AP2596" s="1855">
        <f t="shared" si="433"/>
        <v>44847</v>
      </c>
      <c r="AQ2596" s="925" t="str">
        <f t="shared" si="435"/>
        <v>BMNT</v>
      </c>
      <c r="AR2596" s="1856">
        <f t="shared" si="434"/>
        <v>44847.286805555559</v>
      </c>
      <c r="AS2596" s="927" t="s">
        <v>1168</v>
      </c>
      <c r="AT2596" s="1856" t="str">
        <f t="shared" si="436"/>
        <v/>
      </c>
      <c r="AU2596" s="1856" t="str">
        <f t="shared" si="437"/>
        <v/>
      </c>
      <c r="AV2596" s="1856" t="str">
        <f t="shared" si="438"/>
        <v/>
      </c>
      <c r="AW2596" s="1856" t="str">
        <f t="shared" si="439"/>
        <v/>
      </c>
      <c r="AX2596" s="1856" t="str">
        <f t="shared" si="440"/>
        <v/>
      </c>
      <c r="AY2596" s="1856" t="str">
        <f t="shared" si="441"/>
        <v/>
      </c>
    </row>
    <row r="2597" spans="42:52">
      <c r="AP2597" s="1855">
        <f t="shared" ref="AP2597:AP2660" si="442">IF(ISNUMBER(AS2597),AP2596+1,AP2596)</f>
        <v>44847</v>
      </c>
      <c r="AQ2597" s="925" t="str">
        <f t="shared" si="435"/>
        <v>SR</v>
      </c>
      <c r="AR2597" s="1856">
        <f t="shared" si="434"/>
        <v>44847.326388888883</v>
      </c>
      <c r="AS2597" s="927" t="s">
        <v>1221</v>
      </c>
      <c r="AT2597" s="1856" t="str">
        <f t="shared" si="436"/>
        <v/>
      </c>
      <c r="AU2597" s="1856" t="str">
        <f t="shared" si="437"/>
        <v/>
      </c>
      <c r="AV2597" s="1856" t="str">
        <f t="shared" si="438"/>
        <v/>
      </c>
      <c r="AW2597" s="1856" t="str">
        <f t="shared" si="439"/>
        <v/>
      </c>
      <c r="AX2597" s="1856" t="str">
        <f t="shared" si="440"/>
        <v/>
      </c>
      <c r="AY2597" s="1856" t="str">
        <f t="shared" si="441"/>
        <v/>
      </c>
    </row>
    <row r="2598" spans="42:52">
      <c r="AP2598" s="1855">
        <f t="shared" si="442"/>
        <v>44847</v>
      </c>
      <c r="AQ2598" s="925" t="str">
        <f t="shared" si="435"/>
        <v>MS</v>
      </c>
      <c r="AR2598" s="1856">
        <f t="shared" si="434"/>
        <v>44847.490277777782</v>
      </c>
      <c r="AS2598" s="927" t="s">
        <v>1685</v>
      </c>
      <c r="AT2598" s="1856" t="str">
        <f t="shared" si="436"/>
        <v/>
      </c>
      <c r="AU2598" s="1856" t="str">
        <f t="shared" si="437"/>
        <v/>
      </c>
      <c r="AV2598" s="1856" t="str">
        <f t="shared" si="438"/>
        <v/>
      </c>
      <c r="AW2598" s="1856" t="str">
        <f t="shared" si="439"/>
        <v/>
      </c>
      <c r="AX2598" s="1856" t="str">
        <f t="shared" si="440"/>
        <v/>
      </c>
      <c r="AY2598" s="1856" t="str">
        <f t="shared" si="441"/>
        <v/>
      </c>
    </row>
    <row r="2599" spans="42:52">
      <c r="AP2599" s="1855">
        <f t="shared" si="442"/>
        <v>44847</v>
      </c>
      <c r="AQ2599" s="925" t="str">
        <f t="shared" si="435"/>
        <v>SS</v>
      </c>
      <c r="AR2599" s="1856">
        <f t="shared" si="434"/>
        <v>44847.798611111109</v>
      </c>
      <c r="AS2599" s="927" t="s">
        <v>2226</v>
      </c>
      <c r="AT2599" s="1856" t="str">
        <f t="shared" si="436"/>
        <v/>
      </c>
      <c r="AU2599" s="1856" t="str">
        <f t="shared" si="437"/>
        <v/>
      </c>
      <c r="AV2599" s="1856" t="str">
        <f t="shared" si="438"/>
        <v/>
      </c>
      <c r="AW2599" s="1856" t="str">
        <f t="shared" si="439"/>
        <v/>
      </c>
      <c r="AX2599" s="1856" t="str">
        <f t="shared" si="440"/>
        <v/>
      </c>
      <c r="AY2599" s="1856" t="str">
        <f t="shared" si="441"/>
        <v/>
      </c>
    </row>
    <row r="2600" spans="42:52">
      <c r="AP2600" s="1855">
        <f t="shared" si="442"/>
        <v>44847</v>
      </c>
      <c r="AQ2600" s="925" t="str">
        <f t="shared" si="435"/>
        <v>EENT</v>
      </c>
      <c r="AR2600" s="1856">
        <f t="shared" si="434"/>
        <v>44847.838194444448</v>
      </c>
      <c r="AS2600" s="927" t="s">
        <v>2227</v>
      </c>
      <c r="AT2600" s="1856" t="str">
        <f t="shared" si="436"/>
        <v/>
      </c>
      <c r="AU2600" s="1856" t="str">
        <f t="shared" si="437"/>
        <v/>
      </c>
      <c r="AV2600" s="1856" t="str">
        <f t="shared" si="438"/>
        <v/>
      </c>
      <c r="AW2600" s="1856" t="str">
        <f t="shared" si="439"/>
        <v/>
      </c>
      <c r="AX2600" s="1856" t="str">
        <f t="shared" si="440"/>
        <v/>
      </c>
      <c r="AY2600" s="1856" t="str">
        <f t="shared" si="441"/>
        <v/>
      </c>
    </row>
    <row r="2601" spans="42:52">
      <c r="AP2601" s="1855">
        <f t="shared" si="442"/>
        <v>44847</v>
      </c>
      <c r="AQ2601" s="925" t="str">
        <f t="shared" si="435"/>
        <v>MR</v>
      </c>
      <c r="AR2601" s="1856">
        <f t="shared" ref="AR2601:AR2664" si="443">IF(NOT(ISNUMBER(FIND(":",AS2601))),"",IF(ISNUMBER(FIND(" none",AS2601)),"NONE",AP2601+LEFT(RIGHT(AS2601,5),2)/24+RIGHT(AS2601,2)/1440))</f>
        <v>44847.893055555556</v>
      </c>
      <c r="AS2601" s="927" t="s">
        <v>2126</v>
      </c>
      <c r="AT2601" s="1856" t="str">
        <f t="shared" si="436"/>
        <v/>
      </c>
      <c r="AU2601" s="1856" t="str">
        <f t="shared" si="437"/>
        <v/>
      </c>
      <c r="AV2601" s="1856" t="str">
        <f t="shared" si="438"/>
        <v/>
      </c>
      <c r="AW2601" s="1856" t="str">
        <f t="shared" si="439"/>
        <v/>
      </c>
      <c r="AX2601" s="1856" t="str">
        <f t="shared" si="440"/>
        <v/>
      </c>
      <c r="AY2601" s="1856" t="str">
        <f t="shared" si="441"/>
        <v/>
      </c>
    </row>
    <row r="2602" spans="42:52">
      <c r="AP2602" s="1855">
        <f t="shared" si="442"/>
        <v>44848</v>
      </c>
      <c r="AQ2602" s="925" t="str">
        <f t="shared" si="435"/>
        <v/>
      </c>
      <c r="AR2602" s="1856" t="str">
        <f t="shared" si="443"/>
        <v/>
      </c>
      <c r="AS2602" s="927">
        <v>14</v>
      </c>
      <c r="AT2602" s="1856">
        <f t="shared" si="436"/>
        <v>44848.287499999999</v>
      </c>
      <c r="AU2602" s="1856">
        <f t="shared" si="437"/>
        <v>44848.32708333333</v>
      </c>
      <c r="AV2602" s="1856">
        <f t="shared" si="438"/>
        <v>44848.797916666663</v>
      </c>
      <c r="AW2602" s="1856">
        <f t="shared" si="439"/>
        <v>44848.837500000001</v>
      </c>
      <c r="AX2602" s="1856">
        <f t="shared" si="440"/>
        <v>44848.922222222223</v>
      </c>
      <c r="AY2602" s="1856">
        <f t="shared" si="441"/>
        <v>44848.533333333333</v>
      </c>
      <c r="AZ2602" s="1853">
        <v>0.81</v>
      </c>
    </row>
    <row r="2603" spans="42:52">
      <c r="AP2603" s="1855">
        <f t="shared" si="442"/>
        <v>44848</v>
      </c>
      <c r="AQ2603" s="925" t="str">
        <f t="shared" si="435"/>
        <v/>
      </c>
      <c r="AR2603" s="1856" t="str">
        <f t="shared" si="443"/>
        <v/>
      </c>
      <c r="AS2603" s="927" t="s">
        <v>252</v>
      </c>
      <c r="AT2603" s="1856" t="str">
        <f t="shared" si="436"/>
        <v/>
      </c>
      <c r="AU2603" s="1856" t="str">
        <f t="shared" si="437"/>
        <v/>
      </c>
      <c r="AV2603" s="1856" t="str">
        <f t="shared" si="438"/>
        <v/>
      </c>
      <c r="AW2603" s="1856" t="str">
        <f t="shared" si="439"/>
        <v/>
      </c>
      <c r="AX2603" s="1856" t="str">
        <f t="shared" si="440"/>
        <v/>
      </c>
      <c r="AY2603" s="1856" t="str">
        <f t="shared" si="441"/>
        <v/>
      </c>
    </row>
    <row r="2604" spans="42:52">
      <c r="AP2604" s="1855">
        <f t="shared" si="442"/>
        <v>44848</v>
      </c>
      <c r="AQ2604" s="925" t="str">
        <f t="shared" si="435"/>
        <v/>
      </c>
      <c r="AR2604" s="1856" t="str">
        <f t="shared" si="443"/>
        <v/>
      </c>
      <c r="AT2604" s="1856" t="str">
        <f t="shared" si="436"/>
        <v/>
      </c>
      <c r="AU2604" s="1856" t="str">
        <f t="shared" si="437"/>
        <v/>
      </c>
      <c r="AV2604" s="1856" t="str">
        <f t="shared" si="438"/>
        <v/>
      </c>
      <c r="AW2604" s="1856" t="str">
        <f t="shared" si="439"/>
        <v/>
      </c>
      <c r="AX2604" s="1856" t="str">
        <f t="shared" si="440"/>
        <v/>
      </c>
      <c r="AY2604" s="1856" t="str">
        <f t="shared" si="441"/>
        <v/>
      </c>
    </row>
    <row r="2605" spans="42:52">
      <c r="AP2605" s="1855">
        <f t="shared" si="442"/>
        <v>44848</v>
      </c>
      <c r="AQ2605" s="925" t="str">
        <f t="shared" si="435"/>
        <v>BMNT</v>
      </c>
      <c r="AR2605" s="1856">
        <f t="shared" si="443"/>
        <v>44848.287499999999</v>
      </c>
      <c r="AS2605" s="927" t="s">
        <v>1145</v>
      </c>
      <c r="AT2605" s="1856" t="str">
        <f t="shared" si="436"/>
        <v/>
      </c>
      <c r="AU2605" s="1856" t="str">
        <f t="shared" si="437"/>
        <v/>
      </c>
      <c r="AV2605" s="1856" t="str">
        <f t="shared" si="438"/>
        <v/>
      </c>
      <c r="AW2605" s="1856" t="str">
        <f t="shared" si="439"/>
        <v/>
      </c>
      <c r="AX2605" s="1856" t="str">
        <f t="shared" si="440"/>
        <v/>
      </c>
      <c r="AY2605" s="1856" t="str">
        <f t="shared" si="441"/>
        <v/>
      </c>
    </row>
    <row r="2606" spans="42:52">
      <c r="AP2606" s="1855">
        <f t="shared" si="442"/>
        <v>44848</v>
      </c>
      <c r="AQ2606" s="925" t="str">
        <f t="shared" si="435"/>
        <v>SR</v>
      </c>
      <c r="AR2606" s="1856">
        <f t="shared" si="443"/>
        <v>44848.32708333333</v>
      </c>
      <c r="AS2606" s="927" t="s">
        <v>1208</v>
      </c>
      <c r="AT2606" s="1856" t="str">
        <f t="shared" si="436"/>
        <v/>
      </c>
      <c r="AU2606" s="1856" t="str">
        <f t="shared" si="437"/>
        <v/>
      </c>
      <c r="AV2606" s="1856" t="str">
        <f t="shared" si="438"/>
        <v/>
      </c>
      <c r="AW2606" s="1856" t="str">
        <f t="shared" si="439"/>
        <v/>
      </c>
      <c r="AX2606" s="1856" t="str">
        <f t="shared" si="440"/>
        <v/>
      </c>
      <c r="AY2606" s="1856" t="str">
        <f t="shared" si="441"/>
        <v/>
      </c>
    </row>
    <row r="2607" spans="42:52">
      <c r="AP2607" s="1855">
        <f t="shared" si="442"/>
        <v>44848</v>
      </c>
      <c r="AQ2607" s="925" t="str">
        <f t="shared" si="435"/>
        <v>MS</v>
      </c>
      <c r="AR2607" s="1856">
        <f t="shared" si="443"/>
        <v>44848.533333333333</v>
      </c>
      <c r="AS2607" s="927" t="s">
        <v>1564</v>
      </c>
      <c r="AT2607" s="1856" t="str">
        <f t="shared" si="436"/>
        <v/>
      </c>
      <c r="AU2607" s="1856" t="str">
        <f t="shared" si="437"/>
        <v/>
      </c>
      <c r="AV2607" s="1856" t="str">
        <f t="shared" si="438"/>
        <v/>
      </c>
      <c r="AW2607" s="1856" t="str">
        <f t="shared" si="439"/>
        <v/>
      </c>
      <c r="AX2607" s="1856" t="str">
        <f t="shared" si="440"/>
        <v/>
      </c>
      <c r="AY2607" s="1856" t="str">
        <f t="shared" si="441"/>
        <v/>
      </c>
    </row>
    <row r="2608" spans="42:52">
      <c r="AP2608" s="1855">
        <f t="shared" si="442"/>
        <v>44848</v>
      </c>
      <c r="AQ2608" s="925" t="str">
        <f t="shared" si="435"/>
        <v>SS</v>
      </c>
      <c r="AR2608" s="1856">
        <f t="shared" si="443"/>
        <v>44848.797916666663</v>
      </c>
      <c r="AS2608" s="927" t="s">
        <v>2228</v>
      </c>
      <c r="AT2608" s="1856" t="str">
        <f t="shared" si="436"/>
        <v/>
      </c>
      <c r="AU2608" s="1856" t="str">
        <f t="shared" si="437"/>
        <v/>
      </c>
      <c r="AV2608" s="1856" t="str">
        <f t="shared" si="438"/>
        <v/>
      </c>
      <c r="AW2608" s="1856" t="str">
        <f t="shared" si="439"/>
        <v/>
      </c>
      <c r="AX2608" s="1856" t="str">
        <f t="shared" si="440"/>
        <v/>
      </c>
      <c r="AY2608" s="1856" t="str">
        <f t="shared" si="441"/>
        <v/>
      </c>
    </row>
    <row r="2609" spans="42:52">
      <c r="AP2609" s="1855">
        <f t="shared" si="442"/>
        <v>44848</v>
      </c>
      <c r="AQ2609" s="925" t="str">
        <f t="shared" si="435"/>
        <v>EENT</v>
      </c>
      <c r="AR2609" s="1856">
        <f t="shared" si="443"/>
        <v>44848.837500000001</v>
      </c>
      <c r="AS2609" s="927" t="s">
        <v>2229</v>
      </c>
      <c r="AT2609" s="1856" t="str">
        <f t="shared" si="436"/>
        <v/>
      </c>
      <c r="AU2609" s="1856" t="str">
        <f t="shared" si="437"/>
        <v/>
      </c>
      <c r="AV2609" s="1856" t="str">
        <f t="shared" si="438"/>
        <v/>
      </c>
      <c r="AW2609" s="1856" t="str">
        <f t="shared" si="439"/>
        <v/>
      </c>
      <c r="AX2609" s="1856" t="str">
        <f t="shared" si="440"/>
        <v/>
      </c>
      <c r="AY2609" s="1856" t="str">
        <f t="shared" si="441"/>
        <v/>
      </c>
    </row>
    <row r="2610" spans="42:52">
      <c r="AP2610" s="1855">
        <f t="shared" si="442"/>
        <v>44848</v>
      </c>
      <c r="AQ2610" s="925" t="str">
        <f t="shared" si="435"/>
        <v>MR</v>
      </c>
      <c r="AR2610" s="1856">
        <f t="shared" si="443"/>
        <v>44848.922222222223</v>
      </c>
      <c r="AS2610" s="927" t="s">
        <v>2066</v>
      </c>
      <c r="AT2610" s="1856" t="str">
        <f t="shared" si="436"/>
        <v/>
      </c>
      <c r="AU2610" s="1856" t="str">
        <f t="shared" si="437"/>
        <v/>
      </c>
      <c r="AV2610" s="1856" t="str">
        <f t="shared" si="438"/>
        <v/>
      </c>
      <c r="AW2610" s="1856" t="str">
        <f t="shared" si="439"/>
        <v/>
      </c>
      <c r="AX2610" s="1856" t="str">
        <f t="shared" si="440"/>
        <v/>
      </c>
      <c r="AY2610" s="1856" t="str">
        <f t="shared" si="441"/>
        <v/>
      </c>
    </row>
    <row r="2611" spans="42:52">
      <c r="AP2611" s="1855">
        <f t="shared" si="442"/>
        <v>44849</v>
      </c>
      <c r="AQ2611" s="925" t="str">
        <f t="shared" si="435"/>
        <v/>
      </c>
      <c r="AR2611" s="1856" t="str">
        <f t="shared" si="443"/>
        <v/>
      </c>
      <c r="AS2611" s="927">
        <v>15</v>
      </c>
      <c r="AT2611" s="1856">
        <f t="shared" si="436"/>
        <v>44849.288194444445</v>
      </c>
      <c r="AU2611" s="1856">
        <f t="shared" si="437"/>
        <v>44849.327777777777</v>
      </c>
      <c r="AV2611" s="1856">
        <f t="shared" si="438"/>
        <v>44849.797222222223</v>
      </c>
      <c r="AW2611" s="1856">
        <f t="shared" si="439"/>
        <v>44849.836111111115</v>
      </c>
      <c r="AX2611" s="1856">
        <f t="shared" si="440"/>
        <v>44849.954861111109</v>
      </c>
      <c r="AY2611" s="1856">
        <f t="shared" si="441"/>
        <v>44849.572916666664</v>
      </c>
      <c r="AZ2611" s="1853">
        <v>0.73</v>
      </c>
    </row>
    <row r="2612" spans="42:52">
      <c r="AP2612" s="1855">
        <f t="shared" si="442"/>
        <v>44849</v>
      </c>
      <c r="AQ2612" s="925" t="str">
        <f t="shared" ref="AQ2612:AQ2675" si="444">IF(NOT(ISNUMBER(FIND(":",AS2612))),"",IF(ISNUMBER(FIND("Sunr",AS2612)),"SR", IF(ISNUMBER(FIND("Suns",AS2612)),"SS",IF(ISNUMBER(FIND("Moonr",AS2612)),"MR",IF(ISNUMBER(FIND("Moons",AS2612)),"MS",IF(ISNUMBER(FIND("Twi",AS2612)),IF(HOUR(AR2612)&lt;12,"BMNT","EENT")))))))</f>
        <v/>
      </c>
      <c r="AR2612" s="1856" t="str">
        <f t="shared" si="443"/>
        <v/>
      </c>
      <c r="AS2612" s="927" t="s">
        <v>252</v>
      </c>
      <c r="AT2612" s="1856" t="str">
        <f t="shared" si="436"/>
        <v/>
      </c>
      <c r="AU2612" s="1856" t="str">
        <f t="shared" si="437"/>
        <v/>
      </c>
      <c r="AV2612" s="1856" t="str">
        <f t="shared" si="438"/>
        <v/>
      </c>
      <c r="AW2612" s="1856" t="str">
        <f t="shared" si="439"/>
        <v/>
      </c>
      <c r="AX2612" s="1856" t="str">
        <f t="shared" si="440"/>
        <v/>
      </c>
      <c r="AY2612" s="1856" t="str">
        <f t="shared" si="441"/>
        <v/>
      </c>
    </row>
    <row r="2613" spans="42:52">
      <c r="AP2613" s="1855">
        <f t="shared" si="442"/>
        <v>44849</v>
      </c>
      <c r="AQ2613" s="925" t="str">
        <f t="shared" si="444"/>
        <v/>
      </c>
      <c r="AR2613" s="1856" t="str">
        <f t="shared" si="443"/>
        <v/>
      </c>
      <c r="AT2613" s="1856" t="str">
        <f t="shared" si="436"/>
        <v/>
      </c>
      <c r="AU2613" s="1856" t="str">
        <f t="shared" si="437"/>
        <v/>
      </c>
      <c r="AV2613" s="1856" t="str">
        <f t="shared" si="438"/>
        <v/>
      </c>
      <c r="AW2613" s="1856" t="str">
        <f t="shared" si="439"/>
        <v/>
      </c>
      <c r="AX2613" s="1856" t="str">
        <f t="shared" si="440"/>
        <v/>
      </c>
      <c r="AY2613" s="1856" t="str">
        <f t="shared" si="441"/>
        <v/>
      </c>
    </row>
    <row r="2614" spans="42:52">
      <c r="AP2614" s="1855">
        <f t="shared" si="442"/>
        <v>44849</v>
      </c>
      <c r="AQ2614" s="925" t="str">
        <f t="shared" si="444"/>
        <v>BMNT</v>
      </c>
      <c r="AR2614" s="1856">
        <f t="shared" si="443"/>
        <v>44849.288194444445</v>
      </c>
      <c r="AS2614" s="927" t="s">
        <v>1117</v>
      </c>
      <c r="AT2614" s="1856" t="str">
        <f t="shared" si="436"/>
        <v/>
      </c>
      <c r="AU2614" s="1856" t="str">
        <f t="shared" si="437"/>
        <v/>
      </c>
      <c r="AV2614" s="1856" t="str">
        <f t="shared" si="438"/>
        <v/>
      </c>
      <c r="AW2614" s="1856" t="str">
        <f t="shared" si="439"/>
        <v/>
      </c>
      <c r="AX2614" s="1856" t="str">
        <f t="shared" si="440"/>
        <v/>
      </c>
      <c r="AY2614" s="1856" t="str">
        <f t="shared" si="441"/>
        <v/>
      </c>
    </row>
    <row r="2615" spans="42:52">
      <c r="AP2615" s="1855">
        <f t="shared" si="442"/>
        <v>44849</v>
      </c>
      <c r="AQ2615" s="925" t="str">
        <f t="shared" si="444"/>
        <v>SR</v>
      </c>
      <c r="AR2615" s="1856">
        <f t="shared" si="443"/>
        <v>44849.327777777777</v>
      </c>
      <c r="AS2615" s="927" t="s">
        <v>1183</v>
      </c>
      <c r="AT2615" s="1856" t="str">
        <f t="shared" si="436"/>
        <v/>
      </c>
      <c r="AU2615" s="1856" t="str">
        <f t="shared" si="437"/>
        <v/>
      </c>
      <c r="AV2615" s="1856" t="str">
        <f t="shared" si="438"/>
        <v/>
      </c>
      <c r="AW2615" s="1856" t="str">
        <f t="shared" si="439"/>
        <v/>
      </c>
      <c r="AX2615" s="1856" t="str">
        <f t="shared" si="440"/>
        <v/>
      </c>
      <c r="AY2615" s="1856" t="str">
        <f t="shared" si="441"/>
        <v/>
      </c>
    </row>
    <row r="2616" spans="42:52">
      <c r="AP2616" s="1855">
        <f t="shared" si="442"/>
        <v>44849</v>
      </c>
      <c r="AQ2616" s="925" t="str">
        <f t="shared" si="444"/>
        <v>MS</v>
      </c>
      <c r="AR2616" s="1856">
        <f t="shared" si="443"/>
        <v>44849.572916666664</v>
      </c>
      <c r="AS2616" s="927" t="s">
        <v>2230</v>
      </c>
      <c r="AT2616" s="1856" t="str">
        <f t="shared" si="436"/>
        <v/>
      </c>
      <c r="AU2616" s="1856" t="str">
        <f t="shared" si="437"/>
        <v/>
      </c>
      <c r="AV2616" s="1856" t="str">
        <f t="shared" si="438"/>
        <v/>
      </c>
      <c r="AW2616" s="1856" t="str">
        <f t="shared" si="439"/>
        <v/>
      </c>
      <c r="AX2616" s="1856" t="str">
        <f t="shared" si="440"/>
        <v/>
      </c>
      <c r="AY2616" s="1856" t="str">
        <f t="shared" si="441"/>
        <v/>
      </c>
    </row>
    <row r="2617" spans="42:52">
      <c r="AP2617" s="1855">
        <f t="shared" si="442"/>
        <v>44849</v>
      </c>
      <c r="AQ2617" s="925" t="str">
        <f t="shared" si="444"/>
        <v>SS</v>
      </c>
      <c r="AR2617" s="1856">
        <f t="shared" si="443"/>
        <v>44849.797222222223</v>
      </c>
      <c r="AS2617" s="927" t="s">
        <v>2231</v>
      </c>
      <c r="AT2617" s="1856" t="str">
        <f t="shared" si="436"/>
        <v/>
      </c>
      <c r="AU2617" s="1856" t="str">
        <f t="shared" si="437"/>
        <v/>
      </c>
      <c r="AV2617" s="1856" t="str">
        <f t="shared" si="438"/>
        <v/>
      </c>
      <c r="AW2617" s="1856" t="str">
        <f t="shared" si="439"/>
        <v/>
      </c>
      <c r="AX2617" s="1856" t="str">
        <f t="shared" si="440"/>
        <v/>
      </c>
      <c r="AY2617" s="1856" t="str">
        <f t="shared" si="441"/>
        <v/>
      </c>
    </row>
    <row r="2618" spans="42:52">
      <c r="AP2618" s="1855">
        <f t="shared" si="442"/>
        <v>44849</v>
      </c>
      <c r="AQ2618" s="925" t="str">
        <f t="shared" si="444"/>
        <v>EENT</v>
      </c>
      <c r="AR2618" s="1856">
        <f t="shared" si="443"/>
        <v>44849.836111111115</v>
      </c>
      <c r="AS2618" s="927" t="s">
        <v>2232</v>
      </c>
      <c r="AT2618" s="1856" t="str">
        <f t="shared" si="436"/>
        <v/>
      </c>
      <c r="AU2618" s="1856" t="str">
        <f t="shared" si="437"/>
        <v/>
      </c>
      <c r="AV2618" s="1856" t="str">
        <f t="shared" si="438"/>
        <v/>
      </c>
      <c r="AW2618" s="1856" t="str">
        <f t="shared" si="439"/>
        <v/>
      </c>
      <c r="AX2618" s="1856" t="str">
        <f t="shared" si="440"/>
        <v/>
      </c>
      <c r="AY2618" s="1856" t="str">
        <f t="shared" si="441"/>
        <v/>
      </c>
    </row>
    <row r="2619" spans="42:52">
      <c r="AP2619" s="1855">
        <f t="shared" si="442"/>
        <v>44849</v>
      </c>
      <c r="AQ2619" s="925" t="str">
        <f t="shared" si="444"/>
        <v>MR</v>
      </c>
      <c r="AR2619" s="1856">
        <f t="shared" si="443"/>
        <v>44849.954861111109</v>
      </c>
      <c r="AS2619" s="927" t="s">
        <v>2233</v>
      </c>
      <c r="AT2619" s="1856" t="str">
        <f t="shared" si="436"/>
        <v/>
      </c>
      <c r="AU2619" s="1856" t="str">
        <f t="shared" si="437"/>
        <v/>
      </c>
      <c r="AV2619" s="1856" t="str">
        <f t="shared" si="438"/>
        <v/>
      </c>
      <c r="AW2619" s="1856" t="str">
        <f t="shared" si="439"/>
        <v/>
      </c>
      <c r="AX2619" s="1856" t="str">
        <f t="shared" si="440"/>
        <v/>
      </c>
      <c r="AY2619" s="1856" t="str">
        <f t="shared" si="441"/>
        <v/>
      </c>
    </row>
    <row r="2620" spans="42:52">
      <c r="AP2620" s="1855">
        <f t="shared" si="442"/>
        <v>44850</v>
      </c>
      <c r="AQ2620" s="925" t="str">
        <f t="shared" si="444"/>
        <v/>
      </c>
      <c r="AR2620" s="1856" t="str">
        <f t="shared" si="443"/>
        <v/>
      </c>
      <c r="AS2620" s="927">
        <v>16</v>
      </c>
      <c r="AT2620" s="1856">
        <f t="shared" si="436"/>
        <v>44850.288888888892</v>
      </c>
      <c r="AU2620" s="1856">
        <f t="shared" si="437"/>
        <v>44850.328472222223</v>
      </c>
      <c r="AV2620" s="1856">
        <f t="shared" si="438"/>
        <v>44850.79583333333</v>
      </c>
      <c r="AW2620" s="1856">
        <f t="shared" si="439"/>
        <v>44850.835416666669</v>
      </c>
      <c r="AX2620" s="1856">
        <f t="shared" si="440"/>
        <v>44850.992361111115</v>
      </c>
      <c r="AY2620" s="1856">
        <f t="shared" si="441"/>
        <v>44850.609027777777</v>
      </c>
      <c r="AZ2620" s="1853">
        <v>0.64</v>
      </c>
    </row>
    <row r="2621" spans="42:52">
      <c r="AP2621" s="1855">
        <f t="shared" si="442"/>
        <v>44850</v>
      </c>
      <c r="AQ2621" s="925" t="str">
        <f t="shared" si="444"/>
        <v/>
      </c>
      <c r="AR2621" s="1856" t="str">
        <f t="shared" si="443"/>
        <v/>
      </c>
      <c r="AS2621" s="927" t="s">
        <v>252</v>
      </c>
      <c r="AT2621" s="1856" t="str">
        <f t="shared" si="436"/>
        <v/>
      </c>
      <c r="AU2621" s="1856" t="str">
        <f t="shared" si="437"/>
        <v/>
      </c>
      <c r="AV2621" s="1856" t="str">
        <f t="shared" si="438"/>
        <v/>
      </c>
      <c r="AW2621" s="1856" t="str">
        <f t="shared" si="439"/>
        <v/>
      </c>
      <c r="AX2621" s="1856" t="str">
        <f t="shared" si="440"/>
        <v/>
      </c>
      <c r="AY2621" s="1856" t="str">
        <f t="shared" si="441"/>
        <v/>
      </c>
    </row>
    <row r="2622" spans="42:52">
      <c r="AP2622" s="1855">
        <f t="shared" si="442"/>
        <v>44850</v>
      </c>
      <c r="AQ2622" s="925" t="str">
        <f t="shared" si="444"/>
        <v/>
      </c>
      <c r="AR2622" s="1856" t="str">
        <f t="shared" si="443"/>
        <v/>
      </c>
      <c r="AT2622" s="1856" t="str">
        <f t="shared" si="436"/>
        <v/>
      </c>
      <c r="AU2622" s="1856" t="str">
        <f t="shared" si="437"/>
        <v/>
      </c>
      <c r="AV2622" s="1856" t="str">
        <f t="shared" si="438"/>
        <v/>
      </c>
      <c r="AW2622" s="1856" t="str">
        <f t="shared" si="439"/>
        <v/>
      </c>
      <c r="AX2622" s="1856" t="str">
        <f t="shared" si="440"/>
        <v/>
      </c>
      <c r="AY2622" s="1856" t="str">
        <f t="shared" si="441"/>
        <v/>
      </c>
    </row>
    <row r="2623" spans="42:52">
      <c r="AP2623" s="1855">
        <f t="shared" si="442"/>
        <v>44850</v>
      </c>
      <c r="AQ2623" s="925" t="str">
        <f t="shared" si="444"/>
        <v>BMNT</v>
      </c>
      <c r="AR2623" s="1856">
        <f t="shared" si="443"/>
        <v>44850.288888888892</v>
      </c>
      <c r="AS2623" s="927" t="s">
        <v>1083</v>
      </c>
      <c r="AT2623" s="1856" t="str">
        <f t="shared" si="436"/>
        <v/>
      </c>
      <c r="AU2623" s="1856" t="str">
        <f t="shared" si="437"/>
        <v/>
      </c>
      <c r="AV2623" s="1856" t="str">
        <f t="shared" si="438"/>
        <v/>
      </c>
      <c r="AW2623" s="1856" t="str">
        <f t="shared" si="439"/>
        <v/>
      </c>
      <c r="AX2623" s="1856" t="str">
        <f t="shared" si="440"/>
        <v/>
      </c>
      <c r="AY2623" s="1856" t="str">
        <f t="shared" si="441"/>
        <v/>
      </c>
    </row>
    <row r="2624" spans="42:52">
      <c r="AP2624" s="1855">
        <f t="shared" si="442"/>
        <v>44850</v>
      </c>
      <c r="AQ2624" s="925" t="str">
        <f t="shared" si="444"/>
        <v>SR</v>
      </c>
      <c r="AR2624" s="1856">
        <f t="shared" si="443"/>
        <v>44850.328472222223</v>
      </c>
      <c r="AS2624" s="927" t="s">
        <v>1169</v>
      </c>
      <c r="AT2624" s="1856" t="str">
        <f t="shared" si="436"/>
        <v/>
      </c>
      <c r="AU2624" s="1856" t="str">
        <f t="shared" si="437"/>
        <v/>
      </c>
      <c r="AV2624" s="1856" t="str">
        <f t="shared" si="438"/>
        <v/>
      </c>
      <c r="AW2624" s="1856" t="str">
        <f t="shared" si="439"/>
        <v/>
      </c>
      <c r="AX2624" s="1856" t="str">
        <f t="shared" si="440"/>
        <v/>
      </c>
      <c r="AY2624" s="1856" t="str">
        <f t="shared" si="441"/>
        <v/>
      </c>
    </row>
    <row r="2625" spans="42:52">
      <c r="AP2625" s="1855">
        <f t="shared" si="442"/>
        <v>44850</v>
      </c>
      <c r="AQ2625" s="925" t="str">
        <f t="shared" si="444"/>
        <v>MS</v>
      </c>
      <c r="AR2625" s="1856">
        <f t="shared" si="443"/>
        <v>44850.609027777777</v>
      </c>
      <c r="AS2625" s="927" t="s">
        <v>2234</v>
      </c>
      <c r="AT2625" s="1856" t="str">
        <f t="shared" si="436"/>
        <v/>
      </c>
      <c r="AU2625" s="1856" t="str">
        <f t="shared" si="437"/>
        <v/>
      </c>
      <c r="AV2625" s="1856" t="str">
        <f t="shared" si="438"/>
        <v/>
      </c>
      <c r="AW2625" s="1856" t="str">
        <f t="shared" si="439"/>
        <v/>
      </c>
      <c r="AX2625" s="1856" t="str">
        <f t="shared" si="440"/>
        <v/>
      </c>
      <c r="AY2625" s="1856" t="str">
        <f t="shared" si="441"/>
        <v/>
      </c>
    </row>
    <row r="2626" spans="42:52">
      <c r="AP2626" s="1855">
        <f t="shared" si="442"/>
        <v>44850</v>
      </c>
      <c r="AQ2626" s="925" t="str">
        <f t="shared" si="444"/>
        <v>SS</v>
      </c>
      <c r="AR2626" s="1856">
        <f t="shared" si="443"/>
        <v>44850.79583333333</v>
      </c>
      <c r="AS2626" s="927" t="s">
        <v>2235</v>
      </c>
      <c r="AT2626" s="1856" t="str">
        <f t="shared" si="436"/>
        <v/>
      </c>
      <c r="AU2626" s="1856" t="str">
        <f t="shared" si="437"/>
        <v/>
      </c>
      <c r="AV2626" s="1856" t="str">
        <f t="shared" si="438"/>
        <v/>
      </c>
      <c r="AW2626" s="1856" t="str">
        <f t="shared" si="439"/>
        <v/>
      </c>
      <c r="AX2626" s="1856" t="str">
        <f t="shared" si="440"/>
        <v/>
      </c>
      <c r="AY2626" s="1856" t="str">
        <f t="shared" si="441"/>
        <v/>
      </c>
    </row>
    <row r="2627" spans="42:52">
      <c r="AP2627" s="1855">
        <f t="shared" si="442"/>
        <v>44850</v>
      </c>
      <c r="AQ2627" s="925" t="str">
        <f t="shared" si="444"/>
        <v>EENT</v>
      </c>
      <c r="AR2627" s="1856">
        <f t="shared" si="443"/>
        <v>44850.835416666669</v>
      </c>
      <c r="AS2627" s="927" t="s">
        <v>2236</v>
      </c>
      <c r="AT2627" s="1856" t="str">
        <f t="shared" si="436"/>
        <v/>
      </c>
      <c r="AU2627" s="1856" t="str">
        <f t="shared" si="437"/>
        <v/>
      </c>
      <c r="AV2627" s="1856" t="str">
        <f t="shared" si="438"/>
        <v/>
      </c>
      <c r="AW2627" s="1856" t="str">
        <f t="shared" si="439"/>
        <v/>
      </c>
      <c r="AX2627" s="1856" t="str">
        <f t="shared" si="440"/>
        <v/>
      </c>
      <c r="AY2627" s="1856" t="str">
        <f t="shared" si="441"/>
        <v/>
      </c>
    </row>
    <row r="2628" spans="42:52">
      <c r="AP2628" s="1855">
        <f t="shared" si="442"/>
        <v>44850</v>
      </c>
      <c r="AQ2628" s="925" t="str">
        <f t="shared" si="444"/>
        <v>MR</v>
      </c>
      <c r="AR2628" s="1856">
        <f t="shared" si="443"/>
        <v>44850.992361111115</v>
      </c>
      <c r="AS2628" s="927" t="s">
        <v>1140</v>
      </c>
      <c r="AT2628" s="1856" t="str">
        <f t="shared" si="436"/>
        <v/>
      </c>
      <c r="AU2628" s="1856" t="str">
        <f t="shared" si="437"/>
        <v/>
      </c>
      <c r="AV2628" s="1856" t="str">
        <f t="shared" si="438"/>
        <v/>
      </c>
      <c r="AW2628" s="1856" t="str">
        <f t="shared" si="439"/>
        <v/>
      </c>
      <c r="AX2628" s="1856" t="str">
        <f t="shared" si="440"/>
        <v/>
      </c>
      <c r="AY2628" s="1856" t="str">
        <f t="shared" si="441"/>
        <v/>
      </c>
    </row>
    <row r="2629" spans="42:52">
      <c r="AP2629" s="1855">
        <f t="shared" si="442"/>
        <v>44851</v>
      </c>
      <c r="AQ2629" s="925" t="str">
        <f t="shared" si="444"/>
        <v/>
      </c>
      <c r="AR2629" s="1856" t="str">
        <f t="shared" si="443"/>
        <v/>
      </c>
      <c r="AS2629" s="927">
        <v>17</v>
      </c>
      <c r="AT2629" s="1856">
        <f t="shared" si="436"/>
        <v>44851.289583333331</v>
      </c>
      <c r="AU2629" s="1856">
        <f t="shared" si="437"/>
        <v>44851.329166666663</v>
      </c>
      <c r="AV2629" s="1856">
        <f t="shared" si="438"/>
        <v>44851.795138888883</v>
      </c>
      <c r="AW2629" s="1856">
        <f t="shared" si="439"/>
        <v>44851.834722222222</v>
      </c>
      <c r="AX2629" s="1856" t="str">
        <f t="shared" si="440"/>
        <v>NONE</v>
      </c>
      <c r="AY2629" s="1856">
        <f t="shared" si="441"/>
        <v>44851.63958333333</v>
      </c>
      <c r="AZ2629" s="1853">
        <v>0.55000000000000004</v>
      </c>
    </row>
    <row r="2630" spans="42:52">
      <c r="AP2630" s="1855">
        <f t="shared" si="442"/>
        <v>44851</v>
      </c>
      <c r="AQ2630" s="925" t="str">
        <f t="shared" si="444"/>
        <v/>
      </c>
      <c r="AR2630" s="1856" t="str">
        <f t="shared" si="443"/>
        <v/>
      </c>
      <c r="AS2630" s="927" t="s">
        <v>252</v>
      </c>
      <c r="AT2630" s="1856" t="str">
        <f t="shared" si="436"/>
        <v/>
      </c>
      <c r="AU2630" s="1856" t="str">
        <f t="shared" si="437"/>
        <v/>
      </c>
      <c r="AV2630" s="1856" t="str">
        <f t="shared" si="438"/>
        <v/>
      </c>
      <c r="AW2630" s="1856" t="str">
        <f t="shared" si="439"/>
        <v/>
      </c>
      <c r="AX2630" s="1856" t="str">
        <f t="shared" si="440"/>
        <v/>
      </c>
      <c r="AY2630" s="1856" t="str">
        <f t="shared" si="441"/>
        <v/>
      </c>
    </row>
    <row r="2631" spans="42:52">
      <c r="AP2631" s="1855">
        <f t="shared" si="442"/>
        <v>44851</v>
      </c>
      <c r="AQ2631" s="925" t="str">
        <f t="shared" si="444"/>
        <v/>
      </c>
      <c r="AR2631" s="1856" t="str">
        <f t="shared" si="443"/>
        <v/>
      </c>
      <c r="AT2631" s="1856" t="str">
        <f t="shared" si="436"/>
        <v/>
      </c>
      <c r="AU2631" s="1856" t="str">
        <f t="shared" si="437"/>
        <v/>
      </c>
      <c r="AV2631" s="1856" t="str">
        <f t="shared" si="438"/>
        <v/>
      </c>
      <c r="AW2631" s="1856" t="str">
        <f t="shared" si="439"/>
        <v/>
      </c>
      <c r="AX2631" s="1856" t="str">
        <f t="shared" si="440"/>
        <v/>
      </c>
      <c r="AY2631" s="1856" t="str">
        <f t="shared" si="441"/>
        <v/>
      </c>
    </row>
    <row r="2632" spans="42:52">
      <c r="AP2632" s="1855">
        <f t="shared" si="442"/>
        <v>44851</v>
      </c>
      <c r="AQ2632" s="925" t="str">
        <f t="shared" si="444"/>
        <v>BMNT</v>
      </c>
      <c r="AR2632" s="1856">
        <f t="shared" si="443"/>
        <v>44851.289583333331</v>
      </c>
      <c r="AS2632" s="927" t="s">
        <v>756</v>
      </c>
      <c r="AT2632" s="1856" t="str">
        <f t="shared" si="436"/>
        <v/>
      </c>
      <c r="AU2632" s="1856" t="str">
        <f t="shared" si="437"/>
        <v/>
      </c>
      <c r="AV2632" s="1856" t="str">
        <f t="shared" si="438"/>
        <v/>
      </c>
      <c r="AW2632" s="1856" t="str">
        <f t="shared" si="439"/>
        <v/>
      </c>
      <c r="AX2632" s="1856" t="str">
        <f t="shared" si="440"/>
        <v/>
      </c>
      <c r="AY2632" s="1856" t="str">
        <f t="shared" si="441"/>
        <v/>
      </c>
    </row>
    <row r="2633" spans="42:52">
      <c r="AP2633" s="1855">
        <f t="shared" si="442"/>
        <v>44851</v>
      </c>
      <c r="AQ2633" s="925" t="str">
        <f t="shared" si="444"/>
        <v>SR</v>
      </c>
      <c r="AR2633" s="1856">
        <f t="shared" si="443"/>
        <v>44851.329166666663</v>
      </c>
      <c r="AS2633" s="927" t="s">
        <v>1147</v>
      </c>
      <c r="AT2633" s="1856" t="str">
        <f t="shared" si="436"/>
        <v/>
      </c>
      <c r="AU2633" s="1856" t="str">
        <f t="shared" si="437"/>
        <v/>
      </c>
      <c r="AV2633" s="1856" t="str">
        <f t="shared" si="438"/>
        <v/>
      </c>
      <c r="AW2633" s="1856" t="str">
        <f t="shared" si="439"/>
        <v/>
      </c>
      <c r="AX2633" s="1856" t="str">
        <f t="shared" si="440"/>
        <v/>
      </c>
      <c r="AY2633" s="1856" t="str">
        <f t="shared" si="441"/>
        <v/>
      </c>
    </row>
    <row r="2634" spans="42:52">
      <c r="AP2634" s="1855">
        <f t="shared" si="442"/>
        <v>44851</v>
      </c>
      <c r="AQ2634" s="925" t="str">
        <f t="shared" si="444"/>
        <v>MS</v>
      </c>
      <c r="AR2634" s="1856">
        <f t="shared" si="443"/>
        <v>44851.63958333333</v>
      </c>
      <c r="AS2634" s="927" t="s">
        <v>1968</v>
      </c>
      <c r="AT2634" s="1856" t="str">
        <f t="shared" si="436"/>
        <v/>
      </c>
      <c r="AU2634" s="1856" t="str">
        <f t="shared" si="437"/>
        <v/>
      </c>
      <c r="AV2634" s="1856" t="str">
        <f t="shared" si="438"/>
        <v/>
      </c>
      <c r="AW2634" s="1856" t="str">
        <f t="shared" si="439"/>
        <v/>
      </c>
      <c r="AX2634" s="1856" t="str">
        <f t="shared" si="440"/>
        <v/>
      </c>
      <c r="AY2634" s="1856" t="str">
        <f t="shared" si="441"/>
        <v/>
      </c>
    </row>
    <row r="2635" spans="42:52">
      <c r="AP2635" s="1855">
        <f t="shared" si="442"/>
        <v>44851</v>
      </c>
      <c r="AQ2635" s="925" t="str">
        <f t="shared" si="444"/>
        <v>SS</v>
      </c>
      <c r="AR2635" s="1856">
        <f t="shared" si="443"/>
        <v>44851.795138888883</v>
      </c>
      <c r="AS2635" s="927" t="s">
        <v>2237</v>
      </c>
      <c r="AT2635" s="1856" t="str">
        <f t="shared" si="436"/>
        <v/>
      </c>
      <c r="AU2635" s="1856" t="str">
        <f t="shared" si="437"/>
        <v/>
      </c>
      <c r="AV2635" s="1856" t="str">
        <f t="shared" si="438"/>
        <v/>
      </c>
      <c r="AW2635" s="1856" t="str">
        <f t="shared" si="439"/>
        <v/>
      </c>
      <c r="AX2635" s="1856" t="str">
        <f t="shared" si="440"/>
        <v/>
      </c>
      <c r="AY2635" s="1856" t="str">
        <f t="shared" si="441"/>
        <v/>
      </c>
    </row>
    <row r="2636" spans="42:52">
      <c r="AP2636" s="1855">
        <f t="shared" si="442"/>
        <v>44851</v>
      </c>
      <c r="AQ2636" s="925" t="str">
        <f t="shared" si="444"/>
        <v>EENT</v>
      </c>
      <c r="AR2636" s="1856">
        <f t="shared" si="443"/>
        <v>44851.834722222222</v>
      </c>
      <c r="AS2636" s="927" t="s">
        <v>2238</v>
      </c>
      <c r="AT2636" s="1856" t="str">
        <f t="shared" si="436"/>
        <v/>
      </c>
      <c r="AU2636" s="1856" t="str">
        <f t="shared" si="437"/>
        <v/>
      </c>
      <c r="AV2636" s="1856" t="str">
        <f t="shared" si="438"/>
        <v/>
      </c>
      <c r="AW2636" s="1856" t="str">
        <f t="shared" si="439"/>
        <v/>
      </c>
      <c r="AX2636" s="1856" t="str">
        <f t="shared" si="440"/>
        <v/>
      </c>
      <c r="AY2636" s="1856" t="str">
        <f t="shared" si="441"/>
        <v/>
      </c>
    </row>
    <row r="2637" spans="42:52">
      <c r="AP2637" s="1855">
        <f t="shared" si="442"/>
        <v>44851</v>
      </c>
      <c r="AQ2637" s="925" t="str">
        <f t="shared" si="444"/>
        <v>MR</v>
      </c>
      <c r="AR2637" s="1856" t="str">
        <f t="shared" si="443"/>
        <v>NONE</v>
      </c>
      <c r="AS2637" s="927" t="s">
        <v>1153</v>
      </c>
      <c r="AT2637" s="1856" t="str">
        <f t="shared" si="436"/>
        <v/>
      </c>
      <c r="AU2637" s="1856" t="str">
        <f t="shared" si="437"/>
        <v/>
      </c>
      <c r="AV2637" s="1856" t="str">
        <f t="shared" si="438"/>
        <v/>
      </c>
      <c r="AW2637" s="1856" t="str">
        <f t="shared" si="439"/>
        <v/>
      </c>
      <c r="AX2637" s="1856" t="str">
        <f t="shared" si="440"/>
        <v/>
      </c>
      <c r="AY2637" s="1856" t="str">
        <f t="shared" si="441"/>
        <v/>
      </c>
    </row>
    <row r="2638" spans="42:52">
      <c r="AP2638" s="1855">
        <f t="shared" si="442"/>
        <v>44852</v>
      </c>
      <c r="AQ2638" s="925" t="str">
        <f t="shared" si="444"/>
        <v/>
      </c>
      <c r="AR2638" s="1856" t="str">
        <f t="shared" si="443"/>
        <v/>
      </c>
      <c r="AS2638" s="927">
        <v>18</v>
      </c>
      <c r="AT2638" s="1856">
        <f t="shared" si="436"/>
        <v>44852.290277777778</v>
      </c>
      <c r="AU2638" s="1856">
        <f t="shared" si="437"/>
        <v>44852.329861111109</v>
      </c>
      <c r="AV2638" s="1856">
        <f t="shared" si="438"/>
        <v>44852.793749999997</v>
      </c>
      <c r="AW2638" s="1856">
        <f t="shared" si="439"/>
        <v>44852.833333333336</v>
      </c>
      <c r="AX2638" s="1856">
        <f t="shared" si="440"/>
        <v>44852.031944444447</v>
      </c>
      <c r="AY2638" s="1856">
        <f t="shared" si="441"/>
        <v>44852.665972222225</v>
      </c>
      <c r="AZ2638" s="1853">
        <v>0.45</v>
      </c>
    </row>
    <row r="2639" spans="42:52">
      <c r="AP2639" s="1855">
        <f t="shared" si="442"/>
        <v>44852</v>
      </c>
      <c r="AQ2639" s="925" t="str">
        <f t="shared" si="444"/>
        <v/>
      </c>
      <c r="AR2639" s="1856" t="str">
        <f t="shared" si="443"/>
        <v/>
      </c>
      <c r="AS2639" s="927" t="s">
        <v>252</v>
      </c>
      <c r="AT2639" s="1856" t="str">
        <f t="shared" si="436"/>
        <v/>
      </c>
      <c r="AU2639" s="1856" t="str">
        <f t="shared" si="437"/>
        <v/>
      </c>
      <c r="AV2639" s="1856" t="str">
        <f t="shared" si="438"/>
        <v/>
      </c>
      <c r="AW2639" s="1856" t="str">
        <f t="shared" si="439"/>
        <v/>
      </c>
      <c r="AX2639" s="1856" t="str">
        <f t="shared" si="440"/>
        <v/>
      </c>
      <c r="AY2639" s="1856" t="str">
        <f t="shared" si="441"/>
        <v/>
      </c>
    </row>
    <row r="2640" spans="42:52">
      <c r="AP2640" s="1855">
        <f t="shared" si="442"/>
        <v>44852</v>
      </c>
      <c r="AQ2640" s="925" t="str">
        <f t="shared" si="444"/>
        <v/>
      </c>
      <c r="AR2640" s="1856" t="str">
        <f t="shared" si="443"/>
        <v/>
      </c>
      <c r="AT2640" s="1856" t="str">
        <f t="shared" si="436"/>
        <v/>
      </c>
      <c r="AU2640" s="1856" t="str">
        <f t="shared" si="437"/>
        <v/>
      </c>
      <c r="AV2640" s="1856" t="str">
        <f t="shared" si="438"/>
        <v/>
      </c>
      <c r="AW2640" s="1856" t="str">
        <f t="shared" si="439"/>
        <v/>
      </c>
      <c r="AX2640" s="1856" t="str">
        <f t="shared" si="440"/>
        <v/>
      </c>
      <c r="AY2640" s="1856" t="str">
        <f t="shared" si="441"/>
        <v/>
      </c>
    </row>
    <row r="2641" spans="42:52">
      <c r="AP2641" s="1855">
        <f t="shared" si="442"/>
        <v>44852</v>
      </c>
      <c r="AQ2641" s="925" t="str">
        <f t="shared" si="444"/>
        <v>MR</v>
      </c>
      <c r="AR2641" s="1856">
        <f t="shared" si="443"/>
        <v>44852.031944444447</v>
      </c>
      <c r="AS2641" s="927" t="s">
        <v>2239</v>
      </c>
      <c r="AT2641" s="1856" t="str">
        <f t="shared" si="436"/>
        <v/>
      </c>
      <c r="AU2641" s="1856" t="str">
        <f t="shared" si="437"/>
        <v/>
      </c>
      <c r="AV2641" s="1856" t="str">
        <f t="shared" si="438"/>
        <v/>
      </c>
      <c r="AW2641" s="1856" t="str">
        <f t="shared" si="439"/>
        <v/>
      </c>
      <c r="AX2641" s="1856" t="str">
        <f t="shared" si="440"/>
        <v/>
      </c>
      <c r="AY2641" s="1856" t="str">
        <f t="shared" si="441"/>
        <v/>
      </c>
    </row>
    <row r="2642" spans="42:52">
      <c r="AP2642" s="1855">
        <f t="shared" si="442"/>
        <v>44852</v>
      </c>
      <c r="AQ2642" s="925" t="str">
        <f t="shared" si="444"/>
        <v>BMNT</v>
      </c>
      <c r="AR2642" s="1856">
        <f t="shared" si="443"/>
        <v>44852.290277777778</v>
      </c>
      <c r="AS2642" s="927" t="s">
        <v>814</v>
      </c>
      <c r="AT2642" s="1856" t="str">
        <f t="shared" si="436"/>
        <v/>
      </c>
      <c r="AU2642" s="1856" t="str">
        <f t="shared" si="437"/>
        <v/>
      </c>
      <c r="AV2642" s="1856" t="str">
        <f t="shared" si="438"/>
        <v/>
      </c>
      <c r="AW2642" s="1856" t="str">
        <f t="shared" si="439"/>
        <v/>
      </c>
      <c r="AX2642" s="1856" t="str">
        <f t="shared" si="440"/>
        <v/>
      </c>
      <c r="AY2642" s="1856" t="str">
        <f t="shared" si="441"/>
        <v/>
      </c>
    </row>
    <row r="2643" spans="42:52">
      <c r="AP2643" s="1855">
        <f t="shared" si="442"/>
        <v>44852</v>
      </c>
      <c r="AQ2643" s="925" t="str">
        <f t="shared" si="444"/>
        <v>SR</v>
      </c>
      <c r="AR2643" s="1856">
        <f t="shared" si="443"/>
        <v>44852.329861111109</v>
      </c>
      <c r="AS2643" s="927" t="s">
        <v>1119</v>
      </c>
      <c r="AT2643" s="1856" t="str">
        <f t="shared" si="436"/>
        <v/>
      </c>
      <c r="AU2643" s="1856" t="str">
        <f t="shared" si="437"/>
        <v/>
      </c>
      <c r="AV2643" s="1856" t="str">
        <f t="shared" si="438"/>
        <v/>
      </c>
      <c r="AW2643" s="1856" t="str">
        <f t="shared" si="439"/>
        <v/>
      </c>
      <c r="AX2643" s="1856" t="str">
        <f t="shared" si="440"/>
        <v/>
      </c>
      <c r="AY2643" s="1856" t="str">
        <f t="shared" si="441"/>
        <v/>
      </c>
    </row>
    <row r="2644" spans="42:52">
      <c r="AP2644" s="1855">
        <f t="shared" si="442"/>
        <v>44852</v>
      </c>
      <c r="AQ2644" s="925" t="str">
        <f t="shared" si="444"/>
        <v>MS</v>
      </c>
      <c r="AR2644" s="1856">
        <f t="shared" si="443"/>
        <v>44852.665972222225</v>
      </c>
      <c r="AS2644" s="927" t="s">
        <v>2240</v>
      </c>
      <c r="AT2644" s="1856" t="str">
        <f t="shared" si="436"/>
        <v/>
      </c>
      <c r="AU2644" s="1856" t="str">
        <f t="shared" si="437"/>
        <v/>
      </c>
      <c r="AV2644" s="1856" t="str">
        <f t="shared" si="438"/>
        <v/>
      </c>
      <c r="AW2644" s="1856" t="str">
        <f t="shared" si="439"/>
        <v/>
      </c>
      <c r="AX2644" s="1856" t="str">
        <f t="shared" si="440"/>
        <v/>
      </c>
      <c r="AY2644" s="1856" t="str">
        <f t="shared" si="441"/>
        <v/>
      </c>
    </row>
    <row r="2645" spans="42:52">
      <c r="AP2645" s="1855">
        <f t="shared" si="442"/>
        <v>44852</v>
      </c>
      <c r="AQ2645" s="925" t="str">
        <f t="shared" si="444"/>
        <v>SS</v>
      </c>
      <c r="AR2645" s="1856">
        <f t="shared" si="443"/>
        <v>44852.793749999997</v>
      </c>
      <c r="AS2645" s="927" t="s">
        <v>2241</v>
      </c>
      <c r="AT2645" s="1856" t="str">
        <f t="shared" si="436"/>
        <v/>
      </c>
      <c r="AU2645" s="1856" t="str">
        <f t="shared" si="437"/>
        <v/>
      </c>
      <c r="AV2645" s="1856" t="str">
        <f t="shared" si="438"/>
        <v/>
      </c>
      <c r="AW2645" s="1856" t="str">
        <f t="shared" si="439"/>
        <v/>
      </c>
      <c r="AX2645" s="1856" t="str">
        <f t="shared" si="440"/>
        <v/>
      </c>
      <c r="AY2645" s="1856" t="str">
        <f t="shared" si="441"/>
        <v/>
      </c>
    </row>
    <row r="2646" spans="42:52">
      <c r="AP2646" s="1855">
        <f t="shared" si="442"/>
        <v>44852</v>
      </c>
      <c r="AQ2646" s="925" t="str">
        <f t="shared" si="444"/>
        <v>EENT</v>
      </c>
      <c r="AR2646" s="1856">
        <f t="shared" si="443"/>
        <v>44852.833333333336</v>
      </c>
      <c r="AS2646" s="927" t="s">
        <v>2242</v>
      </c>
      <c r="AT2646" s="1856" t="str">
        <f t="shared" si="436"/>
        <v/>
      </c>
      <c r="AU2646" s="1856" t="str">
        <f t="shared" si="437"/>
        <v/>
      </c>
      <c r="AV2646" s="1856" t="str">
        <f t="shared" si="438"/>
        <v/>
      </c>
      <c r="AW2646" s="1856" t="str">
        <f t="shared" si="439"/>
        <v/>
      </c>
      <c r="AX2646" s="1856" t="str">
        <f t="shared" si="440"/>
        <v/>
      </c>
      <c r="AY2646" s="1856" t="str">
        <f t="shared" si="441"/>
        <v/>
      </c>
    </row>
    <row r="2647" spans="42:52">
      <c r="AP2647" s="1855">
        <f t="shared" si="442"/>
        <v>44853</v>
      </c>
      <c r="AQ2647" s="925" t="str">
        <f t="shared" si="444"/>
        <v/>
      </c>
      <c r="AR2647" s="1856" t="str">
        <f t="shared" si="443"/>
        <v/>
      </c>
      <c r="AS2647" s="927">
        <v>19</v>
      </c>
      <c r="AT2647" s="1856">
        <f t="shared" si="436"/>
        <v>44853.290972222225</v>
      </c>
      <c r="AU2647" s="1856">
        <f t="shared" si="437"/>
        <v>44853.330555555556</v>
      </c>
      <c r="AV2647" s="1856">
        <f t="shared" si="438"/>
        <v>44853.79305555555</v>
      </c>
      <c r="AW2647" s="1856">
        <f t="shared" si="439"/>
        <v>44853.832638888889</v>
      </c>
      <c r="AX2647" s="1856">
        <f t="shared" si="440"/>
        <v>44853.073611111111</v>
      </c>
      <c r="AY2647" s="1856">
        <f t="shared" si="441"/>
        <v>44853.688888888886</v>
      </c>
      <c r="AZ2647" s="1853">
        <v>0.36</v>
      </c>
    </row>
    <row r="2648" spans="42:52">
      <c r="AP2648" s="1855">
        <f t="shared" si="442"/>
        <v>44853</v>
      </c>
      <c r="AQ2648" s="925" t="str">
        <f t="shared" si="444"/>
        <v/>
      </c>
      <c r="AR2648" s="1856" t="str">
        <f t="shared" si="443"/>
        <v/>
      </c>
      <c r="AS2648" s="927" t="s">
        <v>252</v>
      </c>
      <c r="AT2648" s="1856" t="str">
        <f t="shared" si="436"/>
        <v/>
      </c>
      <c r="AU2648" s="1856" t="str">
        <f t="shared" si="437"/>
        <v/>
      </c>
      <c r="AV2648" s="1856" t="str">
        <f t="shared" si="438"/>
        <v/>
      </c>
      <c r="AW2648" s="1856" t="str">
        <f t="shared" si="439"/>
        <v/>
      </c>
      <c r="AX2648" s="1856" t="str">
        <f t="shared" si="440"/>
        <v/>
      </c>
      <c r="AY2648" s="1856" t="str">
        <f t="shared" si="441"/>
        <v/>
      </c>
    </row>
    <row r="2649" spans="42:52">
      <c r="AP2649" s="1855">
        <f t="shared" si="442"/>
        <v>44853</v>
      </c>
      <c r="AQ2649" s="925" t="str">
        <f t="shared" si="444"/>
        <v/>
      </c>
      <c r="AR2649" s="1856" t="str">
        <f t="shared" si="443"/>
        <v/>
      </c>
      <c r="AT2649" s="1856" t="str">
        <f t="shared" si="436"/>
        <v/>
      </c>
      <c r="AU2649" s="1856" t="str">
        <f t="shared" si="437"/>
        <v/>
      </c>
      <c r="AV2649" s="1856" t="str">
        <f t="shared" si="438"/>
        <v/>
      </c>
      <c r="AW2649" s="1856" t="str">
        <f t="shared" si="439"/>
        <v/>
      </c>
      <c r="AX2649" s="1856" t="str">
        <f t="shared" si="440"/>
        <v/>
      </c>
      <c r="AY2649" s="1856" t="str">
        <f t="shared" si="441"/>
        <v/>
      </c>
    </row>
    <row r="2650" spans="42:52">
      <c r="AP2650" s="1855">
        <f t="shared" si="442"/>
        <v>44853</v>
      </c>
      <c r="AQ2650" s="925" t="str">
        <f t="shared" si="444"/>
        <v>MR</v>
      </c>
      <c r="AR2650" s="1856">
        <f t="shared" si="443"/>
        <v>44853.073611111111</v>
      </c>
      <c r="AS2650" s="927" t="s">
        <v>2243</v>
      </c>
      <c r="AT2650" s="1856" t="str">
        <f t="shared" si="436"/>
        <v/>
      </c>
      <c r="AU2650" s="1856" t="str">
        <f t="shared" si="437"/>
        <v/>
      </c>
      <c r="AV2650" s="1856" t="str">
        <f t="shared" si="438"/>
        <v/>
      </c>
      <c r="AW2650" s="1856" t="str">
        <f t="shared" si="439"/>
        <v/>
      </c>
      <c r="AX2650" s="1856" t="str">
        <f t="shared" si="440"/>
        <v/>
      </c>
      <c r="AY2650" s="1856" t="str">
        <f t="shared" si="441"/>
        <v/>
      </c>
    </row>
    <row r="2651" spans="42:52">
      <c r="AP2651" s="1855">
        <f t="shared" si="442"/>
        <v>44853</v>
      </c>
      <c r="AQ2651" s="925" t="str">
        <f t="shared" si="444"/>
        <v>BMNT</v>
      </c>
      <c r="AR2651" s="1856">
        <f t="shared" si="443"/>
        <v>44853.290972222225</v>
      </c>
      <c r="AS2651" s="927" t="s">
        <v>1527</v>
      </c>
      <c r="AT2651" s="1856" t="str">
        <f t="shared" si="436"/>
        <v/>
      </c>
      <c r="AU2651" s="1856" t="str">
        <f t="shared" si="437"/>
        <v/>
      </c>
      <c r="AV2651" s="1856" t="str">
        <f t="shared" si="438"/>
        <v/>
      </c>
      <c r="AW2651" s="1856" t="str">
        <f t="shared" si="439"/>
        <v/>
      </c>
      <c r="AX2651" s="1856" t="str">
        <f t="shared" si="440"/>
        <v/>
      </c>
      <c r="AY2651" s="1856" t="str">
        <f t="shared" si="441"/>
        <v/>
      </c>
    </row>
    <row r="2652" spans="42:52">
      <c r="AP2652" s="1855">
        <f t="shared" si="442"/>
        <v>44853</v>
      </c>
      <c r="AQ2652" s="925" t="str">
        <f t="shared" si="444"/>
        <v>SR</v>
      </c>
      <c r="AR2652" s="1856">
        <f t="shared" si="443"/>
        <v>44853.330555555556</v>
      </c>
      <c r="AS2652" s="927" t="s">
        <v>1094</v>
      </c>
      <c r="AT2652" s="1856" t="str">
        <f t="shared" ref="AT2652:AT2715" si="445">IF(ISNUMBER(AS2652),INDEX(AR2653:AR2663,MATCH($AT$27,AQ2653:AQ2663,0)),"")</f>
        <v/>
      </c>
      <c r="AU2652" s="1856" t="str">
        <f t="shared" ref="AU2652:AU2715" si="446">IF(AT2652="","",INDEX(AR2653:AR2663,MATCH($AU$27,AQ2653:AQ2663,0)))</f>
        <v/>
      </c>
      <c r="AV2652" s="1856" t="str">
        <f t="shared" ref="AV2652:AV2715" si="447">IF(AT2652="","",INDEX(AR2653:AR2663,MATCH($AV$27,AQ2653:AQ2663,0)))</f>
        <v/>
      </c>
      <c r="AW2652" s="1856" t="str">
        <f t="shared" ref="AW2652:AW2715" si="448">IF(AT2652="","",INDEX(AR2653:AR2663,MATCH($AW$27,AQ2653:AQ2663,0)))</f>
        <v/>
      </c>
      <c r="AX2652" s="1856" t="str">
        <f t="shared" ref="AX2652:AX2715" si="449">IF(AT2652="","",INDEX(AR2653:AR2663,MATCH($AX$27,AQ2653:AQ2663,0)))</f>
        <v/>
      </c>
      <c r="AY2652" s="1856" t="str">
        <f t="shared" ref="AY2652:AY2715" si="450">IF(AT2652="","",INDEX(AR2653:AR2663,MATCH($AY$27,AQ2653:AQ2663,0)))</f>
        <v/>
      </c>
    </row>
    <row r="2653" spans="42:52">
      <c r="AP2653" s="1855">
        <f t="shared" si="442"/>
        <v>44853</v>
      </c>
      <c r="AQ2653" s="925" t="str">
        <f t="shared" si="444"/>
        <v>MS</v>
      </c>
      <c r="AR2653" s="1856">
        <f t="shared" si="443"/>
        <v>44853.688888888886</v>
      </c>
      <c r="AS2653" s="927" t="s">
        <v>2244</v>
      </c>
      <c r="AT2653" s="1856" t="str">
        <f t="shared" si="445"/>
        <v/>
      </c>
      <c r="AU2653" s="1856" t="str">
        <f t="shared" si="446"/>
        <v/>
      </c>
      <c r="AV2653" s="1856" t="str">
        <f t="shared" si="447"/>
        <v/>
      </c>
      <c r="AW2653" s="1856" t="str">
        <f t="shared" si="448"/>
        <v/>
      </c>
      <c r="AX2653" s="1856" t="str">
        <f t="shared" si="449"/>
        <v/>
      </c>
      <c r="AY2653" s="1856" t="str">
        <f t="shared" si="450"/>
        <v/>
      </c>
    </row>
    <row r="2654" spans="42:52">
      <c r="AP2654" s="1855">
        <f t="shared" si="442"/>
        <v>44853</v>
      </c>
      <c r="AQ2654" s="925" t="str">
        <f t="shared" si="444"/>
        <v>SS</v>
      </c>
      <c r="AR2654" s="1856">
        <f t="shared" si="443"/>
        <v>44853.79305555555</v>
      </c>
      <c r="AS2654" s="927" t="s">
        <v>2245</v>
      </c>
      <c r="AT2654" s="1856" t="str">
        <f t="shared" si="445"/>
        <v/>
      </c>
      <c r="AU2654" s="1856" t="str">
        <f t="shared" si="446"/>
        <v/>
      </c>
      <c r="AV2654" s="1856" t="str">
        <f t="shared" si="447"/>
        <v/>
      </c>
      <c r="AW2654" s="1856" t="str">
        <f t="shared" si="448"/>
        <v/>
      </c>
      <c r="AX2654" s="1856" t="str">
        <f t="shared" si="449"/>
        <v/>
      </c>
      <c r="AY2654" s="1856" t="str">
        <f t="shared" si="450"/>
        <v/>
      </c>
    </row>
    <row r="2655" spans="42:52">
      <c r="AP2655" s="1855">
        <f t="shared" si="442"/>
        <v>44853</v>
      </c>
      <c r="AQ2655" s="925" t="str">
        <f t="shared" si="444"/>
        <v>EENT</v>
      </c>
      <c r="AR2655" s="1856">
        <f t="shared" si="443"/>
        <v>44853.832638888889</v>
      </c>
      <c r="AS2655" s="927" t="s">
        <v>2246</v>
      </c>
      <c r="AT2655" s="1856" t="str">
        <f t="shared" si="445"/>
        <v/>
      </c>
      <c r="AU2655" s="1856" t="str">
        <f t="shared" si="446"/>
        <v/>
      </c>
      <c r="AV2655" s="1856" t="str">
        <f t="shared" si="447"/>
        <v/>
      </c>
      <c r="AW2655" s="1856" t="str">
        <f t="shared" si="448"/>
        <v/>
      </c>
      <c r="AX2655" s="1856" t="str">
        <f t="shared" si="449"/>
        <v/>
      </c>
      <c r="AY2655" s="1856" t="str">
        <f t="shared" si="450"/>
        <v/>
      </c>
    </row>
    <row r="2656" spans="42:52">
      <c r="AP2656" s="1855">
        <f t="shared" si="442"/>
        <v>44854</v>
      </c>
      <c r="AQ2656" s="925" t="str">
        <f t="shared" si="444"/>
        <v/>
      </c>
      <c r="AR2656" s="1856" t="str">
        <f t="shared" si="443"/>
        <v/>
      </c>
      <c r="AS2656" s="927">
        <v>20</v>
      </c>
      <c r="AT2656" s="1856">
        <f t="shared" si="445"/>
        <v>44854.291666666664</v>
      </c>
      <c r="AU2656" s="1856">
        <f t="shared" si="446"/>
        <v>44854.331249999996</v>
      </c>
      <c r="AV2656" s="1856">
        <f t="shared" si="447"/>
        <v>44854.792361111111</v>
      </c>
      <c r="AW2656" s="1856">
        <f t="shared" si="448"/>
        <v>44854.831944444442</v>
      </c>
      <c r="AX2656" s="1856">
        <f t="shared" si="449"/>
        <v>44854.116666666669</v>
      </c>
      <c r="AY2656" s="1856">
        <f t="shared" si="450"/>
        <v>44854.709027777782</v>
      </c>
      <c r="AZ2656" s="1853">
        <v>0.27</v>
      </c>
    </row>
    <row r="2657" spans="42:52">
      <c r="AP2657" s="1855">
        <f t="shared" si="442"/>
        <v>44854</v>
      </c>
      <c r="AQ2657" s="925" t="str">
        <f t="shared" si="444"/>
        <v/>
      </c>
      <c r="AR2657" s="1856" t="str">
        <f t="shared" si="443"/>
        <v/>
      </c>
      <c r="AS2657" s="927" t="s">
        <v>252</v>
      </c>
      <c r="AT2657" s="1856" t="str">
        <f t="shared" si="445"/>
        <v/>
      </c>
      <c r="AU2657" s="1856" t="str">
        <f t="shared" si="446"/>
        <v/>
      </c>
      <c r="AV2657" s="1856" t="str">
        <f t="shared" si="447"/>
        <v/>
      </c>
      <c r="AW2657" s="1856" t="str">
        <f t="shared" si="448"/>
        <v/>
      </c>
      <c r="AX2657" s="1856" t="str">
        <f t="shared" si="449"/>
        <v/>
      </c>
      <c r="AY2657" s="1856" t="str">
        <f t="shared" si="450"/>
        <v/>
      </c>
    </row>
    <row r="2658" spans="42:52">
      <c r="AP2658" s="1855">
        <f t="shared" si="442"/>
        <v>44854</v>
      </c>
      <c r="AQ2658" s="925" t="str">
        <f t="shared" si="444"/>
        <v/>
      </c>
      <c r="AR2658" s="1856" t="str">
        <f t="shared" si="443"/>
        <v/>
      </c>
      <c r="AT2658" s="1856" t="str">
        <f t="shared" si="445"/>
        <v/>
      </c>
      <c r="AU2658" s="1856" t="str">
        <f t="shared" si="446"/>
        <v/>
      </c>
      <c r="AV2658" s="1856" t="str">
        <f t="shared" si="447"/>
        <v/>
      </c>
      <c r="AW2658" s="1856" t="str">
        <f t="shared" si="448"/>
        <v/>
      </c>
      <c r="AX2658" s="1856" t="str">
        <f t="shared" si="449"/>
        <v/>
      </c>
      <c r="AY2658" s="1856" t="str">
        <f t="shared" si="450"/>
        <v/>
      </c>
    </row>
    <row r="2659" spans="42:52">
      <c r="AP2659" s="1855">
        <f t="shared" si="442"/>
        <v>44854</v>
      </c>
      <c r="AQ2659" s="925" t="str">
        <f t="shared" si="444"/>
        <v>MR</v>
      </c>
      <c r="AR2659" s="1856">
        <f t="shared" si="443"/>
        <v>44854.116666666669</v>
      </c>
      <c r="AS2659" s="927" t="s">
        <v>2247</v>
      </c>
      <c r="AT2659" s="1856" t="str">
        <f t="shared" si="445"/>
        <v/>
      </c>
      <c r="AU2659" s="1856" t="str">
        <f t="shared" si="446"/>
        <v/>
      </c>
      <c r="AV2659" s="1856" t="str">
        <f t="shared" si="447"/>
        <v/>
      </c>
      <c r="AW2659" s="1856" t="str">
        <f t="shared" si="448"/>
        <v/>
      </c>
      <c r="AX2659" s="1856" t="str">
        <f t="shared" si="449"/>
        <v/>
      </c>
      <c r="AY2659" s="1856" t="str">
        <f t="shared" si="450"/>
        <v/>
      </c>
    </row>
    <row r="2660" spans="42:52">
      <c r="AP2660" s="1855">
        <f t="shared" si="442"/>
        <v>44854</v>
      </c>
      <c r="AQ2660" s="925" t="str">
        <f t="shared" si="444"/>
        <v>BMNT</v>
      </c>
      <c r="AR2660" s="1856">
        <f t="shared" si="443"/>
        <v>44854.291666666664</v>
      </c>
      <c r="AS2660" s="927" t="s">
        <v>1522</v>
      </c>
      <c r="AT2660" s="1856" t="str">
        <f t="shared" si="445"/>
        <v/>
      </c>
      <c r="AU2660" s="1856" t="str">
        <f t="shared" si="446"/>
        <v/>
      </c>
      <c r="AV2660" s="1856" t="str">
        <f t="shared" si="447"/>
        <v/>
      </c>
      <c r="AW2660" s="1856" t="str">
        <f t="shared" si="448"/>
        <v/>
      </c>
      <c r="AX2660" s="1856" t="str">
        <f t="shared" si="449"/>
        <v/>
      </c>
      <c r="AY2660" s="1856" t="str">
        <f t="shared" si="450"/>
        <v/>
      </c>
    </row>
    <row r="2661" spans="42:52">
      <c r="AP2661" s="1855">
        <f t="shared" ref="AP2661:AP2724" si="451">IF(ISNUMBER(AS2661),AP2660+1,AP2660)</f>
        <v>44854</v>
      </c>
      <c r="AQ2661" s="925" t="str">
        <f t="shared" si="444"/>
        <v>SR</v>
      </c>
      <c r="AR2661" s="1856">
        <f t="shared" si="443"/>
        <v>44854.331249999996</v>
      </c>
      <c r="AS2661" s="927" t="s">
        <v>1074</v>
      </c>
      <c r="AT2661" s="1856" t="str">
        <f t="shared" si="445"/>
        <v/>
      </c>
      <c r="AU2661" s="1856" t="str">
        <f t="shared" si="446"/>
        <v/>
      </c>
      <c r="AV2661" s="1856" t="str">
        <f t="shared" si="447"/>
        <v/>
      </c>
      <c r="AW2661" s="1856" t="str">
        <f t="shared" si="448"/>
        <v/>
      </c>
      <c r="AX2661" s="1856" t="str">
        <f t="shared" si="449"/>
        <v/>
      </c>
      <c r="AY2661" s="1856" t="str">
        <f t="shared" si="450"/>
        <v/>
      </c>
    </row>
    <row r="2662" spans="42:52">
      <c r="AP2662" s="1855">
        <f t="shared" si="451"/>
        <v>44854</v>
      </c>
      <c r="AQ2662" s="925" t="str">
        <f t="shared" si="444"/>
        <v>MS</v>
      </c>
      <c r="AR2662" s="1856">
        <f t="shared" si="443"/>
        <v>44854.709027777782</v>
      </c>
      <c r="AS2662" s="927" t="s">
        <v>2248</v>
      </c>
      <c r="AT2662" s="1856" t="str">
        <f t="shared" si="445"/>
        <v/>
      </c>
      <c r="AU2662" s="1856" t="str">
        <f t="shared" si="446"/>
        <v/>
      </c>
      <c r="AV2662" s="1856" t="str">
        <f t="shared" si="447"/>
        <v/>
      </c>
      <c r="AW2662" s="1856" t="str">
        <f t="shared" si="448"/>
        <v/>
      </c>
      <c r="AX2662" s="1856" t="str">
        <f t="shared" si="449"/>
        <v/>
      </c>
      <c r="AY2662" s="1856" t="str">
        <f t="shared" si="450"/>
        <v/>
      </c>
    </row>
    <row r="2663" spans="42:52">
      <c r="AP2663" s="1855">
        <f t="shared" si="451"/>
        <v>44854</v>
      </c>
      <c r="AQ2663" s="925" t="str">
        <f t="shared" si="444"/>
        <v>SS</v>
      </c>
      <c r="AR2663" s="1856">
        <f t="shared" si="443"/>
        <v>44854.792361111111</v>
      </c>
      <c r="AS2663" s="927" t="s">
        <v>2249</v>
      </c>
      <c r="AT2663" s="1856" t="str">
        <f t="shared" si="445"/>
        <v/>
      </c>
      <c r="AU2663" s="1856" t="str">
        <f t="shared" si="446"/>
        <v/>
      </c>
      <c r="AV2663" s="1856" t="str">
        <f t="shared" si="447"/>
        <v/>
      </c>
      <c r="AW2663" s="1856" t="str">
        <f t="shared" si="448"/>
        <v/>
      </c>
      <c r="AX2663" s="1856" t="str">
        <f t="shared" si="449"/>
        <v/>
      </c>
      <c r="AY2663" s="1856" t="str">
        <f t="shared" si="450"/>
        <v/>
      </c>
    </row>
    <row r="2664" spans="42:52">
      <c r="AP2664" s="1855">
        <f t="shared" si="451"/>
        <v>44854</v>
      </c>
      <c r="AQ2664" s="925" t="str">
        <f t="shared" si="444"/>
        <v>EENT</v>
      </c>
      <c r="AR2664" s="1856">
        <f t="shared" si="443"/>
        <v>44854.831944444442</v>
      </c>
      <c r="AS2664" s="927" t="s">
        <v>2250</v>
      </c>
      <c r="AT2664" s="1856" t="str">
        <f t="shared" si="445"/>
        <v/>
      </c>
      <c r="AU2664" s="1856" t="str">
        <f t="shared" si="446"/>
        <v/>
      </c>
      <c r="AV2664" s="1856" t="str">
        <f t="shared" si="447"/>
        <v/>
      </c>
      <c r="AW2664" s="1856" t="str">
        <f t="shared" si="448"/>
        <v/>
      </c>
      <c r="AX2664" s="1856" t="str">
        <f t="shared" si="449"/>
        <v/>
      </c>
      <c r="AY2664" s="1856" t="str">
        <f t="shared" si="450"/>
        <v/>
      </c>
    </row>
    <row r="2665" spans="42:52">
      <c r="AP2665" s="1855">
        <f t="shared" si="451"/>
        <v>44855</v>
      </c>
      <c r="AQ2665" s="925" t="str">
        <f t="shared" si="444"/>
        <v/>
      </c>
      <c r="AR2665" s="1856" t="str">
        <f t="shared" ref="AR2665:AR2728" si="452">IF(NOT(ISNUMBER(FIND(":",AS2665))),"",IF(ISNUMBER(FIND(" none",AS2665)),"NONE",AP2665+LEFT(RIGHT(AS2665,5),2)/24+RIGHT(AS2665,2)/1440))</f>
        <v/>
      </c>
      <c r="AS2665" s="927">
        <v>21</v>
      </c>
      <c r="AT2665" s="1856">
        <f t="shared" si="445"/>
        <v>44855.291666666664</v>
      </c>
      <c r="AU2665" s="1856">
        <f t="shared" si="446"/>
        <v>44855.331944444442</v>
      </c>
      <c r="AV2665" s="1856">
        <f t="shared" si="447"/>
        <v>44855.790972222225</v>
      </c>
      <c r="AW2665" s="1856">
        <f t="shared" si="448"/>
        <v>44855.831249999996</v>
      </c>
      <c r="AX2665" s="1856">
        <f t="shared" si="449"/>
        <v>44855.159722222219</v>
      </c>
      <c r="AY2665" s="1856">
        <f t="shared" si="450"/>
        <v>44855.727083333339</v>
      </c>
      <c r="AZ2665" s="1853">
        <v>0.19</v>
      </c>
    </row>
    <row r="2666" spans="42:52">
      <c r="AP2666" s="1855">
        <f t="shared" si="451"/>
        <v>44855</v>
      </c>
      <c r="AQ2666" s="925" t="str">
        <f t="shared" si="444"/>
        <v/>
      </c>
      <c r="AR2666" s="1856" t="str">
        <f t="shared" si="452"/>
        <v/>
      </c>
      <c r="AS2666" s="927" t="s">
        <v>252</v>
      </c>
      <c r="AT2666" s="1856" t="str">
        <f t="shared" si="445"/>
        <v/>
      </c>
      <c r="AU2666" s="1856" t="str">
        <f t="shared" si="446"/>
        <v/>
      </c>
      <c r="AV2666" s="1856" t="str">
        <f t="shared" si="447"/>
        <v/>
      </c>
      <c r="AW2666" s="1856" t="str">
        <f t="shared" si="448"/>
        <v/>
      </c>
      <c r="AX2666" s="1856" t="str">
        <f t="shared" si="449"/>
        <v/>
      </c>
      <c r="AY2666" s="1856" t="str">
        <f t="shared" si="450"/>
        <v/>
      </c>
    </row>
    <row r="2667" spans="42:52">
      <c r="AP2667" s="1855">
        <f t="shared" si="451"/>
        <v>44855</v>
      </c>
      <c r="AQ2667" s="925" t="str">
        <f t="shared" si="444"/>
        <v/>
      </c>
      <c r="AR2667" s="1856" t="str">
        <f t="shared" si="452"/>
        <v/>
      </c>
      <c r="AT2667" s="1856" t="str">
        <f t="shared" si="445"/>
        <v/>
      </c>
      <c r="AU2667" s="1856" t="str">
        <f t="shared" si="446"/>
        <v/>
      </c>
      <c r="AV2667" s="1856" t="str">
        <f t="shared" si="447"/>
        <v/>
      </c>
      <c r="AW2667" s="1856" t="str">
        <f t="shared" si="448"/>
        <v/>
      </c>
      <c r="AX2667" s="1856" t="str">
        <f t="shared" si="449"/>
        <v/>
      </c>
      <c r="AY2667" s="1856" t="str">
        <f t="shared" si="450"/>
        <v/>
      </c>
    </row>
    <row r="2668" spans="42:52">
      <c r="AP2668" s="1855">
        <f t="shared" si="451"/>
        <v>44855</v>
      </c>
      <c r="AQ2668" s="925" t="str">
        <f t="shared" si="444"/>
        <v>MR</v>
      </c>
      <c r="AR2668" s="1856">
        <f t="shared" si="452"/>
        <v>44855.159722222219</v>
      </c>
      <c r="AS2668" s="927" t="s">
        <v>2251</v>
      </c>
      <c r="AT2668" s="1856" t="str">
        <f t="shared" si="445"/>
        <v/>
      </c>
      <c r="AU2668" s="1856" t="str">
        <f t="shared" si="446"/>
        <v/>
      </c>
      <c r="AV2668" s="1856" t="str">
        <f t="shared" si="447"/>
        <v/>
      </c>
      <c r="AW2668" s="1856" t="str">
        <f t="shared" si="448"/>
        <v/>
      </c>
      <c r="AX2668" s="1856" t="str">
        <f t="shared" si="449"/>
        <v/>
      </c>
      <c r="AY2668" s="1856" t="str">
        <f t="shared" si="450"/>
        <v/>
      </c>
    </row>
    <row r="2669" spans="42:52">
      <c r="AP2669" s="1855">
        <f t="shared" si="451"/>
        <v>44855</v>
      </c>
      <c r="AQ2669" s="925" t="str">
        <f t="shared" si="444"/>
        <v>BMNT</v>
      </c>
      <c r="AR2669" s="1856">
        <f t="shared" si="452"/>
        <v>44855.291666666664</v>
      </c>
      <c r="AS2669" s="927" t="s">
        <v>1522</v>
      </c>
      <c r="AT2669" s="1856" t="str">
        <f t="shared" si="445"/>
        <v/>
      </c>
      <c r="AU2669" s="1856" t="str">
        <f t="shared" si="446"/>
        <v/>
      </c>
      <c r="AV2669" s="1856" t="str">
        <f t="shared" si="447"/>
        <v/>
      </c>
      <c r="AW2669" s="1856" t="str">
        <f t="shared" si="448"/>
        <v/>
      </c>
      <c r="AX2669" s="1856" t="str">
        <f t="shared" si="449"/>
        <v/>
      </c>
      <c r="AY2669" s="1856" t="str">
        <f t="shared" si="450"/>
        <v/>
      </c>
    </row>
    <row r="2670" spans="42:52">
      <c r="AP2670" s="1855">
        <f t="shared" si="451"/>
        <v>44855</v>
      </c>
      <c r="AQ2670" s="925" t="str">
        <f t="shared" si="444"/>
        <v>SR</v>
      </c>
      <c r="AR2670" s="1856">
        <f t="shared" si="452"/>
        <v>44855.331944444442</v>
      </c>
      <c r="AS2670" s="927" t="s">
        <v>1043</v>
      </c>
      <c r="AT2670" s="1856" t="str">
        <f t="shared" si="445"/>
        <v/>
      </c>
      <c r="AU2670" s="1856" t="str">
        <f t="shared" si="446"/>
        <v/>
      </c>
      <c r="AV2670" s="1856" t="str">
        <f t="shared" si="447"/>
        <v/>
      </c>
      <c r="AW2670" s="1856" t="str">
        <f t="shared" si="448"/>
        <v/>
      </c>
      <c r="AX2670" s="1856" t="str">
        <f t="shared" si="449"/>
        <v/>
      </c>
      <c r="AY2670" s="1856" t="str">
        <f t="shared" si="450"/>
        <v/>
      </c>
    </row>
    <row r="2671" spans="42:52">
      <c r="AP2671" s="1855">
        <f t="shared" si="451"/>
        <v>44855</v>
      </c>
      <c r="AQ2671" s="925" t="str">
        <f t="shared" si="444"/>
        <v>MS</v>
      </c>
      <c r="AR2671" s="1856">
        <f t="shared" si="452"/>
        <v>44855.727083333339</v>
      </c>
      <c r="AS2671" s="927" t="s">
        <v>1581</v>
      </c>
      <c r="AT2671" s="1856" t="str">
        <f t="shared" si="445"/>
        <v/>
      </c>
      <c r="AU2671" s="1856" t="str">
        <f t="shared" si="446"/>
        <v/>
      </c>
      <c r="AV2671" s="1856" t="str">
        <f t="shared" si="447"/>
        <v/>
      </c>
      <c r="AW2671" s="1856" t="str">
        <f t="shared" si="448"/>
        <v/>
      </c>
      <c r="AX2671" s="1856" t="str">
        <f t="shared" si="449"/>
        <v/>
      </c>
      <c r="AY2671" s="1856" t="str">
        <f t="shared" si="450"/>
        <v/>
      </c>
    </row>
    <row r="2672" spans="42:52">
      <c r="AP2672" s="1855">
        <f t="shared" si="451"/>
        <v>44855</v>
      </c>
      <c r="AQ2672" s="925" t="str">
        <f t="shared" si="444"/>
        <v>SS</v>
      </c>
      <c r="AR2672" s="1856">
        <f t="shared" si="452"/>
        <v>44855.790972222225</v>
      </c>
      <c r="AS2672" s="927" t="s">
        <v>2252</v>
      </c>
      <c r="AT2672" s="1856" t="str">
        <f t="shared" si="445"/>
        <v/>
      </c>
      <c r="AU2672" s="1856" t="str">
        <f t="shared" si="446"/>
        <v/>
      </c>
      <c r="AV2672" s="1856" t="str">
        <f t="shared" si="447"/>
        <v/>
      </c>
      <c r="AW2672" s="1856" t="str">
        <f t="shared" si="448"/>
        <v/>
      </c>
      <c r="AX2672" s="1856" t="str">
        <f t="shared" si="449"/>
        <v/>
      </c>
      <c r="AY2672" s="1856" t="str">
        <f t="shared" si="450"/>
        <v/>
      </c>
    </row>
    <row r="2673" spans="42:52">
      <c r="AP2673" s="1855">
        <f t="shared" si="451"/>
        <v>44855</v>
      </c>
      <c r="AQ2673" s="925" t="str">
        <f t="shared" si="444"/>
        <v>EENT</v>
      </c>
      <c r="AR2673" s="1856">
        <f t="shared" si="452"/>
        <v>44855.831249999996</v>
      </c>
      <c r="AS2673" s="927" t="s">
        <v>2253</v>
      </c>
      <c r="AT2673" s="1856" t="str">
        <f t="shared" si="445"/>
        <v/>
      </c>
      <c r="AU2673" s="1856" t="str">
        <f t="shared" si="446"/>
        <v/>
      </c>
      <c r="AV2673" s="1856" t="str">
        <f t="shared" si="447"/>
        <v/>
      </c>
      <c r="AW2673" s="1856" t="str">
        <f t="shared" si="448"/>
        <v/>
      </c>
      <c r="AX2673" s="1856" t="str">
        <f t="shared" si="449"/>
        <v/>
      </c>
      <c r="AY2673" s="1856" t="str">
        <f t="shared" si="450"/>
        <v/>
      </c>
    </row>
    <row r="2674" spans="42:52">
      <c r="AP2674" s="1855">
        <f t="shared" si="451"/>
        <v>44856</v>
      </c>
      <c r="AQ2674" s="925" t="str">
        <f t="shared" si="444"/>
        <v/>
      </c>
      <c r="AR2674" s="1856" t="str">
        <f t="shared" si="452"/>
        <v/>
      </c>
      <c r="AS2674" s="927">
        <v>22</v>
      </c>
      <c r="AT2674" s="1856">
        <f t="shared" si="445"/>
        <v>44856.292361111111</v>
      </c>
      <c r="AU2674" s="1856">
        <f t="shared" si="446"/>
        <v>44856.332638888889</v>
      </c>
      <c r="AV2674" s="1856">
        <f t="shared" si="447"/>
        <v>44856.790277777778</v>
      </c>
      <c r="AW2674" s="1856">
        <f t="shared" si="448"/>
        <v>44856.829861111109</v>
      </c>
      <c r="AX2674" s="1856">
        <f t="shared" si="449"/>
        <v>44856.202777777777</v>
      </c>
      <c r="AY2674" s="1856">
        <f t="shared" si="450"/>
        <v>44856.743750000001</v>
      </c>
      <c r="AZ2674" s="1853">
        <v>0.12</v>
      </c>
    </row>
    <row r="2675" spans="42:52">
      <c r="AP2675" s="1855">
        <f t="shared" si="451"/>
        <v>44856</v>
      </c>
      <c r="AQ2675" s="925" t="str">
        <f t="shared" si="444"/>
        <v/>
      </c>
      <c r="AR2675" s="1856" t="str">
        <f t="shared" si="452"/>
        <v/>
      </c>
      <c r="AS2675" s="927" t="s">
        <v>252</v>
      </c>
      <c r="AT2675" s="1856" t="str">
        <f t="shared" si="445"/>
        <v/>
      </c>
      <c r="AU2675" s="1856" t="str">
        <f t="shared" si="446"/>
        <v/>
      </c>
      <c r="AV2675" s="1856" t="str">
        <f t="shared" si="447"/>
        <v/>
      </c>
      <c r="AW2675" s="1856" t="str">
        <f t="shared" si="448"/>
        <v/>
      </c>
      <c r="AX2675" s="1856" t="str">
        <f t="shared" si="449"/>
        <v/>
      </c>
      <c r="AY2675" s="1856" t="str">
        <f t="shared" si="450"/>
        <v/>
      </c>
    </row>
    <row r="2676" spans="42:52">
      <c r="AP2676" s="1855">
        <f t="shared" si="451"/>
        <v>44856</v>
      </c>
      <c r="AQ2676" s="925" t="str">
        <f t="shared" ref="AQ2676:AQ2739" si="453">IF(NOT(ISNUMBER(FIND(":",AS2676))),"",IF(ISNUMBER(FIND("Sunr",AS2676)),"SR", IF(ISNUMBER(FIND("Suns",AS2676)),"SS",IF(ISNUMBER(FIND("Moonr",AS2676)),"MR",IF(ISNUMBER(FIND("Moons",AS2676)),"MS",IF(ISNUMBER(FIND("Twi",AS2676)),IF(HOUR(AR2676)&lt;12,"BMNT","EENT")))))))</f>
        <v/>
      </c>
      <c r="AR2676" s="1856" t="str">
        <f t="shared" si="452"/>
        <v/>
      </c>
      <c r="AT2676" s="1856" t="str">
        <f t="shared" si="445"/>
        <v/>
      </c>
      <c r="AU2676" s="1856" t="str">
        <f t="shared" si="446"/>
        <v/>
      </c>
      <c r="AV2676" s="1856" t="str">
        <f t="shared" si="447"/>
        <v/>
      </c>
      <c r="AW2676" s="1856" t="str">
        <f t="shared" si="448"/>
        <v/>
      </c>
      <c r="AX2676" s="1856" t="str">
        <f t="shared" si="449"/>
        <v/>
      </c>
      <c r="AY2676" s="1856" t="str">
        <f t="shared" si="450"/>
        <v/>
      </c>
    </row>
    <row r="2677" spans="42:52">
      <c r="AP2677" s="1855">
        <f t="shared" si="451"/>
        <v>44856</v>
      </c>
      <c r="AQ2677" s="925" t="str">
        <f t="shared" si="453"/>
        <v>MR</v>
      </c>
      <c r="AR2677" s="1856">
        <f t="shared" si="452"/>
        <v>44856.202777777777</v>
      </c>
      <c r="AS2677" s="927" t="s">
        <v>1876</v>
      </c>
      <c r="AT2677" s="1856" t="str">
        <f t="shared" si="445"/>
        <v/>
      </c>
      <c r="AU2677" s="1856" t="str">
        <f t="shared" si="446"/>
        <v/>
      </c>
      <c r="AV2677" s="1856" t="str">
        <f t="shared" si="447"/>
        <v/>
      </c>
      <c r="AW2677" s="1856" t="str">
        <f t="shared" si="448"/>
        <v/>
      </c>
      <c r="AX2677" s="1856" t="str">
        <f t="shared" si="449"/>
        <v/>
      </c>
      <c r="AY2677" s="1856" t="str">
        <f t="shared" si="450"/>
        <v/>
      </c>
    </row>
    <row r="2678" spans="42:52">
      <c r="AP2678" s="1855">
        <f t="shared" si="451"/>
        <v>44856</v>
      </c>
      <c r="AQ2678" s="925" t="str">
        <f t="shared" si="453"/>
        <v>BMNT</v>
      </c>
      <c r="AR2678" s="1856">
        <f t="shared" si="452"/>
        <v>44856.292361111111</v>
      </c>
      <c r="AS2678" s="927" t="s">
        <v>2254</v>
      </c>
      <c r="AT2678" s="1856" t="str">
        <f t="shared" si="445"/>
        <v/>
      </c>
      <c r="AU2678" s="1856" t="str">
        <f t="shared" si="446"/>
        <v/>
      </c>
      <c r="AV2678" s="1856" t="str">
        <f t="shared" si="447"/>
        <v/>
      </c>
      <c r="AW2678" s="1856" t="str">
        <f t="shared" si="448"/>
        <v/>
      </c>
      <c r="AX2678" s="1856" t="str">
        <f t="shared" si="449"/>
        <v/>
      </c>
      <c r="AY2678" s="1856" t="str">
        <f t="shared" si="450"/>
        <v/>
      </c>
    </row>
    <row r="2679" spans="42:52">
      <c r="AP2679" s="1855">
        <f t="shared" si="451"/>
        <v>44856</v>
      </c>
      <c r="AQ2679" s="925" t="str">
        <f t="shared" si="453"/>
        <v>SR</v>
      </c>
      <c r="AR2679" s="1856">
        <f t="shared" si="452"/>
        <v>44856.332638888889</v>
      </c>
      <c r="AS2679" s="927" t="s">
        <v>984</v>
      </c>
      <c r="AT2679" s="1856" t="str">
        <f t="shared" si="445"/>
        <v/>
      </c>
      <c r="AU2679" s="1856" t="str">
        <f t="shared" si="446"/>
        <v/>
      </c>
      <c r="AV2679" s="1856" t="str">
        <f t="shared" si="447"/>
        <v/>
      </c>
      <c r="AW2679" s="1856" t="str">
        <f t="shared" si="448"/>
        <v/>
      </c>
      <c r="AX2679" s="1856" t="str">
        <f t="shared" si="449"/>
        <v/>
      </c>
      <c r="AY2679" s="1856" t="str">
        <f t="shared" si="450"/>
        <v/>
      </c>
    </row>
    <row r="2680" spans="42:52">
      <c r="AP2680" s="1855">
        <f t="shared" si="451"/>
        <v>44856</v>
      </c>
      <c r="AQ2680" s="925" t="str">
        <f t="shared" si="453"/>
        <v>MS</v>
      </c>
      <c r="AR2680" s="1856">
        <f t="shared" si="452"/>
        <v>44856.743750000001</v>
      </c>
      <c r="AS2680" s="927" t="s">
        <v>2255</v>
      </c>
      <c r="AT2680" s="1856" t="str">
        <f t="shared" si="445"/>
        <v/>
      </c>
      <c r="AU2680" s="1856" t="str">
        <f t="shared" si="446"/>
        <v/>
      </c>
      <c r="AV2680" s="1856" t="str">
        <f t="shared" si="447"/>
        <v/>
      </c>
      <c r="AW2680" s="1856" t="str">
        <f t="shared" si="448"/>
        <v/>
      </c>
      <c r="AX2680" s="1856" t="str">
        <f t="shared" si="449"/>
        <v/>
      </c>
      <c r="AY2680" s="1856" t="str">
        <f t="shared" si="450"/>
        <v/>
      </c>
    </row>
    <row r="2681" spans="42:52">
      <c r="AP2681" s="1855">
        <f t="shared" si="451"/>
        <v>44856</v>
      </c>
      <c r="AQ2681" s="925" t="str">
        <f t="shared" si="453"/>
        <v>SS</v>
      </c>
      <c r="AR2681" s="1856">
        <f t="shared" si="452"/>
        <v>44856.790277777778</v>
      </c>
      <c r="AS2681" s="927" t="s">
        <v>2256</v>
      </c>
      <c r="AT2681" s="1856" t="str">
        <f t="shared" si="445"/>
        <v/>
      </c>
      <c r="AU2681" s="1856" t="str">
        <f t="shared" si="446"/>
        <v/>
      </c>
      <c r="AV2681" s="1856" t="str">
        <f t="shared" si="447"/>
        <v/>
      </c>
      <c r="AW2681" s="1856" t="str">
        <f t="shared" si="448"/>
        <v/>
      </c>
      <c r="AX2681" s="1856" t="str">
        <f t="shared" si="449"/>
        <v/>
      </c>
      <c r="AY2681" s="1856" t="str">
        <f t="shared" si="450"/>
        <v/>
      </c>
    </row>
    <row r="2682" spans="42:52">
      <c r="AP2682" s="1855">
        <f t="shared" si="451"/>
        <v>44856</v>
      </c>
      <c r="AQ2682" s="925" t="str">
        <f t="shared" si="453"/>
        <v>EENT</v>
      </c>
      <c r="AR2682" s="1856">
        <f t="shared" si="452"/>
        <v>44856.829861111109</v>
      </c>
      <c r="AS2682" s="927" t="s">
        <v>2257</v>
      </c>
      <c r="AT2682" s="1856" t="str">
        <f t="shared" si="445"/>
        <v/>
      </c>
      <c r="AU2682" s="1856" t="str">
        <f t="shared" si="446"/>
        <v/>
      </c>
      <c r="AV2682" s="1856" t="str">
        <f t="shared" si="447"/>
        <v/>
      </c>
      <c r="AW2682" s="1856" t="str">
        <f t="shared" si="448"/>
        <v/>
      </c>
      <c r="AX2682" s="1856" t="str">
        <f t="shared" si="449"/>
        <v/>
      </c>
      <c r="AY2682" s="1856" t="str">
        <f t="shared" si="450"/>
        <v/>
      </c>
    </row>
    <row r="2683" spans="42:52">
      <c r="AP2683" s="1855">
        <f t="shared" si="451"/>
        <v>44857</v>
      </c>
      <c r="AQ2683" s="925" t="str">
        <f t="shared" si="453"/>
        <v/>
      </c>
      <c r="AR2683" s="1856" t="str">
        <f t="shared" si="452"/>
        <v/>
      </c>
      <c r="AS2683" s="927">
        <v>23</v>
      </c>
      <c r="AT2683" s="1856">
        <f t="shared" si="445"/>
        <v>44857.29305555555</v>
      </c>
      <c r="AU2683" s="1856">
        <f t="shared" si="446"/>
        <v>44857.333333333336</v>
      </c>
      <c r="AV2683" s="1856">
        <f t="shared" si="447"/>
        <v>44857.789583333331</v>
      </c>
      <c r="AW2683" s="1856">
        <f t="shared" si="448"/>
        <v>44857.829166666663</v>
      </c>
      <c r="AX2683" s="1856">
        <f t="shared" si="449"/>
        <v>44857.247222222228</v>
      </c>
      <c r="AY2683" s="1856">
        <f t="shared" si="450"/>
        <v>44857.760416666664</v>
      </c>
      <c r="AZ2683" s="1853">
        <v>0.06</v>
      </c>
    </row>
    <row r="2684" spans="42:52">
      <c r="AP2684" s="1855">
        <f t="shared" si="451"/>
        <v>44857</v>
      </c>
      <c r="AQ2684" s="925" t="str">
        <f t="shared" si="453"/>
        <v/>
      </c>
      <c r="AR2684" s="1856" t="str">
        <f t="shared" si="452"/>
        <v/>
      </c>
      <c r="AS2684" s="927" t="s">
        <v>252</v>
      </c>
      <c r="AT2684" s="1856" t="str">
        <f t="shared" si="445"/>
        <v/>
      </c>
      <c r="AU2684" s="1856" t="str">
        <f t="shared" si="446"/>
        <v/>
      </c>
      <c r="AV2684" s="1856" t="str">
        <f t="shared" si="447"/>
        <v/>
      </c>
      <c r="AW2684" s="1856" t="str">
        <f t="shared" si="448"/>
        <v/>
      </c>
      <c r="AX2684" s="1856" t="str">
        <f t="shared" si="449"/>
        <v/>
      </c>
      <c r="AY2684" s="1856" t="str">
        <f t="shared" si="450"/>
        <v/>
      </c>
    </row>
    <row r="2685" spans="42:52">
      <c r="AP2685" s="1855">
        <f t="shared" si="451"/>
        <v>44857</v>
      </c>
      <c r="AQ2685" s="925" t="str">
        <f t="shared" si="453"/>
        <v/>
      </c>
      <c r="AR2685" s="1856" t="str">
        <f t="shared" si="452"/>
        <v/>
      </c>
      <c r="AT2685" s="1856" t="str">
        <f t="shared" si="445"/>
        <v/>
      </c>
      <c r="AU2685" s="1856" t="str">
        <f t="shared" si="446"/>
        <v/>
      </c>
      <c r="AV2685" s="1856" t="str">
        <f t="shared" si="447"/>
        <v/>
      </c>
      <c r="AW2685" s="1856" t="str">
        <f t="shared" si="448"/>
        <v/>
      </c>
      <c r="AX2685" s="1856" t="str">
        <f t="shared" si="449"/>
        <v/>
      </c>
      <c r="AY2685" s="1856" t="str">
        <f t="shared" si="450"/>
        <v/>
      </c>
    </row>
    <row r="2686" spans="42:52">
      <c r="AP2686" s="1855">
        <f t="shared" si="451"/>
        <v>44857</v>
      </c>
      <c r="AQ2686" s="925" t="str">
        <f t="shared" si="453"/>
        <v>MR</v>
      </c>
      <c r="AR2686" s="1856">
        <f t="shared" si="452"/>
        <v>44857.247222222228</v>
      </c>
      <c r="AS2686" s="927" t="s">
        <v>2258</v>
      </c>
      <c r="AT2686" s="1856" t="str">
        <f t="shared" si="445"/>
        <v/>
      </c>
      <c r="AU2686" s="1856" t="str">
        <f t="shared" si="446"/>
        <v/>
      </c>
      <c r="AV2686" s="1856" t="str">
        <f t="shared" si="447"/>
        <v/>
      </c>
      <c r="AW2686" s="1856" t="str">
        <f t="shared" si="448"/>
        <v/>
      </c>
      <c r="AX2686" s="1856" t="str">
        <f t="shared" si="449"/>
        <v/>
      </c>
      <c r="AY2686" s="1856" t="str">
        <f t="shared" si="450"/>
        <v/>
      </c>
    </row>
    <row r="2687" spans="42:52">
      <c r="AP2687" s="1855">
        <f t="shared" si="451"/>
        <v>44857</v>
      </c>
      <c r="AQ2687" s="925" t="str">
        <f t="shared" si="453"/>
        <v>BMNT</v>
      </c>
      <c r="AR2687" s="1856">
        <f t="shared" si="452"/>
        <v>44857.29305555555</v>
      </c>
      <c r="AS2687" s="927" t="s">
        <v>1517</v>
      </c>
      <c r="AT2687" s="1856" t="str">
        <f t="shared" si="445"/>
        <v/>
      </c>
      <c r="AU2687" s="1856" t="str">
        <f t="shared" si="446"/>
        <v/>
      </c>
      <c r="AV2687" s="1856" t="str">
        <f t="shared" si="447"/>
        <v/>
      </c>
      <c r="AW2687" s="1856" t="str">
        <f t="shared" si="448"/>
        <v/>
      </c>
      <c r="AX2687" s="1856" t="str">
        <f t="shared" si="449"/>
        <v/>
      </c>
      <c r="AY2687" s="1856" t="str">
        <f t="shared" si="450"/>
        <v/>
      </c>
    </row>
    <row r="2688" spans="42:52">
      <c r="AP2688" s="1855">
        <f t="shared" si="451"/>
        <v>44857</v>
      </c>
      <c r="AQ2688" s="925" t="str">
        <f t="shared" si="453"/>
        <v>SR</v>
      </c>
      <c r="AR2688" s="1856">
        <f t="shared" si="452"/>
        <v>44857.333333333336</v>
      </c>
      <c r="AS2688" s="927" t="s">
        <v>766</v>
      </c>
      <c r="AT2688" s="1856" t="str">
        <f t="shared" si="445"/>
        <v/>
      </c>
      <c r="AU2688" s="1856" t="str">
        <f t="shared" si="446"/>
        <v/>
      </c>
      <c r="AV2688" s="1856" t="str">
        <f t="shared" si="447"/>
        <v/>
      </c>
      <c r="AW2688" s="1856" t="str">
        <f t="shared" si="448"/>
        <v/>
      </c>
      <c r="AX2688" s="1856" t="str">
        <f t="shared" si="449"/>
        <v/>
      </c>
      <c r="AY2688" s="1856" t="str">
        <f t="shared" si="450"/>
        <v/>
      </c>
    </row>
    <row r="2689" spans="42:52">
      <c r="AP2689" s="1855">
        <f t="shared" si="451"/>
        <v>44857</v>
      </c>
      <c r="AQ2689" s="925" t="str">
        <f t="shared" si="453"/>
        <v>MS</v>
      </c>
      <c r="AR2689" s="1856">
        <f t="shared" si="452"/>
        <v>44857.760416666664</v>
      </c>
      <c r="AS2689" s="927" t="s">
        <v>2259</v>
      </c>
      <c r="AT2689" s="1856" t="str">
        <f t="shared" si="445"/>
        <v/>
      </c>
      <c r="AU2689" s="1856" t="str">
        <f t="shared" si="446"/>
        <v/>
      </c>
      <c r="AV2689" s="1856" t="str">
        <f t="shared" si="447"/>
        <v/>
      </c>
      <c r="AW2689" s="1856" t="str">
        <f t="shared" si="448"/>
        <v/>
      </c>
      <c r="AX2689" s="1856" t="str">
        <f t="shared" si="449"/>
        <v/>
      </c>
      <c r="AY2689" s="1856" t="str">
        <f t="shared" si="450"/>
        <v/>
      </c>
    </row>
    <row r="2690" spans="42:52">
      <c r="AP2690" s="1855">
        <f t="shared" si="451"/>
        <v>44857</v>
      </c>
      <c r="AQ2690" s="925" t="str">
        <f t="shared" si="453"/>
        <v>SS</v>
      </c>
      <c r="AR2690" s="1856">
        <f t="shared" si="452"/>
        <v>44857.789583333331</v>
      </c>
      <c r="AS2690" s="927" t="s">
        <v>2260</v>
      </c>
      <c r="AT2690" s="1856" t="str">
        <f t="shared" si="445"/>
        <v/>
      </c>
      <c r="AU2690" s="1856" t="str">
        <f t="shared" si="446"/>
        <v/>
      </c>
      <c r="AV2690" s="1856" t="str">
        <f t="shared" si="447"/>
        <v/>
      </c>
      <c r="AW2690" s="1856" t="str">
        <f t="shared" si="448"/>
        <v/>
      </c>
      <c r="AX2690" s="1856" t="str">
        <f t="shared" si="449"/>
        <v/>
      </c>
      <c r="AY2690" s="1856" t="str">
        <f t="shared" si="450"/>
        <v/>
      </c>
    </row>
    <row r="2691" spans="42:52">
      <c r="AP2691" s="1855">
        <f t="shared" si="451"/>
        <v>44857</v>
      </c>
      <c r="AQ2691" s="925" t="str">
        <f t="shared" si="453"/>
        <v>EENT</v>
      </c>
      <c r="AR2691" s="1856">
        <f t="shared" si="452"/>
        <v>44857.829166666663</v>
      </c>
      <c r="AS2691" s="927" t="s">
        <v>2261</v>
      </c>
      <c r="AT2691" s="1856" t="str">
        <f t="shared" si="445"/>
        <v/>
      </c>
      <c r="AU2691" s="1856" t="str">
        <f t="shared" si="446"/>
        <v/>
      </c>
      <c r="AV2691" s="1856" t="str">
        <f t="shared" si="447"/>
        <v/>
      </c>
      <c r="AW2691" s="1856" t="str">
        <f t="shared" si="448"/>
        <v/>
      </c>
      <c r="AX2691" s="1856" t="str">
        <f t="shared" si="449"/>
        <v/>
      </c>
      <c r="AY2691" s="1856" t="str">
        <f t="shared" si="450"/>
        <v/>
      </c>
    </row>
    <row r="2692" spans="42:52">
      <c r="AP2692" s="1855">
        <f t="shared" si="451"/>
        <v>44858</v>
      </c>
      <c r="AQ2692" s="925" t="str">
        <f t="shared" si="453"/>
        <v/>
      </c>
      <c r="AR2692" s="1856" t="str">
        <f t="shared" si="452"/>
        <v/>
      </c>
      <c r="AS2692" s="927">
        <v>24</v>
      </c>
      <c r="AT2692" s="1856">
        <f t="shared" si="445"/>
        <v>44858.293749999997</v>
      </c>
      <c r="AU2692" s="1856">
        <f t="shared" si="446"/>
        <v>44858.334027777782</v>
      </c>
      <c r="AV2692" s="1856">
        <f t="shared" si="447"/>
        <v>44858.788194444445</v>
      </c>
      <c r="AW2692" s="1856">
        <f t="shared" si="448"/>
        <v>44858.828472222223</v>
      </c>
      <c r="AX2692" s="1856">
        <f t="shared" si="449"/>
        <v>44858.292361111111</v>
      </c>
      <c r="AY2692" s="1856">
        <f t="shared" si="450"/>
        <v>44858.77847222222</v>
      </c>
      <c r="AZ2692" s="1853">
        <v>0.02</v>
      </c>
    </row>
    <row r="2693" spans="42:52">
      <c r="AP2693" s="1855">
        <f t="shared" si="451"/>
        <v>44858</v>
      </c>
      <c r="AQ2693" s="925" t="str">
        <f t="shared" si="453"/>
        <v/>
      </c>
      <c r="AR2693" s="1856" t="str">
        <f t="shared" si="452"/>
        <v/>
      </c>
      <c r="AS2693" s="927" t="s">
        <v>252</v>
      </c>
      <c r="AT2693" s="1856" t="str">
        <f t="shared" si="445"/>
        <v/>
      </c>
      <c r="AU2693" s="1856" t="str">
        <f t="shared" si="446"/>
        <v/>
      </c>
      <c r="AV2693" s="1856" t="str">
        <f t="shared" si="447"/>
        <v/>
      </c>
      <c r="AW2693" s="1856" t="str">
        <f t="shared" si="448"/>
        <v/>
      </c>
      <c r="AX2693" s="1856" t="str">
        <f t="shared" si="449"/>
        <v/>
      </c>
      <c r="AY2693" s="1856" t="str">
        <f t="shared" si="450"/>
        <v/>
      </c>
    </row>
    <row r="2694" spans="42:52">
      <c r="AP2694" s="1855">
        <f t="shared" si="451"/>
        <v>44858</v>
      </c>
      <c r="AQ2694" s="925" t="str">
        <f t="shared" si="453"/>
        <v/>
      </c>
      <c r="AR2694" s="1856" t="str">
        <f t="shared" si="452"/>
        <v/>
      </c>
      <c r="AT2694" s="1856" t="str">
        <f t="shared" si="445"/>
        <v/>
      </c>
      <c r="AU2694" s="1856" t="str">
        <f t="shared" si="446"/>
        <v/>
      </c>
      <c r="AV2694" s="1856" t="str">
        <f t="shared" si="447"/>
        <v/>
      </c>
      <c r="AW2694" s="1856" t="str">
        <f t="shared" si="448"/>
        <v/>
      </c>
      <c r="AX2694" s="1856" t="str">
        <f t="shared" si="449"/>
        <v/>
      </c>
      <c r="AY2694" s="1856" t="str">
        <f t="shared" si="450"/>
        <v/>
      </c>
    </row>
    <row r="2695" spans="42:52">
      <c r="AP2695" s="1855">
        <f t="shared" si="451"/>
        <v>44858</v>
      </c>
      <c r="AQ2695" s="925" t="str">
        <f t="shared" si="453"/>
        <v>MR</v>
      </c>
      <c r="AR2695" s="1856">
        <f t="shared" si="452"/>
        <v>44858.292361111111</v>
      </c>
      <c r="AS2695" s="927" t="s">
        <v>2262</v>
      </c>
      <c r="AT2695" s="1856" t="str">
        <f t="shared" si="445"/>
        <v/>
      </c>
      <c r="AU2695" s="1856" t="str">
        <f t="shared" si="446"/>
        <v/>
      </c>
      <c r="AV2695" s="1856" t="str">
        <f t="shared" si="447"/>
        <v/>
      </c>
      <c r="AW2695" s="1856" t="str">
        <f t="shared" si="448"/>
        <v/>
      </c>
      <c r="AX2695" s="1856" t="str">
        <f t="shared" si="449"/>
        <v/>
      </c>
      <c r="AY2695" s="1856" t="str">
        <f t="shared" si="450"/>
        <v/>
      </c>
    </row>
    <row r="2696" spans="42:52">
      <c r="AP2696" s="1855">
        <f t="shared" si="451"/>
        <v>44858</v>
      </c>
      <c r="AQ2696" s="925" t="str">
        <f t="shared" si="453"/>
        <v>BMNT</v>
      </c>
      <c r="AR2696" s="1856">
        <f t="shared" si="452"/>
        <v>44858.293749999997</v>
      </c>
      <c r="AS2696" s="927" t="s">
        <v>2263</v>
      </c>
      <c r="AT2696" s="1856" t="str">
        <f t="shared" si="445"/>
        <v/>
      </c>
      <c r="AU2696" s="1856" t="str">
        <f t="shared" si="446"/>
        <v/>
      </c>
      <c r="AV2696" s="1856" t="str">
        <f t="shared" si="447"/>
        <v/>
      </c>
      <c r="AW2696" s="1856" t="str">
        <f t="shared" si="448"/>
        <v/>
      </c>
      <c r="AX2696" s="1856" t="str">
        <f t="shared" si="449"/>
        <v/>
      </c>
      <c r="AY2696" s="1856" t="str">
        <f t="shared" si="450"/>
        <v/>
      </c>
    </row>
    <row r="2697" spans="42:52">
      <c r="AP2697" s="1855">
        <f t="shared" si="451"/>
        <v>44858</v>
      </c>
      <c r="AQ2697" s="925" t="str">
        <f t="shared" si="453"/>
        <v>SR</v>
      </c>
      <c r="AR2697" s="1856">
        <f t="shared" si="452"/>
        <v>44858.334027777782</v>
      </c>
      <c r="AS2697" s="927" t="s">
        <v>2264</v>
      </c>
      <c r="AT2697" s="1856" t="str">
        <f t="shared" si="445"/>
        <v/>
      </c>
      <c r="AU2697" s="1856" t="str">
        <f t="shared" si="446"/>
        <v/>
      </c>
      <c r="AV2697" s="1856" t="str">
        <f t="shared" si="447"/>
        <v/>
      </c>
      <c r="AW2697" s="1856" t="str">
        <f t="shared" si="448"/>
        <v/>
      </c>
      <c r="AX2697" s="1856" t="str">
        <f t="shared" si="449"/>
        <v/>
      </c>
      <c r="AY2697" s="1856" t="str">
        <f t="shared" si="450"/>
        <v/>
      </c>
    </row>
    <row r="2698" spans="42:52">
      <c r="AP2698" s="1855">
        <f t="shared" si="451"/>
        <v>44858</v>
      </c>
      <c r="AQ2698" s="925" t="str">
        <f t="shared" si="453"/>
        <v>MS</v>
      </c>
      <c r="AR2698" s="1856">
        <f t="shared" si="452"/>
        <v>44858.77847222222</v>
      </c>
      <c r="AS2698" s="927" t="s">
        <v>2265</v>
      </c>
      <c r="AT2698" s="1856" t="str">
        <f t="shared" si="445"/>
        <v/>
      </c>
      <c r="AU2698" s="1856" t="str">
        <f t="shared" si="446"/>
        <v/>
      </c>
      <c r="AV2698" s="1856" t="str">
        <f t="shared" si="447"/>
        <v/>
      </c>
      <c r="AW2698" s="1856" t="str">
        <f t="shared" si="448"/>
        <v/>
      </c>
      <c r="AX2698" s="1856" t="str">
        <f t="shared" si="449"/>
        <v/>
      </c>
      <c r="AY2698" s="1856" t="str">
        <f t="shared" si="450"/>
        <v/>
      </c>
    </row>
    <row r="2699" spans="42:52">
      <c r="AP2699" s="1855">
        <f t="shared" si="451"/>
        <v>44858</v>
      </c>
      <c r="AQ2699" s="925" t="str">
        <f t="shared" si="453"/>
        <v>SS</v>
      </c>
      <c r="AR2699" s="1856">
        <f t="shared" si="452"/>
        <v>44858.788194444445</v>
      </c>
      <c r="AS2699" s="927" t="s">
        <v>2266</v>
      </c>
      <c r="AT2699" s="1856" t="str">
        <f t="shared" si="445"/>
        <v/>
      </c>
      <c r="AU2699" s="1856" t="str">
        <f t="shared" si="446"/>
        <v/>
      </c>
      <c r="AV2699" s="1856" t="str">
        <f t="shared" si="447"/>
        <v/>
      </c>
      <c r="AW2699" s="1856" t="str">
        <f t="shared" si="448"/>
        <v/>
      </c>
      <c r="AX2699" s="1856" t="str">
        <f t="shared" si="449"/>
        <v/>
      </c>
      <c r="AY2699" s="1856" t="str">
        <f t="shared" si="450"/>
        <v/>
      </c>
    </row>
    <row r="2700" spans="42:52">
      <c r="AP2700" s="1855">
        <f t="shared" si="451"/>
        <v>44858</v>
      </c>
      <c r="AQ2700" s="925" t="str">
        <f t="shared" si="453"/>
        <v>EENT</v>
      </c>
      <c r="AR2700" s="1856">
        <f t="shared" si="452"/>
        <v>44858.828472222223</v>
      </c>
      <c r="AS2700" s="927" t="s">
        <v>2267</v>
      </c>
      <c r="AT2700" s="1856" t="str">
        <f t="shared" si="445"/>
        <v/>
      </c>
      <c r="AU2700" s="1856" t="str">
        <f t="shared" si="446"/>
        <v/>
      </c>
      <c r="AV2700" s="1856" t="str">
        <f t="shared" si="447"/>
        <v/>
      </c>
      <c r="AW2700" s="1856" t="str">
        <f t="shared" si="448"/>
        <v/>
      </c>
      <c r="AX2700" s="1856" t="str">
        <f t="shared" si="449"/>
        <v/>
      </c>
      <c r="AY2700" s="1856" t="str">
        <f t="shared" si="450"/>
        <v/>
      </c>
    </row>
    <row r="2701" spans="42:52">
      <c r="AP2701" s="1855">
        <f t="shared" si="451"/>
        <v>44859</v>
      </c>
      <c r="AQ2701" s="925" t="str">
        <f t="shared" si="453"/>
        <v/>
      </c>
      <c r="AR2701" s="1856" t="str">
        <f t="shared" si="452"/>
        <v/>
      </c>
      <c r="AS2701" s="927">
        <v>25</v>
      </c>
      <c r="AT2701" s="1856">
        <f t="shared" si="445"/>
        <v>44859.294444444444</v>
      </c>
      <c r="AU2701" s="1856">
        <f t="shared" si="446"/>
        <v>44859.334722222222</v>
      </c>
      <c r="AV2701" s="1856">
        <f t="shared" si="447"/>
        <v>44859.787499999999</v>
      </c>
      <c r="AW2701" s="1856">
        <f t="shared" si="448"/>
        <v>44859.827777777777</v>
      </c>
      <c r="AX2701" s="1856">
        <f t="shared" si="449"/>
        <v>44859.339583333334</v>
      </c>
      <c r="AY2701" s="1856">
        <f t="shared" si="450"/>
        <v>44859.797916666663</v>
      </c>
      <c r="AZ2701" s="1853">
        <v>0</v>
      </c>
    </row>
    <row r="2702" spans="42:52">
      <c r="AP2702" s="1855">
        <f t="shared" si="451"/>
        <v>44859</v>
      </c>
      <c r="AQ2702" s="925" t="str">
        <f t="shared" si="453"/>
        <v/>
      </c>
      <c r="AR2702" s="1856" t="str">
        <f t="shared" si="452"/>
        <v/>
      </c>
      <c r="AS2702" s="927" t="s">
        <v>252</v>
      </c>
      <c r="AT2702" s="1856" t="str">
        <f t="shared" si="445"/>
        <v/>
      </c>
      <c r="AU2702" s="1856" t="str">
        <f t="shared" si="446"/>
        <v/>
      </c>
      <c r="AV2702" s="1856" t="str">
        <f t="shared" si="447"/>
        <v/>
      </c>
      <c r="AW2702" s="1856" t="str">
        <f t="shared" si="448"/>
        <v/>
      </c>
      <c r="AX2702" s="1856" t="str">
        <f t="shared" si="449"/>
        <v/>
      </c>
      <c r="AY2702" s="1856" t="str">
        <f t="shared" si="450"/>
        <v/>
      </c>
    </row>
    <row r="2703" spans="42:52">
      <c r="AP2703" s="1855">
        <f t="shared" si="451"/>
        <v>44859</v>
      </c>
      <c r="AQ2703" s="925" t="str">
        <f t="shared" si="453"/>
        <v/>
      </c>
      <c r="AR2703" s="1856" t="str">
        <f t="shared" si="452"/>
        <v/>
      </c>
      <c r="AT2703" s="1856" t="str">
        <f t="shared" si="445"/>
        <v/>
      </c>
      <c r="AU2703" s="1856" t="str">
        <f t="shared" si="446"/>
        <v/>
      </c>
      <c r="AV2703" s="1856" t="str">
        <f t="shared" si="447"/>
        <v/>
      </c>
      <c r="AW2703" s="1856" t="str">
        <f t="shared" si="448"/>
        <v/>
      </c>
      <c r="AX2703" s="1856" t="str">
        <f t="shared" si="449"/>
        <v/>
      </c>
      <c r="AY2703" s="1856" t="str">
        <f t="shared" si="450"/>
        <v/>
      </c>
    </row>
    <row r="2704" spans="42:52">
      <c r="AP2704" s="1855">
        <f t="shared" si="451"/>
        <v>44859</v>
      </c>
      <c r="AQ2704" s="925" t="str">
        <f t="shared" si="453"/>
        <v>BMNT</v>
      </c>
      <c r="AR2704" s="1856">
        <f t="shared" si="452"/>
        <v>44859.294444444444</v>
      </c>
      <c r="AS2704" s="927" t="s">
        <v>2268</v>
      </c>
      <c r="AT2704" s="1856" t="str">
        <f t="shared" si="445"/>
        <v/>
      </c>
      <c r="AU2704" s="1856" t="str">
        <f t="shared" si="446"/>
        <v/>
      </c>
      <c r="AV2704" s="1856" t="str">
        <f t="shared" si="447"/>
        <v/>
      </c>
      <c r="AW2704" s="1856" t="str">
        <f t="shared" si="448"/>
        <v/>
      </c>
      <c r="AX2704" s="1856" t="str">
        <f t="shared" si="449"/>
        <v/>
      </c>
      <c r="AY2704" s="1856" t="str">
        <f t="shared" si="450"/>
        <v/>
      </c>
    </row>
    <row r="2705" spans="42:52">
      <c r="AP2705" s="1855">
        <f t="shared" si="451"/>
        <v>44859</v>
      </c>
      <c r="AQ2705" s="925" t="str">
        <f t="shared" si="453"/>
        <v>SR</v>
      </c>
      <c r="AR2705" s="1856">
        <f t="shared" si="452"/>
        <v>44859.334722222222</v>
      </c>
      <c r="AS2705" s="927" t="s">
        <v>2269</v>
      </c>
      <c r="AT2705" s="1856" t="str">
        <f t="shared" si="445"/>
        <v/>
      </c>
      <c r="AU2705" s="1856" t="str">
        <f t="shared" si="446"/>
        <v/>
      </c>
      <c r="AV2705" s="1856" t="str">
        <f t="shared" si="447"/>
        <v/>
      </c>
      <c r="AW2705" s="1856" t="str">
        <f t="shared" si="448"/>
        <v/>
      </c>
      <c r="AX2705" s="1856" t="str">
        <f t="shared" si="449"/>
        <v/>
      </c>
      <c r="AY2705" s="1856" t="str">
        <f t="shared" si="450"/>
        <v/>
      </c>
    </row>
    <row r="2706" spans="42:52">
      <c r="AP2706" s="1855">
        <f t="shared" si="451"/>
        <v>44859</v>
      </c>
      <c r="AQ2706" s="925" t="str">
        <f t="shared" si="453"/>
        <v>MR</v>
      </c>
      <c r="AR2706" s="1856">
        <f t="shared" si="452"/>
        <v>44859.339583333334</v>
      </c>
      <c r="AS2706" s="927" t="s">
        <v>2270</v>
      </c>
      <c r="AT2706" s="1856" t="str">
        <f t="shared" si="445"/>
        <v/>
      </c>
      <c r="AU2706" s="1856" t="str">
        <f t="shared" si="446"/>
        <v/>
      </c>
      <c r="AV2706" s="1856" t="str">
        <f t="shared" si="447"/>
        <v/>
      </c>
      <c r="AW2706" s="1856" t="str">
        <f t="shared" si="448"/>
        <v/>
      </c>
      <c r="AX2706" s="1856" t="str">
        <f t="shared" si="449"/>
        <v/>
      </c>
      <c r="AY2706" s="1856" t="str">
        <f t="shared" si="450"/>
        <v/>
      </c>
    </row>
    <row r="2707" spans="42:52">
      <c r="AP2707" s="1855">
        <f t="shared" si="451"/>
        <v>44859</v>
      </c>
      <c r="AQ2707" s="925" t="str">
        <f t="shared" si="453"/>
        <v>SS</v>
      </c>
      <c r="AR2707" s="1856">
        <f t="shared" si="452"/>
        <v>44859.787499999999</v>
      </c>
      <c r="AS2707" s="927" t="s">
        <v>2271</v>
      </c>
      <c r="AT2707" s="1856" t="str">
        <f t="shared" si="445"/>
        <v/>
      </c>
      <c r="AU2707" s="1856" t="str">
        <f t="shared" si="446"/>
        <v/>
      </c>
      <c r="AV2707" s="1856" t="str">
        <f t="shared" si="447"/>
        <v/>
      </c>
      <c r="AW2707" s="1856" t="str">
        <f t="shared" si="448"/>
        <v/>
      </c>
      <c r="AX2707" s="1856" t="str">
        <f t="shared" si="449"/>
        <v/>
      </c>
      <c r="AY2707" s="1856" t="str">
        <f t="shared" si="450"/>
        <v/>
      </c>
    </row>
    <row r="2708" spans="42:52">
      <c r="AP2708" s="1855">
        <f t="shared" si="451"/>
        <v>44859</v>
      </c>
      <c r="AQ2708" s="925" t="str">
        <f t="shared" si="453"/>
        <v>MS</v>
      </c>
      <c r="AR2708" s="1856">
        <f t="shared" si="452"/>
        <v>44859.797916666663</v>
      </c>
      <c r="AS2708" s="927" t="s">
        <v>2272</v>
      </c>
      <c r="AT2708" s="1856" t="str">
        <f t="shared" si="445"/>
        <v/>
      </c>
      <c r="AU2708" s="1856" t="str">
        <f t="shared" si="446"/>
        <v/>
      </c>
      <c r="AV2708" s="1856" t="str">
        <f t="shared" si="447"/>
        <v/>
      </c>
      <c r="AW2708" s="1856" t="str">
        <f t="shared" si="448"/>
        <v/>
      </c>
      <c r="AX2708" s="1856" t="str">
        <f t="shared" si="449"/>
        <v/>
      </c>
      <c r="AY2708" s="1856" t="str">
        <f t="shared" si="450"/>
        <v/>
      </c>
    </row>
    <row r="2709" spans="42:52">
      <c r="AP2709" s="1855">
        <f t="shared" si="451"/>
        <v>44859</v>
      </c>
      <c r="AQ2709" s="925" t="str">
        <f t="shared" si="453"/>
        <v>EENT</v>
      </c>
      <c r="AR2709" s="1856">
        <f t="shared" si="452"/>
        <v>44859.827777777777</v>
      </c>
      <c r="AS2709" s="927" t="s">
        <v>2273</v>
      </c>
      <c r="AT2709" s="1856" t="str">
        <f t="shared" si="445"/>
        <v/>
      </c>
      <c r="AU2709" s="1856" t="str">
        <f t="shared" si="446"/>
        <v/>
      </c>
      <c r="AV2709" s="1856" t="str">
        <f t="shared" si="447"/>
        <v/>
      </c>
      <c r="AW2709" s="1856" t="str">
        <f t="shared" si="448"/>
        <v/>
      </c>
      <c r="AX2709" s="1856" t="str">
        <f t="shared" si="449"/>
        <v/>
      </c>
      <c r="AY2709" s="1856" t="str">
        <f t="shared" si="450"/>
        <v/>
      </c>
    </row>
    <row r="2710" spans="42:52">
      <c r="AP2710" s="1855">
        <f t="shared" si="451"/>
        <v>44860</v>
      </c>
      <c r="AQ2710" s="925" t="str">
        <f t="shared" si="453"/>
        <v/>
      </c>
      <c r="AR2710" s="1856" t="str">
        <f t="shared" si="452"/>
        <v/>
      </c>
      <c r="AS2710" s="927">
        <v>26</v>
      </c>
      <c r="AT2710" s="1856">
        <f t="shared" si="445"/>
        <v>44860.295138888883</v>
      </c>
      <c r="AU2710" s="1856">
        <f t="shared" si="446"/>
        <v>44860.335416666669</v>
      </c>
      <c r="AV2710" s="1856">
        <f t="shared" si="447"/>
        <v>44860.786805555559</v>
      </c>
      <c r="AW2710" s="1856">
        <f t="shared" si="448"/>
        <v>44860.82708333333</v>
      </c>
      <c r="AX2710" s="1856">
        <f t="shared" si="449"/>
        <v>44860.388888888891</v>
      </c>
      <c r="AY2710" s="1856">
        <f t="shared" si="450"/>
        <v>44860.820833333331</v>
      </c>
      <c r="AZ2710" s="1853">
        <v>0.01</v>
      </c>
    </row>
    <row r="2711" spans="42:52">
      <c r="AP2711" s="1855">
        <f t="shared" si="451"/>
        <v>44860</v>
      </c>
      <c r="AQ2711" s="925" t="str">
        <f t="shared" si="453"/>
        <v/>
      </c>
      <c r="AR2711" s="1856" t="str">
        <f t="shared" si="452"/>
        <v/>
      </c>
      <c r="AS2711" s="927" t="s">
        <v>252</v>
      </c>
      <c r="AT2711" s="1856" t="str">
        <f t="shared" si="445"/>
        <v/>
      </c>
      <c r="AU2711" s="1856" t="str">
        <f t="shared" si="446"/>
        <v/>
      </c>
      <c r="AV2711" s="1856" t="str">
        <f t="shared" si="447"/>
        <v/>
      </c>
      <c r="AW2711" s="1856" t="str">
        <f t="shared" si="448"/>
        <v/>
      </c>
      <c r="AX2711" s="1856" t="str">
        <f t="shared" si="449"/>
        <v/>
      </c>
      <c r="AY2711" s="1856" t="str">
        <f t="shared" si="450"/>
        <v/>
      </c>
    </row>
    <row r="2712" spans="42:52">
      <c r="AP2712" s="1855">
        <f t="shared" si="451"/>
        <v>44860</v>
      </c>
      <c r="AQ2712" s="925" t="str">
        <f t="shared" si="453"/>
        <v/>
      </c>
      <c r="AR2712" s="1856" t="str">
        <f t="shared" si="452"/>
        <v/>
      </c>
      <c r="AT2712" s="1856" t="str">
        <f t="shared" si="445"/>
        <v/>
      </c>
      <c r="AU2712" s="1856" t="str">
        <f t="shared" si="446"/>
        <v/>
      </c>
      <c r="AV2712" s="1856" t="str">
        <f t="shared" si="447"/>
        <v/>
      </c>
      <c r="AW2712" s="1856" t="str">
        <f t="shared" si="448"/>
        <v/>
      </c>
      <c r="AX2712" s="1856" t="str">
        <f t="shared" si="449"/>
        <v/>
      </c>
      <c r="AY2712" s="1856" t="str">
        <f t="shared" si="450"/>
        <v/>
      </c>
    </row>
    <row r="2713" spans="42:52">
      <c r="AP2713" s="1855">
        <f t="shared" si="451"/>
        <v>44860</v>
      </c>
      <c r="AQ2713" s="925" t="str">
        <f t="shared" si="453"/>
        <v>BMNT</v>
      </c>
      <c r="AR2713" s="1856">
        <f t="shared" si="452"/>
        <v>44860.295138888883</v>
      </c>
      <c r="AS2713" s="927" t="s">
        <v>2274</v>
      </c>
      <c r="AT2713" s="1856" t="str">
        <f t="shared" si="445"/>
        <v/>
      </c>
      <c r="AU2713" s="1856" t="str">
        <f t="shared" si="446"/>
        <v/>
      </c>
      <c r="AV2713" s="1856" t="str">
        <f t="shared" si="447"/>
        <v/>
      </c>
      <c r="AW2713" s="1856" t="str">
        <f t="shared" si="448"/>
        <v/>
      </c>
      <c r="AX2713" s="1856" t="str">
        <f t="shared" si="449"/>
        <v/>
      </c>
      <c r="AY2713" s="1856" t="str">
        <f t="shared" si="450"/>
        <v/>
      </c>
    </row>
    <row r="2714" spans="42:52">
      <c r="AP2714" s="1855">
        <f t="shared" si="451"/>
        <v>44860</v>
      </c>
      <c r="AQ2714" s="925" t="str">
        <f t="shared" si="453"/>
        <v>SR</v>
      </c>
      <c r="AR2714" s="1856">
        <f t="shared" si="452"/>
        <v>44860.335416666669</v>
      </c>
      <c r="AS2714" s="927" t="s">
        <v>2275</v>
      </c>
      <c r="AT2714" s="1856" t="str">
        <f t="shared" si="445"/>
        <v/>
      </c>
      <c r="AU2714" s="1856" t="str">
        <f t="shared" si="446"/>
        <v/>
      </c>
      <c r="AV2714" s="1856" t="str">
        <f t="shared" si="447"/>
        <v/>
      </c>
      <c r="AW2714" s="1856" t="str">
        <f t="shared" si="448"/>
        <v/>
      </c>
      <c r="AX2714" s="1856" t="str">
        <f t="shared" si="449"/>
        <v/>
      </c>
      <c r="AY2714" s="1856" t="str">
        <f t="shared" si="450"/>
        <v/>
      </c>
    </row>
    <row r="2715" spans="42:52">
      <c r="AP2715" s="1855">
        <f t="shared" si="451"/>
        <v>44860</v>
      </c>
      <c r="AQ2715" s="925" t="str">
        <f t="shared" si="453"/>
        <v>MR</v>
      </c>
      <c r="AR2715" s="1856">
        <f t="shared" si="452"/>
        <v>44860.388888888891</v>
      </c>
      <c r="AS2715" s="927" t="s">
        <v>1476</v>
      </c>
      <c r="AT2715" s="1856" t="str">
        <f t="shared" si="445"/>
        <v/>
      </c>
      <c r="AU2715" s="1856" t="str">
        <f t="shared" si="446"/>
        <v/>
      </c>
      <c r="AV2715" s="1856" t="str">
        <f t="shared" si="447"/>
        <v/>
      </c>
      <c r="AW2715" s="1856" t="str">
        <f t="shared" si="448"/>
        <v/>
      </c>
      <c r="AX2715" s="1856" t="str">
        <f t="shared" si="449"/>
        <v/>
      </c>
      <c r="AY2715" s="1856" t="str">
        <f t="shared" si="450"/>
        <v/>
      </c>
    </row>
    <row r="2716" spans="42:52">
      <c r="AP2716" s="1855">
        <f t="shared" si="451"/>
        <v>44860</v>
      </c>
      <c r="AQ2716" s="925" t="str">
        <f t="shared" si="453"/>
        <v>SS</v>
      </c>
      <c r="AR2716" s="1856">
        <f t="shared" si="452"/>
        <v>44860.786805555559</v>
      </c>
      <c r="AS2716" s="927" t="s">
        <v>2276</v>
      </c>
      <c r="AT2716" s="1856" t="str">
        <f t="shared" ref="AT2716:AT2779" si="454">IF(ISNUMBER(AS2716),INDEX(AR2717:AR2727,MATCH($AT$27,AQ2717:AQ2727,0)),"")</f>
        <v/>
      </c>
      <c r="AU2716" s="1856" t="str">
        <f t="shared" ref="AU2716:AU2779" si="455">IF(AT2716="","",INDEX(AR2717:AR2727,MATCH($AU$27,AQ2717:AQ2727,0)))</f>
        <v/>
      </c>
      <c r="AV2716" s="1856" t="str">
        <f t="shared" ref="AV2716:AV2779" si="456">IF(AT2716="","",INDEX(AR2717:AR2727,MATCH($AV$27,AQ2717:AQ2727,0)))</f>
        <v/>
      </c>
      <c r="AW2716" s="1856" t="str">
        <f t="shared" ref="AW2716:AW2779" si="457">IF(AT2716="","",INDEX(AR2717:AR2727,MATCH($AW$27,AQ2717:AQ2727,0)))</f>
        <v/>
      </c>
      <c r="AX2716" s="1856" t="str">
        <f t="shared" ref="AX2716:AX2779" si="458">IF(AT2716="","",INDEX(AR2717:AR2727,MATCH($AX$27,AQ2717:AQ2727,0)))</f>
        <v/>
      </c>
      <c r="AY2716" s="1856" t="str">
        <f t="shared" ref="AY2716:AY2779" si="459">IF(AT2716="","",INDEX(AR2717:AR2727,MATCH($AY$27,AQ2717:AQ2727,0)))</f>
        <v/>
      </c>
    </row>
    <row r="2717" spans="42:52">
      <c r="AP2717" s="1855">
        <f t="shared" si="451"/>
        <v>44860</v>
      </c>
      <c r="AQ2717" s="925" t="str">
        <f t="shared" si="453"/>
        <v>MS</v>
      </c>
      <c r="AR2717" s="1856">
        <f t="shared" si="452"/>
        <v>44860.820833333331</v>
      </c>
      <c r="AS2717" s="927" t="s">
        <v>2277</v>
      </c>
      <c r="AT2717" s="1856" t="str">
        <f t="shared" si="454"/>
        <v/>
      </c>
      <c r="AU2717" s="1856" t="str">
        <f t="shared" si="455"/>
        <v/>
      </c>
      <c r="AV2717" s="1856" t="str">
        <f t="shared" si="456"/>
        <v/>
      </c>
      <c r="AW2717" s="1856" t="str">
        <f t="shared" si="457"/>
        <v/>
      </c>
      <c r="AX2717" s="1856" t="str">
        <f t="shared" si="458"/>
        <v/>
      </c>
      <c r="AY2717" s="1856" t="str">
        <f t="shared" si="459"/>
        <v/>
      </c>
    </row>
    <row r="2718" spans="42:52">
      <c r="AP2718" s="1855">
        <f t="shared" si="451"/>
        <v>44860</v>
      </c>
      <c r="AQ2718" s="925" t="str">
        <f t="shared" si="453"/>
        <v>EENT</v>
      </c>
      <c r="AR2718" s="1856">
        <f t="shared" si="452"/>
        <v>44860.82708333333</v>
      </c>
      <c r="AS2718" s="927" t="s">
        <v>2278</v>
      </c>
      <c r="AT2718" s="1856" t="str">
        <f t="shared" si="454"/>
        <v/>
      </c>
      <c r="AU2718" s="1856" t="str">
        <f t="shared" si="455"/>
        <v/>
      </c>
      <c r="AV2718" s="1856" t="str">
        <f t="shared" si="456"/>
        <v/>
      </c>
      <c r="AW2718" s="1856" t="str">
        <f t="shared" si="457"/>
        <v/>
      </c>
      <c r="AX2718" s="1856" t="str">
        <f t="shared" si="458"/>
        <v/>
      </c>
      <c r="AY2718" s="1856" t="str">
        <f t="shared" si="459"/>
        <v/>
      </c>
    </row>
    <row r="2719" spans="42:52">
      <c r="AP2719" s="1855">
        <f t="shared" si="451"/>
        <v>44861</v>
      </c>
      <c r="AQ2719" s="925" t="str">
        <f t="shared" si="453"/>
        <v/>
      </c>
      <c r="AR2719" s="1856" t="str">
        <f t="shared" si="452"/>
        <v/>
      </c>
      <c r="AS2719" s="927">
        <v>27</v>
      </c>
      <c r="AT2719" s="1856">
        <f t="shared" si="454"/>
        <v>44861.29583333333</v>
      </c>
      <c r="AU2719" s="1856">
        <f t="shared" si="455"/>
        <v>44861.336111111115</v>
      </c>
      <c r="AV2719" s="1856">
        <f t="shared" si="456"/>
        <v>44861.786111111112</v>
      </c>
      <c r="AW2719" s="1856">
        <f t="shared" si="457"/>
        <v>44861.825694444444</v>
      </c>
      <c r="AX2719" s="1856">
        <f t="shared" si="458"/>
        <v>44861.440277777772</v>
      </c>
      <c r="AY2719" s="1856">
        <f t="shared" si="459"/>
        <v>44861.847916666666</v>
      </c>
      <c r="AZ2719" s="1853">
        <v>0.04</v>
      </c>
    </row>
    <row r="2720" spans="42:52">
      <c r="AP2720" s="1855">
        <f t="shared" si="451"/>
        <v>44861</v>
      </c>
      <c r="AQ2720" s="925" t="str">
        <f t="shared" si="453"/>
        <v/>
      </c>
      <c r="AR2720" s="1856" t="str">
        <f t="shared" si="452"/>
        <v/>
      </c>
      <c r="AS2720" s="927" t="s">
        <v>252</v>
      </c>
      <c r="AT2720" s="1856" t="str">
        <f t="shared" si="454"/>
        <v/>
      </c>
      <c r="AU2720" s="1856" t="str">
        <f t="shared" si="455"/>
        <v/>
      </c>
      <c r="AV2720" s="1856" t="str">
        <f t="shared" si="456"/>
        <v/>
      </c>
      <c r="AW2720" s="1856" t="str">
        <f t="shared" si="457"/>
        <v/>
      </c>
      <c r="AX2720" s="1856" t="str">
        <f t="shared" si="458"/>
        <v/>
      </c>
      <c r="AY2720" s="1856" t="str">
        <f t="shared" si="459"/>
        <v/>
      </c>
    </row>
    <row r="2721" spans="42:52">
      <c r="AP2721" s="1855">
        <f t="shared" si="451"/>
        <v>44861</v>
      </c>
      <c r="AQ2721" s="925" t="str">
        <f t="shared" si="453"/>
        <v/>
      </c>
      <c r="AR2721" s="1856" t="str">
        <f t="shared" si="452"/>
        <v/>
      </c>
      <c r="AT2721" s="1856" t="str">
        <f t="shared" si="454"/>
        <v/>
      </c>
      <c r="AU2721" s="1856" t="str">
        <f t="shared" si="455"/>
        <v/>
      </c>
      <c r="AV2721" s="1856" t="str">
        <f t="shared" si="456"/>
        <v/>
      </c>
      <c r="AW2721" s="1856" t="str">
        <f t="shared" si="457"/>
        <v/>
      </c>
      <c r="AX2721" s="1856" t="str">
        <f t="shared" si="458"/>
        <v/>
      </c>
      <c r="AY2721" s="1856" t="str">
        <f t="shared" si="459"/>
        <v/>
      </c>
    </row>
    <row r="2722" spans="42:52">
      <c r="AP2722" s="1855">
        <f t="shared" si="451"/>
        <v>44861</v>
      </c>
      <c r="AQ2722" s="925" t="str">
        <f t="shared" si="453"/>
        <v>BMNT</v>
      </c>
      <c r="AR2722" s="1856">
        <f t="shared" si="452"/>
        <v>44861.29583333333</v>
      </c>
      <c r="AS2722" s="927" t="s">
        <v>2279</v>
      </c>
      <c r="AT2722" s="1856" t="str">
        <f t="shared" si="454"/>
        <v/>
      </c>
      <c r="AU2722" s="1856" t="str">
        <f t="shared" si="455"/>
        <v/>
      </c>
      <c r="AV2722" s="1856" t="str">
        <f t="shared" si="456"/>
        <v/>
      </c>
      <c r="AW2722" s="1856" t="str">
        <f t="shared" si="457"/>
        <v/>
      </c>
      <c r="AX2722" s="1856" t="str">
        <f t="shared" si="458"/>
        <v/>
      </c>
      <c r="AY2722" s="1856" t="str">
        <f t="shared" si="459"/>
        <v/>
      </c>
    </row>
    <row r="2723" spans="42:52">
      <c r="AP2723" s="1855">
        <f t="shared" si="451"/>
        <v>44861</v>
      </c>
      <c r="AQ2723" s="925" t="str">
        <f t="shared" si="453"/>
        <v>SR</v>
      </c>
      <c r="AR2723" s="1856">
        <f t="shared" si="452"/>
        <v>44861.336111111115</v>
      </c>
      <c r="AS2723" s="927" t="s">
        <v>2280</v>
      </c>
      <c r="AT2723" s="1856" t="str">
        <f t="shared" si="454"/>
        <v/>
      </c>
      <c r="AU2723" s="1856" t="str">
        <f t="shared" si="455"/>
        <v/>
      </c>
      <c r="AV2723" s="1856" t="str">
        <f t="shared" si="456"/>
        <v/>
      </c>
      <c r="AW2723" s="1856" t="str">
        <f t="shared" si="457"/>
        <v/>
      </c>
      <c r="AX2723" s="1856" t="str">
        <f t="shared" si="458"/>
        <v/>
      </c>
      <c r="AY2723" s="1856" t="str">
        <f t="shared" si="459"/>
        <v/>
      </c>
    </row>
    <row r="2724" spans="42:52">
      <c r="AP2724" s="1855">
        <f t="shared" si="451"/>
        <v>44861</v>
      </c>
      <c r="AQ2724" s="925" t="str">
        <f t="shared" si="453"/>
        <v>MR</v>
      </c>
      <c r="AR2724" s="1856">
        <f t="shared" si="452"/>
        <v>44861.440277777772</v>
      </c>
      <c r="AS2724" s="927" t="s">
        <v>2281</v>
      </c>
      <c r="AT2724" s="1856" t="str">
        <f t="shared" si="454"/>
        <v/>
      </c>
      <c r="AU2724" s="1856" t="str">
        <f t="shared" si="455"/>
        <v/>
      </c>
      <c r="AV2724" s="1856" t="str">
        <f t="shared" si="456"/>
        <v/>
      </c>
      <c r="AW2724" s="1856" t="str">
        <f t="shared" si="457"/>
        <v/>
      </c>
      <c r="AX2724" s="1856" t="str">
        <f t="shared" si="458"/>
        <v/>
      </c>
      <c r="AY2724" s="1856" t="str">
        <f t="shared" si="459"/>
        <v/>
      </c>
    </row>
    <row r="2725" spans="42:52">
      <c r="AP2725" s="1855">
        <f t="shared" ref="AP2725:AP2788" si="460">IF(ISNUMBER(AS2725),AP2724+1,AP2724)</f>
        <v>44861</v>
      </c>
      <c r="AQ2725" s="925" t="str">
        <f t="shared" si="453"/>
        <v>SS</v>
      </c>
      <c r="AR2725" s="1856">
        <f t="shared" si="452"/>
        <v>44861.786111111112</v>
      </c>
      <c r="AS2725" s="927" t="s">
        <v>2282</v>
      </c>
      <c r="AT2725" s="1856" t="str">
        <f t="shared" si="454"/>
        <v/>
      </c>
      <c r="AU2725" s="1856" t="str">
        <f t="shared" si="455"/>
        <v/>
      </c>
      <c r="AV2725" s="1856" t="str">
        <f t="shared" si="456"/>
        <v/>
      </c>
      <c r="AW2725" s="1856" t="str">
        <f t="shared" si="457"/>
        <v/>
      </c>
      <c r="AX2725" s="1856" t="str">
        <f t="shared" si="458"/>
        <v/>
      </c>
      <c r="AY2725" s="1856" t="str">
        <f t="shared" si="459"/>
        <v/>
      </c>
    </row>
    <row r="2726" spans="42:52">
      <c r="AP2726" s="1855">
        <f t="shared" si="460"/>
        <v>44861</v>
      </c>
      <c r="AQ2726" s="925" t="str">
        <f t="shared" si="453"/>
        <v>EENT</v>
      </c>
      <c r="AR2726" s="1856">
        <f t="shared" si="452"/>
        <v>44861.825694444444</v>
      </c>
      <c r="AS2726" s="927" t="s">
        <v>2283</v>
      </c>
      <c r="AT2726" s="1856" t="str">
        <f t="shared" si="454"/>
        <v/>
      </c>
      <c r="AU2726" s="1856" t="str">
        <f t="shared" si="455"/>
        <v/>
      </c>
      <c r="AV2726" s="1856" t="str">
        <f t="shared" si="456"/>
        <v/>
      </c>
      <c r="AW2726" s="1856" t="str">
        <f t="shared" si="457"/>
        <v/>
      </c>
      <c r="AX2726" s="1856" t="str">
        <f t="shared" si="458"/>
        <v/>
      </c>
      <c r="AY2726" s="1856" t="str">
        <f t="shared" si="459"/>
        <v/>
      </c>
    </row>
    <row r="2727" spans="42:52">
      <c r="AP2727" s="1855">
        <f t="shared" si="460"/>
        <v>44861</v>
      </c>
      <c r="AQ2727" s="925" t="str">
        <f t="shared" si="453"/>
        <v>MS</v>
      </c>
      <c r="AR2727" s="1856">
        <f t="shared" si="452"/>
        <v>44861.847916666666</v>
      </c>
      <c r="AS2727" s="927" t="s">
        <v>2284</v>
      </c>
      <c r="AT2727" s="1856" t="str">
        <f t="shared" si="454"/>
        <v/>
      </c>
      <c r="AU2727" s="1856" t="str">
        <f t="shared" si="455"/>
        <v/>
      </c>
      <c r="AV2727" s="1856" t="str">
        <f t="shared" si="456"/>
        <v/>
      </c>
      <c r="AW2727" s="1856" t="str">
        <f t="shared" si="457"/>
        <v/>
      </c>
      <c r="AX2727" s="1856" t="str">
        <f t="shared" si="458"/>
        <v/>
      </c>
      <c r="AY2727" s="1856" t="str">
        <f t="shared" si="459"/>
        <v/>
      </c>
    </row>
    <row r="2728" spans="42:52">
      <c r="AP2728" s="1855">
        <f t="shared" si="460"/>
        <v>44862</v>
      </c>
      <c r="AQ2728" s="925" t="str">
        <f t="shared" si="453"/>
        <v/>
      </c>
      <c r="AR2728" s="1856" t="str">
        <f t="shared" si="452"/>
        <v/>
      </c>
      <c r="AS2728" s="927">
        <v>28</v>
      </c>
      <c r="AT2728" s="1856">
        <f t="shared" si="454"/>
        <v>44862.296527777777</v>
      </c>
      <c r="AU2728" s="1856">
        <f t="shared" si="455"/>
        <v>44862.336805555555</v>
      </c>
      <c r="AV2728" s="1856">
        <f t="shared" si="456"/>
        <v>44862.785416666666</v>
      </c>
      <c r="AW2728" s="1856">
        <f t="shared" si="457"/>
        <v>44862.824999999997</v>
      </c>
      <c r="AX2728" s="1856">
        <f t="shared" si="458"/>
        <v>44862.491666666669</v>
      </c>
      <c r="AY2728" s="1856">
        <f t="shared" si="459"/>
        <v>44862.881944444445</v>
      </c>
      <c r="AZ2728" s="1853">
        <v>0.1</v>
      </c>
    </row>
    <row r="2729" spans="42:52">
      <c r="AP2729" s="1855">
        <f t="shared" si="460"/>
        <v>44862</v>
      </c>
      <c r="AQ2729" s="925" t="str">
        <f t="shared" si="453"/>
        <v/>
      </c>
      <c r="AR2729" s="1856" t="str">
        <f t="shared" ref="AR2729:AR2792" si="461">IF(NOT(ISNUMBER(FIND(":",AS2729))),"",IF(ISNUMBER(FIND(" none",AS2729)),"NONE",AP2729+LEFT(RIGHT(AS2729,5),2)/24+RIGHT(AS2729,2)/1440))</f>
        <v/>
      </c>
      <c r="AS2729" s="927" t="s">
        <v>252</v>
      </c>
      <c r="AT2729" s="1856" t="str">
        <f t="shared" si="454"/>
        <v/>
      </c>
      <c r="AU2729" s="1856" t="str">
        <f t="shared" si="455"/>
        <v/>
      </c>
      <c r="AV2729" s="1856" t="str">
        <f t="shared" si="456"/>
        <v/>
      </c>
      <c r="AW2729" s="1856" t="str">
        <f t="shared" si="457"/>
        <v/>
      </c>
      <c r="AX2729" s="1856" t="str">
        <f t="shared" si="458"/>
        <v/>
      </c>
      <c r="AY2729" s="1856" t="str">
        <f t="shared" si="459"/>
        <v/>
      </c>
    </row>
    <row r="2730" spans="42:52">
      <c r="AP2730" s="1855">
        <f t="shared" si="460"/>
        <v>44862</v>
      </c>
      <c r="AQ2730" s="925" t="str">
        <f t="shared" si="453"/>
        <v/>
      </c>
      <c r="AR2730" s="1856" t="str">
        <f t="shared" si="461"/>
        <v/>
      </c>
      <c r="AT2730" s="1856" t="str">
        <f t="shared" si="454"/>
        <v/>
      </c>
      <c r="AU2730" s="1856" t="str">
        <f t="shared" si="455"/>
        <v/>
      </c>
      <c r="AV2730" s="1856" t="str">
        <f t="shared" si="456"/>
        <v/>
      </c>
      <c r="AW2730" s="1856" t="str">
        <f t="shared" si="457"/>
        <v/>
      </c>
      <c r="AX2730" s="1856" t="str">
        <f t="shared" si="458"/>
        <v/>
      </c>
      <c r="AY2730" s="1856" t="str">
        <f t="shared" si="459"/>
        <v/>
      </c>
    </row>
    <row r="2731" spans="42:52">
      <c r="AP2731" s="1855">
        <f t="shared" si="460"/>
        <v>44862</v>
      </c>
      <c r="AQ2731" s="925" t="str">
        <f t="shared" si="453"/>
        <v>BMNT</v>
      </c>
      <c r="AR2731" s="1856">
        <f t="shared" si="461"/>
        <v>44862.296527777777</v>
      </c>
      <c r="AS2731" s="927" t="s">
        <v>2285</v>
      </c>
      <c r="AT2731" s="1856" t="str">
        <f t="shared" si="454"/>
        <v/>
      </c>
      <c r="AU2731" s="1856" t="str">
        <f t="shared" si="455"/>
        <v/>
      </c>
      <c r="AV2731" s="1856" t="str">
        <f t="shared" si="456"/>
        <v/>
      </c>
      <c r="AW2731" s="1856" t="str">
        <f t="shared" si="457"/>
        <v/>
      </c>
      <c r="AX2731" s="1856" t="str">
        <f t="shared" si="458"/>
        <v/>
      </c>
      <c r="AY2731" s="1856" t="str">
        <f t="shared" si="459"/>
        <v/>
      </c>
    </row>
    <row r="2732" spans="42:52">
      <c r="AP2732" s="1855">
        <f t="shared" si="460"/>
        <v>44862</v>
      </c>
      <c r="AQ2732" s="925" t="str">
        <f t="shared" si="453"/>
        <v>SR</v>
      </c>
      <c r="AR2732" s="1856">
        <f t="shared" si="461"/>
        <v>44862.336805555555</v>
      </c>
      <c r="AS2732" s="927" t="s">
        <v>2286</v>
      </c>
      <c r="AT2732" s="1856" t="str">
        <f t="shared" si="454"/>
        <v/>
      </c>
      <c r="AU2732" s="1856" t="str">
        <f t="shared" si="455"/>
        <v/>
      </c>
      <c r="AV2732" s="1856" t="str">
        <f t="shared" si="456"/>
        <v/>
      </c>
      <c r="AW2732" s="1856" t="str">
        <f t="shared" si="457"/>
        <v/>
      </c>
      <c r="AX2732" s="1856" t="str">
        <f t="shared" si="458"/>
        <v/>
      </c>
      <c r="AY2732" s="1856" t="str">
        <f t="shared" si="459"/>
        <v/>
      </c>
    </row>
    <row r="2733" spans="42:52">
      <c r="AP2733" s="1855">
        <f t="shared" si="460"/>
        <v>44862</v>
      </c>
      <c r="AQ2733" s="925" t="str">
        <f t="shared" si="453"/>
        <v>MR</v>
      </c>
      <c r="AR2733" s="1856">
        <f t="shared" si="461"/>
        <v>44862.491666666669</v>
      </c>
      <c r="AS2733" s="927" t="s">
        <v>2287</v>
      </c>
      <c r="AT2733" s="1856" t="str">
        <f t="shared" si="454"/>
        <v/>
      </c>
      <c r="AU2733" s="1856" t="str">
        <f t="shared" si="455"/>
        <v/>
      </c>
      <c r="AV2733" s="1856" t="str">
        <f t="shared" si="456"/>
        <v/>
      </c>
      <c r="AW2733" s="1856" t="str">
        <f t="shared" si="457"/>
        <v/>
      </c>
      <c r="AX2733" s="1856" t="str">
        <f t="shared" si="458"/>
        <v/>
      </c>
      <c r="AY2733" s="1856" t="str">
        <f t="shared" si="459"/>
        <v/>
      </c>
    </row>
    <row r="2734" spans="42:52">
      <c r="AP2734" s="1855">
        <f t="shared" si="460"/>
        <v>44862</v>
      </c>
      <c r="AQ2734" s="925" t="str">
        <f t="shared" si="453"/>
        <v>SS</v>
      </c>
      <c r="AR2734" s="1856">
        <f t="shared" si="461"/>
        <v>44862.785416666666</v>
      </c>
      <c r="AS2734" s="927" t="s">
        <v>2288</v>
      </c>
      <c r="AT2734" s="1856" t="str">
        <f t="shared" si="454"/>
        <v/>
      </c>
      <c r="AU2734" s="1856" t="str">
        <f t="shared" si="455"/>
        <v/>
      </c>
      <c r="AV2734" s="1856" t="str">
        <f t="shared" si="456"/>
        <v/>
      </c>
      <c r="AW2734" s="1856" t="str">
        <f t="shared" si="457"/>
        <v/>
      </c>
      <c r="AX2734" s="1856" t="str">
        <f t="shared" si="458"/>
        <v/>
      </c>
      <c r="AY2734" s="1856" t="str">
        <f t="shared" si="459"/>
        <v/>
      </c>
    </row>
    <row r="2735" spans="42:52">
      <c r="AP2735" s="1855">
        <f t="shared" si="460"/>
        <v>44862</v>
      </c>
      <c r="AQ2735" s="925" t="str">
        <f t="shared" si="453"/>
        <v>EENT</v>
      </c>
      <c r="AR2735" s="1856">
        <f t="shared" si="461"/>
        <v>44862.824999999997</v>
      </c>
      <c r="AS2735" s="927" t="s">
        <v>2289</v>
      </c>
      <c r="AT2735" s="1856" t="str">
        <f t="shared" si="454"/>
        <v/>
      </c>
      <c r="AU2735" s="1856" t="str">
        <f t="shared" si="455"/>
        <v/>
      </c>
      <c r="AV2735" s="1856" t="str">
        <f t="shared" si="456"/>
        <v/>
      </c>
      <c r="AW2735" s="1856" t="str">
        <f t="shared" si="457"/>
        <v/>
      </c>
      <c r="AX2735" s="1856" t="str">
        <f t="shared" si="458"/>
        <v/>
      </c>
      <c r="AY2735" s="1856" t="str">
        <f t="shared" si="459"/>
        <v/>
      </c>
    </row>
    <row r="2736" spans="42:52">
      <c r="AP2736" s="1855">
        <f t="shared" si="460"/>
        <v>44862</v>
      </c>
      <c r="AQ2736" s="925" t="str">
        <f t="shared" si="453"/>
        <v>MS</v>
      </c>
      <c r="AR2736" s="1856">
        <f t="shared" si="461"/>
        <v>44862.881944444445</v>
      </c>
      <c r="AS2736" s="927" t="s">
        <v>896</v>
      </c>
      <c r="AT2736" s="1856" t="str">
        <f t="shared" si="454"/>
        <v/>
      </c>
      <c r="AU2736" s="1856" t="str">
        <f t="shared" si="455"/>
        <v/>
      </c>
      <c r="AV2736" s="1856" t="str">
        <f t="shared" si="456"/>
        <v/>
      </c>
      <c r="AW2736" s="1856" t="str">
        <f t="shared" si="457"/>
        <v/>
      </c>
      <c r="AX2736" s="1856" t="str">
        <f t="shared" si="458"/>
        <v/>
      </c>
      <c r="AY2736" s="1856" t="str">
        <f t="shared" si="459"/>
        <v/>
      </c>
    </row>
    <row r="2737" spans="42:52">
      <c r="AP2737" s="1855">
        <f t="shared" si="460"/>
        <v>44863</v>
      </c>
      <c r="AQ2737" s="925" t="str">
        <f t="shared" si="453"/>
        <v/>
      </c>
      <c r="AR2737" s="1856" t="str">
        <f t="shared" si="461"/>
        <v/>
      </c>
      <c r="AS2737" s="927">
        <v>29</v>
      </c>
      <c r="AT2737" s="1856">
        <f t="shared" si="454"/>
        <v>44863.297222222223</v>
      </c>
      <c r="AU2737" s="1856">
        <f t="shared" si="455"/>
        <v>44863.337500000001</v>
      </c>
      <c r="AV2737" s="1856">
        <f t="shared" si="456"/>
        <v>44863.78402777778</v>
      </c>
      <c r="AW2737" s="1856">
        <f t="shared" si="457"/>
        <v>44863.82430555555</v>
      </c>
      <c r="AX2737" s="1856">
        <f t="shared" si="458"/>
        <v>44863.539583333331</v>
      </c>
      <c r="AY2737" s="1856">
        <f t="shared" si="459"/>
        <v>44863.922222222223</v>
      </c>
      <c r="AZ2737" s="1853">
        <v>0.18</v>
      </c>
    </row>
    <row r="2738" spans="42:52">
      <c r="AP2738" s="1855">
        <f t="shared" si="460"/>
        <v>44863</v>
      </c>
      <c r="AQ2738" s="925" t="str">
        <f t="shared" si="453"/>
        <v/>
      </c>
      <c r="AR2738" s="1856" t="str">
        <f t="shared" si="461"/>
        <v/>
      </c>
      <c r="AS2738" s="927" t="s">
        <v>252</v>
      </c>
      <c r="AT2738" s="1856" t="str">
        <f t="shared" si="454"/>
        <v/>
      </c>
      <c r="AU2738" s="1856" t="str">
        <f t="shared" si="455"/>
        <v/>
      </c>
      <c r="AV2738" s="1856" t="str">
        <f t="shared" si="456"/>
        <v/>
      </c>
      <c r="AW2738" s="1856" t="str">
        <f t="shared" si="457"/>
        <v/>
      </c>
      <c r="AX2738" s="1856" t="str">
        <f t="shared" si="458"/>
        <v/>
      </c>
      <c r="AY2738" s="1856" t="str">
        <f t="shared" si="459"/>
        <v/>
      </c>
    </row>
    <row r="2739" spans="42:52">
      <c r="AP2739" s="1855">
        <f t="shared" si="460"/>
        <v>44863</v>
      </c>
      <c r="AQ2739" s="925" t="str">
        <f t="shared" si="453"/>
        <v/>
      </c>
      <c r="AR2739" s="1856" t="str">
        <f t="shared" si="461"/>
        <v/>
      </c>
      <c r="AT2739" s="1856" t="str">
        <f t="shared" si="454"/>
        <v/>
      </c>
      <c r="AU2739" s="1856" t="str">
        <f t="shared" si="455"/>
        <v/>
      </c>
      <c r="AV2739" s="1856" t="str">
        <f t="shared" si="456"/>
        <v/>
      </c>
      <c r="AW2739" s="1856" t="str">
        <f t="shared" si="457"/>
        <v/>
      </c>
      <c r="AX2739" s="1856" t="str">
        <f t="shared" si="458"/>
        <v/>
      </c>
      <c r="AY2739" s="1856" t="str">
        <f t="shared" si="459"/>
        <v/>
      </c>
    </row>
    <row r="2740" spans="42:52">
      <c r="AP2740" s="1855">
        <f t="shared" si="460"/>
        <v>44863</v>
      </c>
      <c r="AQ2740" s="925" t="str">
        <f t="shared" ref="AQ2740:AQ2803" si="462">IF(NOT(ISNUMBER(FIND(":",AS2740))),"",IF(ISNUMBER(FIND("Sunr",AS2740)),"SR", IF(ISNUMBER(FIND("Suns",AS2740)),"SS",IF(ISNUMBER(FIND("Moonr",AS2740)),"MR",IF(ISNUMBER(FIND("Moons",AS2740)),"MS",IF(ISNUMBER(FIND("Twi",AS2740)),IF(HOUR(AR2740)&lt;12,"BMNT","EENT")))))))</f>
        <v>BMNT</v>
      </c>
      <c r="AR2740" s="1856">
        <f t="shared" si="461"/>
        <v>44863.297222222223</v>
      </c>
      <c r="AS2740" s="927" t="s">
        <v>2290</v>
      </c>
      <c r="AT2740" s="1856" t="str">
        <f t="shared" si="454"/>
        <v/>
      </c>
      <c r="AU2740" s="1856" t="str">
        <f t="shared" si="455"/>
        <v/>
      </c>
      <c r="AV2740" s="1856" t="str">
        <f t="shared" si="456"/>
        <v/>
      </c>
      <c r="AW2740" s="1856" t="str">
        <f t="shared" si="457"/>
        <v/>
      </c>
      <c r="AX2740" s="1856" t="str">
        <f t="shared" si="458"/>
        <v/>
      </c>
      <c r="AY2740" s="1856" t="str">
        <f t="shared" si="459"/>
        <v/>
      </c>
    </row>
    <row r="2741" spans="42:52">
      <c r="AP2741" s="1855">
        <f t="shared" si="460"/>
        <v>44863</v>
      </c>
      <c r="AQ2741" s="925" t="str">
        <f t="shared" si="462"/>
        <v>SR</v>
      </c>
      <c r="AR2741" s="1856">
        <f t="shared" si="461"/>
        <v>44863.337500000001</v>
      </c>
      <c r="AS2741" s="927" t="s">
        <v>2291</v>
      </c>
      <c r="AT2741" s="1856" t="str">
        <f t="shared" si="454"/>
        <v/>
      </c>
      <c r="AU2741" s="1856" t="str">
        <f t="shared" si="455"/>
        <v/>
      </c>
      <c r="AV2741" s="1856" t="str">
        <f t="shared" si="456"/>
        <v/>
      </c>
      <c r="AW2741" s="1856" t="str">
        <f t="shared" si="457"/>
        <v/>
      </c>
      <c r="AX2741" s="1856" t="str">
        <f t="shared" si="458"/>
        <v/>
      </c>
      <c r="AY2741" s="1856" t="str">
        <f t="shared" si="459"/>
        <v/>
      </c>
    </row>
    <row r="2742" spans="42:52">
      <c r="AP2742" s="1855">
        <f t="shared" si="460"/>
        <v>44863</v>
      </c>
      <c r="AQ2742" s="925" t="str">
        <f t="shared" si="462"/>
        <v>MR</v>
      </c>
      <c r="AR2742" s="1856">
        <f t="shared" si="461"/>
        <v>44863.539583333331</v>
      </c>
      <c r="AS2742" s="927" t="s">
        <v>2292</v>
      </c>
      <c r="AT2742" s="1856" t="str">
        <f t="shared" si="454"/>
        <v/>
      </c>
      <c r="AU2742" s="1856" t="str">
        <f t="shared" si="455"/>
        <v/>
      </c>
      <c r="AV2742" s="1856" t="str">
        <f t="shared" si="456"/>
        <v/>
      </c>
      <c r="AW2742" s="1856" t="str">
        <f t="shared" si="457"/>
        <v/>
      </c>
      <c r="AX2742" s="1856" t="str">
        <f t="shared" si="458"/>
        <v/>
      </c>
      <c r="AY2742" s="1856" t="str">
        <f t="shared" si="459"/>
        <v/>
      </c>
    </row>
    <row r="2743" spans="42:52">
      <c r="AP2743" s="1855">
        <f t="shared" si="460"/>
        <v>44863</v>
      </c>
      <c r="AQ2743" s="925" t="str">
        <f t="shared" si="462"/>
        <v>SS</v>
      </c>
      <c r="AR2743" s="1856">
        <f t="shared" si="461"/>
        <v>44863.78402777778</v>
      </c>
      <c r="AS2743" s="927" t="s">
        <v>2293</v>
      </c>
      <c r="AT2743" s="1856" t="str">
        <f t="shared" si="454"/>
        <v/>
      </c>
      <c r="AU2743" s="1856" t="str">
        <f t="shared" si="455"/>
        <v/>
      </c>
      <c r="AV2743" s="1856" t="str">
        <f t="shared" si="456"/>
        <v/>
      </c>
      <c r="AW2743" s="1856" t="str">
        <f t="shared" si="457"/>
        <v/>
      </c>
      <c r="AX2743" s="1856" t="str">
        <f t="shared" si="458"/>
        <v/>
      </c>
      <c r="AY2743" s="1856" t="str">
        <f t="shared" si="459"/>
        <v/>
      </c>
    </row>
    <row r="2744" spans="42:52">
      <c r="AP2744" s="1855">
        <f t="shared" si="460"/>
        <v>44863</v>
      </c>
      <c r="AQ2744" s="925" t="str">
        <f t="shared" si="462"/>
        <v>EENT</v>
      </c>
      <c r="AR2744" s="1856">
        <f t="shared" si="461"/>
        <v>44863.82430555555</v>
      </c>
      <c r="AS2744" s="927" t="s">
        <v>2294</v>
      </c>
      <c r="AT2744" s="1856" t="str">
        <f t="shared" si="454"/>
        <v/>
      </c>
      <c r="AU2744" s="1856" t="str">
        <f t="shared" si="455"/>
        <v/>
      </c>
      <c r="AV2744" s="1856" t="str">
        <f t="shared" si="456"/>
        <v/>
      </c>
      <c r="AW2744" s="1856" t="str">
        <f t="shared" si="457"/>
        <v/>
      </c>
      <c r="AX2744" s="1856" t="str">
        <f t="shared" si="458"/>
        <v/>
      </c>
      <c r="AY2744" s="1856" t="str">
        <f t="shared" si="459"/>
        <v/>
      </c>
    </row>
    <row r="2745" spans="42:52">
      <c r="AP2745" s="1855">
        <f t="shared" si="460"/>
        <v>44863</v>
      </c>
      <c r="AQ2745" s="925" t="str">
        <f t="shared" si="462"/>
        <v>MS</v>
      </c>
      <c r="AR2745" s="1856">
        <f t="shared" si="461"/>
        <v>44863.922222222223</v>
      </c>
      <c r="AS2745" s="927" t="s">
        <v>2295</v>
      </c>
      <c r="AT2745" s="1856" t="str">
        <f t="shared" si="454"/>
        <v/>
      </c>
      <c r="AU2745" s="1856" t="str">
        <f t="shared" si="455"/>
        <v/>
      </c>
      <c r="AV2745" s="1856" t="str">
        <f t="shared" si="456"/>
        <v/>
      </c>
      <c r="AW2745" s="1856" t="str">
        <f t="shared" si="457"/>
        <v/>
      </c>
      <c r="AX2745" s="1856" t="str">
        <f t="shared" si="458"/>
        <v/>
      </c>
      <c r="AY2745" s="1856" t="str">
        <f t="shared" si="459"/>
        <v/>
      </c>
    </row>
    <row r="2746" spans="42:52">
      <c r="AP2746" s="1855">
        <f t="shared" si="460"/>
        <v>44864</v>
      </c>
      <c r="AQ2746" s="925" t="str">
        <f t="shared" si="462"/>
        <v/>
      </c>
      <c r="AR2746" s="1856" t="str">
        <f t="shared" si="461"/>
        <v/>
      </c>
      <c r="AS2746" s="927">
        <v>30</v>
      </c>
      <c r="AT2746" s="1856">
        <f t="shared" si="454"/>
        <v>44864.297916666663</v>
      </c>
      <c r="AU2746" s="1856">
        <f t="shared" si="455"/>
        <v>44864.338194444448</v>
      </c>
      <c r="AV2746" s="1856">
        <f t="shared" si="456"/>
        <v>44864.783333333333</v>
      </c>
      <c r="AW2746" s="1856">
        <f t="shared" si="457"/>
        <v>44864.823611111111</v>
      </c>
      <c r="AX2746" s="1856">
        <f t="shared" si="458"/>
        <v>44864.582638888889</v>
      </c>
      <c r="AY2746" s="1856">
        <f t="shared" si="459"/>
        <v>44864.969444444447</v>
      </c>
      <c r="AZ2746" s="1853">
        <v>0.27</v>
      </c>
    </row>
    <row r="2747" spans="42:52">
      <c r="AP2747" s="1855">
        <f t="shared" si="460"/>
        <v>44864</v>
      </c>
      <c r="AQ2747" s="925" t="str">
        <f t="shared" si="462"/>
        <v/>
      </c>
      <c r="AR2747" s="1856" t="str">
        <f t="shared" si="461"/>
        <v/>
      </c>
      <c r="AS2747" s="927" t="s">
        <v>252</v>
      </c>
      <c r="AT2747" s="1856" t="str">
        <f t="shared" si="454"/>
        <v/>
      </c>
      <c r="AU2747" s="1856" t="str">
        <f t="shared" si="455"/>
        <v/>
      </c>
      <c r="AV2747" s="1856" t="str">
        <f t="shared" si="456"/>
        <v/>
      </c>
      <c r="AW2747" s="1856" t="str">
        <f t="shared" si="457"/>
        <v/>
      </c>
      <c r="AX2747" s="1856" t="str">
        <f t="shared" si="458"/>
        <v/>
      </c>
      <c r="AY2747" s="1856" t="str">
        <f t="shared" si="459"/>
        <v/>
      </c>
    </row>
    <row r="2748" spans="42:52">
      <c r="AP2748" s="1855">
        <f t="shared" si="460"/>
        <v>44864</v>
      </c>
      <c r="AQ2748" s="925" t="str">
        <f t="shared" si="462"/>
        <v/>
      </c>
      <c r="AR2748" s="1856" t="str">
        <f t="shared" si="461"/>
        <v/>
      </c>
      <c r="AT2748" s="1856" t="str">
        <f t="shared" si="454"/>
        <v/>
      </c>
      <c r="AU2748" s="1856" t="str">
        <f t="shared" si="455"/>
        <v/>
      </c>
      <c r="AV2748" s="1856" t="str">
        <f t="shared" si="456"/>
        <v/>
      </c>
      <c r="AW2748" s="1856" t="str">
        <f t="shared" si="457"/>
        <v/>
      </c>
      <c r="AX2748" s="1856" t="str">
        <f t="shared" si="458"/>
        <v/>
      </c>
      <c r="AY2748" s="1856" t="str">
        <f t="shared" si="459"/>
        <v/>
      </c>
    </row>
    <row r="2749" spans="42:52">
      <c r="AP2749" s="1855">
        <f t="shared" si="460"/>
        <v>44864</v>
      </c>
      <c r="AQ2749" s="925" t="str">
        <f t="shared" si="462"/>
        <v>BMNT</v>
      </c>
      <c r="AR2749" s="1856">
        <f t="shared" si="461"/>
        <v>44864.297916666663</v>
      </c>
      <c r="AS2749" s="927" t="s">
        <v>2296</v>
      </c>
      <c r="AT2749" s="1856" t="str">
        <f t="shared" si="454"/>
        <v/>
      </c>
      <c r="AU2749" s="1856" t="str">
        <f t="shared" si="455"/>
        <v/>
      </c>
      <c r="AV2749" s="1856" t="str">
        <f t="shared" si="456"/>
        <v/>
      </c>
      <c r="AW2749" s="1856" t="str">
        <f t="shared" si="457"/>
        <v/>
      </c>
      <c r="AX2749" s="1856" t="str">
        <f t="shared" si="458"/>
        <v/>
      </c>
      <c r="AY2749" s="1856" t="str">
        <f t="shared" si="459"/>
        <v/>
      </c>
    </row>
    <row r="2750" spans="42:52">
      <c r="AP2750" s="1855">
        <f t="shared" si="460"/>
        <v>44864</v>
      </c>
      <c r="AQ2750" s="925" t="str">
        <f t="shared" si="462"/>
        <v>SR</v>
      </c>
      <c r="AR2750" s="1856">
        <f t="shared" si="461"/>
        <v>44864.338194444448</v>
      </c>
      <c r="AS2750" s="927" t="s">
        <v>2297</v>
      </c>
      <c r="AT2750" s="1856" t="str">
        <f t="shared" si="454"/>
        <v/>
      </c>
      <c r="AU2750" s="1856" t="str">
        <f t="shared" si="455"/>
        <v/>
      </c>
      <c r="AV2750" s="1856" t="str">
        <f t="shared" si="456"/>
        <v/>
      </c>
      <c r="AW2750" s="1856" t="str">
        <f t="shared" si="457"/>
        <v/>
      </c>
      <c r="AX2750" s="1856" t="str">
        <f t="shared" si="458"/>
        <v/>
      </c>
      <c r="AY2750" s="1856" t="str">
        <f t="shared" si="459"/>
        <v/>
      </c>
    </row>
    <row r="2751" spans="42:52">
      <c r="AP2751" s="1855">
        <f t="shared" si="460"/>
        <v>44864</v>
      </c>
      <c r="AQ2751" s="925" t="str">
        <f t="shared" si="462"/>
        <v>MR</v>
      </c>
      <c r="AR2751" s="1856">
        <f t="shared" si="461"/>
        <v>44864.582638888889</v>
      </c>
      <c r="AS2751" s="927" t="s">
        <v>2183</v>
      </c>
      <c r="AT2751" s="1856" t="str">
        <f t="shared" si="454"/>
        <v/>
      </c>
      <c r="AU2751" s="1856" t="str">
        <f t="shared" si="455"/>
        <v/>
      </c>
      <c r="AV2751" s="1856" t="str">
        <f t="shared" si="456"/>
        <v/>
      </c>
      <c r="AW2751" s="1856" t="str">
        <f t="shared" si="457"/>
        <v/>
      </c>
      <c r="AX2751" s="1856" t="str">
        <f t="shared" si="458"/>
        <v/>
      </c>
      <c r="AY2751" s="1856" t="str">
        <f t="shared" si="459"/>
        <v/>
      </c>
    </row>
    <row r="2752" spans="42:52">
      <c r="AP2752" s="1855">
        <f t="shared" si="460"/>
        <v>44864</v>
      </c>
      <c r="AQ2752" s="925" t="str">
        <f t="shared" si="462"/>
        <v>SS</v>
      </c>
      <c r="AR2752" s="1856">
        <f t="shared" si="461"/>
        <v>44864.783333333333</v>
      </c>
      <c r="AS2752" s="927" t="s">
        <v>2298</v>
      </c>
      <c r="AT2752" s="1856" t="str">
        <f t="shared" si="454"/>
        <v/>
      </c>
      <c r="AU2752" s="1856" t="str">
        <f t="shared" si="455"/>
        <v/>
      </c>
      <c r="AV2752" s="1856" t="str">
        <f t="shared" si="456"/>
        <v/>
      </c>
      <c r="AW2752" s="1856" t="str">
        <f t="shared" si="457"/>
        <v/>
      </c>
      <c r="AX2752" s="1856" t="str">
        <f t="shared" si="458"/>
        <v/>
      </c>
      <c r="AY2752" s="1856" t="str">
        <f t="shared" si="459"/>
        <v/>
      </c>
    </row>
    <row r="2753" spans="42:52">
      <c r="AP2753" s="1855">
        <f t="shared" si="460"/>
        <v>44864</v>
      </c>
      <c r="AQ2753" s="925" t="str">
        <f t="shared" si="462"/>
        <v>EENT</v>
      </c>
      <c r="AR2753" s="1856">
        <f t="shared" si="461"/>
        <v>44864.823611111111</v>
      </c>
      <c r="AS2753" s="927" t="s">
        <v>2299</v>
      </c>
      <c r="AT2753" s="1856" t="str">
        <f t="shared" si="454"/>
        <v/>
      </c>
      <c r="AU2753" s="1856" t="str">
        <f t="shared" si="455"/>
        <v/>
      </c>
      <c r="AV2753" s="1856" t="str">
        <f t="shared" si="456"/>
        <v/>
      </c>
      <c r="AW2753" s="1856" t="str">
        <f t="shared" si="457"/>
        <v/>
      </c>
      <c r="AX2753" s="1856" t="str">
        <f t="shared" si="458"/>
        <v/>
      </c>
      <c r="AY2753" s="1856" t="str">
        <f t="shared" si="459"/>
        <v/>
      </c>
    </row>
    <row r="2754" spans="42:52">
      <c r="AP2754" s="1855">
        <f t="shared" si="460"/>
        <v>44864</v>
      </c>
      <c r="AQ2754" s="925" t="str">
        <f t="shared" si="462"/>
        <v>MS</v>
      </c>
      <c r="AR2754" s="1856">
        <f t="shared" si="461"/>
        <v>44864.969444444447</v>
      </c>
      <c r="AS2754" s="927" t="s">
        <v>2300</v>
      </c>
      <c r="AT2754" s="1856" t="str">
        <f t="shared" si="454"/>
        <v/>
      </c>
      <c r="AU2754" s="1856" t="str">
        <f t="shared" si="455"/>
        <v/>
      </c>
      <c r="AV2754" s="1856" t="str">
        <f t="shared" si="456"/>
        <v/>
      </c>
      <c r="AW2754" s="1856" t="str">
        <f t="shared" si="457"/>
        <v/>
      </c>
      <c r="AX2754" s="1856" t="str">
        <f t="shared" si="458"/>
        <v/>
      </c>
      <c r="AY2754" s="1856" t="str">
        <f t="shared" si="459"/>
        <v/>
      </c>
    </row>
    <row r="2755" spans="42:52">
      <c r="AP2755" s="1855">
        <f t="shared" si="460"/>
        <v>44865</v>
      </c>
      <c r="AQ2755" s="925" t="str">
        <f t="shared" si="462"/>
        <v/>
      </c>
      <c r="AR2755" s="1856" t="str">
        <f t="shared" si="461"/>
        <v/>
      </c>
      <c r="AS2755" s="927">
        <v>31</v>
      </c>
      <c r="AT2755" s="1856">
        <f t="shared" si="454"/>
        <v>44865.298611111109</v>
      </c>
      <c r="AU2755" s="1856">
        <f t="shared" si="455"/>
        <v>44865.338888888895</v>
      </c>
      <c r="AV2755" s="1856">
        <f t="shared" si="456"/>
        <v>44865.782638888886</v>
      </c>
      <c r="AW2755" s="1856">
        <f t="shared" si="457"/>
        <v>44865.822916666664</v>
      </c>
      <c r="AX2755" s="1856">
        <f t="shared" si="458"/>
        <v>44865.618055555555</v>
      </c>
      <c r="AY2755" s="1856" t="str">
        <f t="shared" si="459"/>
        <v>NONE</v>
      </c>
      <c r="AZ2755" s="1853">
        <v>0.38</v>
      </c>
    </row>
    <row r="2756" spans="42:52">
      <c r="AP2756" s="1855">
        <f t="shared" si="460"/>
        <v>44865</v>
      </c>
      <c r="AQ2756" s="925" t="str">
        <f t="shared" si="462"/>
        <v/>
      </c>
      <c r="AR2756" s="1856" t="str">
        <f t="shared" si="461"/>
        <v/>
      </c>
      <c r="AS2756" s="927" t="s">
        <v>252</v>
      </c>
      <c r="AT2756" s="1856" t="str">
        <f t="shared" si="454"/>
        <v/>
      </c>
      <c r="AU2756" s="1856" t="str">
        <f t="shared" si="455"/>
        <v/>
      </c>
      <c r="AV2756" s="1856" t="str">
        <f t="shared" si="456"/>
        <v/>
      </c>
      <c r="AW2756" s="1856" t="str">
        <f t="shared" si="457"/>
        <v/>
      </c>
      <c r="AX2756" s="1856" t="str">
        <f t="shared" si="458"/>
        <v/>
      </c>
      <c r="AY2756" s="1856" t="str">
        <f t="shared" si="459"/>
        <v/>
      </c>
    </row>
    <row r="2757" spans="42:52">
      <c r="AP2757" s="1855">
        <f t="shared" si="460"/>
        <v>44865</v>
      </c>
      <c r="AQ2757" s="925" t="str">
        <f t="shared" si="462"/>
        <v/>
      </c>
      <c r="AR2757" s="1856" t="str">
        <f t="shared" si="461"/>
        <v/>
      </c>
      <c r="AT2757" s="1856" t="str">
        <f t="shared" si="454"/>
        <v/>
      </c>
      <c r="AU2757" s="1856" t="str">
        <f t="shared" si="455"/>
        <v/>
      </c>
      <c r="AV2757" s="1856" t="str">
        <f t="shared" si="456"/>
        <v/>
      </c>
      <c r="AW2757" s="1856" t="str">
        <f t="shared" si="457"/>
        <v/>
      </c>
      <c r="AX2757" s="1856" t="str">
        <f t="shared" si="458"/>
        <v/>
      </c>
      <c r="AY2757" s="1856" t="str">
        <f t="shared" si="459"/>
        <v/>
      </c>
    </row>
    <row r="2758" spans="42:52">
      <c r="AP2758" s="1855">
        <f t="shared" si="460"/>
        <v>44865</v>
      </c>
      <c r="AQ2758" s="925" t="str">
        <f t="shared" si="462"/>
        <v>BMNT</v>
      </c>
      <c r="AR2758" s="1856">
        <f t="shared" si="461"/>
        <v>44865.298611111109</v>
      </c>
      <c r="AS2758" s="927" t="s">
        <v>2301</v>
      </c>
      <c r="AT2758" s="1856" t="str">
        <f t="shared" si="454"/>
        <v/>
      </c>
      <c r="AU2758" s="1856" t="str">
        <f t="shared" si="455"/>
        <v/>
      </c>
      <c r="AV2758" s="1856" t="str">
        <f t="shared" si="456"/>
        <v/>
      </c>
      <c r="AW2758" s="1856" t="str">
        <f t="shared" si="457"/>
        <v/>
      </c>
      <c r="AX2758" s="1856" t="str">
        <f t="shared" si="458"/>
        <v/>
      </c>
      <c r="AY2758" s="1856" t="str">
        <f t="shared" si="459"/>
        <v/>
      </c>
    </row>
    <row r="2759" spans="42:52">
      <c r="AP2759" s="1855">
        <f t="shared" si="460"/>
        <v>44865</v>
      </c>
      <c r="AQ2759" s="925" t="str">
        <f t="shared" si="462"/>
        <v>SR</v>
      </c>
      <c r="AR2759" s="1856">
        <f t="shared" si="461"/>
        <v>44865.338888888895</v>
      </c>
      <c r="AS2759" s="927" t="s">
        <v>2302</v>
      </c>
      <c r="AT2759" s="1856" t="str">
        <f t="shared" si="454"/>
        <v/>
      </c>
      <c r="AU2759" s="1856" t="str">
        <f t="shared" si="455"/>
        <v/>
      </c>
      <c r="AV2759" s="1856" t="str">
        <f t="shared" si="456"/>
        <v/>
      </c>
      <c r="AW2759" s="1856" t="str">
        <f t="shared" si="457"/>
        <v/>
      </c>
      <c r="AX2759" s="1856" t="str">
        <f t="shared" si="458"/>
        <v/>
      </c>
      <c r="AY2759" s="1856" t="str">
        <f t="shared" si="459"/>
        <v/>
      </c>
    </row>
    <row r="2760" spans="42:52">
      <c r="AP2760" s="1855">
        <f t="shared" si="460"/>
        <v>44865</v>
      </c>
      <c r="AQ2760" s="925" t="str">
        <f t="shared" si="462"/>
        <v>MR</v>
      </c>
      <c r="AR2760" s="1856">
        <f t="shared" si="461"/>
        <v>44865.618055555555</v>
      </c>
      <c r="AS2760" s="927" t="s">
        <v>2303</v>
      </c>
      <c r="AT2760" s="1856" t="str">
        <f t="shared" si="454"/>
        <v/>
      </c>
      <c r="AU2760" s="1856" t="str">
        <f t="shared" si="455"/>
        <v/>
      </c>
      <c r="AV2760" s="1856" t="str">
        <f t="shared" si="456"/>
        <v/>
      </c>
      <c r="AW2760" s="1856" t="str">
        <f t="shared" si="457"/>
        <v/>
      </c>
      <c r="AX2760" s="1856" t="str">
        <f t="shared" si="458"/>
        <v/>
      </c>
      <c r="AY2760" s="1856" t="str">
        <f t="shared" si="459"/>
        <v/>
      </c>
    </row>
    <row r="2761" spans="42:52">
      <c r="AP2761" s="1855">
        <f t="shared" si="460"/>
        <v>44865</v>
      </c>
      <c r="AQ2761" s="925" t="str">
        <f t="shared" si="462"/>
        <v>SS</v>
      </c>
      <c r="AR2761" s="1856">
        <f t="shared" si="461"/>
        <v>44865.782638888886</v>
      </c>
      <c r="AS2761" s="927" t="s">
        <v>1513</v>
      </c>
      <c r="AT2761" s="1856" t="str">
        <f t="shared" si="454"/>
        <v/>
      </c>
      <c r="AU2761" s="1856" t="str">
        <f t="shared" si="455"/>
        <v/>
      </c>
      <c r="AV2761" s="1856" t="str">
        <f t="shared" si="456"/>
        <v/>
      </c>
      <c r="AW2761" s="1856" t="str">
        <f t="shared" si="457"/>
        <v/>
      </c>
      <c r="AX2761" s="1856" t="str">
        <f t="shared" si="458"/>
        <v/>
      </c>
      <c r="AY2761" s="1856" t="str">
        <f t="shared" si="459"/>
        <v/>
      </c>
    </row>
    <row r="2762" spans="42:52">
      <c r="AP2762" s="1855">
        <f t="shared" si="460"/>
        <v>44865</v>
      </c>
      <c r="AQ2762" s="925" t="str">
        <f t="shared" si="462"/>
        <v>EENT</v>
      </c>
      <c r="AR2762" s="1856">
        <f t="shared" si="461"/>
        <v>44865.822916666664</v>
      </c>
      <c r="AS2762" s="927" t="s">
        <v>2304</v>
      </c>
      <c r="AT2762" s="1856" t="str">
        <f t="shared" si="454"/>
        <v/>
      </c>
      <c r="AU2762" s="1856" t="str">
        <f t="shared" si="455"/>
        <v/>
      </c>
      <c r="AV2762" s="1856" t="str">
        <f t="shared" si="456"/>
        <v/>
      </c>
      <c r="AW2762" s="1856" t="str">
        <f t="shared" si="457"/>
        <v/>
      </c>
      <c r="AX2762" s="1856" t="str">
        <f t="shared" si="458"/>
        <v/>
      </c>
      <c r="AY2762" s="1856" t="str">
        <f t="shared" si="459"/>
        <v/>
      </c>
    </row>
    <row r="2763" spans="42:52">
      <c r="AP2763" s="1855">
        <f t="shared" si="460"/>
        <v>44865</v>
      </c>
      <c r="AQ2763" s="925" t="str">
        <f t="shared" si="462"/>
        <v>MS</v>
      </c>
      <c r="AR2763" s="1856" t="str">
        <f t="shared" si="461"/>
        <v>NONE</v>
      </c>
      <c r="AS2763" s="927" t="s">
        <v>948</v>
      </c>
      <c r="AT2763" s="1856" t="str">
        <f t="shared" si="454"/>
        <v/>
      </c>
      <c r="AU2763" s="1856" t="str">
        <f t="shared" si="455"/>
        <v/>
      </c>
      <c r="AV2763" s="1856" t="str">
        <f t="shared" si="456"/>
        <v/>
      </c>
      <c r="AW2763" s="1856" t="str">
        <f t="shared" si="457"/>
        <v/>
      </c>
      <c r="AX2763" s="1856" t="str">
        <f t="shared" si="458"/>
        <v/>
      </c>
      <c r="AY2763" s="1856" t="str">
        <f t="shared" si="459"/>
        <v/>
      </c>
    </row>
    <row r="2764" spans="42:52">
      <c r="AP2764" s="1855">
        <f t="shared" si="460"/>
        <v>44866</v>
      </c>
      <c r="AQ2764" s="925" t="str">
        <f t="shared" si="462"/>
        <v/>
      </c>
      <c r="AR2764" s="1856" t="str">
        <f t="shared" si="461"/>
        <v/>
      </c>
      <c r="AS2764" s="927">
        <v>1</v>
      </c>
      <c r="AT2764" s="1856">
        <f t="shared" si="454"/>
        <v>44866.299305555556</v>
      </c>
      <c r="AU2764" s="1856">
        <f t="shared" si="455"/>
        <v>44866.339583333334</v>
      </c>
      <c r="AV2764" s="1856">
        <f t="shared" si="456"/>
        <v>44866.781944444447</v>
      </c>
      <c r="AW2764" s="1856">
        <f t="shared" si="457"/>
        <v>44866.822222222218</v>
      </c>
      <c r="AX2764" s="1856">
        <f t="shared" si="458"/>
        <v>44866.647222222222</v>
      </c>
      <c r="AY2764" s="1856">
        <f t="shared" si="459"/>
        <v>44866.019444444442</v>
      </c>
      <c r="AZ2764" s="1853">
        <v>0.5</v>
      </c>
    </row>
    <row r="2765" spans="42:52">
      <c r="AP2765" s="1855">
        <f t="shared" si="460"/>
        <v>44866</v>
      </c>
      <c r="AQ2765" s="925" t="str">
        <f t="shared" si="462"/>
        <v/>
      </c>
      <c r="AR2765" s="1856" t="str">
        <f t="shared" si="461"/>
        <v/>
      </c>
      <c r="AS2765" s="927" t="s">
        <v>252</v>
      </c>
      <c r="AT2765" s="1856" t="str">
        <f t="shared" si="454"/>
        <v/>
      </c>
      <c r="AU2765" s="1856" t="str">
        <f t="shared" si="455"/>
        <v/>
      </c>
      <c r="AV2765" s="1856" t="str">
        <f t="shared" si="456"/>
        <v/>
      </c>
      <c r="AW2765" s="1856" t="str">
        <f t="shared" si="457"/>
        <v/>
      </c>
      <c r="AX2765" s="1856" t="str">
        <f t="shared" si="458"/>
        <v/>
      </c>
      <c r="AY2765" s="1856" t="str">
        <f t="shared" si="459"/>
        <v/>
      </c>
    </row>
    <row r="2766" spans="42:52">
      <c r="AP2766" s="1855">
        <f t="shared" si="460"/>
        <v>44866</v>
      </c>
      <c r="AQ2766" s="925" t="str">
        <f t="shared" si="462"/>
        <v/>
      </c>
      <c r="AR2766" s="1856" t="str">
        <f t="shared" si="461"/>
        <v/>
      </c>
      <c r="AT2766" s="1856" t="str">
        <f t="shared" si="454"/>
        <v/>
      </c>
      <c r="AU2766" s="1856" t="str">
        <f t="shared" si="455"/>
        <v/>
      </c>
      <c r="AV2766" s="1856" t="str">
        <f t="shared" si="456"/>
        <v/>
      </c>
      <c r="AW2766" s="1856" t="str">
        <f t="shared" si="457"/>
        <v/>
      </c>
      <c r="AX2766" s="1856" t="str">
        <f t="shared" si="458"/>
        <v/>
      </c>
      <c r="AY2766" s="1856" t="str">
        <f t="shared" si="459"/>
        <v/>
      </c>
    </row>
    <row r="2767" spans="42:52">
      <c r="AP2767" s="1855">
        <f t="shared" si="460"/>
        <v>44866</v>
      </c>
      <c r="AQ2767" s="925" t="str">
        <f t="shared" si="462"/>
        <v>MS</v>
      </c>
      <c r="AR2767" s="1856">
        <f t="shared" si="461"/>
        <v>44866.019444444442</v>
      </c>
      <c r="AS2767" s="927" t="s">
        <v>2305</v>
      </c>
      <c r="AT2767" s="1856" t="str">
        <f t="shared" si="454"/>
        <v/>
      </c>
      <c r="AU2767" s="1856" t="str">
        <f t="shared" si="455"/>
        <v/>
      </c>
      <c r="AV2767" s="1856" t="str">
        <f t="shared" si="456"/>
        <v/>
      </c>
      <c r="AW2767" s="1856" t="str">
        <f t="shared" si="457"/>
        <v/>
      </c>
      <c r="AX2767" s="1856" t="str">
        <f t="shared" si="458"/>
        <v/>
      </c>
      <c r="AY2767" s="1856" t="str">
        <f t="shared" si="459"/>
        <v/>
      </c>
    </row>
    <row r="2768" spans="42:52">
      <c r="AP2768" s="1855">
        <f t="shared" si="460"/>
        <v>44866</v>
      </c>
      <c r="AQ2768" s="925" t="str">
        <f t="shared" si="462"/>
        <v>BMNT</v>
      </c>
      <c r="AR2768" s="1856">
        <f t="shared" si="461"/>
        <v>44866.299305555556</v>
      </c>
      <c r="AS2768" s="927" t="s">
        <v>2306</v>
      </c>
      <c r="AT2768" s="1856" t="str">
        <f t="shared" si="454"/>
        <v/>
      </c>
      <c r="AU2768" s="1856" t="str">
        <f t="shared" si="455"/>
        <v/>
      </c>
      <c r="AV2768" s="1856" t="str">
        <f t="shared" si="456"/>
        <v/>
      </c>
      <c r="AW2768" s="1856" t="str">
        <f t="shared" si="457"/>
        <v/>
      </c>
      <c r="AX2768" s="1856" t="str">
        <f t="shared" si="458"/>
        <v/>
      </c>
      <c r="AY2768" s="1856" t="str">
        <f t="shared" si="459"/>
        <v/>
      </c>
    </row>
    <row r="2769" spans="42:52">
      <c r="AP2769" s="1855">
        <f t="shared" si="460"/>
        <v>44866</v>
      </c>
      <c r="AQ2769" s="925" t="str">
        <f t="shared" si="462"/>
        <v>SR</v>
      </c>
      <c r="AR2769" s="1856">
        <f t="shared" si="461"/>
        <v>44866.339583333334</v>
      </c>
      <c r="AS2769" s="927" t="s">
        <v>2307</v>
      </c>
      <c r="AT2769" s="1856" t="str">
        <f t="shared" si="454"/>
        <v/>
      </c>
      <c r="AU2769" s="1856" t="str">
        <f t="shared" si="455"/>
        <v/>
      </c>
      <c r="AV2769" s="1856" t="str">
        <f t="shared" si="456"/>
        <v/>
      </c>
      <c r="AW2769" s="1856" t="str">
        <f t="shared" si="457"/>
        <v/>
      </c>
      <c r="AX2769" s="1856" t="str">
        <f t="shared" si="458"/>
        <v/>
      </c>
      <c r="AY2769" s="1856" t="str">
        <f t="shared" si="459"/>
        <v/>
      </c>
    </row>
    <row r="2770" spans="42:52">
      <c r="AP2770" s="1855">
        <f t="shared" si="460"/>
        <v>44866</v>
      </c>
      <c r="AQ2770" s="925" t="str">
        <f t="shared" si="462"/>
        <v>MR</v>
      </c>
      <c r="AR2770" s="1856">
        <f t="shared" si="461"/>
        <v>44866.647222222222</v>
      </c>
      <c r="AS2770" s="927" t="s">
        <v>2308</v>
      </c>
      <c r="AT2770" s="1856" t="str">
        <f t="shared" si="454"/>
        <v/>
      </c>
      <c r="AU2770" s="1856" t="str">
        <f t="shared" si="455"/>
        <v/>
      </c>
      <c r="AV2770" s="1856" t="str">
        <f t="shared" si="456"/>
        <v/>
      </c>
      <c r="AW2770" s="1856" t="str">
        <f t="shared" si="457"/>
        <v/>
      </c>
      <c r="AX2770" s="1856" t="str">
        <f t="shared" si="458"/>
        <v/>
      </c>
      <c r="AY2770" s="1856" t="str">
        <f t="shared" si="459"/>
        <v/>
      </c>
    </row>
    <row r="2771" spans="42:52">
      <c r="AP2771" s="1855">
        <f t="shared" si="460"/>
        <v>44866</v>
      </c>
      <c r="AQ2771" s="925" t="str">
        <f t="shared" si="462"/>
        <v>SS</v>
      </c>
      <c r="AR2771" s="1856">
        <f t="shared" si="461"/>
        <v>44866.781944444447</v>
      </c>
      <c r="AS2771" s="927" t="s">
        <v>1507</v>
      </c>
      <c r="AT2771" s="1856" t="str">
        <f t="shared" si="454"/>
        <v/>
      </c>
      <c r="AU2771" s="1856" t="str">
        <f t="shared" si="455"/>
        <v/>
      </c>
      <c r="AV2771" s="1856" t="str">
        <f t="shared" si="456"/>
        <v/>
      </c>
      <c r="AW2771" s="1856" t="str">
        <f t="shared" si="457"/>
        <v/>
      </c>
      <c r="AX2771" s="1856" t="str">
        <f t="shared" si="458"/>
        <v/>
      </c>
      <c r="AY2771" s="1856" t="str">
        <f t="shared" si="459"/>
        <v/>
      </c>
    </row>
    <row r="2772" spans="42:52">
      <c r="AP2772" s="1855">
        <f t="shared" si="460"/>
        <v>44866</v>
      </c>
      <c r="AQ2772" s="925" t="str">
        <f t="shared" si="462"/>
        <v>EENT</v>
      </c>
      <c r="AR2772" s="1856">
        <f t="shared" si="461"/>
        <v>44866.822222222218</v>
      </c>
      <c r="AS2772" s="927" t="s">
        <v>1514</v>
      </c>
      <c r="AT2772" s="1856" t="str">
        <f t="shared" si="454"/>
        <v/>
      </c>
      <c r="AU2772" s="1856" t="str">
        <f t="shared" si="455"/>
        <v/>
      </c>
      <c r="AV2772" s="1856" t="str">
        <f t="shared" si="456"/>
        <v/>
      </c>
      <c r="AW2772" s="1856" t="str">
        <f t="shared" si="457"/>
        <v/>
      </c>
      <c r="AX2772" s="1856" t="str">
        <f t="shared" si="458"/>
        <v/>
      </c>
      <c r="AY2772" s="1856" t="str">
        <f t="shared" si="459"/>
        <v/>
      </c>
    </row>
    <row r="2773" spans="42:52">
      <c r="AP2773" s="1855">
        <f t="shared" si="460"/>
        <v>44867</v>
      </c>
      <c r="AQ2773" s="925" t="str">
        <f t="shared" si="462"/>
        <v/>
      </c>
      <c r="AR2773" s="1856" t="str">
        <f t="shared" si="461"/>
        <v/>
      </c>
      <c r="AS2773" s="927">
        <v>2</v>
      </c>
      <c r="AT2773" s="1856">
        <f t="shared" si="454"/>
        <v>44867.299999999996</v>
      </c>
      <c r="AU2773" s="1856">
        <f t="shared" si="455"/>
        <v>44867.340277777781</v>
      </c>
      <c r="AV2773" s="1856">
        <f t="shared" si="456"/>
        <v>44867.78125</v>
      </c>
      <c r="AW2773" s="1856">
        <f t="shared" si="457"/>
        <v>44867.821527777778</v>
      </c>
      <c r="AX2773" s="1856">
        <f t="shared" si="458"/>
        <v>44867.671527777777</v>
      </c>
      <c r="AY2773" s="1856">
        <f t="shared" si="459"/>
        <v>44867.070138888885</v>
      </c>
      <c r="AZ2773" s="1853">
        <v>0.61</v>
      </c>
    </row>
    <row r="2774" spans="42:52">
      <c r="AP2774" s="1855">
        <f t="shared" si="460"/>
        <v>44867</v>
      </c>
      <c r="AQ2774" s="925" t="str">
        <f t="shared" si="462"/>
        <v/>
      </c>
      <c r="AR2774" s="1856" t="str">
        <f t="shared" si="461"/>
        <v/>
      </c>
      <c r="AS2774" s="927" t="s">
        <v>252</v>
      </c>
      <c r="AT2774" s="1856" t="str">
        <f t="shared" si="454"/>
        <v/>
      </c>
      <c r="AU2774" s="1856" t="str">
        <f t="shared" si="455"/>
        <v/>
      </c>
      <c r="AV2774" s="1856" t="str">
        <f t="shared" si="456"/>
        <v/>
      </c>
      <c r="AW2774" s="1856" t="str">
        <f t="shared" si="457"/>
        <v/>
      </c>
      <c r="AX2774" s="1856" t="str">
        <f t="shared" si="458"/>
        <v/>
      </c>
      <c r="AY2774" s="1856" t="str">
        <f t="shared" si="459"/>
        <v/>
      </c>
    </row>
    <row r="2775" spans="42:52">
      <c r="AP2775" s="1855">
        <f t="shared" si="460"/>
        <v>44867</v>
      </c>
      <c r="AQ2775" s="925" t="str">
        <f t="shared" si="462"/>
        <v/>
      </c>
      <c r="AR2775" s="1856" t="str">
        <f t="shared" si="461"/>
        <v/>
      </c>
      <c r="AT2775" s="1856" t="str">
        <f t="shared" si="454"/>
        <v/>
      </c>
      <c r="AU2775" s="1856" t="str">
        <f t="shared" si="455"/>
        <v/>
      </c>
      <c r="AV2775" s="1856" t="str">
        <f t="shared" si="456"/>
        <v/>
      </c>
      <c r="AW2775" s="1856" t="str">
        <f t="shared" si="457"/>
        <v/>
      </c>
      <c r="AX2775" s="1856" t="str">
        <f t="shared" si="458"/>
        <v/>
      </c>
      <c r="AY2775" s="1856" t="str">
        <f t="shared" si="459"/>
        <v/>
      </c>
    </row>
    <row r="2776" spans="42:52">
      <c r="AP2776" s="1855">
        <f t="shared" si="460"/>
        <v>44867</v>
      </c>
      <c r="AQ2776" s="925" t="str">
        <f t="shared" si="462"/>
        <v>MS</v>
      </c>
      <c r="AR2776" s="1856">
        <f t="shared" si="461"/>
        <v>44867.070138888885</v>
      </c>
      <c r="AS2776" s="927" t="s">
        <v>2309</v>
      </c>
      <c r="AT2776" s="1856" t="str">
        <f t="shared" si="454"/>
        <v/>
      </c>
      <c r="AU2776" s="1856" t="str">
        <f t="shared" si="455"/>
        <v/>
      </c>
      <c r="AV2776" s="1856" t="str">
        <f t="shared" si="456"/>
        <v/>
      </c>
      <c r="AW2776" s="1856" t="str">
        <f t="shared" si="457"/>
        <v/>
      </c>
      <c r="AX2776" s="1856" t="str">
        <f t="shared" si="458"/>
        <v/>
      </c>
      <c r="AY2776" s="1856" t="str">
        <f t="shared" si="459"/>
        <v/>
      </c>
    </row>
    <row r="2777" spans="42:52">
      <c r="AP2777" s="1855">
        <f t="shared" si="460"/>
        <v>44867</v>
      </c>
      <c r="AQ2777" s="925" t="str">
        <f t="shared" si="462"/>
        <v>BMNT</v>
      </c>
      <c r="AR2777" s="1856">
        <f t="shared" si="461"/>
        <v>44867.299999999996</v>
      </c>
      <c r="AS2777" s="927" t="s">
        <v>2310</v>
      </c>
      <c r="AT2777" s="1856" t="str">
        <f t="shared" si="454"/>
        <v/>
      </c>
      <c r="AU2777" s="1856" t="str">
        <f t="shared" si="455"/>
        <v/>
      </c>
      <c r="AV2777" s="1856" t="str">
        <f t="shared" si="456"/>
        <v/>
      </c>
      <c r="AW2777" s="1856" t="str">
        <f t="shared" si="457"/>
        <v/>
      </c>
      <c r="AX2777" s="1856" t="str">
        <f t="shared" si="458"/>
        <v/>
      </c>
      <c r="AY2777" s="1856" t="str">
        <f t="shared" si="459"/>
        <v/>
      </c>
    </row>
    <row r="2778" spans="42:52">
      <c r="AP2778" s="1855">
        <f t="shared" si="460"/>
        <v>44867</v>
      </c>
      <c r="AQ2778" s="925" t="str">
        <f t="shared" si="462"/>
        <v>SR</v>
      </c>
      <c r="AR2778" s="1856">
        <f t="shared" si="461"/>
        <v>44867.340277777781</v>
      </c>
      <c r="AS2778" s="927" t="s">
        <v>2311</v>
      </c>
      <c r="AT2778" s="1856" t="str">
        <f t="shared" si="454"/>
        <v/>
      </c>
      <c r="AU2778" s="1856" t="str">
        <f t="shared" si="455"/>
        <v/>
      </c>
      <c r="AV2778" s="1856" t="str">
        <f t="shared" si="456"/>
        <v/>
      </c>
      <c r="AW2778" s="1856" t="str">
        <f t="shared" si="457"/>
        <v/>
      </c>
      <c r="AX2778" s="1856" t="str">
        <f t="shared" si="458"/>
        <v/>
      </c>
      <c r="AY2778" s="1856" t="str">
        <f t="shared" si="459"/>
        <v/>
      </c>
    </row>
    <row r="2779" spans="42:52">
      <c r="AP2779" s="1855">
        <f t="shared" si="460"/>
        <v>44867</v>
      </c>
      <c r="AQ2779" s="925" t="str">
        <f t="shared" si="462"/>
        <v>MR</v>
      </c>
      <c r="AR2779" s="1856">
        <f t="shared" si="461"/>
        <v>44867.671527777777</v>
      </c>
      <c r="AS2779" s="927" t="s">
        <v>2109</v>
      </c>
      <c r="AT2779" s="1856" t="str">
        <f t="shared" si="454"/>
        <v/>
      </c>
      <c r="AU2779" s="1856" t="str">
        <f t="shared" si="455"/>
        <v/>
      </c>
      <c r="AV2779" s="1856" t="str">
        <f t="shared" si="456"/>
        <v/>
      </c>
      <c r="AW2779" s="1856" t="str">
        <f t="shared" si="457"/>
        <v/>
      </c>
      <c r="AX2779" s="1856" t="str">
        <f t="shared" si="458"/>
        <v/>
      </c>
      <c r="AY2779" s="1856" t="str">
        <f t="shared" si="459"/>
        <v/>
      </c>
    </row>
    <row r="2780" spans="42:52">
      <c r="AP2780" s="1855">
        <f t="shared" si="460"/>
        <v>44867</v>
      </c>
      <c r="AQ2780" s="925" t="str">
        <f t="shared" si="462"/>
        <v>SS</v>
      </c>
      <c r="AR2780" s="1856">
        <f t="shared" si="461"/>
        <v>44867.78125</v>
      </c>
      <c r="AS2780" s="927" t="s">
        <v>1501</v>
      </c>
      <c r="AT2780" s="1856" t="str">
        <f t="shared" ref="AT2780:AT2843" si="463">IF(ISNUMBER(AS2780),INDEX(AR2781:AR2791,MATCH($AT$27,AQ2781:AQ2791,0)),"")</f>
        <v/>
      </c>
      <c r="AU2780" s="1856" t="str">
        <f t="shared" ref="AU2780:AU2843" si="464">IF(AT2780="","",INDEX(AR2781:AR2791,MATCH($AU$27,AQ2781:AQ2791,0)))</f>
        <v/>
      </c>
      <c r="AV2780" s="1856" t="str">
        <f t="shared" ref="AV2780:AV2843" si="465">IF(AT2780="","",INDEX(AR2781:AR2791,MATCH($AV$27,AQ2781:AQ2791,0)))</f>
        <v/>
      </c>
      <c r="AW2780" s="1856" t="str">
        <f t="shared" ref="AW2780:AW2843" si="466">IF(AT2780="","",INDEX(AR2781:AR2791,MATCH($AW$27,AQ2781:AQ2791,0)))</f>
        <v/>
      </c>
      <c r="AX2780" s="1856" t="str">
        <f t="shared" ref="AX2780:AX2843" si="467">IF(AT2780="","",INDEX(AR2781:AR2791,MATCH($AX$27,AQ2781:AQ2791,0)))</f>
        <v/>
      </c>
      <c r="AY2780" s="1856" t="str">
        <f t="shared" ref="AY2780:AY2843" si="468">IF(AT2780="","",INDEX(AR2781:AR2791,MATCH($AY$27,AQ2781:AQ2791,0)))</f>
        <v/>
      </c>
    </row>
    <row r="2781" spans="42:52">
      <c r="AP2781" s="1855">
        <f t="shared" si="460"/>
        <v>44867</v>
      </c>
      <c r="AQ2781" s="925" t="str">
        <f t="shared" si="462"/>
        <v>EENT</v>
      </c>
      <c r="AR2781" s="1856">
        <f t="shared" si="461"/>
        <v>44867.821527777778</v>
      </c>
      <c r="AS2781" s="927" t="s">
        <v>1508</v>
      </c>
      <c r="AT2781" s="1856" t="str">
        <f t="shared" si="463"/>
        <v/>
      </c>
      <c r="AU2781" s="1856" t="str">
        <f t="shared" si="464"/>
        <v/>
      </c>
      <c r="AV2781" s="1856" t="str">
        <f t="shared" si="465"/>
        <v/>
      </c>
      <c r="AW2781" s="1856" t="str">
        <f t="shared" si="466"/>
        <v/>
      </c>
      <c r="AX2781" s="1856" t="str">
        <f t="shared" si="467"/>
        <v/>
      </c>
      <c r="AY2781" s="1856" t="str">
        <f t="shared" si="468"/>
        <v/>
      </c>
    </row>
    <row r="2782" spans="42:52">
      <c r="AP2782" s="1855">
        <f t="shared" si="460"/>
        <v>44868</v>
      </c>
      <c r="AQ2782" s="925" t="str">
        <f t="shared" si="462"/>
        <v/>
      </c>
      <c r="AR2782" s="1856" t="str">
        <f t="shared" si="461"/>
        <v/>
      </c>
      <c r="AS2782" s="927">
        <v>3</v>
      </c>
      <c r="AT2782" s="1856">
        <f t="shared" si="463"/>
        <v>44868.300694444442</v>
      </c>
      <c r="AU2782" s="1856">
        <f t="shared" si="464"/>
        <v>44868.340972222228</v>
      </c>
      <c r="AV2782" s="1856">
        <f t="shared" si="465"/>
        <v>44868.780555555553</v>
      </c>
      <c r="AW2782" s="1856">
        <f t="shared" si="466"/>
        <v>44868.820833333331</v>
      </c>
      <c r="AX2782" s="1856">
        <f t="shared" si="467"/>
        <v>44868.691666666666</v>
      </c>
      <c r="AY2782" s="1856">
        <f t="shared" si="468"/>
        <v>44868.119444444448</v>
      </c>
      <c r="AZ2782" s="1853">
        <v>0.71</v>
      </c>
    </row>
    <row r="2783" spans="42:52">
      <c r="AP2783" s="1855">
        <f t="shared" si="460"/>
        <v>44868</v>
      </c>
      <c r="AQ2783" s="925" t="str">
        <f t="shared" si="462"/>
        <v/>
      </c>
      <c r="AR2783" s="1856" t="str">
        <f t="shared" si="461"/>
        <v/>
      </c>
      <c r="AS2783" s="927" t="s">
        <v>252</v>
      </c>
      <c r="AT2783" s="1856" t="str">
        <f t="shared" si="463"/>
        <v/>
      </c>
      <c r="AU2783" s="1856" t="str">
        <f t="shared" si="464"/>
        <v/>
      </c>
      <c r="AV2783" s="1856" t="str">
        <f t="shared" si="465"/>
        <v/>
      </c>
      <c r="AW2783" s="1856" t="str">
        <f t="shared" si="466"/>
        <v/>
      </c>
      <c r="AX2783" s="1856" t="str">
        <f t="shared" si="467"/>
        <v/>
      </c>
      <c r="AY2783" s="1856" t="str">
        <f t="shared" si="468"/>
        <v/>
      </c>
    </row>
    <row r="2784" spans="42:52">
      <c r="AP2784" s="1855">
        <f t="shared" si="460"/>
        <v>44868</v>
      </c>
      <c r="AQ2784" s="925" t="str">
        <f t="shared" si="462"/>
        <v/>
      </c>
      <c r="AR2784" s="1856" t="str">
        <f t="shared" si="461"/>
        <v/>
      </c>
      <c r="AT2784" s="1856" t="str">
        <f t="shared" si="463"/>
        <v/>
      </c>
      <c r="AU2784" s="1856" t="str">
        <f t="shared" si="464"/>
        <v/>
      </c>
      <c r="AV2784" s="1856" t="str">
        <f t="shared" si="465"/>
        <v/>
      </c>
      <c r="AW2784" s="1856" t="str">
        <f t="shared" si="466"/>
        <v/>
      </c>
      <c r="AX2784" s="1856" t="str">
        <f t="shared" si="467"/>
        <v/>
      </c>
      <c r="AY2784" s="1856" t="str">
        <f t="shared" si="468"/>
        <v/>
      </c>
    </row>
    <row r="2785" spans="42:52">
      <c r="AP2785" s="1855">
        <f t="shared" si="460"/>
        <v>44868</v>
      </c>
      <c r="AQ2785" s="925" t="str">
        <f t="shared" si="462"/>
        <v>MS</v>
      </c>
      <c r="AR2785" s="1856">
        <f t="shared" si="461"/>
        <v>44868.119444444448</v>
      </c>
      <c r="AS2785" s="927" t="s">
        <v>2312</v>
      </c>
      <c r="AT2785" s="1856" t="str">
        <f t="shared" si="463"/>
        <v/>
      </c>
      <c r="AU2785" s="1856" t="str">
        <f t="shared" si="464"/>
        <v/>
      </c>
      <c r="AV2785" s="1856" t="str">
        <f t="shared" si="465"/>
        <v/>
      </c>
      <c r="AW2785" s="1856" t="str">
        <f t="shared" si="466"/>
        <v/>
      </c>
      <c r="AX2785" s="1856" t="str">
        <f t="shared" si="467"/>
        <v/>
      </c>
      <c r="AY2785" s="1856" t="str">
        <f t="shared" si="468"/>
        <v/>
      </c>
    </row>
    <row r="2786" spans="42:52">
      <c r="AP2786" s="1855">
        <f t="shared" si="460"/>
        <v>44868</v>
      </c>
      <c r="AQ2786" s="925" t="str">
        <f t="shared" si="462"/>
        <v>BMNT</v>
      </c>
      <c r="AR2786" s="1856">
        <f t="shared" si="461"/>
        <v>44868.300694444442</v>
      </c>
      <c r="AS2786" s="927" t="s">
        <v>2313</v>
      </c>
      <c r="AT2786" s="1856" t="str">
        <f t="shared" si="463"/>
        <v/>
      </c>
      <c r="AU2786" s="1856" t="str">
        <f t="shared" si="464"/>
        <v/>
      </c>
      <c r="AV2786" s="1856" t="str">
        <f t="shared" si="465"/>
        <v/>
      </c>
      <c r="AW2786" s="1856" t="str">
        <f t="shared" si="466"/>
        <v/>
      </c>
      <c r="AX2786" s="1856" t="str">
        <f t="shared" si="467"/>
        <v/>
      </c>
      <c r="AY2786" s="1856" t="str">
        <f t="shared" si="468"/>
        <v/>
      </c>
    </row>
    <row r="2787" spans="42:52">
      <c r="AP2787" s="1855">
        <f t="shared" si="460"/>
        <v>44868</v>
      </c>
      <c r="AQ2787" s="925" t="str">
        <f t="shared" si="462"/>
        <v>SR</v>
      </c>
      <c r="AR2787" s="1856">
        <f t="shared" si="461"/>
        <v>44868.340972222228</v>
      </c>
      <c r="AS2787" s="927" t="s">
        <v>2314</v>
      </c>
      <c r="AT2787" s="1856" t="str">
        <f t="shared" si="463"/>
        <v/>
      </c>
      <c r="AU2787" s="1856" t="str">
        <f t="shared" si="464"/>
        <v/>
      </c>
      <c r="AV2787" s="1856" t="str">
        <f t="shared" si="465"/>
        <v/>
      </c>
      <c r="AW2787" s="1856" t="str">
        <f t="shared" si="466"/>
        <v/>
      </c>
      <c r="AX2787" s="1856" t="str">
        <f t="shared" si="467"/>
        <v/>
      </c>
      <c r="AY2787" s="1856" t="str">
        <f t="shared" si="468"/>
        <v/>
      </c>
    </row>
    <row r="2788" spans="42:52">
      <c r="AP2788" s="1855">
        <f t="shared" si="460"/>
        <v>44868</v>
      </c>
      <c r="AQ2788" s="925" t="str">
        <f t="shared" si="462"/>
        <v>MR</v>
      </c>
      <c r="AR2788" s="1856">
        <f t="shared" si="461"/>
        <v>44868.691666666666</v>
      </c>
      <c r="AS2788" s="927" t="s">
        <v>2315</v>
      </c>
      <c r="AT2788" s="1856" t="str">
        <f t="shared" si="463"/>
        <v/>
      </c>
      <c r="AU2788" s="1856" t="str">
        <f t="shared" si="464"/>
        <v/>
      </c>
      <c r="AV2788" s="1856" t="str">
        <f t="shared" si="465"/>
        <v/>
      </c>
      <c r="AW2788" s="1856" t="str">
        <f t="shared" si="466"/>
        <v/>
      </c>
      <c r="AX2788" s="1856" t="str">
        <f t="shared" si="467"/>
        <v/>
      </c>
      <c r="AY2788" s="1856" t="str">
        <f t="shared" si="468"/>
        <v/>
      </c>
    </row>
    <row r="2789" spans="42:52">
      <c r="AP2789" s="1855">
        <f t="shared" ref="AP2789:AP2852" si="469">IF(ISNUMBER(AS2789),AP2788+1,AP2788)</f>
        <v>44868</v>
      </c>
      <c r="AQ2789" s="925" t="str">
        <f t="shared" si="462"/>
        <v>SS</v>
      </c>
      <c r="AR2789" s="1856">
        <f t="shared" si="461"/>
        <v>44868.780555555553</v>
      </c>
      <c r="AS2789" s="927" t="s">
        <v>1495</v>
      </c>
      <c r="AT2789" s="1856" t="str">
        <f t="shared" si="463"/>
        <v/>
      </c>
      <c r="AU2789" s="1856" t="str">
        <f t="shared" si="464"/>
        <v/>
      </c>
      <c r="AV2789" s="1856" t="str">
        <f t="shared" si="465"/>
        <v/>
      </c>
      <c r="AW2789" s="1856" t="str">
        <f t="shared" si="466"/>
        <v/>
      </c>
      <c r="AX2789" s="1856" t="str">
        <f t="shared" si="467"/>
        <v/>
      </c>
      <c r="AY2789" s="1856" t="str">
        <f t="shared" si="468"/>
        <v/>
      </c>
    </row>
    <row r="2790" spans="42:52">
      <c r="AP2790" s="1855">
        <f t="shared" si="469"/>
        <v>44868</v>
      </c>
      <c r="AQ2790" s="925" t="str">
        <f t="shared" si="462"/>
        <v>EENT</v>
      </c>
      <c r="AR2790" s="1856">
        <f t="shared" si="461"/>
        <v>44868.820833333331</v>
      </c>
      <c r="AS2790" s="927" t="s">
        <v>1502</v>
      </c>
      <c r="AT2790" s="1856" t="str">
        <f t="shared" si="463"/>
        <v/>
      </c>
      <c r="AU2790" s="1856" t="str">
        <f t="shared" si="464"/>
        <v/>
      </c>
      <c r="AV2790" s="1856" t="str">
        <f t="shared" si="465"/>
        <v/>
      </c>
      <c r="AW2790" s="1856" t="str">
        <f t="shared" si="466"/>
        <v/>
      </c>
      <c r="AX2790" s="1856" t="str">
        <f t="shared" si="467"/>
        <v/>
      </c>
      <c r="AY2790" s="1856" t="str">
        <f t="shared" si="468"/>
        <v/>
      </c>
    </row>
    <row r="2791" spans="42:52">
      <c r="AP2791" s="1855">
        <f t="shared" si="469"/>
        <v>44869</v>
      </c>
      <c r="AQ2791" s="925" t="str">
        <f t="shared" si="462"/>
        <v/>
      </c>
      <c r="AR2791" s="1856" t="str">
        <f t="shared" si="461"/>
        <v/>
      </c>
      <c r="AS2791" s="927">
        <v>4</v>
      </c>
      <c r="AT2791" s="1856">
        <f t="shared" si="463"/>
        <v>44869.301388888889</v>
      </c>
      <c r="AU2791" s="1856">
        <f t="shared" si="464"/>
        <v>44869.341666666667</v>
      </c>
      <c r="AV2791" s="1856">
        <f t="shared" si="465"/>
        <v>44869.779861111114</v>
      </c>
      <c r="AW2791" s="1856">
        <f t="shared" si="466"/>
        <v>44869.820138888885</v>
      </c>
      <c r="AX2791" s="1856">
        <f t="shared" si="467"/>
        <v>44869.709722222222</v>
      </c>
      <c r="AY2791" s="1856">
        <f t="shared" si="468"/>
        <v>44869.167361111111</v>
      </c>
      <c r="AZ2791" s="1853">
        <v>0.81</v>
      </c>
    </row>
    <row r="2792" spans="42:52">
      <c r="AP2792" s="1855">
        <f t="shared" si="469"/>
        <v>44869</v>
      </c>
      <c r="AQ2792" s="925" t="str">
        <f t="shared" si="462"/>
        <v/>
      </c>
      <c r="AR2792" s="1856" t="str">
        <f t="shared" si="461"/>
        <v/>
      </c>
      <c r="AS2792" s="927" t="s">
        <v>252</v>
      </c>
      <c r="AT2792" s="1856" t="str">
        <f t="shared" si="463"/>
        <v/>
      </c>
      <c r="AU2792" s="1856" t="str">
        <f t="shared" si="464"/>
        <v/>
      </c>
      <c r="AV2792" s="1856" t="str">
        <f t="shared" si="465"/>
        <v/>
      </c>
      <c r="AW2792" s="1856" t="str">
        <f t="shared" si="466"/>
        <v/>
      </c>
      <c r="AX2792" s="1856" t="str">
        <f t="shared" si="467"/>
        <v/>
      </c>
      <c r="AY2792" s="1856" t="str">
        <f t="shared" si="468"/>
        <v/>
      </c>
    </row>
    <row r="2793" spans="42:52">
      <c r="AP2793" s="1855">
        <f t="shared" si="469"/>
        <v>44869</v>
      </c>
      <c r="AQ2793" s="925" t="str">
        <f t="shared" si="462"/>
        <v/>
      </c>
      <c r="AR2793" s="1856" t="str">
        <f t="shared" ref="AR2793:AR2856" si="470">IF(NOT(ISNUMBER(FIND(":",AS2793))),"",IF(ISNUMBER(FIND(" none",AS2793)),"NONE",AP2793+LEFT(RIGHT(AS2793,5),2)/24+RIGHT(AS2793,2)/1440))</f>
        <v/>
      </c>
      <c r="AT2793" s="1856" t="str">
        <f t="shared" si="463"/>
        <v/>
      </c>
      <c r="AU2793" s="1856" t="str">
        <f t="shared" si="464"/>
        <v/>
      </c>
      <c r="AV2793" s="1856" t="str">
        <f t="shared" si="465"/>
        <v/>
      </c>
      <c r="AW2793" s="1856" t="str">
        <f t="shared" si="466"/>
        <v/>
      </c>
      <c r="AX2793" s="1856" t="str">
        <f t="shared" si="467"/>
        <v/>
      </c>
      <c r="AY2793" s="1856" t="str">
        <f t="shared" si="468"/>
        <v/>
      </c>
    </row>
    <row r="2794" spans="42:52">
      <c r="AP2794" s="1855">
        <f t="shared" si="469"/>
        <v>44869</v>
      </c>
      <c r="AQ2794" s="925" t="str">
        <f t="shared" si="462"/>
        <v>MS</v>
      </c>
      <c r="AR2794" s="1856">
        <f t="shared" si="470"/>
        <v>44869.167361111111</v>
      </c>
      <c r="AS2794" s="927" t="s">
        <v>2316</v>
      </c>
      <c r="AT2794" s="1856" t="str">
        <f t="shared" si="463"/>
        <v/>
      </c>
      <c r="AU2794" s="1856" t="str">
        <f t="shared" si="464"/>
        <v/>
      </c>
      <c r="AV2794" s="1856" t="str">
        <f t="shared" si="465"/>
        <v/>
      </c>
      <c r="AW2794" s="1856" t="str">
        <f t="shared" si="466"/>
        <v/>
      </c>
      <c r="AX2794" s="1856" t="str">
        <f t="shared" si="467"/>
        <v/>
      </c>
      <c r="AY2794" s="1856" t="str">
        <f t="shared" si="468"/>
        <v/>
      </c>
    </row>
    <row r="2795" spans="42:52">
      <c r="AP2795" s="1855">
        <f t="shared" si="469"/>
        <v>44869</v>
      </c>
      <c r="AQ2795" s="925" t="str">
        <f t="shared" si="462"/>
        <v>BMNT</v>
      </c>
      <c r="AR2795" s="1856">
        <f t="shared" si="470"/>
        <v>44869.301388888889</v>
      </c>
      <c r="AS2795" s="927" t="s">
        <v>2317</v>
      </c>
      <c r="AT2795" s="1856" t="str">
        <f t="shared" si="463"/>
        <v/>
      </c>
      <c r="AU2795" s="1856" t="str">
        <f t="shared" si="464"/>
        <v/>
      </c>
      <c r="AV2795" s="1856" t="str">
        <f t="shared" si="465"/>
        <v/>
      </c>
      <c r="AW2795" s="1856" t="str">
        <f t="shared" si="466"/>
        <v/>
      </c>
      <c r="AX2795" s="1856" t="str">
        <f t="shared" si="467"/>
        <v/>
      </c>
      <c r="AY2795" s="1856" t="str">
        <f t="shared" si="468"/>
        <v/>
      </c>
    </row>
    <row r="2796" spans="42:52">
      <c r="AP2796" s="1855">
        <f t="shared" si="469"/>
        <v>44869</v>
      </c>
      <c r="AQ2796" s="925" t="str">
        <f t="shared" si="462"/>
        <v>SR</v>
      </c>
      <c r="AR2796" s="1856">
        <f t="shared" si="470"/>
        <v>44869.341666666667</v>
      </c>
      <c r="AS2796" s="927" t="s">
        <v>2318</v>
      </c>
      <c r="AT2796" s="1856" t="str">
        <f t="shared" si="463"/>
        <v/>
      </c>
      <c r="AU2796" s="1856" t="str">
        <f t="shared" si="464"/>
        <v/>
      </c>
      <c r="AV2796" s="1856" t="str">
        <f t="shared" si="465"/>
        <v/>
      </c>
      <c r="AW2796" s="1856" t="str">
        <f t="shared" si="466"/>
        <v/>
      </c>
      <c r="AX2796" s="1856" t="str">
        <f t="shared" si="467"/>
        <v/>
      </c>
      <c r="AY2796" s="1856" t="str">
        <f t="shared" si="468"/>
        <v/>
      </c>
    </row>
    <row r="2797" spans="42:52">
      <c r="AP2797" s="1855">
        <f t="shared" si="469"/>
        <v>44869</v>
      </c>
      <c r="AQ2797" s="925" t="str">
        <f t="shared" si="462"/>
        <v>MR</v>
      </c>
      <c r="AR2797" s="1856">
        <f t="shared" si="470"/>
        <v>44869.709722222222</v>
      </c>
      <c r="AS2797" s="927" t="s">
        <v>2319</v>
      </c>
      <c r="AT2797" s="1856" t="str">
        <f t="shared" si="463"/>
        <v/>
      </c>
      <c r="AU2797" s="1856" t="str">
        <f t="shared" si="464"/>
        <v/>
      </c>
      <c r="AV2797" s="1856" t="str">
        <f t="shared" si="465"/>
        <v/>
      </c>
      <c r="AW2797" s="1856" t="str">
        <f t="shared" si="466"/>
        <v/>
      </c>
      <c r="AX2797" s="1856" t="str">
        <f t="shared" si="467"/>
        <v/>
      </c>
      <c r="AY2797" s="1856" t="str">
        <f t="shared" si="468"/>
        <v/>
      </c>
    </row>
    <row r="2798" spans="42:52">
      <c r="AP2798" s="1855">
        <f t="shared" si="469"/>
        <v>44869</v>
      </c>
      <c r="AQ2798" s="925" t="str">
        <f t="shared" si="462"/>
        <v>SS</v>
      </c>
      <c r="AR2798" s="1856">
        <f t="shared" si="470"/>
        <v>44869.779861111114</v>
      </c>
      <c r="AS2798" s="927" t="s">
        <v>1489</v>
      </c>
      <c r="AT2798" s="1856" t="str">
        <f t="shared" si="463"/>
        <v/>
      </c>
      <c r="AU2798" s="1856" t="str">
        <f t="shared" si="464"/>
        <v/>
      </c>
      <c r="AV2798" s="1856" t="str">
        <f t="shared" si="465"/>
        <v/>
      </c>
      <c r="AW2798" s="1856" t="str">
        <f t="shared" si="466"/>
        <v/>
      </c>
      <c r="AX2798" s="1856" t="str">
        <f t="shared" si="467"/>
        <v/>
      </c>
      <c r="AY2798" s="1856" t="str">
        <f t="shared" si="468"/>
        <v/>
      </c>
    </row>
    <row r="2799" spans="42:52">
      <c r="AP2799" s="1855">
        <f t="shared" si="469"/>
        <v>44869</v>
      </c>
      <c r="AQ2799" s="925" t="str">
        <f t="shared" si="462"/>
        <v>EENT</v>
      </c>
      <c r="AR2799" s="1856">
        <f t="shared" si="470"/>
        <v>44869.820138888885</v>
      </c>
      <c r="AS2799" s="927" t="s">
        <v>1496</v>
      </c>
      <c r="AT2799" s="1856" t="str">
        <f t="shared" si="463"/>
        <v/>
      </c>
      <c r="AU2799" s="1856" t="str">
        <f t="shared" si="464"/>
        <v/>
      </c>
      <c r="AV2799" s="1856" t="str">
        <f t="shared" si="465"/>
        <v/>
      </c>
      <c r="AW2799" s="1856" t="str">
        <f t="shared" si="466"/>
        <v/>
      </c>
      <c r="AX2799" s="1856" t="str">
        <f t="shared" si="467"/>
        <v/>
      </c>
      <c r="AY2799" s="1856" t="str">
        <f t="shared" si="468"/>
        <v/>
      </c>
    </row>
    <row r="2800" spans="42:52">
      <c r="AP2800" s="1855">
        <f t="shared" si="469"/>
        <v>44870</v>
      </c>
      <c r="AQ2800" s="925" t="str">
        <f t="shared" si="462"/>
        <v/>
      </c>
      <c r="AR2800" s="1856" t="str">
        <f t="shared" si="470"/>
        <v/>
      </c>
      <c r="AS2800" s="927">
        <v>5</v>
      </c>
      <c r="AT2800" s="1856">
        <f t="shared" si="463"/>
        <v>44870.302083333328</v>
      </c>
      <c r="AU2800" s="1856">
        <f t="shared" si="464"/>
        <v>44870.342361111114</v>
      </c>
      <c r="AV2800" s="1856">
        <f t="shared" si="465"/>
        <v>44870.779166666667</v>
      </c>
      <c r="AW2800" s="1856">
        <f t="shared" si="466"/>
        <v>44870.819444444445</v>
      </c>
      <c r="AX2800" s="1856">
        <f t="shared" si="467"/>
        <v>44870.727083333339</v>
      </c>
      <c r="AY2800" s="1856">
        <f t="shared" si="468"/>
        <v>44870.213888888895</v>
      </c>
      <c r="AZ2800" s="1853">
        <v>0.89</v>
      </c>
    </row>
    <row r="2801" spans="42:52">
      <c r="AP2801" s="1855">
        <f t="shared" si="469"/>
        <v>44870</v>
      </c>
      <c r="AQ2801" s="925" t="str">
        <f t="shared" si="462"/>
        <v/>
      </c>
      <c r="AR2801" s="1856" t="str">
        <f t="shared" si="470"/>
        <v/>
      </c>
      <c r="AS2801" s="927" t="s">
        <v>252</v>
      </c>
      <c r="AT2801" s="1856" t="str">
        <f t="shared" si="463"/>
        <v/>
      </c>
      <c r="AU2801" s="1856" t="str">
        <f t="shared" si="464"/>
        <v/>
      </c>
      <c r="AV2801" s="1856" t="str">
        <f t="shared" si="465"/>
        <v/>
      </c>
      <c r="AW2801" s="1856" t="str">
        <f t="shared" si="466"/>
        <v/>
      </c>
      <c r="AX2801" s="1856" t="str">
        <f t="shared" si="467"/>
        <v/>
      </c>
      <c r="AY2801" s="1856" t="str">
        <f t="shared" si="468"/>
        <v/>
      </c>
    </row>
    <row r="2802" spans="42:52">
      <c r="AP2802" s="1855">
        <f t="shared" si="469"/>
        <v>44870</v>
      </c>
      <c r="AQ2802" s="925" t="str">
        <f t="shared" si="462"/>
        <v/>
      </c>
      <c r="AR2802" s="1856" t="str">
        <f t="shared" si="470"/>
        <v/>
      </c>
      <c r="AT2802" s="1856" t="str">
        <f t="shared" si="463"/>
        <v/>
      </c>
      <c r="AU2802" s="1856" t="str">
        <f t="shared" si="464"/>
        <v/>
      </c>
      <c r="AV2802" s="1856" t="str">
        <f t="shared" si="465"/>
        <v/>
      </c>
      <c r="AW2802" s="1856" t="str">
        <f t="shared" si="466"/>
        <v/>
      </c>
      <c r="AX2802" s="1856" t="str">
        <f t="shared" si="467"/>
        <v/>
      </c>
      <c r="AY2802" s="1856" t="str">
        <f t="shared" si="468"/>
        <v/>
      </c>
    </row>
    <row r="2803" spans="42:52">
      <c r="AP2803" s="1855">
        <f t="shared" si="469"/>
        <v>44870</v>
      </c>
      <c r="AQ2803" s="925" t="str">
        <f t="shared" si="462"/>
        <v>MS</v>
      </c>
      <c r="AR2803" s="1856">
        <f t="shared" si="470"/>
        <v>44870.213888888895</v>
      </c>
      <c r="AS2803" s="927" t="s">
        <v>1347</v>
      </c>
      <c r="AT2803" s="1856" t="str">
        <f t="shared" si="463"/>
        <v/>
      </c>
      <c r="AU2803" s="1856" t="str">
        <f t="shared" si="464"/>
        <v/>
      </c>
      <c r="AV2803" s="1856" t="str">
        <f t="shared" si="465"/>
        <v/>
      </c>
      <c r="AW2803" s="1856" t="str">
        <f t="shared" si="466"/>
        <v/>
      </c>
      <c r="AX2803" s="1856" t="str">
        <f t="shared" si="467"/>
        <v/>
      </c>
      <c r="AY2803" s="1856" t="str">
        <f t="shared" si="468"/>
        <v/>
      </c>
    </row>
    <row r="2804" spans="42:52">
      <c r="AP2804" s="1855">
        <f t="shared" si="469"/>
        <v>44870</v>
      </c>
      <c r="AQ2804" s="925" t="str">
        <f t="shared" ref="AQ2804:AQ2867" si="471">IF(NOT(ISNUMBER(FIND(":",AS2804))),"",IF(ISNUMBER(FIND("Sunr",AS2804)),"SR", IF(ISNUMBER(FIND("Suns",AS2804)),"SS",IF(ISNUMBER(FIND("Moonr",AS2804)),"MR",IF(ISNUMBER(FIND("Moons",AS2804)),"MS",IF(ISNUMBER(FIND("Twi",AS2804)),IF(HOUR(AR2804)&lt;12,"BMNT","EENT")))))))</f>
        <v>BMNT</v>
      </c>
      <c r="AR2804" s="1856">
        <f t="shared" si="470"/>
        <v>44870.302083333328</v>
      </c>
      <c r="AS2804" s="927" t="s">
        <v>2320</v>
      </c>
      <c r="AT2804" s="1856" t="str">
        <f t="shared" si="463"/>
        <v/>
      </c>
      <c r="AU2804" s="1856" t="str">
        <f t="shared" si="464"/>
        <v/>
      </c>
      <c r="AV2804" s="1856" t="str">
        <f t="shared" si="465"/>
        <v/>
      </c>
      <c r="AW2804" s="1856" t="str">
        <f t="shared" si="466"/>
        <v/>
      </c>
      <c r="AX2804" s="1856" t="str">
        <f t="shared" si="467"/>
        <v/>
      </c>
      <c r="AY2804" s="1856" t="str">
        <f t="shared" si="468"/>
        <v/>
      </c>
    </row>
    <row r="2805" spans="42:52">
      <c r="AP2805" s="1855">
        <f t="shared" si="469"/>
        <v>44870</v>
      </c>
      <c r="AQ2805" s="925" t="str">
        <f t="shared" si="471"/>
        <v>SR</v>
      </c>
      <c r="AR2805" s="1856">
        <f t="shared" si="470"/>
        <v>44870.342361111114</v>
      </c>
      <c r="AS2805" s="927" t="s">
        <v>2321</v>
      </c>
      <c r="AT2805" s="1856" t="str">
        <f t="shared" si="463"/>
        <v/>
      </c>
      <c r="AU2805" s="1856" t="str">
        <f t="shared" si="464"/>
        <v/>
      </c>
      <c r="AV2805" s="1856" t="str">
        <f t="shared" si="465"/>
        <v/>
      </c>
      <c r="AW2805" s="1856" t="str">
        <f t="shared" si="466"/>
        <v/>
      </c>
      <c r="AX2805" s="1856" t="str">
        <f t="shared" si="467"/>
        <v/>
      </c>
      <c r="AY2805" s="1856" t="str">
        <f t="shared" si="468"/>
        <v/>
      </c>
    </row>
    <row r="2806" spans="42:52">
      <c r="AP2806" s="1855">
        <f t="shared" si="469"/>
        <v>44870</v>
      </c>
      <c r="AQ2806" s="925" t="str">
        <f t="shared" si="471"/>
        <v>MR</v>
      </c>
      <c r="AR2806" s="1856">
        <f t="shared" si="470"/>
        <v>44870.727083333339</v>
      </c>
      <c r="AS2806" s="927" t="s">
        <v>2322</v>
      </c>
      <c r="AT2806" s="1856" t="str">
        <f t="shared" si="463"/>
        <v/>
      </c>
      <c r="AU2806" s="1856" t="str">
        <f t="shared" si="464"/>
        <v/>
      </c>
      <c r="AV2806" s="1856" t="str">
        <f t="shared" si="465"/>
        <v/>
      </c>
      <c r="AW2806" s="1856" t="str">
        <f t="shared" si="466"/>
        <v/>
      </c>
      <c r="AX2806" s="1856" t="str">
        <f t="shared" si="467"/>
        <v/>
      </c>
      <c r="AY2806" s="1856" t="str">
        <f t="shared" si="468"/>
        <v/>
      </c>
    </row>
    <row r="2807" spans="42:52">
      <c r="AP2807" s="1855">
        <f t="shared" si="469"/>
        <v>44870</v>
      </c>
      <c r="AQ2807" s="925" t="str">
        <f t="shared" si="471"/>
        <v>SS</v>
      </c>
      <c r="AR2807" s="1856">
        <f t="shared" si="470"/>
        <v>44870.779166666667</v>
      </c>
      <c r="AS2807" s="927" t="s">
        <v>1483</v>
      </c>
      <c r="AT2807" s="1856" t="str">
        <f t="shared" si="463"/>
        <v/>
      </c>
      <c r="AU2807" s="1856" t="str">
        <f t="shared" si="464"/>
        <v/>
      </c>
      <c r="AV2807" s="1856" t="str">
        <f t="shared" si="465"/>
        <v/>
      </c>
      <c r="AW2807" s="1856" t="str">
        <f t="shared" si="466"/>
        <v/>
      </c>
      <c r="AX2807" s="1856" t="str">
        <f t="shared" si="467"/>
        <v/>
      </c>
      <c r="AY2807" s="1856" t="str">
        <f t="shared" si="468"/>
        <v/>
      </c>
    </row>
    <row r="2808" spans="42:52">
      <c r="AP2808" s="1855">
        <f t="shared" si="469"/>
        <v>44870</v>
      </c>
      <c r="AQ2808" s="925" t="str">
        <f t="shared" si="471"/>
        <v>EENT</v>
      </c>
      <c r="AR2808" s="1856">
        <f t="shared" si="470"/>
        <v>44870.819444444445</v>
      </c>
      <c r="AS2808" s="927" t="s">
        <v>1490</v>
      </c>
      <c r="AT2808" s="1856" t="str">
        <f t="shared" si="463"/>
        <v/>
      </c>
      <c r="AU2808" s="1856" t="str">
        <f t="shared" si="464"/>
        <v/>
      </c>
      <c r="AV2808" s="1856" t="str">
        <f t="shared" si="465"/>
        <v/>
      </c>
      <c r="AW2808" s="1856" t="str">
        <f t="shared" si="466"/>
        <v/>
      </c>
      <c r="AX2808" s="1856" t="str">
        <f t="shared" si="467"/>
        <v/>
      </c>
      <c r="AY2808" s="1856" t="str">
        <f t="shared" si="468"/>
        <v/>
      </c>
    </row>
    <row r="2809" spans="42:52">
      <c r="AP2809" s="1855">
        <f t="shared" si="469"/>
        <v>44871</v>
      </c>
      <c r="AQ2809" s="925" t="str">
        <f t="shared" si="471"/>
        <v/>
      </c>
      <c r="AR2809" s="1856" t="str">
        <f t="shared" si="470"/>
        <v/>
      </c>
      <c r="AS2809" s="927">
        <v>6</v>
      </c>
      <c r="AT2809" s="1856">
        <f t="shared" si="463"/>
        <v>44871.260416666664</v>
      </c>
      <c r="AU2809" s="1856">
        <f t="shared" si="464"/>
        <v>44871.301388888889</v>
      </c>
      <c r="AV2809" s="1856">
        <f t="shared" si="465"/>
        <v>44871.736805555556</v>
      </c>
      <c r="AW2809" s="1856">
        <f t="shared" si="466"/>
        <v>44871.777083333334</v>
      </c>
      <c r="AX2809" s="1856">
        <f t="shared" si="467"/>
        <v>44871.702777777777</v>
      </c>
      <c r="AY2809" s="1856">
        <f t="shared" si="468"/>
        <v>44871.218055555561</v>
      </c>
      <c r="AZ2809" s="1853">
        <v>0.95</v>
      </c>
    </row>
    <row r="2810" spans="42:52">
      <c r="AP2810" s="1855">
        <f t="shared" si="469"/>
        <v>44871</v>
      </c>
      <c r="AQ2810" s="925" t="str">
        <f t="shared" si="471"/>
        <v/>
      </c>
      <c r="AR2810" s="1856" t="str">
        <f t="shared" si="470"/>
        <v/>
      </c>
      <c r="AS2810" s="927" t="s">
        <v>2323</v>
      </c>
      <c r="AT2810" s="1856" t="str">
        <f t="shared" si="463"/>
        <v/>
      </c>
      <c r="AU2810" s="1856" t="str">
        <f t="shared" si="464"/>
        <v/>
      </c>
      <c r="AV2810" s="1856" t="str">
        <f t="shared" si="465"/>
        <v/>
      </c>
      <c r="AW2810" s="1856" t="str">
        <f t="shared" si="466"/>
        <v/>
      </c>
      <c r="AX2810" s="1856" t="str">
        <f t="shared" si="467"/>
        <v/>
      </c>
      <c r="AY2810" s="1856" t="str">
        <f t="shared" si="468"/>
        <v/>
      </c>
    </row>
    <row r="2811" spans="42:52">
      <c r="AP2811" s="1855">
        <f t="shared" si="469"/>
        <v>44871</v>
      </c>
      <c r="AQ2811" s="925" t="str">
        <f t="shared" si="471"/>
        <v/>
      </c>
      <c r="AR2811" s="1856" t="str">
        <f t="shared" si="470"/>
        <v/>
      </c>
      <c r="AT2811" s="1856" t="str">
        <f t="shared" si="463"/>
        <v/>
      </c>
      <c r="AU2811" s="1856" t="str">
        <f t="shared" si="464"/>
        <v/>
      </c>
      <c r="AV2811" s="1856" t="str">
        <f t="shared" si="465"/>
        <v/>
      </c>
      <c r="AW2811" s="1856" t="str">
        <f t="shared" si="466"/>
        <v/>
      </c>
      <c r="AX2811" s="1856" t="str">
        <f t="shared" si="467"/>
        <v/>
      </c>
      <c r="AY2811" s="1856" t="str">
        <f t="shared" si="468"/>
        <v/>
      </c>
    </row>
    <row r="2812" spans="42:52">
      <c r="AP2812" s="1855">
        <f t="shared" si="469"/>
        <v>44871</v>
      </c>
      <c r="AQ2812" s="925" t="str">
        <f t="shared" si="471"/>
        <v>MS</v>
      </c>
      <c r="AR2812" s="1856">
        <f t="shared" si="470"/>
        <v>44871.218055555561</v>
      </c>
      <c r="AS2812" s="927" t="s">
        <v>2324</v>
      </c>
      <c r="AT2812" s="1856" t="str">
        <f t="shared" si="463"/>
        <v/>
      </c>
      <c r="AU2812" s="1856" t="str">
        <f t="shared" si="464"/>
        <v/>
      </c>
      <c r="AV2812" s="1856" t="str">
        <f t="shared" si="465"/>
        <v/>
      </c>
      <c r="AW2812" s="1856" t="str">
        <f t="shared" si="466"/>
        <v/>
      </c>
      <c r="AX2812" s="1856" t="str">
        <f t="shared" si="467"/>
        <v/>
      </c>
      <c r="AY2812" s="1856" t="str">
        <f t="shared" si="468"/>
        <v/>
      </c>
    </row>
    <row r="2813" spans="42:52">
      <c r="AP2813" s="1855">
        <f t="shared" si="469"/>
        <v>44871</v>
      </c>
      <c r="AQ2813" s="925" t="str">
        <f t="shared" si="471"/>
        <v>BMNT</v>
      </c>
      <c r="AR2813" s="1856">
        <f t="shared" si="470"/>
        <v>44871.260416666664</v>
      </c>
      <c r="AS2813" s="927" t="s">
        <v>1462</v>
      </c>
      <c r="AT2813" s="1856" t="str">
        <f t="shared" si="463"/>
        <v/>
      </c>
      <c r="AU2813" s="1856" t="str">
        <f t="shared" si="464"/>
        <v/>
      </c>
      <c r="AV2813" s="1856" t="str">
        <f t="shared" si="465"/>
        <v/>
      </c>
      <c r="AW2813" s="1856" t="str">
        <f t="shared" si="466"/>
        <v/>
      </c>
      <c r="AX2813" s="1856" t="str">
        <f t="shared" si="467"/>
        <v/>
      </c>
      <c r="AY2813" s="1856" t="str">
        <f t="shared" si="468"/>
        <v/>
      </c>
    </row>
    <row r="2814" spans="42:52">
      <c r="AP2814" s="1855">
        <f t="shared" si="469"/>
        <v>44871</v>
      </c>
      <c r="AQ2814" s="925" t="str">
        <f t="shared" si="471"/>
        <v>SR</v>
      </c>
      <c r="AR2814" s="1856">
        <f t="shared" si="470"/>
        <v>44871.301388888889</v>
      </c>
      <c r="AS2814" s="927" t="s">
        <v>2105</v>
      </c>
      <c r="AT2814" s="1856" t="str">
        <f t="shared" si="463"/>
        <v/>
      </c>
      <c r="AU2814" s="1856" t="str">
        <f t="shared" si="464"/>
        <v/>
      </c>
      <c r="AV2814" s="1856" t="str">
        <f t="shared" si="465"/>
        <v/>
      </c>
      <c r="AW2814" s="1856" t="str">
        <f t="shared" si="466"/>
        <v/>
      </c>
      <c r="AX2814" s="1856" t="str">
        <f t="shared" si="467"/>
        <v/>
      </c>
      <c r="AY2814" s="1856" t="str">
        <f t="shared" si="468"/>
        <v/>
      </c>
    </row>
    <row r="2815" spans="42:52">
      <c r="AP2815" s="1855">
        <f t="shared" si="469"/>
        <v>44871</v>
      </c>
      <c r="AQ2815" s="925" t="str">
        <f t="shared" si="471"/>
        <v>MR</v>
      </c>
      <c r="AR2815" s="1856">
        <f t="shared" si="470"/>
        <v>44871.702777777777</v>
      </c>
      <c r="AS2815" s="927" t="s">
        <v>2325</v>
      </c>
      <c r="AT2815" s="1856" t="str">
        <f t="shared" si="463"/>
        <v/>
      </c>
      <c r="AU2815" s="1856" t="str">
        <f t="shared" si="464"/>
        <v/>
      </c>
      <c r="AV2815" s="1856" t="str">
        <f t="shared" si="465"/>
        <v/>
      </c>
      <c r="AW2815" s="1856" t="str">
        <f t="shared" si="466"/>
        <v/>
      </c>
      <c r="AX2815" s="1856" t="str">
        <f t="shared" si="467"/>
        <v/>
      </c>
      <c r="AY2815" s="1856" t="str">
        <f t="shared" si="468"/>
        <v/>
      </c>
    </row>
    <row r="2816" spans="42:52">
      <c r="AP2816" s="1855">
        <f t="shared" si="469"/>
        <v>44871</v>
      </c>
      <c r="AQ2816" s="925" t="str">
        <f t="shared" si="471"/>
        <v>SS</v>
      </c>
      <c r="AR2816" s="1856">
        <f t="shared" si="470"/>
        <v>44871.736805555556</v>
      </c>
      <c r="AS2816" s="927" t="s">
        <v>942</v>
      </c>
      <c r="AT2816" s="1856" t="str">
        <f t="shared" si="463"/>
        <v/>
      </c>
      <c r="AU2816" s="1856" t="str">
        <f t="shared" si="464"/>
        <v/>
      </c>
      <c r="AV2816" s="1856" t="str">
        <f t="shared" si="465"/>
        <v/>
      </c>
      <c r="AW2816" s="1856" t="str">
        <f t="shared" si="466"/>
        <v/>
      </c>
      <c r="AX2816" s="1856" t="str">
        <f t="shared" si="467"/>
        <v/>
      </c>
      <c r="AY2816" s="1856" t="str">
        <f t="shared" si="468"/>
        <v/>
      </c>
    </row>
    <row r="2817" spans="42:52">
      <c r="AP2817" s="1855">
        <f t="shared" si="469"/>
        <v>44871</v>
      </c>
      <c r="AQ2817" s="925" t="str">
        <f t="shared" si="471"/>
        <v>EENT</v>
      </c>
      <c r="AR2817" s="1856">
        <f t="shared" si="470"/>
        <v>44871.777083333334</v>
      </c>
      <c r="AS2817" s="927" t="s">
        <v>874</v>
      </c>
      <c r="AT2817" s="1856" t="str">
        <f t="shared" si="463"/>
        <v/>
      </c>
      <c r="AU2817" s="1856" t="str">
        <f t="shared" si="464"/>
        <v/>
      </c>
      <c r="AV2817" s="1856" t="str">
        <f t="shared" si="465"/>
        <v/>
      </c>
      <c r="AW2817" s="1856" t="str">
        <f t="shared" si="466"/>
        <v/>
      </c>
      <c r="AX2817" s="1856" t="str">
        <f t="shared" si="467"/>
        <v/>
      </c>
      <c r="AY2817" s="1856" t="str">
        <f t="shared" si="468"/>
        <v/>
      </c>
    </row>
    <row r="2818" spans="42:52">
      <c r="AP2818" s="1855">
        <f t="shared" si="469"/>
        <v>44872</v>
      </c>
      <c r="AQ2818" s="925" t="str">
        <f t="shared" si="471"/>
        <v/>
      </c>
      <c r="AR2818" s="1856" t="str">
        <f t="shared" si="470"/>
        <v/>
      </c>
      <c r="AS2818" s="927">
        <v>7</v>
      </c>
      <c r="AT2818" s="1856">
        <f t="shared" si="463"/>
        <v>44872.261111111111</v>
      </c>
      <c r="AU2818" s="1856">
        <f t="shared" si="464"/>
        <v>44872.302083333328</v>
      </c>
      <c r="AV2818" s="1856">
        <f t="shared" si="465"/>
        <v>44872.736111111117</v>
      </c>
      <c r="AW2818" s="1856">
        <f t="shared" si="466"/>
        <v>44872.777083333334</v>
      </c>
      <c r="AX2818" s="1856">
        <f t="shared" si="467"/>
        <v>44872.72152777778</v>
      </c>
      <c r="AY2818" s="1856">
        <f t="shared" si="468"/>
        <v>44872.263888888891</v>
      </c>
      <c r="AZ2818" s="1853">
        <v>0.98</v>
      </c>
    </row>
    <row r="2819" spans="42:52">
      <c r="AP2819" s="1855">
        <f t="shared" si="469"/>
        <v>44872</v>
      </c>
      <c r="AQ2819" s="925" t="str">
        <f t="shared" si="471"/>
        <v/>
      </c>
      <c r="AR2819" s="1856" t="str">
        <f t="shared" si="470"/>
        <v/>
      </c>
      <c r="AS2819" s="927" t="s">
        <v>252</v>
      </c>
      <c r="AT2819" s="1856" t="str">
        <f t="shared" si="463"/>
        <v/>
      </c>
      <c r="AU2819" s="1856" t="str">
        <f t="shared" si="464"/>
        <v/>
      </c>
      <c r="AV2819" s="1856" t="str">
        <f t="shared" si="465"/>
        <v/>
      </c>
      <c r="AW2819" s="1856" t="str">
        <f t="shared" si="466"/>
        <v/>
      </c>
      <c r="AX2819" s="1856" t="str">
        <f t="shared" si="467"/>
        <v/>
      </c>
      <c r="AY2819" s="1856" t="str">
        <f t="shared" si="468"/>
        <v/>
      </c>
    </row>
    <row r="2820" spans="42:52">
      <c r="AP2820" s="1855">
        <f t="shared" si="469"/>
        <v>44872</v>
      </c>
      <c r="AQ2820" s="925" t="str">
        <f t="shared" si="471"/>
        <v/>
      </c>
      <c r="AR2820" s="1856" t="str">
        <f t="shared" si="470"/>
        <v/>
      </c>
      <c r="AT2820" s="1856" t="str">
        <f t="shared" si="463"/>
        <v/>
      </c>
      <c r="AU2820" s="1856" t="str">
        <f t="shared" si="464"/>
        <v/>
      </c>
      <c r="AV2820" s="1856" t="str">
        <f t="shared" si="465"/>
        <v/>
      </c>
      <c r="AW2820" s="1856" t="str">
        <f t="shared" si="466"/>
        <v/>
      </c>
      <c r="AX2820" s="1856" t="str">
        <f t="shared" si="467"/>
        <v/>
      </c>
      <c r="AY2820" s="1856" t="str">
        <f t="shared" si="468"/>
        <v/>
      </c>
    </row>
    <row r="2821" spans="42:52">
      <c r="AP2821" s="1855">
        <f t="shared" si="469"/>
        <v>44872</v>
      </c>
      <c r="AQ2821" s="925" t="str">
        <f t="shared" si="471"/>
        <v>BMNT</v>
      </c>
      <c r="AR2821" s="1856">
        <f t="shared" si="470"/>
        <v>44872.261111111111</v>
      </c>
      <c r="AS2821" s="927" t="s">
        <v>1456</v>
      </c>
      <c r="AT2821" s="1856" t="str">
        <f t="shared" si="463"/>
        <v/>
      </c>
      <c r="AU2821" s="1856" t="str">
        <f t="shared" si="464"/>
        <v/>
      </c>
      <c r="AV2821" s="1856" t="str">
        <f t="shared" si="465"/>
        <v/>
      </c>
      <c r="AW2821" s="1856" t="str">
        <f t="shared" si="466"/>
        <v/>
      </c>
      <c r="AX2821" s="1856" t="str">
        <f t="shared" si="467"/>
        <v/>
      </c>
      <c r="AY2821" s="1856" t="str">
        <f t="shared" si="468"/>
        <v/>
      </c>
    </row>
    <row r="2822" spans="42:52">
      <c r="AP2822" s="1855">
        <f t="shared" si="469"/>
        <v>44872</v>
      </c>
      <c r="AQ2822" s="925" t="str">
        <f t="shared" si="471"/>
        <v>MS</v>
      </c>
      <c r="AR2822" s="1856">
        <f t="shared" si="470"/>
        <v>44872.263888888891</v>
      </c>
      <c r="AS2822" s="927" t="s">
        <v>2326</v>
      </c>
      <c r="AT2822" s="1856" t="str">
        <f t="shared" si="463"/>
        <v/>
      </c>
      <c r="AU2822" s="1856" t="str">
        <f t="shared" si="464"/>
        <v/>
      </c>
      <c r="AV2822" s="1856" t="str">
        <f t="shared" si="465"/>
        <v/>
      </c>
      <c r="AW2822" s="1856" t="str">
        <f t="shared" si="466"/>
        <v/>
      </c>
      <c r="AX2822" s="1856" t="str">
        <f t="shared" si="467"/>
        <v/>
      </c>
      <c r="AY2822" s="1856" t="str">
        <f t="shared" si="468"/>
        <v/>
      </c>
    </row>
    <row r="2823" spans="42:52">
      <c r="AP2823" s="1855">
        <f t="shared" si="469"/>
        <v>44872</v>
      </c>
      <c r="AQ2823" s="925" t="str">
        <f t="shared" si="471"/>
        <v>SR</v>
      </c>
      <c r="AR2823" s="1856">
        <f t="shared" si="470"/>
        <v>44872.302083333328</v>
      </c>
      <c r="AS2823" s="927" t="s">
        <v>1452</v>
      </c>
      <c r="AT2823" s="1856" t="str">
        <f t="shared" si="463"/>
        <v/>
      </c>
      <c r="AU2823" s="1856" t="str">
        <f t="shared" si="464"/>
        <v/>
      </c>
      <c r="AV2823" s="1856" t="str">
        <f t="shared" si="465"/>
        <v/>
      </c>
      <c r="AW2823" s="1856" t="str">
        <f t="shared" si="466"/>
        <v/>
      </c>
      <c r="AX2823" s="1856" t="str">
        <f t="shared" si="467"/>
        <v/>
      </c>
      <c r="AY2823" s="1856" t="str">
        <f t="shared" si="468"/>
        <v/>
      </c>
    </row>
    <row r="2824" spans="42:52">
      <c r="AP2824" s="1855">
        <f t="shared" si="469"/>
        <v>44872</v>
      </c>
      <c r="AQ2824" s="925" t="str">
        <f t="shared" si="471"/>
        <v>MR</v>
      </c>
      <c r="AR2824" s="1856">
        <f t="shared" si="470"/>
        <v>44872.72152777778</v>
      </c>
      <c r="AS2824" s="927" t="s">
        <v>2327</v>
      </c>
      <c r="AT2824" s="1856" t="str">
        <f t="shared" si="463"/>
        <v/>
      </c>
      <c r="AU2824" s="1856" t="str">
        <f t="shared" si="464"/>
        <v/>
      </c>
      <c r="AV2824" s="1856" t="str">
        <f t="shared" si="465"/>
        <v/>
      </c>
      <c r="AW2824" s="1856" t="str">
        <f t="shared" si="466"/>
        <v/>
      </c>
      <c r="AX2824" s="1856" t="str">
        <f t="shared" si="467"/>
        <v/>
      </c>
      <c r="AY2824" s="1856" t="str">
        <f t="shared" si="468"/>
        <v/>
      </c>
    </row>
    <row r="2825" spans="42:52">
      <c r="AP2825" s="1855">
        <f t="shared" si="469"/>
        <v>44872</v>
      </c>
      <c r="AQ2825" s="925" t="str">
        <f t="shared" si="471"/>
        <v>SS</v>
      </c>
      <c r="AR2825" s="1856">
        <f t="shared" si="470"/>
        <v>44872.736111111117</v>
      </c>
      <c r="AS2825" s="927" t="s">
        <v>928</v>
      </c>
      <c r="AT2825" s="1856" t="str">
        <f t="shared" si="463"/>
        <v/>
      </c>
      <c r="AU2825" s="1856" t="str">
        <f t="shared" si="464"/>
        <v/>
      </c>
      <c r="AV2825" s="1856" t="str">
        <f t="shared" si="465"/>
        <v/>
      </c>
      <c r="AW2825" s="1856" t="str">
        <f t="shared" si="466"/>
        <v/>
      </c>
      <c r="AX2825" s="1856" t="str">
        <f t="shared" si="467"/>
        <v/>
      </c>
      <c r="AY2825" s="1856" t="str">
        <f t="shared" si="468"/>
        <v/>
      </c>
    </row>
    <row r="2826" spans="42:52">
      <c r="AP2826" s="1855">
        <f t="shared" si="469"/>
        <v>44872</v>
      </c>
      <c r="AQ2826" s="925" t="str">
        <f t="shared" si="471"/>
        <v>EENT</v>
      </c>
      <c r="AR2826" s="1856">
        <f t="shared" si="470"/>
        <v>44872.777083333334</v>
      </c>
      <c r="AS2826" s="927" t="s">
        <v>874</v>
      </c>
      <c r="AT2826" s="1856" t="str">
        <f t="shared" si="463"/>
        <v/>
      </c>
      <c r="AU2826" s="1856" t="str">
        <f t="shared" si="464"/>
        <v/>
      </c>
      <c r="AV2826" s="1856" t="str">
        <f t="shared" si="465"/>
        <v/>
      </c>
      <c r="AW2826" s="1856" t="str">
        <f t="shared" si="466"/>
        <v/>
      </c>
      <c r="AX2826" s="1856" t="str">
        <f t="shared" si="467"/>
        <v/>
      </c>
      <c r="AY2826" s="1856" t="str">
        <f t="shared" si="468"/>
        <v/>
      </c>
    </row>
    <row r="2827" spans="42:52">
      <c r="AP2827" s="1855">
        <f t="shared" si="469"/>
        <v>44873</v>
      </c>
      <c r="AQ2827" s="925" t="str">
        <f t="shared" si="471"/>
        <v/>
      </c>
      <c r="AR2827" s="1856" t="str">
        <f t="shared" si="470"/>
        <v/>
      </c>
      <c r="AS2827" s="927">
        <v>8</v>
      </c>
      <c r="AT2827" s="1856">
        <f t="shared" si="463"/>
        <v>44873.261805555558</v>
      </c>
      <c r="AU2827" s="1856">
        <f t="shared" si="464"/>
        <v>44873.302777777775</v>
      </c>
      <c r="AV2827" s="1856">
        <f t="shared" si="465"/>
        <v>44873.73541666667</v>
      </c>
      <c r="AW2827" s="1856">
        <f t="shared" si="466"/>
        <v>44873.776388888888</v>
      </c>
      <c r="AX2827" s="1856">
        <f t="shared" si="467"/>
        <v>44873.741666666669</v>
      </c>
      <c r="AY2827" s="1856">
        <f t="shared" si="468"/>
        <v>44873.309027777774</v>
      </c>
      <c r="AZ2827" s="1853">
        <v>1</v>
      </c>
    </row>
    <row r="2828" spans="42:52">
      <c r="AP2828" s="1855">
        <f t="shared" si="469"/>
        <v>44873</v>
      </c>
      <c r="AQ2828" s="925" t="str">
        <f t="shared" si="471"/>
        <v/>
      </c>
      <c r="AR2828" s="1856" t="str">
        <f t="shared" si="470"/>
        <v/>
      </c>
      <c r="AS2828" s="927" t="s">
        <v>252</v>
      </c>
      <c r="AT2828" s="1856" t="str">
        <f t="shared" si="463"/>
        <v/>
      </c>
      <c r="AU2828" s="1856" t="str">
        <f t="shared" si="464"/>
        <v/>
      </c>
      <c r="AV2828" s="1856" t="str">
        <f t="shared" si="465"/>
        <v/>
      </c>
      <c r="AW2828" s="1856" t="str">
        <f t="shared" si="466"/>
        <v/>
      </c>
      <c r="AX2828" s="1856" t="str">
        <f t="shared" si="467"/>
        <v/>
      </c>
      <c r="AY2828" s="1856" t="str">
        <f t="shared" si="468"/>
        <v/>
      </c>
    </row>
    <row r="2829" spans="42:52">
      <c r="AP2829" s="1855">
        <f t="shared" si="469"/>
        <v>44873</v>
      </c>
      <c r="AQ2829" s="925" t="str">
        <f t="shared" si="471"/>
        <v/>
      </c>
      <c r="AR2829" s="1856" t="str">
        <f t="shared" si="470"/>
        <v/>
      </c>
      <c r="AT2829" s="1856" t="str">
        <f t="shared" si="463"/>
        <v/>
      </c>
      <c r="AU2829" s="1856" t="str">
        <f t="shared" si="464"/>
        <v/>
      </c>
      <c r="AV2829" s="1856" t="str">
        <f t="shared" si="465"/>
        <v/>
      </c>
      <c r="AW2829" s="1856" t="str">
        <f t="shared" si="466"/>
        <v/>
      </c>
      <c r="AX2829" s="1856" t="str">
        <f t="shared" si="467"/>
        <v/>
      </c>
      <c r="AY2829" s="1856" t="str">
        <f t="shared" si="468"/>
        <v/>
      </c>
    </row>
    <row r="2830" spans="42:52">
      <c r="AP2830" s="1855">
        <f t="shared" si="469"/>
        <v>44873</v>
      </c>
      <c r="AQ2830" s="925" t="str">
        <f t="shared" si="471"/>
        <v>BMNT</v>
      </c>
      <c r="AR2830" s="1856">
        <f t="shared" si="470"/>
        <v>44873.261805555558</v>
      </c>
      <c r="AS2830" s="927" t="s">
        <v>2108</v>
      </c>
      <c r="AT2830" s="1856" t="str">
        <f t="shared" si="463"/>
        <v/>
      </c>
      <c r="AU2830" s="1856" t="str">
        <f t="shared" si="464"/>
        <v/>
      </c>
      <c r="AV2830" s="1856" t="str">
        <f t="shared" si="465"/>
        <v/>
      </c>
      <c r="AW2830" s="1856" t="str">
        <f t="shared" si="466"/>
        <v/>
      </c>
      <c r="AX2830" s="1856" t="str">
        <f t="shared" si="467"/>
        <v/>
      </c>
      <c r="AY2830" s="1856" t="str">
        <f t="shared" si="468"/>
        <v/>
      </c>
    </row>
    <row r="2831" spans="42:52">
      <c r="AP2831" s="1855">
        <f t="shared" si="469"/>
        <v>44873</v>
      </c>
      <c r="AQ2831" s="925" t="str">
        <f t="shared" si="471"/>
        <v>SR</v>
      </c>
      <c r="AR2831" s="1856">
        <f t="shared" si="470"/>
        <v>44873.302777777775</v>
      </c>
      <c r="AS2831" s="927" t="s">
        <v>1447</v>
      </c>
      <c r="AT2831" s="1856" t="str">
        <f t="shared" si="463"/>
        <v/>
      </c>
      <c r="AU2831" s="1856" t="str">
        <f t="shared" si="464"/>
        <v/>
      </c>
      <c r="AV2831" s="1856" t="str">
        <f t="shared" si="465"/>
        <v/>
      </c>
      <c r="AW2831" s="1856" t="str">
        <f t="shared" si="466"/>
        <v/>
      </c>
      <c r="AX2831" s="1856" t="str">
        <f t="shared" si="467"/>
        <v/>
      </c>
      <c r="AY2831" s="1856" t="str">
        <f t="shared" si="468"/>
        <v/>
      </c>
    </row>
    <row r="2832" spans="42:52">
      <c r="AP2832" s="1855">
        <f t="shared" si="469"/>
        <v>44873</v>
      </c>
      <c r="AQ2832" s="925" t="str">
        <f t="shared" si="471"/>
        <v>MS</v>
      </c>
      <c r="AR2832" s="1856">
        <f t="shared" si="470"/>
        <v>44873.309027777774</v>
      </c>
      <c r="AS2832" s="927" t="s">
        <v>1531</v>
      </c>
      <c r="AT2832" s="1856" t="str">
        <f t="shared" si="463"/>
        <v/>
      </c>
      <c r="AU2832" s="1856" t="str">
        <f t="shared" si="464"/>
        <v/>
      </c>
      <c r="AV2832" s="1856" t="str">
        <f t="shared" si="465"/>
        <v/>
      </c>
      <c r="AW2832" s="1856" t="str">
        <f t="shared" si="466"/>
        <v/>
      </c>
      <c r="AX2832" s="1856" t="str">
        <f t="shared" si="467"/>
        <v/>
      </c>
      <c r="AY2832" s="1856" t="str">
        <f t="shared" si="468"/>
        <v/>
      </c>
    </row>
    <row r="2833" spans="42:52">
      <c r="AP2833" s="1855">
        <f t="shared" si="469"/>
        <v>44873</v>
      </c>
      <c r="AQ2833" s="925" t="str">
        <f t="shared" si="471"/>
        <v>SS</v>
      </c>
      <c r="AR2833" s="1856">
        <f t="shared" si="470"/>
        <v>44873.73541666667</v>
      </c>
      <c r="AS2833" s="927" t="s">
        <v>909</v>
      </c>
      <c r="AT2833" s="1856" t="str">
        <f t="shared" si="463"/>
        <v/>
      </c>
      <c r="AU2833" s="1856" t="str">
        <f t="shared" si="464"/>
        <v/>
      </c>
      <c r="AV2833" s="1856" t="str">
        <f t="shared" si="465"/>
        <v/>
      </c>
      <c r="AW2833" s="1856" t="str">
        <f t="shared" si="466"/>
        <v/>
      </c>
      <c r="AX2833" s="1856" t="str">
        <f t="shared" si="467"/>
        <v/>
      </c>
      <c r="AY2833" s="1856" t="str">
        <f t="shared" si="468"/>
        <v/>
      </c>
    </row>
    <row r="2834" spans="42:52">
      <c r="AP2834" s="1855">
        <f t="shared" si="469"/>
        <v>44873</v>
      </c>
      <c r="AQ2834" s="925" t="str">
        <f t="shared" si="471"/>
        <v>MR</v>
      </c>
      <c r="AR2834" s="1856">
        <f t="shared" si="470"/>
        <v>44873.741666666669</v>
      </c>
      <c r="AS2834" s="927" t="s">
        <v>2328</v>
      </c>
      <c r="AT2834" s="1856" t="str">
        <f t="shared" si="463"/>
        <v/>
      </c>
      <c r="AU2834" s="1856" t="str">
        <f t="shared" si="464"/>
        <v/>
      </c>
      <c r="AV2834" s="1856" t="str">
        <f t="shared" si="465"/>
        <v/>
      </c>
      <c r="AW2834" s="1856" t="str">
        <f t="shared" si="466"/>
        <v/>
      </c>
      <c r="AX2834" s="1856" t="str">
        <f t="shared" si="467"/>
        <v/>
      </c>
      <c r="AY2834" s="1856" t="str">
        <f t="shared" si="468"/>
        <v/>
      </c>
    </row>
    <row r="2835" spans="42:52">
      <c r="AP2835" s="1855">
        <f t="shared" si="469"/>
        <v>44873</v>
      </c>
      <c r="AQ2835" s="925" t="str">
        <f t="shared" si="471"/>
        <v>EENT</v>
      </c>
      <c r="AR2835" s="1856">
        <f t="shared" si="470"/>
        <v>44873.776388888888</v>
      </c>
      <c r="AS2835" s="927" t="s">
        <v>839</v>
      </c>
      <c r="AT2835" s="1856" t="str">
        <f t="shared" si="463"/>
        <v/>
      </c>
      <c r="AU2835" s="1856" t="str">
        <f t="shared" si="464"/>
        <v/>
      </c>
      <c r="AV2835" s="1856" t="str">
        <f t="shared" si="465"/>
        <v/>
      </c>
      <c r="AW2835" s="1856" t="str">
        <f t="shared" si="466"/>
        <v/>
      </c>
      <c r="AX2835" s="1856" t="str">
        <f t="shared" si="467"/>
        <v/>
      </c>
      <c r="AY2835" s="1856" t="str">
        <f t="shared" si="468"/>
        <v/>
      </c>
    </row>
    <row r="2836" spans="42:52">
      <c r="AP2836" s="1855">
        <f t="shared" si="469"/>
        <v>44874</v>
      </c>
      <c r="AQ2836" s="925" t="str">
        <f t="shared" si="471"/>
        <v/>
      </c>
      <c r="AR2836" s="1856" t="str">
        <f t="shared" si="470"/>
        <v/>
      </c>
      <c r="AS2836" s="927">
        <v>9</v>
      </c>
      <c r="AT2836" s="1856">
        <f t="shared" si="463"/>
        <v>44874.262499999997</v>
      </c>
      <c r="AU2836" s="1856">
        <f t="shared" si="464"/>
        <v>44874.303472222222</v>
      </c>
      <c r="AV2836" s="1856">
        <f t="shared" si="465"/>
        <v>44874.734722222223</v>
      </c>
      <c r="AW2836" s="1856">
        <f t="shared" si="466"/>
        <v>44874.775694444441</v>
      </c>
      <c r="AX2836" s="1856">
        <f t="shared" si="467"/>
        <v>44874.765277777777</v>
      </c>
      <c r="AY2836" s="1856">
        <f t="shared" si="468"/>
        <v>44874.354166666672</v>
      </c>
      <c r="AZ2836" s="1853">
        <v>0.99</v>
      </c>
    </row>
    <row r="2837" spans="42:52">
      <c r="AP2837" s="1855">
        <f t="shared" si="469"/>
        <v>44874</v>
      </c>
      <c r="AQ2837" s="925" t="str">
        <f t="shared" si="471"/>
        <v/>
      </c>
      <c r="AR2837" s="1856" t="str">
        <f t="shared" si="470"/>
        <v/>
      </c>
      <c r="AS2837" s="927" t="s">
        <v>252</v>
      </c>
      <c r="AT2837" s="1856" t="str">
        <f t="shared" si="463"/>
        <v/>
      </c>
      <c r="AU2837" s="1856" t="str">
        <f t="shared" si="464"/>
        <v/>
      </c>
      <c r="AV2837" s="1856" t="str">
        <f t="shared" si="465"/>
        <v/>
      </c>
      <c r="AW2837" s="1856" t="str">
        <f t="shared" si="466"/>
        <v/>
      </c>
      <c r="AX2837" s="1856" t="str">
        <f t="shared" si="467"/>
        <v/>
      </c>
      <c r="AY2837" s="1856" t="str">
        <f t="shared" si="468"/>
        <v/>
      </c>
    </row>
    <row r="2838" spans="42:52">
      <c r="AP2838" s="1855">
        <f t="shared" si="469"/>
        <v>44874</v>
      </c>
      <c r="AQ2838" s="925" t="str">
        <f t="shared" si="471"/>
        <v/>
      </c>
      <c r="AR2838" s="1856" t="str">
        <f t="shared" si="470"/>
        <v/>
      </c>
      <c r="AT2838" s="1856" t="str">
        <f t="shared" si="463"/>
        <v/>
      </c>
      <c r="AU2838" s="1856" t="str">
        <f t="shared" si="464"/>
        <v/>
      </c>
      <c r="AV2838" s="1856" t="str">
        <f t="shared" si="465"/>
        <v/>
      </c>
      <c r="AW2838" s="1856" t="str">
        <f t="shared" si="466"/>
        <v/>
      </c>
      <c r="AX2838" s="1856" t="str">
        <f t="shared" si="467"/>
        <v/>
      </c>
      <c r="AY2838" s="1856" t="str">
        <f t="shared" si="468"/>
        <v/>
      </c>
    </row>
    <row r="2839" spans="42:52">
      <c r="AP2839" s="1855">
        <f t="shared" si="469"/>
        <v>44874</v>
      </c>
      <c r="AQ2839" s="925" t="str">
        <f t="shared" si="471"/>
        <v>BMNT</v>
      </c>
      <c r="AR2839" s="1856">
        <f t="shared" si="470"/>
        <v>44874.262499999997</v>
      </c>
      <c r="AS2839" s="927" t="s">
        <v>1451</v>
      </c>
      <c r="AT2839" s="1856" t="str">
        <f t="shared" si="463"/>
        <v/>
      </c>
      <c r="AU2839" s="1856" t="str">
        <f t="shared" si="464"/>
        <v/>
      </c>
      <c r="AV2839" s="1856" t="str">
        <f t="shared" si="465"/>
        <v/>
      </c>
      <c r="AW2839" s="1856" t="str">
        <f t="shared" si="466"/>
        <v/>
      </c>
      <c r="AX2839" s="1856" t="str">
        <f t="shared" si="467"/>
        <v/>
      </c>
      <c r="AY2839" s="1856" t="str">
        <f t="shared" si="468"/>
        <v/>
      </c>
    </row>
    <row r="2840" spans="42:52">
      <c r="AP2840" s="1855">
        <f t="shared" si="469"/>
        <v>44874</v>
      </c>
      <c r="AQ2840" s="925" t="str">
        <f t="shared" si="471"/>
        <v>SR</v>
      </c>
      <c r="AR2840" s="1856">
        <f t="shared" si="470"/>
        <v>44874.303472222222</v>
      </c>
      <c r="AS2840" s="927" t="s">
        <v>1441</v>
      </c>
      <c r="AT2840" s="1856" t="str">
        <f t="shared" si="463"/>
        <v/>
      </c>
      <c r="AU2840" s="1856" t="str">
        <f t="shared" si="464"/>
        <v/>
      </c>
      <c r="AV2840" s="1856" t="str">
        <f t="shared" si="465"/>
        <v/>
      </c>
      <c r="AW2840" s="1856" t="str">
        <f t="shared" si="466"/>
        <v/>
      </c>
      <c r="AX2840" s="1856" t="str">
        <f t="shared" si="467"/>
        <v/>
      </c>
      <c r="AY2840" s="1856" t="str">
        <f t="shared" si="468"/>
        <v/>
      </c>
    </row>
    <row r="2841" spans="42:52">
      <c r="AP2841" s="1855">
        <f t="shared" si="469"/>
        <v>44874</v>
      </c>
      <c r="AQ2841" s="925" t="str">
        <f t="shared" si="471"/>
        <v>MS</v>
      </c>
      <c r="AR2841" s="1856">
        <f t="shared" si="470"/>
        <v>44874.354166666672</v>
      </c>
      <c r="AS2841" s="927" t="s">
        <v>2329</v>
      </c>
      <c r="AT2841" s="1856" t="str">
        <f t="shared" si="463"/>
        <v/>
      </c>
      <c r="AU2841" s="1856" t="str">
        <f t="shared" si="464"/>
        <v/>
      </c>
      <c r="AV2841" s="1856" t="str">
        <f t="shared" si="465"/>
        <v/>
      </c>
      <c r="AW2841" s="1856" t="str">
        <f t="shared" si="466"/>
        <v/>
      </c>
      <c r="AX2841" s="1856" t="str">
        <f t="shared" si="467"/>
        <v/>
      </c>
      <c r="AY2841" s="1856" t="str">
        <f t="shared" si="468"/>
        <v/>
      </c>
    </row>
    <row r="2842" spans="42:52">
      <c r="AP2842" s="1855">
        <f t="shared" si="469"/>
        <v>44874</v>
      </c>
      <c r="AQ2842" s="925" t="str">
        <f t="shared" si="471"/>
        <v>SS</v>
      </c>
      <c r="AR2842" s="1856">
        <f t="shared" si="470"/>
        <v>44874.734722222223</v>
      </c>
      <c r="AS2842" s="927" t="s">
        <v>889</v>
      </c>
      <c r="AT2842" s="1856" t="str">
        <f t="shared" si="463"/>
        <v/>
      </c>
      <c r="AU2842" s="1856" t="str">
        <f t="shared" si="464"/>
        <v/>
      </c>
      <c r="AV2842" s="1856" t="str">
        <f t="shared" si="465"/>
        <v/>
      </c>
      <c r="AW2842" s="1856" t="str">
        <f t="shared" si="466"/>
        <v/>
      </c>
      <c r="AX2842" s="1856" t="str">
        <f t="shared" si="467"/>
        <v/>
      </c>
      <c r="AY2842" s="1856" t="str">
        <f t="shared" si="468"/>
        <v/>
      </c>
    </row>
    <row r="2843" spans="42:52">
      <c r="AP2843" s="1855">
        <f t="shared" si="469"/>
        <v>44874</v>
      </c>
      <c r="AQ2843" s="925" t="str">
        <f t="shared" si="471"/>
        <v>MR</v>
      </c>
      <c r="AR2843" s="1856">
        <f t="shared" si="470"/>
        <v>44874.765277777777</v>
      </c>
      <c r="AS2843" s="927" t="s">
        <v>2330</v>
      </c>
      <c r="AT2843" s="1856" t="str">
        <f t="shared" si="463"/>
        <v/>
      </c>
      <c r="AU2843" s="1856" t="str">
        <f t="shared" si="464"/>
        <v/>
      </c>
      <c r="AV2843" s="1856" t="str">
        <f t="shared" si="465"/>
        <v/>
      </c>
      <c r="AW2843" s="1856" t="str">
        <f t="shared" si="466"/>
        <v/>
      </c>
      <c r="AX2843" s="1856" t="str">
        <f t="shared" si="467"/>
        <v/>
      </c>
      <c r="AY2843" s="1856" t="str">
        <f t="shared" si="468"/>
        <v/>
      </c>
    </row>
    <row r="2844" spans="42:52">
      <c r="AP2844" s="1855">
        <f t="shared" si="469"/>
        <v>44874</v>
      </c>
      <c r="AQ2844" s="925" t="str">
        <f t="shared" si="471"/>
        <v>EENT</v>
      </c>
      <c r="AR2844" s="1856">
        <f t="shared" si="470"/>
        <v>44874.775694444441</v>
      </c>
      <c r="AS2844" s="927" t="s">
        <v>793</v>
      </c>
      <c r="AT2844" s="1856" t="str">
        <f t="shared" ref="AT2844:AT2907" si="472">IF(ISNUMBER(AS2844),INDEX(AR2845:AR2855,MATCH($AT$27,AQ2845:AQ2855,0)),"")</f>
        <v/>
      </c>
      <c r="AU2844" s="1856" t="str">
        <f t="shared" ref="AU2844:AU2907" si="473">IF(AT2844="","",INDEX(AR2845:AR2855,MATCH($AU$27,AQ2845:AQ2855,0)))</f>
        <v/>
      </c>
      <c r="AV2844" s="1856" t="str">
        <f t="shared" ref="AV2844:AV2907" si="474">IF(AT2844="","",INDEX(AR2845:AR2855,MATCH($AV$27,AQ2845:AQ2855,0)))</f>
        <v/>
      </c>
      <c r="AW2844" s="1856" t="str">
        <f t="shared" ref="AW2844:AW2907" si="475">IF(AT2844="","",INDEX(AR2845:AR2855,MATCH($AW$27,AQ2845:AQ2855,0)))</f>
        <v/>
      </c>
      <c r="AX2844" s="1856" t="str">
        <f t="shared" ref="AX2844:AX2907" si="476">IF(AT2844="","",INDEX(AR2845:AR2855,MATCH($AX$27,AQ2845:AQ2855,0)))</f>
        <v/>
      </c>
      <c r="AY2844" s="1856" t="str">
        <f t="shared" ref="AY2844:AY2907" si="477">IF(AT2844="","",INDEX(AR2845:AR2855,MATCH($AY$27,AQ2845:AQ2855,0)))</f>
        <v/>
      </c>
    </row>
    <row r="2845" spans="42:52">
      <c r="AP2845" s="1855">
        <f t="shared" si="469"/>
        <v>44875</v>
      </c>
      <c r="AQ2845" s="925" t="str">
        <f t="shared" si="471"/>
        <v/>
      </c>
      <c r="AR2845" s="1856" t="str">
        <f t="shared" si="470"/>
        <v/>
      </c>
      <c r="AS2845" s="927">
        <v>10</v>
      </c>
      <c r="AT2845" s="1856">
        <f t="shared" si="472"/>
        <v>44875.263194444444</v>
      </c>
      <c r="AU2845" s="1856">
        <f t="shared" si="473"/>
        <v>44875.304166666661</v>
      </c>
      <c r="AV2845" s="1856">
        <f t="shared" si="474"/>
        <v>44875.734027777777</v>
      </c>
      <c r="AW2845" s="1856">
        <f t="shared" si="475"/>
        <v>44875.775000000001</v>
      </c>
      <c r="AX2845" s="1856">
        <f t="shared" si="476"/>
        <v>44875.792361111111</v>
      </c>
      <c r="AY2845" s="1856">
        <f t="shared" si="477"/>
        <v>44875.398611111108</v>
      </c>
      <c r="AZ2845" s="1853">
        <v>0.97</v>
      </c>
    </row>
    <row r="2846" spans="42:52">
      <c r="AP2846" s="1855">
        <f t="shared" si="469"/>
        <v>44875</v>
      </c>
      <c r="AQ2846" s="925" t="str">
        <f t="shared" si="471"/>
        <v/>
      </c>
      <c r="AR2846" s="1856" t="str">
        <f t="shared" si="470"/>
        <v/>
      </c>
      <c r="AS2846" s="927" t="s">
        <v>252</v>
      </c>
      <c r="AT2846" s="1856" t="str">
        <f t="shared" si="472"/>
        <v/>
      </c>
      <c r="AU2846" s="1856" t="str">
        <f t="shared" si="473"/>
        <v/>
      </c>
      <c r="AV2846" s="1856" t="str">
        <f t="shared" si="474"/>
        <v/>
      </c>
      <c r="AW2846" s="1856" t="str">
        <f t="shared" si="475"/>
        <v/>
      </c>
      <c r="AX2846" s="1856" t="str">
        <f t="shared" si="476"/>
        <v/>
      </c>
      <c r="AY2846" s="1856" t="str">
        <f t="shared" si="477"/>
        <v/>
      </c>
    </row>
    <row r="2847" spans="42:52">
      <c r="AP2847" s="1855">
        <f t="shared" si="469"/>
        <v>44875</v>
      </c>
      <c r="AQ2847" s="925" t="str">
        <f t="shared" si="471"/>
        <v/>
      </c>
      <c r="AR2847" s="1856" t="str">
        <f t="shared" si="470"/>
        <v/>
      </c>
      <c r="AT2847" s="1856" t="str">
        <f t="shared" si="472"/>
        <v/>
      </c>
      <c r="AU2847" s="1856" t="str">
        <f t="shared" si="473"/>
        <v/>
      </c>
      <c r="AV2847" s="1856" t="str">
        <f t="shared" si="474"/>
        <v/>
      </c>
      <c r="AW2847" s="1856" t="str">
        <f t="shared" si="475"/>
        <v/>
      </c>
      <c r="AX2847" s="1856" t="str">
        <f t="shared" si="476"/>
        <v/>
      </c>
      <c r="AY2847" s="1856" t="str">
        <f t="shared" si="477"/>
        <v/>
      </c>
    </row>
    <row r="2848" spans="42:52">
      <c r="AP2848" s="1855">
        <f t="shared" si="469"/>
        <v>44875</v>
      </c>
      <c r="AQ2848" s="925" t="str">
        <f t="shared" si="471"/>
        <v>BMNT</v>
      </c>
      <c r="AR2848" s="1856">
        <f t="shared" si="470"/>
        <v>44875.263194444444</v>
      </c>
      <c r="AS2848" s="927" t="s">
        <v>1445</v>
      </c>
      <c r="AT2848" s="1856" t="str">
        <f t="shared" si="472"/>
        <v/>
      </c>
      <c r="AU2848" s="1856" t="str">
        <f t="shared" si="473"/>
        <v/>
      </c>
      <c r="AV2848" s="1856" t="str">
        <f t="shared" si="474"/>
        <v/>
      </c>
      <c r="AW2848" s="1856" t="str">
        <f t="shared" si="475"/>
        <v/>
      </c>
      <c r="AX2848" s="1856" t="str">
        <f t="shared" si="476"/>
        <v/>
      </c>
      <c r="AY2848" s="1856" t="str">
        <f t="shared" si="477"/>
        <v/>
      </c>
    </row>
    <row r="2849" spans="42:52">
      <c r="AP2849" s="1855">
        <f t="shared" si="469"/>
        <v>44875</v>
      </c>
      <c r="AQ2849" s="925" t="str">
        <f t="shared" si="471"/>
        <v>SR</v>
      </c>
      <c r="AR2849" s="1856">
        <f t="shared" si="470"/>
        <v>44875.304166666661</v>
      </c>
      <c r="AS2849" s="927" t="s">
        <v>1626</v>
      </c>
      <c r="AT2849" s="1856" t="str">
        <f t="shared" si="472"/>
        <v/>
      </c>
      <c r="AU2849" s="1856" t="str">
        <f t="shared" si="473"/>
        <v/>
      </c>
      <c r="AV2849" s="1856" t="str">
        <f t="shared" si="474"/>
        <v/>
      </c>
      <c r="AW2849" s="1856" t="str">
        <f t="shared" si="475"/>
        <v/>
      </c>
      <c r="AX2849" s="1856" t="str">
        <f t="shared" si="476"/>
        <v/>
      </c>
      <c r="AY2849" s="1856" t="str">
        <f t="shared" si="477"/>
        <v/>
      </c>
    </row>
    <row r="2850" spans="42:52">
      <c r="AP2850" s="1855">
        <f t="shared" si="469"/>
        <v>44875</v>
      </c>
      <c r="AQ2850" s="925" t="str">
        <f t="shared" si="471"/>
        <v>MS</v>
      </c>
      <c r="AR2850" s="1856">
        <f t="shared" si="470"/>
        <v>44875.398611111108</v>
      </c>
      <c r="AS2850" s="927" t="s">
        <v>2331</v>
      </c>
      <c r="AT2850" s="1856" t="str">
        <f t="shared" si="472"/>
        <v/>
      </c>
      <c r="AU2850" s="1856" t="str">
        <f t="shared" si="473"/>
        <v/>
      </c>
      <c r="AV2850" s="1856" t="str">
        <f t="shared" si="474"/>
        <v/>
      </c>
      <c r="AW2850" s="1856" t="str">
        <f t="shared" si="475"/>
        <v/>
      </c>
      <c r="AX2850" s="1856" t="str">
        <f t="shared" si="476"/>
        <v/>
      </c>
      <c r="AY2850" s="1856" t="str">
        <f t="shared" si="477"/>
        <v/>
      </c>
    </row>
    <row r="2851" spans="42:52">
      <c r="AP2851" s="1855">
        <f t="shared" si="469"/>
        <v>44875</v>
      </c>
      <c r="AQ2851" s="925" t="str">
        <f t="shared" si="471"/>
        <v>SS</v>
      </c>
      <c r="AR2851" s="1856">
        <f t="shared" si="470"/>
        <v>44875.734027777777</v>
      </c>
      <c r="AS2851" s="927" t="s">
        <v>871</v>
      </c>
      <c r="AT2851" s="1856" t="str">
        <f t="shared" si="472"/>
        <v/>
      </c>
      <c r="AU2851" s="1856" t="str">
        <f t="shared" si="473"/>
        <v/>
      </c>
      <c r="AV2851" s="1856" t="str">
        <f t="shared" si="474"/>
        <v/>
      </c>
      <c r="AW2851" s="1856" t="str">
        <f t="shared" si="475"/>
        <v/>
      </c>
      <c r="AX2851" s="1856" t="str">
        <f t="shared" si="476"/>
        <v/>
      </c>
      <c r="AY2851" s="1856" t="str">
        <f t="shared" si="477"/>
        <v/>
      </c>
    </row>
    <row r="2852" spans="42:52">
      <c r="AP2852" s="1855">
        <f t="shared" si="469"/>
        <v>44875</v>
      </c>
      <c r="AQ2852" s="925" t="str">
        <f t="shared" si="471"/>
        <v>EENT</v>
      </c>
      <c r="AR2852" s="1856">
        <f t="shared" si="470"/>
        <v>44875.775000000001</v>
      </c>
      <c r="AS2852" s="927" t="s">
        <v>2332</v>
      </c>
      <c r="AT2852" s="1856" t="str">
        <f t="shared" si="472"/>
        <v/>
      </c>
      <c r="AU2852" s="1856" t="str">
        <f t="shared" si="473"/>
        <v/>
      </c>
      <c r="AV2852" s="1856" t="str">
        <f t="shared" si="474"/>
        <v/>
      </c>
      <c r="AW2852" s="1856" t="str">
        <f t="shared" si="475"/>
        <v/>
      </c>
      <c r="AX2852" s="1856" t="str">
        <f t="shared" si="476"/>
        <v/>
      </c>
      <c r="AY2852" s="1856" t="str">
        <f t="shared" si="477"/>
        <v/>
      </c>
    </row>
    <row r="2853" spans="42:52">
      <c r="AP2853" s="1855">
        <f t="shared" ref="AP2853:AP2916" si="478">IF(ISNUMBER(AS2853),AP2852+1,AP2852)</f>
        <v>44875</v>
      </c>
      <c r="AQ2853" s="925" t="str">
        <f t="shared" si="471"/>
        <v>MR</v>
      </c>
      <c r="AR2853" s="1856">
        <f t="shared" si="470"/>
        <v>44875.792361111111</v>
      </c>
      <c r="AS2853" s="927" t="s">
        <v>2333</v>
      </c>
      <c r="AT2853" s="1856" t="str">
        <f t="shared" si="472"/>
        <v/>
      </c>
      <c r="AU2853" s="1856" t="str">
        <f t="shared" si="473"/>
        <v/>
      </c>
      <c r="AV2853" s="1856" t="str">
        <f t="shared" si="474"/>
        <v/>
      </c>
      <c r="AW2853" s="1856" t="str">
        <f t="shared" si="475"/>
        <v/>
      </c>
      <c r="AX2853" s="1856" t="str">
        <f t="shared" si="476"/>
        <v/>
      </c>
      <c r="AY2853" s="1856" t="str">
        <f t="shared" si="477"/>
        <v/>
      </c>
    </row>
    <row r="2854" spans="42:52">
      <c r="AP2854" s="1855">
        <f t="shared" si="478"/>
        <v>44876</v>
      </c>
      <c r="AQ2854" s="925" t="str">
        <f t="shared" si="471"/>
        <v/>
      </c>
      <c r="AR2854" s="1856" t="str">
        <f t="shared" si="470"/>
        <v/>
      </c>
      <c r="AS2854" s="927">
        <v>11</v>
      </c>
      <c r="AT2854" s="1856">
        <f t="shared" si="472"/>
        <v>44876.263888888891</v>
      </c>
      <c r="AU2854" s="1856">
        <f t="shared" si="473"/>
        <v>44876.305555555555</v>
      </c>
      <c r="AV2854" s="1856">
        <f t="shared" si="474"/>
        <v>44876.733333333337</v>
      </c>
      <c r="AW2854" s="1856">
        <f t="shared" si="475"/>
        <v>44876.774305555555</v>
      </c>
      <c r="AX2854" s="1856">
        <f t="shared" si="476"/>
        <v>44876.82430555555</v>
      </c>
      <c r="AY2854" s="1856">
        <f t="shared" si="477"/>
        <v>44876.440277777772</v>
      </c>
      <c r="AZ2854" s="1853">
        <v>0.93</v>
      </c>
    </row>
    <row r="2855" spans="42:52">
      <c r="AP2855" s="1855">
        <f t="shared" si="478"/>
        <v>44876</v>
      </c>
      <c r="AQ2855" s="925" t="str">
        <f t="shared" si="471"/>
        <v/>
      </c>
      <c r="AR2855" s="1856" t="str">
        <f t="shared" si="470"/>
        <v/>
      </c>
      <c r="AS2855" s="927" t="s">
        <v>252</v>
      </c>
      <c r="AT2855" s="1856" t="str">
        <f t="shared" si="472"/>
        <v/>
      </c>
      <c r="AU2855" s="1856" t="str">
        <f t="shared" si="473"/>
        <v/>
      </c>
      <c r="AV2855" s="1856" t="str">
        <f t="shared" si="474"/>
        <v/>
      </c>
      <c r="AW2855" s="1856" t="str">
        <f t="shared" si="475"/>
        <v/>
      </c>
      <c r="AX2855" s="1856" t="str">
        <f t="shared" si="476"/>
        <v/>
      </c>
      <c r="AY2855" s="1856" t="str">
        <f t="shared" si="477"/>
        <v/>
      </c>
    </row>
    <row r="2856" spans="42:52">
      <c r="AP2856" s="1855">
        <f t="shared" si="478"/>
        <v>44876</v>
      </c>
      <c r="AQ2856" s="925" t="str">
        <f t="shared" si="471"/>
        <v/>
      </c>
      <c r="AR2856" s="1856" t="str">
        <f t="shared" si="470"/>
        <v/>
      </c>
      <c r="AT2856" s="1856" t="str">
        <f t="shared" si="472"/>
        <v/>
      </c>
      <c r="AU2856" s="1856" t="str">
        <f t="shared" si="473"/>
        <v/>
      </c>
      <c r="AV2856" s="1856" t="str">
        <f t="shared" si="474"/>
        <v/>
      </c>
      <c r="AW2856" s="1856" t="str">
        <f t="shared" si="475"/>
        <v/>
      </c>
      <c r="AX2856" s="1856" t="str">
        <f t="shared" si="476"/>
        <v/>
      </c>
      <c r="AY2856" s="1856" t="str">
        <f t="shared" si="477"/>
        <v/>
      </c>
    </row>
    <row r="2857" spans="42:52">
      <c r="AP2857" s="1855">
        <f t="shared" si="478"/>
        <v>44876</v>
      </c>
      <c r="AQ2857" s="925" t="str">
        <f t="shared" si="471"/>
        <v>BMNT</v>
      </c>
      <c r="AR2857" s="1856">
        <f t="shared" ref="AR2857:AR2920" si="479">IF(NOT(ISNUMBER(FIND(":",AS2857))),"",IF(ISNUMBER(FIND(" none",AS2857)),"NONE",AP2857+LEFT(RIGHT(AS2857,5),2)/24+RIGHT(AS2857,2)/1440))</f>
        <v>44876.263888888891</v>
      </c>
      <c r="AS2857" s="927" t="s">
        <v>2115</v>
      </c>
      <c r="AT2857" s="1856" t="str">
        <f t="shared" si="472"/>
        <v/>
      </c>
      <c r="AU2857" s="1856" t="str">
        <f t="shared" si="473"/>
        <v/>
      </c>
      <c r="AV2857" s="1856" t="str">
        <f t="shared" si="474"/>
        <v/>
      </c>
      <c r="AW2857" s="1856" t="str">
        <f t="shared" si="475"/>
        <v/>
      </c>
      <c r="AX2857" s="1856" t="str">
        <f t="shared" si="476"/>
        <v/>
      </c>
      <c r="AY2857" s="1856" t="str">
        <f t="shared" si="477"/>
        <v/>
      </c>
    </row>
    <row r="2858" spans="42:52">
      <c r="AP2858" s="1855">
        <f t="shared" si="478"/>
        <v>44876</v>
      </c>
      <c r="AQ2858" s="925" t="str">
        <f t="shared" si="471"/>
        <v>SR</v>
      </c>
      <c r="AR2858" s="1856">
        <f t="shared" si="479"/>
        <v>44876.305555555555</v>
      </c>
      <c r="AS2858" s="927" t="s">
        <v>1430</v>
      </c>
      <c r="AT2858" s="1856" t="str">
        <f t="shared" si="472"/>
        <v/>
      </c>
      <c r="AU2858" s="1856" t="str">
        <f t="shared" si="473"/>
        <v/>
      </c>
      <c r="AV2858" s="1856" t="str">
        <f t="shared" si="474"/>
        <v/>
      </c>
      <c r="AW2858" s="1856" t="str">
        <f t="shared" si="475"/>
        <v/>
      </c>
      <c r="AX2858" s="1856" t="str">
        <f t="shared" si="476"/>
        <v/>
      </c>
      <c r="AY2858" s="1856" t="str">
        <f t="shared" si="477"/>
        <v/>
      </c>
    </row>
    <row r="2859" spans="42:52">
      <c r="AP2859" s="1855">
        <f t="shared" si="478"/>
        <v>44876</v>
      </c>
      <c r="AQ2859" s="925" t="str">
        <f t="shared" si="471"/>
        <v>MS</v>
      </c>
      <c r="AR2859" s="1856">
        <f t="shared" si="479"/>
        <v>44876.440277777772</v>
      </c>
      <c r="AS2859" s="927" t="s">
        <v>2334</v>
      </c>
      <c r="AT2859" s="1856" t="str">
        <f t="shared" si="472"/>
        <v/>
      </c>
      <c r="AU2859" s="1856" t="str">
        <f t="shared" si="473"/>
        <v/>
      </c>
      <c r="AV2859" s="1856" t="str">
        <f t="shared" si="474"/>
        <v/>
      </c>
      <c r="AW2859" s="1856" t="str">
        <f t="shared" si="475"/>
        <v/>
      </c>
      <c r="AX2859" s="1856" t="str">
        <f t="shared" si="476"/>
        <v/>
      </c>
      <c r="AY2859" s="1856" t="str">
        <f t="shared" si="477"/>
        <v/>
      </c>
    </row>
    <row r="2860" spans="42:52">
      <c r="AP2860" s="1855">
        <f t="shared" si="478"/>
        <v>44876</v>
      </c>
      <c r="AQ2860" s="925" t="str">
        <f t="shared" si="471"/>
        <v>SS</v>
      </c>
      <c r="AR2860" s="1856">
        <f t="shared" si="479"/>
        <v>44876.733333333337</v>
      </c>
      <c r="AS2860" s="927" t="s">
        <v>837</v>
      </c>
      <c r="AT2860" s="1856" t="str">
        <f t="shared" si="472"/>
        <v/>
      </c>
      <c r="AU2860" s="1856" t="str">
        <f t="shared" si="473"/>
        <v/>
      </c>
      <c r="AV2860" s="1856" t="str">
        <f t="shared" si="474"/>
        <v/>
      </c>
      <c r="AW2860" s="1856" t="str">
        <f t="shared" si="475"/>
        <v/>
      </c>
      <c r="AX2860" s="1856" t="str">
        <f t="shared" si="476"/>
        <v/>
      </c>
      <c r="AY2860" s="1856" t="str">
        <f t="shared" si="477"/>
        <v/>
      </c>
    </row>
    <row r="2861" spans="42:52">
      <c r="AP2861" s="1855">
        <f t="shared" si="478"/>
        <v>44876</v>
      </c>
      <c r="AQ2861" s="925" t="str">
        <f t="shared" si="471"/>
        <v>EENT</v>
      </c>
      <c r="AR2861" s="1856">
        <f t="shared" si="479"/>
        <v>44876.774305555555</v>
      </c>
      <c r="AS2861" s="927" t="s">
        <v>2335</v>
      </c>
      <c r="AT2861" s="1856" t="str">
        <f t="shared" si="472"/>
        <v/>
      </c>
      <c r="AU2861" s="1856" t="str">
        <f t="shared" si="473"/>
        <v/>
      </c>
      <c r="AV2861" s="1856" t="str">
        <f t="shared" si="474"/>
        <v/>
      </c>
      <c r="AW2861" s="1856" t="str">
        <f t="shared" si="475"/>
        <v/>
      </c>
      <c r="AX2861" s="1856" t="str">
        <f t="shared" si="476"/>
        <v/>
      </c>
      <c r="AY2861" s="1856" t="str">
        <f t="shared" si="477"/>
        <v/>
      </c>
    </row>
    <row r="2862" spans="42:52">
      <c r="AP2862" s="1855">
        <f t="shared" si="478"/>
        <v>44876</v>
      </c>
      <c r="AQ2862" s="925" t="str">
        <f t="shared" si="471"/>
        <v>MR</v>
      </c>
      <c r="AR2862" s="1856">
        <f t="shared" si="479"/>
        <v>44876.82430555555</v>
      </c>
      <c r="AS2862" s="927" t="s">
        <v>2336</v>
      </c>
      <c r="AT2862" s="1856" t="str">
        <f t="shared" si="472"/>
        <v/>
      </c>
      <c r="AU2862" s="1856" t="str">
        <f t="shared" si="473"/>
        <v/>
      </c>
      <c r="AV2862" s="1856" t="str">
        <f t="shared" si="474"/>
        <v/>
      </c>
      <c r="AW2862" s="1856" t="str">
        <f t="shared" si="475"/>
        <v/>
      </c>
      <c r="AX2862" s="1856" t="str">
        <f t="shared" si="476"/>
        <v/>
      </c>
      <c r="AY2862" s="1856" t="str">
        <f t="shared" si="477"/>
        <v/>
      </c>
    </row>
    <row r="2863" spans="42:52">
      <c r="AP2863" s="1855">
        <f t="shared" si="478"/>
        <v>44877</v>
      </c>
      <c r="AQ2863" s="925" t="str">
        <f t="shared" si="471"/>
        <v/>
      </c>
      <c r="AR2863" s="1856" t="str">
        <f t="shared" si="479"/>
        <v/>
      </c>
      <c r="AS2863" s="927">
        <v>12</v>
      </c>
      <c r="AT2863" s="1856">
        <f t="shared" si="472"/>
        <v>44877.26458333333</v>
      </c>
      <c r="AU2863" s="1856">
        <f t="shared" si="473"/>
        <v>44877.306249999994</v>
      </c>
      <c r="AV2863" s="1856">
        <f t="shared" si="474"/>
        <v>44877.732638888891</v>
      </c>
      <c r="AW2863" s="1856">
        <f t="shared" si="475"/>
        <v>44877.774305555555</v>
      </c>
      <c r="AX2863" s="1856">
        <f t="shared" si="476"/>
        <v>44877.859722222223</v>
      </c>
      <c r="AY2863" s="1856">
        <f t="shared" si="477"/>
        <v>44877.478472222225</v>
      </c>
      <c r="AZ2863" s="1853">
        <v>0.87</v>
      </c>
    </row>
    <row r="2864" spans="42:52">
      <c r="AP2864" s="1855">
        <f t="shared" si="478"/>
        <v>44877</v>
      </c>
      <c r="AQ2864" s="925" t="str">
        <f t="shared" si="471"/>
        <v/>
      </c>
      <c r="AR2864" s="1856" t="str">
        <f t="shared" si="479"/>
        <v/>
      </c>
      <c r="AS2864" s="927" t="s">
        <v>252</v>
      </c>
      <c r="AT2864" s="1856" t="str">
        <f t="shared" si="472"/>
        <v/>
      </c>
      <c r="AU2864" s="1856" t="str">
        <f t="shared" si="473"/>
        <v/>
      </c>
      <c r="AV2864" s="1856" t="str">
        <f t="shared" si="474"/>
        <v/>
      </c>
      <c r="AW2864" s="1856" t="str">
        <f t="shared" si="475"/>
        <v/>
      </c>
      <c r="AX2864" s="1856" t="str">
        <f t="shared" si="476"/>
        <v/>
      </c>
      <c r="AY2864" s="1856" t="str">
        <f t="shared" si="477"/>
        <v/>
      </c>
    </row>
    <row r="2865" spans="42:52">
      <c r="AP2865" s="1855">
        <f t="shared" si="478"/>
        <v>44877</v>
      </c>
      <c r="AQ2865" s="925" t="str">
        <f t="shared" si="471"/>
        <v/>
      </c>
      <c r="AR2865" s="1856" t="str">
        <f t="shared" si="479"/>
        <v/>
      </c>
      <c r="AT2865" s="1856" t="str">
        <f t="shared" si="472"/>
        <v/>
      </c>
      <c r="AU2865" s="1856" t="str">
        <f t="shared" si="473"/>
        <v/>
      </c>
      <c r="AV2865" s="1856" t="str">
        <f t="shared" si="474"/>
        <v/>
      </c>
      <c r="AW2865" s="1856" t="str">
        <f t="shared" si="475"/>
        <v/>
      </c>
      <c r="AX2865" s="1856" t="str">
        <f t="shared" si="476"/>
        <v/>
      </c>
      <c r="AY2865" s="1856" t="str">
        <f t="shared" si="477"/>
        <v/>
      </c>
    </row>
    <row r="2866" spans="42:52">
      <c r="AP2866" s="1855">
        <f t="shared" si="478"/>
        <v>44877</v>
      </c>
      <c r="AQ2866" s="925" t="str">
        <f t="shared" si="471"/>
        <v>BMNT</v>
      </c>
      <c r="AR2866" s="1856">
        <f t="shared" si="479"/>
        <v>44877.26458333333</v>
      </c>
      <c r="AS2866" s="927" t="s">
        <v>1439</v>
      </c>
      <c r="AT2866" s="1856" t="str">
        <f t="shared" si="472"/>
        <v/>
      </c>
      <c r="AU2866" s="1856" t="str">
        <f t="shared" si="473"/>
        <v/>
      </c>
      <c r="AV2866" s="1856" t="str">
        <f t="shared" si="474"/>
        <v/>
      </c>
      <c r="AW2866" s="1856" t="str">
        <f t="shared" si="475"/>
        <v/>
      </c>
      <c r="AX2866" s="1856" t="str">
        <f t="shared" si="476"/>
        <v/>
      </c>
      <c r="AY2866" s="1856" t="str">
        <f t="shared" si="477"/>
        <v/>
      </c>
    </row>
    <row r="2867" spans="42:52">
      <c r="AP2867" s="1855">
        <f t="shared" si="478"/>
        <v>44877</v>
      </c>
      <c r="AQ2867" s="925" t="str">
        <f t="shared" si="471"/>
        <v>SR</v>
      </c>
      <c r="AR2867" s="1856">
        <f t="shared" si="479"/>
        <v>44877.306249999994</v>
      </c>
      <c r="AS2867" s="927" t="s">
        <v>1618</v>
      </c>
      <c r="AT2867" s="1856" t="str">
        <f t="shared" si="472"/>
        <v/>
      </c>
      <c r="AU2867" s="1856" t="str">
        <f t="shared" si="473"/>
        <v/>
      </c>
      <c r="AV2867" s="1856" t="str">
        <f t="shared" si="474"/>
        <v/>
      </c>
      <c r="AW2867" s="1856" t="str">
        <f t="shared" si="475"/>
        <v/>
      </c>
      <c r="AX2867" s="1856" t="str">
        <f t="shared" si="476"/>
        <v/>
      </c>
      <c r="AY2867" s="1856" t="str">
        <f t="shared" si="477"/>
        <v/>
      </c>
    </row>
    <row r="2868" spans="42:52">
      <c r="AP2868" s="1855">
        <f t="shared" si="478"/>
        <v>44877</v>
      </c>
      <c r="AQ2868" s="925" t="str">
        <f t="shared" ref="AQ2868:AQ2931" si="480">IF(NOT(ISNUMBER(FIND(":",AS2868))),"",IF(ISNUMBER(FIND("Sunr",AS2868)),"SR", IF(ISNUMBER(FIND("Suns",AS2868)),"SS",IF(ISNUMBER(FIND("Moonr",AS2868)),"MR",IF(ISNUMBER(FIND("Moons",AS2868)),"MS",IF(ISNUMBER(FIND("Twi",AS2868)),IF(HOUR(AR2868)&lt;12,"BMNT","EENT")))))))</f>
        <v>MS</v>
      </c>
      <c r="AR2868" s="1856">
        <f t="shared" si="479"/>
        <v>44877.478472222225</v>
      </c>
      <c r="AS2868" s="927" t="s">
        <v>2337</v>
      </c>
      <c r="AT2868" s="1856" t="str">
        <f t="shared" si="472"/>
        <v/>
      </c>
      <c r="AU2868" s="1856" t="str">
        <f t="shared" si="473"/>
        <v/>
      </c>
      <c r="AV2868" s="1856" t="str">
        <f t="shared" si="474"/>
        <v/>
      </c>
      <c r="AW2868" s="1856" t="str">
        <f t="shared" si="475"/>
        <v/>
      </c>
      <c r="AX2868" s="1856" t="str">
        <f t="shared" si="476"/>
        <v/>
      </c>
      <c r="AY2868" s="1856" t="str">
        <f t="shared" si="477"/>
        <v/>
      </c>
    </row>
    <row r="2869" spans="42:52">
      <c r="AP2869" s="1855">
        <f t="shared" si="478"/>
        <v>44877</v>
      </c>
      <c r="AQ2869" s="925" t="str">
        <f t="shared" si="480"/>
        <v>SS</v>
      </c>
      <c r="AR2869" s="1856">
        <f t="shared" si="479"/>
        <v>44877.732638888891</v>
      </c>
      <c r="AS2869" s="927" t="s">
        <v>785</v>
      </c>
      <c r="AT2869" s="1856" t="str">
        <f t="shared" si="472"/>
        <v/>
      </c>
      <c r="AU2869" s="1856" t="str">
        <f t="shared" si="473"/>
        <v/>
      </c>
      <c r="AV2869" s="1856" t="str">
        <f t="shared" si="474"/>
        <v/>
      </c>
      <c r="AW2869" s="1856" t="str">
        <f t="shared" si="475"/>
        <v/>
      </c>
      <c r="AX2869" s="1856" t="str">
        <f t="shared" si="476"/>
        <v/>
      </c>
      <c r="AY2869" s="1856" t="str">
        <f t="shared" si="477"/>
        <v/>
      </c>
    </row>
    <row r="2870" spans="42:52">
      <c r="AP2870" s="1855">
        <f t="shared" si="478"/>
        <v>44877</v>
      </c>
      <c r="AQ2870" s="925" t="str">
        <f t="shared" si="480"/>
        <v>EENT</v>
      </c>
      <c r="AR2870" s="1856">
        <f t="shared" si="479"/>
        <v>44877.774305555555</v>
      </c>
      <c r="AS2870" s="927" t="s">
        <v>2335</v>
      </c>
      <c r="AT2870" s="1856" t="str">
        <f t="shared" si="472"/>
        <v/>
      </c>
      <c r="AU2870" s="1856" t="str">
        <f t="shared" si="473"/>
        <v/>
      </c>
      <c r="AV2870" s="1856" t="str">
        <f t="shared" si="474"/>
        <v/>
      </c>
      <c r="AW2870" s="1856" t="str">
        <f t="shared" si="475"/>
        <v/>
      </c>
      <c r="AX2870" s="1856" t="str">
        <f t="shared" si="476"/>
        <v/>
      </c>
      <c r="AY2870" s="1856" t="str">
        <f t="shared" si="477"/>
        <v/>
      </c>
    </row>
    <row r="2871" spans="42:52">
      <c r="AP2871" s="1855">
        <f t="shared" si="478"/>
        <v>44877</v>
      </c>
      <c r="AQ2871" s="925" t="str">
        <f t="shared" si="480"/>
        <v>MR</v>
      </c>
      <c r="AR2871" s="1856">
        <f t="shared" si="479"/>
        <v>44877.859722222223</v>
      </c>
      <c r="AS2871" s="927" t="s">
        <v>1102</v>
      </c>
      <c r="AT2871" s="1856" t="str">
        <f t="shared" si="472"/>
        <v/>
      </c>
      <c r="AU2871" s="1856" t="str">
        <f t="shared" si="473"/>
        <v/>
      </c>
      <c r="AV2871" s="1856" t="str">
        <f t="shared" si="474"/>
        <v/>
      </c>
      <c r="AW2871" s="1856" t="str">
        <f t="shared" si="475"/>
        <v/>
      </c>
      <c r="AX2871" s="1856" t="str">
        <f t="shared" si="476"/>
        <v/>
      </c>
      <c r="AY2871" s="1856" t="str">
        <f t="shared" si="477"/>
        <v/>
      </c>
    </row>
    <row r="2872" spans="42:52">
      <c r="AP2872" s="1855">
        <f t="shared" si="478"/>
        <v>44878</v>
      </c>
      <c r="AQ2872" s="925" t="str">
        <f t="shared" si="480"/>
        <v/>
      </c>
      <c r="AR2872" s="1856" t="str">
        <f t="shared" si="479"/>
        <v/>
      </c>
      <c r="AS2872" s="927">
        <v>13</v>
      </c>
      <c r="AT2872" s="1856">
        <f t="shared" si="472"/>
        <v>44878.265277777777</v>
      </c>
      <c r="AU2872" s="1856">
        <f t="shared" si="473"/>
        <v>44878.306944444441</v>
      </c>
      <c r="AV2872" s="1856">
        <f t="shared" si="474"/>
        <v>44878.731944444444</v>
      </c>
      <c r="AW2872" s="1856">
        <f t="shared" si="475"/>
        <v>44878.773611111108</v>
      </c>
      <c r="AX2872" s="1856">
        <f t="shared" si="476"/>
        <v>44878.898611111108</v>
      </c>
      <c r="AY2872" s="1856">
        <f t="shared" si="477"/>
        <v>44878.511111111111</v>
      </c>
      <c r="AZ2872" s="1853">
        <v>0.8</v>
      </c>
    </row>
    <row r="2873" spans="42:52">
      <c r="AP2873" s="1855">
        <f t="shared" si="478"/>
        <v>44878</v>
      </c>
      <c r="AQ2873" s="925" t="str">
        <f t="shared" si="480"/>
        <v/>
      </c>
      <c r="AR2873" s="1856" t="str">
        <f t="shared" si="479"/>
        <v/>
      </c>
      <c r="AS2873" s="927" t="s">
        <v>252</v>
      </c>
      <c r="AT2873" s="1856" t="str">
        <f t="shared" si="472"/>
        <v/>
      </c>
      <c r="AU2873" s="1856" t="str">
        <f t="shared" si="473"/>
        <v/>
      </c>
      <c r="AV2873" s="1856" t="str">
        <f t="shared" si="474"/>
        <v/>
      </c>
      <c r="AW2873" s="1856" t="str">
        <f t="shared" si="475"/>
        <v/>
      </c>
      <c r="AX2873" s="1856" t="str">
        <f t="shared" si="476"/>
        <v/>
      </c>
      <c r="AY2873" s="1856" t="str">
        <f t="shared" si="477"/>
        <v/>
      </c>
    </row>
    <row r="2874" spans="42:52">
      <c r="AP2874" s="1855">
        <f t="shared" si="478"/>
        <v>44878</v>
      </c>
      <c r="AQ2874" s="925" t="str">
        <f t="shared" si="480"/>
        <v/>
      </c>
      <c r="AR2874" s="1856" t="str">
        <f t="shared" si="479"/>
        <v/>
      </c>
      <c r="AT2874" s="1856" t="str">
        <f t="shared" si="472"/>
        <v/>
      </c>
      <c r="AU2874" s="1856" t="str">
        <f t="shared" si="473"/>
        <v/>
      </c>
      <c r="AV2874" s="1856" t="str">
        <f t="shared" si="474"/>
        <v/>
      </c>
      <c r="AW2874" s="1856" t="str">
        <f t="shared" si="475"/>
        <v/>
      </c>
      <c r="AX2874" s="1856" t="str">
        <f t="shared" si="476"/>
        <v/>
      </c>
      <c r="AY2874" s="1856" t="str">
        <f t="shared" si="477"/>
        <v/>
      </c>
    </row>
    <row r="2875" spans="42:52">
      <c r="AP2875" s="1855">
        <f t="shared" si="478"/>
        <v>44878</v>
      </c>
      <c r="AQ2875" s="925" t="str">
        <f t="shared" si="480"/>
        <v>BMNT</v>
      </c>
      <c r="AR2875" s="1856">
        <f t="shared" si="479"/>
        <v>44878.265277777777</v>
      </c>
      <c r="AS2875" s="927" t="s">
        <v>1435</v>
      </c>
      <c r="AT2875" s="1856" t="str">
        <f t="shared" si="472"/>
        <v/>
      </c>
      <c r="AU2875" s="1856" t="str">
        <f t="shared" si="473"/>
        <v/>
      </c>
      <c r="AV2875" s="1856" t="str">
        <f t="shared" si="474"/>
        <v/>
      </c>
      <c r="AW2875" s="1856" t="str">
        <f t="shared" si="475"/>
        <v/>
      </c>
      <c r="AX2875" s="1856" t="str">
        <f t="shared" si="476"/>
        <v/>
      </c>
      <c r="AY2875" s="1856" t="str">
        <f t="shared" si="477"/>
        <v/>
      </c>
    </row>
    <row r="2876" spans="42:52">
      <c r="AP2876" s="1855">
        <f t="shared" si="478"/>
        <v>44878</v>
      </c>
      <c r="AQ2876" s="925" t="str">
        <f t="shared" si="480"/>
        <v>SR</v>
      </c>
      <c r="AR2876" s="1856">
        <f t="shared" si="479"/>
        <v>44878.306944444441</v>
      </c>
      <c r="AS2876" s="927" t="s">
        <v>1424</v>
      </c>
      <c r="AT2876" s="1856" t="str">
        <f t="shared" si="472"/>
        <v/>
      </c>
      <c r="AU2876" s="1856" t="str">
        <f t="shared" si="473"/>
        <v/>
      </c>
      <c r="AV2876" s="1856" t="str">
        <f t="shared" si="474"/>
        <v/>
      </c>
      <c r="AW2876" s="1856" t="str">
        <f t="shared" si="475"/>
        <v/>
      </c>
      <c r="AX2876" s="1856" t="str">
        <f t="shared" si="476"/>
        <v/>
      </c>
      <c r="AY2876" s="1856" t="str">
        <f t="shared" si="477"/>
        <v/>
      </c>
    </row>
    <row r="2877" spans="42:52">
      <c r="AP2877" s="1855">
        <f t="shared" si="478"/>
        <v>44878</v>
      </c>
      <c r="AQ2877" s="925" t="str">
        <f t="shared" si="480"/>
        <v>MS</v>
      </c>
      <c r="AR2877" s="1856">
        <f t="shared" si="479"/>
        <v>44878.511111111111</v>
      </c>
      <c r="AS2877" s="927" t="s">
        <v>2338</v>
      </c>
      <c r="AT2877" s="1856" t="str">
        <f t="shared" si="472"/>
        <v/>
      </c>
      <c r="AU2877" s="1856" t="str">
        <f t="shared" si="473"/>
        <v/>
      </c>
      <c r="AV2877" s="1856" t="str">
        <f t="shared" si="474"/>
        <v/>
      </c>
      <c r="AW2877" s="1856" t="str">
        <f t="shared" si="475"/>
        <v/>
      </c>
      <c r="AX2877" s="1856" t="str">
        <f t="shared" si="476"/>
        <v/>
      </c>
      <c r="AY2877" s="1856" t="str">
        <f t="shared" si="477"/>
        <v/>
      </c>
    </row>
    <row r="2878" spans="42:52">
      <c r="AP2878" s="1855">
        <f t="shared" si="478"/>
        <v>44878</v>
      </c>
      <c r="AQ2878" s="925" t="str">
        <f t="shared" si="480"/>
        <v>SS</v>
      </c>
      <c r="AR2878" s="1856">
        <f t="shared" si="479"/>
        <v>44878.731944444444</v>
      </c>
      <c r="AS2878" s="927" t="s">
        <v>2339</v>
      </c>
      <c r="AT2878" s="1856" t="str">
        <f t="shared" si="472"/>
        <v/>
      </c>
      <c r="AU2878" s="1856" t="str">
        <f t="shared" si="473"/>
        <v/>
      </c>
      <c r="AV2878" s="1856" t="str">
        <f t="shared" si="474"/>
        <v/>
      </c>
      <c r="AW2878" s="1856" t="str">
        <f t="shared" si="475"/>
        <v/>
      </c>
      <c r="AX2878" s="1856" t="str">
        <f t="shared" si="476"/>
        <v/>
      </c>
      <c r="AY2878" s="1856" t="str">
        <f t="shared" si="477"/>
        <v/>
      </c>
    </row>
    <row r="2879" spans="42:52">
      <c r="AP2879" s="1855">
        <f t="shared" si="478"/>
        <v>44878</v>
      </c>
      <c r="AQ2879" s="925" t="str">
        <f t="shared" si="480"/>
        <v>EENT</v>
      </c>
      <c r="AR2879" s="1856">
        <f t="shared" si="479"/>
        <v>44878.773611111108</v>
      </c>
      <c r="AS2879" s="927" t="s">
        <v>2340</v>
      </c>
      <c r="AT2879" s="1856" t="str">
        <f t="shared" si="472"/>
        <v/>
      </c>
      <c r="AU2879" s="1856" t="str">
        <f t="shared" si="473"/>
        <v/>
      </c>
      <c r="AV2879" s="1856" t="str">
        <f t="shared" si="474"/>
        <v/>
      </c>
      <c r="AW2879" s="1856" t="str">
        <f t="shared" si="475"/>
        <v/>
      </c>
      <c r="AX2879" s="1856" t="str">
        <f t="shared" si="476"/>
        <v/>
      </c>
      <c r="AY2879" s="1856" t="str">
        <f t="shared" si="477"/>
        <v/>
      </c>
    </row>
    <row r="2880" spans="42:52">
      <c r="AP2880" s="1855">
        <f t="shared" si="478"/>
        <v>44878</v>
      </c>
      <c r="AQ2880" s="925" t="str">
        <f t="shared" si="480"/>
        <v>MR</v>
      </c>
      <c r="AR2880" s="1856">
        <f t="shared" si="479"/>
        <v>44878.898611111108</v>
      </c>
      <c r="AS2880" s="927" t="s">
        <v>2341</v>
      </c>
      <c r="AT2880" s="1856" t="str">
        <f t="shared" si="472"/>
        <v/>
      </c>
      <c r="AU2880" s="1856" t="str">
        <f t="shared" si="473"/>
        <v/>
      </c>
      <c r="AV2880" s="1856" t="str">
        <f t="shared" si="474"/>
        <v/>
      </c>
      <c r="AW2880" s="1856" t="str">
        <f t="shared" si="475"/>
        <v/>
      </c>
      <c r="AX2880" s="1856" t="str">
        <f t="shared" si="476"/>
        <v/>
      </c>
      <c r="AY2880" s="1856" t="str">
        <f t="shared" si="477"/>
        <v/>
      </c>
    </row>
    <row r="2881" spans="42:52">
      <c r="AP2881" s="1855">
        <f t="shared" si="478"/>
        <v>44879</v>
      </c>
      <c r="AQ2881" s="925" t="str">
        <f t="shared" si="480"/>
        <v/>
      </c>
      <c r="AR2881" s="1856" t="str">
        <f t="shared" si="479"/>
        <v/>
      </c>
      <c r="AS2881" s="927">
        <v>14</v>
      </c>
      <c r="AT2881" s="1856">
        <f t="shared" si="472"/>
        <v>44879.265972222223</v>
      </c>
      <c r="AU2881" s="1856">
        <f t="shared" si="473"/>
        <v>44879.307638888888</v>
      </c>
      <c r="AV2881" s="1856">
        <f t="shared" si="474"/>
        <v>44879.731944444444</v>
      </c>
      <c r="AW2881" s="1856">
        <f t="shared" si="475"/>
        <v>44879.772916666669</v>
      </c>
      <c r="AX2881" s="1856">
        <f t="shared" si="476"/>
        <v>44879.939583333333</v>
      </c>
      <c r="AY2881" s="1856">
        <f t="shared" si="477"/>
        <v>44879.539583333331</v>
      </c>
      <c r="AZ2881" s="1853">
        <v>0.72</v>
      </c>
    </row>
    <row r="2882" spans="42:52">
      <c r="AP2882" s="1855">
        <f t="shared" si="478"/>
        <v>44879</v>
      </c>
      <c r="AQ2882" s="925" t="str">
        <f t="shared" si="480"/>
        <v/>
      </c>
      <c r="AR2882" s="1856" t="str">
        <f t="shared" si="479"/>
        <v/>
      </c>
      <c r="AS2882" s="927" t="s">
        <v>252</v>
      </c>
      <c r="AT2882" s="1856" t="str">
        <f t="shared" si="472"/>
        <v/>
      </c>
      <c r="AU2882" s="1856" t="str">
        <f t="shared" si="473"/>
        <v/>
      </c>
      <c r="AV2882" s="1856" t="str">
        <f t="shared" si="474"/>
        <v/>
      </c>
      <c r="AW2882" s="1856" t="str">
        <f t="shared" si="475"/>
        <v/>
      </c>
      <c r="AX2882" s="1856" t="str">
        <f t="shared" si="476"/>
        <v/>
      </c>
      <c r="AY2882" s="1856" t="str">
        <f t="shared" si="477"/>
        <v/>
      </c>
    </row>
    <row r="2883" spans="42:52">
      <c r="AP2883" s="1855">
        <f t="shared" si="478"/>
        <v>44879</v>
      </c>
      <c r="AQ2883" s="925" t="str">
        <f t="shared" si="480"/>
        <v/>
      </c>
      <c r="AR2883" s="1856" t="str">
        <f t="shared" si="479"/>
        <v/>
      </c>
      <c r="AT2883" s="1856" t="str">
        <f t="shared" si="472"/>
        <v/>
      </c>
      <c r="AU2883" s="1856" t="str">
        <f t="shared" si="473"/>
        <v/>
      </c>
      <c r="AV2883" s="1856" t="str">
        <f t="shared" si="474"/>
        <v/>
      </c>
      <c r="AW2883" s="1856" t="str">
        <f t="shared" si="475"/>
        <v/>
      </c>
      <c r="AX2883" s="1856" t="str">
        <f t="shared" si="476"/>
        <v/>
      </c>
      <c r="AY2883" s="1856" t="str">
        <f t="shared" si="477"/>
        <v/>
      </c>
    </row>
    <row r="2884" spans="42:52">
      <c r="AP2884" s="1855">
        <f t="shared" si="478"/>
        <v>44879</v>
      </c>
      <c r="AQ2884" s="925" t="str">
        <f t="shared" si="480"/>
        <v>BMNT</v>
      </c>
      <c r="AR2884" s="1856">
        <f t="shared" si="479"/>
        <v>44879.265972222223</v>
      </c>
      <c r="AS2884" s="927" t="s">
        <v>1429</v>
      </c>
      <c r="AT2884" s="1856" t="str">
        <f t="shared" si="472"/>
        <v/>
      </c>
      <c r="AU2884" s="1856" t="str">
        <f t="shared" si="473"/>
        <v/>
      </c>
      <c r="AV2884" s="1856" t="str">
        <f t="shared" si="474"/>
        <v/>
      </c>
      <c r="AW2884" s="1856" t="str">
        <f t="shared" si="475"/>
        <v/>
      </c>
      <c r="AX2884" s="1856" t="str">
        <f t="shared" si="476"/>
        <v/>
      </c>
      <c r="AY2884" s="1856" t="str">
        <f t="shared" si="477"/>
        <v/>
      </c>
    </row>
    <row r="2885" spans="42:52">
      <c r="AP2885" s="1855">
        <f t="shared" si="478"/>
        <v>44879</v>
      </c>
      <c r="AQ2885" s="925" t="str">
        <f t="shared" si="480"/>
        <v>SR</v>
      </c>
      <c r="AR2885" s="1856">
        <f t="shared" si="479"/>
        <v>44879.307638888888</v>
      </c>
      <c r="AS2885" s="927" t="s">
        <v>1418</v>
      </c>
      <c r="AT2885" s="1856" t="str">
        <f t="shared" si="472"/>
        <v/>
      </c>
      <c r="AU2885" s="1856" t="str">
        <f t="shared" si="473"/>
        <v/>
      </c>
      <c r="AV2885" s="1856" t="str">
        <f t="shared" si="474"/>
        <v/>
      </c>
      <c r="AW2885" s="1856" t="str">
        <f t="shared" si="475"/>
        <v/>
      </c>
      <c r="AX2885" s="1856" t="str">
        <f t="shared" si="476"/>
        <v/>
      </c>
      <c r="AY2885" s="1856" t="str">
        <f t="shared" si="477"/>
        <v/>
      </c>
    </row>
    <row r="2886" spans="42:52">
      <c r="AP2886" s="1855">
        <f t="shared" si="478"/>
        <v>44879</v>
      </c>
      <c r="AQ2886" s="925" t="str">
        <f t="shared" si="480"/>
        <v>MS</v>
      </c>
      <c r="AR2886" s="1856">
        <f t="shared" si="479"/>
        <v>44879.539583333331</v>
      </c>
      <c r="AS2886" s="927" t="s">
        <v>2342</v>
      </c>
      <c r="AT2886" s="1856" t="str">
        <f t="shared" si="472"/>
        <v/>
      </c>
      <c r="AU2886" s="1856" t="str">
        <f t="shared" si="473"/>
        <v/>
      </c>
      <c r="AV2886" s="1856" t="str">
        <f t="shared" si="474"/>
        <v/>
      </c>
      <c r="AW2886" s="1856" t="str">
        <f t="shared" si="475"/>
        <v/>
      </c>
      <c r="AX2886" s="1856" t="str">
        <f t="shared" si="476"/>
        <v/>
      </c>
      <c r="AY2886" s="1856" t="str">
        <f t="shared" si="477"/>
        <v/>
      </c>
    </row>
    <row r="2887" spans="42:52">
      <c r="AP2887" s="1855">
        <f t="shared" si="478"/>
        <v>44879</v>
      </c>
      <c r="AQ2887" s="925" t="str">
        <f t="shared" si="480"/>
        <v>SS</v>
      </c>
      <c r="AR2887" s="1856">
        <f t="shared" si="479"/>
        <v>44879.731944444444</v>
      </c>
      <c r="AS2887" s="927" t="s">
        <v>2339</v>
      </c>
      <c r="AT2887" s="1856" t="str">
        <f t="shared" si="472"/>
        <v/>
      </c>
      <c r="AU2887" s="1856" t="str">
        <f t="shared" si="473"/>
        <v/>
      </c>
      <c r="AV2887" s="1856" t="str">
        <f t="shared" si="474"/>
        <v/>
      </c>
      <c r="AW2887" s="1856" t="str">
        <f t="shared" si="475"/>
        <v/>
      </c>
      <c r="AX2887" s="1856" t="str">
        <f t="shared" si="476"/>
        <v/>
      </c>
      <c r="AY2887" s="1856" t="str">
        <f t="shared" si="477"/>
        <v/>
      </c>
    </row>
    <row r="2888" spans="42:52">
      <c r="AP2888" s="1855">
        <f t="shared" si="478"/>
        <v>44879</v>
      </c>
      <c r="AQ2888" s="925" t="str">
        <f t="shared" si="480"/>
        <v>EENT</v>
      </c>
      <c r="AR2888" s="1856">
        <f t="shared" si="479"/>
        <v>44879.772916666669</v>
      </c>
      <c r="AS2888" s="927" t="s">
        <v>2343</v>
      </c>
      <c r="AT2888" s="1856" t="str">
        <f t="shared" si="472"/>
        <v/>
      </c>
      <c r="AU2888" s="1856" t="str">
        <f t="shared" si="473"/>
        <v/>
      </c>
      <c r="AV2888" s="1856" t="str">
        <f t="shared" si="474"/>
        <v/>
      </c>
      <c r="AW2888" s="1856" t="str">
        <f t="shared" si="475"/>
        <v/>
      </c>
      <c r="AX2888" s="1856" t="str">
        <f t="shared" si="476"/>
        <v/>
      </c>
      <c r="AY2888" s="1856" t="str">
        <f t="shared" si="477"/>
        <v/>
      </c>
    </row>
    <row r="2889" spans="42:52">
      <c r="AP2889" s="1855">
        <f t="shared" si="478"/>
        <v>44879</v>
      </c>
      <c r="AQ2889" s="925" t="str">
        <f t="shared" si="480"/>
        <v>MR</v>
      </c>
      <c r="AR2889" s="1856">
        <f t="shared" si="479"/>
        <v>44879.939583333333</v>
      </c>
      <c r="AS2889" s="927" t="s">
        <v>2344</v>
      </c>
      <c r="AT2889" s="1856" t="str">
        <f t="shared" si="472"/>
        <v/>
      </c>
      <c r="AU2889" s="1856" t="str">
        <f t="shared" si="473"/>
        <v/>
      </c>
      <c r="AV2889" s="1856" t="str">
        <f t="shared" si="474"/>
        <v/>
      </c>
      <c r="AW2889" s="1856" t="str">
        <f t="shared" si="475"/>
        <v/>
      </c>
      <c r="AX2889" s="1856" t="str">
        <f t="shared" si="476"/>
        <v/>
      </c>
      <c r="AY2889" s="1856" t="str">
        <f t="shared" si="477"/>
        <v/>
      </c>
    </row>
    <row r="2890" spans="42:52">
      <c r="AP2890" s="1855">
        <f t="shared" si="478"/>
        <v>44880</v>
      </c>
      <c r="AQ2890" s="925" t="str">
        <f t="shared" si="480"/>
        <v/>
      </c>
      <c r="AR2890" s="1856" t="str">
        <f t="shared" si="479"/>
        <v/>
      </c>
      <c r="AS2890" s="927">
        <v>15</v>
      </c>
      <c r="AT2890" s="1856">
        <f t="shared" si="472"/>
        <v>44880.26666666667</v>
      </c>
      <c r="AU2890" s="1856">
        <f t="shared" si="473"/>
        <v>44880.308333333334</v>
      </c>
      <c r="AV2890" s="1856">
        <f t="shared" si="474"/>
        <v>44880.731250000004</v>
      </c>
      <c r="AW2890" s="1856">
        <f t="shared" si="475"/>
        <v>44880.772916666669</v>
      </c>
      <c r="AX2890" s="1856">
        <f t="shared" si="476"/>
        <v>44880.981944444444</v>
      </c>
      <c r="AY2890" s="1856">
        <f t="shared" si="477"/>
        <v>44880.563194444439</v>
      </c>
      <c r="AZ2890" s="1853">
        <v>0.63</v>
      </c>
    </row>
    <row r="2891" spans="42:52">
      <c r="AP2891" s="1855">
        <f t="shared" si="478"/>
        <v>44880</v>
      </c>
      <c r="AQ2891" s="925" t="str">
        <f t="shared" si="480"/>
        <v/>
      </c>
      <c r="AR2891" s="1856" t="str">
        <f t="shared" si="479"/>
        <v/>
      </c>
      <c r="AS2891" s="927" t="s">
        <v>252</v>
      </c>
      <c r="AT2891" s="1856" t="str">
        <f t="shared" si="472"/>
        <v/>
      </c>
      <c r="AU2891" s="1856" t="str">
        <f t="shared" si="473"/>
        <v/>
      </c>
      <c r="AV2891" s="1856" t="str">
        <f t="shared" si="474"/>
        <v/>
      </c>
      <c r="AW2891" s="1856" t="str">
        <f t="shared" si="475"/>
        <v/>
      </c>
      <c r="AX2891" s="1856" t="str">
        <f t="shared" si="476"/>
        <v/>
      </c>
      <c r="AY2891" s="1856" t="str">
        <f t="shared" si="477"/>
        <v/>
      </c>
    </row>
    <row r="2892" spans="42:52">
      <c r="AP2892" s="1855">
        <f t="shared" si="478"/>
        <v>44880</v>
      </c>
      <c r="AQ2892" s="925" t="str">
        <f t="shared" si="480"/>
        <v/>
      </c>
      <c r="AR2892" s="1856" t="str">
        <f t="shared" si="479"/>
        <v/>
      </c>
      <c r="AT2892" s="1856" t="str">
        <f t="shared" si="472"/>
        <v/>
      </c>
      <c r="AU2892" s="1856" t="str">
        <f t="shared" si="473"/>
        <v/>
      </c>
      <c r="AV2892" s="1856" t="str">
        <f t="shared" si="474"/>
        <v/>
      </c>
      <c r="AW2892" s="1856" t="str">
        <f t="shared" si="475"/>
        <v/>
      </c>
      <c r="AX2892" s="1856" t="str">
        <f t="shared" si="476"/>
        <v/>
      </c>
      <c r="AY2892" s="1856" t="str">
        <f t="shared" si="477"/>
        <v/>
      </c>
    </row>
    <row r="2893" spans="42:52">
      <c r="AP2893" s="1855">
        <f t="shared" si="478"/>
        <v>44880</v>
      </c>
      <c r="AQ2893" s="925" t="str">
        <f t="shared" si="480"/>
        <v>BMNT</v>
      </c>
      <c r="AR2893" s="1856">
        <f t="shared" si="479"/>
        <v>44880.26666666667</v>
      </c>
      <c r="AS2893" s="927" t="s">
        <v>1423</v>
      </c>
      <c r="AT2893" s="1856" t="str">
        <f t="shared" si="472"/>
        <v/>
      </c>
      <c r="AU2893" s="1856" t="str">
        <f t="shared" si="473"/>
        <v/>
      </c>
      <c r="AV2893" s="1856" t="str">
        <f t="shared" si="474"/>
        <v/>
      </c>
      <c r="AW2893" s="1856" t="str">
        <f t="shared" si="475"/>
        <v/>
      </c>
      <c r="AX2893" s="1856" t="str">
        <f t="shared" si="476"/>
        <v/>
      </c>
      <c r="AY2893" s="1856" t="str">
        <f t="shared" si="477"/>
        <v/>
      </c>
    </row>
    <row r="2894" spans="42:52">
      <c r="AP2894" s="1855">
        <f t="shared" si="478"/>
        <v>44880</v>
      </c>
      <c r="AQ2894" s="925" t="str">
        <f t="shared" si="480"/>
        <v>SR</v>
      </c>
      <c r="AR2894" s="1856">
        <f t="shared" si="479"/>
        <v>44880.308333333334</v>
      </c>
      <c r="AS2894" s="927" t="s">
        <v>1412</v>
      </c>
      <c r="AT2894" s="1856" t="str">
        <f t="shared" si="472"/>
        <v/>
      </c>
      <c r="AU2894" s="1856" t="str">
        <f t="shared" si="473"/>
        <v/>
      </c>
      <c r="AV2894" s="1856" t="str">
        <f t="shared" si="474"/>
        <v/>
      </c>
      <c r="AW2894" s="1856" t="str">
        <f t="shared" si="475"/>
        <v/>
      </c>
      <c r="AX2894" s="1856" t="str">
        <f t="shared" si="476"/>
        <v/>
      </c>
      <c r="AY2894" s="1856" t="str">
        <f t="shared" si="477"/>
        <v/>
      </c>
    </row>
    <row r="2895" spans="42:52">
      <c r="AP2895" s="1855">
        <f t="shared" si="478"/>
        <v>44880</v>
      </c>
      <c r="AQ2895" s="925" t="str">
        <f t="shared" si="480"/>
        <v>MS</v>
      </c>
      <c r="AR2895" s="1856">
        <f t="shared" si="479"/>
        <v>44880.563194444439</v>
      </c>
      <c r="AS2895" s="927" t="s">
        <v>2345</v>
      </c>
      <c r="AT2895" s="1856" t="str">
        <f t="shared" si="472"/>
        <v/>
      </c>
      <c r="AU2895" s="1856" t="str">
        <f t="shared" si="473"/>
        <v/>
      </c>
      <c r="AV2895" s="1856" t="str">
        <f t="shared" si="474"/>
        <v/>
      </c>
      <c r="AW2895" s="1856" t="str">
        <f t="shared" si="475"/>
        <v/>
      </c>
      <c r="AX2895" s="1856" t="str">
        <f t="shared" si="476"/>
        <v/>
      </c>
      <c r="AY2895" s="1856" t="str">
        <f t="shared" si="477"/>
        <v/>
      </c>
    </row>
    <row r="2896" spans="42:52">
      <c r="AP2896" s="1855">
        <f t="shared" si="478"/>
        <v>44880</v>
      </c>
      <c r="AQ2896" s="925" t="str">
        <f t="shared" si="480"/>
        <v>SS</v>
      </c>
      <c r="AR2896" s="1856">
        <f t="shared" si="479"/>
        <v>44880.731250000004</v>
      </c>
      <c r="AS2896" s="927" t="s">
        <v>2346</v>
      </c>
      <c r="AT2896" s="1856" t="str">
        <f t="shared" si="472"/>
        <v/>
      </c>
      <c r="AU2896" s="1856" t="str">
        <f t="shared" si="473"/>
        <v/>
      </c>
      <c r="AV2896" s="1856" t="str">
        <f t="shared" si="474"/>
        <v/>
      </c>
      <c r="AW2896" s="1856" t="str">
        <f t="shared" si="475"/>
        <v/>
      </c>
      <c r="AX2896" s="1856" t="str">
        <f t="shared" si="476"/>
        <v/>
      </c>
      <c r="AY2896" s="1856" t="str">
        <f t="shared" si="477"/>
        <v/>
      </c>
    </row>
    <row r="2897" spans="42:52">
      <c r="AP2897" s="1855">
        <f t="shared" si="478"/>
        <v>44880</v>
      </c>
      <c r="AQ2897" s="925" t="str">
        <f t="shared" si="480"/>
        <v>EENT</v>
      </c>
      <c r="AR2897" s="1856">
        <f t="shared" si="479"/>
        <v>44880.772916666669</v>
      </c>
      <c r="AS2897" s="927" t="s">
        <v>2343</v>
      </c>
      <c r="AT2897" s="1856" t="str">
        <f t="shared" si="472"/>
        <v/>
      </c>
      <c r="AU2897" s="1856" t="str">
        <f t="shared" si="473"/>
        <v/>
      </c>
      <c r="AV2897" s="1856" t="str">
        <f t="shared" si="474"/>
        <v/>
      </c>
      <c r="AW2897" s="1856" t="str">
        <f t="shared" si="475"/>
        <v/>
      </c>
      <c r="AX2897" s="1856" t="str">
        <f t="shared" si="476"/>
        <v/>
      </c>
      <c r="AY2897" s="1856" t="str">
        <f t="shared" si="477"/>
        <v/>
      </c>
    </row>
    <row r="2898" spans="42:52">
      <c r="AP2898" s="1855">
        <f t="shared" si="478"/>
        <v>44880</v>
      </c>
      <c r="AQ2898" s="925" t="str">
        <f t="shared" si="480"/>
        <v>MR</v>
      </c>
      <c r="AR2898" s="1856">
        <f t="shared" si="479"/>
        <v>44880.981944444444</v>
      </c>
      <c r="AS2898" s="927" t="s">
        <v>2347</v>
      </c>
      <c r="AT2898" s="1856" t="str">
        <f t="shared" si="472"/>
        <v/>
      </c>
      <c r="AU2898" s="1856" t="str">
        <f t="shared" si="473"/>
        <v/>
      </c>
      <c r="AV2898" s="1856" t="str">
        <f t="shared" si="474"/>
        <v/>
      </c>
      <c r="AW2898" s="1856" t="str">
        <f t="shared" si="475"/>
        <v/>
      </c>
      <c r="AX2898" s="1856" t="str">
        <f t="shared" si="476"/>
        <v/>
      </c>
      <c r="AY2898" s="1856" t="str">
        <f t="shared" si="477"/>
        <v/>
      </c>
    </row>
    <row r="2899" spans="42:52">
      <c r="AP2899" s="1855">
        <f t="shared" si="478"/>
        <v>44881</v>
      </c>
      <c r="AQ2899" s="925" t="str">
        <f t="shared" si="480"/>
        <v/>
      </c>
      <c r="AR2899" s="1856" t="str">
        <f t="shared" si="479"/>
        <v/>
      </c>
      <c r="AS2899" s="927">
        <v>16</v>
      </c>
      <c r="AT2899" s="1856">
        <f t="shared" si="472"/>
        <v>44881.267361111109</v>
      </c>
      <c r="AU2899" s="1856">
        <f t="shared" si="473"/>
        <v>44881.309027777774</v>
      </c>
      <c r="AV2899" s="1856">
        <f t="shared" si="474"/>
        <v>44881.730555555558</v>
      </c>
      <c r="AW2899" s="1856">
        <f t="shared" si="475"/>
        <v>44881.772222222222</v>
      </c>
      <c r="AX2899" s="1856" t="str">
        <f t="shared" si="476"/>
        <v>NONE</v>
      </c>
      <c r="AY2899" s="1856">
        <f t="shared" si="477"/>
        <v>44881.584027777782</v>
      </c>
      <c r="AZ2899" s="1853">
        <v>0.54</v>
      </c>
    </row>
    <row r="2900" spans="42:52">
      <c r="AP2900" s="1855">
        <f t="shared" si="478"/>
        <v>44881</v>
      </c>
      <c r="AQ2900" s="925" t="str">
        <f t="shared" si="480"/>
        <v/>
      </c>
      <c r="AR2900" s="1856" t="str">
        <f t="shared" si="479"/>
        <v/>
      </c>
      <c r="AS2900" s="927" t="s">
        <v>252</v>
      </c>
      <c r="AT2900" s="1856" t="str">
        <f t="shared" si="472"/>
        <v/>
      </c>
      <c r="AU2900" s="1856" t="str">
        <f t="shared" si="473"/>
        <v/>
      </c>
      <c r="AV2900" s="1856" t="str">
        <f t="shared" si="474"/>
        <v/>
      </c>
      <c r="AW2900" s="1856" t="str">
        <f t="shared" si="475"/>
        <v/>
      </c>
      <c r="AX2900" s="1856" t="str">
        <f t="shared" si="476"/>
        <v/>
      </c>
      <c r="AY2900" s="1856" t="str">
        <f t="shared" si="477"/>
        <v/>
      </c>
    </row>
    <row r="2901" spans="42:52">
      <c r="AP2901" s="1855">
        <f t="shared" si="478"/>
        <v>44881</v>
      </c>
      <c r="AQ2901" s="925" t="str">
        <f t="shared" si="480"/>
        <v/>
      </c>
      <c r="AR2901" s="1856" t="str">
        <f t="shared" si="479"/>
        <v/>
      </c>
      <c r="AT2901" s="1856" t="str">
        <f t="shared" si="472"/>
        <v/>
      </c>
      <c r="AU2901" s="1856" t="str">
        <f t="shared" si="473"/>
        <v/>
      </c>
      <c r="AV2901" s="1856" t="str">
        <f t="shared" si="474"/>
        <v/>
      </c>
      <c r="AW2901" s="1856" t="str">
        <f t="shared" si="475"/>
        <v/>
      </c>
      <c r="AX2901" s="1856" t="str">
        <f t="shared" si="476"/>
        <v/>
      </c>
      <c r="AY2901" s="1856" t="str">
        <f t="shared" si="477"/>
        <v/>
      </c>
    </row>
    <row r="2902" spans="42:52">
      <c r="AP2902" s="1855">
        <f t="shared" si="478"/>
        <v>44881</v>
      </c>
      <c r="AQ2902" s="925" t="str">
        <f t="shared" si="480"/>
        <v>BMNT</v>
      </c>
      <c r="AR2902" s="1856">
        <f t="shared" si="479"/>
        <v>44881.267361111109</v>
      </c>
      <c r="AS2902" s="927" t="s">
        <v>2124</v>
      </c>
      <c r="AT2902" s="1856" t="str">
        <f t="shared" si="472"/>
        <v/>
      </c>
      <c r="AU2902" s="1856" t="str">
        <f t="shared" si="473"/>
        <v/>
      </c>
      <c r="AV2902" s="1856" t="str">
        <f t="shared" si="474"/>
        <v/>
      </c>
      <c r="AW2902" s="1856" t="str">
        <f t="shared" si="475"/>
        <v/>
      </c>
      <c r="AX2902" s="1856" t="str">
        <f t="shared" si="476"/>
        <v/>
      </c>
      <c r="AY2902" s="1856" t="str">
        <f t="shared" si="477"/>
        <v/>
      </c>
    </row>
    <row r="2903" spans="42:52">
      <c r="AP2903" s="1855">
        <f t="shared" si="478"/>
        <v>44881</v>
      </c>
      <c r="AQ2903" s="925" t="str">
        <f t="shared" si="480"/>
        <v>SR</v>
      </c>
      <c r="AR2903" s="1856">
        <f t="shared" si="479"/>
        <v>44881.309027777774</v>
      </c>
      <c r="AS2903" s="927" t="s">
        <v>1406</v>
      </c>
      <c r="AT2903" s="1856" t="str">
        <f t="shared" si="472"/>
        <v/>
      </c>
      <c r="AU2903" s="1856" t="str">
        <f t="shared" si="473"/>
        <v/>
      </c>
      <c r="AV2903" s="1856" t="str">
        <f t="shared" si="474"/>
        <v/>
      </c>
      <c r="AW2903" s="1856" t="str">
        <f t="shared" si="475"/>
        <v/>
      </c>
      <c r="AX2903" s="1856" t="str">
        <f t="shared" si="476"/>
        <v/>
      </c>
      <c r="AY2903" s="1856" t="str">
        <f t="shared" si="477"/>
        <v/>
      </c>
    </row>
    <row r="2904" spans="42:52">
      <c r="AP2904" s="1855">
        <f t="shared" si="478"/>
        <v>44881</v>
      </c>
      <c r="AQ2904" s="925" t="str">
        <f t="shared" si="480"/>
        <v>MS</v>
      </c>
      <c r="AR2904" s="1856">
        <f t="shared" si="479"/>
        <v>44881.584027777782</v>
      </c>
      <c r="AS2904" s="927" t="s">
        <v>2348</v>
      </c>
      <c r="AT2904" s="1856" t="str">
        <f t="shared" si="472"/>
        <v/>
      </c>
      <c r="AU2904" s="1856" t="str">
        <f t="shared" si="473"/>
        <v/>
      </c>
      <c r="AV2904" s="1856" t="str">
        <f t="shared" si="474"/>
        <v/>
      </c>
      <c r="AW2904" s="1856" t="str">
        <f t="shared" si="475"/>
        <v/>
      </c>
      <c r="AX2904" s="1856" t="str">
        <f t="shared" si="476"/>
        <v/>
      </c>
      <c r="AY2904" s="1856" t="str">
        <f t="shared" si="477"/>
        <v/>
      </c>
    </row>
    <row r="2905" spans="42:52">
      <c r="AP2905" s="1855">
        <f t="shared" si="478"/>
        <v>44881</v>
      </c>
      <c r="AQ2905" s="925" t="str">
        <f t="shared" si="480"/>
        <v>SS</v>
      </c>
      <c r="AR2905" s="1856">
        <f t="shared" si="479"/>
        <v>44881.730555555558</v>
      </c>
      <c r="AS2905" s="927" t="s">
        <v>2349</v>
      </c>
      <c r="AT2905" s="1856" t="str">
        <f t="shared" si="472"/>
        <v/>
      </c>
      <c r="AU2905" s="1856" t="str">
        <f t="shared" si="473"/>
        <v/>
      </c>
      <c r="AV2905" s="1856" t="str">
        <f t="shared" si="474"/>
        <v/>
      </c>
      <c r="AW2905" s="1856" t="str">
        <f t="shared" si="475"/>
        <v/>
      </c>
      <c r="AX2905" s="1856" t="str">
        <f t="shared" si="476"/>
        <v/>
      </c>
      <c r="AY2905" s="1856" t="str">
        <f t="shared" si="477"/>
        <v/>
      </c>
    </row>
    <row r="2906" spans="42:52">
      <c r="AP2906" s="1855">
        <f t="shared" si="478"/>
        <v>44881</v>
      </c>
      <c r="AQ2906" s="925" t="str">
        <f t="shared" si="480"/>
        <v>EENT</v>
      </c>
      <c r="AR2906" s="1856">
        <f t="shared" si="479"/>
        <v>44881.772222222222</v>
      </c>
      <c r="AS2906" s="927" t="s">
        <v>2350</v>
      </c>
      <c r="AT2906" s="1856" t="str">
        <f t="shared" si="472"/>
        <v/>
      </c>
      <c r="AU2906" s="1856" t="str">
        <f t="shared" si="473"/>
        <v/>
      </c>
      <c r="AV2906" s="1856" t="str">
        <f t="shared" si="474"/>
        <v/>
      </c>
      <c r="AW2906" s="1856" t="str">
        <f t="shared" si="475"/>
        <v/>
      </c>
      <c r="AX2906" s="1856" t="str">
        <f t="shared" si="476"/>
        <v/>
      </c>
      <c r="AY2906" s="1856" t="str">
        <f t="shared" si="477"/>
        <v/>
      </c>
    </row>
    <row r="2907" spans="42:52">
      <c r="AP2907" s="1855">
        <f t="shared" si="478"/>
        <v>44881</v>
      </c>
      <c r="AQ2907" s="925" t="str">
        <f t="shared" si="480"/>
        <v>MR</v>
      </c>
      <c r="AR2907" s="1856" t="str">
        <f t="shared" si="479"/>
        <v>NONE</v>
      </c>
      <c r="AS2907" s="927" t="s">
        <v>1153</v>
      </c>
      <c r="AT2907" s="1856" t="str">
        <f t="shared" si="472"/>
        <v/>
      </c>
      <c r="AU2907" s="1856" t="str">
        <f t="shared" si="473"/>
        <v/>
      </c>
      <c r="AV2907" s="1856" t="str">
        <f t="shared" si="474"/>
        <v/>
      </c>
      <c r="AW2907" s="1856" t="str">
        <f t="shared" si="475"/>
        <v/>
      </c>
      <c r="AX2907" s="1856" t="str">
        <f t="shared" si="476"/>
        <v/>
      </c>
      <c r="AY2907" s="1856" t="str">
        <f t="shared" si="477"/>
        <v/>
      </c>
    </row>
    <row r="2908" spans="42:52">
      <c r="AP2908" s="1855">
        <f t="shared" si="478"/>
        <v>44882</v>
      </c>
      <c r="AQ2908" s="925" t="str">
        <f t="shared" si="480"/>
        <v/>
      </c>
      <c r="AR2908" s="1856" t="str">
        <f t="shared" si="479"/>
        <v/>
      </c>
      <c r="AS2908" s="927">
        <v>17</v>
      </c>
      <c r="AT2908" s="1856">
        <f t="shared" ref="AT2908:AT2971" si="481">IF(ISNUMBER(AS2908),INDEX(AR2909:AR2919,MATCH($AT$27,AQ2909:AQ2919,0)),"")</f>
        <v>44882.268055555556</v>
      </c>
      <c r="AU2908" s="1856">
        <f t="shared" ref="AU2908:AU2971" si="482">IF(AT2908="","",INDEX(AR2909:AR2919,MATCH($AU$27,AQ2909:AQ2919,0)))</f>
        <v>44882.30972222222</v>
      </c>
      <c r="AV2908" s="1856">
        <f t="shared" ref="AV2908:AV2971" si="483">IF(AT2908="","",INDEX(AR2909:AR2919,MATCH($AV$27,AQ2909:AQ2919,0)))</f>
        <v>44882.729861111111</v>
      </c>
      <c r="AW2908" s="1856">
        <f t="shared" ref="AW2908:AW2971" si="484">IF(AT2908="","",INDEX(AR2909:AR2919,MATCH($AW$27,AQ2909:AQ2919,0)))</f>
        <v>44882.771527777775</v>
      </c>
      <c r="AX2908" s="1856">
        <f t="shared" ref="AX2908:AX2971" si="485">IF(AT2908="","",INDEX(AR2909:AR2919,MATCH($AX$27,AQ2909:AQ2919,0)))</f>
        <v>44882.024305555555</v>
      </c>
      <c r="AY2908" s="1856">
        <f t="shared" ref="AY2908:AY2971" si="486">IF(AT2908="","",INDEX(AR2909:AR2919,MATCH($AY$27,AQ2909:AQ2919,0)))</f>
        <v>44882.602083333339</v>
      </c>
      <c r="AZ2908" s="1853">
        <v>0.44</v>
      </c>
    </row>
    <row r="2909" spans="42:52">
      <c r="AP2909" s="1855">
        <f t="shared" si="478"/>
        <v>44882</v>
      </c>
      <c r="AQ2909" s="925" t="str">
        <f t="shared" si="480"/>
        <v/>
      </c>
      <c r="AR2909" s="1856" t="str">
        <f t="shared" si="479"/>
        <v/>
      </c>
      <c r="AS2909" s="927" t="s">
        <v>252</v>
      </c>
      <c r="AT2909" s="1856" t="str">
        <f t="shared" si="481"/>
        <v/>
      </c>
      <c r="AU2909" s="1856" t="str">
        <f t="shared" si="482"/>
        <v/>
      </c>
      <c r="AV2909" s="1856" t="str">
        <f t="shared" si="483"/>
        <v/>
      </c>
      <c r="AW2909" s="1856" t="str">
        <f t="shared" si="484"/>
        <v/>
      </c>
      <c r="AX2909" s="1856" t="str">
        <f t="shared" si="485"/>
        <v/>
      </c>
      <c r="AY2909" s="1856" t="str">
        <f t="shared" si="486"/>
        <v/>
      </c>
    </row>
    <row r="2910" spans="42:52">
      <c r="AP2910" s="1855">
        <f t="shared" si="478"/>
        <v>44882</v>
      </c>
      <c r="AQ2910" s="925" t="str">
        <f t="shared" si="480"/>
        <v/>
      </c>
      <c r="AR2910" s="1856" t="str">
        <f t="shared" si="479"/>
        <v/>
      </c>
      <c r="AT2910" s="1856" t="str">
        <f t="shared" si="481"/>
        <v/>
      </c>
      <c r="AU2910" s="1856" t="str">
        <f t="shared" si="482"/>
        <v/>
      </c>
      <c r="AV2910" s="1856" t="str">
        <f t="shared" si="483"/>
        <v/>
      </c>
      <c r="AW2910" s="1856" t="str">
        <f t="shared" si="484"/>
        <v/>
      </c>
      <c r="AX2910" s="1856" t="str">
        <f t="shared" si="485"/>
        <v/>
      </c>
      <c r="AY2910" s="1856" t="str">
        <f t="shared" si="486"/>
        <v/>
      </c>
    </row>
    <row r="2911" spans="42:52">
      <c r="AP2911" s="1855">
        <f t="shared" si="478"/>
        <v>44882</v>
      </c>
      <c r="AQ2911" s="925" t="str">
        <f t="shared" si="480"/>
        <v>MR</v>
      </c>
      <c r="AR2911" s="1856">
        <f t="shared" si="479"/>
        <v>44882.024305555555</v>
      </c>
      <c r="AS2911" s="927" t="s">
        <v>2351</v>
      </c>
      <c r="AT2911" s="1856" t="str">
        <f t="shared" si="481"/>
        <v/>
      </c>
      <c r="AU2911" s="1856" t="str">
        <f t="shared" si="482"/>
        <v/>
      </c>
      <c r="AV2911" s="1856" t="str">
        <f t="shared" si="483"/>
        <v/>
      </c>
      <c r="AW2911" s="1856" t="str">
        <f t="shared" si="484"/>
        <v/>
      </c>
      <c r="AX2911" s="1856" t="str">
        <f t="shared" si="485"/>
        <v/>
      </c>
      <c r="AY2911" s="1856" t="str">
        <f t="shared" si="486"/>
        <v/>
      </c>
    </row>
    <row r="2912" spans="42:52">
      <c r="AP2912" s="1855">
        <f t="shared" si="478"/>
        <v>44882</v>
      </c>
      <c r="AQ2912" s="925" t="str">
        <f t="shared" si="480"/>
        <v>BMNT</v>
      </c>
      <c r="AR2912" s="1856">
        <f t="shared" si="479"/>
        <v>44882.268055555556</v>
      </c>
      <c r="AS2912" s="927" t="s">
        <v>1417</v>
      </c>
      <c r="AT2912" s="1856" t="str">
        <f t="shared" si="481"/>
        <v/>
      </c>
      <c r="AU2912" s="1856" t="str">
        <f t="shared" si="482"/>
        <v/>
      </c>
      <c r="AV2912" s="1856" t="str">
        <f t="shared" si="483"/>
        <v/>
      </c>
      <c r="AW2912" s="1856" t="str">
        <f t="shared" si="484"/>
        <v/>
      </c>
      <c r="AX2912" s="1856" t="str">
        <f t="shared" si="485"/>
        <v/>
      </c>
      <c r="AY2912" s="1856" t="str">
        <f t="shared" si="486"/>
        <v/>
      </c>
    </row>
    <row r="2913" spans="42:52">
      <c r="AP2913" s="1855">
        <f t="shared" si="478"/>
        <v>44882</v>
      </c>
      <c r="AQ2913" s="925" t="str">
        <f t="shared" si="480"/>
        <v>SR</v>
      </c>
      <c r="AR2913" s="1856">
        <f t="shared" si="479"/>
        <v>44882.30972222222</v>
      </c>
      <c r="AS2913" s="927" t="s">
        <v>2133</v>
      </c>
      <c r="AT2913" s="1856" t="str">
        <f t="shared" si="481"/>
        <v/>
      </c>
      <c r="AU2913" s="1856" t="str">
        <f t="shared" si="482"/>
        <v/>
      </c>
      <c r="AV2913" s="1856" t="str">
        <f t="shared" si="483"/>
        <v/>
      </c>
      <c r="AW2913" s="1856" t="str">
        <f t="shared" si="484"/>
        <v/>
      </c>
      <c r="AX2913" s="1856" t="str">
        <f t="shared" si="485"/>
        <v/>
      </c>
      <c r="AY2913" s="1856" t="str">
        <f t="shared" si="486"/>
        <v/>
      </c>
    </row>
    <row r="2914" spans="42:52">
      <c r="AP2914" s="1855">
        <f t="shared" si="478"/>
        <v>44882</v>
      </c>
      <c r="AQ2914" s="925" t="str">
        <f t="shared" si="480"/>
        <v>MS</v>
      </c>
      <c r="AR2914" s="1856">
        <f t="shared" si="479"/>
        <v>44882.602083333339</v>
      </c>
      <c r="AS2914" s="927" t="s">
        <v>2352</v>
      </c>
      <c r="AT2914" s="1856" t="str">
        <f t="shared" si="481"/>
        <v/>
      </c>
      <c r="AU2914" s="1856" t="str">
        <f t="shared" si="482"/>
        <v/>
      </c>
      <c r="AV2914" s="1856" t="str">
        <f t="shared" si="483"/>
        <v/>
      </c>
      <c r="AW2914" s="1856" t="str">
        <f t="shared" si="484"/>
        <v/>
      </c>
      <c r="AX2914" s="1856" t="str">
        <f t="shared" si="485"/>
        <v/>
      </c>
      <c r="AY2914" s="1856" t="str">
        <f t="shared" si="486"/>
        <v/>
      </c>
    </row>
    <row r="2915" spans="42:52">
      <c r="AP2915" s="1855">
        <f t="shared" si="478"/>
        <v>44882</v>
      </c>
      <c r="AQ2915" s="925" t="str">
        <f t="shared" si="480"/>
        <v>SS</v>
      </c>
      <c r="AR2915" s="1856">
        <f t="shared" si="479"/>
        <v>44882.729861111111</v>
      </c>
      <c r="AS2915" s="927" t="s">
        <v>2353</v>
      </c>
      <c r="AT2915" s="1856" t="str">
        <f t="shared" si="481"/>
        <v/>
      </c>
      <c r="AU2915" s="1856" t="str">
        <f t="shared" si="482"/>
        <v/>
      </c>
      <c r="AV2915" s="1856" t="str">
        <f t="shared" si="483"/>
        <v/>
      </c>
      <c r="AW2915" s="1856" t="str">
        <f t="shared" si="484"/>
        <v/>
      </c>
      <c r="AX2915" s="1856" t="str">
        <f t="shared" si="485"/>
        <v/>
      </c>
      <c r="AY2915" s="1856" t="str">
        <f t="shared" si="486"/>
        <v/>
      </c>
    </row>
    <row r="2916" spans="42:52">
      <c r="AP2916" s="1855">
        <f t="shared" si="478"/>
        <v>44882</v>
      </c>
      <c r="AQ2916" s="925" t="str">
        <f t="shared" si="480"/>
        <v>EENT</v>
      </c>
      <c r="AR2916" s="1856">
        <f t="shared" si="479"/>
        <v>44882.771527777775</v>
      </c>
      <c r="AS2916" s="927" t="s">
        <v>2354</v>
      </c>
      <c r="AT2916" s="1856" t="str">
        <f t="shared" si="481"/>
        <v/>
      </c>
      <c r="AU2916" s="1856" t="str">
        <f t="shared" si="482"/>
        <v/>
      </c>
      <c r="AV2916" s="1856" t="str">
        <f t="shared" si="483"/>
        <v/>
      </c>
      <c r="AW2916" s="1856" t="str">
        <f t="shared" si="484"/>
        <v/>
      </c>
      <c r="AX2916" s="1856" t="str">
        <f t="shared" si="485"/>
        <v/>
      </c>
      <c r="AY2916" s="1856" t="str">
        <f t="shared" si="486"/>
        <v/>
      </c>
    </row>
    <row r="2917" spans="42:52">
      <c r="AP2917" s="1855">
        <f t="shared" ref="AP2917:AP2980" si="487">IF(ISNUMBER(AS2917),AP2916+1,AP2916)</f>
        <v>44883</v>
      </c>
      <c r="AQ2917" s="925" t="str">
        <f t="shared" si="480"/>
        <v/>
      </c>
      <c r="AR2917" s="1856" t="str">
        <f t="shared" si="479"/>
        <v/>
      </c>
      <c r="AS2917" s="927">
        <v>18</v>
      </c>
      <c r="AT2917" s="1856">
        <f t="shared" si="481"/>
        <v>44883.268750000003</v>
      </c>
      <c r="AU2917" s="1856">
        <f t="shared" si="482"/>
        <v>44883.310416666667</v>
      </c>
      <c r="AV2917" s="1856">
        <f t="shared" si="483"/>
        <v>44883.729861111111</v>
      </c>
      <c r="AW2917" s="1856">
        <f t="shared" si="484"/>
        <v>44883.771527777775</v>
      </c>
      <c r="AX2917" s="1856">
        <f t="shared" si="485"/>
        <v>44883.066666666666</v>
      </c>
      <c r="AY2917" s="1856">
        <f t="shared" si="486"/>
        <v>44883.618750000001</v>
      </c>
      <c r="AZ2917" s="1853">
        <v>0.34</v>
      </c>
    </row>
    <row r="2918" spans="42:52">
      <c r="AP2918" s="1855">
        <f t="shared" si="487"/>
        <v>44883</v>
      </c>
      <c r="AQ2918" s="925" t="str">
        <f t="shared" si="480"/>
        <v/>
      </c>
      <c r="AR2918" s="1856" t="str">
        <f t="shared" si="479"/>
        <v/>
      </c>
      <c r="AS2918" s="927" t="s">
        <v>252</v>
      </c>
      <c r="AT2918" s="1856" t="str">
        <f t="shared" si="481"/>
        <v/>
      </c>
      <c r="AU2918" s="1856" t="str">
        <f t="shared" si="482"/>
        <v/>
      </c>
      <c r="AV2918" s="1856" t="str">
        <f t="shared" si="483"/>
        <v/>
      </c>
      <c r="AW2918" s="1856" t="str">
        <f t="shared" si="484"/>
        <v/>
      </c>
      <c r="AX2918" s="1856" t="str">
        <f t="shared" si="485"/>
        <v/>
      </c>
      <c r="AY2918" s="1856" t="str">
        <f t="shared" si="486"/>
        <v/>
      </c>
    </row>
    <row r="2919" spans="42:52">
      <c r="AP2919" s="1855">
        <f t="shared" si="487"/>
        <v>44883</v>
      </c>
      <c r="AQ2919" s="925" t="str">
        <f t="shared" si="480"/>
        <v/>
      </c>
      <c r="AR2919" s="1856" t="str">
        <f t="shared" si="479"/>
        <v/>
      </c>
      <c r="AT2919" s="1856" t="str">
        <f t="shared" si="481"/>
        <v/>
      </c>
      <c r="AU2919" s="1856" t="str">
        <f t="shared" si="482"/>
        <v/>
      </c>
      <c r="AV2919" s="1856" t="str">
        <f t="shared" si="483"/>
        <v/>
      </c>
      <c r="AW2919" s="1856" t="str">
        <f t="shared" si="484"/>
        <v/>
      </c>
      <c r="AX2919" s="1856" t="str">
        <f t="shared" si="485"/>
        <v/>
      </c>
      <c r="AY2919" s="1856" t="str">
        <f t="shared" si="486"/>
        <v/>
      </c>
    </row>
    <row r="2920" spans="42:52">
      <c r="AP2920" s="1855">
        <f t="shared" si="487"/>
        <v>44883</v>
      </c>
      <c r="AQ2920" s="925" t="str">
        <f t="shared" si="480"/>
        <v>MR</v>
      </c>
      <c r="AR2920" s="1856">
        <f t="shared" si="479"/>
        <v>44883.066666666666</v>
      </c>
      <c r="AS2920" s="927" t="s">
        <v>2355</v>
      </c>
      <c r="AT2920" s="1856" t="str">
        <f t="shared" si="481"/>
        <v/>
      </c>
      <c r="AU2920" s="1856" t="str">
        <f t="shared" si="482"/>
        <v/>
      </c>
      <c r="AV2920" s="1856" t="str">
        <f t="shared" si="483"/>
        <v/>
      </c>
      <c r="AW2920" s="1856" t="str">
        <f t="shared" si="484"/>
        <v/>
      </c>
      <c r="AX2920" s="1856" t="str">
        <f t="shared" si="485"/>
        <v/>
      </c>
      <c r="AY2920" s="1856" t="str">
        <f t="shared" si="486"/>
        <v/>
      </c>
    </row>
    <row r="2921" spans="42:52">
      <c r="AP2921" s="1855">
        <f t="shared" si="487"/>
        <v>44883</v>
      </c>
      <c r="AQ2921" s="925" t="str">
        <f t="shared" si="480"/>
        <v>BMNT</v>
      </c>
      <c r="AR2921" s="1856">
        <f t="shared" ref="AR2921:AR2984" si="488">IF(NOT(ISNUMBER(FIND(":",AS2921))),"",IF(ISNUMBER(FIND(" none",AS2921)),"NONE",AP2921+LEFT(RIGHT(AS2921,5),2)/24+RIGHT(AS2921,2)/1440))</f>
        <v>44883.268750000003</v>
      </c>
      <c r="AS2921" s="927" t="s">
        <v>1411</v>
      </c>
      <c r="AT2921" s="1856" t="str">
        <f t="shared" si="481"/>
        <v/>
      </c>
      <c r="AU2921" s="1856" t="str">
        <f t="shared" si="482"/>
        <v/>
      </c>
      <c r="AV2921" s="1856" t="str">
        <f t="shared" si="483"/>
        <v/>
      </c>
      <c r="AW2921" s="1856" t="str">
        <f t="shared" si="484"/>
        <v/>
      </c>
      <c r="AX2921" s="1856" t="str">
        <f t="shared" si="485"/>
        <v/>
      </c>
      <c r="AY2921" s="1856" t="str">
        <f t="shared" si="486"/>
        <v/>
      </c>
    </row>
    <row r="2922" spans="42:52">
      <c r="AP2922" s="1855">
        <f t="shared" si="487"/>
        <v>44883</v>
      </c>
      <c r="AQ2922" s="925" t="str">
        <f t="shared" si="480"/>
        <v>SR</v>
      </c>
      <c r="AR2922" s="1856">
        <f t="shared" si="488"/>
        <v>44883.310416666667</v>
      </c>
      <c r="AS2922" s="927" t="s">
        <v>1400</v>
      </c>
      <c r="AT2922" s="1856" t="str">
        <f t="shared" si="481"/>
        <v/>
      </c>
      <c r="AU2922" s="1856" t="str">
        <f t="shared" si="482"/>
        <v/>
      </c>
      <c r="AV2922" s="1856" t="str">
        <f t="shared" si="483"/>
        <v/>
      </c>
      <c r="AW2922" s="1856" t="str">
        <f t="shared" si="484"/>
        <v/>
      </c>
      <c r="AX2922" s="1856" t="str">
        <f t="shared" si="485"/>
        <v/>
      </c>
      <c r="AY2922" s="1856" t="str">
        <f t="shared" si="486"/>
        <v/>
      </c>
    </row>
    <row r="2923" spans="42:52">
      <c r="AP2923" s="1855">
        <f t="shared" si="487"/>
        <v>44883</v>
      </c>
      <c r="AQ2923" s="925" t="str">
        <f t="shared" si="480"/>
        <v>MS</v>
      </c>
      <c r="AR2923" s="1856">
        <f t="shared" si="488"/>
        <v>44883.618750000001</v>
      </c>
      <c r="AS2923" s="927" t="s">
        <v>2356</v>
      </c>
      <c r="AT2923" s="1856" t="str">
        <f t="shared" si="481"/>
        <v/>
      </c>
      <c r="AU2923" s="1856" t="str">
        <f t="shared" si="482"/>
        <v/>
      </c>
      <c r="AV2923" s="1856" t="str">
        <f t="shared" si="483"/>
        <v/>
      </c>
      <c r="AW2923" s="1856" t="str">
        <f t="shared" si="484"/>
        <v/>
      </c>
      <c r="AX2923" s="1856" t="str">
        <f t="shared" si="485"/>
        <v/>
      </c>
      <c r="AY2923" s="1856" t="str">
        <f t="shared" si="486"/>
        <v/>
      </c>
    </row>
    <row r="2924" spans="42:52">
      <c r="AP2924" s="1855">
        <f t="shared" si="487"/>
        <v>44883</v>
      </c>
      <c r="AQ2924" s="925" t="str">
        <f t="shared" si="480"/>
        <v>SS</v>
      </c>
      <c r="AR2924" s="1856">
        <f t="shared" si="488"/>
        <v>44883.729861111111</v>
      </c>
      <c r="AS2924" s="927" t="s">
        <v>2353</v>
      </c>
      <c r="AT2924" s="1856" t="str">
        <f t="shared" si="481"/>
        <v/>
      </c>
      <c r="AU2924" s="1856" t="str">
        <f t="shared" si="482"/>
        <v/>
      </c>
      <c r="AV2924" s="1856" t="str">
        <f t="shared" si="483"/>
        <v/>
      </c>
      <c r="AW2924" s="1856" t="str">
        <f t="shared" si="484"/>
        <v/>
      </c>
      <c r="AX2924" s="1856" t="str">
        <f t="shared" si="485"/>
        <v/>
      </c>
      <c r="AY2924" s="1856" t="str">
        <f t="shared" si="486"/>
        <v/>
      </c>
    </row>
    <row r="2925" spans="42:52">
      <c r="AP2925" s="1855">
        <f t="shared" si="487"/>
        <v>44883</v>
      </c>
      <c r="AQ2925" s="925" t="str">
        <f t="shared" si="480"/>
        <v>EENT</v>
      </c>
      <c r="AR2925" s="1856">
        <f t="shared" si="488"/>
        <v>44883.771527777775</v>
      </c>
      <c r="AS2925" s="927" t="s">
        <v>2354</v>
      </c>
      <c r="AT2925" s="1856" t="str">
        <f t="shared" si="481"/>
        <v/>
      </c>
      <c r="AU2925" s="1856" t="str">
        <f t="shared" si="482"/>
        <v/>
      </c>
      <c r="AV2925" s="1856" t="str">
        <f t="shared" si="483"/>
        <v/>
      </c>
      <c r="AW2925" s="1856" t="str">
        <f t="shared" si="484"/>
        <v/>
      </c>
      <c r="AX2925" s="1856" t="str">
        <f t="shared" si="485"/>
        <v/>
      </c>
      <c r="AY2925" s="1856" t="str">
        <f t="shared" si="486"/>
        <v/>
      </c>
    </row>
    <row r="2926" spans="42:52">
      <c r="AP2926" s="1855">
        <f t="shared" si="487"/>
        <v>44884</v>
      </c>
      <c r="AQ2926" s="925" t="str">
        <f t="shared" si="480"/>
        <v/>
      </c>
      <c r="AR2926" s="1856" t="str">
        <f t="shared" si="488"/>
        <v/>
      </c>
      <c r="AS2926" s="927">
        <v>19</v>
      </c>
      <c r="AT2926" s="1856">
        <f t="shared" si="481"/>
        <v>44884.269444444442</v>
      </c>
      <c r="AU2926" s="1856">
        <f t="shared" si="482"/>
        <v>44884.311111111107</v>
      </c>
      <c r="AV2926" s="1856">
        <f t="shared" si="483"/>
        <v>44884.729166666672</v>
      </c>
      <c r="AW2926" s="1856">
        <f t="shared" si="484"/>
        <v>44884.770833333336</v>
      </c>
      <c r="AX2926" s="1856">
        <f t="shared" si="485"/>
        <v>44884.109722222223</v>
      </c>
      <c r="AY2926" s="1856">
        <f t="shared" si="486"/>
        <v>44884.635416666664</v>
      </c>
      <c r="AZ2926" s="1853">
        <v>0.25</v>
      </c>
    </row>
    <row r="2927" spans="42:52">
      <c r="AP2927" s="1855">
        <f t="shared" si="487"/>
        <v>44884</v>
      </c>
      <c r="AQ2927" s="925" t="str">
        <f t="shared" si="480"/>
        <v/>
      </c>
      <c r="AR2927" s="1856" t="str">
        <f t="shared" si="488"/>
        <v/>
      </c>
      <c r="AS2927" s="927" t="s">
        <v>252</v>
      </c>
      <c r="AT2927" s="1856" t="str">
        <f t="shared" si="481"/>
        <v/>
      </c>
      <c r="AU2927" s="1856" t="str">
        <f t="shared" si="482"/>
        <v/>
      </c>
      <c r="AV2927" s="1856" t="str">
        <f t="shared" si="483"/>
        <v/>
      </c>
      <c r="AW2927" s="1856" t="str">
        <f t="shared" si="484"/>
        <v/>
      </c>
      <c r="AX2927" s="1856" t="str">
        <f t="shared" si="485"/>
        <v/>
      </c>
      <c r="AY2927" s="1856" t="str">
        <f t="shared" si="486"/>
        <v/>
      </c>
    </row>
    <row r="2928" spans="42:52">
      <c r="AP2928" s="1855">
        <f t="shared" si="487"/>
        <v>44884</v>
      </c>
      <c r="AQ2928" s="925" t="str">
        <f t="shared" si="480"/>
        <v/>
      </c>
      <c r="AR2928" s="1856" t="str">
        <f t="shared" si="488"/>
        <v/>
      </c>
      <c r="AT2928" s="1856" t="str">
        <f t="shared" si="481"/>
        <v/>
      </c>
      <c r="AU2928" s="1856" t="str">
        <f t="shared" si="482"/>
        <v/>
      </c>
      <c r="AV2928" s="1856" t="str">
        <f t="shared" si="483"/>
        <v/>
      </c>
      <c r="AW2928" s="1856" t="str">
        <f t="shared" si="484"/>
        <v/>
      </c>
      <c r="AX2928" s="1856" t="str">
        <f t="shared" si="485"/>
        <v/>
      </c>
      <c r="AY2928" s="1856" t="str">
        <f t="shared" si="486"/>
        <v/>
      </c>
    </row>
    <row r="2929" spans="42:52">
      <c r="AP2929" s="1855">
        <f t="shared" si="487"/>
        <v>44884</v>
      </c>
      <c r="AQ2929" s="925" t="str">
        <f t="shared" si="480"/>
        <v>MR</v>
      </c>
      <c r="AR2929" s="1856">
        <f t="shared" si="488"/>
        <v>44884.109722222223</v>
      </c>
      <c r="AS2929" s="927" t="s">
        <v>2357</v>
      </c>
      <c r="AT2929" s="1856" t="str">
        <f t="shared" si="481"/>
        <v/>
      </c>
      <c r="AU2929" s="1856" t="str">
        <f t="shared" si="482"/>
        <v/>
      </c>
      <c r="AV2929" s="1856" t="str">
        <f t="shared" si="483"/>
        <v/>
      </c>
      <c r="AW2929" s="1856" t="str">
        <f t="shared" si="484"/>
        <v/>
      </c>
      <c r="AX2929" s="1856" t="str">
        <f t="shared" si="485"/>
        <v/>
      </c>
      <c r="AY2929" s="1856" t="str">
        <f t="shared" si="486"/>
        <v/>
      </c>
    </row>
    <row r="2930" spans="42:52">
      <c r="AP2930" s="1855">
        <f t="shared" si="487"/>
        <v>44884</v>
      </c>
      <c r="AQ2930" s="925" t="str">
        <f t="shared" si="480"/>
        <v>BMNT</v>
      </c>
      <c r="AR2930" s="1856">
        <f t="shared" si="488"/>
        <v>44884.269444444442</v>
      </c>
      <c r="AS2930" s="927" t="s">
        <v>1405</v>
      </c>
      <c r="AT2930" s="1856" t="str">
        <f t="shared" si="481"/>
        <v/>
      </c>
      <c r="AU2930" s="1856" t="str">
        <f t="shared" si="482"/>
        <v/>
      </c>
      <c r="AV2930" s="1856" t="str">
        <f t="shared" si="483"/>
        <v/>
      </c>
      <c r="AW2930" s="1856" t="str">
        <f t="shared" si="484"/>
        <v/>
      </c>
      <c r="AX2930" s="1856" t="str">
        <f t="shared" si="485"/>
        <v/>
      </c>
      <c r="AY2930" s="1856" t="str">
        <f t="shared" si="486"/>
        <v/>
      </c>
    </row>
    <row r="2931" spans="42:52">
      <c r="AP2931" s="1855">
        <f t="shared" si="487"/>
        <v>44884</v>
      </c>
      <c r="AQ2931" s="925" t="str">
        <f t="shared" si="480"/>
        <v>SR</v>
      </c>
      <c r="AR2931" s="1856">
        <f t="shared" si="488"/>
        <v>44884.311111111107</v>
      </c>
      <c r="AS2931" s="927" t="s">
        <v>1394</v>
      </c>
      <c r="AT2931" s="1856" t="str">
        <f t="shared" si="481"/>
        <v/>
      </c>
      <c r="AU2931" s="1856" t="str">
        <f t="shared" si="482"/>
        <v/>
      </c>
      <c r="AV2931" s="1856" t="str">
        <f t="shared" si="483"/>
        <v/>
      </c>
      <c r="AW2931" s="1856" t="str">
        <f t="shared" si="484"/>
        <v/>
      </c>
      <c r="AX2931" s="1856" t="str">
        <f t="shared" si="485"/>
        <v/>
      </c>
      <c r="AY2931" s="1856" t="str">
        <f t="shared" si="486"/>
        <v/>
      </c>
    </row>
    <row r="2932" spans="42:52">
      <c r="AP2932" s="1855">
        <f t="shared" si="487"/>
        <v>44884</v>
      </c>
      <c r="AQ2932" s="925" t="str">
        <f t="shared" ref="AQ2932:AQ2995" si="489">IF(NOT(ISNUMBER(FIND(":",AS2932))),"",IF(ISNUMBER(FIND("Sunr",AS2932)),"SR", IF(ISNUMBER(FIND("Suns",AS2932)),"SS",IF(ISNUMBER(FIND("Moonr",AS2932)),"MR",IF(ISNUMBER(FIND("Moons",AS2932)),"MS",IF(ISNUMBER(FIND("Twi",AS2932)),IF(HOUR(AR2932)&lt;12,"BMNT","EENT")))))))</f>
        <v>MS</v>
      </c>
      <c r="AR2932" s="1856">
        <f t="shared" si="488"/>
        <v>44884.635416666664</v>
      </c>
      <c r="AS2932" s="927" t="s">
        <v>2358</v>
      </c>
      <c r="AT2932" s="1856" t="str">
        <f t="shared" si="481"/>
        <v/>
      </c>
      <c r="AU2932" s="1856" t="str">
        <f t="shared" si="482"/>
        <v/>
      </c>
      <c r="AV2932" s="1856" t="str">
        <f t="shared" si="483"/>
        <v/>
      </c>
      <c r="AW2932" s="1856" t="str">
        <f t="shared" si="484"/>
        <v/>
      </c>
      <c r="AX2932" s="1856" t="str">
        <f t="shared" si="485"/>
        <v/>
      </c>
      <c r="AY2932" s="1856" t="str">
        <f t="shared" si="486"/>
        <v/>
      </c>
    </row>
    <row r="2933" spans="42:52">
      <c r="AP2933" s="1855">
        <f t="shared" si="487"/>
        <v>44884</v>
      </c>
      <c r="AQ2933" s="925" t="str">
        <f t="shared" si="489"/>
        <v>SS</v>
      </c>
      <c r="AR2933" s="1856">
        <f t="shared" si="488"/>
        <v>44884.729166666672</v>
      </c>
      <c r="AS2933" s="927" t="s">
        <v>2359</v>
      </c>
      <c r="AT2933" s="1856" t="str">
        <f t="shared" si="481"/>
        <v/>
      </c>
      <c r="AU2933" s="1856" t="str">
        <f t="shared" si="482"/>
        <v/>
      </c>
      <c r="AV2933" s="1856" t="str">
        <f t="shared" si="483"/>
        <v/>
      </c>
      <c r="AW2933" s="1856" t="str">
        <f t="shared" si="484"/>
        <v/>
      </c>
      <c r="AX2933" s="1856" t="str">
        <f t="shared" si="485"/>
        <v/>
      </c>
      <c r="AY2933" s="1856" t="str">
        <f t="shared" si="486"/>
        <v/>
      </c>
    </row>
    <row r="2934" spans="42:52">
      <c r="AP2934" s="1855">
        <f t="shared" si="487"/>
        <v>44884</v>
      </c>
      <c r="AQ2934" s="925" t="str">
        <f t="shared" si="489"/>
        <v>EENT</v>
      </c>
      <c r="AR2934" s="1856">
        <f t="shared" si="488"/>
        <v>44884.770833333336</v>
      </c>
      <c r="AS2934" s="927" t="s">
        <v>2360</v>
      </c>
      <c r="AT2934" s="1856" t="str">
        <f t="shared" si="481"/>
        <v/>
      </c>
      <c r="AU2934" s="1856" t="str">
        <f t="shared" si="482"/>
        <v/>
      </c>
      <c r="AV2934" s="1856" t="str">
        <f t="shared" si="483"/>
        <v/>
      </c>
      <c r="AW2934" s="1856" t="str">
        <f t="shared" si="484"/>
        <v/>
      </c>
      <c r="AX2934" s="1856" t="str">
        <f t="shared" si="485"/>
        <v/>
      </c>
      <c r="AY2934" s="1856" t="str">
        <f t="shared" si="486"/>
        <v/>
      </c>
    </row>
    <row r="2935" spans="42:52">
      <c r="AP2935" s="1855">
        <f t="shared" si="487"/>
        <v>44885</v>
      </c>
      <c r="AQ2935" s="925" t="str">
        <f t="shared" si="489"/>
        <v/>
      </c>
      <c r="AR2935" s="1856" t="str">
        <f t="shared" si="488"/>
        <v/>
      </c>
      <c r="AS2935" s="927">
        <v>20</v>
      </c>
      <c r="AT2935" s="1856">
        <f t="shared" si="481"/>
        <v>44885.270138888889</v>
      </c>
      <c r="AU2935" s="1856">
        <f t="shared" si="482"/>
        <v>44885.311805555553</v>
      </c>
      <c r="AV2935" s="1856">
        <f t="shared" si="483"/>
        <v>44885.729166666672</v>
      </c>
      <c r="AW2935" s="1856">
        <f t="shared" si="484"/>
        <v>44885.770833333336</v>
      </c>
      <c r="AX2935" s="1856">
        <f t="shared" si="485"/>
        <v>44885.15347222222</v>
      </c>
      <c r="AY2935" s="1856">
        <f t="shared" si="486"/>
        <v>44885.652083333334</v>
      </c>
      <c r="AZ2935" s="1853">
        <v>0.17</v>
      </c>
    </row>
    <row r="2936" spans="42:52">
      <c r="AP2936" s="1855">
        <f t="shared" si="487"/>
        <v>44885</v>
      </c>
      <c r="AQ2936" s="925" t="str">
        <f t="shared" si="489"/>
        <v/>
      </c>
      <c r="AR2936" s="1856" t="str">
        <f t="shared" si="488"/>
        <v/>
      </c>
      <c r="AS2936" s="927" t="s">
        <v>252</v>
      </c>
      <c r="AT2936" s="1856" t="str">
        <f t="shared" si="481"/>
        <v/>
      </c>
      <c r="AU2936" s="1856" t="str">
        <f t="shared" si="482"/>
        <v/>
      </c>
      <c r="AV2936" s="1856" t="str">
        <f t="shared" si="483"/>
        <v/>
      </c>
      <c r="AW2936" s="1856" t="str">
        <f t="shared" si="484"/>
        <v/>
      </c>
      <c r="AX2936" s="1856" t="str">
        <f t="shared" si="485"/>
        <v/>
      </c>
      <c r="AY2936" s="1856" t="str">
        <f t="shared" si="486"/>
        <v/>
      </c>
    </row>
    <row r="2937" spans="42:52">
      <c r="AP2937" s="1855">
        <f t="shared" si="487"/>
        <v>44885</v>
      </c>
      <c r="AQ2937" s="925" t="str">
        <f t="shared" si="489"/>
        <v/>
      </c>
      <c r="AR2937" s="1856" t="str">
        <f t="shared" si="488"/>
        <v/>
      </c>
      <c r="AT2937" s="1856" t="str">
        <f t="shared" si="481"/>
        <v/>
      </c>
      <c r="AU2937" s="1856" t="str">
        <f t="shared" si="482"/>
        <v/>
      </c>
      <c r="AV2937" s="1856" t="str">
        <f t="shared" si="483"/>
        <v/>
      </c>
      <c r="AW2937" s="1856" t="str">
        <f t="shared" si="484"/>
        <v/>
      </c>
      <c r="AX2937" s="1856" t="str">
        <f t="shared" si="485"/>
        <v/>
      </c>
      <c r="AY2937" s="1856" t="str">
        <f t="shared" si="486"/>
        <v/>
      </c>
    </row>
    <row r="2938" spans="42:52">
      <c r="AP2938" s="1855">
        <f t="shared" si="487"/>
        <v>44885</v>
      </c>
      <c r="AQ2938" s="925" t="str">
        <f t="shared" si="489"/>
        <v>MR</v>
      </c>
      <c r="AR2938" s="1856">
        <f t="shared" si="488"/>
        <v>44885.15347222222</v>
      </c>
      <c r="AS2938" s="927" t="s">
        <v>2361</v>
      </c>
      <c r="AT2938" s="1856" t="str">
        <f t="shared" si="481"/>
        <v/>
      </c>
      <c r="AU2938" s="1856" t="str">
        <f t="shared" si="482"/>
        <v/>
      </c>
      <c r="AV2938" s="1856" t="str">
        <f t="shared" si="483"/>
        <v/>
      </c>
      <c r="AW2938" s="1856" t="str">
        <f t="shared" si="484"/>
        <v/>
      </c>
      <c r="AX2938" s="1856" t="str">
        <f t="shared" si="485"/>
        <v/>
      </c>
      <c r="AY2938" s="1856" t="str">
        <f t="shared" si="486"/>
        <v/>
      </c>
    </row>
    <row r="2939" spans="42:52">
      <c r="AP2939" s="1855">
        <f t="shared" si="487"/>
        <v>44885</v>
      </c>
      <c r="AQ2939" s="925" t="str">
        <f t="shared" si="489"/>
        <v>BMNT</v>
      </c>
      <c r="AR2939" s="1856">
        <f t="shared" si="488"/>
        <v>44885.270138888889</v>
      </c>
      <c r="AS2939" s="927" t="s">
        <v>1601</v>
      </c>
      <c r="AT2939" s="1856" t="str">
        <f t="shared" si="481"/>
        <v/>
      </c>
      <c r="AU2939" s="1856" t="str">
        <f t="shared" si="482"/>
        <v/>
      </c>
      <c r="AV2939" s="1856" t="str">
        <f t="shared" si="483"/>
        <v/>
      </c>
      <c r="AW2939" s="1856" t="str">
        <f t="shared" si="484"/>
        <v/>
      </c>
      <c r="AX2939" s="1856" t="str">
        <f t="shared" si="485"/>
        <v/>
      </c>
      <c r="AY2939" s="1856" t="str">
        <f t="shared" si="486"/>
        <v/>
      </c>
    </row>
    <row r="2940" spans="42:52">
      <c r="AP2940" s="1855">
        <f t="shared" si="487"/>
        <v>44885</v>
      </c>
      <c r="AQ2940" s="925" t="str">
        <f t="shared" si="489"/>
        <v>SR</v>
      </c>
      <c r="AR2940" s="1856">
        <f t="shared" si="488"/>
        <v>44885.311805555553</v>
      </c>
      <c r="AS2940" s="927" t="s">
        <v>1388</v>
      </c>
      <c r="AT2940" s="1856" t="str">
        <f t="shared" si="481"/>
        <v/>
      </c>
      <c r="AU2940" s="1856" t="str">
        <f t="shared" si="482"/>
        <v/>
      </c>
      <c r="AV2940" s="1856" t="str">
        <f t="shared" si="483"/>
        <v/>
      </c>
      <c r="AW2940" s="1856" t="str">
        <f t="shared" si="484"/>
        <v/>
      </c>
      <c r="AX2940" s="1856" t="str">
        <f t="shared" si="485"/>
        <v/>
      </c>
      <c r="AY2940" s="1856" t="str">
        <f t="shared" si="486"/>
        <v/>
      </c>
    </row>
    <row r="2941" spans="42:52">
      <c r="AP2941" s="1855">
        <f t="shared" si="487"/>
        <v>44885</v>
      </c>
      <c r="AQ2941" s="925" t="str">
        <f t="shared" si="489"/>
        <v>MS</v>
      </c>
      <c r="AR2941" s="1856">
        <f t="shared" si="488"/>
        <v>44885.652083333334</v>
      </c>
      <c r="AS2941" s="927" t="s">
        <v>2362</v>
      </c>
      <c r="AT2941" s="1856" t="str">
        <f t="shared" si="481"/>
        <v/>
      </c>
      <c r="AU2941" s="1856" t="str">
        <f t="shared" si="482"/>
        <v/>
      </c>
      <c r="AV2941" s="1856" t="str">
        <f t="shared" si="483"/>
        <v/>
      </c>
      <c r="AW2941" s="1856" t="str">
        <f t="shared" si="484"/>
        <v/>
      </c>
      <c r="AX2941" s="1856" t="str">
        <f t="shared" si="485"/>
        <v/>
      </c>
      <c r="AY2941" s="1856" t="str">
        <f t="shared" si="486"/>
        <v/>
      </c>
    </row>
    <row r="2942" spans="42:52">
      <c r="AP2942" s="1855">
        <f t="shared" si="487"/>
        <v>44885</v>
      </c>
      <c r="AQ2942" s="925" t="str">
        <f t="shared" si="489"/>
        <v>SS</v>
      </c>
      <c r="AR2942" s="1856">
        <f t="shared" si="488"/>
        <v>44885.729166666672</v>
      </c>
      <c r="AS2942" s="927" t="s">
        <v>2359</v>
      </c>
      <c r="AT2942" s="1856" t="str">
        <f t="shared" si="481"/>
        <v/>
      </c>
      <c r="AU2942" s="1856" t="str">
        <f t="shared" si="482"/>
        <v/>
      </c>
      <c r="AV2942" s="1856" t="str">
        <f t="shared" si="483"/>
        <v/>
      </c>
      <c r="AW2942" s="1856" t="str">
        <f t="shared" si="484"/>
        <v/>
      </c>
      <c r="AX2942" s="1856" t="str">
        <f t="shared" si="485"/>
        <v/>
      </c>
      <c r="AY2942" s="1856" t="str">
        <f t="shared" si="486"/>
        <v/>
      </c>
    </row>
    <row r="2943" spans="42:52">
      <c r="AP2943" s="1855">
        <f t="shared" si="487"/>
        <v>44885</v>
      </c>
      <c r="AQ2943" s="925" t="str">
        <f t="shared" si="489"/>
        <v>EENT</v>
      </c>
      <c r="AR2943" s="1856">
        <f t="shared" si="488"/>
        <v>44885.770833333336</v>
      </c>
      <c r="AS2943" s="927" t="s">
        <v>2360</v>
      </c>
      <c r="AT2943" s="1856" t="str">
        <f t="shared" si="481"/>
        <v/>
      </c>
      <c r="AU2943" s="1856" t="str">
        <f t="shared" si="482"/>
        <v/>
      </c>
      <c r="AV2943" s="1856" t="str">
        <f t="shared" si="483"/>
        <v/>
      </c>
      <c r="AW2943" s="1856" t="str">
        <f t="shared" si="484"/>
        <v/>
      </c>
      <c r="AX2943" s="1856" t="str">
        <f t="shared" si="485"/>
        <v/>
      </c>
      <c r="AY2943" s="1856" t="str">
        <f t="shared" si="486"/>
        <v/>
      </c>
    </row>
    <row r="2944" spans="42:52">
      <c r="AP2944" s="1855">
        <f t="shared" si="487"/>
        <v>44886</v>
      </c>
      <c r="AQ2944" s="925" t="str">
        <f t="shared" si="489"/>
        <v/>
      </c>
      <c r="AR2944" s="1856" t="str">
        <f t="shared" si="488"/>
        <v/>
      </c>
      <c r="AS2944" s="927">
        <v>21</v>
      </c>
      <c r="AT2944" s="1856">
        <f t="shared" si="481"/>
        <v>44886.270833333336</v>
      </c>
      <c r="AU2944" s="1856">
        <f t="shared" si="482"/>
        <v>44886.3125</v>
      </c>
      <c r="AV2944" s="1856">
        <f t="shared" si="483"/>
        <v>44886.728472222225</v>
      </c>
      <c r="AW2944" s="1856">
        <f t="shared" si="484"/>
        <v>44886.770138888889</v>
      </c>
      <c r="AX2944" s="1856">
        <f t="shared" si="485"/>
        <v>44886.19930555555</v>
      </c>
      <c r="AY2944" s="1856">
        <f t="shared" si="486"/>
        <v>44886.67083333333</v>
      </c>
      <c r="AZ2944" s="1853">
        <v>0.1</v>
      </c>
    </row>
    <row r="2945" spans="42:52">
      <c r="AP2945" s="1855">
        <f t="shared" si="487"/>
        <v>44886</v>
      </c>
      <c r="AQ2945" s="925" t="str">
        <f t="shared" si="489"/>
        <v/>
      </c>
      <c r="AR2945" s="1856" t="str">
        <f t="shared" si="488"/>
        <v/>
      </c>
      <c r="AS2945" s="927" t="s">
        <v>252</v>
      </c>
      <c r="AT2945" s="1856" t="str">
        <f t="shared" si="481"/>
        <v/>
      </c>
      <c r="AU2945" s="1856" t="str">
        <f t="shared" si="482"/>
        <v/>
      </c>
      <c r="AV2945" s="1856" t="str">
        <f t="shared" si="483"/>
        <v/>
      </c>
      <c r="AW2945" s="1856" t="str">
        <f t="shared" si="484"/>
        <v/>
      </c>
      <c r="AX2945" s="1856" t="str">
        <f t="shared" si="485"/>
        <v/>
      </c>
      <c r="AY2945" s="1856" t="str">
        <f t="shared" si="486"/>
        <v/>
      </c>
    </row>
    <row r="2946" spans="42:52">
      <c r="AP2946" s="1855">
        <f t="shared" si="487"/>
        <v>44886</v>
      </c>
      <c r="AQ2946" s="925" t="str">
        <f t="shared" si="489"/>
        <v/>
      </c>
      <c r="AR2946" s="1856" t="str">
        <f t="shared" si="488"/>
        <v/>
      </c>
      <c r="AT2946" s="1856" t="str">
        <f t="shared" si="481"/>
        <v/>
      </c>
      <c r="AU2946" s="1856" t="str">
        <f t="shared" si="482"/>
        <v/>
      </c>
      <c r="AV2946" s="1856" t="str">
        <f t="shared" si="483"/>
        <v/>
      </c>
      <c r="AW2946" s="1856" t="str">
        <f t="shared" si="484"/>
        <v/>
      </c>
      <c r="AX2946" s="1856" t="str">
        <f t="shared" si="485"/>
        <v/>
      </c>
      <c r="AY2946" s="1856" t="str">
        <f t="shared" si="486"/>
        <v/>
      </c>
    </row>
    <row r="2947" spans="42:52">
      <c r="AP2947" s="1855">
        <f t="shared" si="487"/>
        <v>44886</v>
      </c>
      <c r="AQ2947" s="925" t="str">
        <f t="shared" si="489"/>
        <v>MR</v>
      </c>
      <c r="AR2947" s="1856">
        <f t="shared" si="488"/>
        <v>44886.19930555555</v>
      </c>
      <c r="AS2947" s="927" t="s">
        <v>2363</v>
      </c>
      <c r="AT2947" s="1856" t="str">
        <f t="shared" si="481"/>
        <v/>
      </c>
      <c r="AU2947" s="1856" t="str">
        <f t="shared" si="482"/>
        <v/>
      </c>
      <c r="AV2947" s="1856" t="str">
        <f t="shared" si="483"/>
        <v/>
      </c>
      <c r="AW2947" s="1856" t="str">
        <f t="shared" si="484"/>
        <v/>
      </c>
      <c r="AX2947" s="1856" t="str">
        <f t="shared" si="485"/>
        <v/>
      </c>
      <c r="AY2947" s="1856" t="str">
        <f t="shared" si="486"/>
        <v/>
      </c>
    </row>
    <row r="2948" spans="42:52">
      <c r="AP2948" s="1855">
        <f t="shared" si="487"/>
        <v>44886</v>
      </c>
      <c r="AQ2948" s="925" t="str">
        <f t="shared" si="489"/>
        <v>BMNT</v>
      </c>
      <c r="AR2948" s="1856">
        <f t="shared" si="488"/>
        <v>44886.270833333336</v>
      </c>
      <c r="AS2948" s="927" t="s">
        <v>1399</v>
      </c>
      <c r="AT2948" s="1856" t="str">
        <f t="shared" si="481"/>
        <v/>
      </c>
      <c r="AU2948" s="1856" t="str">
        <f t="shared" si="482"/>
        <v/>
      </c>
      <c r="AV2948" s="1856" t="str">
        <f t="shared" si="483"/>
        <v/>
      </c>
      <c r="AW2948" s="1856" t="str">
        <f t="shared" si="484"/>
        <v/>
      </c>
      <c r="AX2948" s="1856" t="str">
        <f t="shared" si="485"/>
        <v/>
      </c>
      <c r="AY2948" s="1856" t="str">
        <f t="shared" si="486"/>
        <v/>
      </c>
    </row>
    <row r="2949" spans="42:52">
      <c r="AP2949" s="1855">
        <f t="shared" si="487"/>
        <v>44886</v>
      </c>
      <c r="AQ2949" s="925" t="str">
        <f t="shared" si="489"/>
        <v>SR</v>
      </c>
      <c r="AR2949" s="1856">
        <f t="shared" si="488"/>
        <v>44886.3125</v>
      </c>
      <c r="AS2949" s="927" t="s">
        <v>1592</v>
      </c>
      <c r="AT2949" s="1856" t="str">
        <f t="shared" si="481"/>
        <v/>
      </c>
      <c r="AU2949" s="1856" t="str">
        <f t="shared" si="482"/>
        <v/>
      </c>
      <c r="AV2949" s="1856" t="str">
        <f t="shared" si="483"/>
        <v/>
      </c>
      <c r="AW2949" s="1856" t="str">
        <f t="shared" si="484"/>
        <v/>
      </c>
      <c r="AX2949" s="1856" t="str">
        <f t="shared" si="485"/>
        <v/>
      </c>
      <c r="AY2949" s="1856" t="str">
        <f t="shared" si="486"/>
        <v/>
      </c>
    </row>
    <row r="2950" spans="42:52">
      <c r="AP2950" s="1855">
        <f t="shared" si="487"/>
        <v>44886</v>
      </c>
      <c r="AQ2950" s="925" t="str">
        <f t="shared" si="489"/>
        <v>MS</v>
      </c>
      <c r="AR2950" s="1856">
        <f t="shared" si="488"/>
        <v>44886.67083333333</v>
      </c>
      <c r="AS2950" s="927" t="s">
        <v>2364</v>
      </c>
      <c r="AT2950" s="1856" t="str">
        <f t="shared" si="481"/>
        <v/>
      </c>
      <c r="AU2950" s="1856" t="str">
        <f t="shared" si="482"/>
        <v/>
      </c>
      <c r="AV2950" s="1856" t="str">
        <f t="shared" si="483"/>
        <v/>
      </c>
      <c r="AW2950" s="1856" t="str">
        <f t="shared" si="484"/>
        <v/>
      </c>
      <c r="AX2950" s="1856" t="str">
        <f t="shared" si="485"/>
        <v/>
      </c>
      <c r="AY2950" s="1856" t="str">
        <f t="shared" si="486"/>
        <v/>
      </c>
    </row>
    <row r="2951" spans="42:52">
      <c r="AP2951" s="1855">
        <f t="shared" si="487"/>
        <v>44886</v>
      </c>
      <c r="AQ2951" s="925" t="str">
        <f t="shared" si="489"/>
        <v>SS</v>
      </c>
      <c r="AR2951" s="1856">
        <f t="shared" si="488"/>
        <v>44886.728472222225</v>
      </c>
      <c r="AS2951" s="927" t="s">
        <v>2365</v>
      </c>
      <c r="AT2951" s="1856" t="str">
        <f t="shared" si="481"/>
        <v/>
      </c>
      <c r="AU2951" s="1856" t="str">
        <f t="shared" si="482"/>
        <v/>
      </c>
      <c r="AV2951" s="1856" t="str">
        <f t="shared" si="483"/>
        <v/>
      </c>
      <c r="AW2951" s="1856" t="str">
        <f t="shared" si="484"/>
        <v/>
      </c>
      <c r="AX2951" s="1856" t="str">
        <f t="shared" si="485"/>
        <v/>
      </c>
      <c r="AY2951" s="1856" t="str">
        <f t="shared" si="486"/>
        <v/>
      </c>
    </row>
    <row r="2952" spans="42:52">
      <c r="AP2952" s="1855">
        <f t="shared" si="487"/>
        <v>44886</v>
      </c>
      <c r="AQ2952" s="925" t="str">
        <f t="shared" si="489"/>
        <v>EENT</v>
      </c>
      <c r="AR2952" s="1856">
        <f t="shared" si="488"/>
        <v>44886.770138888889</v>
      </c>
      <c r="AS2952" s="927" t="s">
        <v>2366</v>
      </c>
      <c r="AT2952" s="1856" t="str">
        <f t="shared" si="481"/>
        <v/>
      </c>
      <c r="AU2952" s="1856" t="str">
        <f t="shared" si="482"/>
        <v/>
      </c>
      <c r="AV2952" s="1856" t="str">
        <f t="shared" si="483"/>
        <v/>
      </c>
      <c r="AW2952" s="1856" t="str">
        <f t="shared" si="484"/>
        <v/>
      </c>
      <c r="AX2952" s="1856" t="str">
        <f t="shared" si="485"/>
        <v/>
      </c>
      <c r="AY2952" s="1856" t="str">
        <f t="shared" si="486"/>
        <v/>
      </c>
    </row>
    <row r="2953" spans="42:52">
      <c r="AP2953" s="1855">
        <f t="shared" si="487"/>
        <v>44887</v>
      </c>
      <c r="AQ2953" s="925" t="str">
        <f t="shared" si="489"/>
        <v/>
      </c>
      <c r="AR2953" s="1856" t="str">
        <f t="shared" si="488"/>
        <v/>
      </c>
      <c r="AS2953" s="927">
        <v>22</v>
      </c>
      <c r="AT2953" s="1856">
        <f t="shared" si="481"/>
        <v>44887.271527777775</v>
      </c>
      <c r="AU2953" s="1856">
        <f t="shared" si="482"/>
        <v>44887.313194444439</v>
      </c>
      <c r="AV2953" s="1856">
        <f t="shared" si="483"/>
        <v>44887.727777777778</v>
      </c>
      <c r="AW2953" s="1856">
        <f t="shared" si="484"/>
        <v>44887.770138888889</v>
      </c>
      <c r="AX2953" s="1856">
        <f t="shared" si="485"/>
        <v>44887.247916666667</v>
      </c>
      <c r="AY2953" s="1856">
        <f t="shared" si="486"/>
        <v>44887.692361111105</v>
      </c>
      <c r="AZ2953" s="1853">
        <v>0.04</v>
      </c>
    </row>
    <row r="2954" spans="42:52">
      <c r="AP2954" s="1855">
        <f t="shared" si="487"/>
        <v>44887</v>
      </c>
      <c r="AQ2954" s="925" t="str">
        <f t="shared" si="489"/>
        <v/>
      </c>
      <c r="AR2954" s="1856" t="str">
        <f t="shared" si="488"/>
        <v/>
      </c>
      <c r="AS2954" s="927" t="s">
        <v>252</v>
      </c>
      <c r="AT2954" s="1856" t="str">
        <f t="shared" si="481"/>
        <v/>
      </c>
      <c r="AU2954" s="1856" t="str">
        <f t="shared" si="482"/>
        <v/>
      </c>
      <c r="AV2954" s="1856" t="str">
        <f t="shared" si="483"/>
        <v/>
      </c>
      <c r="AW2954" s="1856" t="str">
        <f t="shared" si="484"/>
        <v/>
      </c>
      <c r="AX2954" s="1856" t="str">
        <f t="shared" si="485"/>
        <v/>
      </c>
      <c r="AY2954" s="1856" t="str">
        <f t="shared" si="486"/>
        <v/>
      </c>
    </row>
    <row r="2955" spans="42:52">
      <c r="AP2955" s="1855">
        <f t="shared" si="487"/>
        <v>44887</v>
      </c>
      <c r="AQ2955" s="925" t="str">
        <f t="shared" si="489"/>
        <v/>
      </c>
      <c r="AR2955" s="1856" t="str">
        <f t="shared" si="488"/>
        <v/>
      </c>
      <c r="AT2955" s="1856" t="str">
        <f t="shared" si="481"/>
        <v/>
      </c>
      <c r="AU2955" s="1856" t="str">
        <f t="shared" si="482"/>
        <v/>
      </c>
      <c r="AV2955" s="1856" t="str">
        <f t="shared" si="483"/>
        <v/>
      </c>
      <c r="AW2955" s="1856" t="str">
        <f t="shared" si="484"/>
        <v/>
      </c>
      <c r="AX2955" s="1856" t="str">
        <f t="shared" si="485"/>
        <v/>
      </c>
      <c r="AY2955" s="1856" t="str">
        <f t="shared" si="486"/>
        <v/>
      </c>
    </row>
    <row r="2956" spans="42:52">
      <c r="AP2956" s="1855">
        <f t="shared" si="487"/>
        <v>44887</v>
      </c>
      <c r="AQ2956" s="925" t="str">
        <f t="shared" si="489"/>
        <v>MR</v>
      </c>
      <c r="AR2956" s="1856">
        <f t="shared" si="488"/>
        <v>44887.247916666667</v>
      </c>
      <c r="AS2956" s="927" t="s">
        <v>2367</v>
      </c>
      <c r="AT2956" s="1856" t="str">
        <f t="shared" si="481"/>
        <v/>
      </c>
      <c r="AU2956" s="1856" t="str">
        <f t="shared" si="482"/>
        <v/>
      </c>
      <c r="AV2956" s="1856" t="str">
        <f t="shared" si="483"/>
        <v/>
      </c>
      <c r="AW2956" s="1856" t="str">
        <f t="shared" si="484"/>
        <v/>
      </c>
      <c r="AX2956" s="1856" t="str">
        <f t="shared" si="485"/>
        <v/>
      </c>
      <c r="AY2956" s="1856" t="str">
        <f t="shared" si="486"/>
        <v/>
      </c>
    </row>
    <row r="2957" spans="42:52">
      <c r="AP2957" s="1855">
        <f t="shared" si="487"/>
        <v>44887</v>
      </c>
      <c r="AQ2957" s="925" t="str">
        <f t="shared" si="489"/>
        <v>BMNT</v>
      </c>
      <c r="AR2957" s="1856">
        <f t="shared" si="488"/>
        <v>44887.271527777775</v>
      </c>
      <c r="AS2957" s="927" t="s">
        <v>1393</v>
      </c>
      <c r="AT2957" s="1856" t="str">
        <f t="shared" si="481"/>
        <v/>
      </c>
      <c r="AU2957" s="1856" t="str">
        <f t="shared" si="482"/>
        <v/>
      </c>
      <c r="AV2957" s="1856" t="str">
        <f t="shared" si="483"/>
        <v/>
      </c>
      <c r="AW2957" s="1856" t="str">
        <f t="shared" si="484"/>
        <v/>
      </c>
      <c r="AX2957" s="1856" t="str">
        <f t="shared" si="485"/>
        <v/>
      </c>
      <c r="AY2957" s="1856" t="str">
        <f t="shared" si="486"/>
        <v/>
      </c>
    </row>
    <row r="2958" spans="42:52">
      <c r="AP2958" s="1855">
        <f t="shared" si="487"/>
        <v>44887</v>
      </c>
      <c r="AQ2958" s="925" t="str">
        <f t="shared" si="489"/>
        <v>SR</v>
      </c>
      <c r="AR2958" s="1856">
        <f t="shared" si="488"/>
        <v>44887.313194444439</v>
      </c>
      <c r="AS2958" s="927" t="s">
        <v>1384</v>
      </c>
      <c r="AT2958" s="1856" t="str">
        <f t="shared" si="481"/>
        <v/>
      </c>
      <c r="AU2958" s="1856" t="str">
        <f t="shared" si="482"/>
        <v/>
      </c>
      <c r="AV2958" s="1856" t="str">
        <f t="shared" si="483"/>
        <v/>
      </c>
      <c r="AW2958" s="1856" t="str">
        <f t="shared" si="484"/>
        <v/>
      </c>
      <c r="AX2958" s="1856" t="str">
        <f t="shared" si="485"/>
        <v/>
      </c>
      <c r="AY2958" s="1856" t="str">
        <f t="shared" si="486"/>
        <v/>
      </c>
    </row>
    <row r="2959" spans="42:52">
      <c r="AP2959" s="1855">
        <f t="shared" si="487"/>
        <v>44887</v>
      </c>
      <c r="AQ2959" s="925" t="str">
        <f t="shared" si="489"/>
        <v>MS</v>
      </c>
      <c r="AR2959" s="1856">
        <f t="shared" si="488"/>
        <v>44887.692361111105</v>
      </c>
      <c r="AS2959" s="927" t="s">
        <v>2368</v>
      </c>
      <c r="AT2959" s="1856" t="str">
        <f t="shared" si="481"/>
        <v/>
      </c>
      <c r="AU2959" s="1856" t="str">
        <f t="shared" si="482"/>
        <v/>
      </c>
      <c r="AV2959" s="1856" t="str">
        <f t="shared" si="483"/>
        <v/>
      </c>
      <c r="AW2959" s="1856" t="str">
        <f t="shared" si="484"/>
        <v/>
      </c>
      <c r="AX2959" s="1856" t="str">
        <f t="shared" si="485"/>
        <v/>
      </c>
      <c r="AY2959" s="1856" t="str">
        <f t="shared" si="486"/>
        <v/>
      </c>
    </row>
    <row r="2960" spans="42:52">
      <c r="AP2960" s="1855">
        <f t="shared" si="487"/>
        <v>44887</v>
      </c>
      <c r="AQ2960" s="925" t="str">
        <f t="shared" si="489"/>
        <v>SS</v>
      </c>
      <c r="AR2960" s="1856">
        <f t="shared" si="488"/>
        <v>44887.727777777778</v>
      </c>
      <c r="AS2960" s="927" t="s">
        <v>2369</v>
      </c>
      <c r="AT2960" s="1856" t="str">
        <f t="shared" si="481"/>
        <v/>
      </c>
      <c r="AU2960" s="1856" t="str">
        <f t="shared" si="482"/>
        <v/>
      </c>
      <c r="AV2960" s="1856" t="str">
        <f t="shared" si="483"/>
        <v/>
      </c>
      <c r="AW2960" s="1856" t="str">
        <f t="shared" si="484"/>
        <v/>
      </c>
      <c r="AX2960" s="1856" t="str">
        <f t="shared" si="485"/>
        <v/>
      </c>
      <c r="AY2960" s="1856" t="str">
        <f t="shared" si="486"/>
        <v/>
      </c>
    </row>
    <row r="2961" spans="42:52">
      <c r="AP2961" s="1855">
        <f t="shared" si="487"/>
        <v>44887</v>
      </c>
      <c r="AQ2961" s="925" t="str">
        <f t="shared" si="489"/>
        <v>EENT</v>
      </c>
      <c r="AR2961" s="1856">
        <f t="shared" si="488"/>
        <v>44887.770138888889</v>
      </c>
      <c r="AS2961" s="927" t="s">
        <v>2366</v>
      </c>
      <c r="AT2961" s="1856" t="str">
        <f t="shared" si="481"/>
        <v/>
      </c>
      <c r="AU2961" s="1856" t="str">
        <f t="shared" si="482"/>
        <v/>
      </c>
      <c r="AV2961" s="1856" t="str">
        <f t="shared" si="483"/>
        <v/>
      </c>
      <c r="AW2961" s="1856" t="str">
        <f t="shared" si="484"/>
        <v/>
      </c>
      <c r="AX2961" s="1856" t="str">
        <f t="shared" si="485"/>
        <v/>
      </c>
      <c r="AY2961" s="1856" t="str">
        <f t="shared" si="486"/>
        <v/>
      </c>
    </row>
    <row r="2962" spans="42:52">
      <c r="AP2962" s="1855">
        <f t="shared" si="487"/>
        <v>44888</v>
      </c>
      <c r="AQ2962" s="925" t="str">
        <f t="shared" si="489"/>
        <v/>
      </c>
      <c r="AR2962" s="1856" t="str">
        <f t="shared" si="488"/>
        <v/>
      </c>
      <c r="AS2962" s="927">
        <v>23</v>
      </c>
      <c r="AT2962" s="1856">
        <f t="shared" si="481"/>
        <v>44888.272222222222</v>
      </c>
      <c r="AU2962" s="1856">
        <f t="shared" si="482"/>
        <v>44888.313888888886</v>
      </c>
      <c r="AV2962" s="1856">
        <f t="shared" si="483"/>
        <v>44888.727777777778</v>
      </c>
      <c r="AW2962" s="1856">
        <f t="shared" si="484"/>
        <v>44888.770138888889</v>
      </c>
      <c r="AX2962" s="1856">
        <f t="shared" si="485"/>
        <v>44888.299305555556</v>
      </c>
      <c r="AY2962" s="1856">
        <f t="shared" si="486"/>
        <v>44888.718055555561</v>
      </c>
      <c r="AZ2962" s="1853">
        <v>0.01</v>
      </c>
    </row>
    <row r="2963" spans="42:52">
      <c r="AP2963" s="1855">
        <f t="shared" si="487"/>
        <v>44888</v>
      </c>
      <c r="AQ2963" s="925" t="str">
        <f t="shared" si="489"/>
        <v/>
      </c>
      <c r="AR2963" s="1856" t="str">
        <f t="shared" si="488"/>
        <v/>
      </c>
      <c r="AS2963" s="927" t="s">
        <v>252</v>
      </c>
      <c r="AT2963" s="1856" t="str">
        <f t="shared" si="481"/>
        <v/>
      </c>
      <c r="AU2963" s="1856" t="str">
        <f t="shared" si="482"/>
        <v/>
      </c>
      <c r="AV2963" s="1856" t="str">
        <f t="shared" si="483"/>
        <v/>
      </c>
      <c r="AW2963" s="1856" t="str">
        <f t="shared" si="484"/>
        <v/>
      </c>
      <c r="AX2963" s="1856" t="str">
        <f t="shared" si="485"/>
        <v/>
      </c>
      <c r="AY2963" s="1856" t="str">
        <f t="shared" si="486"/>
        <v/>
      </c>
    </row>
    <row r="2964" spans="42:52">
      <c r="AP2964" s="1855">
        <f t="shared" si="487"/>
        <v>44888</v>
      </c>
      <c r="AQ2964" s="925" t="str">
        <f t="shared" si="489"/>
        <v/>
      </c>
      <c r="AR2964" s="1856" t="str">
        <f t="shared" si="488"/>
        <v/>
      </c>
      <c r="AT2964" s="1856" t="str">
        <f t="shared" si="481"/>
        <v/>
      </c>
      <c r="AU2964" s="1856" t="str">
        <f t="shared" si="482"/>
        <v/>
      </c>
      <c r="AV2964" s="1856" t="str">
        <f t="shared" si="483"/>
        <v/>
      </c>
      <c r="AW2964" s="1856" t="str">
        <f t="shared" si="484"/>
        <v/>
      </c>
      <c r="AX2964" s="1856" t="str">
        <f t="shared" si="485"/>
        <v/>
      </c>
      <c r="AY2964" s="1856" t="str">
        <f t="shared" si="486"/>
        <v/>
      </c>
    </row>
    <row r="2965" spans="42:52">
      <c r="AP2965" s="1855">
        <f t="shared" si="487"/>
        <v>44888</v>
      </c>
      <c r="AQ2965" s="925" t="str">
        <f t="shared" si="489"/>
        <v>BMNT</v>
      </c>
      <c r="AR2965" s="1856">
        <f t="shared" si="488"/>
        <v>44888.272222222222</v>
      </c>
      <c r="AS2965" s="927" t="s">
        <v>1387</v>
      </c>
      <c r="AT2965" s="1856" t="str">
        <f t="shared" si="481"/>
        <v/>
      </c>
      <c r="AU2965" s="1856" t="str">
        <f t="shared" si="482"/>
        <v/>
      </c>
      <c r="AV2965" s="1856" t="str">
        <f t="shared" si="483"/>
        <v/>
      </c>
      <c r="AW2965" s="1856" t="str">
        <f t="shared" si="484"/>
        <v/>
      </c>
      <c r="AX2965" s="1856" t="str">
        <f t="shared" si="485"/>
        <v/>
      </c>
      <c r="AY2965" s="1856" t="str">
        <f t="shared" si="486"/>
        <v/>
      </c>
    </row>
    <row r="2966" spans="42:52">
      <c r="AP2966" s="1855">
        <f t="shared" si="487"/>
        <v>44888</v>
      </c>
      <c r="AQ2966" s="925" t="str">
        <f t="shared" si="489"/>
        <v>MR</v>
      </c>
      <c r="AR2966" s="1856">
        <f t="shared" si="488"/>
        <v>44888.299305555556</v>
      </c>
      <c r="AS2966" s="927" t="s">
        <v>2370</v>
      </c>
      <c r="AT2966" s="1856" t="str">
        <f t="shared" si="481"/>
        <v/>
      </c>
      <c r="AU2966" s="1856" t="str">
        <f t="shared" si="482"/>
        <v/>
      </c>
      <c r="AV2966" s="1856" t="str">
        <f t="shared" si="483"/>
        <v/>
      </c>
      <c r="AW2966" s="1856" t="str">
        <f t="shared" si="484"/>
        <v/>
      </c>
      <c r="AX2966" s="1856" t="str">
        <f t="shared" si="485"/>
        <v/>
      </c>
      <c r="AY2966" s="1856" t="str">
        <f t="shared" si="486"/>
        <v/>
      </c>
    </row>
    <row r="2967" spans="42:52">
      <c r="AP2967" s="1855">
        <f t="shared" si="487"/>
        <v>44888</v>
      </c>
      <c r="AQ2967" s="925" t="str">
        <f t="shared" si="489"/>
        <v>SR</v>
      </c>
      <c r="AR2967" s="1856">
        <f t="shared" si="488"/>
        <v>44888.313888888886</v>
      </c>
      <c r="AS2967" s="927" t="s">
        <v>1378</v>
      </c>
      <c r="AT2967" s="1856" t="str">
        <f t="shared" si="481"/>
        <v/>
      </c>
      <c r="AU2967" s="1856" t="str">
        <f t="shared" si="482"/>
        <v/>
      </c>
      <c r="AV2967" s="1856" t="str">
        <f t="shared" si="483"/>
        <v/>
      </c>
      <c r="AW2967" s="1856" t="str">
        <f t="shared" si="484"/>
        <v/>
      </c>
      <c r="AX2967" s="1856" t="str">
        <f t="shared" si="485"/>
        <v/>
      </c>
      <c r="AY2967" s="1856" t="str">
        <f t="shared" si="486"/>
        <v/>
      </c>
    </row>
    <row r="2968" spans="42:52">
      <c r="AP2968" s="1855">
        <f t="shared" si="487"/>
        <v>44888</v>
      </c>
      <c r="AQ2968" s="925" t="str">
        <f t="shared" si="489"/>
        <v>MS</v>
      </c>
      <c r="AR2968" s="1856">
        <f t="shared" si="488"/>
        <v>44888.718055555561</v>
      </c>
      <c r="AS2968" s="927" t="s">
        <v>2371</v>
      </c>
      <c r="AT2968" s="1856" t="str">
        <f t="shared" si="481"/>
        <v/>
      </c>
      <c r="AU2968" s="1856" t="str">
        <f t="shared" si="482"/>
        <v/>
      </c>
      <c r="AV2968" s="1856" t="str">
        <f t="shared" si="483"/>
        <v/>
      </c>
      <c r="AW2968" s="1856" t="str">
        <f t="shared" si="484"/>
        <v/>
      </c>
      <c r="AX2968" s="1856" t="str">
        <f t="shared" si="485"/>
        <v/>
      </c>
      <c r="AY2968" s="1856" t="str">
        <f t="shared" si="486"/>
        <v/>
      </c>
    </row>
    <row r="2969" spans="42:52">
      <c r="AP2969" s="1855">
        <f t="shared" si="487"/>
        <v>44888</v>
      </c>
      <c r="AQ2969" s="925" t="str">
        <f t="shared" si="489"/>
        <v>SS</v>
      </c>
      <c r="AR2969" s="1856">
        <f t="shared" si="488"/>
        <v>44888.727777777778</v>
      </c>
      <c r="AS2969" s="927" t="s">
        <v>2369</v>
      </c>
      <c r="AT2969" s="1856" t="str">
        <f t="shared" si="481"/>
        <v/>
      </c>
      <c r="AU2969" s="1856" t="str">
        <f t="shared" si="482"/>
        <v/>
      </c>
      <c r="AV2969" s="1856" t="str">
        <f t="shared" si="483"/>
        <v/>
      </c>
      <c r="AW2969" s="1856" t="str">
        <f t="shared" si="484"/>
        <v/>
      </c>
      <c r="AX2969" s="1856" t="str">
        <f t="shared" si="485"/>
        <v/>
      </c>
      <c r="AY2969" s="1856" t="str">
        <f t="shared" si="486"/>
        <v/>
      </c>
    </row>
    <row r="2970" spans="42:52">
      <c r="AP2970" s="1855">
        <f t="shared" si="487"/>
        <v>44888</v>
      </c>
      <c r="AQ2970" s="925" t="str">
        <f t="shared" si="489"/>
        <v>EENT</v>
      </c>
      <c r="AR2970" s="1856">
        <f t="shared" si="488"/>
        <v>44888.770138888889</v>
      </c>
      <c r="AS2970" s="927" t="s">
        <v>2366</v>
      </c>
      <c r="AT2970" s="1856" t="str">
        <f t="shared" si="481"/>
        <v/>
      </c>
      <c r="AU2970" s="1856" t="str">
        <f t="shared" si="482"/>
        <v/>
      </c>
      <c r="AV2970" s="1856" t="str">
        <f t="shared" si="483"/>
        <v/>
      </c>
      <c r="AW2970" s="1856" t="str">
        <f t="shared" si="484"/>
        <v/>
      </c>
      <c r="AX2970" s="1856" t="str">
        <f t="shared" si="485"/>
        <v/>
      </c>
      <c r="AY2970" s="1856" t="str">
        <f t="shared" si="486"/>
        <v/>
      </c>
    </row>
    <row r="2971" spans="42:52">
      <c r="AP2971" s="1855">
        <f t="shared" si="487"/>
        <v>44889</v>
      </c>
      <c r="AQ2971" s="925" t="str">
        <f t="shared" si="489"/>
        <v/>
      </c>
      <c r="AR2971" s="1856" t="str">
        <f t="shared" si="488"/>
        <v/>
      </c>
      <c r="AS2971" s="927">
        <v>24</v>
      </c>
      <c r="AT2971" s="1856">
        <f t="shared" si="481"/>
        <v>44889.272916666669</v>
      </c>
      <c r="AU2971" s="1856">
        <f t="shared" si="482"/>
        <v>44889.314583333333</v>
      </c>
      <c r="AV2971" s="1856">
        <f t="shared" si="483"/>
        <v>44889.727083333339</v>
      </c>
      <c r="AW2971" s="1856">
        <f t="shared" si="484"/>
        <v>44889.769444444442</v>
      </c>
      <c r="AX2971" s="1856">
        <f t="shared" si="485"/>
        <v>44889.352083333339</v>
      </c>
      <c r="AY2971" s="1856">
        <f t="shared" si="486"/>
        <v>44889.749305555561</v>
      </c>
      <c r="AZ2971" s="1853">
        <v>0</v>
      </c>
    </row>
    <row r="2972" spans="42:52">
      <c r="AP2972" s="1855">
        <f t="shared" si="487"/>
        <v>44889</v>
      </c>
      <c r="AQ2972" s="925" t="str">
        <f t="shared" si="489"/>
        <v/>
      </c>
      <c r="AR2972" s="1856" t="str">
        <f t="shared" si="488"/>
        <v/>
      </c>
      <c r="AS2972" s="927" t="s">
        <v>252</v>
      </c>
      <c r="AT2972" s="1856" t="str">
        <f t="shared" ref="AT2972:AT3035" si="490">IF(ISNUMBER(AS2972),INDEX(AR2973:AR2983,MATCH($AT$27,AQ2973:AQ2983,0)),"")</f>
        <v/>
      </c>
      <c r="AU2972" s="1856" t="str">
        <f t="shared" ref="AU2972:AU3035" si="491">IF(AT2972="","",INDEX(AR2973:AR2983,MATCH($AU$27,AQ2973:AQ2983,0)))</f>
        <v/>
      </c>
      <c r="AV2972" s="1856" t="str">
        <f t="shared" ref="AV2972:AV3035" si="492">IF(AT2972="","",INDEX(AR2973:AR2983,MATCH($AV$27,AQ2973:AQ2983,0)))</f>
        <v/>
      </c>
      <c r="AW2972" s="1856" t="str">
        <f t="shared" ref="AW2972:AW3035" si="493">IF(AT2972="","",INDEX(AR2973:AR2983,MATCH($AW$27,AQ2973:AQ2983,0)))</f>
        <v/>
      </c>
      <c r="AX2972" s="1856" t="str">
        <f t="shared" ref="AX2972:AX3035" si="494">IF(AT2972="","",INDEX(AR2973:AR2983,MATCH($AX$27,AQ2973:AQ2983,0)))</f>
        <v/>
      </c>
      <c r="AY2972" s="1856" t="str">
        <f t="shared" ref="AY2972:AY3035" si="495">IF(AT2972="","",INDEX(AR2973:AR2983,MATCH($AY$27,AQ2973:AQ2983,0)))</f>
        <v/>
      </c>
    </row>
    <row r="2973" spans="42:52">
      <c r="AP2973" s="1855">
        <f t="shared" si="487"/>
        <v>44889</v>
      </c>
      <c r="AQ2973" s="925" t="str">
        <f t="shared" si="489"/>
        <v/>
      </c>
      <c r="AR2973" s="1856" t="str">
        <f t="shared" si="488"/>
        <v/>
      </c>
      <c r="AT2973" s="1856" t="str">
        <f t="shared" si="490"/>
        <v/>
      </c>
      <c r="AU2973" s="1856" t="str">
        <f t="shared" si="491"/>
        <v/>
      </c>
      <c r="AV2973" s="1856" t="str">
        <f t="shared" si="492"/>
        <v/>
      </c>
      <c r="AW2973" s="1856" t="str">
        <f t="shared" si="493"/>
        <v/>
      </c>
      <c r="AX2973" s="1856" t="str">
        <f t="shared" si="494"/>
        <v/>
      </c>
      <c r="AY2973" s="1856" t="str">
        <f t="shared" si="495"/>
        <v/>
      </c>
    </row>
    <row r="2974" spans="42:52">
      <c r="AP2974" s="1855">
        <f t="shared" si="487"/>
        <v>44889</v>
      </c>
      <c r="AQ2974" s="925" t="str">
        <f t="shared" si="489"/>
        <v>BMNT</v>
      </c>
      <c r="AR2974" s="1856">
        <f t="shared" si="488"/>
        <v>44889.272916666669</v>
      </c>
      <c r="AS2974" s="927" t="s">
        <v>1383</v>
      </c>
      <c r="AT2974" s="1856" t="str">
        <f t="shared" si="490"/>
        <v/>
      </c>
      <c r="AU2974" s="1856" t="str">
        <f t="shared" si="491"/>
        <v/>
      </c>
      <c r="AV2974" s="1856" t="str">
        <f t="shared" si="492"/>
        <v/>
      </c>
      <c r="AW2974" s="1856" t="str">
        <f t="shared" si="493"/>
        <v/>
      </c>
      <c r="AX2974" s="1856" t="str">
        <f t="shared" si="494"/>
        <v/>
      </c>
      <c r="AY2974" s="1856" t="str">
        <f t="shared" si="495"/>
        <v/>
      </c>
    </row>
    <row r="2975" spans="42:52">
      <c r="AP2975" s="1855">
        <f t="shared" si="487"/>
        <v>44889</v>
      </c>
      <c r="AQ2975" s="925" t="str">
        <f t="shared" si="489"/>
        <v>SR</v>
      </c>
      <c r="AR2975" s="1856">
        <f t="shared" si="488"/>
        <v>44889.314583333333</v>
      </c>
      <c r="AS2975" s="927" t="s">
        <v>1372</v>
      </c>
      <c r="AT2975" s="1856" t="str">
        <f t="shared" si="490"/>
        <v/>
      </c>
      <c r="AU2975" s="1856" t="str">
        <f t="shared" si="491"/>
        <v/>
      </c>
      <c r="AV2975" s="1856" t="str">
        <f t="shared" si="492"/>
        <v/>
      </c>
      <c r="AW2975" s="1856" t="str">
        <f t="shared" si="493"/>
        <v/>
      </c>
      <c r="AX2975" s="1856" t="str">
        <f t="shared" si="494"/>
        <v/>
      </c>
      <c r="AY2975" s="1856" t="str">
        <f t="shared" si="495"/>
        <v/>
      </c>
    </row>
    <row r="2976" spans="42:52">
      <c r="AP2976" s="1855">
        <f t="shared" si="487"/>
        <v>44889</v>
      </c>
      <c r="AQ2976" s="925" t="str">
        <f t="shared" si="489"/>
        <v>MR</v>
      </c>
      <c r="AR2976" s="1856">
        <f t="shared" si="488"/>
        <v>44889.352083333339</v>
      </c>
      <c r="AS2976" s="927" t="s">
        <v>2372</v>
      </c>
      <c r="AT2976" s="1856" t="str">
        <f t="shared" si="490"/>
        <v/>
      </c>
      <c r="AU2976" s="1856" t="str">
        <f t="shared" si="491"/>
        <v/>
      </c>
      <c r="AV2976" s="1856" t="str">
        <f t="shared" si="492"/>
        <v/>
      </c>
      <c r="AW2976" s="1856" t="str">
        <f t="shared" si="493"/>
        <v/>
      </c>
      <c r="AX2976" s="1856" t="str">
        <f t="shared" si="494"/>
        <v/>
      </c>
      <c r="AY2976" s="1856" t="str">
        <f t="shared" si="495"/>
        <v/>
      </c>
    </row>
    <row r="2977" spans="42:52">
      <c r="AP2977" s="1855">
        <f t="shared" si="487"/>
        <v>44889</v>
      </c>
      <c r="AQ2977" s="925" t="str">
        <f t="shared" si="489"/>
        <v>SS</v>
      </c>
      <c r="AR2977" s="1856">
        <f t="shared" si="488"/>
        <v>44889.727083333339</v>
      </c>
      <c r="AS2977" s="927" t="s">
        <v>2373</v>
      </c>
      <c r="AT2977" s="1856" t="str">
        <f t="shared" si="490"/>
        <v/>
      </c>
      <c r="AU2977" s="1856" t="str">
        <f t="shared" si="491"/>
        <v/>
      </c>
      <c r="AV2977" s="1856" t="str">
        <f t="shared" si="492"/>
        <v/>
      </c>
      <c r="AW2977" s="1856" t="str">
        <f t="shared" si="493"/>
        <v/>
      </c>
      <c r="AX2977" s="1856" t="str">
        <f t="shared" si="494"/>
        <v/>
      </c>
      <c r="AY2977" s="1856" t="str">
        <f t="shared" si="495"/>
        <v/>
      </c>
    </row>
    <row r="2978" spans="42:52">
      <c r="AP2978" s="1855">
        <f t="shared" si="487"/>
        <v>44889</v>
      </c>
      <c r="AQ2978" s="925" t="str">
        <f t="shared" si="489"/>
        <v>MS</v>
      </c>
      <c r="AR2978" s="1856">
        <f t="shared" si="488"/>
        <v>44889.749305555561</v>
      </c>
      <c r="AS2978" s="927" t="s">
        <v>2374</v>
      </c>
      <c r="AT2978" s="1856" t="str">
        <f t="shared" si="490"/>
        <v/>
      </c>
      <c r="AU2978" s="1856" t="str">
        <f t="shared" si="491"/>
        <v/>
      </c>
      <c r="AV2978" s="1856" t="str">
        <f t="shared" si="492"/>
        <v/>
      </c>
      <c r="AW2978" s="1856" t="str">
        <f t="shared" si="493"/>
        <v/>
      </c>
      <c r="AX2978" s="1856" t="str">
        <f t="shared" si="494"/>
        <v/>
      </c>
      <c r="AY2978" s="1856" t="str">
        <f t="shared" si="495"/>
        <v/>
      </c>
    </row>
    <row r="2979" spans="42:52">
      <c r="AP2979" s="1855">
        <f t="shared" si="487"/>
        <v>44889</v>
      </c>
      <c r="AQ2979" s="925" t="str">
        <f t="shared" si="489"/>
        <v>EENT</v>
      </c>
      <c r="AR2979" s="1856">
        <f t="shared" si="488"/>
        <v>44889.769444444442</v>
      </c>
      <c r="AS2979" s="927" t="s">
        <v>2375</v>
      </c>
      <c r="AT2979" s="1856" t="str">
        <f t="shared" si="490"/>
        <v/>
      </c>
      <c r="AU2979" s="1856" t="str">
        <f t="shared" si="491"/>
        <v/>
      </c>
      <c r="AV2979" s="1856" t="str">
        <f t="shared" si="492"/>
        <v/>
      </c>
      <c r="AW2979" s="1856" t="str">
        <f t="shared" si="493"/>
        <v/>
      </c>
      <c r="AX2979" s="1856" t="str">
        <f t="shared" si="494"/>
        <v/>
      </c>
      <c r="AY2979" s="1856" t="str">
        <f t="shared" si="495"/>
        <v/>
      </c>
    </row>
    <row r="2980" spans="42:52">
      <c r="AP2980" s="1855">
        <f t="shared" si="487"/>
        <v>44890</v>
      </c>
      <c r="AQ2980" s="925" t="str">
        <f t="shared" si="489"/>
        <v/>
      </c>
      <c r="AR2980" s="1856" t="str">
        <f t="shared" si="488"/>
        <v/>
      </c>
      <c r="AS2980" s="927">
        <v>25</v>
      </c>
      <c r="AT2980" s="1856">
        <f t="shared" si="490"/>
        <v>44890.272916666669</v>
      </c>
      <c r="AU2980" s="1856">
        <f t="shared" si="491"/>
        <v>44890.315277777772</v>
      </c>
      <c r="AV2980" s="1856">
        <f t="shared" si="492"/>
        <v>44890.727083333339</v>
      </c>
      <c r="AW2980" s="1856">
        <f t="shared" si="493"/>
        <v>44890.769444444442</v>
      </c>
      <c r="AX2980" s="1856">
        <f t="shared" si="494"/>
        <v>44890.40347222222</v>
      </c>
      <c r="AY2980" s="1856">
        <f t="shared" si="495"/>
        <v>44890.788888888892</v>
      </c>
      <c r="AZ2980" s="1853">
        <v>0.02</v>
      </c>
    </row>
    <row r="2981" spans="42:52">
      <c r="AP2981" s="1855">
        <f t="shared" ref="AP2981:AP3044" si="496">IF(ISNUMBER(AS2981),AP2980+1,AP2980)</f>
        <v>44890</v>
      </c>
      <c r="AQ2981" s="925" t="str">
        <f t="shared" si="489"/>
        <v/>
      </c>
      <c r="AR2981" s="1856" t="str">
        <f t="shared" si="488"/>
        <v/>
      </c>
      <c r="AS2981" s="927" t="s">
        <v>252</v>
      </c>
      <c r="AT2981" s="1856" t="str">
        <f t="shared" si="490"/>
        <v/>
      </c>
      <c r="AU2981" s="1856" t="str">
        <f t="shared" si="491"/>
        <v/>
      </c>
      <c r="AV2981" s="1856" t="str">
        <f t="shared" si="492"/>
        <v/>
      </c>
      <c r="AW2981" s="1856" t="str">
        <f t="shared" si="493"/>
        <v/>
      </c>
      <c r="AX2981" s="1856" t="str">
        <f t="shared" si="494"/>
        <v/>
      </c>
      <c r="AY2981" s="1856" t="str">
        <f t="shared" si="495"/>
        <v/>
      </c>
    </row>
    <row r="2982" spans="42:52">
      <c r="AP2982" s="1855">
        <f t="shared" si="496"/>
        <v>44890</v>
      </c>
      <c r="AQ2982" s="925" t="str">
        <f t="shared" si="489"/>
        <v/>
      </c>
      <c r="AR2982" s="1856" t="str">
        <f t="shared" si="488"/>
        <v/>
      </c>
      <c r="AT2982" s="1856" t="str">
        <f t="shared" si="490"/>
        <v/>
      </c>
      <c r="AU2982" s="1856" t="str">
        <f t="shared" si="491"/>
        <v/>
      </c>
      <c r="AV2982" s="1856" t="str">
        <f t="shared" si="492"/>
        <v/>
      </c>
      <c r="AW2982" s="1856" t="str">
        <f t="shared" si="493"/>
        <v/>
      </c>
      <c r="AX2982" s="1856" t="str">
        <f t="shared" si="494"/>
        <v/>
      </c>
      <c r="AY2982" s="1856" t="str">
        <f t="shared" si="495"/>
        <v/>
      </c>
    </row>
    <row r="2983" spans="42:52">
      <c r="AP2983" s="1855">
        <f t="shared" si="496"/>
        <v>44890</v>
      </c>
      <c r="AQ2983" s="925" t="str">
        <f t="shared" si="489"/>
        <v>BMNT</v>
      </c>
      <c r="AR2983" s="1856">
        <f t="shared" si="488"/>
        <v>44890.272916666669</v>
      </c>
      <c r="AS2983" s="927" t="s">
        <v>1383</v>
      </c>
      <c r="AT2983" s="1856" t="str">
        <f t="shared" si="490"/>
        <v/>
      </c>
      <c r="AU2983" s="1856" t="str">
        <f t="shared" si="491"/>
        <v/>
      </c>
      <c r="AV2983" s="1856" t="str">
        <f t="shared" si="492"/>
        <v/>
      </c>
      <c r="AW2983" s="1856" t="str">
        <f t="shared" si="493"/>
        <v/>
      </c>
      <c r="AX2983" s="1856" t="str">
        <f t="shared" si="494"/>
        <v/>
      </c>
      <c r="AY2983" s="1856" t="str">
        <f t="shared" si="495"/>
        <v/>
      </c>
    </row>
    <row r="2984" spans="42:52">
      <c r="AP2984" s="1855">
        <f t="shared" si="496"/>
        <v>44890</v>
      </c>
      <c r="AQ2984" s="925" t="str">
        <f t="shared" si="489"/>
        <v>SR</v>
      </c>
      <c r="AR2984" s="1856">
        <f t="shared" si="488"/>
        <v>44890.315277777772</v>
      </c>
      <c r="AS2984" s="927" t="s">
        <v>1367</v>
      </c>
      <c r="AT2984" s="1856" t="str">
        <f t="shared" si="490"/>
        <v/>
      </c>
      <c r="AU2984" s="1856" t="str">
        <f t="shared" si="491"/>
        <v/>
      </c>
      <c r="AV2984" s="1856" t="str">
        <f t="shared" si="492"/>
        <v/>
      </c>
      <c r="AW2984" s="1856" t="str">
        <f t="shared" si="493"/>
        <v/>
      </c>
      <c r="AX2984" s="1856" t="str">
        <f t="shared" si="494"/>
        <v/>
      </c>
      <c r="AY2984" s="1856" t="str">
        <f t="shared" si="495"/>
        <v/>
      </c>
    </row>
    <row r="2985" spans="42:52">
      <c r="AP2985" s="1855">
        <f t="shared" si="496"/>
        <v>44890</v>
      </c>
      <c r="AQ2985" s="925" t="str">
        <f t="shared" si="489"/>
        <v>MR</v>
      </c>
      <c r="AR2985" s="1856">
        <f t="shared" ref="AR2985:AR3048" si="497">IF(NOT(ISNUMBER(FIND(":",AS2985))),"",IF(ISNUMBER(FIND(" none",AS2985)),"NONE",AP2985+LEFT(RIGHT(AS2985,5),2)/24+RIGHT(AS2985,2)/1440))</f>
        <v>44890.40347222222</v>
      </c>
      <c r="AS2985" s="927" t="s">
        <v>2376</v>
      </c>
      <c r="AT2985" s="1856" t="str">
        <f t="shared" si="490"/>
        <v/>
      </c>
      <c r="AU2985" s="1856" t="str">
        <f t="shared" si="491"/>
        <v/>
      </c>
      <c r="AV2985" s="1856" t="str">
        <f t="shared" si="492"/>
        <v/>
      </c>
      <c r="AW2985" s="1856" t="str">
        <f t="shared" si="493"/>
        <v/>
      </c>
      <c r="AX2985" s="1856" t="str">
        <f t="shared" si="494"/>
        <v/>
      </c>
      <c r="AY2985" s="1856" t="str">
        <f t="shared" si="495"/>
        <v/>
      </c>
    </row>
    <row r="2986" spans="42:52">
      <c r="AP2986" s="1855">
        <f t="shared" si="496"/>
        <v>44890</v>
      </c>
      <c r="AQ2986" s="925" t="str">
        <f t="shared" si="489"/>
        <v>SS</v>
      </c>
      <c r="AR2986" s="1856">
        <f t="shared" si="497"/>
        <v>44890.727083333339</v>
      </c>
      <c r="AS2986" s="927" t="s">
        <v>2373</v>
      </c>
      <c r="AT2986" s="1856" t="str">
        <f t="shared" si="490"/>
        <v/>
      </c>
      <c r="AU2986" s="1856" t="str">
        <f t="shared" si="491"/>
        <v/>
      </c>
      <c r="AV2986" s="1856" t="str">
        <f t="shared" si="492"/>
        <v/>
      </c>
      <c r="AW2986" s="1856" t="str">
        <f t="shared" si="493"/>
        <v/>
      </c>
      <c r="AX2986" s="1856" t="str">
        <f t="shared" si="494"/>
        <v/>
      </c>
      <c r="AY2986" s="1856" t="str">
        <f t="shared" si="495"/>
        <v/>
      </c>
    </row>
    <row r="2987" spans="42:52">
      <c r="AP2987" s="1855">
        <f t="shared" si="496"/>
        <v>44890</v>
      </c>
      <c r="AQ2987" s="925" t="str">
        <f t="shared" si="489"/>
        <v>EENT</v>
      </c>
      <c r="AR2987" s="1856">
        <f t="shared" si="497"/>
        <v>44890.769444444442</v>
      </c>
      <c r="AS2987" s="927" t="s">
        <v>2375</v>
      </c>
      <c r="AT2987" s="1856" t="str">
        <f t="shared" si="490"/>
        <v/>
      </c>
      <c r="AU2987" s="1856" t="str">
        <f t="shared" si="491"/>
        <v/>
      </c>
      <c r="AV2987" s="1856" t="str">
        <f t="shared" si="492"/>
        <v/>
      </c>
      <c r="AW2987" s="1856" t="str">
        <f t="shared" si="493"/>
        <v/>
      </c>
      <c r="AX2987" s="1856" t="str">
        <f t="shared" si="494"/>
        <v/>
      </c>
      <c r="AY2987" s="1856" t="str">
        <f t="shared" si="495"/>
        <v/>
      </c>
    </row>
    <row r="2988" spans="42:52">
      <c r="AP2988" s="1855">
        <f t="shared" si="496"/>
        <v>44890</v>
      </c>
      <c r="AQ2988" s="925" t="str">
        <f t="shared" si="489"/>
        <v>MS</v>
      </c>
      <c r="AR2988" s="1856">
        <f t="shared" si="497"/>
        <v>44890.788888888892</v>
      </c>
      <c r="AS2988" s="927" t="s">
        <v>2377</v>
      </c>
      <c r="AT2988" s="1856" t="str">
        <f t="shared" si="490"/>
        <v/>
      </c>
      <c r="AU2988" s="1856" t="str">
        <f t="shared" si="491"/>
        <v/>
      </c>
      <c r="AV2988" s="1856" t="str">
        <f t="shared" si="492"/>
        <v/>
      </c>
      <c r="AW2988" s="1856" t="str">
        <f t="shared" si="493"/>
        <v/>
      </c>
      <c r="AX2988" s="1856" t="str">
        <f t="shared" si="494"/>
        <v/>
      </c>
      <c r="AY2988" s="1856" t="str">
        <f t="shared" si="495"/>
        <v/>
      </c>
    </row>
    <row r="2989" spans="42:52">
      <c r="AP2989" s="1855">
        <f t="shared" si="496"/>
        <v>44891</v>
      </c>
      <c r="AQ2989" s="925" t="str">
        <f t="shared" si="489"/>
        <v/>
      </c>
      <c r="AR2989" s="1856" t="str">
        <f t="shared" si="497"/>
        <v/>
      </c>
      <c r="AS2989" s="927">
        <v>26</v>
      </c>
      <c r="AT2989" s="1856">
        <f t="shared" si="490"/>
        <v>44891.273611111108</v>
      </c>
      <c r="AU2989" s="1856">
        <f t="shared" si="491"/>
        <v>44891.315972222219</v>
      </c>
      <c r="AV2989" s="1856">
        <f t="shared" si="492"/>
        <v>44891.727083333339</v>
      </c>
      <c r="AW2989" s="1856">
        <f t="shared" si="493"/>
        <v>44891.769444444442</v>
      </c>
      <c r="AX2989" s="1856">
        <f t="shared" si="494"/>
        <v>44891.450694444444</v>
      </c>
      <c r="AY2989" s="1856">
        <f t="shared" si="495"/>
        <v>44891.834722222222</v>
      </c>
      <c r="AZ2989" s="1853">
        <v>7.0000000000000007E-2</v>
      </c>
    </row>
    <row r="2990" spans="42:52">
      <c r="AP2990" s="1855">
        <f t="shared" si="496"/>
        <v>44891</v>
      </c>
      <c r="AQ2990" s="925" t="str">
        <f t="shared" si="489"/>
        <v/>
      </c>
      <c r="AR2990" s="1856" t="str">
        <f t="shared" si="497"/>
        <v/>
      </c>
      <c r="AS2990" s="927" t="s">
        <v>252</v>
      </c>
      <c r="AT2990" s="1856" t="str">
        <f t="shared" si="490"/>
        <v/>
      </c>
      <c r="AU2990" s="1856" t="str">
        <f t="shared" si="491"/>
        <v/>
      </c>
      <c r="AV2990" s="1856" t="str">
        <f t="shared" si="492"/>
        <v/>
      </c>
      <c r="AW2990" s="1856" t="str">
        <f t="shared" si="493"/>
        <v/>
      </c>
      <c r="AX2990" s="1856" t="str">
        <f t="shared" si="494"/>
        <v/>
      </c>
      <c r="AY2990" s="1856" t="str">
        <f t="shared" si="495"/>
        <v/>
      </c>
    </row>
    <row r="2991" spans="42:52">
      <c r="AP2991" s="1855">
        <f t="shared" si="496"/>
        <v>44891</v>
      </c>
      <c r="AQ2991" s="925" t="str">
        <f t="shared" si="489"/>
        <v/>
      </c>
      <c r="AR2991" s="1856" t="str">
        <f t="shared" si="497"/>
        <v/>
      </c>
      <c r="AT2991" s="1856" t="str">
        <f t="shared" si="490"/>
        <v/>
      </c>
      <c r="AU2991" s="1856" t="str">
        <f t="shared" si="491"/>
        <v/>
      </c>
      <c r="AV2991" s="1856" t="str">
        <f t="shared" si="492"/>
        <v/>
      </c>
      <c r="AW2991" s="1856" t="str">
        <f t="shared" si="493"/>
        <v/>
      </c>
      <c r="AX2991" s="1856" t="str">
        <f t="shared" si="494"/>
        <v/>
      </c>
      <c r="AY2991" s="1856" t="str">
        <f t="shared" si="495"/>
        <v/>
      </c>
    </row>
    <row r="2992" spans="42:52">
      <c r="AP2992" s="1855">
        <f t="shared" si="496"/>
        <v>44891</v>
      </c>
      <c r="AQ2992" s="925" t="str">
        <f t="shared" si="489"/>
        <v>BMNT</v>
      </c>
      <c r="AR2992" s="1856">
        <f t="shared" si="497"/>
        <v>44891.273611111108</v>
      </c>
      <c r="AS2992" s="927" t="s">
        <v>1377</v>
      </c>
      <c r="AT2992" s="1856" t="str">
        <f t="shared" si="490"/>
        <v/>
      </c>
      <c r="AU2992" s="1856" t="str">
        <f t="shared" si="491"/>
        <v/>
      </c>
      <c r="AV2992" s="1856" t="str">
        <f t="shared" si="492"/>
        <v/>
      </c>
      <c r="AW2992" s="1856" t="str">
        <f t="shared" si="493"/>
        <v/>
      </c>
      <c r="AX2992" s="1856" t="str">
        <f t="shared" si="494"/>
        <v/>
      </c>
      <c r="AY2992" s="1856" t="str">
        <f t="shared" si="495"/>
        <v/>
      </c>
    </row>
    <row r="2993" spans="42:52">
      <c r="AP2993" s="1855">
        <f t="shared" si="496"/>
        <v>44891</v>
      </c>
      <c r="AQ2993" s="925" t="str">
        <f t="shared" si="489"/>
        <v>SR</v>
      </c>
      <c r="AR2993" s="1856">
        <f t="shared" si="497"/>
        <v>44891.315972222219</v>
      </c>
      <c r="AS2993" s="927" t="s">
        <v>1361</v>
      </c>
      <c r="AT2993" s="1856" t="str">
        <f t="shared" si="490"/>
        <v/>
      </c>
      <c r="AU2993" s="1856" t="str">
        <f t="shared" si="491"/>
        <v/>
      </c>
      <c r="AV2993" s="1856" t="str">
        <f t="shared" si="492"/>
        <v/>
      </c>
      <c r="AW2993" s="1856" t="str">
        <f t="shared" si="493"/>
        <v/>
      </c>
      <c r="AX2993" s="1856" t="str">
        <f t="shared" si="494"/>
        <v/>
      </c>
      <c r="AY2993" s="1856" t="str">
        <f t="shared" si="495"/>
        <v/>
      </c>
    </row>
    <row r="2994" spans="42:52">
      <c r="AP2994" s="1855">
        <f t="shared" si="496"/>
        <v>44891</v>
      </c>
      <c r="AQ2994" s="925" t="str">
        <f t="shared" si="489"/>
        <v>MR</v>
      </c>
      <c r="AR2994" s="1856">
        <f t="shared" si="497"/>
        <v>44891.450694444444</v>
      </c>
      <c r="AS2994" s="927" t="s">
        <v>2378</v>
      </c>
      <c r="AT2994" s="1856" t="str">
        <f t="shared" si="490"/>
        <v/>
      </c>
      <c r="AU2994" s="1856" t="str">
        <f t="shared" si="491"/>
        <v/>
      </c>
      <c r="AV2994" s="1856" t="str">
        <f t="shared" si="492"/>
        <v/>
      </c>
      <c r="AW2994" s="1856" t="str">
        <f t="shared" si="493"/>
        <v/>
      </c>
      <c r="AX2994" s="1856" t="str">
        <f t="shared" si="494"/>
        <v/>
      </c>
      <c r="AY2994" s="1856" t="str">
        <f t="shared" si="495"/>
        <v/>
      </c>
    </row>
    <row r="2995" spans="42:52">
      <c r="AP2995" s="1855">
        <f t="shared" si="496"/>
        <v>44891</v>
      </c>
      <c r="AQ2995" s="925" t="str">
        <f t="shared" si="489"/>
        <v>SS</v>
      </c>
      <c r="AR2995" s="1856">
        <f t="shared" si="497"/>
        <v>44891.727083333339</v>
      </c>
      <c r="AS2995" s="927" t="s">
        <v>2373</v>
      </c>
      <c r="AT2995" s="1856" t="str">
        <f t="shared" si="490"/>
        <v/>
      </c>
      <c r="AU2995" s="1856" t="str">
        <f t="shared" si="491"/>
        <v/>
      </c>
      <c r="AV2995" s="1856" t="str">
        <f t="shared" si="492"/>
        <v/>
      </c>
      <c r="AW2995" s="1856" t="str">
        <f t="shared" si="493"/>
        <v/>
      </c>
      <c r="AX2995" s="1856" t="str">
        <f t="shared" si="494"/>
        <v/>
      </c>
      <c r="AY2995" s="1856" t="str">
        <f t="shared" si="495"/>
        <v/>
      </c>
    </row>
    <row r="2996" spans="42:52">
      <c r="AP2996" s="1855">
        <f t="shared" si="496"/>
        <v>44891</v>
      </c>
      <c r="AQ2996" s="925" t="str">
        <f t="shared" ref="AQ2996:AQ3059" si="498">IF(NOT(ISNUMBER(FIND(":",AS2996))),"",IF(ISNUMBER(FIND("Sunr",AS2996)),"SR", IF(ISNUMBER(FIND("Suns",AS2996)),"SS",IF(ISNUMBER(FIND("Moonr",AS2996)),"MR",IF(ISNUMBER(FIND("Moons",AS2996)),"MS",IF(ISNUMBER(FIND("Twi",AS2996)),IF(HOUR(AR2996)&lt;12,"BMNT","EENT")))))))</f>
        <v>EENT</v>
      </c>
      <c r="AR2996" s="1856">
        <f t="shared" si="497"/>
        <v>44891.769444444442</v>
      </c>
      <c r="AS2996" s="927" t="s">
        <v>2375</v>
      </c>
      <c r="AT2996" s="1856" t="str">
        <f t="shared" si="490"/>
        <v/>
      </c>
      <c r="AU2996" s="1856" t="str">
        <f t="shared" si="491"/>
        <v/>
      </c>
      <c r="AV2996" s="1856" t="str">
        <f t="shared" si="492"/>
        <v/>
      </c>
      <c r="AW2996" s="1856" t="str">
        <f t="shared" si="493"/>
        <v/>
      </c>
      <c r="AX2996" s="1856" t="str">
        <f t="shared" si="494"/>
        <v/>
      </c>
      <c r="AY2996" s="1856" t="str">
        <f t="shared" si="495"/>
        <v/>
      </c>
    </row>
    <row r="2997" spans="42:52">
      <c r="AP2997" s="1855">
        <f t="shared" si="496"/>
        <v>44891</v>
      </c>
      <c r="AQ2997" s="925" t="str">
        <f t="shared" si="498"/>
        <v>MS</v>
      </c>
      <c r="AR2997" s="1856">
        <f t="shared" si="497"/>
        <v>44891.834722222222</v>
      </c>
      <c r="AS2997" s="927" t="s">
        <v>2379</v>
      </c>
      <c r="AT2997" s="1856" t="str">
        <f t="shared" si="490"/>
        <v/>
      </c>
      <c r="AU2997" s="1856" t="str">
        <f t="shared" si="491"/>
        <v/>
      </c>
      <c r="AV2997" s="1856" t="str">
        <f t="shared" si="492"/>
        <v/>
      </c>
      <c r="AW2997" s="1856" t="str">
        <f t="shared" si="493"/>
        <v/>
      </c>
      <c r="AX2997" s="1856" t="str">
        <f t="shared" si="494"/>
        <v/>
      </c>
      <c r="AY2997" s="1856" t="str">
        <f t="shared" si="495"/>
        <v/>
      </c>
    </row>
    <row r="2998" spans="42:52">
      <c r="AP2998" s="1855">
        <f t="shared" si="496"/>
        <v>44892</v>
      </c>
      <c r="AQ2998" s="925" t="str">
        <f t="shared" si="498"/>
        <v/>
      </c>
      <c r="AR2998" s="1856" t="str">
        <f t="shared" si="497"/>
        <v/>
      </c>
      <c r="AS2998" s="927">
        <v>27</v>
      </c>
      <c r="AT2998" s="1856">
        <f t="shared" si="490"/>
        <v>44892.274305555555</v>
      </c>
      <c r="AU2998" s="1856">
        <f t="shared" si="491"/>
        <v>44892.316666666666</v>
      </c>
      <c r="AV2998" s="1856">
        <f t="shared" si="492"/>
        <v>44892.726388888892</v>
      </c>
      <c r="AW2998" s="1856">
        <f t="shared" si="493"/>
        <v>44892.768750000003</v>
      </c>
      <c r="AX2998" s="1856">
        <f t="shared" si="494"/>
        <v>44892.490277777782</v>
      </c>
      <c r="AY2998" s="1856">
        <f t="shared" si="495"/>
        <v>44892.886111111111</v>
      </c>
      <c r="AZ2998" s="1853">
        <v>0.15</v>
      </c>
    </row>
    <row r="2999" spans="42:52">
      <c r="AP2999" s="1855">
        <f t="shared" si="496"/>
        <v>44892</v>
      </c>
      <c r="AQ2999" s="925" t="str">
        <f t="shared" si="498"/>
        <v/>
      </c>
      <c r="AR2999" s="1856" t="str">
        <f t="shared" si="497"/>
        <v/>
      </c>
      <c r="AS2999" s="927" t="s">
        <v>252</v>
      </c>
      <c r="AT2999" s="1856" t="str">
        <f t="shared" si="490"/>
        <v/>
      </c>
      <c r="AU2999" s="1856" t="str">
        <f t="shared" si="491"/>
        <v/>
      </c>
      <c r="AV2999" s="1856" t="str">
        <f t="shared" si="492"/>
        <v/>
      </c>
      <c r="AW2999" s="1856" t="str">
        <f t="shared" si="493"/>
        <v/>
      </c>
      <c r="AX2999" s="1856" t="str">
        <f t="shared" si="494"/>
        <v/>
      </c>
      <c r="AY2999" s="1856" t="str">
        <f t="shared" si="495"/>
        <v/>
      </c>
    </row>
    <row r="3000" spans="42:52">
      <c r="AP3000" s="1855">
        <f t="shared" si="496"/>
        <v>44892</v>
      </c>
      <c r="AQ3000" s="925" t="str">
        <f t="shared" si="498"/>
        <v/>
      </c>
      <c r="AR3000" s="1856" t="str">
        <f t="shared" si="497"/>
        <v/>
      </c>
      <c r="AT3000" s="1856" t="str">
        <f t="shared" si="490"/>
        <v/>
      </c>
      <c r="AU3000" s="1856" t="str">
        <f t="shared" si="491"/>
        <v/>
      </c>
      <c r="AV3000" s="1856" t="str">
        <f t="shared" si="492"/>
        <v/>
      </c>
      <c r="AW3000" s="1856" t="str">
        <f t="shared" si="493"/>
        <v/>
      </c>
      <c r="AX3000" s="1856" t="str">
        <f t="shared" si="494"/>
        <v/>
      </c>
      <c r="AY3000" s="1856" t="str">
        <f t="shared" si="495"/>
        <v/>
      </c>
    </row>
    <row r="3001" spans="42:52">
      <c r="AP3001" s="1855">
        <f t="shared" si="496"/>
        <v>44892</v>
      </c>
      <c r="AQ3001" s="925" t="str">
        <f t="shared" si="498"/>
        <v>BMNT</v>
      </c>
      <c r="AR3001" s="1856">
        <f t="shared" si="497"/>
        <v>44892.274305555555</v>
      </c>
      <c r="AS3001" s="927" t="s">
        <v>1371</v>
      </c>
      <c r="AT3001" s="1856" t="str">
        <f t="shared" si="490"/>
        <v/>
      </c>
      <c r="AU3001" s="1856" t="str">
        <f t="shared" si="491"/>
        <v/>
      </c>
      <c r="AV3001" s="1856" t="str">
        <f t="shared" si="492"/>
        <v/>
      </c>
      <c r="AW3001" s="1856" t="str">
        <f t="shared" si="493"/>
        <v/>
      </c>
      <c r="AX3001" s="1856" t="str">
        <f t="shared" si="494"/>
        <v/>
      </c>
      <c r="AY3001" s="1856" t="str">
        <f t="shared" si="495"/>
        <v/>
      </c>
    </row>
    <row r="3002" spans="42:52">
      <c r="AP3002" s="1855">
        <f t="shared" si="496"/>
        <v>44892</v>
      </c>
      <c r="AQ3002" s="925" t="str">
        <f t="shared" si="498"/>
        <v>SR</v>
      </c>
      <c r="AR3002" s="1856">
        <f t="shared" si="497"/>
        <v>44892.316666666666</v>
      </c>
      <c r="AS3002" s="927" t="s">
        <v>1355</v>
      </c>
      <c r="AT3002" s="1856" t="str">
        <f t="shared" si="490"/>
        <v/>
      </c>
      <c r="AU3002" s="1856" t="str">
        <f t="shared" si="491"/>
        <v/>
      </c>
      <c r="AV3002" s="1856" t="str">
        <f t="shared" si="492"/>
        <v/>
      </c>
      <c r="AW3002" s="1856" t="str">
        <f t="shared" si="493"/>
        <v/>
      </c>
      <c r="AX3002" s="1856" t="str">
        <f t="shared" si="494"/>
        <v/>
      </c>
      <c r="AY3002" s="1856" t="str">
        <f t="shared" si="495"/>
        <v/>
      </c>
    </row>
    <row r="3003" spans="42:52">
      <c r="AP3003" s="1855">
        <f t="shared" si="496"/>
        <v>44892</v>
      </c>
      <c r="AQ3003" s="925" t="str">
        <f t="shared" si="498"/>
        <v>MR</v>
      </c>
      <c r="AR3003" s="1856">
        <f t="shared" si="497"/>
        <v>44892.490277777782</v>
      </c>
      <c r="AS3003" s="927" t="s">
        <v>2380</v>
      </c>
      <c r="AT3003" s="1856" t="str">
        <f t="shared" si="490"/>
        <v/>
      </c>
      <c r="AU3003" s="1856" t="str">
        <f t="shared" si="491"/>
        <v/>
      </c>
      <c r="AV3003" s="1856" t="str">
        <f t="shared" si="492"/>
        <v/>
      </c>
      <c r="AW3003" s="1856" t="str">
        <f t="shared" si="493"/>
        <v/>
      </c>
      <c r="AX3003" s="1856" t="str">
        <f t="shared" si="494"/>
        <v/>
      </c>
      <c r="AY3003" s="1856" t="str">
        <f t="shared" si="495"/>
        <v/>
      </c>
    </row>
    <row r="3004" spans="42:52">
      <c r="AP3004" s="1855">
        <f t="shared" si="496"/>
        <v>44892</v>
      </c>
      <c r="AQ3004" s="925" t="str">
        <f t="shared" si="498"/>
        <v>SS</v>
      </c>
      <c r="AR3004" s="1856">
        <f t="shared" si="497"/>
        <v>44892.726388888892</v>
      </c>
      <c r="AS3004" s="927" t="s">
        <v>2381</v>
      </c>
      <c r="AT3004" s="1856" t="str">
        <f t="shared" si="490"/>
        <v/>
      </c>
      <c r="AU3004" s="1856" t="str">
        <f t="shared" si="491"/>
        <v/>
      </c>
      <c r="AV3004" s="1856" t="str">
        <f t="shared" si="492"/>
        <v/>
      </c>
      <c r="AW3004" s="1856" t="str">
        <f t="shared" si="493"/>
        <v/>
      </c>
      <c r="AX3004" s="1856" t="str">
        <f t="shared" si="494"/>
        <v/>
      </c>
      <c r="AY3004" s="1856" t="str">
        <f t="shared" si="495"/>
        <v/>
      </c>
    </row>
    <row r="3005" spans="42:52">
      <c r="AP3005" s="1855">
        <f t="shared" si="496"/>
        <v>44892</v>
      </c>
      <c r="AQ3005" s="925" t="str">
        <f t="shared" si="498"/>
        <v>EENT</v>
      </c>
      <c r="AR3005" s="1856">
        <f t="shared" si="497"/>
        <v>44892.768750000003</v>
      </c>
      <c r="AS3005" s="927" t="s">
        <v>2382</v>
      </c>
      <c r="AT3005" s="1856" t="str">
        <f t="shared" si="490"/>
        <v/>
      </c>
      <c r="AU3005" s="1856" t="str">
        <f t="shared" si="491"/>
        <v/>
      </c>
      <c r="AV3005" s="1856" t="str">
        <f t="shared" si="492"/>
        <v/>
      </c>
      <c r="AW3005" s="1856" t="str">
        <f t="shared" si="493"/>
        <v/>
      </c>
      <c r="AX3005" s="1856" t="str">
        <f t="shared" si="494"/>
        <v/>
      </c>
      <c r="AY3005" s="1856" t="str">
        <f t="shared" si="495"/>
        <v/>
      </c>
    </row>
    <row r="3006" spans="42:52">
      <c r="AP3006" s="1855">
        <f t="shared" si="496"/>
        <v>44892</v>
      </c>
      <c r="AQ3006" s="925" t="str">
        <f t="shared" si="498"/>
        <v>MS</v>
      </c>
      <c r="AR3006" s="1856">
        <f t="shared" si="497"/>
        <v>44892.886111111111</v>
      </c>
      <c r="AS3006" s="927" t="s">
        <v>2383</v>
      </c>
      <c r="AT3006" s="1856" t="str">
        <f t="shared" si="490"/>
        <v/>
      </c>
      <c r="AU3006" s="1856" t="str">
        <f t="shared" si="491"/>
        <v/>
      </c>
      <c r="AV3006" s="1856" t="str">
        <f t="shared" si="492"/>
        <v/>
      </c>
      <c r="AW3006" s="1856" t="str">
        <f t="shared" si="493"/>
        <v/>
      </c>
      <c r="AX3006" s="1856" t="str">
        <f t="shared" si="494"/>
        <v/>
      </c>
      <c r="AY3006" s="1856" t="str">
        <f t="shared" si="495"/>
        <v/>
      </c>
    </row>
    <row r="3007" spans="42:52">
      <c r="AP3007" s="1855">
        <f t="shared" si="496"/>
        <v>44893</v>
      </c>
      <c r="AQ3007" s="925" t="str">
        <f t="shared" si="498"/>
        <v/>
      </c>
      <c r="AR3007" s="1856" t="str">
        <f t="shared" si="497"/>
        <v/>
      </c>
      <c r="AS3007" s="927">
        <v>28</v>
      </c>
      <c r="AT3007" s="1856">
        <f t="shared" si="490"/>
        <v>44893.275000000001</v>
      </c>
      <c r="AU3007" s="1856">
        <f t="shared" si="491"/>
        <v>44893.317361111105</v>
      </c>
      <c r="AV3007" s="1856">
        <f t="shared" si="492"/>
        <v>44893.726388888892</v>
      </c>
      <c r="AW3007" s="1856">
        <f t="shared" si="493"/>
        <v>44893.768750000003</v>
      </c>
      <c r="AX3007" s="1856">
        <f t="shared" si="494"/>
        <v>44893.522222222222</v>
      </c>
      <c r="AY3007" s="1856">
        <f t="shared" si="495"/>
        <v>44893.938194444439</v>
      </c>
      <c r="AZ3007" s="1853">
        <v>0.24</v>
      </c>
    </row>
    <row r="3008" spans="42:52">
      <c r="AP3008" s="1855">
        <f t="shared" si="496"/>
        <v>44893</v>
      </c>
      <c r="AQ3008" s="925" t="str">
        <f t="shared" si="498"/>
        <v/>
      </c>
      <c r="AR3008" s="1856" t="str">
        <f t="shared" si="497"/>
        <v/>
      </c>
      <c r="AS3008" s="927" t="s">
        <v>252</v>
      </c>
      <c r="AT3008" s="1856" t="str">
        <f t="shared" si="490"/>
        <v/>
      </c>
      <c r="AU3008" s="1856" t="str">
        <f t="shared" si="491"/>
        <v/>
      </c>
      <c r="AV3008" s="1856" t="str">
        <f t="shared" si="492"/>
        <v/>
      </c>
      <c r="AW3008" s="1856" t="str">
        <f t="shared" si="493"/>
        <v/>
      </c>
      <c r="AX3008" s="1856" t="str">
        <f t="shared" si="494"/>
        <v/>
      </c>
      <c r="AY3008" s="1856" t="str">
        <f t="shared" si="495"/>
        <v/>
      </c>
    </row>
    <row r="3009" spans="42:52">
      <c r="AP3009" s="1855">
        <f t="shared" si="496"/>
        <v>44893</v>
      </c>
      <c r="AQ3009" s="925" t="str">
        <f t="shared" si="498"/>
        <v/>
      </c>
      <c r="AR3009" s="1856" t="str">
        <f t="shared" si="497"/>
        <v/>
      </c>
      <c r="AT3009" s="1856" t="str">
        <f t="shared" si="490"/>
        <v/>
      </c>
      <c r="AU3009" s="1856" t="str">
        <f t="shared" si="491"/>
        <v/>
      </c>
      <c r="AV3009" s="1856" t="str">
        <f t="shared" si="492"/>
        <v/>
      </c>
      <c r="AW3009" s="1856" t="str">
        <f t="shared" si="493"/>
        <v/>
      </c>
      <c r="AX3009" s="1856" t="str">
        <f t="shared" si="494"/>
        <v/>
      </c>
      <c r="AY3009" s="1856" t="str">
        <f t="shared" si="495"/>
        <v/>
      </c>
    </row>
    <row r="3010" spans="42:52">
      <c r="AP3010" s="1855">
        <f t="shared" si="496"/>
        <v>44893</v>
      </c>
      <c r="AQ3010" s="925" t="str">
        <f t="shared" si="498"/>
        <v>BMNT</v>
      </c>
      <c r="AR3010" s="1856">
        <f t="shared" si="497"/>
        <v>44893.275000000001</v>
      </c>
      <c r="AS3010" s="927" t="s">
        <v>1365</v>
      </c>
      <c r="AT3010" s="1856" t="str">
        <f t="shared" si="490"/>
        <v/>
      </c>
      <c r="AU3010" s="1856" t="str">
        <f t="shared" si="491"/>
        <v/>
      </c>
      <c r="AV3010" s="1856" t="str">
        <f t="shared" si="492"/>
        <v/>
      </c>
      <c r="AW3010" s="1856" t="str">
        <f t="shared" si="493"/>
        <v/>
      </c>
      <c r="AX3010" s="1856" t="str">
        <f t="shared" si="494"/>
        <v/>
      </c>
      <c r="AY3010" s="1856" t="str">
        <f t="shared" si="495"/>
        <v/>
      </c>
    </row>
    <row r="3011" spans="42:52">
      <c r="AP3011" s="1855">
        <f t="shared" si="496"/>
        <v>44893</v>
      </c>
      <c r="AQ3011" s="925" t="str">
        <f t="shared" si="498"/>
        <v>SR</v>
      </c>
      <c r="AR3011" s="1856">
        <f t="shared" si="497"/>
        <v>44893.317361111105</v>
      </c>
      <c r="AS3011" s="927" t="s">
        <v>1571</v>
      </c>
      <c r="AT3011" s="1856" t="str">
        <f t="shared" si="490"/>
        <v/>
      </c>
      <c r="AU3011" s="1856" t="str">
        <f t="shared" si="491"/>
        <v/>
      </c>
      <c r="AV3011" s="1856" t="str">
        <f t="shared" si="492"/>
        <v/>
      </c>
      <c r="AW3011" s="1856" t="str">
        <f t="shared" si="493"/>
        <v/>
      </c>
      <c r="AX3011" s="1856" t="str">
        <f t="shared" si="494"/>
        <v/>
      </c>
      <c r="AY3011" s="1856" t="str">
        <f t="shared" si="495"/>
        <v/>
      </c>
    </row>
    <row r="3012" spans="42:52">
      <c r="AP3012" s="1855">
        <f t="shared" si="496"/>
        <v>44893</v>
      </c>
      <c r="AQ3012" s="925" t="str">
        <f t="shared" si="498"/>
        <v>MR</v>
      </c>
      <c r="AR3012" s="1856">
        <f t="shared" si="497"/>
        <v>44893.522222222222</v>
      </c>
      <c r="AS3012" s="927" t="s">
        <v>2384</v>
      </c>
      <c r="AT3012" s="1856" t="str">
        <f t="shared" si="490"/>
        <v/>
      </c>
      <c r="AU3012" s="1856" t="str">
        <f t="shared" si="491"/>
        <v/>
      </c>
      <c r="AV3012" s="1856" t="str">
        <f t="shared" si="492"/>
        <v/>
      </c>
      <c r="AW3012" s="1856" t="str">
        <f t="shared" si="493"/>
        <v/>
      </c>
      <c r="AX3012" s="1856" t="str">
        <f t="shared" si="494"/>
        <v/>
      </c>
      <c r="AY3012" s="1856" t="str">
        <f t="shared" si="495"/>
        <v/>
      </c>
    </row>
    <row r="3013" spans="42:52">
      <c r="AP3013" s="1855">
        <f t="shared" si="496"/>
        <v>44893</v>
      </c>
      <c r="AQ3013" s="925" t="str">
        <f t="shared" si="498"/>
        <v>SS</v>
      </c>
      <c r="AR3013" s="1856">
        <f t="shared" si="497"/>
        <v>44893.726388888892</v>
      </c>
      <c r="AS3013" s="927" t="s">
        <v>2381</v>
      </c>
      <c r="AT3013" s="1856" t="str">
        <f t="shared" si="490"/>
        <v/>
      </c>
      <c r="AU3013" s="1856" t="str">
        <f t="shared" si="491"/>
        <v/>
      </c>
      <c r="AV3013" s="1856" t="str">
        <f t="shared" si="492"/>
        <v/>
      </c>
      <c r="AW3013" s="1856" t="str">
        <f t="shared" si="493"/>
        <v/>
      </c>
      <c r="AX3013" s="1856" t="str">
        <f t="shared" si="494"/>
        <v/>
      </c>
      <c r="AY3013" s="1856" t="str">
        <f t="shared" si="495"/>
        <v/>
      </c>
    </row>
    <row r="3014" spans="42:52">
      <c r="AP3014" s="1855">
        <f t="shared" si="496"/>
        <v>44893</v>
      </c>
      <c r="AQ3014" s="925" t="str">
        <f t="shared" si="498"/>
        <v>EENT</v>
      </c>
      <c r="AR3014" s="1856">
        <f t="shared" si="497"/>
        <v>44893.768750000003</v>
      </c>
      <c r="AS3014" s="927" t="s">
        <v>2382</v>
      </c>
      <c r="AT3014" s="1856" t="str">
        <f t="shared" si="490"/>
        <v/>
      </c>
      <c r="AU3014" s="1856" t="str">
        <f t="shared" si="491"/>
        <v/>
      </c>
      <c r="AV3014" s="1856" t="str">
        <f t="shared" si="492"/>
        <v/>
      </c>
      <c r="AW3014" s="1856" t="str">
        <f t="shared" si="493"/>
        <v/>
      </c>
      <c r="AX3014" s="1856" t="str">
        <f t="shared" si="494"/>
        <v/>
      </c>
      <c r="AY3014" s="1856" t="str">
        <f t="shared" si="495"/>
        <v/>
      </c>
    </row>
    <row r="3015" spans="42:52">
      <c r="AP3015" s="1855">
        <f t="shared" si="496"/>
        <v>44893</v>
      </c>
      <c r="AQ3015" s="925" t="str">
        <f t="shared" si="498"/>
        <v>MS</v>
      </c>
      <c r="AR3015" s="1856">
        <f t="shared" si="497"/>
        <v>44893.938194444439</v>
      </c>
      <c r="AS3015" s="927" t="s">
        <v>2385</v>
      </c>
      <c r="AT3015" s="1856" t="str">
        <f t="shared" si="490"/>
        <v/>
      </c>
      <c r="AU3015" s="1856" t="str">
        <f t="shared" si="491"/>
        <v/>
      </c>
      <c r="AV3015" s="1856" t="str">
        <f t="shared" si="492"/>
        <v/>
      </c>
      <c r="AW3015" s="1856" t="str">
        <f t="shared" si="493"/>
        <v/>
      </c>
      <c r="AX3015" s="1856" t="str">
        <f t="shared" si="494"/>
        <v/>
      </c>
      <c r="AY3015" s="1856" t="str">
        <f t="shared" si="495"/>
        <v/>
      </c>
    </row>
    <row r="3016" spans="42:52">
      <c r="AP3016" s="1855">
        <f t="shared" si="496"/>
        <v>44894</v>
      </c>
      <c r="AQ3016" s="925" t="str">
        <f t="shared" si="498"/>
        <v/>
      </c>
      <c r="AR3016" s="1856" t="str">
        <f t="shared" si="497"/>
        <v/>
      </c>
      <c r="AS3016" s="927">
        <v>29</v>
      </c>
      <c r="AT3016" s="1856">
        <f t="shared" si="490"/>
        <v>44894.275694444441</v>
      </c>
      <c r="AU3016" s="1856">
        <f t="shared" si="491"/>
        <v>44894.318055555552</v>
      </c>
      <c r="AV3016" s="1856">
        <f t="shared" si="492"/>
        <v>44894.726388888892</v>
      </c>
      <c r="AW3016" s="1856">
        <f t="shared" si="493"/>
        <v>44894.768750000003</v>
      </c>
      <c r="AX3016" s="1856">
        <f t="shared" si="494"/>
        <v>44894.547916666663</v>
      </c>
      <c r="AY3016" s="1856">
        <f t="shared" si="495"/>
        <v>44894.988888888889</v>
      </c>
      <c r="AZ3016" s="1853">
        <v>0.35</v>
      </c>
    </row>
    <row r="3017" spans="42:52">
      <c r="AP3017" s="1855">
        <f t="shared" si="496"/>
        <v>44894</v>
      </c>
      <c r="AQ3017" s="925" t="str">
        <f t="shared" si="498"/>
        <v/>
      </c>
      <c r="AR3017" s="1856" t="str">
        <f t="shared" si="497"/>
        <v/>
      </c>
      <c r="AS3017" s="927" t="s">
        <v>252</v>
      </c>
      <c r="AT3017" s="1856" t="str">
        <f t="shared" si="490"/>
        <v/>
      </c>
      <c r="AU3017" s="1856" t="str">
        <f t="shared" si="491"/>
        <v/>
      </c>
      <c r="AV3017" s="1856" t="str">
        <f t="shared" si="492"/>
        <v/>
      </c>
      <c r="AW3017" s="1856" t="str">
        <f t="shared" si="493"/>
        <v/>
      </c>
      <c r="AX3017" s="1856" t="str">
        <f t="shared" si="494"/>
        <v/>
      </c>
      <c r="AY3017" s="1856" t="str">
        <f t="shared" si="495"/>
        <v/>
      </c>
    </row>
    <row r="3018" spans="42:52">
      <c r="AP3018" s="1855">
        <f t="shared" si="496"/>
        <v>44894</v>
      </c>
      <c r="AQ3018" s="925" t="str">
        <f t="shared" si="498"/>
        <v/>
      </c>
      <c r="AR3018" s="1856" t="str">
        <f t="shared" si="497"/>
        <v/>
      </c>
      <c r="AT3018" s="1856" t="str">
        <f t="shared" si="490"/>
        <v/>
      </c>
      <c r="AU3018" s="1856" t="str">
        <f t="shared" si="491"/>
        <v/>
      </c>
      <c r="AV3018" s="1856" t="str">
        <f t="shared" si="492"/>
        <v/>
      </c>
      <c r="AW3018" s="1856" t="str">
        <f t="shared" si="493"/>
        <v/>
      </c>
      <c r="AX3018" s="1856" t="str">
        <f t="shared" si="494"/>
        <v/>
      </c>
      <c r="AY3018" s="1856" t="str">
        <f t="shared" si="495"/>
        <v/>
      </c>
    </row>
    <row r="3019" spans="42:52">
      <c r="AP3019" s="1855">
        <f t="shared" si="496"/>
        <v>44894</v>
      </c>
      <c r="AQ3019" s="925" t="str">
        <f t="shared" si="498"/>
        <v>BMNT</v>
      </c>
      <c r="AR3019" s="1856">
        <f t="shared" si="497"/>
        <v>44894.275694444441</v>
      </c>
      <c r="AS3019" s="927" t="s">
        <v>1359</v>
      </c>
      <c r="AT3019" s="1856" t="str">
        <f t="shared" si="490"/>
        <v/>
      </c>
      <c r="AU3019" s="1856" t="str">
        <f t="shared" si="491"/>
        <v/>
      </c>
      <c r="AV3019" s="1856" t="str">
        <f t="shared" si="492"/>
        <v/>
      </c>
      <c r="AW3019" s="1856" t="str">
        <f t="shared" si="493"/>
        <v/>
      </c>
      <c r="AX3019" s="1856" t="str">
        <f t="shared" si="494"/>
        <v/>
      </c>
      <c r="AY3019" s="1856" t="str">
        <f t="shared" si="495"/>
        <v/>
      </c>
    </row>
    <row r="3020" spans="42:52">
      <c r="AP3020" s="1855">
        <f t="shared" si="496"/>
        <v>44894</v>
      </c>
      <c r="AQ3020" s="925" t="str">
        <f t="shared" si="498"/>
        <v>SR</v>
      </c>
      <c r="AR3020" s="1856">
        <f t="shared" si="497"/>
        <v>44894.318055555552</v>
      </c>
      <c r="AS3020" s="927" t="s">
        <v>1349</v>
      </c>
      <c r="AT3020" s="1856" t="str">
        <f t="shared" si="490"/>
        <v/>
      </c>
      <c r="AU3020" s="1856" t="str">
        <f t="shared" si="491"/>
        <v/>
      </c>
      <c r="AV3020" s="1856" t="str">
        <f t="shared" si="492"/>
        <v/>
      </c>
      <c r="AW3020" s="1856" t="str">
        <f t="shared" si="493"/>
        <v/>
      </c>
      <c r="AX3020" s="1856" t="str">
        <f t="shared" si="494"/>
        <v/>
      </c>
      <c r="AY3020" s="1856" t="str">
        <f t="shared" si="495"/>
        <v/>
      </c>
    </row>
    <row r="3021" spans="42:52">
      <c r="AP3021" s="1855">
        <f t="shared" si="496"/>
        <v>44894</v>
      </c>
      <c r="AQ3021" s="925" t="str">
        <f t="shared" si="498"/>
        <v>MR</v>
      </c>
      <c r="AR3021" s="1856">
        <f t="shared" si="497"/>
        <v>44894.547916666663</v>
      </c>
      <c r="AS3021" s="927" t="s">
        <v>2386</v>
      </c>
      <c r="AT3021" s="1856" t="str">
        <f t="shared" si="490"/>
        <v/>
      </c>
      <c r="AU3021" s="1856" t="str">
        <f t="shared" si="491"/>
        <v/>
      </c>
      <c r="AV3021" s="1856" t="str">
        <f t="shared" si="492"/>
        <v/>
      </c>
      <c r="AW3021" s="1856" t="str">
        <f t="shared" si="493"/>
        <v/>
      </c>
      <c r="AX3021" s="1856" t="str">
        <f t="shared" si="494"/>
        <v/>
      </c>
      <c r="AY3021" s="1856" t="str">
        <f t="shared" si="495"/>
        <v/>
      </c>
    </row>
    <row r="3022" spans="42:52">
      <c r="AP3022" s="1855">
        <f t="shared" si="496"/>
        <v>44894</v>
      </c>
      <c r="AQ3022" s="925" t="str">
        <f t="shared" si="498"/>
        <v>SS</v>
      </c>
      <c r="AR3022" s="1856">
        <f t="shared" si="497"/>
        <v>44894.726388888892</v>
      </c>
      <c r="AS3022" s="927" t="s">
        <v>2381</v>
      </c>
      <c r="AT3022" s="1856" t="str">
        <f t="shared" si="490"/>
        <v/>
      </c>
      <c r="AU3022" s="1856" t="str">
        <f t="shared" si="491"/>
        <v/>
      </c>
      <c r="AV3022" s="1856" t="str">
        <f t="shared" si="492"/>
        <v/>
      </c>
      <c r="AW3022" s="1856" t="str">
        <f t="shared" si="493"/>
        <v/>
      </c>
      <c r="AX3022" s="1856" t="str">
        <f t="shared" si="494"/>
        <v/>
      </c>
      <c r="AY3022" s="1856" t="str">
        <f t="shared" si="495"/>
        <v/>
      </c>
    </row>
    <row r="3023" spans="42:52">
      <c r="AP3023" s="1855">
        <f t="shared" si="496"/>
        <v>44894</v>
      </c>
      <c r="AQ3023" s="925" t="str">
        <f t="shared" si="498"/>
        <v>EENT</v>
      </c>
      <c r="AR3023" s="1856">
        <f t="shared" si="497"/>
        <v>44894.768750000003</v>
      </c>
      <c r="AS3023" s="927" t="s">
        <v>2382</v>
      </c>
      <c r="AT3023" s="1856" t="str">
        <f t="shared" si="490"/>
        <v/>
      </c>
      <c r="AU3023" s="1856" t="str">
        <f t="shared" si="491"/>
        <v/>
      </c>
      <c r="AV3023" s="1856" t="str">
        <f t="shared" si="492"/>
        <v/>
      </c>
      <c r="AW3023" s="1856" t="str">
        <f t="shared" si="493"/>
        <v/>
      </c>
      <c r="AX3023" s="1856" t="str">
        <f t="shared" si="494"/>
        <v/>
      </c>
      <c r="AY3023" s="1856" t="str">
        <f t="shared" si="495"/>
        <v/>
      </c>
    </row>
    <row r="3024" spans="42:52">
      <c r="AP3024" s="1855">
        <f t="shared" si="496"/>
        <v>44894</v>
      </c>
      <c r="AQ3024" s="925" t="str">
        <f t="shared" si="498"/>
        <v>MS</v>
      </c>
      <c r="AR3024" s="1856">
        <f t="shared" si="497"/>
        <v>44894.988888888889</v>
      </c>
      <c r="AS3024" s="927" t="s">
        <v>2387</v>
      </c>
      <c r="AT3024" s="1856" t="str">
        <f t="shared" si="490"/>
        <v/>
      </c>
      <c r="AU3024" s="1856" t="str">
        <f t="shared" si="491"/>
        <v/>
      </c>
      <c r="AV3024" s="1856" t="str">
        <f t="shared" si="492"/>
        <v/>
      </c>
      <c r="AW3024" s="1856" t="str">
        <f t="shared" si="493"/>
        <v/>
      </c>
      <c r="AX3024" s="1856" t="str">
        <f t="shared" si="494"/>
        <v/>
      </c>
      <c r="AY3024" s="1856" t="str">
        <f t="shared" si="495"/>
        <v/>
      </c>
    </row>
    <row r="3025" spans="42:52">
      <c r="AP3025" s="1855">
        <f t="shared" si="496"/>
        <v>44895</v>
      </c>
      <c r="AQ3025" s="925" t="str">
        <f t="shared" si="498"/>
        <v/>
      </c>
      <c r="AR3025" s="1856" t="str">
        <f t="shared" si="497"/>
        <v/>
      </c>
      <c r="AS3025" s="927">
        <v>30</v>
      </c>
      <c r="AT3025" s="1856">
        <f t="shared" si="490"/>
        <v>44895.276388888888</v>
      </c>
      <c r="AU3025" s="1856">
        <f t="shared" si="491"/>
        <v>44895.318749999999</v>
      </c>
      <c r="AV3025" s="1856">
        <f t="shared" si="492"/>
        <v>44895.725694444445</v>
      </c>
      <c r="AW3025" s="1856">
        <f t="shared" si="493"/>
        <v>44895.768750000003</v>
      </c>
      <c r="AX3025" s="1856">
        <f t="shared" si="494"/>
        <v>44895.569444444445</v>
      </c>
      <c r="AY3025" s="1856" t="str">
        <f t="shared" si="495"/>
        <v>NONE</v>
      </c>
      <c r="AZ3025" s="1853">
        <v>0.46</v>
      </c>
    </row>
    <row r="3026" spans="42:52">
      <c r="AP3026" s="1855">
        <f t="shared" si="496"/>
        <v>44895</v>
      </c>
      <c r="AQ3026" s="925" t="str">
        <f t="shared" si="498"/>
        <v/>
      </c>
      <c r="AR3026" s="1856" t="str">
        <f t="shared" si="497"/>
        <v/>
      </c>
      <c r="AS3026" s="927" t="s">
        <v>252</v>
      </c>
      <c r="AT3026" s="1856" t="str">
        <f t="shared" si="490"/>
        <v/>
      </c>
      <c r="AU3026" s="1856" t="str">
        <f t="shared" si="491"/>
        <v/>
      </c>
      <c r="AV3026" s="1856" t="str">
        <f t="shared" si="492"/>
        <v/>
      </c>
      <c r="AW3026" s="1856" t="str">
        <f t="shared" si="493"/>
        <v/>
      </c>
      <c r="AX3026" s="1856" t="str">
        <f t="shared" si="494"/>
        <v/>
      </c>
      <c r="AY3026" s="1856" t="str">
        <f t="shared" si="495"/>
        <v/>
      </c>
    </row>
    <row r="3027" spans="42:52">
      <c r="AP3027" s="1855">
        <f t="shared" si="496"/>
        <v>44895</v>
      </c>
      <c r="AQ3027" s="925" t="str">
        <f t="shared" si="498"/>
        <v/>
      </c>
      <c r="AR3027" s="1856" t="str">
        <f t="shared" si="497"/>
        <v/>
      </c>
      <c r="AT3027" s="1856" t="str">
        <f t="shared" si="490"/>
        <v/>
      </c>
      <c r="AU3027" s="1856" t="str">
        <f t="shared" si="491"/>
        <v/>
      </c>
      <c r="AV3027" s="1856" t="str">
        <f t="shared" si="492"/>
        <v/>
      </c>
      <c r="AW3027" s="1856" t="str">
        <f t="shared" si="493"/>
        <v/>
      </c>
      <c r="AX3027" s="1856" t="str">
        <f t="shared" si="494"/>
        <v/>
      </c>
      <c r="AY3027" s="1856" t="str">
        <f t="shared" si="495"/>
        <v/>
      </c>
    </row>
    <row r="3028" spans="42:52">
      <c r="AP3028" s="1855">
        <f t="shared" si="496"/>
        <v>44895</v>
      </c>
      <c r="AQ3028" s="925" t="str">
        <f t="shared" si="498"/>
        <v>BMNT</v>
      </c>
      <c r="AR3028" s="1856">
        <f t="shared" si="497"/>
        <v>44895.276388888888</v>
      </c>
      <c r="AS3028" s="927" t="s">
        <v>1576</v>
      </c>
      <c r="AT3028" s="1856" t="str">
        <f t="shared" si="490"/>
        <v/>
      </c>
      <c r="AU3028" s="1856" t="str">
        <f t="shared" si="491"/>
        <v/>
      </c>
      <c r="AV3028" s="1856" t="str">
        <f t="shared" si="492"/>
        <v/>
      </c>
      <c r="AW3028" s="1856" t="str">
        <f t="shared" si="493"/>
        <v/>
      </c>
      <c r="AX3028" s="1856" t="str">
        <f t="shared" si="494"/>
        <v/>
      </c>
      <c r="AY3028" s="1856" t="str">
        <f t="shared" si="495"/>
        <v/>
      </c>
    </row>
    <row r="3029" spans="42:52">
      <c r="AP3029" s="1855">
        <f t="shared" si="496"/>
        <v>44895</v>
      </c>
      <c r="AQ3029" s="925" t="str">
        <f t="shared" si="498"/>
        <v>SR</v>
      </c>
      <c r="AR3029" s="1856">
        <f t="shared" si="497"/>
        <v>44895.318749999999</v>
      </c>
      <c r="AS3029" s="927" t="s">
        <v>1343</v>
      </c>
      <c r="AT3029" s="1856" t="str">
        <f t="shared" si="490"/>
        <v/>
      </c>
      <c r="AU3029" s="1856" t="str">
        <f t="shared" si="491"/>
        <v/>
      </c>
      <c r="AV3029" s="1856" t="str">
        <f t="shared" si="492"/>
        <v/>
      </c>
      <c r="AW3029" s="1856" t="str">
        <f t="shared" si="493"/>
        <v/>
      </c>
      <c r="AX3029" s="1856" t="str">
        <f t="shared" si="494"/>
        <v/>
      </c>
      <c r="AY3029" s="1856" t="str">
        <f t="shared" si="495"/>
        <v/>
      </c>
    </row>
    <row r="3030" spans="42:52">
      <c r="AP3030" s="1855">
        <f t="shared" si="496"/>
        <v>44895</v>
      </c>
      <c r="AQ3030" s="925" t="str">
        <f t="shared" si="498"/>
        <v>MR</v>
      </c>
      <c r="AR3030" s="1856">
        <f t="shared" si="497"/>
        <v>44895.569444444445</v>
      </c>
      <c r="AS3030" s="927" t="s">
        <v>2388</v>
      </c>
      <c r="AT3030" s="1856" t="str">
        <f t="shared" si="490"/>
        <v/>
      </c>
      <c r="AU3030" s="1856" t="str">
        <f t="shared" si="491"/>
        <v/>
      </c>
      <c r="AV3030" s="1856" t="str">
        <f t="shared" si="492"/>
        <v/>
      </c>
      <c r="AW3030" s="1856" t="str">
        <f t="shared" si="493"/>
        <v/>
      </c>
      <c r="AX3030" s="1856" t="str">
        <f t="shared" si="494"/>
        <v/>
      </c>
      <c r="AY3030" s="1856" t="str">
        <f t="shared" si="495"/>
        <v/>
      </c>
    </row>
    <row r="3031" spans="42:52">
      <c r="AP3031" s="1855">
        <f t="shared" si="496"/>
        <v>44895</v>
      </c>
      <c r="AQ3031" s="925" t="str">
        <f t="shared" si="498"/>
        <v>SS</v>
      </c>
      <c r="AR3031" s="1856">
        <f t="shared" si="497"/>
        <v>44895.725694444445</v>
      </c>
      <c r="AS3031" s="927" t="s">
        <v>2389</v>
      </c>
      <c r="AT3031" s="1856" t="str">
        <f t="shared" si="490"/>
        <v/>
      </c>
      <c r="AU3031" s="1856" t="str">
        <f t="shared" si="491"/>
        <v/>
      </c>
      <c r="AV3031" s="1856" t="str">
        <f t="shared" si="492"/>
        <v/>
      </c>
      <c r="AW3031" s="1856" t="str">
        <f t="shared" si="493"/>
        <v/>
      </c>
      <c r="AX3031" s="1856" t="str">
        <f t="shared" si="494"/>
        <v/>
      </c>
      <c r="AY3031" s="1856" t="str">
        <f t="shared" si="495"/>
        <v/>
      </c>
    </row>
    <row r="3032" spans="42:52">
      <c r="AP3032" s="1855">
        <f t="shared" si="496"/>
        <v>44895</v>
      </c>
      <c r="AQ3032" s="925" t="str">
        <f t="shared" si="498"/>
        <v>EENT</v>
      </c>
      <c r="AR3032" s="1856">
        <f t="shared" si="497"/>
        <v>44895.768750000003</v>
      </c>
      <c r="AS3032" s="927" t="s">
        <v>2382</v>
      </c>
      <c r="AT3032" s="1856" t="str">
        <f t="shared" si="490"/>
        <v/>
      </c>
      <c r="AU3032" s="1856" t="str">
        <f t="shared" si="491"/>
        <v/>
      </c>
      <c r="AV3032" s="1856" t="str">
        <f t="shared" si="492"/>
        <v/>
      </c>
      <c r="AW3032" s="1856" t="str">
        <f t="shared" si="493"/>
        <v/>
      </c>
      <c r="AX3032" s="1856" t="str">
        <f t="shared" si="494"/>
        <v/>
      </c>
      <c r="AY3032" s="1856" t="str">
        <f t="shared" si="495"/>
        <v/>
      </c>
    </row>
    <row r="3033" spans="42:52">
      <c r="AP3033" s="1855">
        <f t="shared" si="496"/>
        <v>44895</v>
      </c>
      <c r="AQ3033" s="925" t="str">
        <f t="shared" si="498"/>
        <v>MS</v>
      </c>
      <c r="AR3033" s="1856" t="str">
        <f t="shared" si="497"/>
        <v>NONE</v>
      </c>
      <c r="AS3033" s="927" t="s">
        <v>948</v>
      </c>
      <c r="AT3033" s="1856" t="str">
        <f t="shared" si="490"/>
        <v/>
      </c>
      <c r="AU3033" s="1856" t="str">
        <f t="shared" si="491"/>
        <v/>
      </c>
      <c r="AV3033" s="1856" t="str">
        <f t="shared" si="492"/>
        <v/>
      </c>
      <c r="AW3033" s="1856" t="str">
        <f t="shared" si="493"/>
        <v/>
      </c>
      <c r="AX3033" s="1856" t="str">
        <f t="shared" si="494"/>
        <v/>
      </c>
      <c r="AY3033" s="1856" t="str">
        <f t="shared" si="495"/>
        <v/>
      </c>
    </row>
    <row r="3034" spans="42:52">
      <c r="AP3034" s="1855">
        <f t="shared" si="496"/>
        <v>44896</v>
      </c>
      <c r="AQ3034" s="925" t="str">
        <f t="shared" si="498"/>
        <v/>
      </c>
      <c r="AR3034" s="1856" t="str">
        <f t="shared" si="497"/>
        <v/>
      </c>
      <c r="AS3034" s="927">
        <v>1</v>
      </c>
      <c r="AT3034" s="1856">
        <f t="shared" si="490"/>
        <v>44896.277083333334</v>
      </c>
      <c r="AU3034" s="1856">
        <f t="shared" si="491"/>
        <v>44896.319444444445</v>
      </c>
      <c r="AV3034" s="1856">
        <f t="shared" si="492"/>
        <v>44896.725694444445</v>
      </c>
      <c r="AW3034" s="1856">
        <f t="shared" si="493"/>
        <v>44896.768055555556</v>
      </c>
      <c r="AX3034" s="1856">
        <f t="shared" si="494"/>
        <v>44896.588194444448</v>
      </c>
      <c r="AY3034" s="1856">
        <f t="shared" si="495"/>
        <v>44896.037499999999</v>
      </c>
      <c r="AZ3034" s="1853">
        <v>0.56999999999999995</v>
      </c>
    </row>
    <row r="3035" spans="42:52">
      <c r="AP3035" s="1855">
        <f t="shared" si="496"/>
        <v>44896</v>
      </c>
      <c r="AQ3035" s="925" t="str">
        <f t="shared" si="498"/>
        <v/>
      </c>
      <c r="AR3035" s="1856" t="str">
        <f t="shared" si="497"/>
        <v/>
      </c>
      <c r="AS3035" s="927" t="s">
        <v>252</v>
      </c>
      <c r="AT3035" s="1856" t="str">
        <f t="shared" si="490"/>
        <v/>
      </c>
      <c r="AU3035" s="1856" t="str">
        <f t="shared" si="491"/>
        <v/>
      </c>
      <c r="AV3035" s="1856" t="str">
        <f t="shared" si="492"/>
        <v/>
      </c>
      <c r="AW3035" s="1856" t="str">
        <f t="shared" si="493"/>
        <v/>
      </c>
      <c r="AX3035" s="1856" t="str">
        <f t="shared" si="494"/>
        <v/>
      </c>
      <c r="AY3035" s="1856" t="str">
        <f t="shared" si="495"/>
        <v/>
      </c>
    </row>
    <row r="3036" spans="42:52">
      <c r="AP3036" s="1855">
        <f t="shared" si="496"/>
        <v>44896</v>
      </c>
      <c r="AQ3036" s="925" t="str">
        <f t="shared" si="498"/>
        <v/>
      </c>
      <c r="AR3036" s="1856" t="str">
        <f t="shared" si="497"/>
        <v/>
      </c>
      <c r="AT3036" s="1856" t="str">
        <f t="shared" ref="AT3036:AT3099" si="499">IF(ISNUMBER(AS3036),INDEX(AR3037:AR3047,MATCH($AT$27,AQ3037:AQ3047,0)),"")</f>
        <v/>
      </c>
      <c r="AU3036" s="1856" t="str">
        <f t="shared" ref="AU3036:AU3099" si="500">IF(AT3036="","",INDEX(AR3037:AR3047,MATCH($AU$27,AQ3037:AQ3047,0)))</f>
        <v/>
      </c>
      <c r="AV3036" s="1856" t="str">
        <f t="shared" ref="AV3036:AV3099" si="501">IF(AT3036="","",INDEX(AR3037:AR3047,MATCH($AV$27,AQ3037:AQ3047,0)))</f>
        <v/>
      </c>
      <c r="AW3036" s="1856" t="str">
        <f t="shared" ref="AW3036:AW3099" si="502">IF(AT3036="","",INDEX(AR3037:AR3047,MATCH($AW$27,AQ3037:AQ3047,0)))</f>
        <v/>
      </c>
      <c r="AX3036" s="1856" t="str">
        <f t="shared" ref="AX3036:AX3099" si="503">IF(AT3036="","",INDEX(AR3037:AR3047,MATCH($AX$27,AQ3037:AQ3047,0)))</f>
        <v/>
      </c>
      <c r="AY3036" s="1856" t="str">
        <f t="shared" ref="AY3036:AY3099" si="504">IF(AT3036="","",INDEX(AR3037:AR3047,MATCH($AY$27,AQ3037:AQ3047,0)))</f>
        <v/>
      </c>
    </row>
    <row r="3037" spans="42:52">
      <c r="AP3037" s="1855">
        <f t="shared" si="496"/>
        <v>44896</v>
      </c>
      <c r="AQ3037" s="925" t="str">
        <f t="shared" si="498"/>
        <v>MS</v>
      </c>
      <c r="AR3037" s="1856">
        <f t="shared" si="497"/>
        <v>44896.037499999999</v>
      </c>
      <c r="AS3037" s="927" t="s">
        <v>2390</v>
      </c>
      <c r="AT3037" s="1856" t="str">
        <f t="shared" si="499"/>
        <v/>
      </c>
      <c r="AU3037" s="1856" t="str">
        <f t="shared" si="500"/>
        <v/>
      </c>
      <c r="AV3037" s="1856" t="str">
        <f t="shared" si="501"/>
        <v/>
      </c>
      <c r="AW3037" s="1856" t="str">
        <f t="shared" si="502"/>
        <v/>
      </c>
      <c r="AX3037" s="1856" t="str">
        <f t="shared" si="503"/>
        <v/>
      </c>
      <c r="AY3037" s="1856" t="str">
        <f t="shared" si="504"/>
        <v/>
      </c>
    </row>
    <row r="3038" spans="42:52">
      <c r="AP3038" s="1855">
        <f t="shared" si="496"/>
        <v>44896</v>
      </c>
      <c r="AQ3038" s="925" t="str">
        <f t="shared" si="498"/>
        <v>BMNT</v>
      </c>
      <c r="AR3038" s="1856">
        <f t="shared" si="497"/>
        <v>44896.277083333334</v>
      </c>
      <c r="AS3038" s="927" t="s">
        <v>1354</v>
      </c>
      <c r="AT3038" s="1856" t="str">
        <f t="shared" si="499"/>
        <v/>
      </c>
      <c r="AU3038" s="1856" t="str">
        <f t="shared" si="500"/>
        <v/>
      </c>
      <c r="AV3038" s="1856" t="str">
        <f t="shared" si="501"/>
        <v/>
      </c>
      <c r="AW3038" s="1856" t="str">
        <f t="shared" si="502"/>
        <v/>
      </c>
      <c r="AX3038" s="1856" t="str">
        <f t="shared" si="503"/>
        <v/>
      </c>
      <c r="AY3038" s="1856" t="str">
        <f t="shared" si="504"/>
        <v/>
      </c>
    </row>
    <row r="3039" spans="42:52">
      <c r="AP3039" s="1855">
        <f t="shared" si="496"/>
        <v>44896</v>
      </c>
      <c r="AQ3039" s="925" t="str">
        <f t="shared" si="498"/>
        <v>SR</v>
      </c>
      <c r="AR3039" s="1856">
        <f t="shared" si="497"/>
        <v>44896.319444444445</v>
      </c>
      <c r="AS3039" s="927" t="s">
        <v>1337</v>
      </c>
      <c r="AT3039" s="1856" t="str">
        <f t="shared" si="499"/>
        <v/>
      </c>
      <c r="AU3039" s="1856" t="str">
        <f t="shared" si="500"/>
        <v/>
      </c>
      <c r="AV3039" s="1856" t="str">
        <f t="shared" si="501"/>
        <v/>
      </c>
      <c r="AW3039" s="1856" t="str">
        <f t="shared" si="502"/>
        <v/>
      </c>
      <c r="AX3039" s="1856" t="str">
        <f t="shared" si="503"/>
        <v/>
      </c>
      <c r="AY3039" s="1856" t="str">
        <f t="shared" si="504"/>
        <v/>
      </c>
    </row>
    <row r="3040" spans="42:52">
      <c r="AP3040" s="1855">
        <f t="shared" si="496"/>
        <v>44896</v>
      </c>
      <c r="AQ3040" s="925" t="str">
        <f t="shared" si="498"/>
        <v>MR</v>
      </c>
      <c r="AR3040" s="1856">
        <f t="shared" si="497"/>
        <v>44896.588194444448</v>
      </c>
      <c r="AS3040" s="927" t="s">
        <v>2391</v>
      </c>
      <c r="AT3040" s="1856" t="str">
        <f t="shared" si="499"/>
        <v/>
      </c>
      <c r="AU3040" s="1856" t="str">
        <f t="shared" si="500"/>
        <v/>
      </c>
      <c r="AV3040" s="1856" t="str">
        <f t="shared" si="501"/>
        <v/>
      </c>
      <c r="AW3040" s="1856" t="str">
        <f t="shared" si="502"/>
        <v/>
      </c>
      <c r="AX3040" s="1856" t="str">
        <f t="shared" si="503"/>
        <v/>
      </c>
      <c r="AY3040" s="1856" t="str">
        <f t="shared" si="504"/>
        <v/>
      </c>
    </row>
    <row r="3041" spans="42:52">
      <c r="AP3041" s="1855">
        <f t="shared" si="496"/>
        <v>44896</v>
      </c>
      <c r="AQ3041" s="925" t="str">
        <f t="shared" si="498"/>
        <v>SS</v>
      </c>
      <c r="AR3041" s="1856">
        <f t="shared" si="497"/>
        <v>44896.725694444445</v>
      </c>
      <c r="AS3041" s="927" t="s">
        <v>2389</v>
      </c>
      <c r="AT3041" s="1856" t="str">
        <f t="shared" si="499"/>
        <v/>
      </c>
      <c r="AU3041" s="1856" t="str">
        <f t="shared" si="500"/>
        <v/>
      </c>
      <c r="AV3041" s="1856" t="str">
        <f t="shared" si="501"/>
        <v/>
      </c>
      <c r="AW3041" s="1856" t="str">
        <f t="shared" si="502"/>
        <v/>
      </c>
      <c r="AX3041" s="1856" t="str">
        <f t="shared" si="503"/>
        <v/>
      </c>
      <c r="AY3041" s="1856" t="str">
        <f t="shared" si="504"/>
        <v/>
      </c>
    </row>
    <row r="3042" spans="42:52">
      <c r="AP3042" s="1855">
        <f t="shared" si="496"/>
        <v>44896</v>
      </c>
      <c r="AQ3042" s="925" t="str">
        <f t="shared" si="498"/>
        <v>EENT</v>
      </c>
      <c r="AR3042" s="1856">
        <f t="shared" si="497"/>
        <v>44896.768055555556</v>
      </c>
      <c r="AS3042" s="927" t="s">
        <v>2392</v>
      </c>
      <c r="AT3042" s="1856" t="str">
        <f t="shared" si="499"/>
        <v/>
      </c>
      <c r="AU3042" s="1856" t="str">
        <f t="shared" si="500"/>
        <v/>
      </c>
      <c r="AV3042" s="1856" t="str">
        <f t="shared" si="501"/>
        <v/>
      </c>
      <c r="AW3042" s="1856" t="str">
        <f t="shared" si="502"/>
        <v/>
      </c>
      <c r="AX3042" s="1856" t="str">
        <f t="shared" si="503"/>
        <v/>
      </c>
      <c r="AY3042" s="1856" t="str">
        <f t="shared" si="504"/>
        <v/>
      </c>
    </row>
    <row r="3043" spans="42:52">
      <c r="AP3043" s="1855">
        <f t="shared" si="496"/>
        <v>44897</v>
      </c>
      <c r="AQ3043" s="925" t="str">
        <f t="shared" si="498"/>
        <v/>
      </c>
      <c r="AR3043" s="1856" t="str">
        <f t="shared" si="497"/>
        <v/>
      </c>
      <c r="AS3043" s="927">
        <v>2</v>
      </c>
      <c r="AT3043" s="1856">
        <f t="shared" si="499"/>
        <v>44897.277777777781</v>
      </c>
      <c r="AU3043" s="1856">
        <f t="shared" si="500"/>
        <v>44897.320138888885</v>
      </c>
      <c r="AV3043" s="1856">
        <f t="shared" si="501"/>
        <v>44897.725694444445</v>
      </c>
      <c r="AW3043" s="1856">
        <f t="shared" si="502"/>
        <v>44897.768055555556</v>
      </c>
      <c r="AX3043" s="1856">
        <f t="shared" si="503"/>
        <v>44897.605555555558</v>
      </c>
      <c r="AY3043" s="1856">
        <f t="shared" si="504"/>
        <v>44897.084027777782</v>
      </c>
      <c r="AZ3043" s="1853">
        <v>0.67</v>
      </c>
    </row>
    <row r="3044" spans="42:52">
      <c r="AP3044" s="1855">
        <f t="shared" si="496"/>
        <v>44897</v>
      </c>
      <c r="AQ3044" s="925" t="str">
        <f t="shared" si="498"/>
        <v/>
      </c>
      <c r="AR3044" s="1856" t="str">
        <f t="shared" si="497"/>
        <v/>
      </c>
      <c r="AS3044" s="927" t="s">
        <v>252</v>
      </c>
      <c r="AT3044" s="1856" t="str">
        <f t="shared" si="499"/>
        <v/>
      </c>
      <c r="AU3044" s="1856" t="str">
        <f t="shared" si="500"/>
        <v/>
      </c>
      <c r="AV3044" s="1856" t="str">
        <f t="shared" si="501"/>
        <v/>
      </c>
      <c r="AW3044" s="1856" t="str">
        <f t="shared" si="502"/>
        <v/>
      </c>
      <c r="AX3044" s="1856" t="str">
        <f t="shared" si="503"/>
        <v/>
      </c>
      <c r="AY3044" s="1856" t="str">
        <f t="shared" si="504"/>
        <v/>
      </c>
    </row>
    <row r="3045" spans="42:52">
      <c r="AP3045" s="1855">
        <f t="shared" ref="AP3045:AP3108" si="505">IF(ISNUMBER(AS3045),AP3044+1,AP3044)</f>
        <v>44897</v>
      </c>
      <c r="AQ3045" s="925" t="str">
        <f t="shared" si="498"/>
        <v/>
      </c>
      <c r="AR3045" s="1856" t="str">
        <f t="shared" si="497"/>
        <v/>
      </c>
      <c r="AT3045" s="1856" t="str">
        <f t="shared" si="499"/>
        <v/>
      </c>
      <c r="AU3045" s="1856" t="str">
        <f t="shared" si="500"/>
        <v/>
      </c>
      <c r="AV3045" s="1856" t="str">
        <f t="shared" si="501"/>
        <v/>
      </c>
      <c r="AW3045" s="1856" t="str">
        <f t="shared" si="502"/>
        <v/>
      </c>
      <c r="AX3045" s="1856" t="str">
        <f t="shared" si="503"/>
        <v/>
      </c>
      <c r="AY3045" s="1856" t="str">
        <f t="shared" si="504"/>
        <v/>
      </c>
    </row>
    <row r="3046" spans="42:52">
      <c r="AP3046" s="1855">
        <f t="shared" si="505"/>
        <v>44897</v>
      </c>
      <c r="AQ3046" s="925" t="str">
        <f t="shared" si="498"/>
        <v>MS</v>
      </c>
      <c r="AR3046" s="1856">
        <f t="shared" si="497"/>
        <v>44897.084027777782</v>
      </c>
      <c r="AS3046" s="927" t="s">
        <v>2393</v>
      </c>
      <c r="AT3046" s="1856" t="str">
        <f t="shared" si="499"/>
        <v/>
      </c>
      <c r="AU3046" s="1856" t="str">
        <f t="shared" si="500"/>
        <v/>
      </c>
      <c r="AV3046" s="1856" t="str">
        <f t="shared" si="501"/>
        <v/>
      </c>
      <c r="AW3046" s="1856" t="str">
        <f t="shared" si="502"/>
        <v/>
      </c>
      <c r="AX3046" s="1856" t="str">
        <f t="shared" si="503"/>
        <v/>
      </c>
      <c r="AY3046" s="1856" t="str">
        <f t="shared" si="504"/>
        <v/>
      </c>
    </row>
    <row r="3047" spans="42:52">
      <c r="AP3047" s="1855">
        <f t="shared" si="505"/>
        <v>44897</v>
      </c>
      <c r="AQ3047" s="925" t="str">
        <f t="shared" si="498"/>
        <v>BMNT</v>
      </c>
      <c r="AR3047" s="1856">
        <f t="shared" si="497"/>
        <v>44897.277777777781</v>
      </c>
      <c r="AS3047" s="927" t="s">
        <v>1348</v>
      </c>
      <c r="AT3047" s="1856" t="str">
        <f t="shared" si="499"/>
        <v/>
      </c>
      <c r="AU3047" s="1856" t="str">
        <f t="shared" si="500"/>
        <v/>
      </c>
      <c r="AV3047" s="1856" t="str">
        <f t="shared" si="501"/>
        <v/>
      </c>
      <c r="AW3047" s="1856" t="str">
        <f t="shared" si="502"/>
        <v/>
      </c>
      <c r="AX3047" s="1856" t="str">
        <f t="shared" si="503"/>
        <v/>
      </c>
      <c r="AY3047" s="1856" t="str">
        <f t="shared" si="504"/>
        <v/>
      </c>
    </row>
    <row r="3048" spans="42:52">
      <c r="AP3048" s="1855">
        <f t="shared" si="505"/>
        <v>44897</v>
      </c>
      <c r="AQ3048" s="925" t="str">
        <f t="shared" si="498"/>
        <v>SR</v>
      </c>
      <c r="AR3048" s="1856">
        <f t="shared" si="497"/>
        <v>44897.320138888885</v>
      </c>
      <c r="AS3048" s="927" t="s">
        <v>1331</v>
      </c>
      <c r="AT3048" s="1856" t="str">
        <f t="shared" si="499"/>
        <v/>
      </c>
      <c r="AU3048" s="1856" t="str">
        <f t="shared" si="500"/>
        <v/>
      </c>
      <c r="AV3048" s="1856" t="str">
        <f t="shared" si="501"/>
        <v/>
      </c>
      <c r="AW3048" s="1856" t="str">
        <f t="shared" si="502"/>
        <v/>
      </c>
      <c r="AX3048" s="1856" t="str">
        <f t="shared" si="503"/>
        <v/>
      </c>
      <c r="AY3048" s="1856" t="str">
        <f t="shared" si="504"/>
        <v/>
      </c>
    </row>
    <row r="3049" spans="42:52">
      <c r="AP3049" s="1855">
        <f t="shared" si="505"/>
        <v>44897</v>
      </c>
      <c r="AQ3049" s="925" t="str">
        <f t="shared" si="498"/>
        <v>MR</v>
      </c>
      <c r="AR3049" s="1856">
        <f t="shared" ref="AR3049:AR3112" si="506">IF(NOT(ISNUMBER(FIND(":",AS3049))),"",IF(ISNUMBER(FIND(" none",AS3049)),"NONE",AP3049+LEFT(RIGHT(AS3049,5),2)/24+RIGHT(AS3049,2)/1440))</f>
        <v>44897.605555555558</v>
      </c>
      <c r="AS3049" s="927" t="s">
        <v>2394</v>
      </c>
      <c r="AT3049" s="1856" t="str">
        <f t="shared" si="499"/>
        <v/>
      </c>
      <c r="AU3049" s="1856" t="str">
        <f t="shared" si="500"/>
        <v/>
      </c>
      <c r="AV3049" s="1856" t="str">
        <f t="shared" si="501"/>
        <v/>
      </c>
      <c r="AW3049" s="1856" t="str">
        <f t="shared" si="502"/>
        <v/>
      </c>
      <c r="AX3049" s="1856" t="str">
        <f t="shared" si="503"/>
        <v/>
      </c>
      <c r="AY3049" s="1856" t="str">
        <f t="shared" si="504"/>
        <v/>
      </c>
    </row>
    <row r="3050" spans="42:52">
      <c r="AP3050" s="1855">
        <f t="shared" si="505"/>
        <v>44897</v>
      </c>
      <c r="AQ3050" s="925" t="str">
        <f t="shared" si="498"/>
        <v>SS</v>
      </c>
      <c r="AR3050" s="1856">
        <f t="shared" si="506"/>
        <v>44897.725694444445</v>
      </c>
      <c r="AS3050" s="927" t="s">
        <v>2389</v>
      </c>
      <c r="AT3050" s="1856" t="str">
        <f t="shared" si="499"/>
        <v/>
      </c>
      <c r="AU3050" s="1856" t="str">
        <f t="shared" si="500"/>
        <v/>
      </c>
      <c r="AV3050" s="1856" t="str">
        <f t="shared" si="501"/>
        <v/>
      </c>
      <c r="AW3050" s="1856" t="str">
        <f t="shared" si="502"/>
        <v/>
      </c>
      <c r="AX3050" s="1856" t="str">
        <f t="shared" si="503"/>
        <v/>
      </c>
      <c r="AY3050" s="1856" t="str">
        <f t="shared" si="504"/>
        <v/>
      </c>
    </row>
    <row r="3051" spans="42:52">
      <c r="AP3051" s="1855">
        <f t="shared" si="505"/>
        <v>44897</v>
      </c>
      <c r="AQ3051" s="925" t="str">
        <f t="shared" si="498"/>
        <v>EENT</v>
      </c>
      <c r="AR3051" s="1856">
        <f t="shared" si="506"/>
        <v>44897.768055555556</v>
      </c>
      <c r="AS3051" s="927" t="s">
        <v>2392</v>
      </c>
      <c r="AT3051" s="1856" t="str">
        <f t="shared" si="499"/>
        <v/>
      </c>
      <c r="AU3051" s="1856" t="str">
        <f t="shared" si="500"/>
        <v/>
      </c>
      <c r="AV3051" s="1856" t="str">
        <f t="shared" si="501"/>
        <v/>
      </c>
      <c r="AW3051" s="1856" t="str">
        <f t="shared" si="502"/>
        <v/>
      </c>
      <c r="AX3051" s="1856" t="str">
        <f t="shared" si="503"/>
        <v/>
      </c>
      <c r="AY3051" s="1856" t="str">
        <f t="shared" si="504"/>
        <v/>
      </c>
    </row>
    <row r="3052" spans="42:52">
      <c r="AP3052" s="1855">
        <f t="shared" si="505"/>
        <v>44898</v>
      </c>
      <c r="AQ3052" s="925" t="str">
        <f t="shared" si="498"/>
        <v/>
      </c>
      <c r="AR3052" s="1856" t="str">
        <f t="shared" si="506"/>
        <v/>
      </c>
      <c r="AS3052" s="927">
        <v>3</v>
      </c>
      <c r="AT3052" s="1856">
        <f t="shared" si="499"/>
        <v>44898.27847222222</v>
      </c>
      <c r="AU3052" s="1856">
        <f t="shared" si="500"/>
        <v>44898.320833333331</v>
      </c>
      <c r="AV3052" s="1856">
        <f t="shared" si="501"/>
        <v>44898.725694444445</v>
      </c>
      <c r="AW3052" s="1856">
        <f t="shared" si="502"/>
        <v>44898.768055555556</v>
      </c>
      <c r="AX3052" s="1856">
        <f t="shared" si="503"/>
        <v>44898.622916666667</v>
      </c>
      <c r="AY3052" s="1856">
        <f t="shared" si="504"/>
        <v>44898.129166666666</v>
      </c>
      <c r="AZ3052" s="1853">
        <v>0.77</v>
      </c>
    </row>
    <row r="3053" spans="42:52">
      <c r="AP3053" s="1855">
        <f t="shared" si="505"/>
        <v>44898</v>
      </c>
      <c r="AQ3053" s="925" t="str">
        <f t="shared" si="498"/>
        <v/>
      </c>
      <c r="AR3053" s="1856" t="str">
        <f t="shared" si="506"/>
        <v/>
      </c>
      <c r="AS3053" s="927" t="s">
        <v>252</v>
      </c>
      <c r="AT3053" s="1856" t="str">
        <f t="shared" si="499"/>
        <v/>
      </c>
      <c r="AU3053" s="1856" t="str">
        <f t="shared" si="500"/>
        <v/>
      </c>
      <c r="AV3053" s="1856" t="str">
        <f t="shared" si="501"/>
        <v/>
      </c>
      <c r="AW3053" s="1856" t="str">
        <f t="shared" si="502"/>
        <v/>
      </c>
      <c r="AX3053" s="1856" t="str">
        <f t="shared" si="503"/>
        <v/>
      </c>
      <c r="AY3053" s="1856" t="str">
        <f t="shared" si="504"/>
        <v/>
      </c>
    </row>
    <row r="3054" spans="42:52">
      <c r="AP3054" s="1855">
        <f t="shared" si="505"/>
        <v>44898</v>
      </c>
      <c r="AQ3054" s="925" t="str">
        <f t="shared" si="498"/>
        <v/>
      </c>
      <c r="AR3054" s="1856" t="str">
        <f t="shared" si="506"/>
        <v/>
      </c>
      <c r="AT3054" s="1856" t="str">
        <f t="shared" si="499"/>
        <v/>
      </c>
      <c r="AU3054" s="1856" t="str">
        <f t="shared" si="500"/>
        <v/>
      </c>
      <c r="AV3054" s="1856" t="str">
        <f t="shared" si="501"/>
        <v/>
      </c>
      <c r="AW3054" s="1856" t="str">
        <f t="shared" si="502"/>
        <v/>
      </c>
      <c r="AX3054" s="1856" t="str">
        <f t="shared" si="503"/>
        <v/>
      </c>
      <c r="AY3054" s="1856" t="str">
        <f t="shared" si="504"/>
        <v/>
      </c>
    </row>
    <row r="3055" spans="42:52">
      <c r="AP3055" s="1855">
        <f t="shared" si="505"/>
        <v>44898</v>
      </c>
      <c r="AQ3055" s="925" t="str">
        <f t="shared" si="498"/>
        <v>MS</v>
      </c>
      <c r="AR3055" s="1856">
        <f t="shared" si="506"/>
        <v>44898.129166666666</v>
      </c>
      <c r="AS3055" s="927" t="s">
        <v>2395</v>
      </c>
      <c r="AT3055" s="1856" t="str">
        <f t="shared" si="499"/>
        <v/>
      </c>
      <c r="AU3055" s="1856" t="str">
        <f t="shared" si="500"/>
        <v/>
      </c>
      <c r="AV3055" s="1856" t="str">
        <f t="shared" si="501"/>
        <v/>
      </c>
      <c r="AW3055" s="1856" t="str">
        <f t="shared" si="502"/>
        <v/>
      </c>
      <c r="AX3055" s="1856" t="str">
        <f t="shared" si="503"/>
        <v/>
      </c>
      <c r="AY3055" s="1856" t="str">
        <f t="shared" si="504"/>
        <v/>
      </c>
    </row>
    <row r="3056" spans="42:52">
      <c r="AP3056" s="1855">
        <f t="shared" si="505"/>
        <v>44898</v>
      </c>
      <c r="AQ3056" s="925" t="str">
        <f t="shared" si="498"/>
        <v>BMNT</v>
      </c>
      <c r="AR3056" s="1856">
        <f t="shared" si="506"/>
        <v>44898.27847222222</v>
      </c>
      <c r="AS3056" s="927" t="s">
        <v>1342</v>
      </c>
      <c r="AT3056" s="1856" t="str">
        <f t="shared" si="499"/>
        <v/>
      </c>
      <c r="AU3056" s="1856" t="str">
        <f t="shared" si="500"/>
        <v/>
      </c>
      <c r="AV3056" s="1856" t="str">
        <f t="shared" si="501"/>
        <v/>
      </c>
      <c r="AW3056" s="1856" t="str">
        <f t="shared" si="502"/>
        <v/>
      </c>
      <c r="AX3056" s="1856" t="str">
        <f t="shared" si="503"/>
        <v/>
      </c>
      <c r="AY3056" s="1856" t="str">
        <f t="shared" si="504"/>
        <v/>
      </c>
    </row>
    <row r="3057" spans="42:52">
      <c r="AP3057" s="1855">
        <f t="shared" si="505"/>
        <v>44898</v>
      </c>
      <c r="AQ3057" s="925" t="str">
        <f t="shared" si="498"/>
        <v>SR</v>
      </c>
      <c r="AR3057" s="1856">
        <f t="shared" si="506"/>
        <v>44898.320833333331</v>
      </c>
      <c r="AS3057" s="927" t="s">
        <v>1323</v>
      </c>
      <c r="AT3057" s="1856" t="str">
        <f t="shared" si="499"/>
        <v/>
      </c>
      <c r="AU3057" s="1856" t="str">
        <f t="shared" si="500"/>
        <v/>
      </c>
      <c r="AV3057" s="1856" t="str">
        <f t="shared" si="501"/>
        <v/>
      </c>
      <c r="AW3057" s="1856" t="str">
        <f t="shared" si="502"/>
        <v/>
      </c>
      <c r="AX3057" s="1856" t="str">
        <f t="shared" si="503"/>
        <v/>
      </c>
      <c r="AY3057" s="1856" t="str">
        <f t="shared" si="504"/>
        <v/>
      </c>
    </row>
    <row r="3058" spans="42:52">
      <c r="AP3058" s="1855">
        <f t="shared" si="505"/>
        <v>44898</v>
      </c>
      <c r="AQ3058" s="925" t="str">
        <f t="shared" si="498"/>
        <v>MR</v>
      </c>
      <c r="AR3058" s="1856">
        <f t="shared" si="506"/>
        <v>44898.622916666667</v>
      </c>
      <c r="AS3058" s="927" t="s">
        <v>2396</v>
      </c>
      <c r="AT3058" s="1856" t="str">
        <f t="shared" si="499"/>
        <v/>
      </c>
      <c r="AU3058" s="1856" t="str">
        <f t="shared" si="500"/>
        <v/>
      </c>
      <c r="AV3058" s="1856" t="str">
        <f t="shared" si="501"/>
        <v/>
      </c>
      <c r="AW3058" s="1856" t="str">
        <f t="shared" si="502"/>
        <v/>
      </c>
      <c r="AX3058" s="1856" t="str">
        <f t="shared" si="503"/>
        <v/>
      </c>
      <c r="AY3058" s="1856" t="str">
        <f t="shared" si="504"/>
        <v/>
      </c>
    </row>
    <row r="3059" spans="42:52">
      <c r="AP3059" s="1855">
        <f t="shared" si="505"/>
        <v>44898</v>
      </c>
      <c r="AQ3059" s="925" t="str">
        <f t="shared" si="498"/>
        <v>SS</v>
      </c>
      <c r="AR3059" s="1856">
        <f t="shared" si="506"/>
        <v>44898.725694444445</v>
      </c>
      <c r="AS3059" s="927" t="s">
        <v>2389</v>
      </c>
      <c r="AT3059" s="1856" t="str">
        <f t="shared" si="499"/>
        <v/>
      </c>
      <c r="AU3059" s="1856" t="str">
        <f t="shared" si="500"/>
        <v/>
      </c>
      <c r="AV3059" s="1856" t="str">
        <f t="shared" si="501"/>
        <v/>
      </c>
      <c r="AW3059" s="1856" t="str">
        <f t="shared" si="502"/>
        <v/>
      </c>
      <c r="AX3059" s="1856" t="str">
        <f t="shared" si="503"/>
        <v/>
      </c>
      <c r="AY3059" s="1856" t="str">
        <f t="shared" si="504"/>
        <v/>
      </c>
    </row>
    <row r="3060" spans="42:52">
      <c r="AP3060" s="1855">
        <f t="shared" si="505"/>
        <v>44898</v>
      </c>
      <c r="AQ3060" s="925" t="str">
        <f t="shared" ref="AQ3060:AQ3123" si="507">IF(NOT(ISNUMBER(FIND(":",AS3060))),"",IF(ISNUMBER(FIND("Sunr",AS3060)),"SR", IF(ISNUMBER(FIND("Suns",AS3060)),"SS",IF(ISNUMBER(FIND("Moonr",AS3060)),"MR",IF(ISNUMBER(FIND("Moons",AS3060)),"MS",IF(ISNUMBER(FIND("Twi",AS3060)),IF(HOUR(AR3060)&lt;12,"BMNT","EENT")))))))</f>
        <v>EENT</v>
      </c>
      <c r="AR3060" s="1856">
        <f t="shared" si="506"/>
        <v>44898.768055555556</v>
      </c>
      <c r="AS3060" s="927" t="s">
        <v>2392</v>
      </c>
      <c r="AT3060" s="1856" t="str">
        <f t="shared" si="499"/>
        <v/>
      </c>
      <c r="AU3060" s="1856" t="str">
        <f t="shared" si="500"/>
        <v/>
      </c>
      <c r="AV3060" s="1856" t="str">
        <f t="shared" si="501"/>
        <v/>
      </c>
      <c r="AW3060" s="1856" t="str">
        <f t="shared" si="502"/>
        <v/>
      </c>
      <c r="AX3060" s="1856" t="str">
        <f t="shared" si="503"/>
        <v/>
      </c>
      <c r="AY3060" s="1856" t="str">
        <f t="shared" si="504"/>
        <v/>
      </c>
    </row>
    <row r="3061" spans="42:52">
      <c r="AP3061" s="1855">
        <f t="shared" si="505"/>
        <v>44899</v>
      </c>
      <c r="AQ3061" s="925" t="str">
        <f t="shared" si="507"/>
        <v/>
      </c>
      <c r="AR3061" s="1856" t="str">
        <f t="shared" si="506"/>
        <v/>
      </c>
      <c r="AS3061" s="927">
        <v>4</v>
      </c>
      <c r="AT3061" s="1856">
        <f t="shared" si="499"/>
        <v>44899.27847222222</v>
      </c>
      <c r="AU3061" s="1856">
        <f t="shared" si="500"/>
        <v>44899.321527777778</v>
      </c>
      <c r="AV3061" s="1856">
        <f t="shared" si="501"/>
        <v>44899.725694444445</v>
      </c>
      <c r="AW3061" s="1856">
        <f t="shared" si="502"/>
        <v>44899.768055555556</v>
      </c>
      <c r="AX3061" s="1856">
        <f t="shared" si="503"/>
        <v>44899.640277777777</v>
      </c>
      <c r="AY3061" s="1856">
        <f t="shared" si="504"/>
        <v>44899.173611111109</v>
      </c>
      <c r="AZ3061" s="1853">
        <v>0.85</v>
      </c>
    </row>
    <row r="3062" spans="42:52">
      <c r="AP3062" s="1855">
        <f t="shared" si="505"/>
        <v>44899</v>
      </c>
      <c r="AQ3062" s="925" t="str">
        <f t="shared" si="507"/>
        <v/>
      </c>
      <c r="AR3062" s="1856" t="str">
        <f t="shared" si="506"/>
        <v/>
      </c>
      <c r="AS3062" s="927" t="s">
        <v>252</v>
      </c>
      <c r="AT3062" s="1856" t="str">
        <f t="shared" si="499"/>
        <v/>
      </c>
      <c r="AU3062" s="1856" t="str">
        <f t="shared" si="500"/>
        <v/>
      </c>
      <c r="AV3062" s="1856" t="str">
        <f t="shared" si="501"/>
        <v/>
      </c>
      <c r="AW3062" s="1856" t="str">
        <f t="shared" si="502"/>
        <v/>
      </c>
      <c r="AX3062" s="1856" t="str">
        <f t="shared" si="503"/>
        <v/>
      </c>
      <c r="AY3062" s="1856" t="str">
        <f t="shared" si="504"/>
        <v/>
      </c>
    </row>
    <row r="3063" spans="42:52">
      <c r="AP3063" s="1855">
        <f t="shared" si="505"/>
        <v>44899</v>
      </c>
      <c r="AQ3063" s="925" t="str">
        <f t="shared" si="507"/>
        <v/>
      </c>
      <c r="AR3063" s="1856" t="str">
        <f t="shared" si="506"/>
        <v/>
      </c>
      <c r="AT3063" s="1856" t="str">
        <f t="shared" si="499"/>
        <v/>
      </c>
      <c r="AU3063" s="1856" t="str">
        <f t="shared" si="500"/>
        <v/>
      </c>
      <c r="AV3063" s="1856" t="str">
        <f t="shared" si="501"/>
        <v/>
      </c>
      <c r="AW3063" s="1856" t="str">
        <f t="shared" si="502"/>
        <v/>
      </c>
      <c r="AX3063" s="1856" t="str">
        <f t="shared" si="503"/>
        <v/>
      </c>
      <c r="AY3063" s="1856" t="str">
        <f t="shared" si="504"/>
        <v/>
      </c>
    </row>
    <row r="3064" spans="42:52">
      <c r="AP3064" s="1855">
        <f t="shared" si="505"/>
        <v>44899</v>
      </c>
      <c r="AQ3064" s="925" t="str">
        <f t="shared" si="507"/>
        <v>MS</v>
      </c>
      <c r="AR3064" s="1856">
        <f t="shared" si="506"/>
        <v>44899.173611111109</v>
      </c>
      <c r="AS3064" s="927" t="s">
        <v>2397</v>
      </c>
      <c r="AT3064" s="1856" t="str">
        <f t="shared" si="499"/>
        <v/>
      </c>
      <c r="AU3064" s="1856" t="str">
        <f t="shared" si="500"/>
        <v/>
      </c>
      <c r="AV3064" s="1856" t="str">
        <f t="shared" si="501"/>
        <v/>
      </c>
      <c r="AW3064" s="1856" t="str">
        <f t="shared" si="502"/>
        <v/>
      </c>
      <c r="AX3064" s="1856" t="str">
        <f t="shared" si="503"/>
        <v/>
      </c>
      <c r="AY3064" s="1856" t="str">
        <f t="shared" si="504"/>
        <v/>
      </c>
    </row>
    <row r="3065" spans="42:52">
      <c r="AP3065" s="1855">
        <f t="shared" si="505"/>
        <v>44899</v>
      </c>
      <c r="AQ3065" s="925" t="str">
        <f t="shared" si="507"/>
        <v>BMNT</v>
      </c>
      <c r="AR3065" s="1856">
        <f t="shared" si="506"/>
        <v>44899.27847222222</v>
      </c>
      <c r="AS3065" s="927" t="s">
        <v>1342</v>
      </c>
      <c r="AT3065" s="1856" t="str">
        <f t="shared" si="499"/>
        <v/>
      </c>
      <c r="AU3065" s="1856" t="str">
        <f t="shared" si="500"/>
        <v/>
      </c>
      <c r="AV3065" s="1856" t="str">
        <f t="shared" si="501"/>
        <v/>
      </c>
      <c r="AW3065" s="1856" t="str">
        <f t="shared" si="502"/>
        <v/>
      </c>
      <c r="AX3065" s="1856" t="str">
        <f t="shared" si="503"/>
        <v/>
      </c>
      <c r="AY3065" s="1856" t="str">
        <f t="shared" si="504"/>
        <v/>
      </c>
    </row>
    <row r="3066" spans="42:52">
      <c r="AP3066" s="1855">
        <f t="shared" si="505"/>
        <v>44899</v>
      </c>
      <c r="AQ3066" s="925" t="str">
        <f t="shared" si="507"/>
        <v>SR</v>
      </c>
      <c r="AR3066" s="1856">
        <f t="shared" si="506"/>
        <v>44899.321527777778</v>
      </c>
      <c r="AS3066" s="927" t="s">
        <v>1311</v>
      </c>
      <c r="AT3066" s="1856" t="str">
        <f t="shared" si="499"/>
        <v/>
      </c>
      <c r="AU3066" s="1856" t="str">
        <f t="shared" si="500"/>
        <v/>
      </c>
      <c r="AV3066" s="1856" t="str">
        <f t="shared" si="501"/>
        <v/>
      </c>
      <c r="AW3066" s="1856" t="str">
        <f t="shared" si="502"/>
        <v/>
      </c>
      <c r="AX3066" s="1856" t="str">
        <f t="shared" si="503"/>
        <v/>
      </c>
      <c r="AY3066" s="1856" t="str">
        <f t="shared" si="504"/>
        <v/>
      </c>
    </row>
    <row r="3067" spans="42:52">
      <c r="AP3067" s="1855">
        <f t="shared" si="505"/>
        <v>44899</v>
      </c>
      <c r="AQ3067" s="925" t="str">
        <f t="shared" si="507"/>
        <v>MR</v>
      </c>
      <c r="AR3067" s="1856">
        <f t="shared" si="506"/>
        <v>44899.640277777777</v>
      </c>
      <c r="AS3067" s="927" t="s">
        <v>1356</v>
      </c>
      <c r="AT3067" s="1856" t="str">
        <f t="shared" si="499"/>
        <v/>
      </c>
      <c r="AU3067" s="1856" t="str">
        <f t="shared" si="500"/>
        <v/>
      </c>
      <c r="AV3067" s="1856" t="str">
        <f t="shared" si="501"/>
        <v/>
      </c>
      <c r="AW3067" s="1856" t="str">
        <f t="shared" si="502"/>
        <v/>
      </c>
      <c r="AX3067" s="1856" t="str">
        <f t="shared" si="503"/>
        <v/>
      </c>
      <c r="AY3067" s="1856" t="str">
        <f t="shared" si="504"/>
        <v/>
      </c>
    </row>
    <row r="3068" spans="42:52">
      <c r="AP3068" s="1855">
        <f t="shared" si="505"/>
        <v>44899</v>
      </c>
      <c r="AQ3068" s="925" t="str">
        <f t="shared" si="507"/>
        <v>SS</v>
      </c>
      <c r="AR3068" s="1856">
        <f t="shared" si="506"/>
        <v>44899.725694444445</v>
      </c>
      <c r="AS3068" s="927" t="s">
        <v>2389</v>
      </c>
      <c r="AT3068" s="1856" t="str">
        <f t="shared" si="499"/>
        <v/>
      </c>
      <c r="AU3068" s="1856" t="str">
        <f t="shared" si="500"/>
        <v/>
      </c>
      <c r="AV3068" s="1856" t="str">
        <f t="shared" si="501"/>
        <v/>
      </c>
      <c r="AW3068" s="1856" t="str">
        <f t="shared" si="502"/>
        <v/>
      </c>
      <c r="AX3068" s="1856" t="str">
        <f t="shared" si="503"/>
        <v/>
      </c>
      <c r="AY3068" s="1856" t="str">
        <f t="shared" si="504"/>
        <v/>
      </c>
    </row>
    <row r="3069" spans="42:52">
      <c r="AP3069" s="1855">
        <f t="shared" si="505"/>
        <v>44899</v>
      </c>
      <c r="AQ3069" s="925" t="str">
        <f t="shared" si="507"/>
        <v>EENT</v>
      </c>
      <c r="AR3069" s="1856">
        <f t="shared" si="506"/>
        <v>44899.768055555556</v>
      </c>
      <c r="AS3069" s="927" t="s">
        <v>2392</v>
      </c>
      <c r="AT3069" s="1856" t="str">
        <f t="shared" si="499"/>
        <v/>
      </c>
      <c r="AU3069" s="1856" t="str">
        <f t="shared" si="500"/>
        <v/>
      </c>
      <c r="AV3069" s="1856" t="str">
        <f t="shared" si="501"/>
        <v/>
      </c>
      <c r="AW3069" s="1856" t="str">
        <f t="shared" si="502"/>
        <v/>
      </c>
      <c r="AX3069" s="1856" t="str">
        <f t="shared" si="503"/>
        <v/>
      </c>
      <c r="AY3069" s="1856" t="str">
        <f t="shared" si="504"/>
        <v/>
      </c>
    </row>
    <row r="3070" spans="42:52">
      <c r="AP3070" s="1855">
        <f t="shared" si="505"/>
        <v>44900</v>
      </c>
      <c r="AQ3070" s="925" t="str">
        <f t="shared" si="507"/>
        <v/>
      </c>
      <c r="AR3070" s="1856" t="str">
        <f t="shared" si="506"/>
        <v/>
      </c>
      <c r="AS3070" s="927">
        <v>5</v>
      </c>
      <c r="AT3070" s="1856">
        <f t="shared" si="499"/>
        <v>44900.279166666667</v>
      </c>
      <c r="AU3070" s="1856">
        <f t="shared" si="500"/>
        <v>44900.322222222218</v>
      </c>
      <c r="AV3070" s="1856">
        <f t="shared" si="501"/>
        <v>44900.725000000006</v>
      </c>
      <c r="AW3070" s="1856">
        <f t="shared" si="502"/>
        <v>44900.768055555556</v>
      </c>
      <c r="AX3070" s="1856">
        <f t="shared" si="503"/>
        <v>44900.659722222219</v>
      </c>
      <c r="AY3070" s="1856">
        <f t="shared" si="504"/>
        <v>44900.21875</v>
      </c>
      <c r="AZ3070" s="1853">
        <v>0.92</v>
      </c>
    </row>
    <row r="3071" spans="42:52">
      <c r="AP3071" s="1855">
        <f t="shared" si="505"/>
        <v>44900</v>
      </c>
      <c r="AQ3071" s="925" t="str">
        <f t="shared" si="507"/>
        <v/>
      </c>
      <c r="AR3071" s="1856" t="str">
        <f t="shared" si="506"/>
        <v/>
      </c>
      <c r="AS3071" s="927" t="s">
        <v>252</v>
      </c>
      <c r="AT3071" s="1856" t="str">
        <f t="shared" si="499"/>
        <v/>
      </c>
      <c r="AU3071" s="1856" t="str">
        <f t="shared" si="500"/>
        <v/>
      </c>
      <c r="AV3071" s="1856" t="str">
        <f t="shared" si="501"/>
        <v/>
      </c>
      <c r="AW3071" s="1856" t="str">
        <f t="shared" si="502"/>
        <v/>
      </c>
      <c r="AX3071" s="1856" t="str">
        <f t="shared" si="503"/>
        <v/>
      </c>
      <c r="AY3071" s="1856" t="str">
        <f t="shared" si="504"/>
        <v/>
      </c>
    </row>
    <row r="3072" spans="42:52">
      <c r="AP3072" s="1855">
        <f t="shared" si="505"/>
        <v>44900</v>
      </c>
      <c r="AQ3072" s="925" t="str">
        <f t="shared" si="507"/>
        <v/>
      </c>
      <c r="AR3072" s="1856" t="str">
        <f t="shared" si="506"/>
        <v/>
      </c>
      <c r="AT3072" s="1856" t="str">
        <f t="shared" si="499"/>
        <v/>
      </c>
      <c r="AU3072" s="1856" t="str">
        <f t="shared" si="500"/>
        <v/>
      </c>
      <c r="AV3072" s="1856" t="str">
        <f t="shared" si="501"/>
        <v/>
      </c>
      <c r="AW3072" s="1856" t="str">
        <f t="shared" si="502"/>
        <v/>
      </c>
      <c r="AX3072" s="1856" t="str">
        <f t="shared" si="503"/>
        <v/>
      </c>
      <c r="AY3072" s="1856" t="str">
        <f t="shared" si="504"/>
        <v/>
      </c>
    </row>
    <row r="3073" spans="42:52">
      <c r="AP3073" s="1855">
        <f t="shared" si="505"/>
        <v>44900</v>
      </c>
      <c r="AQ3073" s="925" t="str">
        <f t="shared" si="507"/>
        <v>MS</v>
      </c>
      <c r="AR3073" s="1856">
        <f t="shared" si="506"/>
        <v>44900.21875</v>
      </c>
      <c r="AS3073" s="927" t="s">
        <v>2398</v>
      </c>
      <c r="AT3073" s="1856" t="str">
        <f t="shared" si="499"/>
        <v/>
      </c>
      <c r="AU3073" s="1856" t="str">
        <f t="shared" si="500"/>
        <v/>
      </c>
      <c r="AV3073" s="1856" t="str">
        <f t="shared" si="501"/>
        <v/>
      </c>
      <c r="AW3073" s="1856" t="str">
        <f t="shared" si="502"/>
        <v/>
      </c>
      <c r="AX3073" s="1856" t="str">
        <f t="shared" si="503"/>
        <v/>
      </c>
      <c r="AY3073" s="1856" t="str">
        <f t="shared" si="504"/>
        <v/>
      </c>
    </row>
    <row r="3074" spans="42:52">
      <c r="AP3074" s="1855">
        <f t="shared" si="505"/>
        <v>44900</v>
      </c>
      <c r="AQ3074" s="925" t="str">
        <f t="shared" si="507"/>
        <v>BMNT</v>
      </c>
      <c r="AR3074" s="1856">
        <f t="shared" si="506"/>
        <v>44900.279166666667</v>
      </c>
      <c r="AS3074" s="927" t="s">
        <v>1336</v>
      </c>
      <c r="AT3074" s="1856" t="str">
        <f t="shared" si="499"/>
        <v/>
      </c>
      <c r="AU3074" s="1856" t="str">
        <f t="shared" si="500"/>
        <v/>
      </c>
      <c r="AV3074" s="1856" t="str">
        <f t="shared" si="501"/>
        <v/>
      </c>
      <c r="AW3074" s="1856" t="str">
        <f t="shared" si="502"/>
        <v/>
      </c>
      <c r="AX3074" s="1856" t="str">
        <f t="shared" si="503"/>
        <v/>
      </c>
      <c r="AY3074" s="1856" t="str">
        <f t="shared" si="504"/>
        <v/>
      </c>
    </row>
    <row r="3075" spans="42:52">
      <c r="AP3075" s="1855">
        <f t="shared" si="505"/>
        <v>44900</v>
      </c>
      <c r="AQ3075" s="925" t="str">
        <f t="shared" si="507"/>
        <v>SR</v>
      </c>
      <c r="AR3075" s="1856">
        <f t="shared" si="506"/>
        <v>44900.322222222218</v>
      </c>
      <c r="AS3075" s="927" t="s">
        <v>1300</v>
      </c>
      <c r="AT3075" s="1856" t="str">
        <f t="shared" si="499"/>
        <v/>
      </c>
      <c r="AU3075" s="1856" t="str">
        <f t="shared" si="500"/>
        <v/>
      </c>
      <c r="AV3075" s="1856" t="str">
        <f t="shared" si="501"/>
        <v/>
      </c>
      <c r="AW3075" s="1856" t="str">
        <f t="shared" si="502"/>
        <v/>
      </c>
      <c r="AX3075" s="1856" t="str">
        <f t="shared" si="503"/>
        <v/>
      </c>
      <c r="AY3075" s="1856" t="str">
        <f t="shared" si="504"/>
        <v/>
      </c>
    </row>
    <row r="3076" spans="42:52">
      <c r="AP3076" s="1855">
        <f t="shared" si="505"/>
        <v>44900</v>
      </c>
      <c r="AQ3076" s="925" t="str">
        <f t="shared" si="507"/>
        <v>MR</v>
      </c>
      <c r="AR3076" s="1856">
        <f t="shared" si="506"/>
        <v>44900.659722222219</v>
      </c>
      <c r="AS3076" s="927" t="s">
        <v>2399</v>
      </c>
      <c r="AT3076" s="1856" t="str">
        <f t="shared" si="499"/>
        <v/>
      </c>
      <c r="AU3076" s="1856" t="str">
        <f t="shared" si="500"/>
        <v/>
      </c>
      <c r="AV3076" s="1856" t="str">
        <f t="shared" si="501"/>
        <v/>
      </c>
      <c r="AW3076" s="1856" t="str">
        <f t="shared" si="502"/>
        <v/>
      </c>
      <c r="AX3076" s="1856" t="str">
        <f t="shared" si="503"/>
        <v/>
      </c>
      <c r="AY3076" s="1856" t="str">
        <f t="shared" si="504"/>
        <v/>
      </c>
    </row>
    <row r="3077" spans="42:52">
      <c r="AP3077" s="1855">
        <f t="shared" si="505"/>
        <v>44900</v>
      </c>
      <c r="AQ3077" s="925" t="str">
        <f t="shared" si="507"/>
        <v>SS</v>
      </c>
      <c r="AR3077" s="1856">
        <f t="shared" si="506"/>
        <v>44900.725000000006</v>
      </c>
      <c r="AS3077" s="927" t="s">
        <v>2400</v>
      </c>
      <c r="AT3077" s="1856" t="str">
        <f t="shared" si="499"/>
        <v/>
      </c>
      <c r="AU3077" s="1856" t="str">
        <f t="shared" si="500"/>
        <v/>
      </c>
      <c r="AV3077" s="1856" t="str">
        <f t="shared" si="501"/>
        <v/>
      </c>
      <c r="AW3077" s="1856" t="str">
        <f t="shared" si="502"/>
        <v/>
      </c>
      <c r="AX3077" s="1856" t="str">
        <f t="shared" si="503"/>
        <v/>
      </c>
      <c r="AY3077" s="1856" t="str">
        <f t="shared" si="504"/>
        <v/>
      </c>
    </row>
    <row r="3078" spans="42:52">
      <c r="AP3078" s="1855">
        <f t="shared" si="505"/>
        <v>44900</v>
      </c>
      <c r="AQ3078" s="925" t="str">
        <f t="shared" si="507"/>
        <v>EENT</v>
      </c>
      <c r="AR3078" s="1856">
        <f t="shared" si="506"/>
        <v>44900.768055555556</v>
      </c>
      <c r="AS3078" s="927" t="s">
        <v>2392</v>
      </c>
      <c r="AT3078" s="1856" t="str">
        <f t="shared" si="499"/>
        <v/>
      </c>
      <c r="AU3078" s="1856" t="str">
        <f t="shared" si="500"/>
        <v/>
      </c>
      <c r="AV3078" s="1856" t="str">
        <f t="shared" si="501"/>
        <v/>
      </c>
      <c r="AW3078" s="1856" t="str">
        <f t="shared" si="502"/>
        <v/>
      </c>
      <c r="AX3078" s="1856" t="str">
        <f t="shared" si="503"/>
        <v/>
      </c>
      <c r="AY3078" s="1856" t="str">
        <f t="shared" si="504"/>
        <v/>
      </c>
    </row>
    <row r="3079" spans="42:52">
      <c r="AP3079" s="1855">
        <f t="shared" si="505"/>
        <v>44901</v>
      </c>
      <c r="AQ3079" s="925" t="str">
        <f t="shared" si="507"/>
        <v/>
      </c>
      <c r="AR3079" s="1856" t="str">
        <f t="shared" si="506"/>
        <v/>
      </c>
      <c r="AS3079" s="927">
        <v>6</v>
      </c>
      <c r="AT3079" s="1856">
        <f t="shared" si="499"/>
        <v>44901.279861111114</v>
      </c>
      <c r="AU3079" s="1856">
        <f t="shared" si="500"/>
        <v>44901.322916666664</v>
      </c>
      <c r="AV3079" s="1856">
        <f t="shared" si="501"/>
        <v>44901.725000000006</v>
      </c>
      <c r="AW3079" s="1856">
        <f t="shared" si="502"/>
        <v>44901.768055555556</v>
      </c>
      <c r="AX3079" s="1856">
        <f t="shared" si="503"/>
        <v>44901.681249999994</v>
      </c>
      <c r="AY3079" s="1856">
        <f t="shared" si="504"/>
        <v>44901.263194444444</v>
      </c>
      <c r="AZ3079" s="1853">
        <v>0.96</v>
      </c>
    </row>
    <row r="3080" spans="42:52">
      <c r="AP3080" s="1855">
        <f t="shared" si="505"/>
        <v>44901</v>
      </c>
      <c r="AQ3080" s="925" t="str">
        <f t="shared" si="507"/>
        <v/>
      </c>
      <c r="AR3080" s="1856" t="str">
        <f t="shared" si="506"/>
        <v/>
      </c>
      <c r="AS3080" s="927" t="s">
        <v>252</v>
      </c>
      <c r="AT3080" s="1856" t="str">
        <f t="shared" si="499"/>
        <v/>
      </c>
      <c r="AU3080" s="1856" t="str">
        <f t="shared" si="500"/>
        <v/>
      </c>
      <c r="AV3080" s="1856" t="str">
        <f t="shared" si="501"/>
        <v/>
      </c>
      <c r="AW3080" s="1856" t="str">
        <f t="shared" si="502"/>
        <v/>
      </c>
      <c r="AX3080" s="1856" t="str">
        <f t="shared" si="503"/>
        <v/>
      </c>
      <c r="AY3080" s="1856" t="str">
        <f t="shared" si="504"/>
        <v/>
      </c>
    </row>
    <row r="3081" spans="42:52">
      <c r="AP3081" s="1855">
        <f t="shared" si="505"/>
        <v>44901</v>
      </c>
      <c r="AQ3081" s="925" t="str">
        <f t="shared" si="507"/>
        <v/>
      </c>
      <c r="AR3081" s="1856" t="str">
        <f t="shared" si="506"/>
        <v/>
      </c>
      <c r="AT3081" s="1856" t="str">
        <f t="shared" si="499"/>
        <v/>
      </c>
      <c r="AU3081" s="1856" t="str">
        <f t="shared" si="500"/>
        <v/>
      </c>
      <c r="AV3081" s="1856" t="str">
        <f t="shared" si="501"/>
        <v/>
      </c>
      <c r="AW3081" s="1856" t="str">
        <f t="shared" si="502"/>
        <v/>
      </c>
      <c r="AX3081" s="1856" t="str">
        <f t="shared" si="503"/>
        <v/>
      </c>
      <c r="AY3081" s="1856" t="str">
        <f t="shared" si="504"/>
        <v/>
      </c>
    </row>
    <row r="3082" spans="42:52">
      <c r="AP3082" s="1855">
        <f t="shared" si="505"/>
        <v>44901</v>
      </c>
      <c r="AQ3082" s="925" t="str">
        <f t="shared" si="507"/>
        <v>MS</v>
      </c>
      <c r="AR3082" s="1856">
        <f t="shared" si="506"/>
        <v>44901.263194444444</v>
      </c>
      <c r="AS3082" s="927" t="s">
        <v>1647</v>
      </c>
      <c r="AT3082" s="1856" t="str">
        <f t="shared" si="499"/>
        <v/>
      </c>
      <c r="AU3082" s="1856" t="str">
        <f t="shared" si="500"/>
        <v/>
      </c>
      <c r="AV3082" s="1856" t="str">
        <f t="shared" si="501"/>
        <v/>
      </c>
      <c r="AW3082" s="1856" t="str">
        <f t="shared" si="502"/>
        <v/>
      </c>
      <c r="AX3082" s="1856" t="str">
        <f t="shared" si="503"/>
        <v/>
      </c>
      <c r="AY3082" s="1856" t="str">
        <f t="shared" si="504"/>
        <v/>
      </c>
    </row>
    <row r="3083" spans="42:52">
      <c r="AP3083" s="1855">
        <f t="shared" si="505"/>
        <v>44901</v>
      </c>
      <c r="AQ3083" s="925" t="str">
        <f t="shared" si="507"/>
        <v>BMNT</v>
      </c>
      <c r="AR3083" s="1856">
        <f t="shared" si="506"/>
        <v>44901.279861111114</v>
      </c>
      <c r="AS3083" s="927" t="s">
        <v>1321</v>
      </c>
      <c r="AT3083" s="1856" t="str">
        <f t="shared" si="499"/>
        <v/>
      </c>
      <c r="AU3083" s="1856" t="str">
        <f t="shared" si="500"/>
        <v/>
      </c>
      <c r="AV3083" s="1856" t="str">
        <f t="shared" si="501"/>
        <v/>
      </c>
      <c r="AW3083" s="1856" t="str">
        <f t="shared" si="502"/>
        <v/>
      </c>
      <c r="AX3083" s="1856" t="str">
        <f t="shared" si="503"/>
        <v/>
      </c>
      <c r="AY3083" s="1856" t="str">
        <f t="shared" si="504"/>
        <v/>
      </c>
    </row>
    <row r="3084" spans="42:52">
      <c r="AP3084" s="1855">
        <f t="shared" si="505"/>
        <v>44901</v>
      </c>
      <c r="AQ3084" s="925" t="str">
        <f t="shared" si="507"/>
        <v>SR</v>
      </c>
      <c r="AR3084" s="1856">
        <f t="shared" si="506"/>
        <v>44901.322916666664</v>
      </c>
      <c r="AS3084" s="927" t="s">
        <v>1291</v>
      </c>
      <c r="AT3084" s="1856" t="str">
        <f t="shared" si="499"/>
        <v/>
      </c>
      <c r="AU3084" s="1856" t="str">
        <f t="shared" si="500"/>
        <v/>
      </c>
      <c r="AV3084" s="1856" t="str">
        <f t="shared" si="501"/>
        <v/>
      </c>
      <c r="AW3084" s="1856" t="str">
        <f t="shared" si="502"/>
        <v/>
      </c>
      <c r="AX3084" s="1856" t="str">
        <f t="shared" si="503"/>
        <v/>
      </c>
      <c r="AY3084" s="1856" t="str">
        <f t="shared" si="504"/>
        <v/>
      </c>
    </row>
    <row r="3085" spans="42:52">
      <c r="AP3085" s="1855">
        <f t="shared" si="505"/>
        <v>44901</v>
      </c>
      <c r="AQ3085" s="925" t="str">
        <f t="shared" si="507"/>
        <v>MR</v>
      </c>
      <c r="AR3085" s="1856">
        <f t="shared" si="506"/>
        <v>44901.681249999994</v>
      </c>
      <c r="AS3085" s="927" t="s">
        <v>2401</v>
      </c>
      <c r="AT3085" s="1856" t="str">
        <f t="shared" si="499"/>
        <v/>
      </c>
      <c r="AU3085" s="1856" t="str">
        <f t="shared" si="500"/>
        <v/>
      </c>
      <c r="AV3085" s="1856" t="str">
        <f t="shared" si="501"/>
        <v/>
      </c>
      <c r="AW3085" s="1856" t="str">
        <f t="shared" si="502"/>
        <v/>
      </c>
      <c r="AX3085" s="1856" t="str">
        <f t="shared" si="503"/>
        <v/>
      </c>
      <c r="AY3085" s="1856" t="str">
        <f t="shared" si="504"/>
        <v/>
      </c>
    </row>
    <row r="3086" spans="42:52">
      <c r="AP3086" s="1855">
        <f t="shared" si="505"/>
        <v>44901</v>
      </c>
      <c r="AQ3086" s="925" t="str">
        <f t="shared" si="507"/>
        <v>SS</v>
      </c>
      <c r="AR3086" s="1856">
        <f t="shared" si="506"/>
        <v>44901.725000000006</v>
      </c>
      <c r="AS3086" s="927" t="s">
        <v>2400</v>
      </c>
      <c r="AT3086" s="1856" t="str">
        <f t="shared" si="499"/>
        <v/>
      </c>
      <c r="AU3086" s="1856" t="str">
        <f t="shared" si="500"/>
        <v/>
      </c>
      <c r="AV3086" s="1856" t="str">
        <f t="shared" si="501"/>
        <v/>
      </c>
      <c r="AW3086" s="1856" t="str">
        <f t="shared" si="502"/>
        <v/>
      </c>
      <c r="AX3086" s="1856" t="str">
        <f t="shared" si="503"/>
        <v/>
      </c>
      <c r="AY3086" s="1856" t="str">
        <f t="shared" si="504"/>
        <v/>
      </c>
    </row>
    <row r="3087" spans="42:52">
      <c r="AP3087" s="1855">
        <f t="shared" si="505"/>
        <v>44901</v>
      </c>
      <c r="AQ3087" s="925" t="str">
        <f t="shared" si="507"/>
        <v>EENT</v>
      </c>
      <c r="AR3087" s="1856">
        <f t="shared" si="506"/>
        <v>44901.768055555556</v>
      </c>
      <c r="AS3087" s="927" t="s">
        <v>2392</v>
      </c>
      <c r="AT3087" s="1856" t="str">
        <f t="shared" si="499"/>
        <v/>
      </c>
      <c r="AU3087" s="1856" t="str">
        <f t="shared" si="500"/>
        <v/>
      </c>
      <c r="AV3087" s="1856" t="str">
        <f t="shared" si="501"/>
        <v/>
      </c>
      <c r="AW3087" s="1856" t="str">
        <f t="shared" si="502"/>
        <v/>
      </c>
      <c r="AX3087" s="1856" t="str">
        <f t="shared" si="503"/>
        <v/>
      </c>
      <c r="AY3087" s="1856" t="str">
        <f t="shared" si="504"/>
        <v/>
      </c>
    </row>
    <row r="3088" spans="42:52">
      <c r="AP3088" s="1855">
        <f t="shared" si="505"/>
        <v>44902</v>
      </c>
      <c r="AQ3088" s="925" t="str">
        <f t="shared" si="507"/>
        <v/>
      </c>
      <c r="AR3088" s="1856" t="str">
        <f t="shared" si="506"/>
        <v/>
      </c>
      <c r="AS3088" s="927">
        <v>7</v>
      </c>
      <c r="AT3088" s="1856">
        <f t="shared" si="499"/>
        <v>44902.280555555553</v>
      </c>
      <c r="AU3088" s="1856">
        <f t="shared" si="500"/>
        <v>44902.323611111111</v>
      </c>
      <c r="AV3088" s="1856">
        <f t="shared" si="501"/>
        <v>44902.725000000006</v>
      </c>
      <c r="AW3088" s="1856">
        <f t="shared" si="502"/>
        <v>44902.768055555556</v>
      </c>
      <c r="AX3088" s="1856">
        <f t="shared" si="503"/>
        <v>44902.706944444442</v>
      </c>
      <c r="AY3088" s="1856">
        <f t="shared" si="504"/>
        <v>44902.307638888888</v>
      </c>
      <c r="AZ3088" s="1853">
        <v>0.99</v>
      </c>
    </row>
    <row r="3089" spans="42:52">
      <c r="AP3089" s="1855">
        <f t="shared" si="505"/>
        <v>44902</v>
      </c>
      <c r="AQ3089" s="925" t="str">
        <f t="shared" si="507"/>
        <v/>
      </c>
      <c r="AR3089" s="1856" t="str">
        <f t="shared" si="506"/>
        <v/>
      </c>
      <c r="AS3089" s="927" t="s">
        <v>252</v>
      </c>
      <c r="AT3089" s="1856" t="str">
        <f t="shared" si="499"/>
        <v/>
      </c>
      <c r="AU3089" s="1856" t="str">
        <f t="shared" si="500"/>
        <v/>
      </c>
      <c r="AV3089" s="1856" t="str">
        <f t="shared" si="501"/>
        <v/>
      </c>
      <c r="AW3089" s="1856" t="str">
        <f t="shared" si="502"/>
        <v/>
      </c>
      <c r="AX3089" s="1856" t="str">
        <f t="shared" si="503"/>
        <v/>
      </c>
      <c r="AY3089" s="1856" t="str">
        <f t="shared" si="504"/>
        <v/>
      </c>
    </row>
    <row r="3090" spans="42:52">
      <c r="AP3090" s="1855">
        <f t="shared" si="505"/>
        <v>44902</v>
      </c>
      <c r="AQ3090" s="925" t="str">
        <f t="shared" si="507"/>
        <v/>
      </c>
      <c r="AR3090" s="1856" t="str">
        <f t="shared" si="506"/>
        <v/>
      </c>
      <c r="AT3090" s="1856" t="str">
        <f t="shared" si="499"/>
        <v/>
      </c>
      <c r="AU3090" s="1856" t="str">
        <f t="shared" si="500"/>
        <v/>
      </c>
      <c r="AV3090" s="1856" t="str">
        <f t="shared" si="501"/>
        <v/>
      </c>
      <c r="AW3090" s="1856" t="str">
        <f t="shared" si="502"/>
        <v/>
      </c>
      <c r="AX3090" s="1856" t="str">
        <f t="shared" si="503"/>
        <v/>
      </c>
      <c r="AY3090" s="1856" t="str">
        <f t="shared" si="504"/>
        <v/>
      </c>
    </row>
    <row r="3091" spans="42:52">
      <c r="AP3091" s="1855">
        <f t="shared" si="505"/>
        <v>44902</v>
      </c>
      <c r="AQ3091" s="925" t="str">
        <f t="shared" si="507"/>
        <v>BMNT</v>
      </c>
      <c r="AR3091" s="1856">
        <f t="shared" si="506"/>
        <v>44902.280555555553</v>
      </c>
      <c r="AS3091" s="927" t="s">
        <v>1309</v>
      </c>
      <c r="AT3091" s="1856" t="str">
        <f t="shared" si="499"/>
        <v/>
      </c>
      <c r="AU3091" s="1856" t="str">
        <f t="shared" si="500"/>
        <v/>
      </c>
      <c r="AV3091" s="1856" t="str">
        <f t="shared" si="501"/>
        <v/>
      </c>
      <c r="AW3091" s="1856" t="str">
        <f t="shared" si="502"/>
        <v/>
      </c>
      <c r="AX3091" s="1856" t="str">
        <f t="shared" si="503"/>
        <v/>
      </c>
      <c r="AY3091" s="1856" t="str">
        <f t="shared" si="504"/>
        <v/>
      </c>
    </row>
    <row r="3092" spans="42:52">
      <c r="AP3092" s="1855">
        <f t="shared" si="505"/>
        <v>44902</v>
      </c>
      <c r="AQ3092" s="925" t="str">
        <f t="shared" si="507"/>
        <v>MS</v>
      </c>
      <c r="AR3092" s="1856">
        <f t="shared" si="506"/>
        <v>44902.307638888888</v>
      </c>
      <c r="AS3092" s="927" t="s">
        <v>2120</v>
      </c>
      <c r="AT3092" s="1856" t="str">
        <f t="shared" si="499"/>
        <v/>
      </c>
      <c r="AU3092" s="1856" t="str">
        <f t="shared" si="500"/>
        <v/>
      </c>
      <c r="AV3092" s="1856" t="str">
        <f t="shared" si="501"/>
        <v/>
      </c>
      <c r="AW3092" s="1856" t="str">
        <f t="shared" si="502"/>
        <v/>
      </c>
      <c r="AX3092" s="1856" t="str">
        <f t="shared" si="503"/>
        <v/>
      </c>
      <c r="AY3092" s="1856" t="str">
        <f t="shared" si="504"/>
        <v/>
      </c>
    </row>
    <row r="3093" spans="42:52">
      <c r="AP3093" s="1855">
        <f t="shared" si="505"/>
        <v>44902</v>
      </c>
      <c r="AQ3093" s="925" t="str">
        <f t="shared" si="507"/>
        <v>SR</v>
      </c>
      <c r="AR3093" s="1856">
        <f t="shared" si="506"/>
        <v>44902.323611111111</v>
      </c>
      <c r="AS3093" s="927" t="s">
        <v>1279</v>
      </c>
      <c r="AT3093" s="1856" t="str">
        <f t="shared" si="499"/>
        <v/>
      </c>
      <c r="AU3093" s="1856" t="str">
        <f t="shared" si="500"/>
        <v/>
      </c>
      <c r="AV3093" s="1856" t="str">
        <f t="shared" si="501"/>
        <v/>
      </c>
      <c r="AW3093" s="1856" t="str">
        <f t="shared" si="502"/>
        <v/>
      </c>
      <c r="AX3093" s="1856" t="str">
        <f t="shared" si="503"/>
        <v/>
      </c>
      <c r="AY3093" s="1856" t="str">
        <f t="shared" si="504"/>
        <v/>
      </c>
    </row>
    <row r="3094" spans="42:52">
      <c r="AP3094" s="1855">
        <f t="shared" si="505"/>
        <v>44902</v>
      </c>
      <c r="AQ3094" s="925" t="str">
        <f t="shared" si="507"/>
        <v>MR</v>
      </c>
      <c r="AR3094" s="1856">
        <f t="shared" si="506"/>
        <v>44902.706944444442</v>
      </c>
      <c r="AS3094" s="927" t="s">
        <v>1798</v>
      </c>
      <c r="AT3094" s="1856" t="str">
        <f t="shared" si="499"/>
        <v/>
      </c>
      <c r="AU3094" s="1856" t="str">
        <f t="shared" si="500"/>
        <v/>
      </c>
      <c r="AV3094" s="1856" t="str">
        <f t="shared" si="501"/>
        <v/>
      </c>
      <c r="AW3094" s="1856" t="str">
        <f t="shared" si="502"/>
        <v/>
      </c>
      <c r="AX3094" s="1856" t="str">
        <f t="shared" si="503"/>
        <v/>
      </c>
      <c r="AY3094" s="1856" t="str">
        <f t="shared" si="504"/>
        <v/>
      </c>
    </row>
    <row r="3095" spans="42:52">
      <c r="AP3095" s="1855">
        <f t="shared" si="505"/>
        <v>44902</v>
      </c>
      <c r="AQ3095" s="925" t="str">
        <f t="shared" si="507"/>
        <v>SS</v>
      </c>
      <c r="AR3095" s="1856">
        <f t="shared" si="506"/>
        <v>44902.725000000006</v>
      </c>
      <c r="AS3095" s="927" t="s">
        <v>2400</v>
      </c>
      <c r="AT3095" s="1856" t="str">
        <f t="shared" si="499"/>
        <v/>
      </c>
      <c r="AU3095" s="1856" t="str">
        <f t="shared" si="500"/>
        <v/>
      </c>
      <c r="AV3095" s="1856" t="str">
        <f t="shared" si="501"/>
        <v/>
      </c>
      <c r="AW3095" s="1856" t="str">
        <f t="shared" si="502"/>
        <v/>
      </c>
      <c r="AX3095" s="1856" t="str">
        <f t="shared" si="503"/>
        <v/>
      </c>
      <c r="AY3095" s="1856" t="str">
        <f t="shared" si="504"/>
        <v/>
      </c>
    </row>
    <row r="3096" spans="42:52">
      <c r="AP3096" s="1855">
        <f t="shared" si="505"/>
        <v>44902</v>
      </c>
      <c r="AQ3096" s="925" t="str">
        <f t="shared" si="507"/>
        <v>EENT</v>
      </c>
      <c r="AR3096" s="1856">
        <f t="shared" si="506"/>
        <v>44902.768055555556</v>
      </c>
      <c r="AS3096" s="927" t="s">
        <v>2392</v>
      </c>
      <c r="AT3096" s="1856" t="str">
        <f t="shared" si="499"/>
        <v/>
      </c>
      <c r="AU3096" s="1856" t="str">
        <f t="shared" si="500"/>
        <v/>
      </c>
      <c r="AV3096" s="1856" t="str">
        <f t="shared" si="501"/>
        <v/>
      </c>
      <c r="AW3096" s="1856" t="str">
        <f t="shared" si="502"/>
        <v/>
      </c>
      <c r="AX3096" s="1856" t="str">
        <f t="shared" si="503"/>
        <v/>
      </c>
      <c r="AY3096" s="1856" t="str">
        <f t="shared" si="504"/>
        <v/>
      </c>
    </row>
    <row r="3097" spans="42:52">
      <c r="AP3097" s="1855">
        <f t="shared" si="505"/>
        <v>44903</v>
      </c>
      <c r="AQ3097" s="925" t="str">
        <f t="shared" si="507"/>
        <v/>
      </c>
      <c r="AR3097" s="1856" t="str">
        <f t="shared" si="506"/>
        <v/>
      </c>
      <c r="AS3097" s="927">
        <v>8</v>
      </c>
      <c r="AT3097" s="1856">
        <f t="shared" si="499"/>
        <v>44903.28125</v>
      </c>
      <c r="AU3097" s="1856">
        <f t="shared" si="500"/>
        <v>44903.32430555555</v>
      </c>
      <c r="AV3097" s="1856">
        <f t="shared" si="501"/>
        <v>44903.725000000006</v>
      </c>
      <c r="AW3097" s="1856">
        <f t="shared" si="502"/>
        <v>44903.768055555556</v>
      </c>
      <c r="AX3097" s="1856">
        <f t="shared" si="503"/>
        <v>44903.736805555556</v>
      </c>
      <c r="AY3097" s="1856">
        <f t="shared" si="504"/>
        <v>44903.350000000006</v>
      </c>
      <c r="AZ3097" s="1853">
        <v>1</v>
      </c>
    </row>
    <row r="3098" spans="42:52">
      <c r="AP3098" s="1855">
        <f t="shared" si="505"/>
        <v>44903</v>
      </c>
      <c r="AQ3098" s="925" t="str">
        <f t="shared" si="507"/>
        <v/>
      </c>
      <c r="AR3098" s="1856" t="str">
        <f t="shared" si="506"/>
        <v/>
      </c>
      <c r="AS3098" s="927" t="s">
        <v>252</v>
      </c>
      <c r="AT3098" s="1856" t="str">
        <f t="shared" si="499"/>
        <v/>
      </c>
      <c r="AU3098" s="1856" t="str">
        <f t="shared" si="500"/>
        <v/>
      </c>
      <c r="AV3098" s="1856" t="str">
        <f t="shared" si="501"/>
        <v/>
      </c>
      <c r="AW3098" s="1856" t="str">
        <f t="shared" si="502"/>
        <v/>
      </c>
      <c r="AX3098" s="1856" t="str">
        <f t="shared" si="503"/>
        <v/>
      </c>
      <c r="AY3098" s="1856" t="str">
        <f t="shared" si="504"/>
        <v/>
      </c>
    </row>
    <row r="3099" spans="42:52">
      <c r="AP3099" s="1855">
        <f t="shared" si="505"/>
        <v>44903</v>
      </c>
      <c r="AQ3099" s="925" t="str">
        <f t="shared" si="507"/>
        <v/>
      </c>
      <c r="AR3099" s="1856" t="str">
        <f t="shared" si="506"/>
        <v/>
      </c>
      <c r="AT3099" s="1856" t="str">
        <f t="shared" si="499"/>
        <v/>
      </c>
      <c r="AU3099" s="1856" t="str">
        <f t="shared" si="500"/>
        <v/>
      </c>
      <c r="AV3099" s="1856" t="str">
        <f t="shared" si="501"/>
        <v/>
      </c>
      <c r="AW3099" s="1856" t="str">
        <f t="shared" si="502"/>
        <v/>
      </c>
      <c r="AX3099" s="1856" t="str">
        <f t="shared" si="503"/>
        <v/>
      </c>
      <c r="AY3099" s="1856" t="str">
        <f t="shared" si="504"/>
        <v/>
      </c>
    </row>
    <row r="3100" spans="42:52">
      <c r="AP3100" s="1855">
        <f t="shared" si="505"/>
        <v>44903</v>
      </c>
      <c r="AQ3100" s="925" t="str">
        <f t="shared" si="507"/>
        <v>BMNT</v>
      </c>
      <c r="AR3100" s="1856">
        <f t="shared" si="506"/>
        <v>44903.28125</v>
      </c>
      <c r="AS3100" s="927" t="s">
        <v>1299</v>
      </c>
      <c r="AT3100" s="1856" t="str">
        <f t="shared" ref="AT3100:AT3163" si="508">IF(ISNUMBER(AS3100),INDEX(AR3101:AR3111,MATCH($AT$27,AQ3101:AQ3111,0)),"")</f>
        <v/>
      </c>
      <c r="AU3100" s="1856" t="str">
        <f t="shared" ref="AU3100:AU3163" si="509">IF(AT3100="","",INDEX(AR3101:AR3111,MATCH($AU$27,AQ3101:AQ3111,0)))</f>
        <v/>
      </c>
      <c r="AV3100" s="1856" t="str">
        <f t="shared" ref="AV3100:AV3163" si="510">IF(AT3100="","",INDEX(AR3101:AR3111,MATCH($AV$27,AQ3101:AQ3111,0)))</f>
        <v/>
      </c>
      <c r="AW3100" s="1856" t="str">
        <f t="shared" ref="AW3100:AW3163" si="511">IF(AT3100="","",INDEX(AR3101:AR3111,MATCH($AW$27,AQ3101:AQ3111,0)))</f>
        <v/>
      </c>
      <c r="AX3100" s="1856" t="str">
        <f t="shared" ref="AX3100:AX3163" si="512">IF(AT3100="","",INDEX(AR3101:AR3111,MATCH($AX$27,AQ3101:AQ3111,0)))</f>
        <v/>
      </c>
      <c r="AY3100" s="1856" t="str">
        <f t="shared" ref="AY3100:AY3163" si="513">IF(AT3100="","",INDEX(AR3101:AR3111,MATCH($AY$27,AQ3101:AQ3111,0)))</f>
        <v/>
      </c>
    </row>
    <row r="3101" spans="42:52">
      <c r="AP3101" s="1855">
        <f t="shared" si="505"/>
        <v>44903</v>
      </c>
      <c r="AQ3101" s="925" t="str">
        <f t="shared" si="507"/>
        <v>SR</v>
      </c>
      <c r="AR3101" s="1856">
        <f t="shared" si="506"/>
        <v>44903.32430555555</v>
      </c>
      <c r="AS3101" s="927" t="s">
        <v>1265</v>
      </c>
      <c r="AT3101" s="1856" t="str">
        <f t="shared" si="508"/>
        <v/>
      </c>
      <c r="AU3101" s="1856" t="str">
        <f t="shared" si="509"/>
        <v/>
      </c>
      <c r="AV3101" s="1856" t="str">
        <f t="shared" si="510"/>
        <v/>
      </c>
      <c r="AW3101" s="1856" t="str">
        <f t="shared" si="511"/>
        <v/>
      </c>
      <c r="AX3101" s="1856" t="str">
        <f t="shared" si="512"/>
        <v/>
      </c>
      <c r="AY3101" s="1856" t="str">
        <f t="shared" si="513"/>
        <v/>
      </c>
    </row>
    <row r="3102" spans="42:52">
      <c r="AP3102" s="1855">
        <f t="shared" si="505"/>
        <v>44903</v>
      </c>
      <c r="AQ3102" s="925" t="str">
        <f t="shared" si="507"/>
        <v>MS</v>
      </c>
      <c r="AR3102" s="1856">
        <f t="shared" si="506"/>
        <v>44903.350000000006</v>
      </c>
      <c r="AS3102" s="927" t="s">
        <v>1379</v>
      </c>
      <c r="AT3102" s="1856" t="str">
        <f t="shared" si="508"/>
        <v/>
      </c>
      <c r="AU3102" s="1856" t="str">
        <f t="shared" si="509"/>
        <v/>
      </c>
      <c r="AV3102" s="1856" t="str">
        <f t="shared" si="510"/>
        <v/>
      </c>
      <c r="AW3102" s="1856" t="str">
        <f t="shared" si="511"/>
        <v/>
      </c>
      <c r="AX3102" s="1856" t="str">
        <f t="shared" si="512"/>
        <v/>
      </c>
      <c r="AY3102" s="1856" t="str">
        <f t="shared" si="513"/>
        <v/>
      </c>
    </row>
    <row r="3103" spans="42:52">
      <c r="AP3103" s="1855">
        <f t="shared" si="505"/>
        <v>44903</v>
      </c>
      <c r="AQ3103" s="925" t="str">
        <f t="shared" si="507"/>
        <v>SS</v>
      </c>
      <c r="AR3103" s="1856">
        <f t="shared" si="506"/>
        <v>44903.725000000006</v>
      </c>
      <c r="AS3103" s="927" t="s">
        <v>2400</v>
      </c>
      <c r="AT3103" s="1856" t="str">
        <f t="shared" si="508"/>
        <v/>
      </c>
      <c r="AU3103" s="1856" t="str">
        <f t="shared" si="509"/>
        <v/>
      </c>
      <c r="AV3103" s="1856" t="str">
        <f t="shared" si="510"/>
        <v/>
      </c>
      <c r="AW3103" s="1856" t="str">
        <f t="shared" si="511"/>
        <v/>
      </c>
      <c r="AX3103" s="1856" t="str">
        <f t="shared" si="512"/>
        <v/>
      </c>
      <c r="AY3103" s="1856" t="str">
        <f t="shared" si="513"/>
        <v/>
      </c>
    </row>
    <row r="3104" spans="42:52">
      <c r="AP3104" s="1855">
        <f t="shared" si="505"/>
        <v>44903</v>
      </c>
      <c r="AQ3104" s="925" t="str">
        <f t="shared" si="507"/>
        <v>MR</v>
      </c>
      <c r="AR3104" s="1856">
        <f t="shared" si="506"/>
        <v>44903.736805555556</v>
      </c>
      <c r="AS3104" s="927" t="s">
        <v>2402</v>
      </c>
      <c r="AT3104" s="1856" t="str">
        <f t="shared" si="508"/>
        <v/>
      </c>
      <c r="AU3104" s="1856" t="str">
        <f t="shared" si="509"/>
        <v/>
      </c>
      <c r="AV3104" s="1856" t="str">
        <f t="shared" si="510"/>
        <v/>
      </c>
      <c r="AW3104" s="1856" t="str">
        <f t="shared" si="511"/>
        <v/>
      </c>
      <c r="AX3104" s="1856" t="str">
        <f t="shared" si="512"/>
        <v/>
      </c>
      <c r="AY3104" s="1856" t="str">
        <f t="shared" si="513"/>
        <v/>
      </c>
    </row>
    <row r="3105" spans="42:52">
      <c r="AP3105" s="1855">
        <f t="shared" si="505"/>
        <v>44903</v>
      </c>
      <c r="AQ3105" s="925" t="str">
        <f t="shared" si="507"/>
        <v>EENT</v>
      </c>
      <c r="AR3105" s="1856">
        <f t="shared" si="506"/>
        <v>44903.768055555556</v>
      </c>
      <c r="AS3105" s="927" t="s">
        <v>2392</v>
      </c>
      <c r="AT3105" s="1856" t="str">
        <f t="shared" si="508"/>
        <v/>
      </c>
      <c r="AU3105" s="1856" t="str">
        <f t="shared" si="509"/>
        <v/>
      </c>
      <c r="AV3105" s="1856" t="str">
        <f t="shared" si="510"/>
        <v/>
      </c>
      <c r="AW3105" s="1856" t="str">
        <f t="shared" si="511"/>
        <v/>
      </c>
      <c r="AX3105" s="1856" t="str">
        <f t="shared" si="512"/>
        <v/>
      </c>
      <c r="AY3105" s="1856" t="str">
        <f t="shared" si="513"/>
        <v/>
      </c>
    </row>
    <row r="3106" spans="42:52">
      <c r="AP3106" s="1855">
        <f t="shared" si="505"/>
        <v>44904</v>
      </c>
      <c r="AQ3106" s="925" t="str">
        <f t="shared" si="507"/>
        <v/>
      </c>
      <c r="AR3106" s="1856" t="str">
        <f t="shared" si="506"/>
        <v/>
      </c>
      <c r="AS3106" s="927">
        <v>9</v>
      </c>
      <c r="AT3106" s="1856">
        <f t="shared" si="508"/>
        <v>44904.28125</v>
      </c>
      <c r="AU3106" s="1856">
        <f t="shared" si="509"/>
        <v>44904.32430555555</v>
      </c>
      <c r="AV3106" s="1856">
        <f t="shared" si="510"/>
        <v>44904.725000000006</v>
      </c>
      <c r="AW3106" s="1856">
        <f t="shared" si="511"/>
        <v>44904.768055555556</v>
      </c>
      <c r="AX3106" s="1856">
        <f t="shared" si="512"/>
        <v>44904.770833333336</v>
      </c>
      <c r="AY3106" s="1856">
        <f t="shared" si="513"/>
        <v>44904.38958333333</v>
      </c>
      <c r="AZ3106" s="1853">
        <v>0.99</v>
      </c>
    </row>
    <row r="3107" spans="42:52">
      <c r="AP3107" s="1855">
        <f t="shared" si="505"/>
        <v>44904</v>
      </c>
      <c r="AQ3107" s="925" t="str">
        <f t="shared" si="507"/>
        <v/>
      </c>
      <c r="AR3107" s="1856" t="str">
        <f t="shared" si="506"/>
        <v/>
      </c>
      <c r="AS3107" s="927" t="s">
        <v>252</v>
      </c>
      <c r="AT3107" s="1856" t="str">
        <f t="shared" si="508"/>
        <v/>
      </c>
      <c r="AU3107" s="1856" t="str">
        <f t="shared" si="509"/>
        <v/>
      </c>
      <c r="AV3107" s="1856" t="str">
        <f t="shared" si="510"/>
        <v/>
      </c>
      <c r="AW3107" s="1856" t="str">
        <f t="shared" si="511"/>
        <v/>
      </c>
      <c r="AX3107" s="1856" t="str">
        <f t="shared" si="512"/>
        <v/>
      </c>
      <c r="AY3107" s="1856" t="str">
        <f t="shared" si="513"/>
        <v/>
      </c>
    </row>
    <row r="3108" spans="42:52">
      <c r="AP3108" s="1855">
        <f t="shared" si="505"/>
        <v>44904</v>
      </c>
      <c r="AQ3108" s="925" t="str">
        <f t="shared" si="507"/>
        <v/>
      </c>
      <c r="AR3108" s="1856" t="str">
        <f t="shared" si="506"/>
        <v/>
      </c>
      <c r="AT3108" s="1856" t="str">
        <f t="shared" si="508"/>
        <v/>
      </c>
      <c r="AU3108" s="1856" t="str">
        <f t="shared" si="509"/>
        <v/>
      </c>
      <c r="AV3108" s="1856" t="str">
        <f t="shared" si="510"/>
        <v/>
      </c>
      <c r="AW3108" s="1856" t="str">
        <f t="shared" si="511"/>
        <v/>
      </c>
      <c r="AX3108" s="1856" t="str">
        <f t="shared" si="512"/>
        <v/>
      </c>
      <c r="AY3108" s="1856" t="str">
        <f t="shared" si="513"/>
        <v/>
      </c>
    </row>
    <row r="3109" spans="42:52">
      <c r="AP3109" s="1855">
        <f t="shared" ref="AP3109:AP3172" si="514">IF(ISNUMBER(AS3109),AP3108+1,AP3108)</f>
        <v>44904</v>
      </c>
      <c r="AQ3109" s="925" t="str">
        <f t="shared" si="507"/>
        <v>BMNT</v>
      </c>
      <c r="AR3109" s="1856">
        <f t="shared" si="506"/>
        <v>44904.28125</v>
      </c>
      <c r="AS3109" s="927" t="s">
        <v>1299</v>
      </c>
      <c r="AT3109" s="1856" t="str">
        <f t="shared" si="508"/>
        <v/>
      </c>
      <c r="AU3109" s="1856" t="str">
        <f t="shared" si="509"/>
        <v/>
      </c>
      <c r="AV3109" s="1856" t="str">
        <f t="shared" si="510"/>
        <v/>
      </c>
      <c r="AW3109" s="1856" t="str">
        <f t="shared" si="511"/>
        <v/>
      </c>
      <c r="AX3109" s="1856" t="str">
        <f t="shared" si="512"/>
        <v/>
      </c>
      <c r="AY3109" s="1856" t="str">
        <f t="shared" si="513"/>
        <v/>
      </c>
    </row>
    <row r="3110" spans="42:52">
      <c r="AP3110" s="1855">
        <f t="shared" si="514"/>
        <v>44904</v>
      </c>
      <c r="AQ3110" s="925" t="str">
        <f t="shared" si="507"/>
        <v>SR</v>
      </c>
      <c r="AR3110" s="1856">
        <f t="shared" si="506"/>
        <v>44904.32430555555</v>
      </c>
      <c r="AS3110" s="927" t="s">
        <v>1265</v>
      </c>
      <c r="AT3110" s="1856" t="str">
        <f t="shared" si="508"/>
        <v/>
      </c>
      <c r="AU3110" s="1856" t="str">
        <f t="shared" si="509"/>
        <v/>
      </c>
      <c r="AV3110" s="1856" t="str">
        <f t="shared" si="510"/>
        <v/>
      </c>
      <c r="AW3110" s="1856" t="str">
        <f t="shared" si="511"/>
        <v/>
      </c>
      <c r="AX3110" s="1856" t="str">
        <f t="shared" si="512"/>
        <v/>
      </c>
      <c r="AY3110" s="1856" t="str">
        <f t="shared" si="513"/>
        <v/>
      </c>
    </row>
    <row r="3111" spans="42:52">
      <c r="AP3111" s="1855">
        <f t="shared" si="514"/>
        <v>44904</v>
      </c>
      <c r="AQ3111" s="925" t="str">
        <f t="shared" si="507"/>
        <v>MS</v>
      </c>
      <c r="AR3111" s="1856">
        <f t="shared" si="506"/>
        <v>44904.38958333333</v>
      </c>
      <c r="AS3111" s="927" t="s">
        <v>2403</v>
      </c>
      <c r="AT3111" s="1856" t="str">
        <f t="shared" si="508"/>
        <v/>
      </c>
      <c r="AU3111" s="1856" t="str">
        <f t="shared" si="509"/>
        <v/>
      </c>
      <c r="AV3111" s="1856" t="str">
        <f t="shared" si="510"/>
        <v/>
      </c>
      <c r="AW3111" s="1856" t="str">
        <f t="shared" si="511"/>
        <v/>
      </c>
      <c r="AX3111" s="1856" t="str">
        <f t="shared" si="512"/>
        <v/>
      </c>
      <c r="AY3111" s="1856" t="str">
        <f t="shared" si="513"/>
        <v/>
      </c>
    </row>
    <row r="3112" spans="42:52">
      <c r="AP3112" s="1855">
        <f t="shared" si="514"/>
        <v>44904</v>
      </c>
      <c r="AQ3112" s="925" t="str">
        <f t="shared" si="507"/>
        <v>SS</v>
      </c>
      <c r="AR3112" s="1856">
        <f t="shared" si="506"/>
        <v>44904.725000000006</v>
      </c>
      <c r="AS3112" s="927" t="s">
        <v>2400</v>
      </c>
      <c r="AT3112" s="1856" t="str">
        <f t="shared" si="508"/>
        <v/>
      </c>
      <c r="AU3112" s="1856" t="str">
        <f t="shared" si="509"/>
        <v/>
      </c>
      <c r="AV3112" s="1856" t="str">
        <f t="shared" si="510"/>
        <v/>
      </c>
      <c r="AW3112" s="1856" t="str">
        <f t="shared" si="511"/>
        <v/>
      </c>
      <c r="AX3112" s="1856" t="str">
        <f t="shared" si="512"/>
        <v/>
      </c>
      <c r="AY3112" s="1856" t="str">
        <f t="shared" si="513"/>
        <v/>
      </c>
    </row>
    <row r="3113" spans="42:52">
      <c r="AP3113" s="1855">
        <f t="shared" si="514"/>
        <v>44904</v>
      </c>
      <c r="AQ3113" s="925" t="str">
        <f t="shared" si="507"/>
        <v>EENT</v>
      </c>
      <c r="AR3113" s="1856">
        <f t="shared" ref="AR3113:AR3176" si="515">IF(NOT(ISNUMBER(FIND(":",AS3113))),"",IF(ISNUMBER(FIND(" none",AS3113)),"NONE",AP3113+LEFT(RIGHT(AS3113,5),2)/24+RIGHT(AS3113,2)/1440))</f>
        <v>44904.768055555556</v>
      </c>
      <c r="AS3113" s="927" t="s">
        <v>2392</v>
      </c>
      <c r="AT3113" s="1856" t="str">
        <f t="shared" si="508"/>
        <v/>
      </c>
      <c r="AU3113" s="1856" t="str">
        <f t="shared" si="509"/>
        <v/>
      </c>
      <c r="AV3113" s="1856" t="str">
        <f t="shared" si="510"/>
        <v/>
      </c>
      <c r="AW3113" s="1856" t="str">
        <f t="shared" si="511"/>
        <v/>
      </c>
      <c r="AX3113" s="1856" t="str">
        <f t="shared" si="512"/>
        <v/>
      </c>
      <c r="AY3113" s="1856" t="str">
        <f t="shared" si="513"/>
        <v/>
      </c>
    </row>
    <row r="3114" spans="42:52">
      <c r="AP3114" s="1855">
        <f t="shared" si="514"/>
        <v>44904</v>
      </c>
      <c r="AQ3114" s="925" t="str">
        <f t="shared" si="507"/>
        <v>MR</v>
      </c>
      <c r="AR3114" s="1856">
        <f t="shared" si="515"/>
        <v>44904.770833333336</v>
      </c>
      <c r="AS3114" s="927" t="s">
        <v>2404</v>
      </c>
      <c r="AT3114" s="1856" t="str">
        <f t="shared" si="508"/>
        <v/>
      </c>
      <c r="AU3114" s="1856" t="str">
        <f t="shared" si="509"/>
        <v/>
      </c>
      <c r="AV3114" s="1856" t="str">
        <f t="shared" si="510"/>
        <v/>
      </c>
      <c r="AW3114" s="1856" t="str">
        <f t="shared" si="511"/>
        <v/>
      </c>
      <c r="AX3114" s="1856" t="str">
        <f t="shared" si="512"/>
        <v/>
      </c>
      <c r="AY3114" s="1856" t="str">
        <f t="shared" si="513"/>
        <v/>
      </c>
    </row>
    <row r="3115" spans="42:52">
      <c r="AP3115" s="1855">
        <f t="shared" si="514"/>
        <v>44905</v>
      </c>
      <c r="AQ3115" s="925" t="str">
        <f t="shared" si="507"/>
        <v/>
      </c>
      <c r="AR3115" s="1856" t="str">
        <f t="shared" si="515"/>
        <v/>
      </c>
      <c r="AS3115" s="927">
        <v>10</v>
      </c>
      <c r="AT3115" s="1856">
        <f t="shared" si="508"/>
        <v>44905.281944444447</v>
      </c>
      <c r="AU3115" s="1856">
        <f t="shared" si="509"/>
        <v>44905.324999999997</v>
      </c>
      <c r="AV3115" s="1856">
        <f t="shared" si="510"/>
        <v>44905.725694444445</v>
      </c>
      <c r="AW3115" s="1856">
        <f t="shared" si="511"/>
        <v>44905.768750000003</v>
      </c>
      <c r="AX3115" s="1856">
        <f t="shared" si="512"/>
        <v>44905.809027777774</v>
      </c>
      <c r="AY3115" s="1856">
        <f t="shared" si="513"/>
        <v>44905.424305555556</v>
      </c>
      <c r="AZ3115" s="1853">
        <v>0.96</v>
      </c>
    </row>
    <row r="3116" spans="42:52">
      <c r="AP3116" s="1855">
        <f t="shared" si="514"/>
        <v>44905</v>
      </c>
      <c r="AQ3116" s="925" t="str">
        <f t="shared" si="507"/>
        <v/>
      </c>
      <c r="AR3116" s="1856" t="str">
        <f t="shared" si="515"/>
        <v/>
      </c>
      <c r="AS3116" s="927" t="s">
        <v>252</v>
      </c>
      <c r="AT3116" s="1856" t="str">
        <f t="shared" si="508"/>
        <v/>
      </c>
      <c r="AU3116" s="1856" t="str">
        <f t="shared" si="509"/>
        <v/>
      </c>
      <c r="AV3116" s="1856" t="str">
        <f t="shared" si="510"/>
        <v/>
      </c>
      <c r="AW3116" s="1856" t="str">
        <f t="shared" si="511"/>
        <v/>
      </c>
      <c r="AX3116" s="1856" t="str">
        <f t="shared" si="512"/>
        <v/>
      </c>
      <c r="AY3116" s="1856" t="str">
        <f t="shared" si="513"/>
        <v/>
      </c>
    </row>
    <row r="3117" spans="42:52">
      <c r="AP3117" s="1855">
        <f t="shared" si="514"/>
        <v>44905</v>
      </c>
      <c r="AQ3117" s="925" t="str">
        <f t="shared" si="507"/>
        <v/>
      </c>
      <c r="AR3117" s="1856" t="str">
        <f t="shared" si="515"/>
        <v/>
      </c>
      <c r="AT3117" s="1856" t="str">
        <f t="shared" si="508"/>
        <v/>
      </c>
      <c r="AU3117" s="1856" t="str">
        <f t="shared" si="509"/>
        <v/>
      </c>
      <c r="AV3117" s="1856" t="str">
        <f t="shared" si="510"/>
        <v/>
      </c>
      <c r="AW3117" s="1856" t="str">
        <f t="shared" si="511"/>
        <v/>
      </c>
      <c r="AX3117" s="1856" t="str">
        <f t="shared" si="512"/>
        <v/>
      </c>
      <c r="AY3117" s="1856" t="str">
        <f t="shared" si="513"/>
        <v/>
      </c>
    </row>
    <row r="3118" spans="42:52">
      <c r="AP3118" s="1855">
        <f t="shared" si="514"/>
        <v>44905</v>
      </c>
      <c r="AQ3118" s="925" t="str">
        <f t="shared" si="507"/>
        <v>BMNT</v>
      </c>
      <c r="AR3118" s="1856">
        <f t="shared" si="515"/>
        <v>44905.281944444447</v>
      </c>
      <c r="AS3118" s="927" t="s">
        <v>1290</v>
      </c>
      <c r="AT3118" s="1856" t="str">
        <f t="shared" si="508"/>
        <v/>
      </c>
      <c r="AU3118" s="1856" t="str">
        <f t="shared" si="509"/>
        <v/>
      </c>
      <c r="AV3118" s="1856" t="str">
        <f t="shared" si="510"/>
        <v/>
      </c>
      <c r="AW3118" s="1856" t="str">
        <f t="shared" si="511"/>
        <v/>
      </c>
      <c r="AX3118" s="1856" t="str">
        <f t="shared" si="512"/>
        <v/>
      </c>
      <c r="AY3118" s="1856" t="str">
        <f t="shared" si="513"/>
        <v/>
      </c>
    </row>
    <row r="3119" spans="42:52">
      <c r="AP3119" s="1855">
        <f t="shared" si="514"/>
        <v>44905</v>
      </c>
      <c r="AQ3119" s="925" t="str">
        <f t="shared" si="507"/>
        <v>SR</v>
      </c>
      <c r="AR3119" s="1856">
        <f t="shared" si="515"/>
        <v>44905.324999999997</v>
      </c>
      <c r="AS3119" s="927" t="s">
        <v>1245</v>
      </c>
      <c r="AT3119" s="1856" t="str">
        <f t="shared" si="508"/>
        <v/>
      </c>
      <c r="AU3119" s="1856" t="str">
        <f t="shared" si="509"/>
        <v/>
      </c>
      <c r="AV3119" s="1856" t="str">
        <f t="shared" si="510"/>
        <v/>
      </c>
      <c r="AW3119" s="1856" t="str">
        <f t="shared" si="511"/>
        <v/>
      </c>
      <c r="AX3119" s="1856" t="str">
        <f t="shared" si="512"/>
        <v/>
      </c>
      <c r="AY3119" s="1856" t="str">
        <f t="shared" si="513"/>
        <v/>
      </c>
    </row>
    <row r="3120" spans="42:52">
      <c r="AP3120" s="1855">
        <f t="shared" si="514"/>
        <v>44905</v>
      </c>
      <c r="AQ3120" s="925" t="str">
        <f t="shared" si="507"/>
        <v>MS</v>
      </c>
      <c r="AR3120" s="1856">
        <f t="shared" si="515"/>
        <v>44905.424305555556</v>
      </c>
      <c r="AS3120" s="927" t="s">
        <v>1401</v>
      </c>
      <c r="AT3120" s="1856" t="str">
        <f t="shared" si="508"/>
        <v/>
      </c>
      <c r="AU3120" s="1856" t="str">
        <f t="shared" si="509"/>
        <v/>
      </c>
      <c r="AV3120" s="1856" t="str">
        <f t="shared" si="510"/>
        <v/>
      </c>
      <c r="AW3120" s="1856" t="str">
        <f t="shared" si="511"/>
        <v/>
      </c>
      <c r="AX3120" s="1856" t="str">
        <f t="shared" si="512"/>
        <v/>
      </c>
      <c r="AY3120" s="1856" t="str">
        <f t="shared" si="513"/>
        <v/>
      </c>
    </row>
    <row r="3121" spans="42:52">
      <c r="AP3121" s="1855">
        <f t="shared" si="514"/>
        <v>44905</v>
      </c>
      <c r="AQ3121" s="925" t="str">
        <f t="shared" si="507"/>
        <v>SS</v>
      </c>
      <c r="AR3121" s="1856">
        <f t="shared" si="515"/>
        <v>44905.725694444445</v>
      </c>
      <c r="AS3121" s="927" t="s">
        <v>2389</v>
      </c>
      <c r="AT3121" s="1856" t="str">
        <f t="shared" si="508"/>
        <v/>
      </c>
      <c r="AU3121" s="1856" t="str">
        <f t="shared" si="509"/>
        <v/>
      </c>
      <c r="AV3121" s="1856" t="str">
        <f t="shared" si="510"/>
        <v/>
      </c>
      <c r="AW3121" s="1856" t="str">
        <f t="shared" si="511"/>
        <v/>
      </c>
      <c r="AX3121" s="1856" t="str">
        <f t="shared" si="512"/>
        <v/>
      </c>
      <c r="AY3121" s="1856" t="str">
        <f t="shared" si="513"/>
        <v/>
      </c>
    </row>
    <row r="3122" spans="42:52">
      <c r="AP3122" s="1855">
        <f t="shared" si="514"/>
        <v>44905</v>
      </c>
      <c r="AQ3122" s="925" t="str">
        <f t="shared" si="507"/>
        <v>EENT</v>
      </c>
      <c r="AR3122" s="1856">
        <f t="shared" si="515"/>
        <v>44905.768750000003</v>
      </c>
      <c r="AS3122" s="927" t="s">
        <v>2382</v>
      </c>
      <c r="AT3122" s="1856" t="str">
        <f t="shared" si="508"/>
        <v/>
      </c>
      <c r="AU3122" s="1856" t="str">
        <f t="shared" si="509"/>
        <v/>
      </c>
      <c r="AV3122" s="1856" t="str">
        <f t="shared" si="510"/>
        <v/>
      </c>
      <c r="AW3122" s="1856" t="str">
        <f t="shared" si="511"/>
        <v/>
      </c>
      <c r="AX3122" s="1856" t="str">
        <f t="shared" si="512"/>
        <v/>
      </c>
      <c r="AY3122" s="1856" t="str">
        <f t="shared" si="513"/>
        <v/>
      </c>
    </row>
    <row r="3123" spans="42:52">
      <c r="AP3123" s="1855">
        <f t="shared" si="514"/>
        <v>44905</v>
      </c>
      <c r="AQ3123" s="925" t="str">
        <f t="shared" si="507"/>
        <v>MR</v>
      </c>
      <c r="AR3123" s="1856">
        <f t="shared" si="515"/>
        <v>44905.809027777774</v>
      </c>
      <c r="AS3123" s="927" t="s">
        <v>1536</v>
      </c>
      <c r="AT3123" s="1856" t="str">
        <f t="shared" si="508"/>
        <v/>
      </c>
      <c r="AU3123" s="1856" t="str">
        <f t="shared" si="509"/>
        <v/>
      </c>
      <c r="AV3123" s="1856" t="str">
        <f t="shared" si="510"/>
        <v/>
      </c>
      <c r="AW3123" s="1856" t="str">
        <f t="shared" si="511"/>
        <v/>
      </c>
      <c r="AX3123" s="1856" t="str">
        <f t="shared" si="512"/>
        <v/>
      </c>
      <c r="AY3123" s="1856" t="str">
        <f t="shared" si="513"/>
        <v/>
      </c>
    </row>
    <row r="3124" spans="42:52">
      <c r="AP3124" s="1855">
        <f t="shared" si="514"/>
        <v>44906</v>
      </c>
      <c r="AQ3124" s="925" t="str">
        <f t="shared" ref="AQ3124:AQ3187" si="516">IF(NOT(ISNUMBER(FIND(":",AS3124))),"",IF(ISNUMBER(FIND("Sunr",AS3124)),"SR", IF(ISNUMBER(FIND("Suns",AS3124)),"SS",IF(ISNUMBER(FIND("Moonr",AS3124)),"MR",IF(ISNUMBER(FIND("Moons",AS3124)),"MS",IF(ISNUMBER(FIND("Twi",AS3124)),IF(HOUR(AR3124)&lt;12,"BMNT","EENT")))))))</f>
        <v/>
      </c>
      <c r="AR3124" s="1856" t="str">
        <f t="shared" si="515"/>
        <v/>
      </c>
      <c r="AS3124" s="927">
        <v>11</v>
      </c>
      <c r="AT3124" s="1856">
        <f t="shared" si="508"/>
        <v>44906.282638888886</v>
      </c>
      <c r="AU3124" s="1856">
        <f t="shared" si="509"/>
        <v>44906.325694444444</v>
      </c>
      <c r="AV3124" s="1856">
        <f t="shared" si="510"/>
        <v>44906.725694444445</v>
      </c>
      <c r="AW3124" s="1856">
        <f t="shared" si="511"/>
        <v>44906.768750000003</v>
      </c>
      <c r="AX3124" s="1856">
        <f t="shared" si="512"/>
        <v>44906.849305555559</v>
      </c>
      <c r="AY3124" s="1856">
        <f t="shared" si="513"/>
        <v>44906.454166666663</v>
      </c>
      <c r="AZ3124" s="1853">
        <v>0.92</v>
      </c>
    </row>
    <row r="3125" spans="42:52">
      <c r="AP3125" s="1855">
        <f t="shared" si="514"/>
        <v>44906</v>
      </c>
      <c r="AQ3125" s="925" t="str">
        <f t="shared" si="516"/>
        <v/>
      </c>
      <c r="AR3125" s="1856" t="str">
        <f t="shared" si="515"/>
        <v/>
      </c>
      <c r="AS3125" s="927" t="s">
        <v>252</v>
      </c>
      <c r="AT3125" s="1856" t="str">
        <f t="shared" si="508"/>
        <v/>
      </c>
      <c r="AU3125" s="1856" t="str">
        <f t="shared" si="509"/>
        <v/>
      </c>
      <c r="AV3125" s="1856" t="str">
        <f t="shared" si="510"/>
        <v/>
      </c>
      <c r="AW3125" s="1856" t="str">
        <f t="shared" si="511"/>
        <v/>
      </c>
      <c r="AX3125" s="1856" t="str">
        <f t="shared" si="512"/>
        <v/>
      </c>
      <c r="AY3125" s="1856" t="str">
        <f t="shared" si="513"/>
        <v/>
      </c>
    </row>
    <row r="3126" spans="42:52">
      <c r="AP3126" s="1855">
        <f t="shared" si="514"/>
        <v>44906</v>
      </c>
      <c r="AQ3126" s="925" t="str">
        <f t="shared" si="516"/>
        <v/>
      </c>
      <c r="AR3126" s="1856" t="str">
        <f t="shared" si="515"/>
        <v/>
      </c>
      <c r="AT3126" s="1856" t="str">
        <f t="shared" si="508"/>
        <v/>
      </c>
      <c r="AU3126" s="1856" t="str">
        <f t="shared" si="509"/>
        <v/>
      </c>
      <c r="AV3126" s="1856" t="str">
        <f t="shared" si="510"/>
        <v/>
      </c>
      <c r="AW3126" s="1856" t="str">
        <f t="shared" si="511"/>
        <v/>
      </c>
      <c r="AX3126" s="1856" t="str">
        <f t="shared" si="512"/>
        <v/>
      </c>
      <c r="AY3126" s="1856" t="str">
        <f t="shared" si="513"/>
        <v/>
      </c>
    </row>
    <row r="3127" spans="42:52">
      <c r="AP3127" s="1855">
        <f t="shared" si="514"/>
        <v>44906</v>
      </c>
      <c r="AQ3127" s="925" t="str">
        <f t="shared" si="516"/>
        <v>BMNT</v>
      </c>
      <c r="AR3127" s="1856">
        <f t="shared" si="515"/>
        <v>44906.282638888886</v>
      </c>
      <c r="AS3127" s="927" t="s">
        <v>1277</v>
      </c>
      <c r="AT3127" s="1856" t="str">
        <f t="shared" si="508"/>
        <v/>
      </c>
      <c r="AU3127" s="1856" t="str">
        <f t="shared" si="509"/>
        <v/>
      </c>
      <c r="AV3127" s="1856" t="str">
        <f t="shared" si="510"/>
        <v/>
      </c>
      <c r="AW3127" s="1856" t="str">
        <f t="shared" si="511"/>
        <v/>
      </c>
      <c r="AX3127" s="1856" t="str">
        <f t="shared" si="512"/>
        <v/>
      </c>
      <c r="AY3127" s="1856" t="str">
        <f t="shared" si="513"/>
        <v/>
      </c>
    </row>
    <row r="3128" spans="42:52">
      <c r="AP3128" s="1855">
        <f t="shared" si="514"/>
        <v>44906</v>
      </c>
      <c r="AQ3128" s="925" t="str">
        <f t="shared" si="516"/>
        <v>SR</v>
      </c>
      <c r="AR3128" s="1856">
        <f t="shared" si="515"/>
        <v>44906.325694444444</v>
      </c>
      <c r="AS3128" s="927" t="s">
        <v>1235</v>
      </c>
      <c r="AT3128" s="1856" t="str">
        <f t="shared" si="508"/>
        <v/>
      </c>
      <c r="AU3128" s="1856" t="str">
        <f t="shared" si="509"/>
        <v/>
      </c>
      <c r="AV3128" s="1856" t="str">
        <f t="shared" si="510"/>
        <v/>
      </c>
      <c r="AW3128" s="1856" t="str">
        <f t="shared" si="511"/>
        <v/>
      </c>
      <c r="AX3128" s="1856" t="str">
        <f t="shared" si="512"/>
        <v/>
      </c>
      <c r="AY3128" s="1856" t="str">
        <f t="shared" si="513"/>
        <v/>
      </c>
    </row>
    <row r="3129" spans="42:52">
      <c r="AP3129" s="1855">
        <f t="shared" si="514"/>
        <v>44906</v>
      </c>
      <c r="AQ3129" s="925" t="str">
        <f t="shared" si="516"/>
        <v>MS</v>
      </c>
      <c r="AR3129" s="1856">
        <f t="shared" si="515"/>
        <v>44906.454166666663</v>
      </c>
      <c r="AS3129" s="927" t="s">
        <v>1959</v>
      </c>
      <c r="AT3129" s="1856" t="str">
        <f t="shared" si="508"/>
        <v/>
      </c>
      <c r="AU3129" s="1856" t="str">
        <f t="shared" si="509"/>
        <v/>
      </c>
      <c r="AV3129" s="1856" t="str">
        <f t="shared" si="510"/>
        <v/>
      </c>
      <c r="AW3129" s="1856" t="str">
        <f t="shared" si="511"/>
        <v/>
      </c>
      <c r="AX3129" s="1856" t="str">
        <f t="shared" si="512"/>
        <v/>
      </c>
      <c r="AY3129" s="1856" t="str">
        <f t="shared" si="513"/>
        <v/>
      </c>
    </row>
    <row r="3130" spans="42:52">
      <c r="AP3130" s="1855">
        <f t="shared" si="514"/>
        <v>44906</v>
      </c>
      <c r="AQ3130" s="925" t="str">
        <f t="shared" si="516"/>
        <v>SS</v>
      </c>
      <c r="AR3130" s="1856">
        <f t="shared" si="515"/>
        <v>44906.725694444445</v>
      </c>
      <c r="AS3130" s="927" t="s">
        <v>2389</v>
      </c>
      <c r="AT3130" s="1856" t="str">
        <f t="shared" si="508"/>
        <v/>
      </c>
      <c r="AU3130" s="1856" t="str">
        <f t="shared" si="509"/>
        <v/>
      </c>
      <c r="AV3130" s="1856" t="str">
        <f t="shared" si="510"/>
        <v/>
      </c>
      <c r="AW3130" s="1856" t="str">
        <f t="shared" si="511"/>
        <v/>
      </c>
      <c r="AX3130" s="1856" t="str">
        <f t="shared" si="512"/>
        <v/>
      </c>
      <c r="AY3130" s="1856" t="str">
        <f t="shared" si="513"/>
        <v/>
      </c>
    </row>
    <row r="3131" spans="42:52">
      <c r="AP3131" s="1855">
        <f t="shared" si="514"/>
        <v>44906</v>
      </c>
      <c r="AQ3131" s="925" t="str">
        <f t="shared" si="516"/>
        <v>EENT</v>
      </c>
      <c r="AR3131" s="1856">
        <f t="shared" si="515"/>
        <v>44906.768750000003</v>
      </c>
      <c r="AS3131" s="927" t="s">
        <v>2382</v>
      </c>
      <c r="AT3131" s="1856" t="str">
        <f t="shared" si="508"/>
        <v/>
      </c>
      <c r="AU3131" s="1856" t="str">
        <f t="shared" si="509"/>
        <v/>
      </c>
      <c r="AV3131" s="1856" t="str">
        <f t="shared" si="510"/>
        <v/>
      </c>
      <c r="AW3131" s="1856" t="str">
        <f t="shared" si="511"/>
        <v/>
      </c>
      <c r="AX3131" s="1856" t="str">
        <f t="shared" si="512"/>
        <v/>
      </c>
      <c r="AY3131" s="1856" t="str">
        <f t="shared" si="513"/>
        <v/>
      </c>
    </row>
    <row r="3132" spans="42:52">
      <c r="AP3132" s="1855">
        <f t="shared" si="514"/>
        <v>44906</v>
      </c>
      <c r="AQ3132" s="925" t="str">
        <f t="shared" si="516"/>
        <v>MR</v>
      </c>
      <c r="AR3132" s="1856">
        <f t="shared" si="515"/>
        <v>44906.849305555559</v>
      </c>
      <c r="AS3132" s="927" t="s">
        <v>2405</v>
      </c>
      <c r="AT3132" s="1856" t="str">
        <f t="shared" si="508"/>
        <v/>
      </c>
      <c r="AU3132" s="1856" t="str">
        <f t="shared" si="509"/>
        <v/>
      </c>
      <c r="AV3132" s="1856" t="str">
        <f t="shared" si="510"/>
        <v/>
      </c>
      <c r="AW3132" s="1856" t="str">
        <f t="shared" si="511"/>
        <v/>
      </c>
      <c r="AX3132" s="1856" t="str">
        <f t="shared" si="512"/>
        <v/>
      </c>
      <c r="AY3132" s="1856" t="str">
        <f t="shared" si="513"/>
        <v/>
      </c>
    </row>
    <row r="3133" spans="42:52">
      <c r="AP3133" s="1855">
        <f t="shared" si="514"/>
        <v>44907</v>
      </c>
      <c r="AQ3133" s="925" t="str">
        <f t="shared" si="516"/>
        <v/>
      </c>
      <c r="AR3133" s="1856" t="str">
        <f t="shared" si="515"/>
        <v/>
      </c>
      <c r="AS3133" s="927">
        <v>12</v>
      </c>
      <c r="AT3133" s="1856">
        <f t="shared" si="508"/>
        <v>44907.283333333333</v>
      </c>
      <c r="AU3133" s="1856">
        <f t="shared" si="509"/>
        <v>44907.326388888883</v>
      </c>
      <c r="AV3133" s="1856">
        <f t="shared" si="510"/>
        <v>44907.725694444445</v>
      </c>
      <c r="AW3133" s="1856">
        <f t="shared" si="511"/>
        <v>44907.768750000003</v>
      </c>
      <c r="AX3133" s="1856">
        <f t="shared" si="512"/>
        <v>44907.890972222223</v>
      </c>
      <c r="AY3133" s="1856">
        <f t="shared" si="513"/>
        <v>44907.479166666672</v>
      </c>
      <c r="AZ3133" s="1853">
        <v>0.86</v>
      </c>
    </row>
    <row r="3134" spans="42:52">
      <c r="AP3134" s="1855">
        <f t="shared" si="514"/>
        <v>44907</v>
      </c>
      <c r="AQ3134" s="925" t="str">
        <f t="shared" si="516"/>
        <v/>
      </c>
      <c r="AR3134" s="1856" t="str">
        <f t="shared" si="515"/>
        <v/>
      </c>
      <c r="AS3134" s="927" t="s">
        <v>252</v>
      </c>
      <c r="AT3134" s="1856" t="str">
        <f t="shared" si="508"/>
        <v/>
      </c>
      <c r="AU3134" s="1856" t="str">
        <f t="shared" si="509"/>
        <v/>
      </c>
      <c r="AV3134" s="1856" t="str">
        <f t="shared" si="510"/>
        <v/>
      </c>
      <c r="AW3134" s="1856" t="str">
        <f t="shared" si="511"/>
        <v/>
      </c>
      <c r="AX3134" s="1856" t="str">
        <f t="shared" si="512"/>
        <v/>
      </c>
      <c r="AY3134" s="1856" t="str">
        <f t="shared" si="513"/>
        <v/>
      </c>
    </row>
    <row r="3135" spans="42:52">
      <c r="AP3135" s="1855">
        <f t="shared" si="514"/>
        <v>44907</v>
      </c>
      <c r="AQ3135" s="925" t="str">
        <f t="shared" si="516"/>
        <v/>
      </c>
      <c r="AR3135" s="1856" t="str">
        <f t="shared" si="515"/>
        <v/>
      </c>
      <c r="AT3135" s="1856" t="str">
        <f t="shared" si="508"/>
        <v/>
      </c>
      <c r="AU3135" s="1856" t="str">
        <f t="shared" si="509"/>
        <v/>
      </c>
      <c r="AV3135" s="1856" t="str">
        <f t="shared" si="510"/>
        <v/>
      </c>
      <c r="AW3135" s="1856" t="str">
        <f t="shared" si="511"/>
        <v/>
      </c>
      <c r="AX3135" s="1856" t="str">
        <f t="shared" si="512"/>
        <v/>
      </c>
      <c r="AY3135" s="1856" t="str">
        <f t="shared" si="513"/>
        <v/>
      </c>
    </row>
    <row r="3136" spans="42:52">
      <c r="AP3136" s="1855">
        <f t="shared" si="514"/>
        <v>44907</v>
      </c>
      <c r="AQ3136" s="925" t="str">
        <f t="shared" si="516"/>
        <v>BMNT</v>
      </c>
      <c r="AR3136" s="1856">
        <f t="shared" si="515"/>
        <v>44907.283333333333</v>
      </c>
      <c r="AS3136" s="927" t="s">
        <v>1256</v>
      </c>
      <c r="AT3136" s="1856" t="str">
        <f t="shared" si="508"/>
        <v/>
      </c>
      <c r="AU3136" s="1856" t="str">
        <f t="shared" si="509"/>
        <v/>
      </c>
      <c r="AV3136" s="1856" t="str">
        <f t="shared" si="510"/>
        <v/>
      </c>
      <c r="AW3136" s="1856" t="str">
        <f t="shared" si="511"/>
        <v/>
      </c>
      <c r="AX3136" s="1856" t="str">
        <f t="shared" si="512"/>
        <v/>
      </c>
      <c r="AY3136" s="1856" t="str">
        <f t="shared" si="513"/>
        <v/>
      </c>
    </row>
    <row r="3137" spans="42:52">
      <c r="AP3137" s="1855">
        <f t="shared" si="514"/>
        <v>44907</v>
      </c>
      <c r="AQ3137" s="925" t="str">
        <f t="shared" si="516"/>
        <v>SR</v>
      </c>
      <c r="AR3137" s="1856">
        <f t="shared" si="515"/>
        <v>44907.326388888883</v>
      </c>
      <c r="AS3137" s="927" t="s">
        <v>1221</v>
      </c>
      <c r="AT3137" s="1856" t="str">
        <f t="shared" si="508"/>
        <v/>
      </c>
      <c r="AU3137" s="1856" t="str">
        <f t="shared" si="509"/>
        <v/>
      </c>
      <c r="AV3137" s="1856" t="str">
        <f t="shared" si="510"/>
        <v/>
      </c>
      <c r="AW3137" s="1856" t="str">
        <f t="shared" si="511"/>
        <v/>
      </c>
      <c r="AX3137" s="1856" t="str">
        <f t="shared" si="512"/>
        <v/>
      </c>
      <c r="AY3137" s="1856" t="str">
        <f t="shared" si="513"/>
        <v/>
      </c>
    </row>
    <row r="3138" spans="42:52">
      <c r="AP3138" s="1855">
        <f t="shared" si="514"/>
        <v>44907</v>
      </c>
      <c r="AQ3138" s="925" t="str">
        <f t="shared" si="516"/>
        <v>MS</v>
      </c>
      <c r="AR3138" s="1856">
        <f t="shared" si="515"/>
        <v>44907.479166666672</v>
      </c>
      <c r="AS3138" s="927" t="s">
        <v>2406</v>
      </c>
      <c r="AT3138" s="1856" t="str">
        <f t="shared" si="508"/>
        <v/>
      </c>
      <c r="AU3138" s="1856" t="str">
        <f t="shared" si="509"/>
        <v/>
      </c>
      <c r="AV3138" s="1856" t="str">
        <f t="shared" si="510"/>
        <v/>
      </c>
      <c r="AW3138" s="1856" t="str">
        <f t="shared" si="511"/>
        <v/>
      </c>
      <c r="AX3138" s="1856" t="str">
        <f t="shared" si="512"/>
        <v/>
      </c>
      <c r="AY3138" s="1856" t="str">
        <f t="shared" si="513"/>
        <v/>
      </c>
    </row>
    <row r="3139" spans="42:52">
      <c r="AP3139" s="1855">
        <f t="shared" si="514"/>
        <v>44907</v>
      </c>
      <c r="AQ3139" s="925" t="str">
        <f t="shared" si="516"/>
        <v>SS</v>
      </c>
      <c r="AR3139" s="1856">
        <f t="shared" si="515"/>
        <v>44907.725694444445</v>
      </c>
      <c r="AS3139" s="927" t="s">
        <v>2389</v>
      </c>
      <c r="AT3139" s="1856" t="str">
        <f t="shared" si="508"/>
        <v/>
      </c>
      <c r="AU3139" s="1856" t="str">
        <f t="shared" si="509"/>
        <v/>
      </c>
      <c r="AV3139" s="1856" t="str">
        <f t="shared" si="510"/>
        <v/>
      </c>
      <c r="AW3139" s="1856" t="str">
        <f t="shared" si="511"/>
        <v/>
      </c>
      <c r="AX3139" s="1856" t="str">
        <f t="shared" si="512"/>
        <v/>
      </c>
      <c r="AY3139" s="1856" t="str">
        <f t="shared" si="513"/>
        <v/>
      </c>
    </row>
    <row r="3140" spans="42:52">
      <c r="AP3140" s="1855">
        <f t="shared" si="514"/>
        <v>44907</v>
      </c>
      <c r="AQ3140" s="925" t="str">
        <f t="shared" si="516"/>
        <v>EENT</v>
      </c>
      <c r="AR3140" s="1856">
        <f t="shared" si="515"/>
        <v>44907.768750000003</v>
      </c>
      <c r="AS3140" s="927" t="s">
        <v>2382</v>
      </c>
      <c r="AT3140" s="1856" t="str">
        <f t="shared" si="508"/>
        <v/>
      </c>
      <c r="AU3140" s="1856" t="str">
        <f t="shared" si="509"/>
        <v/>
      </c>
      <c r="AV3140" s="1856" t="str">
        <f t="shared" si="510"/>
        <v/>
      </c>
      <c r="AW3140" s="1856" t="str">
        <f t="shared" si="511"/>
        <v/>
      </c>
      <c r="AX3140" s="1856" t="str">
        <f t="shared" si="512"/>
        <v/>
      </c>
      <c r="AY3140" s="1856" t="str">
        <f t="shared" si="513"/>
        <v/>
      </c>
    </row>
    <row r="3141" spans="42:52">
      <c r="AP3141" s="1855">
        <f t="shared" si="514"/>
        <v>44907</v>
      </c>
      <c r="AQ3141" s="925" t="str">
        <f t="shared" si="516"/>
        <v>MR</v>
      </c>
      <c r="AR3141" s="1856">
        <f t="shared" si="515"/>
        <v>44907.890972222223</v>
      </c>
      <c r="AS3141" s="927" t="s">
        <v>2407</v>
      </c>
      <c r="AT3141" s="1856" t="str">
        <f t="shared" si="508"/>
        <v/>
      </c>
      <c r="AU3141" s="1856" t="str">
        <f t="shared" si="509"/>
        <v/>
      </c>
      <c r="AV3141" s="1856" t="str">
        <f t="shared" si="510"/>
        <v/>
      </c>
      <c r="AW3141" s="1856" t="str">
        <f t="shared" si="511"/>
        <v/>
      </c>
      <c r="AX3141" s="1856" t="str">
        <f t="shared" si="512"/>
        <v/>
      </c>
      <c r="AY3141" s="1856" t="str">
        <f t="shared" si="513"/>
        <v/>
      </c>
    </row>
    <row r="3142" spans="42:52">
      <c r="AP3142" s="1855">
        <f t="shared" si="514"/>
        <v>44908</v>
      </c>
      <c r="AQ3142" s="925" t="str">
        <f t="shared" si="516"/>
        <v/>
      </c>
      <c r="AR3142" s="1856" t="str">
        <f t="shared" si="515"/>
        <v/>
      </c>
      <c r="AS3142" s="927">
        <v>13</v>
      </c>
      <c r="AT3142" s="1856">
        <f t="shared" si="508"/>
        <v>44908.283333333333</v>
      </c>
      <c r="AU3142" s="1856">
        <f t="shared" si="509"/>
        <v>44908.32708333333</v>
      </c>
      <c r="AV3142" s="1856">
        <f t="shared" si="510"/>
        <v>44908.725694444445</v>
      </c>
      <c r="AW3142" s="1856">
        <f t="shared" si="511"/>
        <v>44908.768750000003</v>
      </c>
      <c r="AX3142" s="1856">
        <f t="shared" si="512"/>
        <v>44908.932638888888</v>
      </c>
      <c r="AY3142" s="1856">
        <f t="shared" si="513"/>
        <v>44908.500694444447</v>
      </c>
      <c r="AZ3142" s="1853">
        <v>0.79</v>
      </c>
    </row>
    <row r="3143" spans="42:52">
      <c r="AP3143" s="1855">
        <f t="shared" si="514"/>
        <v>44908</v>
      </c>
      <c r="AQ3143" s="925" t="str">
        <f t="shared" si="516"/>
        <v/>
      </c>
      <c r="AR3143" s="1856" t="str">
        <f t="shared" si="515"/>
        <v/>
      </c>
      <c r="AS3143" s="927" t="s">
        <v>252</v>
      </c>
      <c r="AT3143" s="1856" t="str">
        <f t="shared" si="508"/>
        <v/>
      </c>
      <c r="AU3143" s="1856" t="str">
        <f t="shared" si="509"/>
        <v/>
      </c>
      <c r="AV3143" s="1856" t="str">
        <f t="shared" si="510"/>
        <v/>
      </c>
      <c r="AW3143" s="1856" t="str">
        <f t="shared" si="511"/>
        <v/>
      </c>
      <c r="AX3143" s="1856" t="str">
        <f t="shared" si="512"/>
        <v/>
      </c>
      <c r="AY3143" s="1856" t="str">
        <f t="shared" si="513"/>
        <v/>
      </c>
    </row>
    <row r="3144" spans="42:52">
      <c r="AP3144" s="1855">
        <f t="shared" si="514"/>
        <v>44908</v>
      </c>
      <c r="AQ3144" s="925" t="str">
        <f t="shared" si="516"/>
        <v/>
      </c>
      <c r="AR3144" s="1856" t="str">
        <f t="shared" si="515"/>
        <v/>
      </c>
      <c r="AT3144" s="1856" t="str">
        <f t="shared" si="508"/>
        <v/>
      </c>
      <c r="AU3144" s="1856" t="str">
        <f t="shared" si="509"/>
        <v/>
      </c>
      <c r="AV3144" s="1856" t="str">
        <f t="shared" si="510"/>
        <v/>
      </c>
      <c r="AW3144" s="1856" t="str">
        <f t="shared" si="511"/>
        <v/>
      </c>
      <c r="AX3144" s="1856" t="str">
        <f t="shared" si="512"/>
        <v/>
      </c>
      <c r="AY3144" s="1856" t="str">
        <f t="shared" si="513"/>
        <v/>
      </c>
    </row>
    <row r="3145" spans="42:52">
      <c r="AP3145" s="1855">
        <f t="shared" si="514"/>
        <v>44908</v>
      </c>
      <c r="AQ3145" s="925" t="str">
        <f t="shared" si="516"/>
        <v>BMNT</v>
      </c>
      <c r="AR3145" s="1856">
        <f t="shared" si="515"/>
        <v>44908.283333333333</v>
      </c>
      <c r="AS3145" s="927" t="s">
        <v>1256</v>
      </c>
      <c r="AT3145" s="1856" t="str">
        <f t="shared" si="508"/>
        <v/>
      </c>
      <c r="AU3145" s="1856" t="str">
        <f t="shared" si="509"/>
        <v/>
      </c>
      <c r="AV3145" s="1856" t="str">
        <f t="shared" si="510"/>
        <v/>
      </c>
      <c r="AW3145" s="1856" t="str">
        <f t="shared" si="511"/>
        <v/>
      </c>
      <c r="AX3145" s="1856" t="str">
        <f t="shared" si="512"/>
        <v/>
      </c>
      <c r="AY3145" s="1856" t="str">
        <f t="shared" si="513"/>
        <v/>
      </c>
    </row>
    <row r="3146" spans="42:52">
      <c r="AP3146" s="1855">
        <f t="shared" si="514"/>
        <v>44908</v>
      </c>
      <c r="AQ3146" s="925" t="str">
        <f t="shared" si="516"/>
        <v>SR</v>
      </c>
      <c r="AR3146" s="1856">
        <f t="shared" si="515"/>
        <v>44908.32708333333</v>
      </c>
      <c r="AS3146" s="927" t="s">
        <v>1208</v>
      </c>
      <c r="AT3146" s="1856" t="str">
        <f t="shared" si="508"/>
        <v/>
      </c>
      <c r="AU3146" s="1856" t="str">
        <f t="shared" si="509"/>
        <v/>
      </c>
      <c r="AV3146" s="1856" t="str">
        <f t="shared" si="510"/>
        <v/>
      </c>
      <c r="AW3146" s="1856" t="str">
        <f t="shared" si="511"/>
        <v/>
      </c>
      <c r="AX3146" s="1856" t="str">
        <f t="shared" si="512"/>
        <v/>
      </c>
      <c r="AY3146" s="1856" t="str">
        <f t="shared" si="513"/>
        <v/>
      </c>
    </row>
    <row r="3147" spans="42:52">
      <c r="AP3147" s="1855">
        <f t="shared" si="514"/>
        <v>44908</v>
      </c>
      <c r="AQ3147" s="925" t="str">
        <f t="shared" si="516"/>
        <v>MS</v>
      </c>
      <c r="AR3147" s="1856">
        <f t="shared" si="515"/>
        <v>44908.500694444447</v>
      </c>
      <c r="AS3147" s="927" t="s">
        <v>2072</v>
      </c>
      <c r="AT3147" s="1856" t="str">
        <f t="shared" si="508"/>
        <v/>
      </c>
      <c r="AU3147" s="1856" t="str">
        <f t="shared" si="509"/>
        <v/>
      </c>
      <c r="AV3147" s="1856" t="str">
        <f t="shared" si="510"/>
        <v/>
      </c>
      <c r="AW3147" s="1856" t="str">
        <f t="shared" si="511"/>
        <v/>
      </c>
      <c r="AX3147" s="1856" t="str">
        <f t="shared" si="512"/>
        <v/>
      </c>
      <c r="AY3147" s="1856" t="str">
        <f t="shared" si="513"/>
        <v/>
      </c>
    </row>
    <row r="3148" spans="42:52">
      <c r="AP3148" s="1855">
        <f t="shared" si="514"/>
        <v>44908</v>
      </c>
      <c r="AQ3148" s="925" t="str">
        <f t="shared" si="516"/>
        <v>SS</v>
      </c>
      <c r="AR3148" s="1856">
        <f t="shared" si="515"/>
        <v>44908.725694444445</v>
      </c>
      <c r="AS3148" s="927" t="s">
        <v>2389</v>
      </c>
      <c r="AT3148" s="1856" t="str">
        <f t="shared" si="508"/>
        <v/>
      </c>
      <c r="AU3148" s="1856" t="str">
        <f t="shared" si="509"/>
        <v/>
      </c>
      <c r="AV3148" s="1856" t="str">
        <f t="shared" si="510"/>
        <v/>
      </c>
      <c r="AW3148" s="1856" t="str">
        <f t="shared" si="511"/>
        <v/>
      </c>
      <c r="AX3148" s="1856" t="str">
        <f t="shared" si="512"/>
        <v/>
      </c>
      <c r="AY3148" s="1856" t="str">
        <f t="shared" si="513"/>
        <v/>
      </c>
    </row>
    <row r="3149" spans="42:52">
      <c r="AP3149" s="1855">
        <f t="shared" si="514"/>
        <v>44908</v>
      </c>
      <c r="AQ3149" s="925" t="str">
        <f t="shared" si="516"/>
        <v>EENT</v>
      </c>
      <c r="AR3149" s="1856">
        <f t="shared" si="515"/>
        <v>44908.768750000003</v>
      </c>
      <c r="AS3149" s="927" t="s">
        <v>2382</v>
      </c>
      <c r="AT3149" s="1856" t="str">
        <f t="shared" si="508"/>
        <v/>
      </c>
      <c r="AU3149" s="1856" t="str">
        <f t="shared" si="509"/>
        <v/>
      </c>
      <c r="AV3149" s="1856" t="str">
        <f t="shared" si="510"/>
        <v/>
      </c>
      <c r="AW3149" s="1856" t="str">
        <f t="shared" si="511"/>
        <v/>
      </c>
      <c r="AX3149" s="1856" t="str">
        <f t="shared" si="512"/>
        <v/>
      </c>
      <c r="AY3149" s="1856" t="str">
        <f t="shared" si="513"/>
        <v/>
      </c>
    </row>
    <row r="3150" spans="42:52">
      <c r="AP3150" s="1855">
        <f t="shared" si="514"/>
        <v>44908</v>
      </c>
      <c r="AQ3150" s="925" t="str">
        <f t="shared" si="516"/>
        <v>MR</v>
      </c>
      <c r="AR3150" s="1856">
        <f t="shared" si="515"/>
        <v>44908.932638888888</v>
      </c>
      <c r="AS3150" s="927" t="s">
        <v>2408</v>
      </c>
      <c r="AT3150" s="1856" t="str">
        <f t="shared" si="508"/>
        <v/>
      </c>
      <c r="AU3150" s="1856" t="str">
        <f t="shared" si="509"/>
        <v/>
      </c>
      <c r="AV3150" s="1856" t="str">
        <f t="shared" si="510"/>
        <v/>
      </c>
      <c r="AW3150" s="1856" t="str">
        <f t="shared" si="511"/>
        <v/>
      </c>
      <c r="AX3150" s="1856" t="str">
        <f t="shared" si="512"/>
        <v/>
      </c>
      <c r="AY3150" s="1856" t="str">
        <f t="shared" si="513"/>
        <v/>
      </c>
    </row>
    <row r="3151" spans="42:52">
      <c r="AP3151" s="1855">
        <f t="shared" si="514"/>
        <v>44909</v>
      </c>
      <c r="AQ3151" s="925" t="str">
        <f t="shared" si="516"/>
        <v/>
      </c>
      <c r="AR3151" s="1856" t="str">
        <f t="shared" si="515"/>
        <v/>
      </c>
      <c r="AS3151" s="927">
        <v>14</v>
      </c>
      <c r="AT3151" s="1856">
        <f t="shared" si="508"/>
        <v>44909.28402777778</v>
      </c>
      <c r="AU3151" s="1856">
        <f t="shared" si="509"/>
        <v>44909.32708333333</v>
      </c>
      <c r="AV3151" s="1856">
        <f t="shared" si="510"/>
        <v>44909.725694444445</v>
      </c>
      <c r="AW3151" s="1856">
        <f t="shared" si="511"/>
        <v>44909.768750000003</v>
      </c>
      <c r="AX3151" s="1856">
        <f t="shared" si="512"/>
        <v>44909.974305555559</v>
      </c>
      <c r="AY3151" s="1856">
        <f t="shared" si="513"/>
        <v>44909.519444444442</v>
      </c>
      <c r="AZ3151" s="1853">
        <v>0.7</v>
      </c>
    </row>
    <row r="3152" spans="42:52">
      <c r="AP3152" s="1855">
        <f t="shared" si="514"/>
        <v>44909</v>
      </c>
      <c r="AQ3152" s="925" t="str">
        <f t="shared" si="516"/>
        <v/>
      </c>
      <c r="AR3152" s="1856" t="str">
        <f t="shared" si="515"/>
        <v/>
      </c>
      <c r="AS3152" s="927" t="s">
        <v>252</v>
      </c>
      <c r="AT3152" s="1856" t="str">
        <f t="shared" si="508"/>
        <v/>
      </c>
      <c r="AU3152" s="1856" t="str">
        <f t="shared" si="509"/>
        <v/>
      </c>
      <c r="AV3152" s="1856" t="str">
        <f t="shared" si="510"/>
        <v/>
      </c>
      <c r="AW3152" s="1856" t="str">
        <f t="shared" si="511"/>
        <v/>
      </c>
      <c r="AX3152" s="1856" t="str">
        <f t="shared" si="512"/>
        <v/>
      </c>
      <c r="AY3152" s="1856" t="str">
        <f t="shared" si="513"/>
        <v/>
      </c>
    </row>
    <row r="3153" spans="42:52">
      <c r="AP3153" s="1855">
        <f t="shared" si="514"/>
        <v>44909</v>
      </c>
      <c r="AQ3153" s="925" t="str">
        <f t="shared" si="516"/>
        <v/>
      </c>
      <c r="AR3153" s="1856" t="str">
        <f t="shared" si="515"/>
        <v/>
      </c>
      <c r="AT3153" s="1856" t="str">
        <f t="shared" si="508"/>
        <v/>
      </c>
      <c r="AU3153" s="1856" t="str">
        <f t="shared" si="509"/>
        <v/>
      </c>
      <c r="AV3153" s="1856" t="str">
        <f t="shared" si="510"/>
        <v/>
      </c>
      <c r="AW3153" s="1856" t="str">
        <f t="shared" si="511"/>
        <v/>
      </c>
      <c r="AX3153" s="1856" t="str">
        <f t="shared" si="512"/>
        <v/>
      </c>
      <c r="AY3153" s="1856" t="str">
        <f t="shared" si="513"/>
        <v/>
      </c>
    </row>
    <row r="3154" spans="42:52">
      <c r="AP3154" s="1855">
        <f t="shared" si="514"/>
        <v>44909</v>
      </c>
      <c r="AQ3154" s="925" t="str">
        <f t="shared" si="516"/>
        <v>BMNT</v>
      </c>
      <c r="AR3154" s="1856">
        <f t="shared" si="515"/>
        <v>44909.28402777778</v>
      </c>
      <c r="AS3154" s="927" t="s">
        <v>1243</v>
      </c>
      <c r="AT3154" s="1856" t="str">
        <f t="shared" si="508"/>
        <v/>
      </c>
      <c r="AU3154" s="1856" t="str">
        <f t="shared" si="509"/>
        <v/>
      </c>
      <c r="AV3154" s="1856" t="str">
        <f t="shared" si="510"/>
        <v/>
      </c>
      <c r="AW3154" s="1856" t="str">
        <f t="shared" si="511"/>
        <v/>
      </c>
      <c r="AX3154" s="1856" t="str">
        <f t="shared" si="512"/>
        <v/>
      </c>
      <c r="AY3154" s="1856" t="str">
        <f t="shared" si="513"/>
        <v/>
      </c>
    </row>
    <row r="3155" spans="42:52">
      <c r="AP3155" s="1855">
        <f t="shared" si="514"/>
        <v>44909</v>
      </c>
      <c r="AQ3155" s="925" t="str">
        <f t="shared" si="516"/>
        <v>SR</v>
      </c>
      <c r="AR3155" s="1856">
        <f t="shared" si="515"/>
        <v>44909.32708333333</v>
      </c>
      <c r="AS3155" s="927" t="s">
        <v>1208</v>
      </c>
      <c r="AT3155" s="1856" t="str">
        <f t="shared" si="508"/>
        <v/>
      </c>
      <c r="AU3155" s="1856" t="str">
        <f t="shared" si="509"/>
        <v/>
      </c>
      <c r="AV3155" s="1856" t="str">
        <f t="shared" si="510"/>
        <v/>
      </c>
      <c r="AW3155" s="1856" t="str">
        <f t="shared" si="511"/>
        <v/>
      </c>
      <c r="AX3155" s="1856" t="str">
        <f t="shared" si="512"/>
        <v/>
      </c>
      <c r="AY3155" s="1856" t="str">
        <f t="shared" si="513"/>
        <v/>
      </c>
    </row>
    <row r="3156" spans="42:52">
      <c r="AP3156" s="1855">
        <f t="shared" si="514"/>
        <v>44909</v>
      </c>
      <c r="AQ3156" s="925" t="str">
        <f t="shared" si="516"/>
        <v>MS</v>
      </c>
      <c r="AR3156" s="1856">
        <f t="shared" si="515"/>
        <v>44909.519444444442</v>
      </c>
      <c r="AS3156" s="927" t="s">
        <v>2409</v>
      </c>
      <c r="AT3156" s="1856" t="str">
        <f t="shared" si="508"/>
        <v/>
      </c>
      <c r="AU3156" s="1856" t="str">
        <f t="shared" si="509"/>
        <v/>
      </c>
      <c r="AV3156" s="1856" t="str">
        <f t="shared" si="510"/>
        <v/>
      </c>
      <c r="AW3156" s="1856" t="str">
        <f t="shared" si="511"/>
        <v/>
      </c>
      <c r="AX3156" s="1856" t="str">
        <f t="shared" si="512"/>
        <v/>
      </c>
      <c r="AY3156" s="1856" t="str">
        <f t="shared" si="513"/>
        <v/>
      </c>
    </row>
    <row r="3157" spans="42:52">
      <c r="AP3157" s="1855">
        <f t="shared" si="514"/>
        <v>44909</v>
      </c>
      <c r="AQ3157" s="925" t="str">
        <f t="shared" si="516"/>
        <v>SS</v>
      </c>
      <c r="AR3157" s="1856">
        <f t="shared" si="515"/>
        <v>44909.725694444445</v>
      </c>
      <c r="AS3157" s="927" t="s">
        <v>2389</v>
      </c>
      <c r="AT3157" s="1856" t="str">
        <f t="shared" si="508"/>
        <v/>
      </c>
      <c r="AU3157" s="1856" t="str">
        <f t="shared" si="509"/>
        <v/>
      </c>
      <c r="AV3157" s="1856" t="str">
        <f t="shared" si="510"/>
        <v/>
      </c>
      <c r="AW3157" s="1856" t="str">
        <f t="shared" si="511"/>
        <v/>
      </c>
      <c r="AX3157" s="1856" t="str">
        <f t="shared" si="512"/>
        <v/>
      </c>
      <c r="AY3157" s="1856" t="str">
        <f t="shared" si="513"/>
        <v/>
      </c>
    </row>
    <row r="3158" spans="42:52">
      <c r="AP3158" s="1855">
        <f t="shared" si="514"/>
        <v>44909</v>
      </c>
      <c r="AQ3158" s="925" t="str">
        <f t="shared" si="516"/>
        <v>EENT</v>
      </c>
      <c r="AR3158" s="1856">
        <f t="shared" si="515"/>
        <v>44909.768750000003</v>
      </c>
      <c r="AS3158" s="927" t="s">
        <v>2382</v>
      </c>
      <c r="AT3158" s="1856" t="str">
        <f t="shared" si="508"/>
        <v/>
      </c>
      <c r="AU3158" s="1856" t="str">
        <f t="shared" si="509"/>
        <v/>
      </c>
      <c r="AV3158" s="1856" t="str">
        <f t="shared" si="510"/>
        <v/>
      </c>
      <c r="AW3158" s="1856" t="str">
        <f t="shared" si="511"/>
        <v/>
      </c>
      <c r="AX3158" s="1856" t="str">
        <f t="shared" si="512"/>
        <v/>
      </c>
      <c r="AY3158" s="1856" t="str">
        <f t="shared" si="513"/>
        <v/>
      </c>
    </row>
    <row r="3159" spans="42:52">
      <c r="AP3159" s="1855">
        <f t="shared" si="514"/>
        <v>44909</v>
      </c>
      <c r="AQ3159" s="925" t="str">
        <f t="shared" si="516"/>
        <v>MR</v>
      </c>
      <c r="AR3159" s="1856">
        <f t="shared" si="515"/>
        <v>44909.974305555559</v>
      </c>
      <c r="AS3159" s="927" t="s">
        <v>2410</v>
      </c>
      <c r="AT3159" s="1856" t="str">
        <f t="shared" si="508"/>
        <v/>
      </c>
      <c r="AU3159" s="1856" t="str">
        <f t="shared" si="509"/>
        <v/>
      </c>
      <c r="AV3159" s="1856" t="str">
        <f t="shared" si="510"/>
        <v/>
      </c>
      <c r="AW3159" s="1856" t="str">
        <f t="shared" si="511"/>
        <v/>
      </c>
      <c r="AX3159" s="1856" t="str">
        <f t="shared" si="512"/>
        <v/>
      </c>
      <c r="AY3159" s="1856" t="str">
        <f t="shared" si="513"/>
        <v/>
      </c>
    </row>
    <row r="3160" spans="42:52">
      <c r="AP3160" s="1855">
        <f t="shared" si="514"/>
        <v>44910</v>
      </c>
      <c r="AQ3160" s="925" t="str">
        <f t="shared" si="516"/>
        <v/>
      </c>
      <c r="AR3160" s="1856" t="str">
        <f t="shared" si="515"/>
        <v/>
      </c>
      <c r="AS3160" s="927">
        <v>15</v>
      </c>
      <c r="AT3160" s="1856">
        <f t="shared" si="508"/>
        <v>44910.284722222219</v>
      </c>
      <c r="AU3160" s="1856">
        <f t="shared" si="509"/>
        <v>44910.327777777777</v>
      </c>
      <c r="AV3160" s="1856">
        <f t="shared" si="510"/>
        <v>44910.725694444445</v>
      </c>
      <c r="AW3160" s="1856">
        <f t="shared" si="511"/>
        <v>44910.769444444442</v>
      </c>
      <c r="AX3160" s="1856" t="str">
        <f t="shared" si="512"/>
        <v>NONE</v>
      </c>
      <c r="AY3160" s="1856">
        <f t="shared" si="513"/>
        <v>44910.536805555559</v>
      </c>
      <c r="AZ3160" s="1853">
        <v>0.61</v>
      </c>
    </row>
    <row r="3161" spans="42:52">
      <c r="AP3161" s="1855">
        <f t="shared" si="514"/>
        <v>44910</v>
      </c>
      <c r="AQ3161" s="925" t="str">
        <f t="shared" si="516"/>
        <v/>
      </c>
      <c r="AR3161" s="1856" t="str">
        <f t="shared" si="515"/>
        <v/>
      </c>
      <c r="AS3161" s="927" t="s">
        <v>252</v>
      </c>
      <c r="AT3161" s="1856" t="str">
        <f t="shared" si="508"/>
        <v/>
      </c>
      <c r="AU3161" s="1856" t="str">
        <f t="shared" si="509"/>
        <v/>
      </c>
      <c r="AV3161" s="1856" t="str">
        <f t="shared" si="510"/>
        <v/>
      </c>
      <c r="AW3161" s="1856" t="str">
        <f t="shared" si="511"/>
        <v/>
      </c>
      <c r="AX3161" s="1856" t="str">
        <f t="shared" si="512"/>
        <v/>
      </c>
      <c r="AY3161" s="1856" t="str">
        <f t="shared" si="513"/>
        <v/>
      </c>
    </row>
    <row r="3162" spans="42:52">
      <c r="AP3162" s="1855">
        <f t="shared" si="514"/>
        <v>44910</v>
      </c>
      <c r="AQ3162" s="925" t="str">
        <f t="shared" si="516"/>
        <v/>
      </c>
      <c r="AR3162" s="1856" t="str">
        <f t="shared" si="515"/>
        <v/>
      </c>
      <c r="AT3162" s="1856" t="str">
        <f t="shared" si="508"/>
        <v/>
      </c>
      <c r="AU3162" s="1856" t="str">
        <f t="shared" si="509"/>
        <v/>
      </c>
      <c r="AV3162" s="1856" t="str">
        <f t="shared" si="510"/>
        <v/>
      </c>
      <c r="AW3162" s="1856" t="str">
        <f t="shared" si="511"/>
        <v/>
      </c>
      <c r="AX3162" s="1856" t="str">
        <f t="shared" si="512"/>
        <v/>
      </c>
      <c r="AY3162" s="1856" t="str">
        <f t="shared" si="513"/>
        <v/>
      </c>
    </row>
    <row r="3163" spans="42:52">
      <c r="AP3163" s="1855">
        <f t="shared" si="514"/>
        <v>44910</v>
      </c>
      <c r="AQ3163" s="925" t="str">
        <f t="shared" si="516"/>
        <v>BMNT</v>
      </c>
      <c r="AR3163" s="1856">
        <f t="shared" si="515"/>
        <v>44910.284722222219</v>
      </c>
      <c r="AS3163" s="927" t="s">
        <v>1231</v>
      </c>
      <c r="AT3163" s="1856" t="str">
        <f t="shared" si="508"/>
        <v/>
      </c>
      <c r="AU3163" s="1856" t="str">
        <f t="shared" si="509"/>
        <v/>
      </c>
      <c r="AV3163" s="1856" t="str">
        <f t="shared" si="510"/>
        <v/>
      </c>
      <c r="AW3163" s="1856" t="str">
        <f t="shared" si="511"/>
        <v/>
      </c>
      <c r="AX3163" s="1856" t="str">
        <f t="shared" si="512"/>
        <v/>
      </c>
      <c r="AY3163" s="1856" t="str">
        <f t="shared" si="513"/>
        <v/>
      </c>
    </row>
    <row r="3164" spans="42:52">
      <c r="AP3164" s="1855">
        <f t="shared" si="514"/>
        <v>44910</v>
      </c>
      <c r="AQ3164" s="925" t="str">
        <f t="shared" si="516"/>
        <v>SR</v>
      </c>
      <c r="AR3164" s="1856">
        <f t="shared" si="515"/>
        <v>44910.327777777777</v>
      </c>
      <c r="AS3164" s="927" t="s">
        <v>1183</v>
      </c>
      <c r="AT3164" s="1856" t="str">
        <f t="shared" ref="AT3164:AT3227" si="517">IF(ISNUMBER(AS3164),INDEX(AR3165:AR3175,MATCH($AT$27,AQ3165:AQ3175,0)),"")</f>
        <v/>
      </c>
      <c r="AU3164" s="1856" t="str">
        <f t="shared" ref="AU3164:AU3227" si="518">IF(AT3164="","",INDEX(AR3165:AR3175,MATCH($AU$27,AQ3165:AQ3175,0)))</f>
        <v/>
      </c>
      <c r="AV3164" s="1856" t="str">
        <f t="shared" ref="AV3164:AV3227" si="519">IF(AT3164="","",INDEX(AR3165:AR3175,MATCH($AV$27,AQ3165:AQ3175,0)))</f>
        <v/>
      </c>
      <c r="AW3164" s="1856" t="str">
        <f t="shared" ref="AW3164:AW3227" si="520">IF(AT3164="","",INDEX(AR3165:AR3175,MATCH($AW$27,AQ3165:AQ3175,0)))</f>
        <v/>
      </c>
      <c r="AX3164" s="1856" t="str">
        <f t="shared" ref="AX3164:AX3227" si="521">IF(AT3164="","",INDEX(AR3165:AR3175,MATCH($AX$27,AQ3165:AQ3175,0)))</f>
        <v/>
      </c>
      <c r="AY3164" s="1856" t="str">
        <f t="shared" ref="AY3164:AY3227" si="522">IF(AT3164="","",INDEX(AR3165:AR3175,MATCH($AY$27,AQ3165:AQ3175,0)))</f>
        <v/>
      </c>
    </row>
    <row r="3165" spans="42:52">
      <c r="AP3165" s="1855">
        <f t="shared" si="514"/>
        <v>44910</v>
      </c>
      <c r="AQ3165" s="925" t="str">
        <f t="shared" si="516"/>
        <v>MS</v>
      </c>
      <c r="AR3165" s="1856">
        <f t="shared" si="515"/>
        <v>44910.536805555559</v>
      </c>
      <c r="AS3165" s="927" t="s">
        <v>2411</v>
      </c>
      <c r="AT3165" s="1856" t="str">
        <f t="shared" si="517"/>
        <v/>
      </c>
      <c r="AU3165" s="1856" t="str">
        <f t="shared" si="518"/>
        <v/>
      </c>
      <c r="AV3165" s="1856" t="str">
        <f t="shared" si="519"/>
        <v/>
      </c>
      <c r="AW3165" s="1856" t="str">
        <f t="shared" si="520"/>
        <v/>
      </c>
      <c r="AX3165" s="1856" t="str">
        <f t="shared" si="521"/>
        <v/>
      </c>
      <c r="AY3165" s="1856" t="str">
        <f t="shared" si="522"/>
        <v/>
      </c>
    </row>
    <row r="3166" spans="42:52">
      <c r="AP3166" s="1855">
        <f t="shared" si="514"/>
        <v>44910</v>
      </c>
      <c r="AQ3166" s="925" t="str">
        <f t="shared" si="516"/>
        <v>SS</v>
      </c>
      <c r="AR3166" s="1856">
        <f t="shared" si="515"/>
        <v>44910.725694444445</v>
      </c>
      <c r="AS3166" s="927" t="s">
        <v>2389</v>
      </c>
      <c r="AT3166" s="1856" t="str">
        <f t="shared" si="517"/>
        <v/>
      </c>
      <c r="AU3166" s="1856" t="str">
        <f t="shared" si="518"/>
        <v/>
      </c>
      <c r="AV3166" s="1856" t="str">
        <f t="shared" si="519"/>
        <v/>
      </c>
      <c r="AW3166" s="1856" t="str">
        <f t="shared" si="520"/>
        <v/>
      </c>
      <c r="AX3166" s="1856" t="str">
        <f t="shared" si="521"/>
        <v/>
      </c>
      <c r="AY3166" s="1856" t="str">
        <f t="shared" si="522"/>
        <v/>
      </c>
    </row>
    <row r="3167" spans="42:52">
      <c r="AP3167" s="1855">
        <f t="shared" si="514"/>
        <v>44910</v>
      </c>
      <c r="AQ3167" s="925" t="str">
        <f t="shared" si="516"/>
        <v>EENT</v>
      </c>
      <c r="AR3167" s="1856">
        <f t="shared" si="515"/>
        <v>44910.769444444442</v>
      </c>
      <c r="AS3167" s="927" t="s">
        <v>2375</v>
      </c>
      <c r="AT3167" s="1856" t="str">
        <f t="shared" si="517"/>
        <v/>
      </c>
      <c r="AU3167" s="1856" t="str">
        <f t="shared" si="518"/>
        <v/>
      </c>
      <c r="AV3167" s="1856" t="str">
        <f t="shared" si="519"/>
        <v/>
      </c>
      <c r="AW3167" s="1856" t="str">
        <f t="shared" si="520"/>
        <v/>
      </c>
      <c r="AX3167" s="1856" t="str">
        <f t="shared" si="521"/>
        <v/>
      </c>
      <c r="AY3167" s="1856" t="str">
        <f t="shared" si="522"/>
        <v/>
      </c>
    </row>
    <row r="3168" spans="42:52">
      <c r="AP3168" s="1855">
        <f t="shared" si="514"/>
        <v>44910</v>
      </c>
      <c r="AQ3168" s="925" t="str">
        <f t="shared" si="516"/>
        <v>MR</v>
      </c>
      <c r="AR3168" s="1856" t="str">
        <f t="shared" si="515"/>
        <v>NONE</v>
      </c>
      <c r="AS3168" s="927" t="s">
        <v>1153</v>
      </c>
      <c r="AT3168" s="1856" t="str">
        <f t="shared" si="517"/>
        <v/>
      </c>
      <c r="AU3168" s="1856" t="str">
        <f t="shared" si="518"/>
        <v/>
      </c>
      <c r="AV3168" s="1856" t="str">
        <f t="shared" si="519"/>
        <v/>
      </c>
      <c r="AW3168" s="1856" t="str">
        <f t="shared" si="520"/>
        <v/>
      </c>
      <c r="AX3168" s="1856" t="str">
        <f t="shared" si="521"/>
        <v/>
      </c>
      <c r="AY3168" s="1856" t="str">
        <f t="shared" si="522"/>
        <v/>
      </c>
    </row>
    <row r="3169" spans="42:52">
      <c r="AP3169" s="1855">
        <f t="shared" si="514"/>
        <v>44911</v>
      </c>
      <c r="AQ3169" s="925" t="str">
        <f t="shared" si="516"/>
        <v/>
      </c>
      <c r="AR3169" s="1856" t="str">
        <f t="shared" si="515"/>
        <v/>
      </c>
      <c r="AS3169" s="927">
        <v>16</v>
      </c>
      <c r="AT3169" s="1856">
        <f t="shared" si="517"/>
        <v>44911.284722222219</v>
      </c>
      <c r="AU3169" s="1856">
        <f t="shared" si="518"/>
        <v>44911.328472222223</v>
      </c>
      <c r="AV3169" s="1856">
        <f t="shared" si="519"/>
        <v>44911.726388888892</v>
      </c>
      <c r="AW3169" s="1856">
        <f t="shared" si="520"/>
        <v>44911.769444444442</v>
      </c>
      <c r="AX3169" s="1856">
        <f t="shared" si="521"/>
        <v>44911.015972222223</v>
      </c>
      <c r="AY3169" s="1856">
        <f t="shared" si="522"/>
        <v>44911.552777777775</v>
      </c>
      <c r="AZ3169" s="1853">
        <v>0.52</v>
      </c>
    </row>
    <row r="3170" spans="42:52">
      <c r="AP3170" s="1855">
        <f t="shared" si="514"/>
        <v>44911</v>
      </c>
      <c r="AQ3170" s="925" t="str">
        <f t="shared" si="516"/>
        <v/>
      </c>
      <c r="AR3170" s="1856" t="str">
        <f t="shared" si="515"/>
        <v/>
      </c>
      <c r="AS3170" s="927" t="s">
        <v>252</v>
      </c>
      <c r="AT3170" s="1856" t="str">
        <f t="shared" si="517"/>
        <v/>
      </c>
      <c r="AU3170" s="1856" t="str">
        <f t="shared" si="518"/>
        <v/>
      </c>
      <c r="AV3170" s="1856" t="str">
        <f t="shared" si="519"/>
        <v/>
      </c>
      <c r="AW3170" s="1856" t="str">
        <f t="shared" si="520"/>
        <v/>
      </c>
      <c r="AX3170" s="1856" t="str">
        <f t="shared" si="521"/>
        <v/>
      </c>
      <c r="AY3170" s="1856" t="str">
        <f t="shared" si="522"/>
        <v/>
      </c>
    </row>
    <row r="3171" spans="42:52">
      <c r="AP3171" s="1855">
        <f t="shared" si="514"/>
        <v>44911</v>
      </c>
      <c r="AQ3171" s="925" t="str">
        <f t="shared" si="516"/>
        <v/>
      </c>
      <c r="AR3171" s="1856" t="str">
        <f t="shared" si="515"/>
        <v/>
      </c>
      <c r="AT3171" s="1856" t="str">
        <f t="shared" si="517"/>
        <v/>
      </c>
      <c r="AU3171" s="1856" t="str">
        <f t="shared" si="518"/>
        <v/>
      </c>
      <c r="AV3171" s="1856" t="str">
        <f t="shared" si="519"/>
        <v/>
      </c>
      <c r="AW3171" s="1856" t="str">
        <f t="shared" si="520"/>
        <v/>
      </c>
      <c r="AX3171" s="1856" t="str">
        <f t="shared" si="521"/>
        <v/>
      </c>
      <c r="AY3171" s="1856" t="str">
        <f t="shared" si="522"/>
        <v/>
      </c>
    </row>
    <row r="3172" spans="42:52">
      <c r="AP3172" s="1855">
        <f t="shared" si="514"/>
        <v>44911</v>
      </c>
      <c r="AQ3172" s="925" t="str">
        <f t="shared" si="516"/>
        <v>MR</v>
      </c>
      <c r="AR3172" s="1856">
        <f t="shared" si="515"/>
        <v>44911.015972222223</v>
      </c>
      <c r="AS3172" s="927" t="s">
        <v>2412</v>
      </c>
      <c r="AT3172" s="1856" t="str">
        <f t="shared" si="517"/>
        <v/>
      </c>
      <c r="AU3172" s="1856" t="str">
        <f t="shared" si="518"/>
        <v/>
      </c>
      <c r="AV3172" s="1856" t="str">
        <f t="shared" si="519"/>
        <v/>
      </c>
      <c r="AW3172" s="1856" t="str">
        <f t="shared" si="520"/>
        <v/>
      </c>
      <c r="AX3172" s="1856" t="str">
        <f t="shared" si="521"/>
        <v/>
      </c>
      <c r="AY3172" s="1856" t="str">
        <f t="shared" si="522"/>
        <v/>
      </c>
    </row>
    <row r="3173" spans="42:52">
      <c r="AP3173" s="1855">
        <f t="shared" ref="AP3173:AP3236" si="523">IF(ISNUMBER(AS3173),AP3172+1,AP3172)</f>
        <v>44911</v>
      </c>
      <c r="AQ3173" s="925" t="str">
        <f t="shared" si="516"/>
        <v>BMNT</v>
      </c>
      <c r="AR3173" s="1856">
        <f t="shared" si="515"/>
        <v>44911.284722222219</v>
      </c>
      <c r="AS3173" s="927" t="s">
        <v>1231</v>
      </c>
      <c r="AT3173" s="1856" t="str">
        <f t="shared" si="517"/>
        <v/>
      </c>
      <c r="AU3173" s="1856" t="str">
        <f t="shared" si="518"/>
        <v/>
      </c>
      <c r="AV3173" s="1856" t="str">
        <f t="shared" si="519"/>
        <v/>
      </c>
      <c r="AW3173" s="1856" t="str">
        <f t="shared" si="520"/>
        <v/>
      </c>
      <c r="AX3173" s="1856" t="str">
        <f t="shared" si="521"/>
        <v/>
      </c>
      <c r="AY3173" s="1856" t="str">
        <f t="shared" si="522"/>
        <v/>
      </c>
    </row>
    <row r="3174" spans="42:52">
      <c r="AP3174" s="1855">
        <f t="shared" si="523"/>
        <v>44911</v>
      </c>
      <c r="AQ3174" s="925" t="str">
        <f t="shared" si="516"/>
        <v>SR</v>
      </c>
      <c r="AR3174" s="1856">
        <f t="shared" si="515"/>
        <v>44911.328472222223</v>
      </c>
      <c r="AS3174" s="927" t="s">
        <v>1169</v>
      </c>
      <c r="AT3174" s="1856" t="str">
        <f t="shared" si="517"/>
        <v/>
      </c>
      <c r="AU3174" s="1856" t="str">
        <f t="shared" si="518"/>
        <v/>
      </c>
      <c r="AV3174" s="1856" t="str">
        <f t="shared" si="519"/>
        <v/>
      </c>
      <c r="AW3174" s="1856" t="str">
        <f t="shared" si="520"/>
        <v/>
      </c>
      <c r="AX3174" s="1856" t="str">
        <f t="shared" si="521"/>
        <v/>
      </c>
      <c r="AY3174" s="1856" t="str">
        <f t="shared" si="522"/>
        <v/>
      </c>
    </row>
    <row r="3175" spans="42:52">
      <c r="AP3175" s="1855">
        <f t="shared" si="523"/>
        <v>44911</v>
      </c>
      <c r="AQ3175" s="925" t="str">
        <f t="shared" si="516"/>
        <v>MS</v>
      </c>
      <c r="AR3175" s="1856">
        <f t="shared" si="515"/>
        <v>44911.552777777775</v>
      </c>
      <c r="AS3175" s="927" t="s">
        <v>2413</v>
      </c>
      <c r="AT3175" s="1856" t="str">
        <f t="shared" si="517"/>
        <v/>
      </c>
      <c r="AU3175" s="1856" t="str">
        <f t="shared" si="518"/>
        <v/>
      </c>
      <c r="AV3175" s="1856" t="str">
        <f t="shared" si="519"/>
        <v/>
      </c>
      <c r="AW3175" s="1856" t="str">
        <f t="shared" si="520"/>
        <v/>
      </c>
      <c r="AX3175" s="1856" t="str">
        <f t="shared" si="521"/>
        <v/>
      </c>
      <c r="AY3175" s="1856" t="str">
        <f t="shared" si="522"/>
        <v/>
      </c>
    </row>
    <row r="3176" spans="42:52">
      <c r="AP3176" s="1855">
        <f t="shared" si="523"/>
        <v>44911</v>
      </c>
      <c r="AQ3176" s="925" t="str">
        <f t="shared" si="516"/>
        <v>SS</v>
      </c>
      <c r="AR3176" s="1856">
        <f t="shared" si="515"/>
        <v>44911.726388888892</v>
      </c>
      <c r="AS3176" s="927" t="s">
        <v>2381</v>
      </c>
      <c r="AT3176" s="1856" t="str">
        <f t="shared" si="517"/>
        <v/>
      </c>
      <c r="AU3176" s="1856" t="str">
        <f t="shared" si="518"/>
        <v/>
      </c>
      <c r="AV3176" s="1856" t="str">
        <f t="shared" si="519"/>
        <v/>
      </c>
      <c r="AW3176" s="1856" t="str">
        <f t="shared" si="520"/>
        <v/>
      </c>
      <c r="AX3176" s="1856" t="str">
        <f t="shared" si="521"/>
        <v/>
      </c>
      <c r="AY3176" s="1856" t="str">
        <f t="shared" si="522"/>
        <v/>
      </c>
    </row>
    <row r="3177" spans="42:52">
      <c r="AP3177" s="1855">
        <f t="shared" si="523"/>
        <v>44911</v>
      </c>
      <c r="AQ3177" s="925" t="str">
        <f t="shared" si="516"/>
        <v>EENT</v>
      </c>
      <c r="AR3177" s="1856">
        <f t="shared" ref="AR3177:AR3240" si="524">IF(NOT(ISNUMBER(FIND(":",AS3177))),"",IF(ISNUMBER(FIND(" none",AS3177)),"NONE",AP3177+LEFT(RIGHT(AS3177,5),2)/24+RIGHT(AS3177,2)/1440))</f>
        <v>44911.769444444442</v>
      </c>
      <c r="AS3177" s="927" t="s">
        <v>2375</v>
      </c>
      <c r="AT3177" s="1856" t="str">
        <f t="shared" si="517"/>
        <v/>
      </c>
      <c r="AU3177" s="1856" t="str">
        <f t="shared" si="518"/>
        <v/>
      </c>
      <c r="AV3177" s="1856" t="str">
        <f t="shared" si="519"/>
        <v/>
      </c>
      <c r="AW3177" s="1856" t="str">
        <f t="shared" si="520"/>
        <v/>
      </c>
      <c r="AX3177" s="1856" t="str">
        <f t="shared" si="521"/>
        <v/>
      </c>
      <c r="AY3177" s="1856" t="str">
        <f t="shared" si="522"/>
        <v/>
      </c>
    </row>
    <row r="3178" spans="42:52">
      <c r="AP3178" s="1855">
        <f t="shared" si="523"/>
        <v>44912</v>
      </c>
      <c r="AQ3178" s="925" t="str">
        <f t="shared" si="516"/>
        <v/>
      </c>
      <c r="AR3178" s="1856" t="str">
        <f t="shared" si="524"/>
        <v/>
      </c>
      <c r="AS3178" s="927">
        <v>17</v>
      </c>
      <c r="AT3178" s="1856">
        <f t="shared" si="517"/>
        <v>44912.285416666666</v>
      </c>
      <c r="AU3178" s="1856">
        <f t="shared" si="518"/>
        <v>44912.328472222223</v>
      </c>
      <c r="AV3178" s="1856">
        <f t="shared" si="519"/>
        <v>44912.726388888892</v>
      </c>
      <c r="AW3178" s="1856">
        <f t="shared" si="520"/>
        <v>44912.769444444442</v>
      </c>
      <c r="AX3178" s="1856">
        <f t="shared" si="521"/>
        <v>44912.058333333334</v>
      </c>
      <c r="AY3178" s="1856">
        <f t="shared" si="522"/>
        <v>44912.568749999999</v>
      </c>
      <c r="AZ3178" s="1853">
        <v>0.42</v>
      </c>
    </row>
    <row r="3179" spans="42:52">
      <c r="AP3179" s="1855">
        <f t="shared" si="523"/>
        <v>44912</v>
      </c>
      <c r="AQ3179" s="925" t="str">
        <f t="shared" si="516"/>
        <v/>
      </c>
      <c r="AR3179" s="1856" t="str">
        <f t="shared" si="524"/>
        <v/>
      </c>
      <c r="AS3179" s="927" t="s">
        <v>252</v>
      </c>
      <c r="AT3179" s="1856" t="str">
        <f t="shared" si="517"/>
        <v/>
      </c>
      <c r="AU3179" s="1856" t="str">
        <f t="shared" si="518"/>
        <v/>
      </c>
      <c r="AV3179" s="1856" t="str">
        <f t="shared" si="519"/>
        <v/>
      </c>
      <c r="AW3179" s="1856" t="str">
        <f t="shared" si="520"/>
        <v/>
      </c>
      <c r="AX3179" s="1856" t="str">
        <f t="shared" si="521"/>
        <v/>
      </c>
      <c r="AY3179" s="1856" t="str">
        <f t="shared" si="522"/>
        <v/>
      </c>
    </row>
    <row r="3180" spans="42:52">
      <c r="AP3180" s="1855">
        <f t="shared" si="523"/>
        <v>44912</v>
      </c>
      <c r="AQ3180" s="925" t="str">
        <f t="shared" si="516"/>
        <v/>
      </c>
      <c r="AR3180" s="1856" t="str">
        <f t="shared" si="524"/>
        <v/>
      </c>
      <c r="AT3180" s="1856" t="str">
        <f t="shared" si="517"/>
        <v/>
      </c>
      <c r="AU3180" s="1856" t="str">
        <f t="shared" si="518"/>
        <v/>
      </c>
      <c r="AV3180" s="1856" t="str">
        <f t="shared" si="519"/>
        <v/>
      </c>
      <c r="AW3180" s="1856" t="str">
        <f t="shared" si="520"/>
        <v/>
      </c>
      <c r="AX3180" s="1856" t="str">
        <f t="shared" si="521"/>
        <v/>
      </c>
      <c r="AY3180" s="1856" t="str">
        <f t="shared" si="522"/>
        <v/>
      </c>
    </row>
    <row r="3181" spans="42:52">
      <c r="AP3181" s="1855">
        <f t="shared" si="523"/>
        <v>44912</v>
      </c>
      <c r="AQ3181" s="925" t="str">
        <f t="shared" si="516"/>
        <v>MR</v>
      </c>
      <c r="AR3181" s="1856">
        <f t="shared" si="524"/>
        <v>44912.058333333334</v>
      </c>
      <c r="AS3181" s="927" t="s">
        <v>1677</v>
      </c>
      <c r="AT3181" s="1856" t="str">
        <f t="shared" si="517"/>
        <v/>
      </c>
      <c r="AU3181" s="1856" t="str">
        <f t="shared" si="518"/>
        <v/>
      </c>
      <c r="AV3181" s="1856" t="str">
        <f t="shared" si="519"/>
        <v/>
      </c>
      <c r="AW3181" s="1856" t="str">
        <f t="shared" si="520"/>
        <v/>
      </c>
      <c r="AX3181" s="1856" t="str">
        <f t="shared" si="521"/>
        <v/>
      </c>
      <c r="AY3181" s="1856" t="str">
        <f t="shared" si="522"/>
        <v/>
      </c>
    </row>
    <row r="3182" spans="42:52">
      <c r="AP3182" s="1855">
        <f t="shared" si="523"/>
        <v>44912</v>
      </c>
      <c r="AQ3182" s="925" t="str">
        <f t="shared" si="516"/>
        <v>BMNT</v>
      </c>
      <c r="AR3182" s="1856">
        <f t="shared" si="524"/>
        <v>44912.285416666666</v>
      </c>
      <c r="AS3182" s="927" t="s">
        <v>1206</v>
      </c>
      <c r="AT3182" s="1856" t="str">
        <f t="shared" si="517"/>
        <v/>
      </c>
      <c r="AU3182" s="1856" t="str">
        <f t="shared" si="518"/>
        <v/>
      </c>
      <c r="AV3182" s="1856" t="str">
        <f t="shared" si="519"/>
        <v/>
      </c>
      <c r="AW3182" s="1856" t="str">
        <f t="shared" si="520"/>
        <v/>
      </c>
      <c r="AX3182" s="1856" t="str">
        <f t="shared" si="521"/>
        <v/>
      </c>
      <c r="AY3182" s="1856" t="str">
        <f t="shared" si="522"/>
        <v/>
      </c>
    </row>
    <row r="3183" spans="42:52">
      <c r="AP3183" s="1855">
        <f t="shared" si="523"/>
        <v>44912</v>
      </c>
      <c r="AQ3183" s="925" t="str">
        <f t="shared" si="516"/>
        <v>SR</v>
      </c>
      <c r="AR3183" s="1856">
        <f t="shared" si="524"/>
        <v>44912.328472222223</v>
      </c>
      <c r="AS3183" s="927" t="s">
        <v>1169</v>
      </c>
      <c r="AT3183" s="1856" t="str">
        <f t="shared" si="517"/>
        <v/>
      </c>
      <c r="AU3183" s="1856" t="str">
        <f t="shared" si="518"/>
        <v/>
      </c>
      <c r="AV3183" s="1856" t="str">
        <f t="shared" si="519"/>
        <v/>
      </c>
      <c r="AW3183" s="1856" t="str">
        <f t="shared" si="520"/>
        <v/>
      </c>
      <c r="AX3183" s="1856" t="str">
        <f t="shared" si="521"/>
        <v/>
      </c>
      <c r="AY3183" s="1856" t="str">
        <f t="shared" si="522"/>
        <v/>
      </c>
    </row>
    <row r="3184" spans="42:52">
      <c r="AP3184" s="1855">
        <f t="shared" si="523"/>
        <v>44912</v>
      </c>
      <c r="AQ3184" s="925" t="str">
        <f t="shared" si="516"/>
        <v>MS</v>
      </c>
      <c r="AR3184" s="1856">
        <f t="shared" si="524"/>
        <v>44912.568749999999</v>
      </c>
      <c r="AS3184" s="927" t="s">
        <v>2414</v>
      </c>
      <c r="AT3184" s="1856" t="str">
        <f t="shared" si="517"/>
        <v/>
      </c>
      <c r="AU3184" s="1856" t="str">
        <f t="shared" si="518"/>
        <v/>
      </c>
      <c r="AV3184" s="1856" t="str">
        <f t="shared" si="519"/>
        <v/>
      </c>
      <c r="AW3184" s="1856" t="str">
        <f t="shared" si="520"/>
        <v/>
      </c>
      <c r="AX3184" s="1856" t="str">
        <f t="shared" si="521"/>
        <v/>
      </c>
      <c r="AY3184" s="1856" t="str">
        <f t="shared" si="522"/>
        <v/>
      </c>
    </row>
    <row r="3185" spans="42:52">
      <c r="AP3185" s="1855">
        <f t="shared" si="523"/>
        <v>44912</v>
      </c>
      <c r="AQ3185" s="925" t="str">
        <f t="shared" si="516"/>
        <v>SS</v>
      </c>
      <c r="AR3185" s="1856">
        <f t="shared" si="524"/>
        <v>44912.726388888892</v>
      </c>
      <c r="AS3185" s="927" t="s">
        <v>2381</v>
      </c>
      <c r="AT3185" s="1856" t="str">
        <f t="shared" si="517"/>
        <v/>
      </c>
      <c r="AU3185" s="1856" t="str">
        <f t="shared" si="518"/>
        <v/>
      </c>
      <c r="AV3185" s="1856" t="str">
        <f t="shared" si="519"/>
        <v/>
      </c>
      <c r="AW3185" s="1856" t="str">
        <f t="shared" si="520"/>
        <v/>
      </c>
      <c r="AX3185" s="1856" t="str">
        <f t="shared" si="521"/>
        <v/>
      </c>
      <c r="AY3185" s="1856" t="str">
        <f t="shared" si="522"/>
        <v/>
      </c>
    </row>
    <row r="3186" spans="42:52">
      <c r="AP3186" s="1855">
        <f t="shared" si="523"/>
        <v>44912</v>
      </c>
      <c r="AQ3186" s="925" t="str">
        <f t="shared" si="516"/>
        <v>EENT</v>
      </c>
      <c r="AR3186" s="1856">
        <f t="shared" si="524"/>
        <v>44912.769444444442</v>
      </c>
      <c r="AS3186" s="927" t="s">
        <v>2375</v>
      </c>
      <c r="AT3186" s="1856" t="str">
        <f t="shared" si="517"/>
        <v/>
      </c>
      <c r="AU3186" s="1856" t="str">
        <f t="shared" si="518"/>
        <v/>
      </c>
      <c r="AV3186" s="1856" t="str">
        <f t="shared" si="519"/>
        <v/>
      </c>
      <c r="AW3186" s="1856" t="str">
        <f t="shared" si="520"/>
        <v/>
      </c>
      <c r="AX3186" s="1856" t="str">
        <f t="shared" si="521"/>
        <v/>
      </c>
      <c r="AY3186" s="1856" t="str">
        <f t="shared" si="522"/>
        <v/>
      </c>
    </row>
    <row r="3187" spans="42:52">
      <c r="AP3187" s="1855">
        <f t="shared" si="523"/>
        <v>44913</v>
      </c>
      <c r="AQ3187" s="925" t="str">
        <f t="shared" si="516"/>
        <v/>
      </c>
      <c r="AR3187" s="1856" t="str">
        <f t="shared" si="524"/>
        <v/>
      </c>
      <c r="AS3187" s="927">
        <v>18</v>
      </c>
      <c r="AT3187" s="1856">
        <f t="shared" si="517"/>
        <v>44913.285416666666</v>
      </c>
      <c r="AU3187" s="1856">
        <f t="shared" si="518"/>
        <v>44913.329166666663</v>
      </c>
      <c r="AV3187" s="1856">
        <f t="shared" si="519"/>
        <v>44913.726388888892</v>
      </c>
      <c r="AW3187" s="1856">
        <f t="shared" si="520"/>
        <v>44913.770138888889</v>
      </c>
      <c r="AX3187" s="1856">
        <f t="shared" si="521"/>
        <v>44913.102083333339</v>
      </c>
      <c r="AY3187" s="1856">
        <f t="shared" si="522"/>
        <v>44913.585416666669</v>
      </c>
      <c r="AZ3187" s="1853">
        <v>0.32</v>
      </c>
    </row>
    <row r="3188" spans="42:52">
      <c r="AP3188" s="1855">
        <f t="shared" si="523"/>
        <v>44913</v>
      </c>
      <c r="AQ3188" s="925" t="str">
        <f t="shared" ref="AQ3188:AQ3251" si="525">IF(NOT(ISNUMBER(FIND(":",AS3188))),"",IF(ISNUMBER(FIND("Sunr",AS3188)),"SR", IF(ISNUMBER(FIND("Suns",AS3188)),"SS",IF(ISNUMBER(FIND("Moonr",AS3188)),"MR",IF(ISNUMBER(FIND("Moons",AS3188)),"MS",IF(ISNUMBER(FIND("Twi",AS3188)),IF(HOUR(AR3188)&lt;12,"BMNT","EENT")))))))</f>
        <v/>
      </c>
      <c r="AR3188" s="1856" t="str">
        <f t="shared" si="524"/>
        <v/>
      </c>
      <c r="AS3188" s="927" t="s">
        <v>252</v>
      </c>
      <c r="AT3188" s="1856" t="str">
        <f t="shared" si="517"/>
        <v/>
      </c>
      <c r="AU3188" s="1856" t="str">
        <f t="shared" si="518"/>
        <v/>
      </c>
      <c r="AV3188" s="1856" t="str">
        <f t="shared" si="519"/>
        <v/>
      </c>
      <c r="AW3188" s="1856" t="str">
        <f t="shared" si="520"/>
        <v/>
      </c>
      <c r="AX3188" s="1856" t="str">
        <f t="shared" si="521"/>
        <v/>
      </c>
      <c r="AY3188" s="1856" t="str">
        <f t="shared" si="522"/>
        <v/>
      </c>
    </row>
    <row r="3189" spans="42:52">
      <c r="AP3189" s="1855">
        <f t="shared" si="523"/>
        <v>44913</v>
      </c>
      <c r="AQ3189" s="925" t="str">
        <f t="shared" si="525"/>
        <v/>
      </c>
      <c r="AR3189" s="1856" t="str">
        <f t="shared" si="524"/>
        <v/>
      </c>
      <c r="AT3189" s="1856" t="str">
        <f t="shared" si="517"/>
        <v/>
      </c>
      <c r="AU3189" s="1856" t="str">
        <f t="shared" si="518"/>
        <v/>
      </c>
      <c r="AV3189" s="1856" t="str">
        <f t="shared" si="519"/>
        <v/>
      </c>
      <c r="AW3189" s="1856" t="str">
        <f t="shared" si="520"/>
        <v/>
      </c>
      <c r="AX3189" s="1856" t="str">
        <f t="shared" si="521"/>
        <v/>
      </c>
      <c r="AY3189" s="1856" t="str">
        <f t="shared" si="522"/>
        <v/>
      </c>
    </row>
    <row r="3190" spans="42:52">
      <c r="AP3190" s="1855">
        <f t="shared" si="523"/>
        <v>44913</v>
      </c>
      <c r="AQ3190" s="925" t="str">
        <f t="shared" si="525"/>
        <v>MR</v>
      </c>
      <c r="AR3190" s="1856">
        <f t="shared" si="524"/>
        <v>44913.102083333339</v>
      </c>
      <c r="AS3190" s="927" t="s">
        <v>1683</v>
      </c>
      <c r="AT3190" s="1856" t="str">
        <f t="shared" si="517"/>
        <v/>
      </c>
      <c r="AU3190" s="1856" t="str">
        <f t="shared" si="518"/>
        <v/>
      </c>
      <c r="AV3190" s="1856" t="str">
        <f t="shared" si="519"/>
        <v/>
      </c>
      <c r="AW3190" s="1856" t="str">
        <f t="shared" si="520"/>
        <v/>
      </c>
      <c r="AX3190" s="1856" t="str">
        <f t="shared" si="521"/>
        <v/>
      </c>
      <c r="AY3190" s="1856" t="str">
        <f t="shared" si="522"/>
        <v/>
      </c>
    </row>
    <row r="3191" spans="42:52">
      <c r="AP3191" s="1855">
        <f t="shared" si="523"/>
        <v>44913</v>
      </c>
      <c r="AQ3191" s="925" t="str">
        <f t="shared" si="525"/>
        <v>BMNT</v>
      </c>
      <c r="AR3191" s="1856">
        <f t="shared" si="524"/>
        <v>44913.285416666666</v>
      </c>
      <c r="AS3191" s="927" t="s">
        <v>1206</v>
      </c>
      <c r="AT3191" s="1856" t="str">
        <f t="shared" si="517"/>
        <v/>
      </c>
      <c r="AU3191" s="1856" t="str">
        <f t="shared" si="518"/>
        <v/>
      </c>
      <c r="AV3191" s="1856" t="str">
        <f t="shared" si="519"/>
        <v/>
      </c>
      <c r="AW3191" s="1856" t="str">
        <f t="shared" si="520"/>
        <v/>
      </c>
      <c r="AX3191" s="1856" t="str">
        <f t="shared" si="521"/>
        <v/>
      </c>
      <c r="AY3191" s="1856" t="str">
        <f t="shared" si="522"/>
        <v/>
      </c>
    </row>
    <row r="3192" spans="42:52">
      <c r="AP3192" s="1855">
        <f t="shared" si="523"/>
        <v>44913</v>
      </c>
      <c r="AQ3192" s="925" t="str">
        <f t="shared" si="525"/>
        <v>SR</v>
      </c>
      <c r="AR3192" s="1856">
        <f t="shared" si="524"/>
        <v>44913.329166666663</v>
      </c>
      <c r="AS3192" s="927" t="s">
        <v>1147</v>
      </c>
      <c r="AT3192" s="1856" t="str">
        <f t="shared" si="517"/>
        <v/>
      </c>
      <c r="AU3192" s="1856" t="str">
        <f t="shared" si="518"/>
        <v/>
      </c>
      <c r="AV3192" s="1856" t="str">
        <f t="shared" si="519"/>
        <v/>
      </c>
      <c r="AW3192" s="1856" t="str">
        <f t="shared" si="520"/>
        <v/>
      </c>
      <c r="AX3192" s="1856" t="str">
        <f t="shared" si="521"/>
        <v/>
      </c>
      <c r="AY3192" s="1856" t="str">
        <f t="shared" si="522"/>
        <v/>
      </c>
    </row>
    <row r="3193" spans="42:52">
      <c r="AP3193" s="1855">
        <f t="shared" si="523"/>
        <v>44913</v>
      </c>
      <c r="AQ3193" s="925" t="str">
        <f t="shared" si="525"/>
        <v>MS</v>
      </c>
      <c r="AR3193" s="1856">
        <f t="shared" si="524"/>
        <v>44913.585416666669</v>
      </c>
      <c r="AS3193" s="927" t="s">
        <v>2415</v>
      </c>
      <c r="AT3193" s="1856" t="str">
        <f t="shared" si="517"/>
        <v/>
      </c>
      <c r="AU3193" s="1856" t="str">
        <f t="shared" si="518"/>
        <v/>
      </c>
      <c r="AV3193" s="1856" t="str">
        <f t="shared" si="519"/>
        <v/>
      </c>
      <c r="AW3193" s="1856" t="str">
        <f t="shared" si="520"/>
        <v/>
      </c>
      <c r="AX3193" s="1856" t="str">
        <f t="shared" si="521"/>
        <v/>
      </c>
      <c r="AY3193" s="1856" t="str">
        <f t="shared" si="522"/>
        <v/>
      </c>
    </row>
    <row r="3194" spans="42:52">
      <c r="AP3194" s="1855">
        <f t="shared" si="523"/>
        <v>44913</v>
      </c>
      <c r="AQ3194" s="925" t="str">
        <f t="shared" si="525"/>
        <v>SS</v>
      </c>
      <c r="AR3194" s="1856">
        <f t="shared" si="524"/>
        <v>44913.726388888892</v>
      </c>
      <c r="AS3194" s="927" t="s">
        <v>2381</v>
      </c>
      <c r="AT3194" s="1856" t="str">
        <f t="shared" si="517"/>
        <v/>
      </c>
      <c r="AU3194" s="1856" t="str">
        <f t="shared" si="518"/>
        <v/>
      </c>
      <c r="AV3194" s="1856" t="str">
        <f t="shared" si="519"/>
        <v/>
      </c>
      <c r="AW3194" s="1856" t="str">
        <f t="shared" si="520"/>
        <v/>
      </c>
      <c r="AX3194" s="1856" t="str">
        <f t="shared" si="521"/>
        <v/>
      </c>
      <c r="AY3194" s="1856" t="str">
        <f t="shared" si="522"/>
        <v/>
      </c>
    </row>
    <row r="3195" spans="42:52">
      <c r="AP3195" s="1855">
        <f t="shared" si="523"/>
        <v>44913</v>
      </c>
      <c r="AQ3195" s="925" t="str">
        <f t="shared" si="525"/>
        <v>EENT</v>
      </c>
      <c r="AR3195" s="1856">
        <f t="shared" si="524"/>
        <v>44913.770138888889</v>
      </c>
      <c r="AS3195" s="927" t="s">
        <v>2366</v>
      </c>
      <c r="AT3195" s="1856" t="str">
        <f t="shared" si="517"/>
        <v/>
      </c>
      <c r="AU3195" s="1856" t="str">
        <f t="shared" si="518"/>
        <v/>
      </c>
      <c r="AV3195" s="1856" t="str">
        <f t="shared" si="519"/>
        <v/>
      </c>
      <c r="AW3195" s="1856" t="str">
        <f t="shared" si="520"/>
        <v/>
      </c>
      <c r="AX3195" s="1856" t="str">
        <f t="shared" si="521"/>
        <v/>
      </c>
      <c r="AY3195" s="1856" t="str">
        <f t="shared" si="522"/>
        <v/>
      </c>
    </row>
    <row r="3196" spans="42:52">
      <c r="AP3196" s="1855">
        <f t="shared" si="523"/>
        <v>44914</v>
      </c>
      <c r="AQ3196" s="925" t="str">
        <f t="shared" si="525"/>
        <v/>
      </c>
      <c r="AR3196" s="1856" t="str">
        <f t="shared" si="524"/>
        <v/>
      </c>
      <c r="AS3196" s="927">
        <v>19</v>
      </c>
      <c r="AT3196" s="1856">
        <f t="shared" si="517"/>
        <v>44914.286111111112</v>
      </c>
      <c r="AU3196" s="1856">
        <f t="shared" si="518"/>
        <v>44914.329861111109</v>
      </c>
      <c r="AV3196" s="1856">
        <f t="shared" si="519"/>
        <v>44914.727083333339</v>
      </c>
      <c r="AW3196" s="1856">
        <f t="shared" si="520"/>
        <v>44914.770138888889</v>
      </c>
      <c r="AX3196" s="1856">
        <f t="shared" si="521"/>
        <v>44914.148611111108</v>
      </c>
      <c r="AY3196" s="1856">
        <f t="shared" si="522"/>
        <v>44914.604861111111</v>
      </c>
      <c r="AZ3196" s="1853">
        <v>0.22</v>
      </c>
    </row>
    <row r="3197" spans="42:52">
      <c r="AP3197" s="1855">
        <f t="shared" si="523"/>
        <v>44914</v>
      </c>
      <c r="AQ3197" s="925" t="str">
        <f t="shared" si="525"/>
        <v/>
      </c>
      <c r="AR3197" s="1856" t="str">
        <f t="shared" si="524"/>
        <v/>
      </c>
      <c r="AS3197" s="927" t="s">
        <v>252</v>
      </c>
      <c r="AT3197" s="1856" t="str">
        <f t="shared" si="517"/>
        <v/>
      </c>
      <c r="AU3197" s="1856" t="str">
        <f t="shared" si="518"/>
        <v/>
      </c>
      <c r="AV3197" s="1856" t="str">
        <f t="shared" si="519"/>
        <v/>
      </c>
      <c r="AW3197" s="1856" t="str">
        <f t="shared" si="520"/>
        <v/>
      </c>
      <c r="AX3197" s="1856" t="str">
        <f t="shared" si="521"/>
        <v/>
      </c>
      <c r="AY3197" s="1856" t="str">
        <f t="shared" si="522"/>
        <v/>
      </c>
    </row>
    <row r="3198" spans="42:52">
      <c r="AP3198" s="1855">
        <f t="shared" si="523"/>
        <v>44914</v>
      </c>
      <c r="AQ3198" s="925" t="str">
        <f t="shared" si="525"/>
        <v/>
      </c>
      <c r="AR3198" s="1856" t="str">
        <f t="shared" si="524"/>
        <v/>
      </c>
      <c r="AT3198" s="1856" t="str">
        <f t="shared" si="517"/>
        <v/>
      </c>
      <c r="AU3198" s="1856" t="str">
        <f t="shared" si="518"/>
        <v/>
      </c>
      <c r="AV3198" s="1856" t="str">
        <f t="shared" si="519"/>
        <v/>
      </c>
      <c r="AW3198" s="1856" t="str">
        <f t="shared" si="520"/>
        <v/>
      </c>
      <c r="AX3198" s="1856" t="str">
        <f t="shared" si="521"/>
        <v/>
      </c>
      <c r="AY3198" s="1856" t="str">
        <f t="shared" si="522"/>
        <v/>
      </c>
    </row>
    <row r="3199" spans="42:52">
      <c r="AP3199" s="1855">
        <f t="shared" si="523"/>
        <v>44914</v>
      </c>
      <c r="AQ3199" s="925" t="str">
        <f t="shared" si="525"/>
        <v>MR</v>
      </c>
      <c r="AR3199" s="1856">
        <f t="shared" si="524"/>
        <v>44914.148611111108</v>
      </c>
      <c r="AS3199" s="927" t="s">
        <v>2416</v>
      </c>
      <c r="AT3199" s="1856" t="str">
        <f t="shared" si="517"/>
        <v/>
      </c>
      <c r="AU3199" s="1856" t="str">
        <f t="shared" si="518"/>
        <v/>
      </c>
      <c r="AV3199" s="1856" t="str">
        <f t="shared" si="519"/>
        <v/>
      </c>
      <c r="AW3199" s="1856" t="str">
        <f t="shared" si="520"/>
        <v/>
      </c>
      <c r="AX3199" s="1856" t="str">
        <f t="shared" si="521"/>
        <v/>
      </c>
      <c r="AY3199" s="1856" t="str">
        <f t="shared" si="522"/>
        <v/>
      </c>
    </row>
    <row r="3200" spans="42:52">
      <c r="AP3200" s="1855">
        <f t="shared" si="523"/>
        <v>44914</v>
      </c>
      <c r="AQ3200" s="925" t="str">
        <f t="shared" si="525"/>
        <v>BMNT</v>
      </c>
      <c r="AR3200" s="1856">
        <f t="shared" si="524"/>
        <v>44914.286111111112</v>
      </c>
      <c r="AS3200" s="927" t="s">
        <v>1193</v>
      </c>
      <c r="AT3200" s="1856" t="str">
        <f t="shared" si="517"/>
        <v/>
      </c>
      <c r="AU3200" s="1856" t="str">
        <f t="shared" si="518"/>
        <v/>
      </c>
      <c r="AV3200" s="1856" t="str">
        <f t="shared" si="519"/>
        <v/>
      </c>
      <c r="AW3200" s="1856" t="str">
        <f t="shared" si="520"/>
        <v/>
      </c>
      <c r="AX3200" s="1856" t="str">
        <f t="shared" si="521"/>
        <v/>
      </c>
      <c r="AY3200" s="1856" t="str">
        <f t="shared" si="522"/>
        <v/>
      </c>
    </row>
    <row r="3201" spans="42:52">
      <c r="AP3201" s="1855">
        <f t="shared" si="523"/>
        <v>44914</v>
      </c>
      <c r="AQ3201" s="925" t="str">
        <f t="shared" si="525"/>
        <v>SR</v>
      </c>
      <c r="AR3201" s="1856">
        <f t="shared" si="524"/>
        <v>44914.329861111109</v>
      </c>
      <c r="AS3201" s="927" t="s">
        <v>1119</v>
      </c>
      <c r="AT3201" s="1856" t="str">
        <f t="shared" si="517"/>
        <v/>
      </c>
      <c r="AU3201" s="1856" t="str">
        <f t="shared" si="518"/>
        <v/>
      </c>
      <c r="AV3201" s="1856" t="str">
        <f t="shared" si="519"/>
        <v/>
      </c>
      <c r="AW3201" s="1856" t="str">
        <f t="shared" si="520"/>
        <v/>
      </c>
      <c r="AX3201" s="1856" t="str">
        <f t="shared" si="521"/>
        <v/>
      </c>
      <c r="AY3201" s="1856" t="str">
        <f t="shared" si="522"/>
        <v/>
      </c>
    </row>
    <row r="3202" spans="42:52">
      <c r="AP3202" s="1855">
        <f t="shared" si="523"/>
        <v>44914</v>
      </c>
      <c r="AQ3202" s="925" t="str">
        <f t="shared" si="525"/>
        <v>MS</v>
      </c>
      <c r="AR3202" s="1856">
        <f t="shared" si="524"/>
        <v>44914.604861111111</v>
      </c>
      <c r="AS3202" s="927" t="s">
        <v>2417</v>
      </c>
      <c r="AT3202" s="1856" t="str">
        <f t="shared" si="517"/>
        <v/>
      </c>
      <c r="AU3202" s="1856" t="str">
        <f t="shared" si="518"/>
        <v/>
      </c>
      <c r="AV3202" s="1856" t="str">
        <f t="shared" si="519"/>
        <v/>
      </c>
      <c r="AW3202" s="1856" t="str">
        <f t="shared" si="520"/>
        <v/>
      </c>
      <c r="AX3202" s="1856" t="str">
        <f t="shared" si="521"/>
        <v/>
      </c>
      <c r="AY3202" s="1856" t="str">
        <f t="shared" si="522"/>
        <v/>
      </c>
    </row>
    <row r="3203" spans="42:52">
      <c r="AP3203" s="1855">
        <f t="shared" si="523"/>
        <v>44914</v>
      </c>
      <c r="AQ3203" s="925" t="str">
        <f t="shared" si="525"/>
        <v>SS</v>
      </c>
      <c r="AR3203" s="1856">
        <f t="shared" si="524"/>
        <v>44914.727083333339</v>
      </c>
      <c r="AS3203" s="927" t="s">
        <v>2373</v>
      </c>
      <c r="AT3203" s="1856" t="str">
        <f t="shared" si="517"/>
        <v/>
      </c>
      <c r="AU3203" s="1856" t="str">
        <f t="shared" si="518"/>
        <v/>
      </c>
      <c r="AV3203" s="1856" t="str">
        <f t="shared" si="519"/>
        <v/>
      </c>
      <c r="AW3203" s="1856" t="str">
        <f t="shared" si="520"/>
        <v/>
      </c>
      <c r="AX3203" s="1856" t="str">
        <f t="shared" si="521"/>
        <v/>
      </c>
      <c r="AY3203" s="1856" t="str">
        <f t="shared" si="522"/>
        <v/>
      </c>
    </row>
    <row r="3204" spans="42:52">
      <c r="AP3204" s="1855">
        <f t="shared" si="523"/>
        <v>44914</v>
      </c>
      <c r="AQ3204" s="925" t="str">
        <f t="shared" si="525"/>
        <v>EENT</v>
      </c>
      <c r="AR3204" s="1856">
        <f t="shared" si="524"/>
        <v>44914.770138888889</v>
      </c>
      <c r="AS3204" s="927" t="s">
        <v>2366</v>
      </c>
      <c r="AT3204" s="1856" t="str">
        <f t="shared" si="517"/>
        <v/>
      </c>
      <c r="AU3204" s="1856" t="str">
        <f t="shared" si="518"/>
        <v/>
      </c>
      <c r="AV3204" s="1856" t="str">
        <f t="shared" si="519"/>
        <v/>
      </c>
      <c r="AW3204" s="1856" t="str">
        <f t="shared" si="520"/>
        <v/>
      </c>
      <c r="AX3204" s="1856" t="str">
        <f t="shared" si="521"/>
        <v/>
      </c>
      <c r="AY3204" s="1856" t="str">
        <f t="shared" si="522"/>
        <v/>
      </c>
    </row>
    <row r="3205" spans="42:52">
      <c r="AP3205" s="1855">
        <f t="shared" si="523"/>
        <v>44915</v>
      </c>
      <c r="AQ3205" s="925" t="str">
        <f t="shared" si="525"/>
        <v/>
      </c>
      <c r="AR3205" s="1856" t="str">
        <f t="shared" si="524"/>
        <v/>
      </c>
      <c r="AS3205" s="927">
        <v>20</v>
      </c>
      <c r="AT3205" s="1856">
        <f t="shared" si="517"/>
        <v>44915.286805555559</v>
      </c>
      <c r="AU3205" s="1856">
        <f t="shared" si="518"/>
        <v>44915.329861111109</v>
      </c>
      <c r="AV3205" s="1856">
        <f t="shared" si="519"/>
        <v>44915.727083333339</v>
      </c>
      <c r="AW3205" s="1856">
        <f t="shared" si="520"/>
        <v>44915.770833333336</v>
      </c>
      <c r="AX3205" s="1856">
        <f t="shared" si="521"/>
        <v>44915.197916666664</v>
      </c>
      <c r="AY3205" s="1856">
        <f t="shared" si="522"/>
        <v>44915.62777777778</v>
      </c>
      <c r="AZ3205" s="1853">
        <v>0.14000000000000001</v>
      </c>
    </row>
    <row r="3206" spans="42:52">
      <c r="AP3206" s="1855">
        <f t="shared" si="523"/>
        <v>44915</v>
      </c>
      <c r="AQ3206" s="925" t="str">
        <f t="shared" si="525"/>
        <v/>
      </c>
      <c r="AR3206" s="1856" t="str">
        <f t="shared" si="524"/>
        <v/>
      </c>
      <c r="AS3206" s="927" t="s">
        <v>252</v>
      </c>
      <c r="AT3206" s="1856" t="str">
        <f t="shared" si="517"/>
        <v/>
      </c>
      <c r="AU3206" s="1856" t="str">
        <f t="shared" si="518"/>
        <v/>
      </c>
      <c r="AV3206" s="1856" t="str">
        <f t="shared" si="519"/>
        <v/>
      </c>
      <c r="AW3206" s="1856" t="str">
        <f t="shared" si="520"/>
        <v/>
      </c>
      <c r="AX3206" s="1856" t="str">
        <f t="shared" si="521"/>
        <v/>
      </c>
      <c r="AY3206" s="1856" t="str">
        <f t="shared" si="522"/>
        <v/>
      </c>
    </row>
    <row r="3207" spans="42:52">
      <c r="AP3207" s="1855">
        <f t="shared" si="523"/>
        <v>44915</v>
      </c>
      <c r="AQ3207" s="925" t="str">
        <f t="shared" si="525"/>
        <v/>
      </c>
      <c r="AR3207" s="1856" t="str">
        <f t="shared" si="524"/>
        <v/>
      </c>
      <c r="AT3207" s="1856" t="str">
        <f t="shared" si="517"/>
        <v/>
      </c>
      <c r="AU3207" s="1856" t="str">
        <f t="shared" si="518"/>
        <v/>
      </c>
      <c r="AV3207" s="1856" t="str">
        <f t="shared" si="519"/>
        <v/>
      </c>
      <c r="AW3207" s="1856" t="str">
        <f t="shared" si="520"/>
        <v/>
      </c>
      <c r="AX3207" s="1856" t="str">
        <f t="shared" si="521"/>
        <v/>
      </c>
      <c r="AY3207" s="1856" t="str">
        <f t="shared" si="522"/>
        <v/>
      </c>
    </row>
    <row r="3208" spans="42:52">
      <c r="AP3208" s="1855">
        <f t="shared" si="523"/>
        <v>44915</v>
      </c>
      <c r="AQ3208" s="925" t="str">
        <f t="shared" si="525"/>
        <v>MR</v>
      </c>
      <c r="AR3208" s="1856">
        <f t="shared" si="524"/>
        <v>44915.197916666664</v>
      </c>
      <c r="AS3208" s="927" t="s">
        <v>2418</v>
      </c>
      <c r="AT3208" s="1856" t="str">
        <f t="shared" si="517"/>
        <v/>
      </c>
      <c r="AU3208" s="1856" t="str">
        <f t="shared" si="518"/>
        <v/>
      </c>
      <c r="AV3208" s="1856" t="str">
        <f t="shared" si="519"/>
        <v/>
      </c>
      <c r="AW3208" s="1856" t="str">
        <f t="shared" si="520"/>
        <v/>
      </c>
      <c r="AX3208" s="1856" t="str">
        <f t="shared" si="521"/>
        <v/>
      </c>
      <c r="AY3208" s="1856" t="str">
        <f t="shared" si="522"/>
        <v/>
      </c>
    </row>
    <row r="3209" spans="42:52">
      <c r="AP3209" s="1855">
        <f t="shared" si="523"/>
        <v>44915</v>
      </c>
      <c r="AQ3209" s="925" t="str">
        <f t="shared" si="525"/>
        <v>BMNT</v>
      </c>
      <c r="AR3209" s="1856">
        <f t="shared" si="524"/>
        <v>44915.286805555559</v>
      </c>
      <c r="AS3209" s="927" t="s">
        <v>1168</v>
      </c>
      <c r="AT3209" s="1856" t="str">
        <f t="shared" si="517"/>
        <v/>
      </c>
      <c r="AU3209" s="1856" t="str">
        <f t="shared" si="518"/>
        <v/>
      </c>
      <c r="AV3209" s="1856" t="str">
        <f t="shared" si="519"/>
        <v/>
      </c>
      <c r="AW3209" s="1856" t="str">
        <f t="shared" si="520"/>
        <v/>
      </c>
      <c r="AX3209" s="1856" t="str">
        <f t="shared" si="521"/>
        <v/>
      </c>
      <c r="AY3209" s="1856" t="str">
        <f t="shared" si="522"/>
        <v/>
      </c>
    </row>
    <row r="3210" spans="42:52">
      <c r="AP3210" s="1855">
        <f t="shared" si="523"/>
        <v>44915</v>
      </c>
      <c r="AQ3210" s="925" t="str">
        <f t="shared" si="525"/>
        <v>SR</v>
      </c>
      <c r="AR3210" s="1856">
        <f t="shared" si="524"/>
        <v>44915.329861111109</v>
      </c>
      <c r="AS3210" s="927" t="s">
        <v>1119</v>
      </c>
      <c r="AT3210" s="1856" t="str">
        <f t="shared" si="517"/>
        <v/>
      </c>
      <c r="AU3210" s="1856" t="str">
        <f t="shared" si="518"/>
        <v/>
      </c>
      <c r="AV3210" s="1856" t="str">
        <f t="shared" si="519"/>
        <v/>
      </c>
      <c r="AW3210" s="1856" t="str">
        <f t="shared" si="520"/>
        <v/>
      </c>
      <c r="AX3210" s="1856" t="str">
        <f t="shared" si="521"/>
        <v/>
      </c>
      <c r="AY3210" s="1856" t="str">
        <f t="shared" si="522"/>
        <v/>
      </c>
    </row>
    <row r="3211" spans="42:52">
      <c r="AP3211" s="1855">
        <f t="shared" si="523"/>
        <v>44915</v>
      </c>
      <c r="AQ3211" s="925" t="str">
        <f t="shared" si="525"/>
        <v>MS</v>
      </c>
      <c r="AR3211" s="1856">
        <f t="shared" si="524"/>
        <v>44915.62777777778</v>
      </c>
      <c r="AS3211" s="927" t="s">
        <v>2419</v>
      </c>
      <c r="AT3211" s="1856" t="str">
        <f t="shared" si="517"/>
        <v/>
      </c>
      <c r="AU3211" s="1856" t="str">
        <f t="shared" si="518"/>
        <v/>
      </c>
      <c r="AV3211" s="1856" t="str">
        <f t="shared" si="519"/>
        <v/>
      </c>
      <c r="AW3211" s="1856" t="str">
        <f t="shared" si="520"/>
        <v/>
      </c>
      <c r="AX3211" s="1856" t="str">
        <f t="shared" si="521"/>
        <v/>
      </c>
      <c r="AY3211" s="1856" t="str">
        <f t="shared" si="522"/>
        <v/>
      </c>
    </row>
    <row r="3212" spans="42:52">
      <c r="AP3212" s="1855">
        <f t="shared" si="523"/>
        <v>44915</v>
      </c>
      <c r="AQ3212" s="925" t="str">
        <f t="shared" si="525"/>
        <v>SS</v>
      </c>
      <c r="AR3212" s="1856">
        <f t="shared" si="524"/>
        <v>44915.727083333339</v>
      </c>
      <c r="AS3212" s="927" t="s">
        <v>2373</v>
      </c>
      <c r="AT3212" s="1856" t="str">
        <f t="shared" si="517"/>
        <v/>
      </c>
      <c r="AU3212" s="1856" t="str">
        <f t="shared" si="518"/>
        <v/>
      </c>
      <c r="AV3212" s="1856" t="str">
        <f t="shared" si="519"/>
        <v/>
      </c>
      <c r="AW3212" s="1856" t="str">
        <f t="shared" si="520"/>
        <v/>
      </c>
      <c r="AX3212" s="1856" t="str">
        <f t="shared" si="521"/>
        <v/>
      </c>
      <c r="AY3212" s="1856" t="str">
        <f t="shared" si="522"/>
        <v/>
      </c>
    </row>
    <row r="3213" spans="42:52">
      <c r="AP3213" s="1855">
        <f t="shared" si="523"/>
        <v>44915</v>
      </c>
      <c r="AQ3213" s="925" t="str">
        <f t="shared" si="525"/>
        <v>EENT</v>
      </c>
      <c r="AR3213" s="1856">
        <f t="shared" si="524"/>
        <v>44915.770833333336</v>
      </c>
      <c r="AS3213" s="927" t="s">
        <v>2360</v>
      </c>
      <c r="AT3213" s="1856" t="str">
        <f t="shared" si="517"/>
        <v/>
      </c>
      <c r="AU3213" s="1856" t="str">
        <f t="shared" si="518"/>
        <v/>
      </c>
      <c r="AV3213" s="1856" t="str">
        <f t="shared" si="519"/>
        <v/>
      </c>
      <c r="AW3213" s="1856" t="str">
        <f t="shared" si="520"/>
        <v/>
      </c>
      <c r="AX3213" s="1856" t="str">
        <f t="shared" si="521"/>
        <v/>
      </c>
      <c r="AY3213" s="1856" t="str">
        <f t="shared" si="522"/>
        <v/>
      </c>
    </row>
    <row r="3214" spans="42:52">
      <c r="AP3214" s="1855">
        <f t="shared" si="523"/>
        <v>44916</v>
      </c>
      <c r="AQ3214" s="925" t="str">
        <f t="shared" si="525"/>
        <v/>
      </c>
      <c r="AR3214" s="1856" t="str">
        <f t="shared" si="524"/>
        <v/>
      </c>
      <c r="AS3214" s="927">
        <v>21</v>
      </c>
      <c r="AT3214" s="1856">
        <f t="shared" si="517"/>
        <v>44916.286805555559</v>
      </c>
      <c r="AU3214" s="1856">
        <f t="shared" si="518"/>
        <v>44916.330555555556</v>
      </c>
      <c r="AV3214" s="1856">
        <f t="shared" si="519"/>
        <v>44916.727777777778</v>
      </c>
      <c r="AW3214" s="1856">
        <f t="shared" si="520"/>
        <v>44916.770833333336</v>
      </c>
      <c r="AX3214" s="1856">
        <f t="shared" si="521"/>
        <v>44916.249305555561</v>
      </c>
      <c r="AY3214" s="1856">
        <f t="shared" si="522"/>
        <v>44916.656944444447</v>
      </c>
      <c r="AZ3214" s="1853">
        <v>7.0000000000000007E-2</v>
      </c>
    </row>
    <row r="3215" spans="42:52">
      <c r="AP3215" s="1855">
        <f t="shared" si="523"/>
        <v>44916</v>
      </c>
      <c r="AQ3215" s="925" t="str">
        <f t="shared" si="525"/>
        <v/>
      </c>
      <c r="AR3215" s="1856" t="str">
        <f t="shared" si="524"/>
        <v/>
      </c>
      <c r="AS3215" s="927" t="s">
        <v>252</v>
      </c>
      <c r="AT3215" s="1856" t="str">
        <f t="shared" si="517"/>
        <v/>
      </c>
      <c r="AU3215" s="1856" t="str">
        <f t="shared" si="518"/>
        <v/>
      </c>
      <c r="AV3215" s="1856" t="str">
        <f t="shared" si="519"/>
        <v/>
      </c>
      <c r="AW3215" s="1856" t="str">
        <f t="shared" si="520"/>
        <v/>
      </c>
      <c r="AX3215" s="1856" t="str">
        <f t="shared" si="521"/>
        <v/>
      </c>
      <c r="AY3215" s="1856" t="str">
        <f t="shared" si="522"/>
        <v/>
      </c>
    </row>
    <row r="3216" spans="42:52">
      <c r="AP3216" s="1855">
        <f t="shared" si="523"/>
        <v>44916</v>
      </c>
      <c r="AQ3216" s="925" t="str">
        <f t="shared" si="525"/>
        <v/>
      </c>
      <c r="AR3216" s="1856" t="str">
        <f t="shared" si="524"/>
        <v/>
      </c>
      <c r="AT3216" s="1856" t="str">
        <f t="shared" si="517"/>
        <v/>
      </c>
      <c r="AU3216" s="1856" t="str">
        <f t="shared" si="518"/>
        <v/>
      </c>
      <c r="AV3216" s="1856" t="str">
        <f t="shared" si="519"/>
        <v/>
      </c>
      <c r="AW3216" s="1856" t="str">
        <f t="shared" si="520"/>
        <v/>
      </c>
      <c r="AX3216" s="1856" t="str">
        <f t="shared" si="521"/>
        <v/>
      </c>
      <c r="AY3216" s="1856" t="str">
        <f t="shared" si="522"/>
        <v/>
      </c>
    </row>
    <row r="3217" spans="42:52">
      <c r="AP3217" s="1855">
        <f t="shared" si="523"/>
        <v>44916</v>
      </c>
      <c r="AQ3217" s="925" t="str">
        <f t="shared" si="525"/>
        <v>MR</v>
      </c>
      <c r="AR3217" s="1856">
        <f t="shared" si="524"/>
        <v>44916.249305555561</v>
      </c>
      <c r="AS3217" s="927" t="s">
        <v>1716</v>
      </c>
      <c r="AT3217" s="1856" t="str">
        <f t="shared" si="517"/>
        <v/>
      </c>
      <c r="AU3217" s="1856" t="str">
        <f t="shared" si="518"/>
        <v/>
      </c>
      <c r="AV3217" s="1856" t="str">
        <f t="shared" si="519"/>
        <v/>
      </c>
      <c r="AW3217" s="1856" t="str">
        <f t="shared" si="520"/>
        <v/>
      </c>
      <c r="AX3217" s="1856" t="str">
        <f t="shared" si="521"/>
        <v/>
      </c>
      <c r="AY3217" s="1856" t="str">
        <f t="shared" si="522"/>
        <v/>
      </c>
    </row>
    <row r="3218" spans="42:52">
      <c r="AP3218" s="1855">
        <f t="shared" si="523"/>
        <v>44916</v>
      </c>
      <c r="AQ3218" s="925" t="str">
        <f t="shared" si="525"/>
        <v>BMNT</v>
      </c>
      <c r="AR3218" s="1856">
        <f t="shared" si="524"/>
        <v>44916.286805555559</v>
      </c>
      <c r="AS3218" s="927" t="s">
        <v>1168</v>
      </c>
      <c r="AT3218" s="1856" t="str">
        <f t="shared" si="517"/>
        <v/>
      </c>
      <c r="AU3218" s="1856" t="str">
        <f t="shared" si="518"/>
        <v/>
      </c>
      <c r="AV3218" s="1856" t="str">
        <f t="shared" si="519"/>
        <v/>
      </c>
      <c r="AW3218" s="1856" t="str">
        <f t="shared" si="520"/>
        <v/>
      </c>
      <c r="AX3218" s="1856" t="str">
        <f t="shared" si="521"/>
        <v/>
      </c>
      <c r="AY3218" s="1856" t="str">
        <f t="shared" si="522"/>
        <v/>
      </c>
    </row>
    <row r="3219" spans="42:52">
      <c r="AP3219" s="1855">
        <f t="shared" si="523"/>
        <v>44916</v>
      </c>
      <c r="AQ3219" s="925" t="str">
        <f t="shared" si="525"/>
        <v>SR</v>
      </c>
      <c r="AR3219" s="1856">
        <f t="shared" si="524"/>
        <v>44916.330555555556</v>
      </c>
      <c r="AS3219" s="927" t="s">
        <v>1094</v>
      </c>
      <c r="AT3219" s="1856" t="str">
        <f t="shared" si="517"/>
        <v/>
      </c>
      <c r="AU3219" s="1856" t="str">
        <f t="shared" si="518"/>
        <v/>
      </c>
      <c r="AV3219" s="1856" t="str">
        <f t="shared" si="519"/>
        <v/>
      </c>
      <c r="AW3219" s="1856" t="str">
        <f t="shared" si="520"/>
        <v/>
      </c>
      <c r="AX3219" s="1856" t="str">
        <f t="shared" si="521"/>
        <v/>
      </c>
      <c r="AY3219" s="1856" t="str">
        <f t="shared" si="522"/>
        <v/>
      </c>
    </row>
    <row r="3220" spans="42:52">
      <c r="AP3220" s="1855">
        <f t="shared" si="523"/>
        <v>44916</v>
      </c>
      <c r="AQ3220" s="925" t="str">
        <f t="shared" si="525"/>
        <v>MS</v>
      </c>
      <c r="AR3220" s="1856">
        <f t="shared" si="524"/>
        <v>44916.656944444447</v>
      </c>
      <c r="AS3220" s="927" t="s">
        <v>2420</v>
      </c>
      <c r="AT3220" s="1856" t="str">
        <f t="shared" si="517"/>
        <v/>
      </c>
      <c r="AU3220" s="1856" t="str">
        <f t="shared" si="518"/>
        <v/>
      </c>
      <c r="AV3220" s="1856" t="str">
        <f t="shared" si="519"/>
        <v/>
      </c>
      <c r="AW3220" s="1856" t="str">
        <f t="shared" si="520"/>
        <v/>
      </c>
      <c r="AX3220" s="1856" t="str">
        <f t="shared" si="521"/>
        <v/>
      </c>
      <c r="AY3220" s="1856" t="str">
        <f t="shared" si="522"/>
        <v/>
      </c>
    </row>
    <row r="3221" spans="42:52">
      <c r="AP3221" s="1855">
        <f t="shared" si="523"/>
        <v>44916</v>
      </c>
      <c r="AQ3221" s="925" t="str">
        <f t="shared" si="525"/>
        <v>SS</v>
      </c>
      <c r="AR3221" s="1856">
        <f t="shared" si="524"/>
        <v>44916.727777777778</v>
      </c>
      <c r="AS3221" s="927" t="s">
        <v>2369</v>
      </c>
      <c r="AT3221" s="1856" t="str">
        <f t="shared" si="517"/>
        <v/>
      </c>
      <c r="AU3221" s="1856" t="str">
        <f t="shared" si="518"/>
        <v/>
      </c>
      <c r="AV3221" s="1856" t="str">
        <f t="shared" si="519"/>
        <v/>
      </c>
      <c r="AW3221" s="1856" t="str">
        <f t="shared" si="520"/>
        <v/>
      </c>
      <c r="AX3221" s="1856" t="str">
        <f t="shared" si="521"/>
        <v/>
      </c>
      <c r="AY3221" s="1856" t="str">
        <f t="shared" si="522"/>
        <v/>
      </c>
    </row>
    <row r="3222" spans="42:52">
      <c r="AP3222" s="1855">
        <f t="shared" si="523"/>
        <v>44916</v>
      </c>
      <c r="AQ3222" s="925" t="str">
        <f t="shared" si="525"/>
        <v>EENT</v>
      </c>
      <c r="AR3222" s="1856">
        <f t="shared" si="524"/>
        <v>44916.770833333336</v>
      </c>
      <c r="AS3222" s="927" t="s">
        <v>2360</v>
      </c>
      <c r="AT3222" s="1856" t="str">
        <f t="shared" si="517"/>
        <v/>
      </c>
      <c r="AU3222" s="1856" t="str">
        <f t="shared" si="518"/>
        <v/>
      </c>
      <c r="AV3222" s="1856" t="str">
        <f t="shared" si="519"/>
        <v/>
      </c>
      <c r="AW3222" s="1856" t="str">
        <f t="shared" si="520"/>
        <v/>
      </c>
      <c r="AX3222" s="1856" t="str">
        <f t="shared" si="521"/>
        <v/>
      </c>
      <c r="AY3222" s="1856" t="str">
        <f t="shared" si="522"/>
        <v/>
      </c>
    </row>
    <row r="3223" spans="42:52">
      <c r="AP3223" s="1855">
        <f t="shared" si="523"/>
        <v>44917</v>
      </c>
      <c r="AQ3223" s="925" t="str">
        <f t="shared" si="525"/>
        <v/>
      </c>
      <c r="AR3223" s="1856" t="str">
        <f t="shared" si="524"/>
        <v/>
      </c>
      <c r="AS3223" s="927">
        <v>22</v>
      </c>
      <c r="AT3223" s="1856">
        <f t="shared" si="517"/>
        <v>44917.287499999999</v>
      </c>
      <c r="AU3223" s="1856">
        <f t="shared" si="518"/>
        <v>44917.330555555556</v>
      </c>
      <c r="AV3223" s="1856">
        <f t="shared" si="519"/>
        <v>44917.727777777778</v>
      </c>
      <c r="AW3223" s="1856">
        <f t="shared" si="520"/>
        <v>44917.771527777775</v>
      </c>
      <c r="AX3223" s="1856">
        <f t="shared" si="521"/>
        <v>44917.302083333328</v>
      </c>
      <c r="AY3223" s="1856">
        <f t="shared" si="522"/>
        <v>44917.692361111105</v>
      </c>
      <c r="AZ3223" s="1853">
        <v>0.02</v>
      </c>
    </row>
    <row r="3224" spans="42:52">
      <c r="AP3224" s="1855">
        <f t="shared" si="523"/>
        <v>44917</v>
      </c>
      <c r="AQ3224" s="925" t="str">
        <f t="shared" si="525"/>
        <v/>
      </c>
      <c r="AR3224" s="1856" t="str">
        <f t="shared" si="524"/>
        <v/>
      </c>
      <c r="AS3224" s="927" t="s">
        <v>252</v>
      </c>
      <c r="AT3224" s="1856" t="str">
        <f t="shared" si="517"/>
        <v/>
      </c>
      <c r="AU3224" s="1856" t="str">
        <f t="shared" si="518"/>
        <v/>
      </c>
      <c r="AV3224" s="1856" t="str">
        <f t="shared" si="519"/>
        <v/>
      </c>
      <c r="AW3224" s="1856" t="str">
        <f t="shared" si="520"/>
        <v/>
      </c>
      <c r="AX3224" s="1856" t="str">
        <f t="shared" si="521"/>
        <v/>
      </c>
      <c r="AY3224" s="1856" t="str">
        <f t="shared" si="522"/>
        <v/>
      </c>
    </row>
    <row r="3225" spans="42:52">
      <c r="AP3225" s="1855">
        <f t="shared" si="523"/>
        <v>44917</v>
      </c>
      <c r="AQ3225" s="925" t="str">
        <f t="shared" si="525"/>
        <v/>
      </c>
      <c r="AR3225" s="1856" t="str">
        <f t="shared" si="524"/>
        <v/>
      </c>
      <c r="AT3225" s="1856" t="str">
        <f t="shared" si="517"/>
        <v/>
      </c>
      <c r="AU3225" s="1856" t="str">
        <f t="shared" si="518"/>
        <v/>
      </c>
      <c r="AV3225" s="1856" t="str">
        <f t="shared" si="519"/>
        <v/>
      </c>
      <c r="AW3225" s="1856" t="str">
        <f t="shared" si="520"/>
        <v/>
      </c>
      <c r="AX3225" s="1856" t="str">
        <f t="shared" si="521"/>
        <v/>
      </c>
      <c r="AY3225" s="1856" t="str">
        <f t="shared" si="522"/>
        <v/>
      </c>
    </row>
    <row r="3226" spans="42:52">
      <c r="AP3226" s="1855">
        <f t="shared" si="523"/>
        <v>44917</v>
      </c>
      <c r="AQ3226" s="925" t="str">
        <f t="shared" si="525"/>
        <v>BMNT</v>
      </c>
      <c r="AR3226" s="1856">
        <f t="shared" si="524"/>
        <v>44917.287499999999</v>
      </c>
      <c r="AS3226" s="927" t="s">
        <v>1145</v>
      </c>
      <c r="AT3226" s="1856" t="str">
        <f t="shared" si="517"/>
        <v/>
      </c>
      <c r="AU3226" s="1856" t="str">
        <f t="shared" si="518"/>
        <v/>
      </c>
      <c r="AV3226" s="1856" t="str">
        <f t="shared" si="519"/>
        <v/>
      </c>
      <c r="AW3226" s="1856" t="str">
        <f t="shared" si="520"/>
        <v/>
      </c>
      <c r="AX3226" s="1856" t="str">
        <f t="shared" si="521"/>
        <v/>
      </c>
      <c r="AY3226" s="1856" t="str">
        <f t="shared" si="522"/>
        <v/>
      </c>
    </row>
    <row r="3227" spans="42:52">
      <c r="AP3227" s="1855">
        <f t="shared" si="523"/>
        <v>44917</v>
      </c>
      <c r="AQ3227" s="925" t="str">
        <f t="shared" si="525"/>
        <v>MR</v>
      </c>
      <c r="AR3227" s="1856">
        <f t="shared" si="524"/>
        <v>44917.302083333328</v>
      </c>
      <c r="AS3227" s="927" t="s">
        <v>2094</v>
      </c>
      <c r="AT3227" s="1856" t="str">
        <f t="shared" si="517"/>
        <v/>
      </c>
      <c r="AU3227" s="1856" t="str">
        <f t="shared" si="518"/>
        <v/>
      </c>
      <c r="AV3227" s="1856" t="str">
        <f t="shared" si="519"/>
        <v/>
      </c>
      <c r="AW3227" s="1856" t="str">
        <f t="shared" si="520"/>
        <v/>
      </c>
      <c r="AX3227" s="1856" t="str">
        <f t="shared" si="521"/>
        <v/>
      </c>
      <c r="AY3227" s="1856" t="str">
        <f t="shared" si="522"/>
        <v/>
      </c>
    </row>
    <row r="3228" spans="42:52">
      <c r="AP3228" s="1855">
        <f t="shared" si="523"/>
        <v>44917</v>
      </c>
      <c r="AQ3228" s="925" t="str">
        <f t="shared" si="525"/>
        <v>SR</v>
      </c>
      <c r="AR3228" s="1856">
        <f t="shared" si="524"/>
        <v>44917.330555555556</v>
      </c>
      <c r="AS3228" s="927" t="s">
        <v>1094</v>
      </c>
      <c r="AT3228" s="1856" t="str">
        <f t="shared" ref="AT3228:AT3291" si="526">IF(ISNUMBER(AS3228),INDEX(AR3229:AR3239,MATCH($AT$27,AQ3229:AQ3239,0)),"")</f>
        <v/>
      </c>
      <c r="AU3228" s="1856" t="str">
        <f t="shared" ref="AU3228:AU3291" si="527">IF(AT3228="","",INDEX(AR3229:AR3239,MATCH($AU$27,AQ3229:AQ3239,0)))</f>
        <v/>
      </c>
      <c r="AV3228" s="1856" t="str">
        <f t="shared" ref="AV3228:AV3291" si="528">IF(AT3228="","",INDEX(AR3229:AR3239,MATCH($AV$27,AQ3229:AQ3239,0)))</f>
        <v/>
      </c>
      <c r="AW3228" s="1856" t="str">
        <f t="shared" ref="AW3228:AW3291" si="529">IF(AT3228="","",INDEX(AR3229:AR3239,MATCH($AW$27,AQ3229:AQ3239,0)))</f>
        <v/>
      </c>
      <c r="AX3228" s="1856" t="str">
        <f t="shared" ref="AX3228:AX3291" si="530">IF(AT3228="","",INDEX(AR3229:AR3239,MATCH($AX$27,AQ3229:AQ3239,0)))</f>
        <v/>
      </c>
      <c r="AY3228" s="1856" t="str">
        <f t="shared" ref="AY3228:AY3291" si="531">IF(AT3228="","",INDEX(AR3229:AR3239,MATCH($AY$27,AQ3229:AQ3239,0)))</f>
        <v/>
      </c>
    </row>
    <row r="3229" spans="42:52">
      <c r="AP3229" s="1855">
        <f t="shared" si="523"/>
        <v>44917</v>
      </c>
      <c r="AQ3229" s="925" t="str">
        <f t="shared" si="525"/>
        <v>MS</v>
      </c>
      <c r="AR3229" s="1856">
        <f t="shared" si="524"/>
        <v>44917.692361111105</v>
      </c>
      <c r="AS3229" s="927" t="s">
        <v>2368</v>
      </c>
      <c r="AT3229" s="1856" t="str">
        <f t="shared" si="526"/>
        <v/>
      </c>
      <c r="AU3229" s="1856" t="str">
        <f t="shared" si="527"/>
        <v/>
      </c>
      <c r="AV3229" s="1856" t="str">
        <f t="shared" si="528"/>
        <v/>
      </c>
      <c r="AW3229" s="1856" t="str">
        <f t="shared" si="529"/>
        <v/>
      </c>
      <c r="AX3229" s="1856" t="str">
        <f t="shared" si="530"/>
        <v/>
      </c>
      <c r="AY3229" s="1856" t="str">
        <f t="shared" si="531"/>
        <v/>
      </c>
    </row>
    <row r="3230" spans="42:52">
      <c r="AP3230" s="1855">
        <f t="shared" si="523"/>
        <v>44917</v>
      </c>
      <c r="AQ3230" s="925" t="str">
        <f t="shared" si="525"/>
        <v>SS</v>
      </c>
      <c r="AR3230" s="1856">
        <f t="shared" si="524"/>
        <v>44917.727777777778</v>
      </c>
      <c r="AS3230" s="927" t="s">
        <v>2369</v>
      </c>
      <c r="AT3230" s="1856" t="str">
        <f t="shared" si="526"/>
        <v/>
      </c>
      <c r="AU3230" s="1856" t="str">
        <f t="shared" si="527"/>
        <v/>
      </c>
      <c r="AV3230" s="1856" t="str">
        <f t="shared" si="528"/>
        <v/>
      </c>
      <c r="AW3230" s="1856" t="str">
        <f t="shared" si="529"/>
        <v/>
      </c>
      <c r="AX3230" s="1856" t="str">
        <f t="shared" si="530"/>
        <v/>
      </c>
      <c r="AY3230" s="1856" t="str">
        <f t="shared" si="531"/>
        <v/>
      </c>
    </row>
    <row r="3231" spans="42:52">
      <c r="AP3231" s="1855">
        <f t="shared" si="523"/>
        <v>44917</v>
      </c>
      <c r="AQ3231" s="925" t="str">
        <f t="shared" si="525"/>
        <v>EENT</v>
      </c>
      <c r="AR3231" s="1856">
        <f t="shared" si="524"/>
        <v>44917.771527777775</v>
      </c>
      <c r="AS3231" s="927" t="s">
        <v>2354</v>
      </c>
      <c r="AT3231" s="1856" t="str">
        <f t="shared" si="526"/>
        <v/>
      </c>
      <c r="AU3231" s="1856" t="str">
        <f t="shared" si="527"/>
        <v/>
      </c>
      <c r="AV3231" s="1856" t="str">
        <f t="shared" si="528"/>
        <v/>
      </c>
      <c r="AW3231" s="1856" t="str">
        <f t="shared" si="529"/>
        <v/>
      </c>
      <c r="AX3231" s="1856" t="str">
        <f t="shared" si="530"/>
        <v/>
      </c>
      <c r="AY3231" s="1856" t="str">
        <f t="shared" si="531"/>
        <v/>
      </c>
    </row>
    <row r="3232" spans="42:52">
      <c r="AP3232" s="1855">
        <f t="shared" si="523"/>
        <v>44918</v>
      </c>
      <c r="AQ3232" s="925" t="str">
        <f t="shared" si="525"/>
        <v/>
      </c>
      <c r="AR3232" s="1856" t="str">
        <f t="shared" si="524"/>
        <v/>
      </c>
      <c r="AS3232" s="927">
        <v>23</v>
      </c>
      <c r="AT3232" s="1856">
        <f t="shared" si="526"/>
        <v>44918.287499999999</v>
      </c>
      <c r="AU3232" s="1856">
        <f t="shared" si="527"/>
        <v>44918.331249999996</v>
      </c>
      <c r="AV3232" s="1856">
        <f t="shared" si="528"/>
        <v>44918.728472222225</v>
      </c>
      <c r="AW3232" s="1856">
        <f t="shared" si="529"/>
        <v>44918.771527777775</v>
      </c>
      <c r="AX3232" s="1856">
        <f t="shared" si="530"/>
        <v>44918.352777777778</v>
      </c>
      <c r="AY3232" s="1856">
        <f t="shared" si="531"/>
        <v>44918.736805555556</v>
      </c>
      <c r="AZ3232" s="1853">
        <v>0</v>
      </c>
    </row>
    <row r="3233" spans="42:52">
      <c r="AP3233" s="1855">
        <f t="shared" si="523"/>
        <v>44918</v>
      </c>
      <c r="AQ3233" s="925" t="str">
        <f t="shared" si="525"/>
        <v/>
      </c>
      <c r="AR3233" s="1856" t="str">
        <f t="shared" si="524"/>
        <v/>
      </c>
      <c r="AS3233" s="927" t="s">
        <v>252</v>
      </c>
      <c r="AT3233" s="1856" t="str">
        <f t="shared" si="526"/>
        <v/>
      </c>
      <c r="AU3233" s="1856" t="str">
        <f t="shared" si="527"/>
        <v/>
      </c>
      <c r="AV3233" s="1856" t="str">
        <f t="shared" si="528"/>
        <v/>
      </c>
      <c r="AW3233" s="1856" t="str">
        <f t="shared" si="529"/>
        <v/>
      </c>
      <c r="AX3233" s="1856" t="str">
        <f t="shared" si="530"/>
        <v/>
      </c>
      <c r="AY3233" s="1856" t="str">
        <f t="shared" si="531"/>
        <v/>
      </c>
    </row>
    <row r="3234" spans="42:52">
      <c r="AP3234" s="1855">
        <f t="shared" si="523"/>
        <v>44918</v>
      </c>
      <c r="AQ3234" s="925" t="str">
        <f t="shared" si="525"/>
        <v/>
      </c>
      <c r="AR3234" s="1856" t="str">
        <f t="shared" si="524"/>
        <v/>
      </c>
      <c r="AT3234" s="1856" t="str">
        <f t="shared" si="526"/>
        <v/>
      </c>
      <c r="AU3234" s="1856" t="str">
        <f t="shared" si="527"/>
        <v/>
      </c>
      <c r="AV3234" s="1856" t="str">
        <f t="shared" si="528"/>
        <v/>
      </c>
      <c r="AW3234" s="1856" t="str">
        <f t="shared" si="529"/>
        <v/>
      </c>
      <c r="AX3234" s="1856" t="str">
        <f t="shared" si="530"/>
        <v/>
      </c>
      <c r="AY3234" s="1856" t="str">
        <f t="shared" si="531"/>
        <v/>
      </c>
    </row>
    <row r="3235" spans="42:52">
      <c r="AP3235" s="1855">
        <f t="shared" si="523"/>
        <v>44918</v>
      </c>
      <c r="AQ3235" s="925" t="str">
        <f t="shared" si="525"/>
        <v>BMNT</v>
      </c>
      <c r="AR3235" s="1856">
        <f t="shared" si="524"/>
        <v>44918.287499999999</v>
      </c>
      <c r="AS3235" s="927" t="s">
        <v>1145</v>
      </c>
      <c r="AT3235" s="1856" t="str">
        <f t="shared" si="526"/>
        <v/>
      </c>
      <c r="AU3235" s="1856" t="str">
        <f t="shared" si="527"/>
        <v/>
      </c>
      <c r="AV3235" s="1856" t="str">
        <f t="shared" si="528"/>
        <v/>
      </c>
      <c r="AW3235" s="1856" t="str">
        <f t="shared" si="529"/>
        <v/>
      </c>
      <c r="AX3235" s="1856" t="str">
        <f t="shared" si="530"/>
        <v/>
      </c>
      <c r="AY3235" s="1856" t="str">
        <f t="shared" si="531"/>
        <v/>
      </c>
    </row>
    <row r="3236" spans="42:52">
      <c r="AP3236" s="1855">
        <f t="shared" si="523"/>
        <v>44918</v>
      </c>
      <c r="AQ3236" s="925" t="str">
        <f t="shared" si="525"/>
        <v>SR</v>
      </c>
      <c r="AR3236" s="1856">
        <f t="shared" si="524"/>
        <v>44918.331249999996</v>
      </c>
      <c r="AS3236" s="927" t="s">
        <v>1074</v>
      </c>
      <c r="AT3236" s="1856" t="str">
        <f t="shared" si="526"/>
        <v/>
      </c>
      <c r="AU3236" s="1856" t="str">
        <f t="shared" si="527"/>
        <v/>
      </c>
      <c r="AV3236" s="1856" t="str">
        <f t="shared" si="528"/>
        <v/>
      </c>
      <c r="AW3236" s="1856" t="str">
        <f t="shared" si="529"/>
        <v/>
      </c>
      <c r="AX3236" s="1856" t="str">
        <f t="shared" si="530"/>
        <v/>
      </c>
      <c r="AY3236" s="1856" t="str">
        <f t="shared" si="531"/>
        <v/>
      </c>
    </row>
    <row r="3237" spans="42:52">
      <c r="AP3237" s="1855">
        <f t="shared" ref="AP3237:AP3300" si="532">IF(ISNUMBER(AS3237),AP3236+1,AP3236)</f>
        <v>44918</v>
      </c>
      <c r="AQ3237" s="925" t="str">
        <f t="shared" si="525"/>
        <v>MR</v>
      </c>
      <c r="AR3237" s="1856">
        <f t="shared" si="524"/>
        <v>44918.352777777778</v>
      </c>
      <c r="AS3237" s="927" t="s">
        <v>2421</v>
      </c>
      <c r="AT3237" s="1856" t="str">
        <f t="shared" si="526"/>
        <v/>
      </c>
      <c r="AU3237" s="1856" t="str">
        <f t="shared" si="527"/>
        <v/>
      </c>
      <c r="AV3237" s="1856" t="str">
        <f t="shared" si="528"/>
        <v/>
      </c>
      <c r="AW3237" s="1856" t="str">
        <f t="shared" si="529"/>
        <v/>
      </c>
      <c r="AX3237" s="1856" t="str">
        <f t="shared" si="530"/>
        <v/>
      </c>
      <c r="AY3237" s="1856" t="str">
        <f t="shared" si="531"/>
        <v/>
      </c>
    </row>
    <row r="3238" spans="42:52">
      <c r="AP3238" s="1855">
        <f t="shared" si="532"/>
        <v>44918</v>
      </c>
      <c r="AQ3238" s="925" t="str">
        <f t="shared" si="525"/>
        <v>SS</v>
      </c>
      <c r="AR3238" s="1856">
        <f t="shared" si="524"/>
        <v>44918.728472222225</v>
      </c>
      <c r="AS3238" s="927" t="s">
        <v>2365</v>
      </c>
      <c r="AT3238" s="1856" t="str">
        <f t="shared" si="526"/>
        <v/>
      </c>
      <c r="AU3238" s="1856" t="str">
        <f t="shared" si="527"/>
        <v/>
      </c>
      <c r="AV3238" s="1856" t="str">
        <f t="shared" si="528"/>
        <v/>
      </c>
      <c r="AW3238" s="1856" t="str">
        <f t="shared" si="529"/>
        <v/>
      </c>
      <c r="AX3238" s="1856" t="str">
        <f t="shared" si="530"/>
        <v/>
      </c>
      <c r="AY3238" s="1856" t="str">
        <f t="shared" si="531"/>
        <v/>
      </c>
    </row>
    <row r="3239" spans="42:52">
      <c r="AP3239" s="1855">
        <f t="shared" si="532"/>
        <v>44918</v>
      </c>
      <c r="AQ3239" s="925" t="str">
        <f t="shared" si="525"/>
        <v>MS</v>
      </c>
      <c r="AR3239" s="1856">
        <f t="shared" si="524"/>
        <v>44918.736805555556</v>
      </c>
      <c r="AS3239" s="927" t="s">
        <v>2422</v>
      </c>
      <c r="AT3239" s="1856" t="str">
        <f t="shared" si="526"/>
        <v/>
      </c>
      <c r="AU3239" s="1856" t="str">
        <f t="shared" si="527"/>
        <v/>
      </c>
      <c r="AV3239" s="1856" t="str">
        <f t="shared" si="528"/>
        <v/>
      </c>
      <c r="AW3239" s="1856" t="str">
        <f t="shared" si="529"/>
        <v/>
      </c>
      <c r="AX3239" s="1856" t="str">
        <f t="shared" si="530"/>
        <v/>
      </c>
      <c r="AY3239" s="1856" t="str">
        <f t="shared" si="531"/>
        <v/>
      </c>
    </row>
    <row r="3240" spans="42:52">
      <c r="AP3240" s="1855">
        <f t="shared" si="532"/>
        <v>44918</v>
      </c>
      <c r="AQ3240" s="925" t="str">
        <f t="shared" si="525"/>
        <v>EENT</v>
      </c>
      <c r="AR3240" s="1856">
        <f t="shared" si="524"/>
        <v>44918.771527777775</v>
      </c>
      <c r="AS3240" s="927" t="s">
        <v>2354</v>
      </c>
      <c r="AT3240" s="1856" t="str">
        <f t="shared" si="526"/>
        <v/>
      </c>
      <c r="AU3240" s="1856" t="str">
        <f t="shared" si="527"/>
        <v/>
      </c>
      <c r="AV3240" s="1856" t="str">
        <f t="shared" si="528"/>
        <v/>
      </c>
      <c r="AW3240" s="1856" t="str">
        <f t="shared" si="529"/>
        <v/>
      </c>
      <c r="AX3240" s="1856" t="str">
        <f t="shared" si="530"/>
        <v/>
      </c>
      <c r="AY3240" s="1856" t="str">
        <f t="shared" si="531"/>
        <v/>
      </c>
    </row>
    <row r="3241" spans="42:52">
      <c r="AP3241" s="1855">
        <f t="shared" si="532"/>
        <v>44919</v>
      </c>
      <c r="AQ3241" s="925" t="str">
        <f t="shared" si="525"/>
        <v/>
      </c>
      <c r="AR3241" s="1856" t="str">
        <f t="shared" ref="AR3241:AR3304" si="533">IF(NOT(ISNUMBER(FIND(":",AS3241))),"",IF(ISNUMBER(FIND(" none",AS3241)),"NONE",AP3241+LEFT(RIGHT(AS3241,5),2)/24+RIGHT(AS3241,2)/1440))</f>
        <v/>
      </c>
      <c r="AS3241" s="927">
        <v>24</v>
      </c>
      <c r="AT3241" s="1856">
        <f t="shared" si="526"/>
        <v>44919.288194444445</v>
      </c>
      <c r="AU3241" s="1856">
        <f t="shared" si="527"/>
        <v>44919.331249999996</v>
      </c>
      <c r="AV3241" s="1856">
        <f t="shared" si="528"/>
        <v>44919.728472222225</v>
      </c>
      <c r="AW3241" s="1856">
        <f t="shared" si="529"/>
        <v>44919.772222222222</v>
      </c>
      <c r="AX3241" s="1856">
        <f t="shared" si="530"/>
        <v>44919.397222222222</v>
      </c>
      <c r="AY3241" s="1856">
        <f t="shared" si="531"/>
        <v>44919.787499999999</v>
      </c>
      <c r="AZ3241" s="1853">
        <v>0.01</v>
      </c>
    </row>
    <row r="3242" spans="42:52">
      <c r="AP3242" s="1855">
        <f t="shared" si="532"/>
        <v>44919</v>
      </c>
      <c r="AQ3242" s="925" t="str">
        <f t="shared" si="525"/>
        <v/>
      </c>
      <c r="AR3242" s="1856" t="str">
        <f t="shared" si="533"/>
        <v/>
      </c>
      <c r="AS3242" s="927" t="s">
        <v>252</v>
      </c>
      <c r="AT3242" s="1856" t="str">
        <f t="shared" si="526"/>
        <v/>
      </c>
      <c r="AU3242" s="1856" t="str">
        <f t="shared" si="527"/>
        <v/>
      </c>
      <c r="AV3242" s="1856" t="str">
        <f t="shared" si="528"/>
        <v/>
      </c>
      <c r="AW3242" s="1856" t="str">
        <f t="shared" si="529"/>
        <v/>
      </c>
      <c r="AX3242" s="1856" t="str">
        <f t="shared" si="530"/>
        <v/>
      </c>
      <c r="AY3242" s="1856" t="str">
        <f t="shared" si="531"/>
        <v/>
      </c>
    </row>
    <row r="3243" spans="42:52">
      <c r="AP3243" s="1855">
        <f t="shared" si="532"/>
        <v>44919</v>
      </c>
      <c r="AQ3243" s="925" t="str">
        <f t="shared" si="525"/>
        <v/>
      </c>
      <c r="AR3243" s="1856" t="str">
        <f t="shared" si="533"/>
        <v/>
      </c>
      <c r="AT3243" s="1856" t="str">
        <f t="shared" si="526"/>
        <v/>
      </c>
      <c r="AU3243" s="1856" t="str">
        <f t="shared" si="527"/>
        <v/>
      </c>
      <c r="AV3243" s="1856" t="str">
        <f t="shared" si="528"/>
        <v/>
      </c>
      <c r="AW3243" s="1856" t="str">
        <f t="shared" si="529"/>
        <v/>
      </c>
      <c r="AX3243" s="1856" t="str">
        <f t="shared" si="530"/>
        <v/>
      </c>
      <c r="AY3243" s="1856" t="str">
        <f t="shared" si="531"/>
        <v/>
      </c>
    </row>
    <row r="3244" spans="42:52">
      <c r="AP3244" s="1855">
        <f t="shared" si="532"/>
        <v>44919</v>
      </c>
      <c r="AQ3244" s="925" t="str">
        <f t="shared" si="525"/>
        <v>BMNT</v>
      </c>
      <c r="AR3244" s="1856">
        <f t="shared" si="533"/>
        <v>44919.288194444445</v>
      </c>
      <c r="AS3244" s="927" t="s">
        <v>1117</v>
      </c>
      <c r="AT3244" s="1856" t="str">
        <f t="shared" si="526"/>
        <v/>
      </c>
      <c r="AU3244" s="1856" t="str">
        <f t="shared" si="527"/>
        <v/>
      </c>
      <c r="AV3244" s="1856" t="str">
        <f t="shared" si="528"/>
        <v/>
      </c>
      <c r="AW3244" s="1856" t="str">
        <f t="shared" si="529"/>
        <v/>
      </c>
      <c r="AX3244" s="1856" t="str">
        <f t="shared" si="530"/>
        <v/>
      </c>
      <c r="AY3244" s="1856" t="str">
        <f t="shared" si="531"/>
        <v/>
      </c>
    </row>
    <row r="3245" spans="42:52">
      <c r="AP3245" s="1855">
        <f t="shared" si="532"/>
        <v>44919</v>
      </c>
      <c r="AQ3245" s="925" t="str">
        <f t="shared" si="525"/>
        <v>SR</v>
      </c>
      <c r="AR3245" s="1856">
        <f t="shared" si="533"/>
        <v>44919.331249999996</v>
      </c>
      <c r="AS3245" s="927" t="s">
        <v>1074</v>
      </c>
      <c r="AT3245" s="1856" t="str">
        <f t="shared" si="526"/>
        <v/>
      </c>
      <c r="AU3245" s="1856" t="str">
        <f t="shared" si="527"/>
        <v/>
      </c>
      <c r="AV3245" s="1856" t="str">
        <f t="shared" si="528"/>
        <v/>
      </c>
      <c r="AW3245" s="1856" t="str">
        <f t="shared" si="529"/>
        <v/>
      </c>
      <c r="AX3245" s="1856" t="str">
        <f t="shared" si="530"/>
        <v/>
      </c>
      <c r="AY3245" s="1856" t="str">
        <f t="shared" si="531"/>
        <v/>
      </c>
    </row>
    <row r="3246" spans="42:52">
      <c r="AP3246" s="1855">
        <f t="shared" si="532"/>
        <v>44919</v>
      </c>
      <c r="AQ3246" s="925" t="str">
        <f t="shared" si="525"/>
        <v>MR</v>
      </c>
      <c r="AR3246" s="1856">
        <f t="shared" si="533"/>
        <v>44919.397222222222</v>
      </c>
      <c r="AS3246" s="927" t="s">
        <v>2423</v>
      </c>
      <c r="AT3246" s="1856" t="str">
        <f t="shared" si="526"/>
        <v/>
      </c>
      <c r="AU3246" s="1856" t="str">
        <f t="shared" si="527"/>
        <v/>
      </c>
      <c r="AV3246" s="1856" t="str">
        <f t="shared" si="528"/>
        <v/>
      </c>
      <c r="AW3246" s="1856" t="str">
        <f t="shared" si="529"/>
        <v/>
      </c>
      <c r="AX3246" s="1856" t="str">
        <f t="shared" si="530"/>
        <v/>
      </c>
      <c r="AY3246" s="1856" t="str">
        <f t="shared" si="531"/>
        <v/>
      </c>
    </row>
    <row r="3247" spans="42:52">
      <c r="AP3247" s="1855">
        <f t="shared" si="532"/>
        <v>44919</v>
      </c>
      <c r="AQ3247" s="925" t="str">
        <f t="shared" si="525"/>
        <v>SS</v>
      </c>
      <c r="AR3247" s="1856">
        <f t="shared" si="533"/>
        <v>44919.728472222225</v>
      </c>
      <c r="AS3247" s="927" t="s">
        <v>2365</v>
      </c>
      <c r="AT3247" s="1856" t="str">
        <f t="shared" si="526"/>
        <v/>
      </c>
      <c r="AU3247" s="1856" t="str">
        <f t="shared" si="527"/>
        <v/>
      </c>
      <c r="AV3247" s="1856" t="str">
        <f t="shared" si="528"/>
        <v/>
      </c>
      <c r="AW3247" s="1856" t="str">
        <f t="shared" si="529"/>
        <v/>
      </c>
      <c r="AX3247" s="1856" t="str">
        <f t="shared" si="530"/>
        <v/>
      </c>
      <c r="AY3247" s="1856" t="str">
        <f t="shared" si="531"/>
        <v/>
      </c>
    </row>
    <row r="3248" spans="42:52">
      <c r="AP3248" s="1855">
        <f t="shared" si="532"/>
        <v>44919</v>
      </c>
      <c r="AQ3248" s="925" t="str">
        <f t="shared" si="525"/>
        <v>EENT</v>
      </c>
      <c r="AR3248" s="1856">
        <f t="shared" si="533"/>
        <v>44919.772222222222</v>
      </c>
      <c r="AS3248" s="927" t="s">
        <v>2350</v>
      </c>
      <c r="AT3248" s="1856" t="str">
        <f t="shared" si="526"/>
        <v/>
      </c>
      <c r="AU3248" s="1856" t="str">
        <f t="shared" si="527"/>
        <v/>
      </c>
      <c r="AV3248" s="1856" t="str">
        <f t="shared" si="528"/>
        <v/>
      </c>
      <c r="AW3248" s="1856" t="str">
        <f t="shared" si="529"/>
        <v/>
      </c>
      <c r="AX3248" s="1856" t="str">
        <f t="shared" si="530"/>
        <v/>
      </c>
      <c r="AY3248" s="1856" t="str">
        <f t="shared" si="531"/>
        <v/>
      </c>
    </row>
    <row r="3249" spans="42:52">
      <c r="AP3249" s="1855">
        <f t="shared" si="532"/>
        <v>44919</v>
      </c>
      <c r="AQ3249" s="925" t="str">
        <f t="shared" si="525"/>
        <v>MS</v>
      </c>
      <c r="AR3249" s="1856">
        <f t="shared" si="533"/>
        <v>44919.787499999999</v>
      </c>
      <c r="AS3249" s="927" t="s">
        <v>2424</v>
      </c>
      <c r="AT3249" s="1856" t="str">
        <f t="shared" si="526"/>
        <v/>
      </c>
      <c r="AU3249" s="1856" t="str">
        <f t="shared" si="527"/>
        <v/>
      </c>
      <c r="AV3249" s="1856" t="str">
        <f t="shared" si="528"/>
        <v/>
      </c>
      <c r="AW3249" s="1856" t="str">
        <f t="shared" si="529"/>
        <v/>
      </c>
      <c r="AX3249" s="1856" t="str">
        <f t="shared" si="530"/>
        <v/>
      </c>
      <c r="AY3249" s="1856" t="str">
        <f t="shared" si="531"/>
        <v/>
      </c>
    </row>
    <row r="3250" spans="42:52">
      <c r="AP3250" s="1855">
        <f t="shared" si="532"/>
        <v>44920</v>
      </c>
      <c r="AQ3250" s="925" t="str">
        <f t="shared" si="525"/>
        <v/>
      </c>
      <c r="AR3250" s="1856" t="str">
        <f t="shared" si="533"/>
        <v/>
      </c>
      <c r="AS3250" s="927">
        <v>25</v>
      </c>
      <c r="AT3250" s="1856">
        <f t="shared" si="526"/>
        <v>44920.288194444445</v>
      </c>
      <c r="AU3250" s="1856">
        <f t="shared" si="527"/>
        <v>44920.331249999996</v>
      </c>
      <c r="AV3250" s="1856">
        <f t="shared" si="528"/>
        <v>44920.729166666672</v>
      </c>
      <c r="AW3250" s="1856">
        <f t="shared" si="529"/>
        <v>44920.772222222222</v>
      </c>
      <c r="AX3250" s="1856">
        <f t="shared" si="530"/>
        <v>44920.434027777774</v>
      </c>
      <c r="AY3250" s="1856">
        <f t="shared" si="531"/>
        <v>44920.840972222228</v>
      </c>
      <c r="AZ3250" s="1853">
        <v>0.05</v>
      </c>
    </row>
    <row r="3251" spans="42:52">
      <c r="AP3251" s="1855">
        <f t="shared" si="532"/>
        <v>44920</v>
      </c>
      <c r="AQ3251" s="925" t="str">
        <f t="shared" si="525"/>
        <v/>
      </c>
      <c r="AR3251" s="1856" t="str">
        <f t="shared" si="533"/>
        <v/>
      </c>
      <c r="AS3251" s="927" t="s">
        <v>252</v>
      </c>
      <c r="AT3251" s="1856" t="str">
        <f t="shared" si="526"/>
        <v/>
      </c>
      <c r="AU3251" s="1856" t="str">
        <f t="shared" si="527"/>
        <v/>
      </c>
      <c r="AV3251" s="1856" t="str">
        <f t="shared" si="528"/>
        <v/>
      </c>
      <c r="AW3251" s="1856" t="str">
        <f t="shared" si="529"/>
        <v/>
      </c>
      <c r="AX3251" s="1856" t="str">
        <f t="shared" si="530"/>
        <v/>
      </c>
      <c r="AY3251" s="1856" t="str">
        <f t="shared" si="531"/>
        <v/>
      </c>
    </row>
    <row r="3252" spans="42:52">
      <c r="AP3252" s="1855">
        <f t="shared" si="532"/>
        <v>44920</v>
      </c>
      <c r="AQ3252" s="925" t="str">
        <f t="shared" ref="AQ3252:AQ3315" si="534">IF(NOT(ISNUMBER(FIND(":",AS3252))),"",IF(ISNUMBER(FIND("Sunr",AS3252)),"SR", IF(ISNUMBER(FIND("Suns",AS3252)),"SS",IF(ISNUMBER(FIND("Moonr",AS3252)),"MR",IF(ISNUMBER(FIND("Moons",AS3252)),"MS",IF(ISNUMBER(FIND("Twi",AS3252)),IF(HOUR(AR3252)&lt;12,"BMNT","EENT")))))))</f>
        <v/>
      </c>
      <c r="AR3252" s="1856" t="str">
        <f t="shared" si="533"/>
        <v/>
      </c>
      <c r="AT3252" s="1856" t="str">
        <f t="shared" si="526"/>
        <v/>
      </c>
      <c r="AU3252" s="1856" t="str">
        <f t="shared" si="527"/>
        <v/>
      </c>
      <c r="AV3252" s="1856" t="str">
        <f t="shared" si="528"/>
        <v/>
      </c>
      <c r="AW3252" s="1856" t="str">
        <f t="shared" si="529"/>
        <v/>
      </c>
      <c r="AX3252" s="1856" t="str">
        <f t="shared" si="530"/>
        <v/>
      </c>
      <c r="AY3252" s="1856" t="str">
        <f t="shared" si="531"/>
        <v/>
      </c>
    </row>
    <row r="3253" spans="42:52">
      <c r="AP3253" s="1855">
        <f t="shared" si="532"/>
        <v>44920</v>
      </c>
      <c r="AQ3253" s="925" t="str">
        <f t="shared" si="534"/>
        <v>BMNT</v>
      </c>
      <c r="AR3253" s="1856">
        <f t="shared" si="533"/>
        <v>44920.288194444445</v>
      </c>
      <c r="AS3253" s="927" t="s">
        <v>1117</v>
      </c>
      <c r="AT3253" s="1856" t="str">
        <f t="shared" si="526"/>
        <v/>
      </c>
      <c r="AU3253" s="1856" t="str">
        <f t="shared" si="527"/>
        <v/>
      </c>
      <c r="AV3253" s="1856" t="str">
        <f t="shared" si="528"/>
        <v/>
      </c>
      <c r="AW3253" s="1856" t="str">
        <f t="shared" si="529"/>
        <v/>
      </c>
      <c r="AX3253" s="1856" t="str">
        <f t="shared" si="530"/>
        <v/>
      </c>
      <c r="AY3253" s="1856" t="str">
        <f t="shared" si="531"/>
        <v/>
      </c>
    </row>
    <row r="3254" spans="42:52">
      <c r="AP3254" s="1855">
        <f t="shared" si="532"/>
        <v>44920</v>
      </c>
      <c r="AQ3254" s="925" t="str">
        <f t="shared" si="534"/>
        <v>SR</v>
      </c>
      <c r="AR3254" s="1856">
        <f t="shared" si="533"/>
        <v>44920.331249999996</v>
      </c>
      <c r="AS3254" s="927" t="s">
        <v>1074</v>
      </c>
      <c r="AT3254" s="1856" t="str">
        <f t="shared" si="526"/>
        <v/>
      </c>
      <c r="AU3254" s="1856" t="str">
        <f t="shared" si="527"/>
        <v/>
      </c>
      <c r="AV3254" s="1856" t="str">
        <f t="shared" si="528"/>
        <v/>
      </c>
      <c r="AW3254" s="1856" t="str">
        <f t="shared" si="529"/>
        <v/>
      </c>
      <c r="AX3254" s="1856" t="str">
        <f t="shared" si="530"/>
        <v/>
      </c>
      <c r="AY3254" s="1856" t="str">
        <f t="shared" si="531"/>
        <v/>
      </c>
    </row>
    <row r="3255" spans="42:52">
      <c r="AP3255" s="1855">
        <f t="shared" si="532"/>
        <v>44920</v>
      </c>
      <c r="AQ3255" s="925" t="str">
        <f t="shared" si="534"/>
        <v>MR</v>
      </c>
      <c r="AR3255" s="1856">
        <f t="shared" si="533"/>
        <v>44920.434027777774</v>
      </c>
      <c r="AS3255" s="927" t="s">
        <v>1614</v>
      </c>
      <c r="AT3255" s="1856" t="str">
        <f t="shared" si="526"/>
        <v/>
      </c>
      <c r="AU3255" s="1856" t="str">
        <f t="shared" si="527"/>
        <v/>
      </c>
      <c r="AV3255" s="1856" t="str">
        <f t="shared" si="528"/>
        <v/>
      </c>
      <c r="AW3255" s="1856" t="str">
        <f t="shared" si="529"/>
        <v/>
      </c>
      <c r="AX3255" s="1856" t="str">
        <f t="shared" si="530"/>
        <v/>
      </c>
      <c r="AY3255" s="1856" t="str">
        <f t="shared" si="531"/>
        <v/>
      </c>
    </row>
    <row r="3256" spans="42:52">
      <c r="AP3256" s="1855">
        <f t="shared" si="532"/>
        <v>44920</v>
      </c>
      <c r="AQ3256" s="925" t="str">
        <f t="shared" si="534"/>
        <v>SS</v>
      </c>
      <c r="AR3256" s="1856">
        <f t="shared" si="533"/>
        <v>44920.729166666672</v>
      </c>
      <c r="AS3256" s="927" t="s">
        <v>2359</v>
      </c>
      <c r="AT3256" s="1856" t="str">
        <f t="shared" si="526"/>
        <v/>
      </c>
      <c r="AU3256" s="1856" t="str">
        <f t="shared" si="527"/>
        <v/>
      </c>
      <c r="AV3256" s="1856" t="str">
        <f t="shared" si="528"/>
        <v/>
      </c>
      <c r="AW3256" s="1856" t="str">
        <f t="shared" si="529"/>
        <v/>
      </c>
      <c r="AX3256" s="1856" t="str">
        <f t="shared" si="530"/>
        <v/>
      </c>
      <c r="AY3256" s="1856" t="str">
        <f t="shared" si="531"/>
        <v/>
      </c>
    </row>
    <row r="3257" spans="42:52">
      <c r="AP3257" s="1855">
        <f t="shared" si="532"/>
        <v>44920</v>
      </c>
      <c r="AQ3257" s="925" t="str">
        <f t="shared" si="534"/>
        <v>EENT</v>
      </c>
      <c r="AR3257" s="1856">
        <f t="shared" si="533"/>
        <v>44920.772222222222</v>
      </c>
      <c r="AS3257" s="927" t="s">
        <v>2350</v>
      </c>
      <c r="AT3257" s="1856" t="str">
        <f t="shared" si="526"/>
        <v/>
      </c>
      <c r="AU3257" s="1856" t="str">
        <f t="shared" si="527"/>
        <v/>
      </c>
      <c r="AV3257" s="1856" t="str">
        <f t="shared" si="528"/>
        <v/>
      </c>
      <c r="AW3257" s="1856" t="str">
        <f t="shared" si="529"/>
        <v/>
      </c>
      <c r="AX3257" s="1856" t="str">
        <f t="shared" si="530"/>
        <v/>
      </c>
      <c r="AY3257" s="1856" t="str">
        <f t="shared" si="531"/>
        <v/>
      </c>
    </row>
    <row r="3258" spans="42:52">
      <c r="AP3258" s="1855">
        <f t="shared" si="532"/>
        <v>44920</v>
      </c>
      <c r="AQ3258" s="925" t="str">
        <f t="shared" si="534"/>
        <v>MS</v>
      </c>
      <c r="AR3258" s="1856">
        <f t="shared" si="533"/>
        <v>44920.840972222228</v>
      </c>
      <c r="AS3258" s="927" t="s">
        <v>2425</v>
      </c>
      <c r="AT3258" s="1856" t="str">
        <f t="shared" si="526"/>
        <v/>
      </c>
      <c r="AU3258" s="1856" t="str">
        <f t="shared" si="527"/>
        <v/>
      </c>
      <c r="AV3258" s="1856" t="str">
        <f t="shared" si="528"/>
        <v/>
      </c>
      <c r="AW3258" s="1856" t="str">
        <f t="shared" si="529"/>
        <v/>
      </c>
      <c r="AX3258" s="1856" t="str">
        <f t="shared" si="530"/>
        <v/>
      </c>
      <c r="AY3258" s="1856" t="str">
        <f t="shared" si="531"/>
        <v/>
      </c>
    </row>
    <row r="3259" spans="42:52">
      <c r="AP3259" s="1855">
        <f t="shared" si="532"/>
        <v>44921</v>
      </c>
      <c r="AQ3259" s="925" t="str">
        <f t="shared" si="534"/>
        <v/>
      </c>
      <c r="AR3259" s="1856" t="str">
        <f t="shared" si="533"/>
        <v/>
      </c>
      <c r="AS3259" s="927">
        <v>26</v>
      </c>
      <c r="AT3259" s="1856">
        <f t="shared" si="526"/>
        <v>44921.288194444445</v>
      </c>
      <c r="AU3259" s="1856">
        <f t="shared" si="527"/>
        <v>44921.331944444442</v>
      </c>
      <c r="AV3259" s="1856">
        <f t="shared" si="528"/>
        <v>44921.729166666672</v>
      </c>
      <c r="AW3259" s="1856">
        <f t="shared" si="529"/>
        <v>44921.772916666669</v>
      </c>
      <c r="AX3259" s="1856">
        <f t="shared" si="530"/>
        <v>44921.463194444448</v>
      </c>
      <c r="AY3259" s="1856">
        <f t="shared" si="531"/>
        <v>44921.895138888889</v>
      </c>
      <c r="AZ3259" s="1853">
        <v>0.12</v>
      </c>
    </row>
    <row r="3260" spans="42:52">
      <c r="AP3260" s="1855">
        <f t="shared" si="532"/>
        <v>44921</v>
      </c>
      <c r="AQ3260" s="925" t="str">
        <f t="shared" si="534"/>
        <v/>
      </c>
      <c r="AR3260" s="1856" t="str">
        <f t="shared" si="533"/>
        <v/>
      </c>
      <c r="AS3260" s="927" t="s">
        <v>252</v>
      </c>
      <c r="AT3260" s="1856" t="str">
        <f t="shared" si="526"/>
        <v/>
      </c>
      <c r="AU3260" s="1856" t="str">
        <f t="shared" si="527"/>
        <v/>
      </c>
      <c r="AV3260" s="1856" t="str">
        <f t="shared" si="528"/>
        <v/>
      </c>
      <c r="AW3260" s="1856" t="str">
        <f t="shared" si="529"/>
        <v/>
      </c>
      <c r="AX3260" s="1856" t="str">
        <f t="shared" si="530"/>
        <v/>
      </c>
      <c r="AY3260" s="1856" t="str">
        <f t="shared" si="531"/>
        <v/>
      </c>
    </row>
    <row r="3261" spans="42:52">
      <c r="AP3261" s="1855">
        <f t="shared" si="532"/>
        <v>44921</v>
      </c>
      <c r="AQ3261" s="925" t="str">
        <f t="shared" si="534"/>
        <v/>
      </c>
      <c r="AR3261" s="1856" t="str">
        <f t="shared" si="533"/>
        <v/>
      </c>
      <c r="AT3261" s="1856" t="str">
        <f t="shared" si="526"/>
        <v/>
      </c>
      <c r="AU3261" s="1856" t="str">
        <f t="shared" si="527"/>
        <v/>
      </c>
      <c r="AV3261" s="1856" t="str">
        <f t="shared" si="528"/>
        <v/>
      </c>
      <c r="AW3261" s="1856" t="str">
        <f t="shared" si="529"/>
        <v/>
      </c>
      <c r="AX3261" s="1856" t="str">
        <f t="shared" si="530"/>
        <v/>
      </c>
      <c r="AY3261" s="1856" t="str">
        <f t="shared" si="531"/>
        <v/>
      </c>
    </row>
    <row r="3262" spans="42:52">
      <c r="AP3262" s="1855">
        <f t="shared" si="532"/>
        <v>44921</v>
      </c>
      <c r="AQ3262" s="925" t="str">
        <f t="shared" si="534"/>
        <v>BMNT</v>
      </c>
      <c r="AR3262" s="1856">
        <f t="shared" si="533"/>
        <v>44921.288194444445</v>
      </c>
      <c r="AS3262" s="927" t="s">
        <v>1117</v>
      </c>
      <c r="AT3262" s="1856" t="str">
        <f t="shared" si="526"/>
        <v/>
      </c>
      <c r="AU3262" s="1856" t="str">
        <f t="shared" si="527"/>
        <v/>
      </c>
      <c r="AV3262" s="1856" t="str">
        <f t="shared" si="528"/>
        <v/>
      </c>
      <c r="AW3262" s="1856" t="str">
        <f t="shared" si="529"/>
        <v/>
      </c>
      <c r="AX3262" s="1856" t="str">
        <f t="shared" si="530"/>
        <v/>
      </c>
      <c r="AY3262" s="1856" t="str">
        <f t="shared" si="531"/>
        <v/>
      </c>
    </row>
    <row r="3263" spans="42:52">
      <c r="AP3263" s="1855">
        <f t="shared" si="532"/>
        <v>44921</v>
      </c>
      <c r="AQ3263" s="925" t="str">
        <f t="shared" si="534"/>
        <v>SR</v>
      </c>
      <c r="AR3263" s="1856">
        <f t="shared" si="533"/>
        <v>44921.331944444442</v>
      </c>
      <c r="AS3263" s="927" t="s">
        <v>1043</v>
      </c>
      <c r="AT3263" s="1856" t="str">
        <f t="shared" si="526"/>
        <v/>
      </c>
      <c r="AU3263" s="1856" t="str">
        <f t="shared" si="527"/>
        <v/>
      </c>
      <c r="AV3263" s="1856" t="str">
        <f t="shared" si="528"/>
        <v/>
      </c>
      <c r="AW3263" s="1856" t="str">
        <f t="shared" si="529"/>
        <v/>
      </c>
      <c r="AX3263" s="1856" t="str">
        <f t="shared" si="530"/>
        <v/>
      </c>
      <c r="AY3263" s="1856" t="str">
        <f t="shared" si="531"/>
        <v/>
      </c>
    </row>
    <row r="3264" spans="42:52">
      <c r="AP3264" s="1855">
        <f t="shared" si="532"/>
        <v>44921</v>
      </c>
      <c r="AQ3264" s="925" t="str">
        <f t="shared" si="534"/>
        <v>MR</v>
      </c>
      <c r="AR3264" s="1856">
        <f t="shared" si="533"/>
        <v>44921.463194444448</v>
      </c>
      <c r="AS3264" s="927" t="s">
        <v>2426</v>
      </c>
      <c r="AT3264" s="1856" t="str">
        <f t="shared" si="526"/>
        <v/>
      </c>
      <c r="AU3264" s="1856" t="str">
        <f t="shared" si="527"/>
        <v/>
      </c>
      <c r="AV3264" s="1856" t="str">
        <f t="shared" si="528"/>
        <v/>
      </c>
      <c r="AW3264" s="1856" t="str">
        <f t="shared" si="529"/>
        <v/>
      </c>
      <c r="AX3264" s="1856" t="str">
        <f t="shared" si="530"/>
        <v/>
      </c>
      <c r="AY3264" s="1856" t="str">
        <f t="shared" si="531"/>
        <v/>
      </c>
    </row>
    <row r="3265" spans="42:52">
      <c r="AP3265" s="1855">
        <f t="shared" si="532"/>
        <v>44921</v>
      </c>
      <c r="AQ3265" s="925" t="str">
        <f t="shared" si="534"/>
        <v>SS</v>
      </c>
      <c r="AR3265" s="1856">
        <f t="shared" si="533"/>
        <v>44921.729166666672</v>
      </c>
      <c r="AS3265" s="927" t="s">
        <v>2359</v>
      </c>
      <c r="AT3265" s="1856" t="str">
        <f t="shared" si="526"/>
        <v/>
      </c>
      <c r="AU3265" s="1856" t="str">
        <f t="shared" si="527"/>
        <v/>
      </c>
      <c r="AV3265" s="1856" t="str">
        <f t="shared" si="528"/>
        <v/>
      </c>
      <c r="AW3265" s="1856" t="str">
        <f t="shared" si="529"/>
        <v/>
      </c>
      <c r="AX3265" s="1856" t="str">
        <f t="shared" si="530"/>
        <v/>
      </c>
      <c r="AY3265" s="1856" t="str">
        <f t="shared" si="531"/>
        <v/>
      </c>
    </row>
    <row r="3266" spans="42:52">
      <c r="AP3266" s="1855">
        <f t="shared" si="532"/>
        <v>44921</v>
      </c>
      <c r="AQ3266" s="925" t="str">
        <f t="shared" si="534"/>
        <v>EENT</v>
      </c>
      <c r="AR3266" s="1856">
        <f t="shared" si="533"/>
        <v>44921.772916666669</v>
      </c>
      <c r="AS3266" s="927" t="s">
        <v>2343</v>
      </c>
      <c r="AT3266" s="1856" t="str">
        <f t="shared" si="526"/>
        <v/>
      </c>
      <c r="AU3266" s="1856" t="str">
        <f t="shared" si="527"/>
        <v/>
      </c>
      <c r="AV3266" s="1856" t="str">
        <f t="shared" si="528"/>
        <v/>
      </c>
      <c r="AW3266" s="1856" t="str">
        <f t="shared" si="529"/>
        <v/>
      </c>
      <c r="AX3266" s="1856" t="str">
        <f t="shared" si="530"/>
        <v/>
      </c>
      <c r="AY3266" s="1856" t="str">
        <f t="shared" si="531"/>
        <v/>
      </c>
    </row>
    <row r="3267" spans="42:52">
      <c r="AP3267" s="1855">
        <f t="shared" si="532"/>
        <v>44921</v>
      </c>
      <c r="AQ3267" s="925" t="str">
        <f t="shared" si="534"/>
        <v>MS</v>
      </c>
      <c r="AR3267" s="1856">
        <f t="shared" si="533"/>
        <v>44921.895138888889</v>
      </c>
      <c r="AS3267" s="927" t="s">
        <v>2427</v>
      </c>
      <c r="AT3267" s="1856" t="str">
        <f t="shared" si="526"/>
        <v/>
      </c>
      <c r="AU3267" s="1856" t="str">
        <f t="shared" si="527"/>
        <v/>
      </c>
      <c r="AV3267" s="1856" t="str">
        <f t="shared" si="528"/>
        <v/>
      </c>
      <c r="AW3267" s="1856" t="str">
        <f t="shared" si="529"/>
        <v/>
      </c>
      <c r="AX3267" s="1856" t="str">
        <f t="shared" si="530"/>
        <v/>
      </c>
      <c r="AY3267" s="1856" t="str">
        <f t="shared" si="531"/>
        <v/>
      </c>
    </row>
    <row r="3268" spans="42:52">
      <c r="AP3268" s="1855">
        <f t="shared" si="532"/>
        <v>44922</v>
      </c>
      <c r="AQ3268" s="925" t="str">
        <f t="shared" si="534"/>
        <v/>
      </c>
      <c r="AR3268" s="1856" t="str">
        <f t="shared" si="533"/>
        <v/>
      </c>
      <c r="AS3268" s="927">
        <v>27</v>
      </c>
      <c r="AT3268" s="1856">
        <f t="shared" si="526"/>
        <v>44922.288888888892</v>
      </c>
      <c r="AU3268" s="1856">
        <f t="shared" si="527"/>
        <v>44922.331944444442</v>
      </c>
      <c r="AV3268" s="1856">
        <f t="shared" si="528"/>
        <v>44922.729861111111</v>
      </c>
      <c r="AW3268" s="1856">
        <f t="shared" si="529"/>
        <v>44922.772916666669</v>
      </c>
      <c r="AX3268" s="1856">
        <f t="shared" si="530"/>
        <v>44922.486805555556</v>
      </c>
      <c r="AY3268" s="1856">
        <f t="shared" si="531"/>
        <v>44922.945833333331</v>
      </c>
      <c r="AZ3268" s="1853">
        <v>0.2</v>
      </c>
    </row>
    <row r="3269" spans="42:52">
      <c r="AP3269" s="1855">
        <f t="shared" si="532"/>
        <v>44922</v>
      </c>
      <c r="AQ3269" s="925" t="str">
        <f t="shared" si="534"/>
        <v/>
      </c>
      <c r="AR3269" s="1856" t="str">
        <f t="shared" si="533"/>
        <v/>
      </c>
      <c r="AS3269" s="927" t="s">
        <v>252</v>
      </c>
      <c r="AT3269" s="1856" t="str">
        <f t="shared" si="526"/>
        <v/>
      </c>
      <c r="AU3269" s="1856" t="str">
        <f t="shared" si="527"/>
        <v/>
      </c>
      <c r="AV3269" s="1856" t="str">
        <f t="shared" si="528"/>
        <v/>
      </c>
      <c r="AW3269" s="1856" t="str">
        <f t="shared" si="529"/>
        <v/>
      </c>
      <c r="AX3269" s="1856" t="str">
        <f t="shared" si="530"/>
        <v/>
      </c>
      <c r="AY3269" s="1856" t="str">
        <f t="shared" si="531"/>
        <v/>
      </c>
    </row>
    <row r="3270" spans="42:52">
      <c r="AP3270" s="1855">
        <f t="shared" si="532"/>
        <v>44922</v>
      </c>
      <c r="AQ3270" s="925" t="str">
        <f t="shared" si="534"/>
        <v/>
      </c>
      <c r="AR3270" s="1856" t="str">
        <f t="shared" si="533"/>
        <v/>
      </c>
      <c r="AT3270" s="1856" t="str">
        <f t="shared" si="526"/>
        <v/>
      </c>
      <c r="AU3270" s="1856" t="str">
        <f t="shared" si="527"/>
        <v/>
      </c>
      <c r="AV3270" s="1856" t="str">
        <f t="shared" si="528"/>
        <v/>
      </c>
      <c r="AW3270" s="1856" t="str">
        <f t="shared" si="529"/>
        <v/>
      </c>
      <c r="AX3270" s="1856" t="str">
        <f t="shared" si="530"/>
        <v/>
      </c>
      <c r="AY3270" s="1856" t="str">
        <f t="shared" si="531"/>
        <v/>
      </c>
    </row>
    <row r="3271" spans="42:52">
      <c r="AP3271" s="1855">
        <f t="shared" si="532"/>
        <v>44922</v>
      </c>
      <c r="AQ3271" s="925" t="str">
        <f t="shared" si="534"/>
        <v>BMNT</v>
      </c>
      <c r="AR3271" s="1856">
        <f t="shared" si="533"/>
        <v>44922.288888888892</v>
      </c>
      <c r="AS3271" s="927" t="s">
        <v>1083</v>
      </c>
      <c r="AT3271" s="1856" t="str">
        <f t="shared" si="526"/>
        <v/>
      </c>
      <c r="AU3271" s="1856" t="str">
        <f t="shared" si="527"/>
        <v/>
      </c>
      <c r="AV3271" s="1856" t="str">
        <f t="shared" si="528"/>
        <v/>
      </c>
      <c r="AW3271" s="1856" t="str">
        <f t="shared" si="529"/>
        <v/>
      </c>
      <c r="AX3271" s="1856" t="str">
        <f t="shared" si="530"/>
        <v/>
      </c>
      <c r="AY3271" s="1856" t="str">
        <f t="shared" si="531"/>
        <v/>
      </c>
    </row>
    <row r="3272" spans="42:52">
      <c r="AP3272" s="1855">
        <f t="shared" si="532"/>
        <v>44922</v>
      </c>
      <c r="AQ3272" s="925" t="str">
        <f t="shared" si="534"/>
        <v>SR</v>
      </c>
      <c r="AR3272" s="1856">
        <f t="shared" si="533"/>
        <v>44922.331944444442</v>
      </c>
      <c r="AS3272" s="927" t="s">
        <v>1043</v>
      </c>
      <c r="AT3272" s="1856" t="str">
        <f t="shared" si="526"/>
        <v/>
      </c>
      <c r="AU3272" s="1856" t="str">
        <f t="shared" si="527"/>
        <v/>
      </c>
      <c r="AV3272" s="1856" t="str">
        <f t="shared" si="528"/>
        <v/>
      </c>
      <c r="AW3272" s="1856" t="str">
        <f t="shared" si="529"/>
        <v/>
      </c>
      <c r="AX3272" s="1856" t="str">
        <f t="shared" si="530"/>
        <v/>
      </c>
      <c r="AY3272" s="1856" t="str">
        <f t="shared" si="531"/>
        <v/>
      </c>
    </row>
    <row r="3273" spans="42:52">
      <c r="AP3273" s="1855">
        <f t="shared" si="532"/>
        <v>44922</v>
      </c>
      <c r="AQ3273" s="925" t="str">
        <f t="shared" si="534"/>
        <v>MR</v>
      </c>
      <c r="AR3273" s="1856">
        <f t="shared" si="533"/>
        <v>44922.486805555556</v>
      </c>
      <c r="AS3273" s="927" t="s">
        <v>926</v>
      </c>
      <c r="AT3273" s="1856" t="str">
        <f t="shared" si="526"/>
        <v/>
      </c>
      <c r="AU3273" s="1856" t="str">
        <f t="shared" si="527"/>
        <v/>
      </c>
      <c r="AV3273" s="1856" t="str">
        <f t="shared" si="528"/>
        <v/>
      </c>
      <c r="AW3273" s="1856" t="str">
        <f t="shared" si="529"/>
        <v/>
      </c>
      <c r="AX3273" s="1856" t="str">
        <f t="shared" si="530"/>
        <v/>
      </c>
      <c r="AY3273" s="1856" t="str">
        <f t="shared" si="531"/>
        <v/>
      </c>
    </row>
    <row r="3274" spans="42:52">
      <c r="AP3274" s="1855">
        <f t="shared" si="532"/>
        <v>44922</v>
      </c>
      <c r="AQ3274" s="925" t="str">
        <f t="shared" si="534"/>
        <v>SS</v>
      </c>
      <c r="AR3274" s="1856">
        <f t="shared" si="533"/>
        <v>44922.729861111111</v>
      </c>
      <c r="AS3274" s="927" t="s">
        <v>2353</v>
      </c>
      <c r="AT3274" s="1856" t="str">
        <f t="shared" si="526"/>
        <v/>
      </c>
      <c r="AU3274" s="1856" t="str">
        <f t="shared" si="527"/>
        <v/>
      </c>
      <c r="AV3274" s="1856" t="str">
        <f t="shared" si="528"/>
        <v/>
      </c>
      <c r="AW3274" s="1856" t="str">
        <f t="shared" si="529"/>
        <v/>
      </c>
      <c r="AX3274" s="1856" t="str">
        <f t="shared" si="530"/>
        <v/>
      </c>
      <c r="AY3274" s="1856" t="str">
        <f t="shared" si="531"/>
        <v/>
      </c>
    </row>
    <row r="3275" spans="42:52">
      <c r="AP3275" s="1855">
        <f t="shared" si="532"/>
        <v>44922</v>
      </c>
      <c r="AQ3275" s="925" t="str">
        <f t="shared" si="534"/>
        <v>EENT</v>
      </c>
      <c r="AR3275" s="1856">
        <f t="shared" si="533"/>
        <v>44922.772916666669</v>
      </c>
      <c r="AS3275" s="927" t="s">
        <v>2343</v>
      </c>
      <c r="AT3275" s="1856" t="str">
        <f t="shared" si="526"/>
        <v/>
      </c>
      <c r="AU3275" s="1856" t="str">
        <f t="shared" si="527"/>
        <v/>
      </c>
      <c r="AV3275" s="1856" t="str">
        <f t="shared" si="528"/>
        <v/>
      </c>
      <c r="AW3275" s="1856" t="str">
        <f t="shared" si="529"/>
        <v/>
      </c>
      <c r="AX3275" s="1856" t="str">
        <f t="shared" si="530"/>
        <v/>
      </c>
      <c r="AY3275" s="1856" t="str">
        <f t="shared" si="531"/>
        <v/>
      </c>
    </row>
    <row r="3276" spans="42:52">
      <c r="AP3276" s="1855">
        <f t="shared" si="532"/>
        <v>44922</v>
      </c>
      <c r="AQ3276" s="925" t="str">
        <f t="shared" si="534"/>
        <v>MS</v>
      </c>
      <c r="AR3276" s="1856">
        <f t="shared" si="533"/>
        <v>44922.945833333331</v>
      </c>
      <c r="AS3276" s="927" t="s">
        <v>2428</v>
      </c>
      <c r="AT3276" s="1856" t="str">
        <f t="shared" si="526"/>
        <v/>
      </c>
      <c r="AU3276" s="1856" t="str">
        <f t="shared" si="527"/>
        <v/>
      </c>
      <c r="AV3276" s="1856" t="str">
        <f t="shared" si="528"/>
        <v/>
      </c>
      <c r="AW3276" s="1856" t="str">
        <f t="shared" si="529"/>
        <v/>
      </c>
      <c r="AX3276" s="1856" t="str">
        <f t="shared" si="530"/>
        <v/>
      </c>
      <c r="AY3276" s="1856" t="str">
        <f t="shared" si="531"/>
        <v/>
      </c>
    </row>
    <row r="3277" spans="42:52">
      <c r="AP3277" s="1855">
        <f t="shared" si="532"/>
        <v>44923</v>
      </c>
      <c r="AQ3277" s="925" t="str">
        <f t="shared" si="534"/>
        <v/>
      </c>
      <c r="AR3277" s="1856" t="str">
        <f t="shared" si="533"/>
        <v/>
      </c>
      <c r="AS3277" s="927">
        <v>28</v>
      </c>
      <c r="AT3277" s="1856">
        <f t="shared" si="526"/>
        <v>44923.288888888892</v>
      </c>
      <c r="AU3277" s="1856">
        <f t="shared" si="527"/>
        <v>44923.332638888889</v>
      </c>
      <c r="AV3277" s="1856">
        <f t="shared" si="528"/>
        <v>44923.730555555558</v>
      </c>
      <c r="AW3277" s="1856">
        <f t="shared" si="529"/>
        <v>44923.773611111108</v>
      </c>
      <c r="AX3277" s="1856">
        <f t="shared" si="530"/>
        <v>44923.506944444445</v>
      </c>
      <c r="AY3277" s="1856">
        <f t="shared" si="531"/>
        <v>44923.994444444448</v>
      </c>
      <c r="AZ3277" s="1853">
        <v>0.3</v>
      </c>
    </row>
    <row r="3278" spans="42:52">
      <c r="AP3278" s="1855">
        <f t="shared" si="532"/>
        <v>44923</v>
      </c>
      <c r="AQ3278" s="925" t="str">
        <f t="shared" si="534"/>
        <v/>
      </c>
      <c r="AR3278" s="1856" t="str">
        <f t="shared" si="533"/>
        <v/>
      </c>
      <c r="AS3278" s="927" t="s">
        <v>252</v>
      </c>
      <c r="AT3278" s="1856" t="str">
        <f t="shared" si="526"/>
        <v/>
      </c>
      <c r="AU3278" s="1856" t="str">
        <f t="shared" si="527"/>
        <v/>
      </c>
      <c r="AV3278" s="1856" t="str">
        <f t="shared" si="528"/>
        <v/>
      </c>
      <c r="AW3278" s="1856" t="str">
        <f t="shared" si="529"/>
        <v/>
      </c>
      <c r="AX3278" s="1856" t="str">
        <f t="shared" si="530"/>
        <v/>
      </c>
      <c r="AY3278" s="1856" t="str">
        <f t="shared" si="531"/>
        <v/>
      </c>
    </row>
    <row r="3279" spans="42:52">
      <c r="AP3279" s="1855">
        <f t="shared" si="532"/>
        <v>44923</v>
      </c>
      <c r="AQ3279" s="925" t="str">
        <f t="shared" si="534"/>
        <v/>
      </c>
      <c r="AR3279" s="1856" t="str">
        <f t="shared" si="533"/>
        <v/>
      </c>
      <c r="AT3279" s="1856" t="str">
        <f t="shared" si="526"/>
        <v/>
      </c>
      <c r="AU3279" s="1856" t="str">
        <f t="shared" si="527"/>
        <v/>
      </c>
      <c r="AV3279" s="1856" t="str">
        <f t="shared" si="528"/>
        <v/>
      </c>
      <c r="AW3279" s="1856" t="str">
        <f t="shared" si="529"/>
        <v/>
      </c>
      <c r="AX3279" s="1856" t="str">
        <f t="shared" si="530"/>
        <v/>
      </c>
      <c r="AY3279" s="1856" t="str">
        <f t="shared" si="531"/>
        <v/>
      </c>
    </row>
    <row r="3280" spans="42:52">
      <c r="AP3280" s="1855">
        <f t="shared" si="532"/>
        <v>44923</v>
      </c>
      <c r="AQ3280" s="925" t="str">
        <f t="shared" si="534"/>
        <v>BMNT</v>
      </c>
      <c r="AR3280" s="1856">
        <f t="shared" si="533"/>
        <v>44923.288888888892</v>
      </c>
      <c r="AS3280" s="927" t="s">
        <v>1083</v>
      </c>
      <c r="AT3280" s="1856" t="str">
        <f t="shared" si="526"/>
        <v/>
      </c>
      <c r="AU3280" s="1856" t="str">
        <f t="shared" si="527"/>
        <v/>
      </c>
      <c r="AV3280" s="1856" t="str">
        <f t="shared" si="528"/>
        <v/>
      </c>
      <c r="AW3280" s="1856" t="str">
        <f t="shared" si="529"/>
        <v/>
      </c>
      <c r="AX3280" s="1856" t="str">
        <f t="shared" si="530"/>
        <v/>
      </c>
      <c r="AY3280" s="1856" t="str">
        <f t="shared" si="531"/>
        <v/>
      </c>
    </row>
    <row r="3281" spans="42:52">
      <c r="AP3281" s="1855">
        <f t="shared" si="532"/>
        <v>44923</v>
      </c>
      <c r="AQ3281" s="925" t="str">
        <f t="shared" si="534"/>
        <v>SR</v>
      </c>
      <c r="AR3281" s="1856">
        <f t="shared" si="533"/>
        <v>44923.332638888889</v>
      </c>
      <c r="AS3281" s="927" t="s">
        <v>984</v>
      </c>
      <c r="AT3281" s="1856" t="str">
        <f t="shared" si="526"/>
        <v/>
      </c>
      <c r="AU3281" s="1856" t="str">
        <f t="shared" si="527"/>
        <v/>
      </c>
      <c r="AV3281" s="1856" t="str">
        <f t="shared" si="528"/>
        <v/>
      </c>
      <c r="AW3281" s="1856" t="str">
        <f t="shared" si="529"/>
        <v/>
      </c>
      <c r="AX3281" s="1856" t="str">
        <f t="shared" si="530"/>
        <v/>
      </c>
      <c r="AY3281" s="1856" t="str">
        <f t="shared" si="531"/>
        <v/>
      </c>
    </row>
    <row r="3282" spans="42:52">
      <c r="AP3282" s="1855">
        <f t="shared" si="532"/>
        <v>44923</v>
      </c>
      <c r="AQ3282" s="925" t="str">
        <f t="shared" si="534"/>
        <v>MR</v>
      </c>
      <c r="AR3282" s="1856">
        <f t="shared" si="533"/>
        <v>44923.506944444445</v>
      </c>
      <c r="AS3282" s="927" t="s">
        <v>2429</v>
      </c>
      <c r="AT3282" s="1856" t="str">
        <f t="shared" si="526"/>
        <v/>
      </c>
      <c r="AU3282" s="1856" t="str">
        <f t="shared" si="527"/>
        <v/>
      </c>
      <c r="AV3282" s="1856" t="str">
        <f t="shared" si="528"/>
        <v/>
      </c>
      <c r="AW3282" s="1856" t="str">
        <f t="shared" si="529"/>
        <v/>
      </c>
      <c r="AX3282" s="1856" t="str">
        <f t="shared" si="530"/>
        <v/>
      </c>
      <c r="AY3282" s="1856" t="str">
        <f t="shared" si="531"/>
        <v/>
      </c>
    </row>
    <row r="3283" spans="42:52">
      <c r="AP3283" s="1855">
        <f t="shared" si="532"/>
        <v>44923</v>
      </c>
      <c r="AQ3283" s="925" t="str">
        <f t="shared" si="534"/>
        <v>SS</v>
      </c>
      <c r="AR3283" s="1856">
        <f t="shared" si="533"/>
        <v>44923.730555555558</v>
      </c>
      <c r="AS3283" s="927" t="s">
        <v>2349</v>
      </c>
      <c r="AT3283" s="1856" t="str">
        <f t="shared" si="526"/>
        <v/>
      </c>
      <c r="AU3283" s="1856" t="str">
        <f t="shared" si="527"/>
        <v/>
      </c>
      <c r="AV3283" s="1856" t="str">
        <f t="shared" si="528"/>
        <v/>
      </c>
      <c r="AW3283" s="1856" t="str">
        <f t="shared" si="529"/>
        <v/>
      </c>
      <c r="AX3283" s="1856" t="str">
        <f t="shared" si="530"/>
        <v/>
      </c>
      <c r="AY3283" s="1856" t="str">
        <f t="shared" si="531"/>
        <v/>
      </c>
    </row>
    <row r="3284" spans="42:52">
      <c r="AP3284" s="1855">
        <f t="shared" si="532"/>
        <v>44923</v>
      </c>
      <c r="AQ3284" s="925" t="str">
        <f t="shared" si="534"/>
        <v>EENT</v>
      </c>
      <c r="AR3284" s="1856">
        <f t="shared" si="533"/>
        <v>44923.773611111108</v>
      </c>
      <c r="AS3284" s="927" t="s">
        <v>2340</v>
      </c>
      <c r="AT3284" s="1856" t="str">
        <f t="shared" si="526"/>
        <v/>
      </c>
      <c r="AU3284" s="1856" t="str">
        <f t="shared" si="527"/>
        <v/>
      </c>
      <c r="AV3284" s="1856" t="str">
        <f t="shared" si="528"/>
        <v/>
      </c>
      <c r="AW3284" s="1856" t="str">
        <f t="shared" si="529"/>
        <v/>
      </c>
      <c r="AX3284" s="1856" t="str">
        <f t="shared" si="530"/>
        <v/>
      </c>
      <c r="AY3284" s="1856" t="str">
        <f t="shared" si="531"/>
        <v/>
      </c>
    </row>
    <row r="3285" spans="42:52">
      <c r="AP3285" s="1855">
        <f t="shared" si="532"/>
        <v>44923</v>
      </c>
      <c r="AQ3285" s="925" t="str">
        <f t="shared" si="534"/>
        <v>MS</v>
      </c>
      <c r="AR3285" s="1856">
        <f t="shared" si="533"/>
        <v>44923.994444444448</v>
      </c>
      <c r="AS3285" s="927" t="s">
        <v>1609</v>
      </c>
      <c r="AT3285" s="1856" t="str">
        <f t="shared" si="526"/>
        <v/>
      </c>
      <c r="AU3285" s="1856" t="str">
        <f t="shared" si="527"/>
        <v/>
      </c>
      <c r="AV3285" s="1856" t="str">
        <f t="shared" si="528"/>
        <v/>
      </c>
      <c r="AW3285" s="1856" t="str">
        <f t="shared" si="529"/>
        <v/>
      </c>
      <c r="AX3285" s="1856" t="str">
        <f t="shared" si="530"/>
        <v/>
      </c>
      <c r="AY3285" s="1856" t="str">
        <f t="shared" si="531"/>
        <v/>
      </c>
    </row>
    <row r="3286" spans="42:52">
      <c r="AP3286" s="1855">
        <f t="shared" si="532"/>
        <v>44924</v>
      </c>
      <c r="AQ3286" s="925" t="str">
        <f t="shared" si="534"/>
        <v/>
      </c>
      <c r="AR3286" s="1856" t="str">
        <f t="shared" si="533"/>
        <v/>
      </c>
      <c r="AS3286" s="927">
        <v>29</v>
      </c>
      <c r="AT3286" s="1856">
        <f t="shared" si="526"/>
        <v>44924.288888888892</v>
      </c>
      <c r="AU3286" s="1856">
        <f t="shared" si="527"/>
        <v>44924.332638888889</v>
      </c>
      <c r="AV3286" s="1856">
        <f t="shared" si="528"/>
        <v>44924.730555555558</v>
      </c>
      <c r="AW3286" s="1856">
        <f t="shared" si="529"/>
        <v>44924.774305555555</v>
      </c>
      <c r="AX3286" s="1856">
        <f t="shared" si="530"/>
        <v>44924.525694444441</v>
      </c>
      <c r="AY3286" s="1856" t="str">
        <f t="shared" si="531"/>
        <v>NONE</v>
      </c>
      <c r="AZ3286" s="1853">
        <v>0.41</v>
      </c>
    </row>
    <row r="3287" spans="42:52">
      <c r="AP3287" s="1855">
        <f t="shared" si="532"/>
        <v>44924</v>
      </c>
      <c r="AQ3287" s="925" t="str">
        <f t="shared" si="534"/>
        <v/>
      </c>
      <c r="AR3287" s="1856" t="str">
        <f t="shared" si="533"/>
        <v/>
      </c>
      <c r="AS3287" s="927" t="s">
        <v>252</v>
      </c>
      <c r="AT3287" s="1856" t="str">
        <f t="shared" si="526"/>
        <v/>
      </c>
      <c r="AU3287" s="1856" t="str">
        <f t="shared" si="527"/>
        <v/>
      </c>
      <c r="AV3287" s="1856" t="str">
        <f t="shared" si="528"/>
        <v/>
      </c>
      <c r="AW3287" s="1856" t="str">
        <f t="shared" si="529"/>
        <v/>
      </c>
      <c r="AX3287" s="1856" t="str">
        <f t="shared" si="530"/>
        <v/>
      </c>
      <c r="AY3287" s="1856" t="str">
        <f t="shared" si="531"/>
        <v/>
      </c>
    </row>
    <row r="3288" spans="42:52">
      <c r="AP3288" s="1855">
        <f t="shared" si="532"/>
        <v>44924</v>
      </c>
      <c r="AQ3288" s="925" t="str">
        <f t="shared" si="534"/>
        <v/>
      </c>
      <c r="AR3288" s="1856" t="str">
        <f t="shared" si="533"/>
        <v/>
      </c>
      <c r="AT3288" s="1856" t="str">
        <f t="shared" si="526"/>
        <v/>
      </c>
      <c r="AU3288" s="1856" t="str">
        <f t="shared" si="527"/>
        <v/>
      </c>
      <c r="AV3288" s="1856" t="str">
        <f t="shared" si="528"/>
        <v/>
      </c>
      <c r="AW3288" s="1856" t="str">
        <f t="shared" si="529"/>
        <v/>
      </c>
      <c r="AX3288" s="1856" t="str">
        <f t="shared" si="530"/>
        <v/>
      </c>
      <c r="AY3288" s="1856" t="str">
        <f t="shared" si="531"/>
        <v/>
      </c>
    </row>
    <row r="3289" spans="42:52">
      <c r="AP3289" s="1855">
        <f t="shared" si="532"/>
        <v>44924</v>
      </c>
      <c r="AQ3289" s="925" t="str">
        <f t="shared" si="534"/>
        <v>BMNT</v>
      </c>
      <c r="AR3289" s="1856">
        <f t="shared" si="533"/>
        <v>44924.288888888892</v>
      </c>
      <c r="AS3289" s="927" t="s">
        <v>1083</v>
      </c>
      <c r="AT3289" s="1856" t="str">
        <f t="shared" si="526"/>
        <v/>
      </c>
      <c r="AU3289" s="1856" t="str">
        <f t="shared" si="527"/>
        <v/>
      </c>
      <c r="AV3289" s="1856" t="str">
        <f t="shared" si="528"/>
        <v/>
      </c>
      <c r="AW3289" s="1856" t="str">
        <f t="shared" si="529"/>
        <v/>
      </c>
      <c r="AX3289" s="1856" t="str">
        <f t="shared" si="530"/>
        <v/>
      </c>
      <c r="AY3289" s="1856" t="str">
        <f t="shared" si="531"/>
        <v/>
      </c>
    </row>
    <row r="3290" spans="42:52">
      <c r="AP3290" s="1855">
        <f t="shared" si="532"/>
        <v>44924</v>
      </c>
      <c r="AQ3290" s="925" t="str">
        <f t="shared" si="534"/>
        <v>SR</v>
      </c>
      <c r="AR3290" s="1856">
        <f t="shared" si="533"/>
        <v>44924.332638888889</v>
      </c>
      <c r="AS3290" s="927" t="s">
        <v>984</v>
      </c>
      <c r="AT3290" s="1856" t="str">
        <f t="shared" si="526"/>
        <v/>
      </c>
      <c r="AU3290" s="1856" t="str">
        <f t="shared" si="527"/>
        <v/>
      </c>
      <c r="AV3290" s="1856" t="str">
        <f t="shared" si="528"/>
        <v/>
      </c>
      <c r="AW3290" s="1856" t="str">
        <f t="shared" si="529"/>
        <v/>
      </c>
      <c r="AX3290" s="1856" t="str">
        <f t="shared" si="530"/>
        <v/>
      </c>
      <c r="AY3290" s="1856" t="str">
        <f t="shared" si="531"/>
        <v/>
      </c>
    </row>
    <row r="3291" spans="42:52">
      <c r="AP3291" s="1855">
        <f t="shared" si="532"/>
        <v>44924</v>
      </c>
      <c r="AQ3291" s="925" t="str">
        <f t="shared" si="534"/>
        <v>MR</v>
      </c>
      <c r="AR3291" s="1856">
        <f t="shared" si="533"/>
        <v>44924.525694444441</v>
      </c>
      <c r="AS3291" s="927" t="s">
        <v>2430</v>
      </c>
      <c r="AT3291" s="1856" t="str">
        <f t="shared" si="526"/>
        <v/>
      </c>
      <c r="AU3291" s="1856" t="str">
        <f t="shared" si="527"/>
        <v/>
      </c>
      <c r="AV3291" s="1856" t="str">
        <f t="shared" si="528"/>
        <v/>
      </c>
      <c r="AW3291" s="1856" t="str">
        <f t="shared" si="529"/>
        <v/>
      </c>
      <c r="AX3291" s="1856" t="str">
        <f t="shared" si="530"/>
        <v/>
      </c>
      <c r="AY3291" s="1856" t="str">
        <f t="shared" si="531"/>
        <v/>
      </c>
    </row>
    <row r="3292" spans="42:52">
      <c r="AP3292" s="1855">
        <f t="shared" si="532"/>
        <v>44924</v>
      </c>
      <c r="AQ3292" s="925" t="str">
        <f t="shared" si="534"/>
        <v>SS</v>
      </c>
      <c r="AR3292" s="1856">
        <f t="shared" si="533"/>
        <v>44924.730555555558</v>
      </c>
      <c r="AS3292" s="927" t="s">
        <v>2349</v>
      </c>
      <c r="AT3292" s="1856" t="str">
        <f t="shared" ref="AT3292:AT3355" si="535">IF(ISNUMBER(AS3292),INDEX(AR3293:AR3303,MATCH($AT$27,AQ3293:AQ3303,0)),"")</f>
        <v/>
      </c>
      <c r="AU3292" s="1856" t="str">
        <f t="shared" ref="AU3292:AU3355" si="536">IF(AT3292="","",INDEX(AR3293:AR3303,MATCH($AU$27,AQ3293:AQ3303,0)))</f>
        <v/>
      </c>
      <c r="AV3292" s="1856" t="str">
        <f t="shared" ref="AV3292:AV3355" si="537">IF(AT3292="","",INDEX(AR3293:AR3303,MATCH($AV$27,AQ3293:AQ3303,0)))</f>
        <v/>
      </c>
      <c r="AW3292" s="1856" t="str">
        <f t="shared" ref="AW3292:AW3355" si="538">IF(AT3292="","",INDEX(AR3293:AR3303,MATCH($AW$27,AQ3293:AQ3303,0)))</f>
        <v/>
      </c>
      <c r="AX3292" s="1856" t="str">
        <f t="shared" ref="AX3292:AX3355" si="539">IF(AT3292="","",INDEX(AR3293:AR3303,MATCH($AX$27,AQ3293:AQ3303,0)))</f>
        <v/>
      </c>
      <c r="AY3292" s="1856" t="str">
        <f t="shared" ref="AY3292:AY3355" si="540">IF(AT3292="","",INDEX(AR3293:AR3303,MATCH($AY$27,AQ3293:AQ3303,0)))</f>
        <v/>
      </c>
    </row>
    <row r="3293" spans="42:52">
      <c r="AP3293" s="1855">
        <f t="shared" si="532"/>
        <v>44924</v>
      </c>
      <c r="AQ3293" s="925" t="str">
        <f t="shared" si="534"/>
        <v>EENT</v>
      </c>
      <c r="AR3293" s="1856">
        <f t="shared" si="533"/>
        <v>44924.774305555555</v>
      </c>
      <c r="AS3293" s="927" t="s">
        <v>2335</v>
      </c>
      <c r="AT3293" s="1856" t="str">
        <f t="shared" si="535"/>
        <v/>
      </c>
      <c r="AU3293" s="1856" t="str">
        <f t="shared" si="536"/>
        <v/>
      </c>
      <c r="AV3293" s="1856" t="str">
        <f t="shared" si="537"/>
        <v/>
      </c>
      <c r="AW3293" s="1856" t="str">
        <f t="shared" si="538"/>
        <v/>
      </c>
      <c r="AX3293" s="1856" t="str">
        <f t="shared" si="539"/>
        <v/>
      </c>
      <c r="AY3293" s="1856" t="str">
        <f t="shared" si="540"/>
        <v/>
      </c>
    </row>
    <row r="3294" spans="42:52">
      <c r="AP3294" s="1855">
        <f t="shared" si="532"/>
        <v>44924</v>
      </c>
      <c r="AQ3294" s="925" t="str">
        <f t="shared" si="534"/>
        <v>MS</v>
      </c>
      <c r="AR3294" s="1856" t="str">
        <f t="shared" si="533"/>
        <v>NONE</v>
      </c>
      <c r="AS3294" s="927" t="s">
        <v>948</v>
      </c>
      <c r="AT3294" s="1856" t="str">
        <f t="shared" si="535"/>
        <v/>
      </c>
      <c r="AU3294" s="1856" t="str">
        <f t="shared" si="536"/>
        <v/>
      </c>
      <c r="AV3294" s="1856" t="str">
        <f t="shared" si="537"/>
        <v/>
      </c>
      <c r="AW3294" s="1856" t="str">
        <f t="shared" si="538"/>
        <v/>
      </c>
      <c r="AX3294" s="1856" t="str">
        <f t="shared" si="539"/>
        <v/>
      </c>
      <c r="AY3294" s="1856" t="str">
        <f t="shared" si="540"/>
        <v/>
      </c>
    </row>
    <row r="3295" spans="42:52">
      <c r="AP3295" s="1855">
        <f t="shared" si="532"/>
        <v>44925</v>
      </c>
      <c r="AQ3295" s="925" t="str">
        <f t="shared" si="534"/>
        <v/>
      </c>
      <c r="AR3295" s="1856" t="str">
        <f t="shared" si="533"/>
        <v/>
      </c>
      <c r="AS3295" s="927">
        <v>30</v>
      </c>
      <c r="AT3295" s="1856">
        <f t="shared" si="535"/>
        <v>44925.289583333331</v>
      </c>
      <c r="AU3295" s="1856">
        <f t="shared" si="536"/>
        <v>44925.332638888889</v>
      </c>
      <c r="AV3295" s="1856">
        <f t="shared" si="537"/>
        <v>44925.731250000004</v>
      </c>
      <c r="AW3295" s="1856">
        <f t="shared" si="538"/>
        <v>44925.774305555555</v>
      </c>
      <c r="AX3295" s="1856">
        <f t="shared" si="539"/>
        <v>44925.542361111111</v>
      </c>
      <c r="AY3295" s="1856">
        <f t="shared" si="540"/>
        <v>44925.040972222225</v>
      </c>
      <c r="AZ3295" s="1853">
        <v>0.52</v>
      </c>
    </row>
    <row r="3296" spans="42:52">
      <c r="AP3296" s="1855">
        <f t="shared" si="532"/>
        <v>44925</v>
      </c>
      <c r="AQ3296" s="925" t="str">
        <f t="shared" si="534"/>
        <v/>
      </c>
      <c r="AR3296" s="1856" t="str">
        <f t="shared" si="533"/>
        <v/>
      </c>
      <c r="AS3296" s="927" t="s">
        <v>252</v>
      </c>
      <c r="AT3296" s="1856" t="str">
        <f t="shared" si="535"/>
        <v/>
      </c>
      <c r="AU3296" s="1856" t="str">
        <f t="shared" si="536"/>
        <v/>
      </c>
      <c r="AV3296" s="1856" t="str">
        <f t="shared" si="537"/>
        <v/>
      </c>
      <c r="AW3296" s="1856" t="str">
        <f t="shared" si="538"/>
        <v/>
      </c>
      <c r="AX3296" s="1856" t="str">
        <f t="shared" si="539"/>
        <v/>
      </c>
      <c r="AY3296" s="1856" t="str">
        <f t="shared" si="540"/>
        <v/>
      </c>
    </row>
    <row r="3297" spans="42:52">
      <c r="AP3297" s="1855">
        <f t="shared" si="532"/>
        <v>44925</v>
      </c>
      <c r="AQ3297" s="925" t="str">
        <f t="shared" si="534"/>
        <v/>
      </c>
      <c r="AR3297" s="1856" t="str">
        <f t="shared" si="533"/>
        <v/>
      </c>
      <c r="AT3297" s="1856" t="str">
        <f t="shared" si="535"/>
        <v/>
      </c>
      <c r="AU3297" s="1856" t="str">
        <f t="shared" si="536"/>
        <v/>
      </c>
      <c r="AV3297" s="1856" t="str">
        <f t="shared" si="537"/>
        <v/>
      </c>
      <c r="AW3297" s="1856" t="str">
        <f t="shared" si="538"/>
        <v/>
      </c>
      <c r="AX3297" s="1856" t="str">
        <f t="shared" si="539"/>
        <v/>
      </c>
      <c r="AY3297" s="1856" t="str">
        <f t="shared" si="540"/>
        <v/>
      </c>
    </row>
    <row r="3298" spans="42:52">
      <c r="AP3298" s="1855">
        <f t="shared" si="532"/>
        <v>44925</v>
      </c>
      <c r="AQ3298" s="925" t="str">
        <f t="shared" si="534"/>
        <v>MS</v>
      </c>
      <c r="AR3298" s="1856">
        <f t="shared" si="533"/>
        <v>44925.040972222225</v>
      </c>
      <c r="AS3298" s="927" t="s">
        <v>2431</v>
      </c>
      <c r="AT3298" s="1856" t="str">
        <f t="shared" si="535"/>
        <v/>
      </c>
      <c r="AU3298" s="1856" t="str">
        <f t="shared" si="536"/>
        <v/>
      </c>
      <c r="AV3298" s="1856" t="str">
        <f t="shared" si="537"/>
        <v/>
      </c>
      <c r="AW3298" s="1856" t="str">
        <f t="shared" si="538"/>
        <v/>
      </c>
      <c r="AX3298" s="1856" t="str">
        <f t="shared" si="539"/>
        <v/>
      </c>
      <c r="AY3298" s="1856" t="str">
        <f t="shared" si="540"/>
        <v/>
      </c>
    </row>
    <row r="3299" spans="42:52">
      <c r="AP3299" s="1855">
        <f t="shared" si="532"/>
        <v>44925</v>
      </c>
      <c r="AQ3299" s="925" t="str">
        <f t="shared" si="534"/>
        <v>BMNT</v>
      </c>
      <c r="AR3299" s="1856">
        <f t="shared" si="533"/>
        <v>44925.289583333331</v>
      </c>
      <c r="AS3299" s="927" t="s">
        <v>756</v>
      </c>
      <c r="AT3299" s="1856" t="str">
        <f t="shared" si="535"/>
        <v/>
      </c>
      <c r="AU3299" s="1856" t="str">
        <f t="shared" si="536"/>
        <v/>
      </c>
      <c r="AV3299" s="1856" t="str">
        <f t="shared" si="537"/>
        <v/>
      </c>
      <c r="AW3299" s="1856" t="str">
        <f t="shared" si="538"/>
        <v/>
      </c>
      <c r="AX3299" s="1856" t="str">
        <f t="shared" si="539"/>
        <v/>
      </c>
      <c r="AY3299" s="1856" t="str">
        <f t="shared" si="540"/>
        <v/>
      </c>
    </row>
    <row r="3300" spans="42:52">
      <c r="AP3300" s="1855">
        <f t="shared" si="532"/>
        <v>44925</v>
      </c>
      <c r="AQ3300" s="925" t="str">
        <f t="shared" si="534"/>
        <v>SR</v>
      </c>
      <c r="AR3300" s="1856">
        <f t="shared" si="533"/>
        <v>44925.332638888889</v>
      </c>
      <c r="AS3300" s="927" t="s">
        <v>984</v>
      </c>
      <c r="AT3300" s="1856" t="str">
        <f t="shared" si="535"/>
        <v/>
      </c>
      <c r="AU3300" s="1856" t="str">
        <f t="shared" si="536"/>
        <v/>
      </c>
      <c r="AV3300" s="1856" t="str">
        <f t="shared" si="537"/>
        <v/>
      </c>
      <c r="AW3300" s="1856" t="str">
        <f t="shared" si="538"/>
        <v/>
      </c>
      <c r="AX3300" s="1856" t="str">
        <f t="shared" si="539"/>
        <v/>
      </c>
      <c r="AY3300" s="1856" t="str">
        <f t="shared" si="540"/>
        <v/>
      </c>
    </row>
    <row r="3301" spans="42:52">
      <c r="AP3301" s="1855">
        <f t="shared" ref="AP3301:AP3364" si="541">IF(ISNUMBER(AS3301),AP3300+1,AP3300)</f>
        <v>44925</v>
      </c>
      <c r="AQ3301" s="925" t="str">
        <f t="shared" si="534"/>
        <v>MR</v>
      </c>
      <c r="AR3301" s="1856">
        <f t="shared" si="533"/>
        <v>44925.542361111111</v>
      </c>
      <c r="AS3301" s="927" t="s">
        <v>2432</v>
      </c>
      <c r="AT3301" s="1856" t="str">
        <f t="shared" si="535"/>
        <v/>
      </c>
      <c r="AU3301" s="1856" t="str">
        <f t="shared" si="536"/>
        <v/>
      </c>
      <c r="AV3301" s="1856" t="str">
        <f t="shared" si="537"/>
        <v/>
      </c>
      <c r="AW3301" s="1856" t="str">
        <f t="shared" si="538"/>
        <v/>
      </c>
      <c r="AX3301" s="1856" t="str">
        <f t="shared" si="539"/>
        <v/>
      </c>
      <c r="AY3301" s="1856" t="str">
        <f t="shared" si="540"/>
        <v/>
      </c>
    </row>
    <row r="3302" spans="42:52">
      <c r="AP3302" s="1855">
        <f t="shared" si="541"/>
        <v>44925</v>
      </c>
      <c r="AQ3302" s="925" t="str">
        <f t="shared" si="534"/>
        <v>SS</v>
      </c>
      <c r="AR3302" s="1856">
        <f t="shared" si="533"/>
        <v>44925.731250000004</v>
      </c>
      <c r="AS3302" s="927" t="s">
        <v>2346</v>
      </c>
      <c r="AT3302" s="1856" t="str">
        <f t="shared" si="535"/>
        <v/>
      </c>
      <c r="AU3302" s="1856" t="str">
        <f t="shared" si="536"/>
        <v/>
      </c>
      <c r="AV3302" s="1856" t="str">
        <f t="shared" si="537"/>
        <v/>
      </c>
      <c r="AW3302" s="1856" t="str">
        <f t="shared" si="538"/>
        <v/>
      </c>
      <c r="AX3302" s="1856" t="str">
        <f t="shared" si="539"/>
        <v/>
      </c>
      <c r="AY3302" s="1856" t="str">
        <f t="shared" si="540"/>
        <v/>
      </c>
    </row>
    <row r="3303" spans="42:52">
      <c r="AP3303" s="1855">
        <f t="shared" si="541"/>
        <v>44925</v>
      </c>
      <c r="AQ3303" s="925" t="str">
        <f t="shared" si="534"/>
        <v>EENT</v>
      </c>
      <c r="AR3303" s="1856">
        <f t="shared" si="533"/>
        <v>44925.774305555555</v>
      </c>
      <c r="AS3303" s="927" t="s">
        <v>2335</v>
      </c>
      <c r="AT3303" s="1856" t="str">
        <f t="shared" si="535"/>
        <v/>
      </c>
      <c r="AU3303" s="1856" t="str">
        <f t="shared" si="536"/>
        <v/>
      </c>
      <c r="AV3303" s="1856" t="str">
        <f t="shared" si="537"/>
        <v/>
      </c>
      <c r="AW3303" s="1856" t="str">
        <f t="shared" si="538"/>
        <v/>
      </c>
      <c r="AX3303" s="1856" t="str">
        <f t="shared" si="539"/>
        <v/>
      </c>
      <c r="AY3303" s="1856" t="str">
        <f t="shared" si="540"/>
        <v/>
      </c>
    </row>
    <row r="3304" spans="42:52">
      <c r="AP3304" s="1855">
        <f t="shared" si="541"/>
        <v>44926</v>
      </c>
      <c r="AQ3304" s="925" t="str">
        <f t="shared" si="534"/>
        <v/>
      </c>
      <c r="AR3304" s="1856" t="str">
        <f t="shared" si="533"/>
        <v/>
      </c>
      <c r="AS3304" s="927">
        <v>31</v>
      </c>
      <c r="AT3304" s="1856">
        <f t="shared" si="535"/>
        <v>44926.289583333331</v>
      </c>
      <c r="AU3304" s="1856">
        <f t="shared" si="536"/>
        <v>44926.332638888889</v>
      </c>
      <c r="AV3304" s="1856">
        <f t="shared" si="537"/>
        <v>44926.731944444444</v>
      </c>
      <c r="AW3304" s="1856">
        <f t="shared" si="538"/>
        <v>44926.775000000001</v>
      </c>
      <c r="AX3304" s="1856">
        <f t="shared" si="539"/>
        <v>44926.55972222222</v>
      </c>
      <c r="AY3304" s="1856">
        <f t="shared" si="540"/>
        <v>44926.086111111115</v>
      </c>
      <c r="AZ3304" s="1853">
        <v>0.62</v>
      </c>
    </row>
    <row r="3305" spans="42:52">
      <c r="AP3305" s="1855">
        <f t="shared" si="541"/>
        <v>44926</v>
      </c>
      <c r="AQ3305" s="925" t="str">
        <f t="shared" si="534"/>
        <v/>
      </c>
      <c r="AR3305" s="1856" t="str">
        <f t="shared" ref="AR3305:AR3368" si="542">IF(NOT(ISNUMBER(FIND(":",AS3305))),"",IF(ISNUMBER(FIND(" none",AS3305)),"NONE",AP3305+LEFT(RIGHT(AS3305,5),2)/24+RIGHT(AS3305,2)/1440))</f>
        <v/>
      </c>
      <c r="AS3305" s="927" t="s">
        <v>252</v>
      </c>
      <c r="AT3305" s="1856" t="str">
        <f t="shared" si="535"/>
        <v/>
      </c>
      <c r="AU3305" s="1856" t="str">
        <f t="shared" si="536"/>
        <v/>
      </c>
      <c r="AV3305" s="1856" t="str">
        <f t="shared" si="537"/>
        <v/>
      </c>
      <c r="AW3305" s="1856" t="str">
        <f t="shared" si="538"/>
        <v/>
      </c>
      <c r="AX3305" s="1856" t="str">
        <f t="shared" si="539"/>
        <v/>
      </c>
      <c r="AY3305" s="1856" t="str">
        <f t="shared" si="540"/>
        <v/>
      </c>
    </row>
    <row r="3306" spans="42:52">
      <c r="AP3306" s="1855">
        <f t="shared" si="541"/>
        <v>44926</v>
      </c>
      <c r="AQ3306" s="925" t="str">
        <f t="shared" si="534"/>
        <v/>
      </c>
      <c r="AR3306" s="1856" t="str">
        <f t="shared" si="542"/>
        <v/>
      </c>
      <c r="AT3306" s="1856" t="str">
        <f t="shared" si="535"/>
        <v/>
      </c>
      <c r="AU3306" s="1856" t="str">
        <f t="shared" si="536"/>
        <v/>
      </c>
      <c r="AV3306" s="1856" t="str">
        <f t="shared" si="537"/>
        <v/>
      </c>
      <c r="AW3306" s="1856" t="str">
        <f t="shared" si="538"/>
        <v/>
      </c>
      <c r="AX3306" s="1856" t="str">
        <f t="shared" si="539"/>
        <v/>
      </c>
      <c r="AY3306" s="1856" t="str">
        <f t="shared" si="540"/>
        <v/>
      </c>
    </row>
    <row r="3307" spans="42:52">
      <c r="AP3307" s="1855">
        <f t="shared" si="541"/>
        <v>44926</v>
      </c>
      <c r="AQ3307" s="925" t="str">
        <f t="shared" si="534"/>
        <v>MS</v>
      </c>
      <c r="AR3307" s="1856">
        <f t="shared" si="542"/>
        <v>44926.086111111115</v>
      </c>
      <c r="AS3307" s="927" t="s">
        <v>2433</v>
      </c>
      <c r="AT3307" s="1856" t="str">
        <f t="shared" si="535"/>
        <v/>
      </c>
      <c r="AU3307" s="1856" t="str">
        <f t="shared" si="536"/>
        <v/>
      </c>
      <c r="AV3307" s="1856" t="str">
        <f t="shared" si="537"/>
        <v/>
      </c>
      <c r="AW3307" s="1856" t="str">
        <f t="shared" si="538"/>
        <v/>
      </c>
      <c r="AX3307" s="1856" t="str">
        <f t="shared" si="539"/>
        <v/>
      </c>
      <c r="AY3307" s="1856" t="str">
        <f t="shared" si="540"/>
        <v/>
      </c>
    </row>
    <row r="3308" spans="42:52">
      <c r="AP3308" s="1855">
        <f t="shared" si="541"/>
        <v>44926</v>
      </c>
      <c r="AQ3308" s="925" t="str">
        <f t="shared" si="534"/>
        <v>BMNT</v>
      </c>
      <c r="AR3308" s="1856">
        <f t="shared" si="542"/>
        <v>44926.289583333331</v>
      </c>
      <c r="AS3308" s="927" t="s">
        <v>756</v>
      </c>
      <c r="AT3308" s="1856" t="str">
        <f t="shared" si="535"/>
        <v/>
      </c>
      <c r="AU3308" s="1856" t="str">
        <f t="shared" si="536"/>
        <v/>
      </c>
      <c r="AV3308" s="1856" t="str">
        <f t="shared" si="537"/>
        <v/>
      </c>
      <c r="AW3308" s="1856" t="str">
        <f t="shared" si="538"/>
        <v/>
      </c>
      <c r="AX3308" s="1856" t="str">
        <f t="shared" si="539"/>
        <v/>
      </c>
      <c r="AY3308" s="1856" t="str">
        <f t="shared" si="540"/>
        <v/>
      </c>
    </row>
    <row r="3309" spans="42:52">
      <c r="AP3309" s="1855">
        <f t="shared" si="541"/>
        <v>44926</v>
      </c>
      <c r="AQ3309" s="925" t="str">
        <f t="shared" si="534"/>
        <v>SR</v>
      </c>
      <c r="AR3309" s="1856">
        <f t="shared" si="542"/>
        <v>44926.332638888889</v>
      </c>
      <c r="AS3309" s="927" t="s">
        <v>984</v>
      </c>
      <c r="AT3309" s="1856" t="str">
        <f t="shared" si="535"/>
        <v/>
      </c>
      <c r="AU3309" s="1856" t="str">
        <f t="shared" si="536"/>
        <v/>
      </c>
      <c r="AV3309" s="1856" t="str">
        <f t="shared" si="537"/>
        <v/>
      </c>
      <c r="AW3309" s="1856" t="str">
        <f t="shared" si="538"/>
        <v/>
      </c>
      <c r="AX3309" s="1856" t="str">
        <f t="shared" si="539"/>
        <v/>
      </c>
      <c r="AY3309" s="1856" t="str">
        <f t="shared" si="540"/>
        <v/>
      </c>
    </row>
    <row r="3310" spans="42:52">
      <c r="AP3310" s="1855">
        <f t="shared" si="541"/>
        <v>44926</v>
      </c>
      <c r="AQ3310" s="925" t="str">
        <f t="shared" si="534"/>
        <v>MR</v>
      </c>
      <c r="AR3310" s="1856">
        <f t="shared" si="542"/>
        <v>44926.55972222222</v>
      </c>
      <c r="AS3310" s="927" t="s">
        <v>2434</v>
      </c>
      <c r="AT3310" s="1856" t="str">
        <f t="shared" si="535"/>
        <v/>
      </c>
      <c r="AU3310" s="1856" t="str">
        <f t="shared" si="536"/>
        <v/>
      </c>
      <c r="AV3310" s="1856" t="str">
        <f t="shared" si="537"/>
        <v/>
      </c>
      <c r="AW3310" s="1856" t="str">
        <f t="shared" si="538"/>
        <v/>
      </c>
      <c r="AX3310" s="1856" t="str">
        <f t="shared" si="539"/>
        <v/>
      </c>
      <c r="AY3310" s="1856" t="str">
        <f t="shared" si="540"/>
        <v/>
      </c>
    </row>
    <row r="3311" spans="42:52">
      <c r="AP3311" s="1855">
        <f t="shared" si="541"/>
        <v>44926</v>
      </c>
      <c r="AQ3311" s="925" t="str">
        <f t="shared" si="534"/>
        <v>SS</v>
      </c>
      <c r="AR3311" s="1856">
        <f t="shared" si="542"/>
        <v>44926.731944444444</v>
      </c>
      <c r="AS3311" s="927" t="s">
        <v>2339</v>
      </c>
      <c r="AT3311" s="1856" t="str">
        <f t="shared" si="535"/>
        <v/>
      </c>
      <c r="AU3311" s="1856" t="str">
        <f t="shared" si="536"/>
        <v/>
      </c>
      <c r="AV3311" s="1856" t="str">
        <f t="shared" si="537"/>
        <v/>
      </c>
      <c r="AW3311" s="1856" t="str">
        <f t="shared" si="538"/>
        <v/>
      </c>
      <c r="AX3311" s="1856" t="str">
        <f t="shared" si="539"/>
        <v/>
      </c>
      <c r="AY3311" s="1856" t="str">
        <f t="shared" si="540"/>
        <v/>
      </c>
    </row>
    <row r="3312" spans="42:52">
      <c r="AP3312" s="1855">
        <f t="shared" si="541"/>
        <v>44926</v>
      </c>
      <c r="AQ3312" s="925" t="str">
        <f t="shared" si="534"/>
        <v>EENT</v>
      </c>
      <c r="AR3312" s="1856">
        <f t="shared" si="542"/>
        <v>44926.775000000001</v>
      </c>
      <c r="AS3312" s="927" t="s">
        <v>2332</v>
      </c>
      <c r="AT3312" s="1856" t="str">
        <f t="shared" si="535"/>
        <v/>
      </c>
      <c r="AU3312" s="1856" t="str">
        <f t="shared" si="536"/>
        <v/>
      </c>
      <c r="AV3312" s="1856" t="str">
        <f t="shared" si="537"/>
        <v/>
      </c>
      <c r="AW3312" s="1856" t="str">
        <f t="shared" si="538"/>
        <v/>
      </c>
      <c r="AX3312" s="1856" t="str">
        <f t="shared" si="539"/>
        <v/>
      </c>
      <c r="AY3312" s="1856" t="str">
        <f t="shared" si="540"/>
        <v/>
      </c>
    </row>
    <row r="3313" spans="42:52">
      <c r="AP3313" s="1855">
        <f t="shared" si="541"/>
        <v>44927</v>
      </c>
      <c r="AQ3313" s="925" t="str">
        <f t="shared" si="534"/>
        <v/>
      </c>
      <c r="AR3313" s="1856" t="str">
        <f t="shared" si="542"/>
        <v/>
      </c>
      <c r="AS3313" s="927">
        <v>1</v>
      </c>
      <c r="AT3313" s="1856">
        <f t="shared" si="535"/>
        <v>44927.289583333331</v>
      </c>
      <c r="AU3313" s="1856">
        <f t="shared" si="536"/>
        <v>44927.333333333336</v>
      </c>
      <c r="AV3313" s="1856">
        <f t="shared" si="537"/>
        <v>44927.732638888891</v>
      </c>
      <c r="AW3313" s="1856">
        <f t="shared" si="538"/>
        <v>44927.775694444441</v>
      </c>
      <c r="AX3313" s="1856">
        <f t="shared" si="539"/>
        <v>44927.578472222223</v>
      </c>
      <c r="AY3313" s="1856">
        <f t="shared" si="540"/>
        <v>44927.130555555559</v>
      </c>
      <c r="AZ3313" s="1853">
        <v>0.72</v>
      </c>
    </row>
    <row r="3314" spans="42:52">
      <c r="AP3314" s="1855">
        <f t="shared" si="541"/>
        <v>44927</v>
      </c>
      <c r="AQ3314" s="925" t="str">
        <f t="shared" si="534"/>
        <v/>
      </c>
      <c r="AR3314" s="1856" t="str">
        <f t="shared" si="542"/>
        <v/>
      </c>
      <c r="AS3314" s="927" t="s">
        <v>252</v>
      </c>
      <c r="AT3314" s="1856" t="str">
        <f t="shared" si="535"/>
        <v/>
      </c>
      <c r="AU3314" s="1856" t="str">
        <f t="shared" si="536"/>
        <v/>
      </c>
      <c r="AV3314" s="1856" t="str">
        <f t="shared" si="537"/>
        <v/>
      </c>
      <c r="AW3314" s="1856" t="str">
        <f t="shared" si="538"/>
        <v/>
      </c>
      <c r="AX3314" s="1856" t="str">
        <f t="shared" si="539"/>
        <v/>
      </c>
      <c r="AY3314" s="1856" t="str">
        <f t="shared" si="540"/>
        <v/>
      </c>
    </row>
    <row r="3315" spans="42:52">
      <c r="AP3315" s="1855">
        <f t="shared" si="541"/>
        <v>44927</v>
      </c>
      <c r="AQ3315" s="925" t="str">
        <f t="shared" si="534"/>
        <v/>
      </c>
      <c r="AR3315" s="1856" t="str">
        <f t="shared" si="542"/>
        <v/>
      </c>
      <c r="AT3315" s="1856" t="str">
        <f t="shared" si="535"/>
        <v/>
      </c>
      <c r="AU3315" s="1856" t="str">
        <f t="shared" si="536"/>
        <v/>
      </c>
      <c r="AV3315" s="1856" t="str">
        <f t="shared" si="537"/>
        <v/>
      </c>
      <c r="AW3315" s="1856" t="str">
        <f t="shared" si="538"/>
        <v/>
      </c>
      <c r="AX3315" s="1856" t="str">
        <f t="shared" si="539"/>
        <v/>
      </c>
      <c r="AY3315" s="1856" t="str">
        <f t="shared" si="540"/>
        <v/>
      </c>
    </row>
    <row r="3316" spans="42:52">
      <c r="AP3316" s="1855">
        <f t="shared" si="541"/>
        <v>44927</v>
      </c>
      <c r="AQ3316" s="925" t="str">
        <f t="shared" ref="AQ3316:AQ3379" si="543">IF(NOT(ISNUMBER(FIND(":",AS3316))),"",IF(ISNUMBER(FIND("Sunr",AS3316)),"SR", IF(ISNUMBER(FIND("Suns",AS3316)),"SS",IF(ISNUMBER(FIND("Moonr",AS3316)),"MR",IF(ISNUMBER(FIND("Moons",AS3316)),"MS",IF(ISNUMBER(FIND("Twi",AS3316)),IF(HOUR(AR3316)&lt;12,"BMNT","EENT")))))))</f>
        <v>MS</v>
      </c>
      <c r="AR3316" s="1856">
        <f t="shared" si="542"/>
        <v>44927.130555555559</v>
      </c>
      <c r="AS3316" s="927" t="s">
        <v>2435</v>
      </c>
      <c r="AT3316" s="1856" t="str">
        <f t="shared" si="535"/>
        <v/>
      </c>
      <c r="AU3316" s="1856" t="str">
        <f t="shared" si="536"/>
        <v/>
      </c>
      <c r="AV3316" s="1856" t="str">
        <f t="shared" si="537"/>
        <v/>
      </c>
      <c r="AW3316" s="1856" t="str">
        <f t="shared" si="538"/>
        <v/>
      </c>
      <c r="AX3316" s="1856" t="str">
        <f t="shared" si="539"/>
        <v/>
      </c>
      <c r="AY3316" s="1856" t="str">
        <f t="shared" si="540"/>
        <v/>
      </c>
    </row>
    <row r="3317" spans="42:52">
      <c r="AP3317" s="1855">
        <f t="shared" si="541"/>
        <v>44927</v>
      </c>
      <c r="AQ3317" s="925" t="str">
        <f t="shared" si="543"/>
        <v>BMNT</v>
      </c>
      <c r="AR3317" s="1856">
        <f t="shared" si="542"/>
        <v>44927.289583333331</v>
      </c>
      <c r="AS3317" s="927" t="s">
        <v>756</v>
      </c>
      <c r="AT3317" s="1856" t="str">
        <f t="shared" si="535"/>
        <v/>
      </c>
      <c r="AU3317" s="1856" t="str">
        <f t="shared" si="536"/>
        <v/>
      </c>
      <c r="AV3317" s="1856" t="str">
        <f t="shared" si="537"/>
        <v/>
      </c>
      <c r="AW3317" s="1856" t="str">
        <f t="shared" si="538"/>
        <v/>
      </c>
      <c r="AX3317" s="1856" t="str">
        <f t="shared" si="539"/>
        <v/>
      </c>
      <c r="AY3317" s="1856" t="str">
        <f t="shared" si="540"/>
        <v/>
      </c>
    </row>
    <row r="3318" spans="42:52">
      <c r="AP3318" s="1855">
        <f t="shared" si="541"/>
        <v>44927</v>
      </c>
      <c r="AQ3318" s="925" t="str">
        <f t="shared" si="543"/>
        <v>SR</v>
      </c>
      <c r="AR3318" s="1856">
        <f t="shared" si="542"/>
        <v>44927.333333333336</v>
      </c>
      <c r="AS3318" s="927" t="s">
        <v>766</v>
      </c>
      <c r="AT3318" s="1856" t="str">
        <f t="shared" si="535"/>
        <v/>
      </c>
      <c r="AU3318" s="1856" t="str">
        <f t="shared" si="536"/>
        <v/>
      </c>
      <c r="AV3318" s="1856" t="str">
        <f t="shared" si="537"/>
        <v/>
      </c>
      <c r="AW3318" s="1856" t="str">
        <f t="shared" si="538"/>
        <v/>
      </c>
      <c r="AX3318" s="1856" t="str">
        <f t="shared" si="539"/>
        <v/>
      </c>
      <c r="AY3318" s="1856" t="str">
        <f t="shared" si="540"/>
        <v/>
      </c>
    </row>
    <row r="3319" spans="42:52">
      <c r="AP3319" s="1855">
        <f t="shared" si="541"/>
        <v>44927</v>
      </c>
      <c r="AQ3319" s="925" t="str">
        <f t="shared" si="543"/>
        <v>MR</v>
      </c>
      <c r="AR3319" s="1856">
        <f t="shared" si="542"/>
        <v>44927.578472222223</v>
      </c>
      <c r="AS3319" s="927" t="s">
        <v>2436</v>
      </c>
      <c r="AT3319" s="1856" t="str">
        <f t="shared" si="535"/>
        <v/>
      </c>
      <c r="AU3319" s="1856" t="str">
        <f t="shared" si="536"/>
        <v/>
      </c>
      <c r="AV3319" s="1856" t="str">
        <f t="shared" si="537"/>
        <v/>
      </c>
      <c r="AW3319" s="1856" t="str">
        <f t="shared" si="538"/>
        <v/>
      </c>
      <c r="AX3319" s="1856" t="str">
        <f t="shared" si="539"/>
        <v/>
      </c>
      <c r="AY3319" s="1856" t="str">
        <f t="shared" si="540"/>
        <v/>
      </c>
    </row>
    <row r="3320" spans="42:52">
      <c r="AP3320" s="1855">
        <f t="shared" si="541"/>
        <v>44927</v>
      </c>
      <c r="AQ3320" s="925" t="str">
        <f t="shared" si="543"/>
        <v>SS</v>
      </c>
      <c r="AR3320" s="1856">
        <f t="shared" si="542"/>
        <v>44927.732638888891</v>
      </c>
      <c r="AS3320" s="927" t="s">
        <v>785</v>
      </c>
      <c r="AT3320" s="1856" t="str">
        <f t="shared" si="535"/>
        <v/>
      </c>
      <c r="AU3320" s="1856" t="str">
        <f t="shared" si="536"/>
        <v/>
      </c>
      <c r="AV3320" s="1856" t="str">
        <f t="shared" si="537"/>
        <v/>
      </c>
      <c r="AW3320" s="1856" t="str">
        <f t="shared" si="538"/>
        <v/>
      </c>
      <c r="AX3320" s="1856" t="str">
        <f t="shared" si="539"/>
        <v/>
      </c>
      <c r="AY3320" s="1856" t="str">
        <f t="shared" si="540"/>
        <v/>
      </c>
    </row>
    <row r="3321" spans="42:52">
      <c r="AP3321" s="1855">
        <f t="shared" si="541"/>
        <v>44927</v>
      </c>
      <c r="AQ3321" s="925" t="str">
        <f t="shared" si="543"/>
        <v>EENT</v>
      </c>
      <c r="AR3321" s="1856">
        <f t="shared" si="542"/>
        <v>44927.775694444441</v>
      </c>
      <c r="AS3321" s="927" t="s">
        <v>793</v>
      </c>
      <c r="AT3321" s="1856" t="str">
        <f t="shared" si="535"/>
        <v/>
      </c>
      <c r="AU3321" s="1856" t="str">
        <f t="shared" si="536"/>
        <v/>
      </c>
      <c r="AV3321" s="1856" t="str">
        <f t="shared" si="537"/>
        <v/>
      </c>
      <c r="AW3321" s="1856" t="str">
        <f t="shared" si="538"/>
        <v/>
      </c>
      <c r="AX3321" s="1856" t="str">
        <f t="shared" si="539"/>
        <v/>
      </c>
      <c r="AY3321" s="1856" t="str">
        <f t="shared" si="540"/>
        <v/>
      </c>
    </row>
    <row r="3322" spans="42:52">
      <c r="AP3322" s="1855">
        <f t="shared" si="541"/>
        <v>44928</v>
      </c>
      <c r="AQ3322" s="925" t="str">
        <f t="shared" si="543"/>
        <v/>
      </c>
      <c r="AR3322" s="1856" t="str">
        <f t="shared" si="542"/>
        <v/>
      </c>
      <c r="AS3322" s="927">
        <v>2</v>
      </c>
      <c r="AT3322" s="1856">
        <f t="shared" si="535"/>
        <v>44928.290277777778</v>
      </c>
      <c r="AU3322" s="1856">
        <f t="shared" si="536"/>
        <v>44928.333333333336</v>
      </c>
      <c r="AV3322" s="1856">
        <f t="shared" si="537"/>
        <v>44928.732638888891</v>
      </c>
      <c r="AW3322" s="1856">
        <f t="shared" si="538"/>
        <v>44928.776388888888</v>
      </c>
      <c r="AX3322" s="1856">
        <f t="shared" si="539"/>
        <v>44928.599305555559</v>
      </c>
      <c r="AY3322" s="1856">
        <f t="shared" si="540"/>
        <v>44928.174999999996</v>
      </c>
      <c r="AZ3322" s="1853">
        <v>0.8</v>
      </c>
    </row>
    <row r="3323" spans="42:52">
      <c r="AP3323" s="1855">
        <f t="shared" si="541"/>
        <v>44928</v>
      </c>
      <c r="AQ3323" s="925" t="str">
        <f t="shared" si="543"/>
        <v/>
      </c>
      <c r="AR3323" s="1856" t="str">
        <f t="shared" si="542"/>
        <v/>
      </c>
      <c r="AS3323" s="927" t="s">
        <v>252</v>
      </c>
      <c r="AT3323" s="1856" t="str">
        <f t="shared" si="535"/>
        <v/>
      </c>
      <c r="AU3323" s="1856" t="str">
        <f t="shared" si="536"/>
        <v/>
      </c>
      <c r="AV3323" s="1856" t="str">
        <f t="shared" si="537"/>
        <v/>
      </c>
      <c r="AW3323" s="1856" t="str">
        <f t="shared" si="538"/>
        <v/>
      </c>
      <c r="AX3323" s="1856" t="str">
        <f t="shared" si="539"/>
        <v/>
      </c>
      <c r="AY3323" s="1856" t="str">
        <f t="shared" si="540"/>
        <v/>
      </c>
    </row>
    <row r="3324" spans="42:52">
      <c r="AP3324" s="1855">
        <f t="shared" si="541"/>
        <v>44928</v>
      </c>
      <c r="AQ3324" s="925" t="str">
        <f t="shared" si="543"/>
        <v/>
      </c>
      <c r="AR3324" s="1856" t="str">
        <f t="shared" si="542"/>
        <v/>
      </c>
      <c r="AT3324" s="1856" t="str">
        <f t="shared" si="535"/>
        <v/>
      </c>
      <c r="AU3324" s="1856" t="str">
        <f t="shared" si="536"/>
        <v/>
      </c>
      <c r="AV3324" s="1856" t="str">
        <f t="shared" si="537"/>
        <v/>
      </c>
      <c r="AW3324" s="1856" t="str">
        <f t="shared" si="538"/>
        <v/>
      </c>
      <c r="AX3324" s="1856" t="str">
        <f t="shared" si="539"/>
        <v/>
      </c>
      <c r="AY3324" s="1856" t="str">
        <f t="shared" si="540"/>
        <v/>
      </c>
    </row>
    <row r="3325" spans="42:52">
      <c r="AP3325" s="1855">
        <f t="shared" si="541"/>
        <v>44928</v>
      </c>
      <c r="AQ3325" s="925" t="str">
        <f t="shared" si="543"/>
        <v>MS</v>
      </c>
      <c r="AR3325" s="1856">
        <f t="shared" si="542"/>
        <v>44928.174999999996</v>
      </c>
      <c r="AS3325" s="927" t="s">
        <v>2437</v>
      </c>
      <c r="AT3325" s="1856" t="str">
        <f t="shared" si="535"/>
        <v/>
      </c>
      <c r="AU3325" s="1856" t="str">
        <f t="shared" si="536"/>
        <v/>
      </c>
      <c r="AV3325" s="1856" t="str">
        <f t="shared" si="537"/>
        <v/>
      </c>
      <c r="AW3325" s="1856" t="str">
        <f t="shared" si="538"/>
        <v/>
      </c>
      <c r="AX3325" s="1856" t="str">
        <f t="shared" si="539"/>
        <v/>
      </c>
      <c r="AY3325" s="1856" t="str">
        <f t="shared" si="540"/>
        <v/>
      </c>
    </row>
    <row r="3326" spans="42:52">
      <c r="AP3326" s="1855">
        <f t="shared" si="541"/>
        <v>44928</v>
      </c>
      <c r="AQ3326" s="925" t="str">
        <f t="shared" si="543"/>
        <v>BMNT</v>
      </c>
      <c r="AR3326" s="1856">
        <f t="shared" si="542"/>
        <v>44928.290277777778</v>
      </c>
      <c r="AS3326" s="927" t="s">
        <v>814</v>
      </c>
      <c r="AT3326" s="1856" t="str">
        <f t="shared" si="535"/>
        <v/>
      </c>
      <c r="AU3326" s="1856" t="str">
        <f t="shared" si="536"/>
        <v/>
      </c>
      <c r="AV3326" s="1856" t="str">
        <f t="shared" si="537"/>
        <v/>
      </c>
      <c r="AW3326" s="1856" t="str">
        <f t="shared" si="538"/>
        <v/>
      </c>
      <c r="AX3326" s="1856" t="str">
        <f t="shared" si="539"/>
        <v/>
      </c>
      <c r="AY3326" s="1856" t="str">
        <f t="shared" si="540"/>
        <v/>
      </c>
    </row>
    <row r="3327" spans="42:52">
      <c r="AP3327" s="1855">
        <f t="shared" si="541"/>
        <v>44928</v>
      </c>
      <c r="AQ3327" s="925" t="str">
        <f t="shared" si="543"/>
        <v>SR</v>
      </c>
      <c r="AR3327" s="1856">
        <f t="shared" si="542"/>
        <v>44928.333333333336</v>
      </c>
      <c r="AS3327" s="927" t="s">
        <v>766</v>
      </c>
      <c r="AT3327" s="1856" t="str">
        <f t="shared" si="535"/>
        <v/>
      </c>
      <c r="AU3327" s="1856" t="str">
        <f t="shared" si="536"/>
        <v/>
      </c>
      <c r="AV3327" s="1856" t="str">
        <f t="shared" si="537"/>
        <v/>
      </c>
      <c r="AW3327" s="1856" t="str">
        <f t="shared" si="538"/>
        <v/>
      </c>
      <c r="AX3327" s="1856" t="str">
        <f t="shared" si="539"/>
        <v/>
      </c>
      <c r="AY3327" s="1856" t="str">
        <f t="shared" si="540"/>
        <v/>
      </c>
    </row>
    <row r="3328" spans="42:52">
      <c r="AP3328" s="1855">
        <f t="shared" si="541"/>
        <v>44928</v>
      </c>
      <c r="AQ3328" s="925" t="str">
        <f t="shared" si="543"/>
        <v>MR</v>
      </c>
      <c r="AR3328" s="1856">
        <f t="shared" si="542"/>
        <v>44928.599305555559</v>
      </c>
      <c r="AS3328" s="927" t="s">
        <v>2438</v>
      </c>
      <c r="AT3328" s="1856" t="str">
        <f t="shared" si="535"/>
        <v/>
      </c>
      <c r="AU3328" s="1856" t="str">
        <f t="shared" si="536"/>
        <v/>
      </c>
      <c r="AV3328" s="1856" t="str">
        <f t="shared" si="537"/>
        <v/>
      </c>
      <c r="AW3328" s="1856" t="str">
        <f t="shared" si="538"/>
        <v/>
      </c>
      <c r="AX3328" s="1856" t="str">
        <f t="shared" si="539"/>
        <v/>
      </c>
      <c r="AY3328" s="1856" t="str">
        <f t="shared" si="540"/>
        <v/>
      </c>
    </row>
    <row r="3329" spans="42:52">
      <c r="AP3329" s="1855">
        <f t="shared" si="541"/>
        <v>44928</v>
      </c>
      <c r="AQ3329" s="925" t="str">
        <f t="shared" si="543"/>
        <v>SS</v>
      </c>
      <c r="AR3329" s="1856">
        <f t="shared" si="542"/>
        <v>44928.732638888891</v>
      </c>
      <c r="AS3329" s="927" t="s">
        <v>785</v>
      </c>
      <c r="AT3329" s="1856" t="str">
        <f t="shared" si="535"/>
        <v/>
      </c>
      <c r="AU3329" s="1856" t="str">
        <f t="shared" si="536"/>
        <v/>
      </c>
      <c r="AV3329" s="1856" t="str">
        <f t="shared" si="537"/>
        <v/>
      </c>
      <c r="AW3329" s="1856" t="str">
        <f t="shared" si="538"/>
        <v/>
      </c>
      <c r="AX3329" s="1856" t="str">
        <f t="shared" si="539"/>
        <v/>
      </c>
      <c r="AY3329" s="1856" t="str">
        <f t="shared" si="540"/>
        <v/>
      </c>
    </row>
    <row r="3330" spans="42:52">
      <c r="AP3330" s="1855">
        <f t="shared" si="541"/>
        <v>44928</v>
      </c>
      <c r="AQ3330" s="925" t="str">
        <f t="shared" si="543"/>
        <v>EENT</v>
      </c>
      <c r="AR3330" s="1856">
        <f t="shared" si="542"/>
        <v>44928.776388888888</v>
      </c>
      <c r="AS3330" s="927" t="s">
        <v>839</v>
      </c>
      <c r="AT3330" s="1856" t="str">
        <f t="shared" si="535"/>
        <v/>
      </c>
      <c r="AU3330" s="1856" t="str">
        <f t="shared" si="536"/>
        <v/>
      </c>
      <c r="AV3330" s="1856" t="str">
        <f t="shared" si="537"/>
        <v/>
      </c>
      <c r="AW3330" s="1856" t="str">
        <f t="shared" si="538"/>
        <v/>
      </c>
      <c r="AX3330" s="1856" t="str">
        <f t="shared" si="539"/>
        <v/>
      </c>
      <c r="AY3330" s="1856" t="str">
        <f t="shared" si="540"/>
        <v/>
      </c>
    </row>
    <row r="3331" spans="42:52">
      <c r="AP3331" s="1855">
        <f t="shared" si="541"/>
        <v>44929</v>
      </c>
      <c r="AQ3331" s="925" t="str">
        <f t="shared" si="543"/>
        <v/>
      </c>
      <c r="AR3331" s="1856" t="str">
        <f t="shared" si="542"/>
        <v/>
      </c>
      <c r="AS3331" s="927">
        <v>3</v>
      </c>
      <c r="AT3331" s="1856">
        <f t="shared" si="535"/>
        <v>44929.290277777778</v>
      </c>
      <c r="AU3331" s="1856">
        <f t="shared" si="536"/>
        <v>44929.333333333336</v>
      </c>
      <c r="AV3331" s="1856">
        <f t="shared" si="537"/>
        <v>44929.733333333337</v>
      </c>
      <c r="AW3331" s="1856">
        <f t="shared" si="538"/>
        <v>44929.776388888888</v>
      </c>
      <c r="AX3331" s="1856">
        <f t="shared" si="539"/>
        <v>44929.623611111114</v>
      </c>
      <c r="AY3331" s="1856">
        <f t="shared" si="540"/>
        <v>44929.21875</v>
      </c>
      <c r="AZ3331" s="1853">
        <v>0.88</v>
      </c>
    </row>
    <row r="3332" spans="42:52">
      <c r="AP3332" s="1855">
        <f t="shared" si="541"/>
        <v>44929</v>
      </c>
      <c r="AQ3332" s="925" t="str">
        <f t="shared" si="543"/>
        <v/>
      </c>
      <c r="AR3332" s="1856" t="str">
        <f t="shared" si="542"/>
        <v/>
      </c>
      <c r="AS3332" s="927" t="s">
        <v>252</v>
      </c>
      <c r="AT3332" s="1856" t="str">
        <f t="shared" si="535"/>
        <v/>
      </c>
      <c r="AU3332" s="1856" t="str">
        <f t="shared" si="536"/>
        <v/>
      </c>
      <c r="AV3332" s="1856" t="str">
        <f t="shared" si="537"/>
        <v/>
      </c>
      <c r="AW3332" s="1856" t="str">
        <f t="shared" si="538"/>
        <v/>
      </c>
      <c r="AX3332" s="1856" t="str">
        <f t="shared" si="539"/>
        <v/>
      </c>
      <c r="AY3332" s="1856" t="str">
        <f t="shared" si="540"/>
        <v/>
      </c>
    </row>
    <row r="3333" spans="42:52">
      <c r="AP3333" s="1855">
        <f t="shared" si="541"/>
        <v>44929</v>
      </c>
      <c r="AQ3333" s="925" t="str">
        <f t="shared" si="543"/>
        <v/>
      </c>
      <c r="AR3333" s="1856" t="str">
        <f t="shared" si="542"/>
        <v/>
      </c>
      <c r="AT3333" s="1856" t="str">
        <f t="shared" si="535"/>
        <v/>
      </c>
      <c r="AU3333" s="1856" t="str">
        <f t="shared" si="536"/>
        <v/>
      </c>
      <c r="AV3333" s="1856" t="str">
        <f t="shared" si="537"/>
        <v/>
      </c>
      <c r="AW3333" s="1856" t="str">
        <f t="shared" si="538"/>
        <v/>
      </c>
      <c r="AX3333" s="1856" t="str">
        <f t="shared" si="539"/>
        <v/>
      </c>
      <c r="AY3333" s="1856" t="str">
        <f t="shared" si="540"/>
        <v/>
      </c>
    </row>
    <row r="3334" spans="42:52">
      <c r="AP3334" s="1855">
        <f t="shared" si="541"/>
        <v>44929</v>
      </c>
      <c r="AQ3334" s="925" t="str">
        <f t="shared" si="543"/>
        <v>MS</v>
      </c>
      <c r="AR3334" s="1856">
        <f t="shared" si="542"/>
        <v>44929.21875</v>
      </c>
      <c r="AS3334" s="927" t="s">
        <v>2398</v>
      </c>
      <c r="AT3334" s="1856" t="str">
        <f t="shared" si="535"/>
        <v/>
      </c>
      <c r="AU3334" s="1856" t="str">
        <f t="shared" si="536"/>
        <v/>
      </c>
      <c r="AV3334" s="1856" t="str">
        <f t="shared" si="537"/>
        <v/>
      </c>
      <c r="AW3334" s="1856" t="str">
        <f t="shared" si="538"/>
        <v/>
      </c>
      <c r="AX3334" s="1856" t="str">
        <f t="shared" si="539"/>
        <v/>
      </c>
      <c r="AY3334" s="1856" t="str">
        <f t="shared" si="540"/>
        <v/>
      </c>
    </row>
    <row r="3335" spans="42:52">
      <c r="AP3335" s="1855">
        <f t="shared" si="541"/>
        <v>44929</v>
      </c>
      <c r="AQ3335" s="925" t="str">
        <f t="shared" si="543"/>
        <v>BMNT</v>
      </c>
      <c r="AR3335" s="1856">
        <f t="shared" si="542"/>
        <v>44929.290277777778</v>
      </c>
      <c r="AS3335" s="927" t="s">
        <v>814</v>
      </c>
      <c r="AT3335" s="1856" t="str">
        <f t="shared" si="535"/>
        <v/>
      </c>
      <c r="AU3335" s="1856" t="str">
        <f t="shared" si="536"/>
        <v/>
      </c>
      <c r="AV3335" s="1856" t="str">
        <f t="shared" si="537"/>
        <v/>
      </c>
      <c r="AW3335" s="1856" t="str">
        <f t="shared" si="538"/>
        <v/>
      </c>
      <c r="AX3335" s="1856" t="str">
        <f t="shared" si="539"/>
        <v/>
      </c>
      <c r="AY3335" s="1856" t="str">
        <f t="shared" si="540"/>
        <v/>
      </c>
    </row>
    <row r="3336" spans="42:52">
      <c r="AP3336" s="1855">
        <f t="shared" si="541"/>
        <v>44929</v>
      </c>
      <c r="AQ3336" s="925" t="str">
        <f t="shared" si="543"/>
        <v>SR</v>
      </c>
      <c r="AR3336" s="1856">
        <f t="shared" si="542"/>
        <v>44929.333333333336</v>
      </c>
      <c r="AS3336" s="927" t="s">
        <v>766</v>
      </c>
      <c r="AT3336" s="1856" t="str">
        <f t="shared" si="535"/>
        <v/>
      </c>
      <c r="AU3336" s="1856" t="str">
        <f t="shared" si="536"/>
        <v/>
      </c>
      <c r="AV3336" s="1856" t="str">
        <f t="shared" si="537"/>
        <v/>
      </c>
      <c r="AW3336" s="1856" t="str">
        <f t="shared" si="538"/>
        <v/>
      </c>
      <c r="AX3336" s="1856" t="str">
        <f t="shared" si="539"/>
        <v/>
      </c>
      <c r="AY3336" s="1856" t="str">
        <f t="shared" si="540"/>
        <v/>
      </c>
    </row>
    <row r="3337" spans="42:52">
      <c r="AP3337" s="1855">
        <f t="shared" si="541"/>
        <v>44929</v>
      </c>
      <c r="AQ3337" s="925" t="str">
        <f t="shared" si="543"/>
        <v>MR</v>
      </c>
      <c r="AR3337" s="1856">
        <f t="shared" si="542"/>
        <v>44929.623611111114</v>
      </c>
      <c r="AS3337" s="927" t="s">
        <v>2439</v>
      </c>
      <c r="AT3337" s="1856" t="str">
        <f t="shared" si="535"/>
        <v/>
      </c>
      <c r="AU3337" s="1856" t="str">
        <f t="shared" si="536"/>
        <v/>
      </c>
      <c r="AV3337" s="1856" t="str">
        <f t="shared" si="537"/>
        <v/>
      </c>
      <c r="AW3337" s="1856" t="str">
        <f t="shared" si="538"/>
        <v/>
      </c>
      <c r="AX3337" s="1856" t="str">
        <f t="shared" si="539"/>
        <v/>
      </c>
      <c r="AY3337" s="1856" t="str">
        <f t="shared" si="540"/>
        <v/>
      </c>
    </row>
    <row r="3338" spans="42:52">
      <c r="AP3338" s="1855">
        <f t="shared" si="541"/>
        <v>44929</v>
      </c>
      <c r="AQ3338" s="925" t="str">
        <f t="shared" si="543"/>
        <v>SS</v>
      </c>
      <c r="AR3338" s="1856">
        <f t="shared" si="542"/>
        <v>44929.733333333337</v>
      </c>
      <c r="AS3338" s="927" t="s">
        <v>837</v>
      </c>
      <c r="AT3338" s="1856" t="str">
        <f t="shared" si="535"/>
        <v/>
      </c>
      <c r="AU3338" s="1856" t="str">
        <f t="shared" si="536"/>
        <v/>
      </c>
      <c r="AV3338" s="1856" t="str">
        <f t="shared" si="537"/>
        <v/>
      </c>
      <c r="AW3338" s="1856" t="str">
        <f t="shared" si="538"/>
        <v/>
      </c>
      <c r="AX3338" s="1856" t="str">
        <f t="shared" si="539"/>
        <v/>
      </c>
      <c r="AY3338" s="1856" t="str">
        <f t="shared" si="540"/>
        <v/>
      </c>
    </row>
    <row r="3339" spans="42:52">
      <c r="AP3339" s="1855">
        <f t="shared" si="541"/>
        <v>44929</v>
      </c>
      <c r="AQ3339" s="925" t="str">
        <f t="shared" si="543"/>
        <v>EENT</v>
      </c>
      <c r="AR3339" s="1856">
        <f t="shared" si="542"/>
        <v>44929.776388888888</v>
      </c>
      <c r="AS3339" s="927" t="s">
        <v>839</v>
      </c>
      <c r="AT3339" s="1856" t="str">
        <f t="shared" si="535"/>
        <v/>
      </c>
      <c r="AU3339" s="1856" t="str">
        <f t="shared" si="536"/>
        <v/>
      </c>
      <c r="AV3339" s="1856" t="str">
        <f t="shared" si="537"/>
        <v/>
      </c>
      <c r="AW3339" s="1856" t="str">
        <f t="shared" si="538"/>
        <v/>
      </c>
      <c r="AX3339" s="1856" t="str">
        <f t="shared" si="539"/>
        <v/>
      </c>
      <c r="AY3339" s="1856" t="str">
        <f t="shared" si="540"/>
        <v/>
      </c>
    </row>
    <row r="3340" spans="42:52">
      <c r="AP3340" s="1855">
        <f t="shared" si="541"/>
        <v>44930</v>
      </c>
      <c r="AQ3340" s="925" t="str">
        <f t="shared" si="543"/>
        <v/>
      </c>
      <c r="AR3340" s="1856" t="str">
        <f t="shared" si="542"/>
        <v/>
      </c>
      <c r="AS3340" s="927">
        <v>4</v>
      </c>
      <c r="AT3340" s="1856">
        <f t="shared" si="535"/>
        <v>44930.290277777778</v>
      </c>
      <c r="AU3340" s="1856">
        <f t="shared" si="536"/>
        <v>44930.333333333336</v>
      </c>
      <c r="AV3340" s="1856">
        <f t="shared" si="537"/>
        <v>44930.734027777777</v>
      </c>
      <c r="AW3340" s="1856">
        <f t="shared" si="538"/>
        <v>44930.777083333334</v>
      </c>
      <c r="AX3340" s="1856">
        <f t="shared" si="539"/>
        <v>44930.651388888888</v>
      </c>
      <c r="AY3340" s="1856">
        <f t="shared" si="540"/>
        <v>44930.261805555558</v>
      </c>
      <c r="AZ3340" s="1853">
        <v>0.93</v>
      </c>
    </row>
    <row r="3341" spans="42:52">
      <c r="AP3341" s="1855">
        <f t="shared" si="541"/>
        <v>44930</v>
      </c>
      <c r="AQ3341" s="925" t="str">
        <f t="shared" si="543"/>
        <v/>
      </c>
      <c r="AR3341" s="1856" t="str">
        <f t="shared" si="542"/>
        <v/>
      </c>
      <c r="AS3341" s="927" t="s">
        <v>252</v>
      </c>
      <c r="AT3341" s="1856" t="str">
        <f t="shared" si="535"/>
        <v/>
      </c>
      <c r="AU3341" s="1856" t="str">
        <f t="shared" si="536"/>
        <v/>
      </c>
      <c r="AV3341" s="1856" t="str">
        <f t="shared" si="537"/>
        <v/>
      </c>
      <c r="AW3341" s="1856" t="str">
        <f t="shared" si="538"/>
        <v/>
      </c>
      <c r="AX3341" s="1856" t="str">
        <f t="shared" si="539"/>
        <v/>
      </c>
      <c r="AY3341" s="1856" t="str">
        <f t="shared" si="540"/>
        <v/>
      </c>
    </row>
    <row r="3342" spans="42:52">
      <c r="AP3342" s="1855">
        <f t="shared" si="541"/>
        <v>44930</v>
      </c>
      <c r="AQ3342" s="925" t="str">
        <f t="shared" si="543"/>
        <v/>
      </c>
      <c r="AR3342" s="1856" t="str">
        <f t="shared" si="542"/>
        <v/>
      </c>
      <c r="AT3342" s="1856" t="str">
        <f t="shared" si="535"/>
        <v/>
      </c>
      <c r="AU3342" s="1856" t="str">
        <f t="shared" si="536"/>
        <v/>
      </c>
      <c r="AV3342" s="1856" t="str">
        <f t="shared" si="537"/>
        <v/>
      </c>
      <c r="AW3342" s="1856" t="str">
        <f t="shared" si="538"/>
        <v/>
      </c>
      <c r="AX3342" s="1856" t="str">
        <f t="shared" si="539"/>
        <v/>
      </c>
      <c r="AY3342" s="1856" t="str">
        <f t="shared" si="540"/>
        <v/>
      </c>
    </row>
    <row r="3343" spans="42:52">
      <c r="AP3343" s="1855">
        <f t="shared" si="541"/>
        <v>44930</v>
      </c>
      <c r="AQ3343" s="925" t="str">
        <f t="shared" si="543"/>
        <v>MS</v>
      </c>
      <c r="AR3343" s="1856">
        <f t="shared" si="542"/>
        <v>44930.261805555558</v>
      </c>
      <c r="AS3343" s="927" t="s">
        <v>2440</v>
      </c>
      <c r="AT3343" s="1856" t="str">
        <f t="shared" si="535"/>
        <v/>
      </c>
      <c r="AU3343" s="1856" t="str">
        <f t="shared" si="536"/>
        <v/>
      </c>
      <c r="AV3343" s="1856" t="str">
        <f t="shared" si="537"/>
        <v/>
      </c>
      <c r="AW3343" s="1856" t="str">
        <f t="shared" si="538"/>
        <v/>
      </c>
      <c r="AX3343" s="1856" t="str">
        <f t="shared" si="539"/>
        <v/>
      </c>
      <c r="AY3343" s="1856" t="str">
        <f t="shared" si="540"/>
        <v/>
      </c>
    </row>
    <row r="3344" spans="42:52">
      <c r="AP3344" s="1855">
        <f t="shared" si="541"/>
        <v>44930</v>
      </c>
      <c r="AQ3344" s="925" t="str">
        <f t="shared" si="543"/>
        <v>BMNT</v>
      </c>
      <c r="AR3344" s="1856">
        <f t="shared" si="542"/>
        <v>44930.290277777778</v>
      </c>
      <c r="AS3344" s="927" t="s">
        <v>814</v>
      </c>
      <c r="AT3344" s="1856" t="str">
        <f t="shared" si="535"/>
        <v/>
      </c>
      <c r="AU3344" s="1856" t="str">
        <f t="shared" si="536"/>
        <v/>
      </c>
      <c r="AV3344" s="1856" t="str">
        <f t="shared" si="537"/>
        <v/>
      </c>
      <c r="AW3344" s="1856" t="str">
        <f t="shared" si="538"/>
        <v/>
      </c>
      <c r="AX3344" s="1856" t="str">
        <f t="shared" si="539"/>
        <v/>
      </c>
      <c r="AY3344" s="1856" t="str">
        <f t="shared" si="540"/>
        <v/>
      </c>
    </row>
    <row r="3345" spans="42:52">
      <c r="AP3345" s="1855">
        <f t="shared" si="541"/>
        <v>44930</v>
      </c>
      <c r="AQ3345" s="925" t="str">
        <f t="shared" si="543"/>
        <v>SR</v>
      </c>
      <c r="AR3345" s="1856">
        <f t="shared" si="542"/>
        <v>44930.333333333336</v>
      </c>
      <c r="AS3345" s="927" t="s">
        <v>766</v>
      </c>
      <c r="AT3345" s="1856" t="str">
        <f t="shared" si="535"/>
        <v/>
      </c>
      <c r="AU3345" s="1856" t="str">
        <f t="shared" si="536"/>
        <v/>
      </c>
      <c r="AV3345" s="1856" t="str">
        <f t="shared" si="537"/>
        <v/>
      </c>
      <c r="AW3345" s="1856" t="str">
        <f t="shared" si="538"/>
        <v/>
      </c>
      <c r="AX3345" s="1856" t="str">
        <f t="shared" si="539"/>
        <v/>
      </c>
      <c r="AY3345" s="1856" t="str">
        <f t="shared" si="540"/>
        <v/>
      </c>
    </row>
    <row r="3346" spans="42:52">
      <c r="AP3346" s="1855">
        <f t="shared" si="541"/>
        <v>44930</v>
      </c>
      <c r="AQ3346" s="925" t="str">
        <f t="shared" si="543"/>
        <v>MR</v>
      </c>
      <c r="AR3346" s="1856">
        <f t="shared" si="542"/>
        <v>44930.651388888888</v>
      </c>
      <c r="AS3346" s="927" t="s">
        <v>2441</v>
      </c>
      <c r="AT3346" s="1856" t="str">
        <f t="shared" si="535"/>
        <v/>
      </c>
      <c r="AU3346" s="1856" t="str">
        <f t="shared" si="536"/>
        <v/>
      </c>
      <c r="AV3346" s="1856" t="str">
        <f t="shared" si="537"/>
        <v/>
      </c>
      <c r="AW3346" s="1856" t="str">
        <f t="shared" si="538"/>
        <v/>
      </c>
      <c r="AX3346" s="1856" t="str">
        <f t="shared" si="539"/>
        <v/>
      </c>
      <c r="AY3346" s="1856" t="str">
        <f t="shared" si="540"/>
        <v/>
      </c>
    </row>
    <row r="3347" spans="42:52">
      <c r="AP3347" s="1855">
        <f t="shared" si="541"/>
        <v>44930</v>
      </c>
      <c r="AQ3347" s="925" t="str">
        <f t="shared" si="543"/>
        <v>SS</v>
      </c>
      <c r="AR3347" s="1856">
        <f t="shared" si="542"/>
        <v>44930.734027777777</v>
      </c>
      <c r="AS3347" s="927" t="s">
        <v>871</v>
      </c>
      <c r="AT3347" s="1856" t="str">
        <f t="shared" si="535"/>
        <v/>
      </c>
      <c r="AU3347" s="1856" t="str">
        <f t="shared" si="536"/>
        <v/>
      </c>
      <c r="AV3347" s="1856" t="str">
        <f t="shared" si="537"/>
        <v/>
      </c>
      <c r="AW3347" s="1856" t="str">
        <f t="shared" si="538"/>
        <v/>
      </c>
      <c r="AX3347" s="1856" t="str">
        <f t="shared" si="539"/>
        <v/>
      </c>
      <c r="AY3347" s="1856" t="str">
        <f t="shared" si="540"/>
        <v/>
      </c>
    </row>
    <row r="3348" spans="42:52">
      <c r="AP3348" s="1855">
        <f t="shared" si="541"/>
        <v>44930</v>
      </c>
      <c r="AQ3348" s="925" t="str">
        <f t="shared" si="543"/>
        <v>EENT</v>
      </c>
      <c r="AR3348" s="1856">
        <f t="shared" si="542"/>
        <v>44930.777083333334</v>
      </c>
      <c r="AS3348" s="927" t="s">
        <v>874</v>
      </c>
      <c r="AT3348" s="1856" t="str">
        <f t="shared" si="535"/>
        <v/>
      </c>
      <c r="AU3348" s="1856" t="str">
        <f t="shared" si="536"/>
        <v/>
      </c>
      <c r="AV3348" s="1856" t="str">
        <f t="shared" si="537"/>
        <v/>
      </c>
      <c r="AW3348" s="1856" t="str">
        <f t="shared" si="538"/>
        <v/>
      </c>
      <c r="AX3348" s="1856" t="str">
        <f t="shared" si="539"/>
        <v/>
      </c>
      <c r="AY3348" s="1856" t="str">
        <f t="shared" si="540"/>
        <v/>
      </c>
    </row>
    <row r="3349" spans="42:52">
      <c r="AP3349" s="1855">
        <f t="shared" si="541"/>
        <v>44931</v>
      </c>
      <c r="AQ3349" s="925" t="str">
        <f t="shared" si="543"/>
        <v/>
      </c>
      <c r="AR3349" s="1856" t="str">
        <f t="shared" si="542"/>
        <v/>
      </c>
      <c r="AS3349" s="927">
        <v>5</v>
      </c>
      <c r="AT3349" s="1856">
        <f t="shared" si="535"/>
        <v>44931.290277777778</v>
      </c>
      <c r="AU3349" s="1856">
        <f t="shared" si="536"/>
        <v>44931.333333333336</v>
      </c>
      <c r="AV3349" s="1856">
        <f t="shared" si="537"/>
        <v>44931.734722222223</v>
      </c>
      <c r="AW3349" s="1856">
        <f t="shared" si="538"/>
        <v>44931.777777777781</v>
      </c>
      <c r="AX3349" s="1856">
        <f t="shared" si="539"/>
        <v>44931.684027777774</v>
      </c>
      <c r="AY3349" s="1856">
        <f t="shared" si="540"/>
        <v>44931.301388888889</v>
      </c>
      <c r="AZ3349" s="1853">
        <v>0.97</v>
      </c>
    </row>
    <row r="3350" spans="42:52">
      <c r="AP3350" s="1855">
        <f t="shared" si="541"/>
        <v>44931</v>
      </c>
      <c r="AQ3350" s="925" t="str">
        <f t="shared" si="543"/>
        <v/>
      </c>
      <c r="AR3350" s="1856" t="str">
        <f t="shared" si="542"/>
        <v/>
      </c>
      <c r="AS3350" s="927" t="s">
        <v>252</v>
      </c>
      <c r="AT3350" s="1856" t="str">
        <f t="shared" si="535"/>
        <v/>
      </c>
      <c r="AU3350" s="1856" t="str">
        <f t="shared" si="536"/>
        <v/>
      </c>
      <c r="AV3350" s="1856" t="str">
        <f t="shared" si="537"/>
        <v/>
      </c>
      <c r="AW3350" s="1856" t="str">
        <f t="shared" si="538"/>
        <v/>
      </c>
      <c r="AX3350" s="1856" t="str">
        <f t="shared" si="539"/>
        <v/>
      </c>
      <c r="AY3350" s="1856" t="str">
        <f t="shared" si="540"/>
        <v/>
      </c>
    </row>
    <row r="3351" spans="42:52">
      <c r="AP3351" s="1855">
        <f t="shared" si="541"/>
        <v>44931</v>
      </c>
      <c r="AQ3351" s="925" t="str">
        <f t="shared" si="543"/>
        <v/>
      </c>
      <c r="AR3351" s="1856" t="str">
        <f t="shared" si="542"/>
        <v/>
      </c>
      <c r="AT3351" s="1856" t="str">
        <f t="shared" si="535"/>
        <v/>
      </c>
      <c r="AU3351" s="1856" t="str">
        <f t="shared" si="536"/>
        <v/>
      </c>
      <c r="AV3351" s="1856" t="str">
        <f t="shared" si="537"/>
        <v/>
      </c>
      <c r="AW3351" s="1856" t="str">
        <f t="shared" si="538"/>
        <v/>
      </c>
      <c r="AX3351" s="1856" t="str">
        <f t="shared" si="539"/>
        <v/>
      </c>
      <c r="AY3351" s="1856" t="str">
        <f t="shared" si="540"/>
        <v/>
      </c>
    </row>
    <row r="3352" spans="42:52">
      <c r="AP3352" s="1855">
        <f t="shared" si="541"/>
        <v>44931</v>
      </c>
      <c r="AQ3352" s="925" t="str">
        <f t="shared" si="543"/>
        <v>BMNT</v>
      </c>
      <c r="AR3352" s="1856">
        <f t="shared" si="542"/>
        <v>44931.290277777778</v>
      </c>
      <c r="AS3352" s="927" t="s">
        <v>814</v>
      </c>
      <c r="AT3352" s="1856" t="str">
        <f t="shared" si="535"/>
        <v/>
      </c>
      <c r="AU3352" s="1856" t="str">
        <f t="shared" si="536"/>
        <v/>
      </c>
      <c r="AV3352" s="1856" t="str">
        <f t="shared" si="537"/>
        <v/>
      </c>
      <c r="AW3352" s="1856" t="str">
        <f t="shared" si="538"/>
        <v/>
      </c>
      <c r="AX3352" s="1856" t="str">
        <f t="shared" si="539"/>
        <v/>
      </c>
      <c r="AY3352" s="1856" t="str">
        <f t="shared" si="540"/>
        <v/>
      </c>
    </row>
    <row r="3353" spans="42:52">
      <c r="AP3353" s="1855">
        <f t="shared" si="541"/>
        <v>44931</v>
      </c>
      <c r="AQ3353" s="925" t="str">
        <f t="shared" si="543"/>
        <v>MS</v>
      </c>
      <c r="AR3353" s="1856">
        <f t="shared" si="542"/>
        <v>44931.301388888889</v>
      </c>
      <c r="AS3353" s="927" t="s">
        <v>2442</v>
      </c>
      <c r="AT3353" s="1856" t="str">
        <f t="shared" si="535"/>
        <v/>
      </c>
      <c r="AU3353" s="1856" t="str">
        <f t="shared" si="536"/>
        <v/>
      </c>
      <c r="AV3353" s="1856" t="str">
        <f t="shared" si="537"/>
        <v/>
      </c>
      <c r="AW3353" s="1856" t="str">
        <f t="shared" si="538"/>
        <v/>
      </c>
      <c r="AX3353" s="1856" t="str">
        <f t="shared" si="539"/>
        <v/>
      </c>
      <c r="AY3353" s="1856" t="str">
        <f t="shared" si="540"/>
        <v/>
      </c>
    </row>
    <row r="3354" spans="42:52">
      <c r="AP3354" s="1855">
        <f t="shared" si="541"/>
        <v>44931</v>
      </c>
      <c r="AQ3354" s="925" t="str">
        <f t="shared" si="543"/>
        <v>SR</v>
      </c>
      <c r="AR3354" s="1856">
        <f t="shared" si="542"/>
        <v>44931.333333333336</v>
      </c>
      <c r="AS3354" s="927" t="s">
        <v>766</v>
      </c>
      <c r="AT3354" s="1856" t="str">
        <f t="shared" si="535"/>
        <v/>
      </c>
      <c r="AU3354" s="1856" t="str">
        <f t="shared" si="536"/>
        <v/>
      </c>
      <c r="AV3354" s="1856" t="str">
        <f t="shared" si="537"/>
        <v/>
      </c>
      <c r="AW3354" s="1856" t="str">
        <f t="shared" si="538"/>
        <v/>
      </c>
      <c r="AX3354" s="1856" t="str">
        <f t="shared" si="539"/>
        <v/>
      </c>
      <c r="AY3354" s="1856" t="str">
        <f t="shared" si="540"/>
        <v/>
      </c>
    </row>
    <row r="3355" spans="42:52">
      <c r="AP3355" s="1855">
        <f t="shared" si="541"/>
        <v>44931</v>
      </c>
      <c r="AQ3355" s="925" t="str">
        <f t="shared" si="543"/>
        <v>MR</v>
      </c>
      <c r="AR3355" s="1856">
        <f t="shared" si="542"/>
        <v>44931.684027777774</v>
      </c>
      <c r="AS3355" s="927" t="s">
        <v>2443</v>
      </c>
      <c r="AT3355" s="1856" t="str">
        <f t="shared" si="535"/>
        <v/>
      </c>
      <c r="AU3355" s="1856" t="str">
        <f t="shared" si="536"/>
        <v/>
      </c>
      <c r="AV3355" s="1856" t="str">
        <f t="shared" si="537"/>
        <v/>
      </c>
      <c r="AW3355" s="1856" t="str">
        <f t="shared" si="538"/>
        <v/>
      </c>
      <c r="AX3355" s="1856" t="str">
        <f t="shared" si="539"/>
        <v/>
      </c>
      <c r="AY3355" s="1856" t="str">
        <f t="shared" si="540"/>
        <v/>
      </c>
    </row>
    <row r="3356" spans="42:52">
      <c r="AP3356" s="1855">
        <f t="shared" si="541"/>
        <v>44931</v>
      </c>
      <c r="AQ3356" s="925" t="str">
        <f t="shared" si="543"/>
        <v>SS</v>
      </c>
      <c r="AR3356" s="1856">
        <f t="shared" si="542"/>
        <v>44931.734722222223</v>
      </c>
      <c r="AS3356" s="927" t="s">
        <v>889</v>
      </c>
      <c r="AT3356" s="1856" t="str">
        <f t="shared" ref="AT3356:AT3419" si="544">IF(ISNUMBER(AS3356),INDEX(AR3357:AR3367,MATCH($AT$27,AQ3357:AQ3367,0)),"")</f>
        <v/>
      </c>
      <c r="AU3356" s="1856" t="str">
        <f t="shared" ref="AU3356:AU3419" si="545">IF(AT3356="","",INDEX(AR3357:AR3367,MATCH($AU$27,AQ3357:AQ3367,0)))</f>
        <v/>
      </c>
      <c r="AV3356" s="1856" t="str">
        <f t="shared" ref="AV3356:AV3419" si="546">IF(AT3356="","",INDEX(AR3357:AR3367,MATCH($AV$27,AQ3357:AQ3367,0)))</f>
        <v/>
      </c>
      <c r="AW3356" s="1856" t="str">
        <f t="shared" ref="AW3356:AW3419" si="547">IF(AT3356="","",INDEX(AR3357:AR3367,MATCH($AW$27,AQ3357:AQ3367,0)))</f>
        <v/>
      </c>
      <c r="AX3356" s="1856" t="str">
        <f t="shared" ref="AX3356:AX3419" si="548">IF(AT3356="","",INDEX(AR3357:AR3367,MATCH($AX$27,AQ3357:AQ3367,0)))</f>
        <v/>
      </c>
      <c r="AY3356" s="1856" t="str">
        <f t="shared" ref="AY3356:AY3419" si="549">IF(AT3356="","",INDEX(AR3357:AR3367,MATCH($AY$27,AQ3357:AQ3367,0)))</f>
        <v/>
      </c>
    </row>
    <row r="3357" spans="42:52">
      <c r="AP3357" s="1855">
        <f t="shared" si="541"/>
        <v>44931</v>
      </c>
      <c r="AQ3357" s="925" t="str">
        <f t="shared" si="543"/>
        <v>EENT</v>
      </c>
      <c r="AR3357" s="1856">
        <f t="shared" si="542"/>
        <v>44931.777777777781</v>
      </c>
      <c r="AS3357" s="927" t="s">
        <v>892</v>
      </c>
      <c r="AT3357" s="1856" t="str">
        <f t="shared" si="544"/>
        <v/>
      </c>
      <c r="AU3357" s="1856" t="str">
        <f t="shared" si="545"/>
        <v/>
      </c>
      <c r="AV3357" s="1856" t="str">
        <f t="shared" si="546"/>
        <v/>
      </c>
      <c r="AW3357" s="1856" t="str">
        <f t="shared" si="547"/>
        <v/>
      </c>
      <c r="AX3357" s="1856" t="str">
        <f t="shared" si="548"/>
        <v/>
      </c>
      <c r="AY3357" s="1856" t="str">
        <f t="shared" si="549"/>
        <v/>
      </c>
    </row>
    <row r="3358" spans="42:52">
      <c r="AP3358" s="1855">
        <f t="shared" si="541"/>
        <v>44932</v>
      </c>
      <c r="AQ3358" s="925" t="str">
        <f t="shared" si="543"/>
        <v/>
      </c>
      <c r="AR3358" s="1856" t="str">
        <f t="shared" si="542"/>
        <v/>
      </c>
      <c r="AS3358" s="927">
        <v>6</v>
      </c>
      <c r="AT3358" s="1856">
        <f t="shared" si="544"/>
        <v>44932.290277777778</v>
      </c>
      <c r="AU3358" s="1856">
        <f t="shared" si="545"/>
        <v>44932.333333333336</v>
      </c>
      <c r="AV3358" s="1856">
        <f t="shared" si="546"/>
        <v>44932.73541666667</v>
      </c>
      <c r="AW3358" s="1856">
        <f t="shared" si="547"/>
        <v>44932.77847222222</v>
      </c>
      <c r="AX3358" s="1856">
        <f t="shared" si="548"/>
        <v>44932.720833333333</v>
      </c>
      <c r="AY3358" s="1856">
        <f t="shared" si="549"/>
        <v>44932.338194444448</v>
      </c>
      <c r="AZ3358" s="1853">
        <v>0.99</v>
      </c>
    </row>
    <row r="3359" spans="42:52">
      <c r="AP3359" s="1855">
        <f t="shared" si="541"/>
        <v>44932</v>
      </c>
      <c r="AQ3359" s="925" t="str">
        <f t="shared" si="543"/>
        <v/>
      </c>
      <c r="AR3359" s="1856" t="str">
        <f t="shared" si="542"/>
        <v/>
      </c>
      <c r="AS3359" s="927" t="s">
        <v>252</v>
      </c>
      <c r="AT3359" s="1856" t="str">
        <f t="shared" si="544"/>
        <v/>
      </c>
      <c r="AU3359" s="1856" t="str">
        <f t="shared" si="545"/>
        <v/>
      </c>
      <c r="AV3359" s="1856" t="str">
        <f t="shared" si="546"/>
        <v/>
      </c>
      <c r="AW3359" s="1856" t="str">
        <f t="shared" si="547"/>
        <v/>
      </c>
      <c r="AX3359" s="1856" t="str">
        <f t="shared" si="548"/>
        <v/>
      </c>
      <c r="AY3359" s="1856" t="str">
        <f t="shared" si="549"/>
        <v/>
      </c>
    </row>
    <row r="3360" spans="42:52">
      <c r="AP3360" s="1855">
        <f t="shared" si="541"/>
        <v>44932</v>
      </c>
      <c r="AQ3360" s="925" t="str">
        <f t="shared" si="543"/>
        <v/>
      </c>
      <c r="AR3360" s="1856" t="str">
        <f t="shared" si="542"/>
        <v/>
      </c>
      <c r="AT3360" s="1856" t="str">
        <f t="shared" si="544"/>
        <v/>
      </c>
      <c r="AU3360" s="1856" t="str">
        <f t="shared" si="545"/>
        <v/>
      </c>
      <c r="AV3360" s="1856" t="str">
        <f t="shared" si="546"/>
        <v/>
      </c>
      <c r="AW3360" s="1856" t="str">
        <f t="shared" si="547"/>
        <v/>
      </c>
      <c r="AX3360" s="1856" t="str">
        <f t="shared" si="548"/>
        <v/>
      </c>
      <c r="AY3360" s="1856" t="str">
        <f t="shared" si="549"/>
        <v/>
      </c>
    </row>
    <row r="3361" spans="42:52">
      <c r="AP3361" s="1855">
        <f t="shared" si="541"/>
        <v>44932</v>
      </c>
      <c r="AQ3361" s="925" t="str">
        <f t="shared" si="543"/>
        <v>BMNT</v>
      </c>
      <c r="AR3361" s="1856">
        <f t="shared" si="542"/>
        <v>44932.290277777778</v>
      </c>
      <c r="AS3361" s="927" t="s">
        <v>814</v>
      </c>
      <c r="AT3361" s="1856" t="str">
        <f t="shared" si="544"/>
        <v/>
      </c>
      <c r="AU3361" s="1856" t="str">
        <f t="shared" si="545"/>
        <v/>
      </c>
      <c r="AV3361" s="1856" t="str">
        <f t="shared" si="546"/>
        <v/>
      </c>
      <c r="AW3361" s="1856" t="str">
        <f t="shared" si="547"/>
        <v/>
      </c>
      <c r="AX3361" s="1856" t="str">
        <f t="shared" si="548"/>
        <v/>
      </c>
      <c r="AY3361" s="1856" t="str">
        <f t="shared" si="549"/>
        <v/>
      </c>
    </row>
    <row r="3362" spans="42:52">
      <c r="AP3362" s="1855">
        <f t="shared" si="541"/>
        <v>44932</v>
      </c>
      <c r="AQ3362" s="925" t="str">
        <f t="shared" si="543"/>
        <v>SR</v>
      </c>
      <c r="AR3362" s="1856">
        <f t="shared" si="542"/>
        <v>44932.333333333336</v>
      </c>
      <c r="AS3362" s="927" t="s">
        <v>766</v>
      </c>
      <c r="AT3362" s="1856" t="str">
        <f t="shared" si="544"/>
        <v/>
      </c>
      <c r="AU3362" s="1856" t="str">
        <f t="shared" si="545"/>
        <v/>
      </c>
      <c r="AV3362" s="1856" t="str">
        <f t="shared" si="546"/>
        <v/>
      </c>
      <c r="AW3362" s="1856" t="str">
        <f t="shared" si="547"/>
        <v/>
      </c>
      <c r="AX3362" s="1856" t="str">
        <f t="shared" si="548"/>
        <v/>
      </c>
      <c r="AY3362" s="1856" t="str">
        <f t="shared" si="549"/>
        <v/>
      </c>
    </row>
    <row r="3363" spans="42:52">
      <c r="AP3363" s="1855">
        <f t="shared" si="541"/>
        <v>44932</v>
      </c>
      <c r="AQ3363" s="925" t="str">
        <f t="shared" si="543"/>
        <v>MS</v>
      </c>
      <c r="AR3363" s="1856">
        <f t="shared" si="542"/>
        <v>44932.338194444448</v>
      </c>
      <c r="AS3363" s="927" t="s">
        <v>2444</v>
      </c>
      <c r="AT3363" s="1856" t="str">
        <f t="shared" si="544"/>
        <v/>
      </c>
      <c r="AU3363" s="1856" t="str">
        <f t="shared" si="545"/>
        <v/>
      </c>
      <c r="AV3363" s="1856" t="str">
        <f t="shared" si="546"/>
        <v/>
      </c>
      <c r="AW3363" s="1856" t="str">
        <f t="shared" si="547"/>
        <v/>
      </c>
      <c r="AX3363" s="1856" t="str">
        <f t="shared" si="548"/>
        <v/>
      </c>
      <c r="AY3363" s="1856" t="str">
        <f t="shared" si="549"/>
        <v/>
      </c>
    </row>
    <row r="3364" spans="42:52">
      <c r="AP3364" s="1855">
        <f t="shared" si="541"/>
        <v>44932</v>
      </c>
      <c r="AQ3364" s="925" t="str">
        <f t="shared" si="543"/>
        <v>MR</v>
      </c>
      <c r="AR3364" s="1856">
        <f t="shared" si="542"/>
        <v>44932.720833333333</v>
      </c>
      <c r="AS3364" s="927" t="s">
        <v>2445</v>
      </c>
      <c r="AT3364" s="1856" t="str">
        <f t="shared" si="544"/>
        <v/>
      </c>
      <c r="AU3364" s="1856" t="str">
        <f t="shared" si="545"/>
        <v/>
      </c>
      <c r="AV3364" s="1856" t="str">
        <f t="shared" si="546"/>
        <v/>
      </c>
      <c r="AW3364" s="1856" t="str">
        <f t="shared" si="547"/>
        <v/>
      </c>
      <c r="AX3364" s="1856" t="str">
        <f t="shared" si="548"/>
        <v/>
      </c>
      <c r="AY3364" s="1856" t="str">
        <f t="shared" si="549"/>
        <v/>
      </c>
    </row>
    <row r="3365" spans="42:52">
      <c r="AP3365" s="1855">
        <f t="shared" ref="AP3365:AP3428" si="550">IF(ISNUMBER(AS3365),AP3364+1,AP3364)</f>
        <v>44932</v>
      </c>
      <c r="AQ3365" s="925" t="str">
        <f t="shared" si="543"/>
        <v>SS</v>
      </c>
      <c r="AR3365" s="1856">
        <f t="shared" si="542"/>
        <v>44932.73541666667</v>
      </c>
      <c r="AS3365" s="927" t="s">
        <v>909</v>
      </c>
      <c r="AT3365" s="1856" t="str">
        <f t="shared" si="544"/>
        <v/>
      </c>
      <c r="AU3365" s="1856" t="str">
        <f t="shared" si="545"/>
        <v/>
      </c>
      <c r="AV3365" s="1856" t="str">
        <f t="shared" si="546"/>
        <v/>
      </c>
      <c r="AW3365" s="1856" t="str">
        <f t="shared" si="547"/>
        <v/>
      </c>
      <c r="AX3365" s="1856" t="str">
        <f t="shared" si="548"/>
        <v/>
      </c>
      <c r="AY3365" s="1856" t="str">
        <f t="shared" si="549"/>
        <v/>
      </c>
    </row>
    <row r="3366" spans="42:52">
      <c r="AP3366" s="1855">
        <f t="shared" si="550"/>
        <v>44932</v>
      </c>
      <c r="AQ3366" s="925" t="str">
        <f t="shared" si="543"/>
        <v>EENT</v>
      </c>
      <c r="AR3366" s="1856">
        <f t="shared" si="542"/>
        <v>44932.77847222222</v>
      </c>
      <c r="AS3366" s="927" t="s">
        <v>911</v>
      </c>
      <c r="AT3366" s="1856" t="str">
        <f t="shared" si="544"/>
        <v/>
      </c>
      <c r="AU3366" s="1856" t="str">
        <f t="shared" si="545"/>
        <v/>
      </c>
      <c r="AV3366" s="1856" t="str">
        <f t="shared" si="546"/>
        <v/>
      </c>
      <c r="AW3366" s="1856" t="str">
        <f t="shared" si="547"/>
        <v/>
      </c>
      <c r="AX3366" s="1856" t="str">
        <f t="shared" si="548"/>
        <v/>
      </c>
      <c r="AY3366" s="1856" t="str">
        <f t="shared" si="549"/>
        <v/>
      </c>
    </row>
    <row r="3367" spans="42:52">
      <c r="AP3367" s="1855">
        <f t="shared" si="550"/>
        <v>44933</v>
      </c>
      <c r="AQ3367" s="925" t="str">
        <f t="shared" si="543"/>
        <v/>
      </c>
      <c r="AR3367" s="1856" t="str">
        <f t="shared" si="542"/>
        <v/>
      </c>
      <c r="AS3367" s="927">
        <v>7</v>
      </c>
      <c r="AT3367" s="1856">
        <f t="shared" si="544"/>
        <v>44933.290277777778</v>
      </c>
      <c r="AU3367" s="1856">
        <f t="shared" si="545"/>
        <v>44933.333333333336</v>
      </c>
      <c r="AV3367" s="1856">
        <f t="shared" si="546"/>
        <v>44933.736111111117</v>
      </c>
      <c r="AW3367" s="1856">
        <f t="shared" si="547"/>
        <v>44933.77847222222</v>
      </c>
      <c r="AX3367" s="1856">
        <f t="shared" si="548"/>
        <v>44933.761111111111</v>
      </c>
      <c r="AY3367" s="1856">
        <f t="shared" si="549"/>
        <v>44933.369444444448</v>
      </c>
      <c r="AZ3367" s="1853">
        <v>1</v>
      </c>
    </row>
    <row r="3368" spans="42:52">
      <c r="AP3368" s="1855">
        <f t="shared" si="550"/>
        <v>44933</v>
      </c>
      <c r="AQ3368" s="925" t="str">
        <f t="shared" si="543"/>
        <v/>
      </c>
      <c r="AR3368" s="1856" t="str">
        <f t="shared" si="542"/>
        <v/>
      </c>
      <c r="AS3368" s="927" t="s">
        <v>252</v>
      </c>
      <c r="AT3368" s="1856" t="str">
        <f t="shared" si="544"/>
        <v/>
      </c>
      <c r="AU3368" s="1856" t="str">
        <f t="shared" si="545"/>
        <v/>
      </c>
      <c r="AV3368" s="1856" t="str">
        <f t="shared" si="546"/>
        <v/>
      </c>
      <c r="AW3368" s="1856" t="str">
        <f t="shared" si="547"/>
        <v/>
      </c>
      <c r="AX3368" s="1856" t="str">
        <f t="shared" si="548"/>
        <v/>
      </c>
      <c r="AY3368" s="1856" t="str">
        <f t="shared" si="549"/>
        <v/>
      </c>
    </row>
    <row r="3369" spans="42:52">
      <c r="AP3369" s="1855">
        <f t="shared" si="550"/>
        <v>44933</v>
      </c>
      <c r="AQ3369" s="925" t="str">
        <f t="shared" si="543"/>
        <v/>
      </c>
      <c r="AR3369" s="1856" t="str">
        <f t="shared" ref="AR3369:AR3432" si="551">IF(NOT(ISNUMBER(FIND(":",AS3369))),"",IF(ISNUMBER(FIND(" none",AS3369)),"NONE",AP3369+LEFT(RIGHT(AS3369,5),2)/24+RIGHT(AS3369,2)/1440))</f>
        <v/>
      </c>
      <c r="AT3369" s="1856" t="str">
        <f t="shared" si="544"/>
        <v/>
      </c>
      <c r="AU3369" s="1856" t="str">
        <f t="shared" si="545"/>
        <v/>
      </c>
      <c r="AV3369" s="1856" t="str">
        <f t="shared" si="546"/>
        <v/>
      </c>
      <c r="AW3369" s="1856" t="str">
        <f t="shared" si="547"/>
        <v/>
      </c>
      <c r="AX3369" s="1856" t="str">
        <f t="shared" si="548"/>
        <v/>
      </c>
      <c r="AY3369" s="1856" t="str">
        <f t="shared" si="549"/>
        <v/>
      </c>
    </row>
    <row r="3370" spans="42:52">
      <c r="AP3370" s="1855">
        <f t="shared" si="550"/>
        <v>44933</v>
      </c>
      <c r="AQ3370" s="925" t="str">
        <f t="shared" si="543"/>
        <v>BMNT</v>
      </c>
      <c r="AR3370" s="1856">
        <f t="shared" si="551"/>
        <v>44933.290277777778</v>
      </c>
      <c r="AS3370" s="927" t="s">
        <v>814</v>
      </c>
      <c r="AT3370" s="1856" t="str">
        <f t="shared" si="544"/>
        <v/>
      </c>
      <c r="AU3370" s="1856" t="str">
        <f t="shared" si="545"/>
        <v/>
      </c>
      <c r="AV3370" s="1856" t="str">
        <f t="shared" si="546"/>
        <v/>
      </c>
      <c r="AW3370" s="1856" t="str">
        <f t="shared" si="547"/>
        <v/>
      </c>
      <c r="AX3370" s="1856" t="str">
        <f t="shared" si="548"/>
        <v/>
      </c>
      <c r="AY3370" s="1856" t="str">
        <f t="shared" si="549"/>
        <v/>
      </c>
    </row>
    <row r="3371" spans="42:52">
      <c r="AP3371" s="1855">
        <f t="shared" si="550"/>
        <v>44933</v>
      </c>
      <c r="AQ3371" s="925" t="str">
        <f t="shared" si="543"/>
        <v>SR</v>
      </c>
      <c r="AR3371" s="1856">
        <f t="shared" si="551"/>
        <v>44933.333333333336</v>
      </c>
      <c r="AS3371" s="927" t="s">
        <v>766</v>
      </c>
      <c r="AT3371" s="1856" t="str">
        <f t="shared" si="544"/>
        <v/>
      </c>
      <c r="AU3371" s="1856" t="str">
        <f t="shared" si="545"/>
        <v/>
      </c>
      <c r="AV3371" s="1856" t="str">
        <f t="shared" si="546"/>
        <v/>
      </c>
      <c r="AW3371" s="1856" t="str">
        <f t="shared" si="547"/>
        <v/>
      </c>
      <c r="AX3371" s="1856" t="str">
        <f t="shared" si="548"/>
        <v/>
      </c>
      <c r="AY3371" s="1856" t="str">
        <f t="shared" si="549"/>
        <v/>
      </c>
    </row>
    <row r="3372" spans="42:52">
      <c r="AP3372" s="1855">
        <f t="shared" si="550"/>
        <v>44933</v>
      </c>
      <c r="AQ3372" s="925" t="str">
        <f t="shared" si="543"/>
        <v>MS</v>
      </c>
      <c r="AR3372" s="1856">
        <f t="shared" si="551"/>
        <v>44933.369444444448</v>
      </c>
      <c r="AS3372" s="927" t="s">
        <v>2446</v>
      </c>
      <c r="AT3372" s="1856" t="str">
        <f t="shared" si="544"/>
        <v/>
      </c>
      <c r="AU3372" s="1856" t="str">
        <f t="shared" si="545"/>
        <v/>
      </c>
      <c r="AV3372" s="1856" t="str">
        <f t="shared" si="546"/>
        <v/>
      </c>
      <c r="AW3372" s="1856" t="str">
        <f t="shared" si="547"/>
        <v/>
      </c>
      <c r="AX3372" s="1856" t="str">
        <f t="shared" si="548"/>
        <v/>
      </c>
      <c r="AY3372" s="1856" t="str">
        <f t="shared" si="549"/>
        <v/>
      </c>
    </row>
    <row r="3373" spans="42:52">
      <c r="AP3373" s="1855">
        <f t="shared" si="550"/>
        <v>44933</v>
      </c>
      <c r="AQ3373" s="925" t="str">
        <f t="shared" si="543"/>
        <v>SS</v>
      </c>
      <c r="AR3373" s="1856">
        <f t="shared" si="551"/>
        <v>44933.736111111117</v>
      </c>
      <c r="AS3373" s="927" t="s">
        <v>928</v>
      </c>
      <c r="AT3373" s="1856" t="str">
        <f t="shared" si="544"/>
        <v/>
      </c>
      <c r="AU3373" s="1856" t="str">
        <f t="shared" si="545"/>
        <v/>
      </c>
      <c r="AV3373" s="1856" t="str">
        <f t="shared" si="546"/>
        <v/>
      </c>
      <c r="AW3373" s="1856" t="str">
        <f t="shared" si="547"/>
        <v/>
      </c>
      <c r="AX3373" s="1856" t="str">
        <f t="shared" si="548"/>
        <v/>
      </c>
      <c r="AY3373" s="1856" t="str">
        <f t="shared" si="549"/>
        <v/>
      </c>
    </row>
    <row r="3374" spans="42:52">
      <c r="AP3374" s="1855">
        <f t="shared" si="550"/>
        <v>44933</v>
      </c>
      <c r="AQ3374" s="925" t="str">
        <f t="shared" si="543"/>
        <v>MR</v>
      </c>
      <c r="AR3374" s="1856">
        <f t="shared" si="551"/>
        <v>44933.761111111111</v>
      </c>
      <c r="AS3374" s="927" t="s">
        <v>2447</v>
      </c>
      <c r="AT3374" s="1856" t="str">
        <f t="shared" si="544"/>
        <v/>
      </c>
      <c r="AU3374" s="1856" t="str">
        <f t="shared" si="545"/>
        <v/>
      </c>
      <c r="AV3374" s="1856" t="str">
        <f t="shared" si="546"/>
        <v/>
      </c>
      <c r="AW3374" s="1856" t="str">
        <f t="shared" si="547"/>
        <v/>
      </c>
      <c r="AX3374" s="1856" t="str">
        <f t="shared" si="548"/>
        <v/>
      </c>
      <c r="AY3374" s="1856" t="str">
        <f t="shared" si="549"/>
        <v/>
      </c>
    </row>
    <row r="3375" spans="42:52">
      <c r="AP3375" s="1855">
        <f t="shared" si="550"/>
        <v>44933</v>
      </c>
      <c r="AQ3375" s="925" t="str">
        <f t="shared" si="543"/>
        <v>EENT</v>
      </c>
      <c r="AR3375" s="1856">
        <f t="shared" si="551"/>
        <v>44933.77847222222</v>
      </c>
      <c r="AS3375" s="927" t="s">
        <v>911</v>
      </c>
      <c r="AT3375" s="1856" t="str">
        <f t="shared" si="544"/>
        <v/>
      </c>
      <c r="AU3375" s="1856" t="str">
        <f t="shared" si="545"/>
        <v/>
      </c>
      <c r="AV3375" s="1856" t="str">
        <f t="shared" si="546"/>
        <v/>
      </c>
      <c r="AW3375" s="1856" t="str">
        <f t="shared" si="547"/>
        <v/>
      </c>
      <c r="AX3375" s="1856" t="str">
        <f t="shared" si="548"/>
        <v/>
      </c>
      <c r="AY3375" s="1856" t="str">
        <f t="shared" si="549"/>
        <v/>
      </c>
    </row>
    <row r="3376" spans="42:52">
      <c r="AP3376" s="1855">
        <f t="shared" si="550"/>
        <v>44934</v>
      </c>
      <c r="AQ3376" s="925" t="str">
        <f t="shared" si="543"/>
        <v/>
      </c>
      <c r="AR3376" s="1856" t="str">
        <f t="shared" si="551"/>
        <v/>
      </c>
      <c r="AS3376" s="927">
        <v>8</v>
      </c>
      <c r="AT3376" s="1856">
        <f t="shared" si="544"/>
        <v>44934.290277777778</v>
      </c>
      <c r="AU3376" s="1856">
        <f t="shared" si="545"/>
        <v>44934.333333333336</v>
      </c>
      <c r="AV3376" s="1856">
        <f t="shared" si="546"/>
        <v>44934.736805555556</v>
      </c>
      <c r="AW3376" s="1856">
        <f t="shared" si="547"/>
        <v>44934.779166666667</v>
      </c>
      <c r="AX3376" s="1856">
        <f t="shared" si="548"/>
        <v>44934.802083333328</v>
      </c>
      <c r="AY3376" s="1856">
        <f t="shared" si="549"/>
        <v>44934.395833333336</v>
      </c>
      <c r="AZ3376" s="1853">
        <v>0.98</v>
      </c>
    </row>
    <row r="3377" spans="42:51">
      <c r="AP3377" s="1855">
        <f t="shared" si="550"/>
        <v>44934</v>
      </c>
      <c r="AQ3377" s="925" t="str">
        <f t="shared" si="543"/>
        <v/>
      </c>
      <c r="AR3377" s="1856" t="str">
        <f t="shared" si="551"/>
        <v/>
      </c>
      <c r="AS3377" s="927" t="s">
        <v>252</v>
      </c>
      <c r="AT3377" s="1856" t="str">
        <f t="shared" si="544"/>
        <v/>
      </c>
      <c r="AU3377" s="1856" t="str">
        <f t="shared" si="545"/>
        <v/>
      </c>
      <c r="AV3377" s="1856" t="str">
        <f t="shared" si="546"/>
        <v/>
      </c>
      <c r="AW3377" s="1856" t="str">
        <f t="shared" si="547"/>
        <v/>
      </c>
      <c r="AX3377" s="1856" t="str">
        <f t="shared" si="548"/>
        <v/>
      </c>
      <c r="AY3377" s="1856" t="str">
        <f t="shared" si="549"/>
        <v/>
      </c>
    </row>
    <row r="3378" spans="42:51">
      <c r="AP3378" s="1855">
        <f t="shared" si="550"/>
        <v>44934</v>
      </c>
      <c r="AQ3378" s="925" t="str">
        <f t="shared" si="543"/>
        <v/>
      </c>
      <c r="AR3378" s="1856" t="str">
        <f t="shared" si="551"/>
        <v/>
      </c>
      <c r="AT3378" s="1856" t="str">
        <f t="shared" si="544"/>
        <v/>
      </c>
      <c r="AU3378" s="1856" t="str">
        <f t="shared" si="545"/>
        <v/>
      </c>
      <c r="AV3378" s="1856" t="str">
        <f t="shared" si="546"/>
        <v/>
      </c>
      <c r="AW3378" s="1856" t="str">
        <f t="shared" si="547"/>
        <v/>
      </c>
      <c r="AX3378" s="1856" t="str">
        <f t="shared" si="548"/>
        <v/>
      </c>
      <c r="AY3378" s="1856" t="str">
        <f t="shared" si="549"/>
        <v/>
      </c>
    </row>
    <row r="3379" spans="42:51">
      <c r="AP3379" s="1855">
        <f t="shared" si="550"/>
        <v>44934</v>
      </c>
      <c r="AQ3379" s="925" t="str">
        <f t="shared" si="543"/>
        <v>BMNT</v>
      </c>
      <c r="AR3379" s="1856">
        <f t="shared" si="551"/>
        <v>44934.290277777778</v>
      </c>
      <c r="AS3379" s="927" t="s">
        <v>814</v>
      </c>
      <c r="AT3379" s="1856" t="str">
        <f t="shared" si="544"/>
        <v/>
      </c>
      <c r="AU3379" s="1856" t="str">
        <f t="shared" si="545"/>
        <v/>
      </c>
      <c r="AV3379" s="1856" t="str">
        <f t="shared" si="546"/>
        <v/>
      </c>
      <c r="AW3379" s="1856" t="str">
        <f t="shared" si="547"/>
        <v/>
      </c>
      <c r="AX3379" s="1856" t="str">
        <f t="shared" si="548"/>
        <v/>
      </c>
      <c r="AY3379" s="1856" t="str">
        <f t="shared" si="549"/>
        <v/>
      </c>
    </row>
    <row r="3380" spans="42:51">
      <c r="AP3380" s="1855">
        <f t="shared" si="550"/>
        <v>44934</v>
      </c>
      <c r="AQ3380" s="925" t="str">
        <f t="shared" ref="AQ3380:AQ3443" si="552">IF(NOT(ISNUMBER(FIND(":",AS3380))),"",IF(ISNUMBER(FIND("Sunr",AS3380)),"SR", IF(ISNUMBER(FIND("Suns",AS3380)),"SS",IF(ISNUMBER(FIND("Moonr",AS3380)),"MR",IF(ISNUMBER(FIND("Moons",AS3380)),"MS",IF(ISNUMBER(FIND("Twi",AS3380)),IF(HOUR(AR3380)&lt;12,"BMNT","EENT")))))))</f>
        <v>SR</v>
      </c>
      <c r="AR3380" s="1856">
        <f t="shared" si="551"/>
        <v>44934.333333333336</v>
      </c>
      <c r="AS3380" s="927" t="s">
        <v>766</v>
      </c>
      <c r="AT3380" s="1856" t="str">
        <f t="shared" si="544"/>
        <v/>
      </c>
      <c r="AU3380" s="1856" t="str">
        <f t="shared" si="545"/>
        <v/>
      </c>
      <c r="AV3380" s="1856" t="str">
        <f t="shared" si="546"/>
        <v/>
      </c>
      <c r="AW3380" s="1856" t="str">
        <f t="shared" si="547"/>
        <v/>
      </c>
      <c r="AX3380" s="1856" t="str">
        <f t="shared" si="548"/>
        <v/>
      </c>
      <c r="AY3380" s="1856" t="str">
        <f t="shared" si="549"/>
        <v/>
      </c>
    </row>
    <row r="3381" spans="42:51">
      <c r="AP3381" s="1855">
        <f t="shared" si="550"/>
        <v>44934</v>
      </c>
      <c r="AQ3381" s="925" t="str">
        <f t="shared" si="552"/>
        <v>MS</v>
      </c>
      <c r="AR3381" s="1856">
        <f t="shared" si="551"/>
        <v>44934.395833333336</v>
      </c>
      <c r="AS3381" s="927" t="s">
        <v>2448</v>
      </c>
      <c r="AT3381" s="1856" t="str">
        <f t="shared" si="544"/>
        <v/>
      </c>
      <c r="AU3381" s="1856" t="str">
        <f t="shared" si="545"/>
        <v/>
      </c>
      <c r="AV3381" s="1856" t="str">
        <f t="shared" si="546"/>
        <v/>
      </c>
      <c r="AW3381" s="1856" t="str">
        <f t="shared" si="547"/>
        <v/>
      </c>
      <c r="AX3381" s="1856" t="str">
        <f t="shared" si="548"/>
        <v/>
      </c>
      <c r="AY3381" s="1856" t="str">
        <f t="shared" si="549"/>
        <v/>
      </c>
    </row>
    <row r="3382" spans="42:51">
      <c r="AP3382" s="1855">
        <f t="shared" si="550"/>
        <v>44934</v>
      </c>
      <c r="AQ3382" s="925" t="str">
        <f t="shared" si="552"/>
        <v>SS</v>
      </c>
      <c r="AR3382" s="1856">
        <f t="shared" si="551"/>
        <v>44934.736805555556</v>
      </c>
      <c r="AS3382" s="927" t="s">
        <v>942</v>
      </c>
      <c r="AT3382" s="1856" t="str">
        <f t="shared" si="544"/>
        <v/>
      </c>
      <c r="AU3382" s="1856" t="str">
        <f t="shared" si="545"/>
        <v/>
      </c>
      <c r="AV3382" s="1856" t="str">
        <f t="shared" si="546"/>
        <v/>
      </c>
      <c r="AW3382" s="1856" t="str">
        <f t="shared" si="547"/>
        <v/>
      </c>
      <c r="AX3382" s="1856" t="str">
        <f t="shared" si="548"/>
        <v/>
      </c>
      <c r="AY3382" s="1856" t="str">
        <f t="shared" si="549"/>
        <v/>
      </c>
    </row>
    <row r="3383" spans="42:51">
      <c r="AP3383" s="1855">
        <f t="shared" si="550"/>
        <v>44934</v>
      </c>
      <c r="AQ3383" s="925" t="str">
        <f t="shared" si="552"/>
        <v>EENT</v>
      </c>
      <c r="AR3383" s="1856">
        <f t="shared" si="551"/>
        <v>44934.779166666667</v>
      </c>
      <c r="AS3383" s="927" t="s">
        <v>930</v>
      </c>
      <c r="AT3383" s="1856" t="str">
        <f t="shared" si="544"/>
        <v/>
      </c>
      <c r="AU3383" s="1856" t="str">
        <f t="shared" si="545"/>
        <v/>
      </c>
      <c r="AV3383" s="1856" t="str">
        <f t="shared" si="546"/>
        <v/>
      </c>
      <c r="AW3383" s="1856" t="str">
        <f t="shared" si="547"/>
        <v/>
      </c>
      <c r="AX3383" s="1856" t="str">
        <f t="shared" si="548"/>
        <v/>
      </c>
      <c r="AY3383" s="1856" t="str">
        <f t="shared" si="549"/>
        <v/>
      </c>
    </row>
    <row r="3384" spans="42:51">
      <c r="AP3384" s="1855">
        <f t="shared" si="550"/>
        <v>44934</v>
      </c>
      <c r="AQ3384" s="925" t="str">
        <f t="shared" si="552"/>
        <v>MR</v>
      </c>
      <c r="AR3384" s="1856">
        <f t="shared" si="551"/>
        <v>44934.802083333328</v>
      </c>
      <c r="AS3384" s="927" t="s">
        <v>2449</v>
      </c>
      <c r="AT3384" s="1856" t="str">
        <f t="shared" si="544"/>
        <v/>
      </c>
      <c r="AU3384" s="1856" t="str">
        <f t="shared" si="545"/>
        <v/>
      </c>
      <c r="AV3384" s="1856" t="str">
        <f t="shared" si="546"/>
        <v/>
      </c>
      <c r="AW3384" s="1856" t="str">
        <f t="shared" si="547"/>
        <v/>
      </c>
      <c r="AX3384" s="1856" t="str">
        <f t="shared" si="548"/>
        <v/>
      </c>
      <c r="AY3384" s="1856" t="str">
        <f t="shared" si="549"/>
        <v/>
      </c>
    </row>
    <row r="3385" spans="42:51">
      <c r="AP3385" s="1855">
        <f t="shared" si="550"/>
        <v>44935</v>
      </c>
      <c r="AQ3385" s="925" t="str">
        <f t="shared" si="552"/>
        <v/>
      </c>
      <c r="AR3385" s="1856" t="str">
        <f t="shared" si="551"/>
        <v/>
      </c>
      <c r="AS3385" s="927">
        <v>9</v>
      </c>
      <c r="AT3385" s="1856">
        <f t="shared" si="544"/>
        <v>44935.290277777778</v>
      </c>
      <c r="AU3385" s="1856">
        <f t="shared" si="545"/>
        <v>44935.333333333336</v>
      </c>
      <c r="AV3385" s="1856">
        <f t="shared" si="546"/>
        <v>44935.736805555556</v>
      </c>
      <c r="AW3385" s="1856">
        <f t="shared" si="547"/>
        <v>44935.779861111114</v>
      </c>
      <c r="AX3385" s="1856">
        <f t="shared" si="548"/>
        <v>44935.84375</v>
      </c>
      <c r="AY3385" s="1856">
        <f t="shared" si="549"/>
        <v>44935.418749999997</v>
      </c>
    </row>
    <row r="3386" spans="42:51">
      <c r="AP3386" s="1855">
        <f t="shared" si="550"/>
        <v>44935</v>
      </c>
      <c r="AQ3386" s="925" t="str">
        <f t="shared" si="552"/>
        <v/>
      </c>
      <c r="AR3386" s="1856" t="str">
        <f t="shared" si="551"/>
        <v/>
      </c>
      <c r="AS3386" s="927" t="s">
        <v>252</v>
      </c>
      <c r="AT3386" s="1856" t="str">
        <f t="shared" si="544"/>
        <v/>
      </c>
      <c r="AU3386" s="1856" t="str">
        <f t="shared" si="545"/>
        <v/>
      </c>
      <c r="AV3386" s="1856" t="str">
        <f t="shared" si="546"/>
        <v/>
      </c>
      <c r="AW3386" s="1856" t="str">
        <f t="shared" si="547"/>
        <v/>
      </c>
      <c r="AX3386" s="1856" t="str">
        <f t="shared" si="548"/>
        <v/>
      </c>
      <c r="AY3386" s="1856" t="str">
        <f t="shared" si="549"/>
        <v/>
      </c>
    </row>
    <row r="3387" spans="42:51">
      <c r="AP3387" s="1855">
        <f t="shared" si="550"/>
        <v>44935</v>
      </c>
      <c r="AQ3387" s="925" t="str">
        <f t="shared" si="552"/>
        <v/>
      </c>
      <c r="AR3387" s="1856" t="str">
        <f t="shared" si="551"/>
        <v/>
      </c>
      <c r="AT3387" s="1856" t="str">
        <f t="shared" si="544"/>
        <v/>
      </c>
      <c r="AU3387" s="1856" t="str">
        <f t="shared" si="545"/>
        <v/>
      </c>
      <c r="AV3387" s="1856" t="str">
        <f t="shared" si="546"/>
        <v/>
      </c>
      <c r="AW3387" s="1856" t="str">
        <f t="shared" si="547"/>
        <v/>
      </c>
      <c r="AX3387" s="1856" t="str">
        <f t="shared" si="548"/>
        <v/>
      </c>
      <c r="AY3387" s="1856" t="str">
        <f t="shared" si="549"/>
        <v/>
      </c>
    </row>
    <row r="3388" spans="42:51">
      <c r="AP3388" s="1855">
        <f t="shared" si="550"/>
        <v>44935</v>
      </c>
      <c r="AQ3388" s="925" t="str">
        <f t="shared" si="552"/>
        <v>BMNT</v>
      </c>
      <c r="AR3388" s="1856">
        <f t="shared" si="551"/>
        <v>44935.290277777778</v>
      </c>
      <c r="AS3388" s="927" t="s">
        <v>814</v>
      </c>
      <c r="AT3388" s="1856" t="str">
        <f t="shared" si="544"/>
        <v/>
      </c>
      <c r="AU3388" s="1856" t="str">
        <f t="shared" si="545"/>
        <v/>
      </c>
      <c r="AV3388" s="1856" t="str">
        <f t="shared" si="546"/>
        <v/>
      </c>
      <c r="AW3388" s="1856" t="str">
        <f t="shared" si="547"/>
        <v/>
      </c>
      <c r="AX3388" s="1856" t="str">
        <f t="shared" si="548"/>
        <v/>
      </c>
      <c r="AY3388" s="1856" t="str">
        <f t="shared" si="549"/>
        <v/>
      </c>
    </row>
    <row r="3389" spans="42:51">
      <c r="AP3389" s="1855">
        <f t="shared" si="550"/>
        <v>44935</v>
      </c>
      <c r="AQ3389" s="925" t="str">
        <f t="shared" si="552"/>
        <v>SR</v>
      </c>
      <c r="AR3389" s="1856">
        <f t="shared" si="551"/>
        <v>44935.333333333336</v>
      </c>
      <c r="AS3389" s="927" t="s">
        <v>766</v>
      </c>
      <c r="AT3389" s="1856" t="str">
        <f t="shared" si="544"/>
        <v/>
      </c>
      <c r="AU3389" s="1856" t="str">
        <f t="shared" si="545"/>
        <v/>
      </c>
      <c r="AV3389" s="1856" t="str">
        <f t="shared" si="546"/>
        <v/>
      </c>
      <c r="AW3389" s="1856" t="str">
        <f t="shared" si="547"/>
        <v/>
      </c>
      <c r="AX3389" s="1856" t="str">
        <f t="shared" si="548"/>
        <v/>
      </c>
      <c r="AY3389" s="1856" t="str">
        <f t="shared" si="549"/>
        <v/>
      </c>
    </row>
    <row r="3390" spans="42:51">
      <c r="AP3390" s="1855">
        <f t="shared" si="550"/>
        <v>44935</v>
      </c>
      <c r="AQ3390" s="925" t="str">
        <f t="shared" si="552"/>
        <v>MS</v>
      </c>
      <c r="AR3390" s="1856">
        <f t="shared" si="551"/>
        <v>44935.418749999997</v>
      </c>
      <c r="AS3390" s="927" t="s">
        <v>2450</v>
      </c>
      <c r="AT3390" s="1856" t="str">
        <f t="shared" si="544"/>
        <v/>
      </c>
      <c r="AU3390" s="1856" t="str">
        <f t="shared" si="545"/>
        <v/>
      </c>
      <c r="AV3390" s="1856" t="str">
        <f t="shared" si="546"/>
        <v/>
      </c>
      <c r="AW3390" s="1856" t="str">
        <f t="shared" si="547"/>
        <v/>
      </c>
      <c r="AX3390" s="1856" t="str">
        <f t="shared" si="548"/>
        <v/>
      </c>
      <c r="AY3390" s="1856" t="str">
        <f t="shared" si="549"/>
        <v/>
      </c>
    </row>
    <row r="3391" spans="42:51">
      <c r="AP3391" s="1855">
        <f t="shared" si="550"/>
        <v>44935</v>
      </c>
      <c r="AQ3391" s="925" t="str">
        <f t="shared" si="552"/>
        <v>SS</v>
      </c>
      <c r="AR3391" s="1856">
        <f t="shared" si="551"/>
        <v>44935.736805555556</v>
      </c>
      <c r="AS3391" s="927" t="s">
        <v>942</v>
      </c>
      <c r="AT3391" s="1856" t="str">
        <f t="shared" si="544"/>
        <v/>
      </c>
      <c r="AU3391" s="1856" t="str">
        <f t="shared" si="545"/>
        <v/>
      </c>
      <c r="AV3391" s="1856" t="str">
        <f t="shared" si="546"/>
        <v/>
      </c>
      <c r="AW3391" s="1856" t="str">
        <f t="shared" si="547"/>
        <v/>
      </c>
      <c r="AX3391" s="1856" t="str">
        <f t="shared" si="548"/>
        <v/>
      </c>
      <c r="AY3391" s="1856" t="str">
        <f t="shared" si="549"/>
        <v/>
      </c>
    </row>
    <row r="3392" spans="42:51">
      <c r="AP3392" s="1855">
        <f t="shared" si="550"/>
        <v>44935</v>
      </c>
      <c r="AQ3392" s="925" t="str">
        <f t="shared" si="552"/>
        <v>EENT</v>
      </c>
      <c r="AR3392" s="1856">
        <f t="shared" si="551"/>
        <v>44935.779861111114</v>
      </c>
      <c r="AS3392" s="927" t="s">
        <v>944</v>
      </c>
      <c r="AT3392" s="1856" t="str">
        <f t="shared" si="544"/>
        <v/>
      </c>
      <c r="AU3392" s="1856" t="str">
        <f t="shared" si="545"/>
        <v/>
      </c>
      <c r="AV3392" s="1856" t="str">
        <f t="shared" si="546"/>
        <v/>
      </c>
      <c r="AW3392" s="1856" t="str">
        <f t="shared" si="547"/>
        <v/>
      </c>
      <c r="AX3392" s="1856" t="str">
        <f t="shared" si="548"/>
        <v/>
      </c>
      <c r="AY3392" s="1856" t="str">
        <f t="shared" si="549"/>
        <v/>
      </c>
    </row>
    <row r="3393" spans="42:51">
      <c r="AP3393" s="1855">
        <f t="shared" si="550"/>
        <v>44935</v>
      </c>
      <c r="AQ3393" s="925" t="str">
        <f t="shared" si="552"/>
        <v>MR</v>
      </c>
      <c r="AR3393" s="1856">
        <f t="shared" si="551"/>
        <v>44935.84375</v>
      </c>
      <c r="AS3393" s="927" t="s">
        <v>2451</v>
      </c>
      <c r="AT3393" s="1856" t="str">
        <f t="shared" si="544"/>
        <v/>
      </c>
      <c r="AU3393" s="1856" t="str">
        <f t="shared" si="545"/>
        <v/>
      </c>
      <c r="AV3393" s="1856" t="str">
        <f t="shared" si="546"/>
        <v/>
      </c>
      <c r="AW3393" s="1856" t="str">
        <f t="shared" si="547"/>
        <v/>
      </c>
      <c r="AX3393" s="1856" t="str">
        <f t="shared" si="548"/>
        <v/>
      </c>
      <c r="AY3393" s="1856" t="str">
        <f t="shared" si="549"/>
        <v/>
      </c>
    </row>
    <row r="3394" spans="42:51">
      <c r="AP3394" s="1855">
        <f t="shared" si="550"/>
        <v>44936</v>
      </c>
      <c r="AQ3394" s="925" t="str">
        <f t="shared" si="552"/>
        <v/>
      </c>
      <c r="AR3394" s="1856" t="str">
        <f t="shared" si="551"/>
        <v/>
      </c>
      <c r="AS3394" s="927">
        <v>10</v>
      </c>
      <c r="AT3394" s="1856">
        <f t="shared" si="544"/>
        <v>44936.290277777778</v>
      </c>
      <c r="AU3394" s="1856">
        <f t="shared" si="545"/>
        <v>44936.333333333336</v>
      </c>
      <c r="AV3394" s="1856">
        <f t="shared" si="546"/>
        <v>44936.737500000003</v>
      </c>
      <c r="AW3394" s="1856">
        <f t="shared" si="547"/>
        <v>44936.780555555553</v>
      </c>
      <c r="AX3394" s="1856">
        <f t="shared" si="548"/>
        <v>44936.885416666664</v>
      </c>
      <c r="AY3394" s="1856">
        <f t="shared" si="549"/>
        <v>44936.438194444439</v>
      </c>
    </row>
    <row r="3395" spans="42:51">
      <c r="AP3395" s="1855">
        <f t="shared" si="550"/>
        <v>44936</v>
      </c>
      <c r="AQ3395" s="925" t="str">
        <f t="shared" si="552"/>
        <v/>
      </c>
      <c r="AR3395" s="1856" t="str">
        <f t="shared" si="551"/>
        <v/>
      </c>
      <c r="AS3395" s="927" t="s">
        <v>252</v>
      </c>
      <c r="AT3395" s="1856" t="str">
        <f t="shared" si="544"/>
        <v/>
      </c>
      <c r="AU3395" s="1856" t="str">
        <f t="shared" si="545"/>
        <v/>
      </c>
      <c r="AV3395" s="1856" t="str">
        <f t="shared" si="546"/>
        <v/>
      </c>
      <c r="AW3395" s="1856" t="str">
        <f t="shared" si="547"/>
        <v/>
      </c>
      <c r="AX3395" s="1856" t="str">
        <f t="shared" si="548"/>
        <v/>
      </c>
      <c r="AY3395" s="1856" t="str">
        <f t="shared" si="549"/>
        <v/>
      </c>
    </row>
    <row r="3396" spans="42:51">
      <c r="AP3396" s="1855">
        <f t="shared" si="550"/>
        <v>44936</v>
      </c>
      <c r="AQ3396" s="925" t="str">
        <f t="shared" si="552"/>
        <v/>
      </c>
      <c r="AR3396" s="1856" t="str">
        <f t="shared" si="551"/>
        <v/>
      </c>
      <c r="AT3396" s="1856" t="str">
        <f t="shared" si="544"/>
        <v/>
      </c>
      <c r="AU3396" s="1856" t="str">
        <f t="shared" si="545"/>
        <v/>
      </c>
      <c r="AV3396" s="1856" t="str">
        <f t="shared" si="546"/>
        <v/>
      </c>
      <c r="AW3396" s="1856" t="str">
        <f t="shared" si="547"/>
        <v/>
      </c>
      <c r="AX3396" s="1856" t="str">
        <f t="shared" si="548"/>
        <v/>
      </c>
      <c r="AY3396" s="1856" t="str">
        <f t="shared" si="549"/>
        <v/>
      </c>
    </row>
    <row r="3397" spans="42:51">
      <c r="AP3397" s="1855">
        <f t="shared" si="550"/>
        <v>44936</v>
      </c>
      <c r="AQ3397" s="925" t="str">
        <f t="shared" si="552"/>
        <v>BMNT</v>
      </c>
      <c r="AR3397" s="1856">
        <f t="shared" si="551"/>
        <v>44936.290277777778</v>
      </c>
      <c r="AS3397" s="927" t="s">
        <v>814</v>
      </c>
      <c r="AT3397" s="1856" t="str">
        <f t="shared" si="544"/>
        <v/>
      </c>
      <c r="AU3397" s="1856" t="str">
        <f t="shared" si="545"/>
        <v/>
      </c>
      <c r="AV3397" s="1856" t="str">
        <f t="shared" si="546"/>
        <v/>
      </c>
      <c r="AW3397" s="1856" t="str">
        <f t="shared" si="547"/>
        <v/>
      </c>
      <c r="AX3397" s="1856" t="str">
        <f t="shared" si="548"/>
        <v/>
      </c>
      <c r="AY3397" s="1856" t="str">
        <f t="shared" si="549"/>
        <v/>
      </c>
    </row>
    <row r="3398" spans="42:51">
      <c r="AP3398" s="1855">
        <f t="shared" si="550"/>
        <v>44936</v>
      </c>
      <c r="AQ3398" s="925" t="str">
        <f t="shared" si="552"/>
        <v>SR</v>
      </c>
      <c r="AR3398" s="1856">
        <f t="shared" si="551"/>
        <v>44936.333333333336</v>
      </c>
      <c r="AS3398" s="927" t="s">
        <v>766</v>
      </c>
      <c r="AT3398" s="1856" t="str">
        <f t="shared" si="544"/>
        <v/>
      </c>
      <c r="AU3398" s="1856" t="str">
        <f t="shared" si="545"/>
        <v/>
      </c>
      <c r="AV3398" s="1856" t="str">
        <f t="shared" si="546"/>
        <v/>
      </c>
      <c r="AW3398" s="1856" t="str">
        <f t="shared" si="547"/>
        <v/>
      </c>
      <c r="AX3398" s="1856" t="str">
        <f t="shared" si="548"/>
        <v/>
      </c>
      <c r="AY3398" s="1856" t="str">
        <f t="shared" si="549"/>
        <v/>
      </c>
    </row>
    <row r="3399" spans="42:51">
      <c r="AP3399" s="1855">
        <f t="shared" si="550"/>
        <v>44936</v>
      </c>
      <c r="AQ3399" s="925" t="str">
        <f t="shared" si="552"/>
        <v>MS</v>
      </c>
      <c r="AR3399" s="1856">
        <f t="shared" si="551"/>
        <v>44936.438194444439</v>
      </c>
      <c r="AS3399" s="927" t="s">
        <v>2452</v>
      </c>
      <c r="AT3399" s="1856" t="str">
        <f t="shared" si="544"/>
        <v/>
      </c>
      <c r="AU3399" s="1856" t="str">
        <f t="shared" si="545"/>
        <v/>
      </c>
      <c r="AV3399" s="1856" t="str">
        <f t="shared" si="546"/>
        <v/>
      </c>
      <c r="AW3399" s="1856" t="str">
        <f t="shared" si="547"/>
        <v/>
      </c>
      <c r="AX3399" s="1856" t="str">
        <f t="shared" si="548"/>
        <v/>
      </c>
      <c r="AY3399" s="1856" t="str">
        <f t="shared" si="549"/>
        <v/>
      </c>
    </row>
    <row r="3400" spans="42:51">
      <c r="AP3400" s="1855">
        <f t="shared" si="550"/>
        <v>44936</v>
      </c>
      <c r="AQ3400" s="925" t="str">
        <f t="shared" si="552"/>
        <v>SS</v>
      </c>
      <c r="AR3400" s="1856">
        <f t="shared" si="551"/>
        <v>44936.737500000003</v>
      </c>
      <c r="AS3400" s="927" t="s">
        <v>961</v>
      </c>
      <c r="AT3400" s="1856" t="str">
        <f t="shared" si="544"/>
        <v/>
      </c>
      <c r="AU3400" s="1856" t="str">
        <f t="shared" si="545"/>
        <v/>
      </c>
      <c r="AV3400" s="1856" t="str">
        <f t="shared" si="546"/>
        <v/>
      </c>
      <c r="AW3400" s="1856" t="str">
        <f t="shared" si="547"/>
        <v/>
      </c>
      <c r="AX3400" s="1856" t="str">
        <f t="shared" si="548"/>
        <v/>
      </c>
      <c r="AY3400" s="1856" t="str">
        <f t="shared" si="549"/>
        <v/>
      </c>
    </row>
    <row r="3401" spans="42:51">
      <c r="AP3401" s="1855">
        <f t="shared" si="550"/>
        <v>44936</v>
      </c>
      <c r="AQ3401" s="925" t="str">
        <f t="shared" si="552"/>
        <v>EENT</v>
      </c>
      <c r="AR3401" s="1856">
        <f t="shared" si="551"/>
        <v>44936.780555555553</v>
      </c>
      <c r="AS3401" s="927" t="s">
        <v>976</v>
      </c>
      <c r="AT3401" s="1856" t="str">
        <f t="shared" si="544"/>
        <v/>
      </c>
      <c r="AU3401" s="1856" t="str">
        <f t="shared" si="545"/>
        <v/>
      </c>
      <c r="AV3401" s="1856" t="str">
        <f t="shared" si="546"/>
        <v/>
      </c>
      <c r="AW3401" s="1856" t="str">
        <f t="shared" si="547"/>
        <v/>
      </c>
      <c r="AX3401" s="1856" t="str">
        <f t="shared" si="548"/>
        <v/>
      </c>
      <c r="AY3401" s="1856" t="str">
        <f t="shared" si="549"/>
        <v/>
      </c>
    </row>
    <row r="3402" spans="42:51">
      <c r="AP3402" s="1855">
        <f t="shared" si="550"/>
        <v>44936</v>
      </c>
      <c r="AQ3402" s="925" t="str">
        <f t="shared" si="552"/>
        <v>MR</v>
      </c>
      <c r="AR3402" s="1856">
        <f t="shared" si="551"/>
        <v>44936.885416666664</v>
      </c>
      <c r="AS3402" s="927" t="s">
        <v>2453</v>
      </c>
      <c r="AT3402" s="1856" t="str">
        <f t="shared" si="544"/>
        <v/>
      </c>
      <c r="AU3402" s="1856" t="str">
        <f t="shared" si="545"/>
        <v/>
      </c>
      <c r="AV3402" s="1856" t="str">
        <f t="shared" si="546"/>
        <v/>
      </c>
      <c r="AW3402" s="1856" t="str">
        <f t="shared" si="547"/>
        <v/>
      </c>
      <c r="AX3402" s="1856" t="str">
        <f t="shared" si="548"/>
        <v/>
      </c>
      <c r="AY3402" s="1856" t="str">
        <f t="shared" si="549"/>
        <v/>
      </c>
    </row>
    <row r="3403" spans="42:51">
      <c r="AP3403" s="1855">
        <f t="shared" si="550"/>
        <v>44937</v>
      </c>
      <c r="AQ3403" s="925" t="str">
        <f t="shared" si="552"/>
        <v/>
      </c>
      <c r="AR3403" s="1856" t="str">
        <f t="shared" si="551"/>
        <v/>
      </c>
      <c r="AS3403" s="927">
        <v>11</v>
      </c>
      <c r="AT3403" s="1856">
        <f t="shared" si="544"/>
        <v>44937.290277777778</v>
      </c>
      <c r="AU3403" s="1856">
        <f t="shared" si="545"/>
        <v>44937.333333333336</v>
      </c>
      <c r="AV3403" s="1856">
        <f t="shared" si="546"/>
        <v>44937.73819444445</v>
      </c>
      <c r="AW3403" s="1856">
        <f t="shared" si="547"/>
        <v>44937.78125</v>
      </c>
      <c r="AX3403" s="1856">
        <f t="shared" si="548"/>
        <v>44937.926388888889</v>
      </c>
      <c r="AY3403" s="1856">
        <f t="shared" si="549"/>
        <v>44937.455555555556</v>
      </c>
    </row>
    <row r="3404" spans="42:51">
      <c r="AP3404" s="1855">
        <f t="shared" si="550"/>
        <v>44937</v>
      </c>
      <c r="AQ3404" s="925" t="str">
        <f t="shared" si="552"/>
        <v/>
      </c>
      <c r="AR3404" s="1856" t="str">
        <f t="shared" si="551"/>
        <v/>
      </c>
      <c r="AS3404" s="927" t="s">
        <v>252</v>
      </c>
      <c r="AT3404" s="1856" t="str">
        <f t="shared" si="544"/>
        <v/>
      </c>
      <c r="AU3404" s="1856" t="str">
        <f t="shared" si="545"/>
        <v/>
      </c>
      <c r="AV3404" s="1856" t="str">
        <f t="shared" si="546"/>
        <v/>
      </c>
      <c r="AW3404" s="1856" t="str">
        <f t="shared" si="547"/>
        <v/>
      </c>
      <c r="AX3404" s="1856" t="str">
        <f t="shared" si="548"/>
        <v/>
      </c>
      <c r="AY3404" s="1856" t="str">
        <f t="shared" si="549"/>
        <v/>
      </c>
    </row>
    <row r="3405" spans="42:51">
      <c r="AP3405" s="1855">
        <f t="shared" si="550"/>
        <v>44937</v>
      </c>
      <c r="AQ3405" s="925" t="str">
        <f t="shared" si="552"/>
        <v/>
      </c>
      <c r="AR3405" s="1856" t="str">
        <f t="shared" si="551"/>
        <v/>
      </c>
      <c r="AT3405" s="1856" t="str">
        <f t="shared" si="544"/>
        <v/>
      </c>
      <c r="AU3405" s="1856" t="str">
        <f t="shared" si="545"/>
        <v/>
      </c>
      <c r="AV3405" s="1856" t="str">
        <f t="shared" si="546"/>
        <v/>
      </c>
      <c r="AW3405" s="1856" t="str">
        <f t="shared" si="547"/>
        <v/>
      </c>
      <c r="AX3405" s="1856" t="str">
        <f t="shared" si="548"/>
        <v/>
      </c>
      <c r="AY3405" s="1856" t="str">
        <f t="shared" si="549"/>
        <v/>
      </c>
    </row>
    <row r="3406" spans="42:51">
      <c r="AP3406" s="1855">
        <f t="shared" si="550"/>
        <v>44937</v>
      </c>
      <c r="AQ3406" s="925" t="str">
        <f t="shared" si="552"/>
        <v>BMNT</v>
      </c>
      <c r="AR3406" s="1856">
        <f t="shared" si="551"/>
        <v>44937.290277777778</v>
      </c>
      <c r="AS3406" s="927" t="s">
        <v>814</v>
      </c>
      <c r="AT3406" s="1856" t="str">
        <f t="shared" si="544"/>
        <v/>
      </c>
      <c r="AU3406" s="1856" t="str">
        <f t="shared" si="545"/>
        <v/>
      </c>
      <c r="AV3406" s="1856" t="str">
        <f t="shared" si="546"/>
        <v/>
      </c>
      <c r="AW3406" s="1856" t="str">
        <f t="shared" si="547"/>
        <v/>
      </c>
      <c r="AX3406" s="1856" t="str">
        <f t="shared" si="548"/>
        <v/>
      </c>
      <c r="AY3406" s="1856" t="str">
        <f t="shared" si="549"/>
        <v/>
      </c>
    </row>
    <row r="3407" spans="42:51">
      <c r="AP3407" s="1855">
        <f t="shared" si="550"/>
        <v>44937</v>
      </c>
      <c r="AQ3407" s="925" t="str">
        <f t="shared" si="552"/>
        <v>SR</v>
      </c>
      <c r="AR3407" s="1856">
        <f t="shared" si="551"/>
        <v>44937.333333333336</v>
      </c>
      <c r="AS3407" s="927" t="s">
        <v>766</v>
      </c>
      <c r="AT3407" s="1856" t="str">
        <f t="shared" si="544"/>
        <v/>
      </c>
      <c r="AU3407" s="1856" t="str">
        <f t="shared" si="545"/>
        <v/>
      </c>
      <c r="AV3407" s="1856" t="str">
        <f t="shared" si="546"/>
        <v/>
      </c>
      <c r="AW3407" s="1856" t="str">
        <f t="shared" si="547"/>
        <v/>
      </c>
      <c r="AX3407" s="1856" t="str">
        <f t="shared" si="548"/>
        <v/>
      </c>
      <c r="AY3407" s="1856" t="str">
        <f t="shared" si="549"/>
        <v/>
      </c>
    </row>
    <row r="3408" spans="42:51">
      <c r="AP3408" s="1855">
        <f t="shared" si="550"/>
        <v>44937</v>
      </c>
      <c r="AQ3408" s="925" t="str">
        <f t="shared" si="552"/>
        <v>MS</v>
      </c>
      <c r="AR3408" s="1856">
        <f t="shared" si="551"/>
        <v>44937.455555555556</v>
      </c>
      <c r="AS3408" s="927" t="s">
        <v>2454</v>
      </c>
      <c r="AT3408" s="1856" t="str">
        <f t="shared" si="544"/>
        <v/>
      </c>
      <c r="AU3408" s="1856" t="str">
        <f t="shared" si="545"/>
        <v/>
      </c>
      <c r="AV3408" s="1856" t="str">
        <f t="shared" si="546"/>
        <v/>
      </c>
      <c r="AW3408" s="1856" t="str">
        <f t="shared" si="547"/>
        <v/>
      </c>
      <c r="AX3408" s="1856" t="str">
        <f t="shared" si="548"/>
        <v/>
      </c>
      <c r="AY3408" s="1856" t="str">
        <f t="shared" si="549"/>
        <v/>
      </c>
    </row>
    <row r="3409" spans="42:51">
      <c r="AP3409" s="1855">
        <f t="shared" si="550"/>
        <v>44937</v>
      </c>
      <c r="AQ3409" s="925" t="str">
        <f t="shared" si="552"/>
        <v>SS</v>
      </c>
      <c r="AR3409" s="1856">
        <f t="shared" si="551"/>
        <v>44937.73819444445</v>
      </c>
      <c r="AS3409" s="927" t="s">
        <v>975</v>
      </c>
      <c r="AT3409" s="1856" t="str">
        <f t="shared" si="544"/>
        <v/>
      </c>
      <c r="AU3409" s="1856" t="str">
        <f t="shared" si="545"/>
        <v/>
      </c>
      <c r="AV3409" s="1856" t="str">
        <f t="shared" si="546"/>
        <v/>
      </c>
      <c r="AW3409" s="1856" t="str">
        <f t="shared" si="547"/>
        <v/>
      </c>
      <c r="AX3409" s="1856" t="str">
        <f t="shared" si="548"/>
        <v/>
      </c>
      <c r="AY3409" s="1856" t="str">
        <f t="shared" si="549"/>
        <v/>
      </c>
    </row>
    <row r="3410" spans="42:51">
      <c r="AP3410" s="1855">
        <f t="shared" si="550"/>
        <v>44937</v>
      </c>
      <c r="AQ3410" s="925" t="str">
        <f t="shared" si="552"/>
        <v>EENT</v>
      </c>
      <c r="AR3410" s="1856">
        <f t="shared" si="551"/>
        <v>44937.78125</v>
      </c>
      <c r="AS3410" s="927" t="s">
        <v>991</v>
      </c>
      <c r="AT3410" s="1856" t="str">
        <f t="shared" si="544"/>
        <v/>
      </c>
      <c r="AU3410" s="1856" t="str">
        <f t="shared" si="545"/>
        <v/>
      </c>
      <c r="AV3410" s="1856" t="str">
        <f t="shared" si="546"/>
        <v/>
      </c>
      <c r="AW3410" s="1856" t="str">
        <f t="shared" si="547"/>
        <v/>
      </c>
      <c r="AX3410" s="1856" t="str">
        <f t="shared" si="548"/>
        <v/>
      </c>
      <c r="AY3410" s="1856" t="str">
        <f t="shared" si="549"/>
        <v/>
      </c>
    </row>
    <row r="3411" spans="42:51">
      <c r="AP3411" s="1855">
        <f t="shared" si="550"/>
        <v>44937</v>
      </c>
      <c r="AQ3411" s="925" t="str">
        <f t="shared" si="552"/>
        <v>MR</v>
      </c>
      <c r="AR3411" s="1856">
        <f t="shared" si="551"/>
        <v>44937.926388888889</v>
      </c>
      <c r="AS3411" s="927" t="s">
        <v>2455</v>
      </c>
      <c r="AT3411" s="1856" t="str">
        <f t="shared" si="544"/>
        <v/>
      </c>
      <c r="AU3411" s="1856" t="str">
        <f t="shared" si="545"/>
        <v/>
      </c>
      <c r="AV3411" s="1856" t="str">
        <f t="shared" si="546"/>
        <v/>
      </c>
      <c r="AW3411" s="1856" t="str">
        <f t="shared" si="547"/>
        <v/>
      </c>
      <c r="AX3411" s="1856" t="str">
        <f t="shared" si="548"/>
        <v/>
      </c>
      <c r="AY3411" s="1856" t="str">
        <f t="shared" si="549"/>
        <v/>
      </c>
    </row>
    <row r="3412" spans="42:51">
      <c r="AP3412" s="1855">
        <f t="shared" si="550"/>
        <v>44938</v>
      </c>
      <c r="AQ3412" s="925" t="str">
        <f t="shared" si="552"/>
        <v/>
      </c>
      <c r="AR3412" s="1856" t="str">
        <f t="shared" si="551"/>
        <v/>
      </c>
      <c r="AS3412" s="927">
        <v>12</v>
      </c>
      <c r="AT3412" s="1856">
        <f t="shared" si="544"/>
        <v>44938.290277777778</v>
      </c>
      <c r="AU3412" s="1856">
        <f t="shared" si="545"/>
        <v>44938.332638888889</v>
      </c>
      <c r="AV3412" s="1856">
        <f t="shared" si="546"/>
        <v>44938.738888888889</v>
      </c>
      <c r="AW3412" s="1856">
        <f t="shared" si="547"/>
        <v>44938.781944444447</v>
      </c>
      <c r="AX3412" s="1856">
        <f t="shared" si="548"/>
        <v>44938.968055555561</v>
      </c>
      <c r="AY3412" s="1856">
        <f t="shared" si="549"/>
        <v>44938.47152777778</v>
      </c>
    </row>
    <row r="3413" spans="42:51">
      <c r="AP3413" s="1855">
        <f t="shared" si="550"/>
        <v>44938</v>
      </c>
      <c r="AQ3413" s="925" t="str">
        <f t="shared" si="552"/>
        <v/>
      </c>
      <c r="AR3413" s="1856" t="str">
        <f t="shared" si="551"/>
        <v/>
      </c>
      <c r="AS3413" s="927" t="s">
        <v>252</v>
      </c>
      <c r="AT3413" s="1856" t="str">
        <f t="shared" si="544"/>
        <v/>
      </c>
      <c r="AU3413" s="1856" t="str">
        <f t="shared" si="545"/>
        <v/>
      </c>
      <c r="AV3413" s="1856" t="str">
        <f t="shared" si="546"/>
        <v/>
      </c>
      <c r="AW3413" s="1856" t="str">
        <f t="shared" si="547"/>
        <v/>
      </c>
      <c r="AX3413" s="1856" t="str">
        <f t="shared" si="548"/>
        <v/>
      </c>
      <c r="AY3413" s="1856" t="str">
        <f t="shared" si="549"/>
        <v/>
      </c>
    </row>
    <row r="3414" spans="42:51">
      <c r="AP3414" s="1855">
        <f t="shared" si="550"/>
        <v>44938</v>
      </c>
      <c r="AQ3414" s="925" t="str">
        <f t="shared" si="552"/>
        <v/>
      </c>
      <c r="AR3414" s="1856" t="str">
        <f t="shared" si="551"/>
        <v/>
      </c>
      <c r="AT3414" s="1856" t="str">
        <f t="shared" si="544"/>
        <v/>
      </c>
      <c r="AU3414" s="1856" t="str">
        <f t="shared" si="545"/>
        <v/>
      </c>
      <c r="AV3414" s="1856" t="str">
        <f t="shared" si="546"/>
        <v/>
      </c>
      <c r="AW3414" s="1856" t="str">
        <f t="shared" si="547"/>
        <v/>
      </c>
      <c r="AX3414" s="1856" t="str">
        <f t="shared" si="548"/>
        <v/>
      </c>
      <c r="AY3414" s="1856" t="str">
        <f t="shared" si="549"/>
        <v/>
      </c>
    </row>
    <row r="3415" spans="42:51">
      <c r="AP3415" s="1855">
        <f t="shared" si="550"/>
        <v>44938</v>
      </c>
      <c r="AQ3415" s="925" t="str">
        <f t="shared" si="552"/>
        <v>BMNT</v>
      </c>
      <c r="AR3415" s="1856">
        <f t="shared" si="551"/>
        <v>44938.290277777778</v>
      </c>
      <c r="AS3415" s="927" t="s">
        <v>814</v>
      </c>
      <c r="AT3415" s="1856" t="str">
        <f t="shared" si="544"/>
        <v/>
      </c>
      <c r="AU3415" s="1856" t="str">
        <f t="shared" si="545"/>
        <v/>
      </c>
      <c r="AV3415" s="1856" t="str">
        <f t="shared" si="546"/>
        <v/>
      </c>
      <c r="AW3415" s="1856" t="str">
        <f t="shared" si="547"/>
        <v/>
      </c>
      <c r="AX3415" s="1856" t="str">
        <f t="shared" si="548"/>
        <v/>
      </c>
      <c r="AY3415" s="1856" t="str">
        <f t="shared" si="549"/>
        <v/>
      </c>
    </row>
    <row r="3416" spans="42:51">
      <c r="AP3416" s="1855">
        <f t="shared" si="550"/>
        <v>44938</v>
      </c>
      <c r="AQ3416" s="925" t="str">
        <f t="shared" si="552"/>
        <v>SR</v>
      </c>
      <c r="AR3416" s="1856">
        <f t="shared" si="551"/>
        <v>44938.332638888889</v>
      </c>
      <c r="AS3416" s="927" t="s">
        <v>984</v>
      </c>
      <c r="AT3416" s="1856" t="str">
        <f t="shared" si="544"/>
        <v/>
      </c>
      <c r="AU3416" s="1856" t="str">
        <f t="shared" si="545"/>
        <v/>
      </c>
      <c r="AV3416" s="1856" t="str">
        <f t="shared" si="546"/>
        <v/>
      </c>
      <c r="AW3416" s="1856" t="str">
        <f t="shared" si="547"/>
        <v/>
      </c>
      <c r="AX3416" s="1856" t="str">
        <f t="shared" si="548"/>
        <v/>
      </c>
      <c r="AY3416" s="1856" t="str">
        <f t="shared" si="549"/>
        <v/>
      </c>
    </row>
    <row r="3417" spans="42:51">
      <c r="AP3417" s="1855">
        <f t="shared" si="550"/>
        <v>44938</v>
      </c>
      <c r="AQ3417" s="925" t="str">
        <f t="shared" si="552"/>
        <v>MS</v>
      </c>
      <c r="AR3417" s="1856">
        <f t="shared" si="551"/>
        <v>44938.47152777778</v>
      </c>
      <c r="AS3417" s="927" t="s">
        <v>2456</v>
      </c>
      <c r="AT3417" s="1856" t="str">
        <f t="shared" si="544"/>
        <v/>
      </c>
      <c r="AU3417" s="1856" t="str">
        <f t="shared" si="545"/>
        <v/>
      </c>
      <c r="AV3417" s="1856" t="str">
        <f t="shared" si="546"/>
        <v/>
      </c>
      <c r="AW3417" s="1856" t="str">
        <f t="shared" si="547"/>
        <v/>
      </c>
      <c r="AX3417" s="1856" t="str">
        <f t="shared" si="548"/>
        <v/>
      </c>
      <c r="AY3417" s="1856" t="str">
        <f t="shared" si="549"/>
        <v/>
      </c>
    </row>
    <row r="3418" spans="42:51">
      <c r="AP3418" s="1855">
        <f t="shared" si="550"/>
        <v>44938</v>
      </c>
      <c r="AQ3418" s="925" t="str">
        <f t="shared" si="552"/>
        <v>SS</v>
      </c>
      <c r="AR3418" s="1856">
        <f t="shared" si="551"/>
        <v>44938.738888888889</v>
      </c>
      <c r="AS3418" s="927" t="s">
        <v>989</v>
      </c>
      <c r="AT3418" s="1856" t="str">
        <f t="shared" si="544"/>
        <v/>
      </c>
      <c r="AU3418" s="1856" t="str">
        <f t="shared" si="545"/>
        <v/>
      </c>
      <c r="AV3418" s="1856" t="str">
        <f t="shared" si="546"/>
        <v/>
      </c>
      <c r="AW3418" s="1856" t="str">
        <f t="shared" si="547"/>
        <v/>
      </c>
      <c r="AX3418" s="1856" t="str">
        <f t="shared" si="548"/>
        <v/>
      </c>
      <c r="AY3418" s="1856" t="str">
        <f t="shared" si="549"/>
        <v/>
      </c>
    </row>
    <row r="3419" spans="42:51">
      <c r="AP3419" s="1855">
        <f t="shared" si="550"/>
        <v>44938</v>
      </c>
      <c r="AQ3419" s="925" t="str">
        <f t="shared" si="552"/>
        <v>EENT</v>
      </c>
      <c r="AR3419" s="1856">
        <f t="shared" si="551"/>
        <v>44938.781944444447</v>
      </c>
      <c r="AS3419" s="927" t="s">
        <v>1006</v>
      </c>
      <c r="AT3419" s="1856" t="str">
        <f t="shared" si="544"/>
        <v/>
      </c>
      <c r="AU3419" s="1856" t="str">
        <f t="shared" si="545"/>
        <v/>
      </c>
      <c r="AV3419" s="1856" t="str">
        <f t="shared" si="546"/>
        <v/>
      </c>
      <c r="AW3419" s="1856" t="str">
        <f t="shared" si="547"/>
        <v/>
      </c>
      <c r="AX3419" s="1856" t="str">
        <f t="shared" si="548"/>
        <v/>
      </c>
      <c r="AY3419" s="1856" t="str">
        <f t="shared" si="549"/>
        <v/>
      </c>
    </row>
    <row r="3420" spans="42:51">
      <c r="AP3420" s="1855">
        <f t="shared" si="550"/>
        <v>44938</v>
      </c>
      <c r="AQ3420" s="925" t="str">
        <f t="shared" si="552"/>
        <v>MR</v>
      </c>
      <c r="AR3420" s="1856">
        <f t="shared" si="551"/>
        <v>44938.968055555561</v>
      </c>
      <c r="AS3420" s="927" t="s">
        <v>2457</v>
      </c>
      <c r="AT3420" s="1856" t="str">
        <f t="shared" ref="AT3420:AT3483" si="553">IF(ISNUMBER(AS3420),INDEX(AR3421:AR3431,MATCH($AT$27,AQ3421:AQ3431,0)),"")</f>
        <v/>
      </c>
      <c r="AU3420" s="1856" t="str">
        <f t="shared" ref="AU3420:AU3483" si="554">IF(AT3420="","",INDEX(AR3421:AR3431,MATCH($AU$27,AQ3421:AQ3431,0)))</f>
        <v/>
      </c>
      <c r="AV3420" s="1856" t="str">
        <f t="shared" ref="AV3420:AV3483" si="555">IF(AT3420="","",INDEX(AR3421:AR3431,MATCH($AV$27,AQ3421:AQ3431,0)))</f>
        <v/>
      </c>
      <c r="AW3420" s="1856" t="str">
        <f t="shared" ref="AW3420:AW3483" si="556">IF(AT3420="","",INDEX(AR3421:AR3431,MATCH($AW$27,AQ3421:AQ3431,0)))</f>
        <v/>
      </c>
      <c r="AX3420" s="1856" t="str">
        <f t="shared" ref="AX3420:AX3483" si="557">IF(AT3420="","",INDEX(AR3421:AR3431,MATCH($AX$27,AQ3421:AQ3431,0)))</f>
        <v/>
      </c>
      <c r="AY3420" s="1856" t="str">
        <f t="shared" ref="AY3420:AY3483" si="558">IF(AT3420="","",INDEX(AR3421:AR3431,MATCH($AY$27,AQ3421:AQ3431,0)))</f>
        <v/>
      </c>
    </row>
    <row r="3421" spans="42:51">
      <c r="AP3421" s="1855">
        <f t="shared" si="550"/>
        <v>44939</v>
      </c>
      <c r="AQ3421" s="925" t="str">
        <f t="shared" si="552"/>
        <v/>
      </c>
      <c r="AR3421" s="1856" t="str">
        <f t="shared" si="551"/>
        <v/>
      </c>
      <c r="AS3421" s="927">
        <v>13</v>
      </c>
      <c r="AT3421" s="1856">
        <f t="shared" si="553"/>
        <v>44939.290277777778</v>
      </c>
      <c r="AU3421" s="1856">
        <f t="shared" si="554"/>
        <v>44939.332638888889</v>
      </c>
      <c r="AV3421" s="1856">
        <f t="shared" si="555"/>
        <v>44939.739583333336</v>
      </c>
      <c r="AW3421" s="1856">
        <f t="shared" si="556"/>
        <v>44939.782638888886</v>
      </c>
      <c r="AX3421" s="1856" t="str">
        <f t="shared" si="557"/>
        <v>NONE</v>
      </c>
      <c r="AY3421" s="1856">
        <f t="shared" si="558"/>
        <v>44939.486805555556</v>
      </c>
    </row>
    <row r="3422" spans="42:51">
      <c r="AP3422" s="1855">
        <f t="shared" si="550"/>
        <v>44939</v>
      </c>
      <c r="AQ3422" s="925" t="str">
        <f t="shared" si="552"/>
        <v/>
      </c>
      <c r="AR3422" s="1856" t="str">
        <f t="shared" si="551"/>
        <v/>
      </c>
      <c r="AS3422" s="927" t="s">
        <v>252</v>
      </c>
      <c r="AT3422" s="1856" t="str">
        <f t="shared" si="553"/>
        <v/>
      </c>
      <c r="AU3422" s="1856" t="str">
        <f t="shared" si="554"/>
        <v/>
      </c>
      <c r="AV3422" s="1856" t="str">
        <f t="shared" si="555"/>
        <v/>
      </c>
      <c r="AW3422" s="1856" t="str">
        <f t="shared" si="556"/>
        <v/>
      </c>
      <c r="AX3422" s="1856" t="str">
        <f t="shared" si="557"/>
        <v/>
      </c>
      <c r="AY3422" s="1856" t="str">
        <f t="shared" si="558"/>
        <v/>
      </c>
    </row>
    <row r="3423" spans="42:51">
      <c r="AP3423" s="1855">
        <f t="shared" si="550"/>
        <v>44939</v>
      </c>
      <c r="AQ3423" s="925" t="str">
        <f t="shared" si="552"/>
        <v/>
      </c>
      <c r="AR3423" s="1856" t="str">
        <f t="shared" si="551"/>
        <v/>
      </c>
      <c r="AT3423" s="1856" t="str">
        <f t="shared" si="553"/>
        <v/>
      </c>
      <c r="AU3423" s="1856" t="str">
        <f t="shared" si="554"/>
        <v/>
      </c>
      <c r="AV3423" s="1856" t="str">
        <f t="shared" si="555"/>
        <v/>
      </c>
      <c r="AW3423" s="1856" t="str">
        <f t="shared" si="556"/>
        <v/>
      </c>
      <c r="AX3423" s="1856" t="str">
        <f t="shared" si="557"/>
        <v/>
      </c>
      <c r="AY3423" s="1856" t="str">
        <f t="shared" si="558"/>
        <v/>
      </c>
    </row>
    <row r="3424" spans="42:51">
      <c r="AP3424" s="1855">
        <f t="shared" si="550"/>
        <v>44939</v>
      </c>
      <c r="AQ3424" s="925" t="str">
        <f t="shared" si="552"/>
        <v>BMNT</v>
      </c>
      <c r="AR3424" s="1856">
        <f t="shared" si="551"/>
        <v>44939.290277777778</v>
      </c>
      <c r="AS3424" s="927" t="s">
        <v>814</v>
      </c>
      <c r="AT3424" s="1856" t="str">
        <f t="shared" si="553"/>
        <v/>
      </c>
      <c r="AU3424" s="1856" t="str">
        <f t="shared" si="554"/>
        <v/>
      </c>
      <c r="AV3424" s="1856" t="str">
        <f t="shared" si="555"/>
        <v/>
      </c>
      <c r="AW3424" s="1856" t="str">
        <f t="shared" si="556"/>
        <v/>
      </c>
      <c r="AX3424" s="1856" t="str">
        <f t="shared" si="557"/>
        <v/>
      </c>
      <c r="AY3424" s="1856" t="str">
        <f t="shared" si="558"/>
        <v/>
      </c>
    </row>
    <row r="3425" spans="42:51">
      <c r="AP3425" s="1855">
        <f t="shared" si="550"/>
        <v>44939</v>
      </c>
      <c r="AQ3425" s="925" t="str">
        <f t="shared" si="552"/>
        <v>SR</v>
      </c>
      <c r="AR3425" s="1856">
        <f t="shared" si="551"/>
        <v>44939.332638888889</v>
      </c>
      <c r="AS3425" s="927" t="s">
        <v>984</v>
      </c>
      <c r="AT3425" s="1856" t="str">
        <f t="shared" si="553"/>
        <v/>
      </c>
      <c r="AU3425" s="1856" t="str">
        <f t="shared" si="554"/>
        <v/>
      </c>
      <c r="AV3425" s="1856" t="str">
        <f t="shared" si="555"/>
        <v/>
      </c>
      <c r="AW3425" s="1856" t="str">
        <f t="shared" si="556"/>
        <v/>
      </c>
      <c r="AX3425" s="1856" t="str">
        <f t="shared" si="557"/>
        <v/>
      </c>
      <c r="AY3425" s="1856" t="str">
        <f t="shared" si="558"/>
        <v/>
      </c>
    </row>
    <row r="3426" spans="42:51">
      <c r="AP3426" s="1855">
        <f t="shared" si="550"/>
        <v>44939</v>
      </c>
      <c r="AQ3426" s="925" t="str">
        <f t="shared" si="552"/>
        <v>MS</v>
      </c>
      <c r="AR3426" s="1856">
        <f t="shared" si="551"/>
        <v>44939.486805555556</v>
      </c>
      <c r="AS3426" s="927" t="s">
        <v>2458</v>
      </c>
      <c r="AT3426" s="1856" t="str">
        <f t="shared" si="553"/>
        <v/>
      </c>
      <c r="AU3426" s="1856" t="str">
        <f t="shared" si="554"/>
        <v/>
      </c>
      <c r="AV3426" s="1856" t="str">
        <f t="shared" si="555"/>
        <v/>
      </c>
      <c r="AW3426" s="1856" t="str">
        <f t="shared" si="556"/>
        <v/>
      </c>
      <c r="AX3426" s="1856" t="str">
        <f t="shared" si="557"/>
        <v/>
      </c>
      <c r="AY3426" s="1856" t="str">
        <f t="shared" si="558"/>
        <v/>
      </c>
    </row>
    <row r="3427" spans="42:51">
      <c r="AP3427" s="1855">
        <f t="shared" si="550"/>
        <v>44939</v>
      </c>
      <c r="AQ3427" s="925" t="str">
        <f t="shared" si="552"/>
        <v>SS</v>
      </c>
      <c r="AR3427" s="1856">
        <f t="shared" si="551"/>
        <v>44939.739583333336</v>
      </c>
      <c r="AS3427" s="927" t="s">
        <v>1005</v>
      </c>
      <c r="AT3427" s="1856" t="str">
        <f t="shared" si="553"/>
        <v/>
      </c>
      <c r="AU3427" s="1856" t="str">
        <f t="shared" si="554"/>
        <v/>
      </c>
      <c r="AV3427" s="1856" t="str">
        <f t="shared" si="555"/>
        <v/>
      </c>
      <c r="AW3427" s="1856" t="str">
        <f t="shared" si="556"/>
        <v/>
      </c>
      <c r="AX3427" s="1856" t="str">
        <f t="shared" si="557"/>
        <v/>
      </c>
      <c r="AY3427" s="1856" t="str">
        <f t="shared" si="558"/>
        <v/>
      </c>
    </row>
    <row r="3428" spans="42:51">
      <c r="AP3428" s="1855">
        <f t="shared" si="550"/>
        <v>44939</v>
      </c>
      <c r="AQ3428" s="925" t="str">
        <f t="shared" si="552"/>
        <v>EENT</v>
      </c>
      <c r="AR3428" s="1856">
        <f t="shared" si="551"/>
        <v>44939.782638888886</v>
      </c>
      <c r="AS3428" s="927" t="s">
        <v>1019</v>
      </c>
      <c r="AT3428" s="1856" t="str">
        <f t="shared" si="553"/>
        <v/>
      </c>
      <c r="AU3428" s="1856" t="str">
        <f t="shared" si="554"/>
        <v/>
      </c>
      <c r="AV3428" s="1856" t="str">
        <f t="shared" si="555"/>
        <v/>
      </c>
      <c r="AW3428" s="1856" t="str">
        <f t="shared" si="556"/>
        <v/>
      </c>
      <c r="AX3428" s="1856" t="str">
        <f t="shared" si="557"/>
        <v/>
      </c>
      <c r="AY3428" s="1856" t="str">
        <f t="shared" si="558"/>
        <v/>
      </c>
    </row>
    <row r="3429" spans="42:51">
      <c r="AP3429" s="1855">
        <f t="shared" ref="AP3429:AP3492" si="559">IF(ISNUMBER(AS3429),AP3428+1,AP3428)</f>
        <v>44939</v>
      </c>
      <c r="AQ3429" s="925" t="str">
        <f t="shared" si="552"/>
        <v>MR</v>
      </c>
      <c r="AR3429" s="1856" t="str">
        <f t="shared" si="551"/>
        <v>NONE</v>
      </c>
      <c r="AS3429" s="927" t="s">
        <v>1153</v>
      </c>
      <c r="AT3429" s="1856" t="str">
        <f t="shared" si="553"/>
        <v/>
      </c>
      <c r="AU3429" s="1856" t="str">
        <f t="shared" si="554"/>
        <v/>
      </c>
      <c r="AV3429" s="1856" t="str">
        <f t="shared" si="555"/>
        <v/>
      </c>
      <c r="AW3429" s="1856" t="str">
        <f t="shared" si="556"/>
        <v/>
      </c>
      <c r="AX3429" s="1856" t="str">
        <f t="shared" si="557"/>
        <v/>
      </c>
      <c r="AY3429" s="1856" t="str">
        <f t="shared" si="558"/>
        <v/>
      </c>
    </row>
    <row r="3430" spans="42:51">
      <c r="AP3430" s="1855">
        <f t="shared" si="559"/>
        <v>44940</v>
      </c>
      <c r="AQ3430" s="925" t="str">
        <f t="shared" si="552"/>
        <v/>
      </c>
      <c r="AR3430" s="1856" t="str">
        <f t="shared" si="551"/>
        <v/>
      </c>
      <c r="AS3430" s="927">
        <v>14</v>
      </c>
      <c r="AT3430" s="1856">
        <f t="shared" si="553"/>
        <v>44940.290277777778</v>
      </c>
      <c r="AU3430" s="1856">
        <f t="shared" si="554"/>
        <v>44940.332638888889</v>
      </c>
      <c r="AV3430" s="1856">
        <f t="shared" si="555"/>
        <v>44940.740277777782</v>
      </c>
      <c r="AW3430" s="1856">
        <f t="shared" si="556"/>
        <v>44940.783333333333</v>
      </c>
      <c r="AX3430" s="1856">
        <f t="shared" si="557"/>
        <v>44940.009722222225</v>
      </c>
      <c r="AY3430" s="1856">
        <f t="shared" si="558"/>
        <v>44940.50277777778</v>
      </c>
    </row>
    <row r="3431" spans="42:51">
      <c r="AP3431" s="1855">
        <f t="shared" si="559"/>
        <v>44940</v>
      </c>
      <c r="AQ3431" s="925" t="str">
        <f t="shared" si="552"/>
        <v/>
      </c>
      <c r="AR3431" s="1856" t="str">
        <f t="shared" si="551"/>
        <v/>
      </c>
      <c r="AS3431" s="927" t="s">
        <v>252</v>
      </c>
      <c r="AT3431" s="1856" t="str">
        <f t="shared" si="553"/>
        <v/>
      </c>
      <c r="AU3431" s="1856" t="str">
        <f t="shared" si="554"/>
        <v/>
      </c>
      <c r="AV3431" s="1856" t="str">
        <f t="shared" si="555"/>
        <v/>
      </c>
      <c r="AW3431" s="1856" t="str">
        <f t="shared" si="556"/>
        <v/>
      </c>
      <c r="AX3431" s="1856" t="str">
        <f t="shared" si="557"/>
        <v/>
      </c>
      <c r="AY3431" s="1856" t="str">
        <f t="shared" si="558"/>
        <v/>
      </c>
    </row>
    <row r="3432" spans="42:51">
      <c r="AP3432" s="1855">
        <f t="shared" si="559"/>
        <v>44940</v>
      </c>
      <c r="AQ3432" s="925" t="str">
        <f t="shared" si="552"/>
        <v/>
      </c>
      <c r="AR3432" s="1856" t="str">
        <f t="shared" si="551"/>
        <v/>
      </c>
      <c r="AT3432" s="1856" t="str">
        <f t="shared" si="553"/>
        <v/>
      </c>
      <c r="AU3432" s="1856" t="str">
        <f t="shared" si="554"/>
        <v/>
      </c>
      <c r="AV3432" s="1856" t="str">
        <f t="shared" si="555"/>
        <v/>
      </c>
      <c r="AW3432" s="1856" t="str">
        <f t="shared" si="556"/>
        <v/>
      </c>
      <c r="AX3432" s="1856" t="str">
        <f t="shared" si="557"/>
        <v/>
      </c>
      <c r="AY3432" s="1856" t="str">
        <f t="shared" si="558"/>
        <v/>
      </c>
    </row>
    <row r="3433" spans="42:51">
      <c r="AP3433" s="1855">
        <f t="shared" si="559"/>
        <v>44940</v>
      </c>
      <c r="AQ3433" s="925" t="str">
        <f t="shared" si="552"/>
        <v>MR</v>
      </c>
      <c r="AR3433" s="1856">
        <f t="shared" ref="AR3433:AR3496" si="560">IF(NOT(ISNUMBER(FIND(":",AS3433))),"",IF(ISNUMBER(FIND(" none",AS3433)),"NONE",AP3433+LEFT(RIGHT(AS3433,5),2)/24+RIGHT(AS3433,2)/1440))</f>
        <v>44940.009722222225</v>
      </c>
      <c r="AS3433" s="927" t="s">
        <v>2459</v>
      </c>
      <c r="AT3433" s="1856" t="str">
        <f t="shared" si="553"/>
        <v/>
      </c>
      <c r="AU3433" s="1856" t="str">
        <f t="shared" si="554"/>
        <v/>
      </c>
      <c r="AV3433" s="1856" t="str">
        <f t="shared" si="555"/>
        <v/>
      </c>
      <c r="AW3433" s="1856" t="str">
        <f t="shared" si="556"/>
        <v/>
      </c>
      <c r="AX3433" s="1856" t="str">
        <f t="shared" si="557"/>
        <v/>
      </c>
      <c r="AY3433" s="1856" t="str">
        <f t="shared" si="558"/>
        <v/>
      </c>
    </row>
    <row r="3434" spans="42:51">
      <c r="AP3434" s="1855">
        <f t="shared" si="559"/>
        <v>44940</v>
      </c>
      <c r="AQ3434" s="925" t="str">
        <f t="shared" si="552"/>
        <v>BMNT</v>
      </c>
      <c r="AR3434" s="1856">
        <f t="shared" si="560"/>
        <v>44940.290277777778</v>
      </c>
      <c r="AS3434" s="927" t="s">
        <v>814</v>
      </c>
      <c r="AT3434" s="1856" t="str">
        <f t="shared" si="553"/>
        <v/>
      </c>
      <c r="AU3434" s="1856" t="str">
        <f t="shared" si="554"/>
        <v/>
      </c>
      <c r="AV3434" s="1856" t="str">
        <f t="shared" si="555"/>
        <v/>
      </c>
      <c r="AW3434" s="1856" t="str">
        <f t="shared" si="556"/>
        <v/>
      </c>
      <c r="AX3434" s="1856" t="str">
        <f t="shared" si="557"/>
        <v/>
      </c>
      <c r="AY3434" s="1856" t="str">
        <f t="shared" si="558"/>
        <v/>
      </c>
    </row>
    <row r="3435" spans="42:51">
      <c r="AP3435" s="1855">
        <f t="shared" si="559"/>
        <v>44940</v>
      </c>
      <c r="AQ3435" s="925" t="str">
        <f t="shared" si="552"/>
        <v>SR</v>
      </c>
      <c r="AR3435" s="1856">
        <f t="shared" si="560"/>
        <v>44940.332638888889</v>
      </c>
      <c r="AS3435" s="927" t="s">
        <v>984</v>
      </c>
      <c r="AT3435" s="1856" t="str">
        <f t="shared" si="553"/>
        <v/>
      </c>
      <c r="AU3435" s="1856" t="str">
        <f t="shared" si="554"/>
        <v/>
      </c>
      <c r="AV3435" s="1856" t="str">
        <f t="shared" si="555"/>
        <v/>
      </c>
      <c r="AW3435" s="1856" t="str">
        <f t="shared" si="556"/>
        <v/>
      </c>
      <c r="AX3435" s="1856" t="str">
        <f t="shared" si="557"/>
        <v/>
      </c>
      <c r="AY3435" s="1856" t="str">
        <f t="shared" si="558"/>
        <v/>
      </c>
    </row>
    <row r="3436" spans="42:51">
      <c r="AP3436" s="1855">
        <f t="shared" si="559"/>
        <v>44940</v>
      </c>
      <c r="AQ3436" s="925" t="str">
        <f t="shared" si="552"/>
        <v>MS</v>
      </c>
      <c r="AR3436" s="1856">
        <f t="shared" si="560"/>
        <v>44940.50277777778</v>
      </c>
      <c r="AS3436" s="927" t="s">
        <v>2460</v>
      </c>
      <c r="AT3436" s="1856" t="str">
        <f t="shared" si="553"/>
        <v/>
      </c>
      <c r="AU3436" s="1856" t="str">
        <f t="shared" si="554"/>
        <v/>
      </c>
      <c r="AV3436" s="1856" t="str">
        <f t="shared" si="555"/>
        <v/>
      </c>
      <c r="AW3436" s="1856" t="str">
        <f t="shared" si="556"/>
        <v/>
      </c>
      <c r="AX3436" s="1856" t="str">
        <f t="shared" si="557"/>
        <v/>
      </c>
      <c r="AY3436" s="1856" t="str">
        <f t="shared" si="558"/>
        <v/>
      </c>
    </row>
    <row r="3437" spans="42:51">
      <c r="AP3437" s="1855">
        <f t="shared" si="559"/>
        <v>44940</v>
      </c>
      <c r="AQ3437" s="925" t="str">
        <f t="shared" si="552"/>
        <v>SS</v>
      </c>
      <c r="AR3437" s="1856">
        <f t="shared" si="560"/>
        <v>44940.740277777782</v>
      </c>
      <c r="AS3437" s="927" t="s">
        <v>1017</v>
      </c>
      <c r="AT3437" s="1856" t="str">
        <f t="shared" si="553"/>
        <v/>
      </c>
      <c r="AU3437" s="1856" t="str">
        <f t="shared" si="554"/>
        <v/>
      </c>
      <c r="AV3437" s="1856" t="str">
        <f t="shared" si="555"/>
        <v/>
      </c>
      <c r="AW3437" s="1856" t="str">
        <f t="shared" si="556"/>
        <v/>
      </c>
      <c r="AX3437" s="1856" t="str">
        <f t="shared" si="557"/>
        <v/>
      </c>
      <c r="AY3437" s="1856" t="str">
        <f t="shared" si="558"/>
        <v/>
      </c>
    </row>
    <row r="3438" spans="42:51">
      <c r="AP3438" s="1855">
        <f t="shared" si="559"/>
        <v>44940</v>
      </c>
      <c r="AQ3438" s="925" t="str">
        <f t="shared" si="552"/>
        <v>EENT</v>
      </c>
      <c r="AR3438" s="1856">
        <f t="shared" si="560"/>
        <v>44940.783333333333</v>
      </c>
      <c r="AS3438" s="927" t="s">
        <v>1031</v>
      </c>
      <c r="AT3438" s="1856" t="str">
        <f t="shared" si="553"/>
        <v/>
      </c>
      <c r="AU3438" s="1856" t="str">
        <f t="shared" si="554"/>
        <v/>
      </c>
      <c r="AV3438" s="1856" t="str">
        <f t="shared" si="555"/>
        <v/>
      </c>
      <c r="AW3438" s="1856" t="str">
        <f t="shared" si="556"/>
        <v/>
      </c>
      <c r="AX3438" s="1856" t="str">
        <f t="shared" si="557"/>
        <v/>
      </c>
      <c r="AY3438" s="1856" t="str">
        <f t="shared" si="558"/>
        <v/>
      </c>
    </row>
    <row r="3439" spans="42:51">
      <c r="AP3439" s="1855">
        <f t="shared" si="559"/>
        <v>44941</v>
      </c>
      <c r="AQ3439" s="925" t="str">
        <f t="shared" si="552"/>
        <v/>
      </c>
      <c r="AR3439" s="1856" t="str">
        <f t="shared" si="560"/>
        <v/>
      </c>
      <c r="AS3439" s="927">
        <v>15</v>
      </c>
      <c r="AT3439" s="1856">
        <f t="shared" si="553"/>
        <v>44941.289583333331</v>
      </c>
      <c r="AU3439" s="1856">
        <f t="shared" si="554"/>
        <v>44941.332638888889</v>
      </c>
      <c r="AV3439" s="1856">
        <f t="shared" si="555"/>
        <v>44941.740972222222</v>
      </c>
      <c r="AW3439" s="1856">
        <f t="shared" si="556"/>
        <v>44941.78402777778</v>
      </c>
      <c r="AX3439" s="1856">
        <f t="shared" si="557"/>
        <v>44941.053472222222</v>
      </c>
      <c r="AY3439" s="1856">
        <f t="shared" si="558"/>
        <v>44941.520138888889</v>
      </c>
    </row>
    <row r="3440" spans="42:51">
      <c r="AP3440" s="1855">
        <f t="shared" si="559"/>
        <v>44941</v>
      </c>
      <c r="AQ3440" s="925" t="str">
        <f t="shared" si="552"/>
        <v/>
      </c>
      <c r="AR3440" s="1856" t="str">
        <f t="shared" si="560"/>
        <v/>
      </c>
      <c r="AS3440" s="927" t="s">
        <v>252</v>
      </c>
      <c r="AT3440" s="1856" t="str">
        <f t="shared" si="553"/>
        <v/>
      </c>
      <c r="AU3440" s="1856" t="str">
        <f t="shared" si="554"/>
        <v/>
      </c>
      <c r="AV3440" s="1856" t="str">
        <f t="shared" si="555"/>
        <v/>
      </c>
      <c r="AW3440" s="1856" t="str">
        <f t="shared" si="556"/>
        <v/>
      </c>
      <c r="AX3440" s="1856" t="str">
        <f t="shared" si="557"/>
        <v/>
      </c>
      <c r="AY3440" s="1856" t="str">
        <f t="shared" si="558"/>
        <v/>
      </c>
    </row>
    <row r="3441" spans="42:51">
      <c r="AP3441" s="1855">
        <f t="shared" si="559"/>
        <v>44941</v>
      </c>
      <c r="AQ3441" s="925" t="str">
        <f t="shared" si="552"/>
        <v/>
      </c>
      <c r="AR3441" s="1856" t="str">
        <f t="shared" si="560"/>
        <v/>
      </c>
      <c r="AT3441" s="1856" t="str">
        <f t="shared" si="553"/>
        <v/>
      </c>
      <c r="AU3441" s="1856" t="str">
        <f t="shared" si="554"/>
        <v/>
      </c>
      <c r="AV3441" s="1856" t="str">
        <f t="shared" si="555"/>
        <v/>
      </c>
      <c r="AW3441" s="1856" t="str">
        <f t="shared" si="556"/>
        <v/>
      </c>
      <c r="AX3441" s="1856" t="str">
        <f t="shared" si="557"/>
        <v/>
      </c>
      <c r="AY3441" s="1856" t="str">
        <f t="shared" si="558"/>
        <v/>
      </c>
    </row>
    <row r="3442" spans="42:51">
      <c r="AP3442" s="1855">
        <f t="shared" si="559"/>
        <v>44941</v>
      </c>
      <c r="AQ3442" s="925" t="str">
        <f t="shared" si="552"/>
        <v>MR</v>
      </c>
      <c r="AR3442" s="1856">
        <f t="shared" si="560"/>
        <v>44941.053472222222</v>
      </c>
      <c r="AS3442" s="927" t="s">
        <v>2461</v>
      </c>
      <c r="AT3442" s="1856" t="str">
        <f t="shared" si="553"/>
        <v/>
      </c>
      <c r="AU3442" s="1856" t="str">
        <f t="shared" si="554"/>
        <v/>
      </c>
      <c r="AV3442" s="1856" t="str">
        <f t="shared" si="555"/>
        <v/>
      </c>
      <c r="AW3442" s="1856" t="str">
        <f t="shared" si="556"/>
        <v/>
      </c>
      <c r="AX3442" s="1856" t="str">
        <f t="shared" si="557"/>
        <v/>
      </c>
      <c r="AY3442" s="1856" t="str">
        <f t="shared" si="558"/>
        <v/>
      </c>
    </row>
    <row r="3443" spans="42:51">
      <c r="AP3443" s="1855">
        <f t="shared" si="559"/>
        <v>44941</v>
      </c>
      <c r="AQ3443" s="925" t="str">
        <f t="shared" si="552"/>
        <v>BMNT</v>
      </c>
      <c r="AR3443" s="1856">
        <f t="shared" si="560"/>
        <v>44941.289583333331</v>
      </c>
      <c r="AS3443" s="927" t="s">
        <v>756</v>
      </c>
      <c r="AT3443" s="1856" t="str">
        <f t="shared" si="553"/>
        <v/>
      </c>
      <c r="AU3443" s="1856" t="str">
        <f t="shared" si="554"/>
        <v/>
      </c>
      <c r="AV3443" s="1856" t="str">
        <f t="shared" si="555"/>
        <v/>
      </c>
      <c r="AW3443" s="1856" t="str">
        <f t="shared" si="556"/>
        <v/>
      </c>
      <c r="AX3443" s="1856" t="str">
        <f t="shared" si="557"/>
        <v/>
      </c>
      <c r="AY3443" s="1856" t="str">
        <f t="shared" si="558"/>
        <v/>
      </c>
    </row>
    <row r="3444" spans="42:51">
      <c r="AP3444" s="1855">
        <f t="shared" si="559"/>
        <v>44941</v>
      </c>
      <c r="AQ3444" s="925" t="str">
        <f t="shared" ref="AQ3444:AQ3507" si="561">IF(NOT(ISNUMBER(FIND(":",AS3444))),"",IF(ISNUMBER(FIND("Sunr",AS3444)),"SR", IF(ISNUMBER(FIND("Suns",AS3444)),"SS",IF(ISNUMBER(FIND("Moonr",AS3444)),"MR",IF(ISNUMBER(FIND("Moons",AS3444)),"MS",IF(ISNUMBER(FIND("Twi",AS3444)),IF(HOUR(AR3444)&lt;12,"BMNT","EENT")))))))</f>
        <v>SR</v>
      </c>
      <c r="AR3444" s="1856">
        <f t="shared" si="560"/>
        <v>44941.332638888889</v>
      </c>
      <c r="AS3444" s="927" t="s">
        <v>984</v>
      </c>
      <c r="AT3444" s="1856" t="str">
        <f t="shared" si="553"/>
        <v/>
      </c>
      <c r="AU3444" s="1856" t="str">
        <f t="shared" si="554"/>
        <v/>
      </c>
      <c r="AV3444" s="1856" t="str">
        <f t="shared" si="555"/>
        <v/>
      </c>
      <c r="AW3444" s="1856" t="str">
        <f t="shared" si="556"/>
        <v/>
      </c>
      <c r="AX3444" s="1856" t="str">
        <f t="shared" si="557"/>
        <v/>
      </c>
      <c r="AY3444" s="1856" t="str">
        <f t="shared" si="558"/>
        <v/>
      </c>
    </row>
    <row r="3445" spans="42:51">
      <c r="AP3445" s="1855">
        <f t="shared" si="559"/>
        <v>44941</v>
      </c>
      <c r="AQ3445" s="925" t="str">
        <f t="shared" si="561"/>
        <v>MS</v>
      </c>
      <c r="AR3445" s="1856">
        <f t="shared" si="560"/>
        <v>44941.520138888889</v>
      </c>
      <c r="AS3445" s="927" t="s">
        <v>2462</v>
      </c>
      <c r="AT3445" s="1856" t="str">
        <f t="shared" si="553"/>
        <v/>
      </c>
      <c r="AU3445" s="1856" t="str">
        <f t="shared" si="554"/>
        <v/>
      </c>
      <c r="AV3445" s="1856" t="str">
        <f t="shared" si="555"/>
        <v/>
      </c>
      <c r="AW3445" s="1856" t="str">
        <f t="shared" si="556"/>
        <v/>
      </c>
      <c r="AX3445" s="1856" t="str">
        <f t="shared" si="557"/>
        <v/>
      </c>
      <c r="AY3445" s="1856" t="str">
        <f t="shared" si="558"/>
        <v/>
      </c>
    </row>
    <row r="3446" spans="42:51">
      <c r="AP3446" s="1855">
        <f t="shared" si="559"/>
        <v>44941</v>
      </c>
      <c r="AQ3446" s="925" t="str">
        <f t="shared" si="561"/>
        <v>SS</v>
      </c>
      <c r="AR3446" s="1856">
        <f t="shared" si="560"/>
        <v>44941.740972222222</v>
      </c>
      <c r="AS3446" s="927" t="s">
        <v>1029</v>
      </c>
      <c r="AT3446" s="1856" t="str">
        <f t="shared" si="553"/>
        <v/>
      </c>
      <c r="AU3446" s="1856" t="str">
        <f t="shared" si="554"/>
        <v/>
      </c>
      <c r="AV3446" s="1856" t="str">
        <f t="shared" si="555"/>
        <v/>
      </c>
      <c r="AW3446" s="1856" t="str">
        <f t="shared" si="556"/>
        <v/>
      </c>
      <c r="AX3446" s="1856" t="str">
        <f t="shared" si="557"/>
        <v/>
      </c>
      <c r="AY3446" s="1856" t="str">
        <f t="shared" si="558"/>
        <v/>
      </c>
    </row>
    <row r="3447" spans="42:51">
      <c r="AP3447" s="1855">
        <f t="shared" si="559"/>
        <v>44941</v>
      </c>
      <c r="AQ3447" s="925" t="str">
        <f t="shared" si="561"/>
        <v>EENT</v>
      </c>
      <c r="AR3447" s="1856">
        <f t="shared" si="560"/>
        <v>44941.78402777778</v>
      </c>
      <c r="AS3447" s="927" t="s">
        <v>1047</v>
      </c>
      <c r="AT3447" s="1856" t="str">
        <f t="shared" si="553"/>
        <v/>
      </c>
      <c r="AU3447" s="1856" t="str">
        <f t="shared" si="554"/>
        <v/>
      </c>
      <c r="AV3447" s="1856" t="str">
        <f t="shared" si="555"/>
        <v/>
      </c>
      <c r="AW3447" s="1856" t="str">
        <f t="shared" si="556"/>
        <v/>
      </c>
      <c r="AX3447" s="1856" t="str">
        <f t="shared" si="557"/>
        <v/>
      </c>
      <c r="AY3447" s="1856" t="str">
        <f t="shared" si="558"/>
        <v/>
      </c>
    </row>
    <row r="3448" spans="42:51">
      <c r="AP3448" s="1855">
        <f t="shared" si="559"/>
        <v>44942</v>
      </c>
      <c r="AQ3448" s="925" t="str">
        <f t="shared" si="561"/>
        <v/>
      </c>
      <c r="AR3448" s="1856" t="str">
        <f t="shared" si="560"/>
        <v/>
      </c>
      <c r="AS3448" s="927">
        <v>16</v>
      </c>
      <c r="AT3448" s="1856">
        <f t="shared" si="553"/>
        <v>44942.289583333331</v>
      </c>
      <c r="AU3448" s="1856">
        <f t="shared" si="554"/>
        <v>44942.331944444442</v>
      </c>
      <c r="AV3448" s="1856">
        <f t="shared" si="555"/>
        <v>44942.741666666669</v>
      </c>
      <c r="AW3448" s="1856">
        <f t="shared" si="556"/>
        <v>44942.78402777778</v>
      </c>
      <c r="AX3448" s="1856">
        <f t="shared" si="557"/>
        <v>44942.100000000006</v>
      </c>
      <c r="AY3448" s="1856">
        <f t="shared" si="558"/>
        <v>44942.540972222225</v>
      </c>
    </row>
    <row r="3449" spans="42:51">
      <c r="AP3449" s="1855">
        <f t="shared" si="559"/>
        <v>44942</v>
      </c>
      <c r="AQ3449" s="925" t="str">
        <f t="shared" si="561"/>
        <v/>
      </c>
      <c r="AR3449" s="1856" t="str">
        <f t="shared" si="560"/>
        <v/>
      </c>
      <c r="AS3449" s="927" t="s">
        <v>252</v>
      </c>
      <c r="AT3449" s="1856" t="str">
        <f t="shared" si="553"/>
        <v/>
      </c>
      <c r="AU3449" s="1856" t="str">
        <f t="shared" si="554"/>
        <v/>
      </c>
      <c r="AV3449" s="1856" t="str">
        <f t="shared" si="555"/>
        <v/>
      </c>
      <c r="AW3449" s="1856" t="str">
        <f t="shared" si="556"/>
        <v/>
      </c>
      <c r="AX3449" s="1856" t="str">
        <f t="shared" si="557"/>
        <v/>
      </c>
      <c r="AY3449" s="1856" t="str">
        <f t="shared" si="558"/>
        <v/>
      </c>
    </row>
    <row r="3450" spans="42:51">
      <c r="AP3450" s="1855">
        <f t="shared" si="559"/>
        <v>44942</v>
      </c>
      <c r="AQ3450" s="925" t="str">
        <f t="shared" si="561"/>
        <v/>
      </c>
      <c r="AR3450" s="1856" t="str">
        <f t="shared" si="560"/>
        <v/>
      </c>
      <c r="AT3450" s="1856" t="str">
        <f t="shared" si="553"/>
        <v/>
      </c>
      <c r="AU3450" s="1856" t="str">
        <f t="shared" si="554"/>
        <v/>
      </c>
      <c r="AV3450" s="1856" t="str">
        <f t="shared" si="555"/>
        <v/>
      </c>
      <c r="AW3450" s="1856" t="str">
        <f t="shared" si="556"/>
        <v/>
      </c>
      <c r="AX3450" s="1856" t="str">
        <f t="shared" si="557"/>
        <v/>
      </c>
      <c r="AY3450" s="1856" t="str">
        <f t="shared" si="558"/>
        <v/>
      </c>
    </row>
    <row r="3451" spans="42:51">
      <c r="AP3451" s="1855">
        <f t="shared" si="559"/>
        <v>44942</v>
      </c>
      <c r="AQ3451" s="925" t="str">
        <f t="shared" si="561"/>
        <v>MR</v>
      </c>
      <c r="AR3451" s="1856">
        <f t="shared" si="560"/>
        <v>44942.100000000006</v>
      </c>
      <c r="AS3451" s="927" t="s">
        <v>2019</v>
      </c>
      <c r="AT3451" s="1856" t="str">
        <f t="shared" si="553"/>
        <v/>
      </c>
      <c r="AU3451" s="1856" t="str">
        <f t="shared" si="554"/>
        <v/>
      </c>
      <c r="AV3451" s="1856" t="str">
        <f t="shared" si="555"/>
        <v/>
      </c>
      <c r="AW3451" s="1856" t="str">
        <f t="shared" si="556"/>
        <v/>
      </c>
      <c r="AX3451" s="1856" t="str">
        <f t="shared" si="557"/>
        <v/>
      </c>
      <c r="AY3451" s="1856" t="str">
        <f t="shared" si="558"/>
        <v/>
      </c>
    </row>
    <row r="3452" spans="42:51">
      <c r="AP3452" s="1855">
        <f t="shared" si="559"/>
        <v>44942</v>
      </c>
      <c r="AQ3452" s="925" t="str">
        <f t="shared" si="561"/>
        <v>BMNT</v>
      </c>
      <c r="AR3452" s="1856">
        <f t="shared" si="560"/>
        <v>44942.289583333331</v>
      </c>
      <c r="AS3452" s="927" t="s">
        <v>756</v>
      </c>
      <c r="AT3452" s="1856" t="str">
        <f t="shared" si="553"/>
        <v/>
      </c>
      <c r="AU3452" s="1856" t="str">
        <f t="shared" si="554"/>
        <v/>
      </c>
      <c r="AV3452" s="1856" t="str">
        <f t="shared" si="555"/>
        <v/>
      </c>
      <c r="AW3452" s="1856" t="str">
        <f t="shared" si="556"/>
        <v/>
      </c>
      <c r="AX3452" s="1856" t="str">
        <f t="shared" si="557"/>
        <v/>
      </c>
      <c r="AY3452" s="1856" t="str">
        <f t="shared" si="558"/>
        <v/>
      </c>
    </row>
    <row r="3453" spans="42:51">
      <c r="AP3453" s="1855">
        <f t="shared" si="559"/>
        <v>44942</v>
      </c>
      <c r="AQ3453" s="925" t="str">
        <f t="shared" si="561"/>
        <v>SR</v>
      </c>
      <c r="AR3453" s="1856">
        <f t="shared" si="560"/>
        <v>44942.331944444442</v>
      </c>
      <c r="AS3453" s="927" t="s">
        <v>1043</v>
      </c>
      <c r="AT3453" s="1856" t="str">
        <f t="shared" si="553"/>
        <v/>
      </c>
      <c r="AU3453" s="1856" t="str">
        <f t="shared" si="554"/>
        <v/>
      </c>
      <c r="AV3453" s="1856" t="str">
        <f t="shared" si="555"/>
        <v/>
      </c>
      <c r="AW3453" s="1856" t="str">
        <f t="shared" si="556"/>
        <v/>
      </c>
      <c r="AX3453" s="1856" t="str">
        <f t="shared" si="557"/>
        <v/>
      </c>
      <c r="AY3453" s="1856" t="str">
        <f t="shared" si="558"/>
        <v/>
      </c>
    </row>
    <row r="3454" spans="42:51">
      <c r="AP3454" s="1855">
        <f t="shared" si="559"/>
        <v>44942</v>
      </c>
      <c r="AQ3454" s="925" t="str">
        <f t="shared" si="561"/>
        <v>MS</v>
      </c>
      <c r="AR3454" s="1856">
        <f t="shared" si="560"/>
        <v>44942.540972222225</v>
      </c>
      <c r="AS3454" s="927" t="s">
        <v>2463</v>
      </c>
      <c r="AT3454" s="1856" t="str">
        <f t="shared" si="553"/>
        <v/>
      </c>
      <c r="AU3454" s="1856" t="str">
        <f t="shared" si="554"/>
        <v/>
      </c>
      <c r="AV3454" s="1856" t="str">
        <f t="shared" si="555"/>
        <v/>
      </c>
      <c r="AW3454" s="1856" t="str">
        <f t="shared" si="556"/>
        <v/>
      </c>
      <c r="AX3454" s="1856" t="str">
        <f t="shared" si="557"/>
        <v/>
      </c>
      <c r="AY3454" s="1856" t="str">
        <f t="shared" si="558"/>
        <v/>
      </c>
    </row>
    <row r="3455" spans="42:51">
      <c r="AP3455" s="1855">
        <f t="shared" si="559"/>
        <v>44942</v>
      </c>
      <c r="AQ3455" s="925" t="str">
        <f t="shared" si="561"/>
        <v>SS</v>
      </c>
      <c r="AR3455" s="1856">
        <f t="shared" si="560"/>
        <v>44942.741666666669</v>
      </c>
      <c r="AS3455" s="927" t="s">
        <v>1045</v>
      </c>
      <c r="AT3455" s="1856" t="str">
        <f t="shared" si="553"/>
        <v/>
      </c>
      <c r="AU3455" s="1856" t="str">
        <f t="shared" si="554"/>
        <v/>
      </c>
      <c r="AV3455" s="1856" t="str">
        <f t="shared" si="555"/>
        <v/>
      </c>
      <c r="AW3455" s="1856" t="str">
        <f t="shared" si="556"/>
        <v/>
      </c>
      <c r="AX3455" s="1856" t="str">
        <f t="shared" si="557"/>
        <v/>
      </c>
      <c r="AY3455" s="1856" t="str">
        <f t="shared" si="558"/>
        <v/>
      </c>
    </row>
    <row r="3456" spans="42:51">
      <c r="AP3456" s="1855">
        <f t="shared" si="559"/>
        <v>44942</v>
      </c>
      <c r="AQ3456" s="925" t="str">
        <f t="shared" si="561"/>
        <v>EENT</v>
      </c>
      <c r="AR3456" s="1856">
        <f t="shared" si="560"/>
        <v>44942.78402777778</v>
      </c>
      <c r="AS3456" s="927" t="s">
        <v>1047</v>
      </c>
      <c r="AT3456" s="1856" t="str">
        <f t="shared" si="553"/>
        <v/>
      </c>
      <c r="AU3456" s="1856" t="str">
        <f t="shared" si="554"/>
        <v/>
      </c>
      <c r="AV3456" s="1856" t="str">
        <f t="shared" si="555"/>
        <v/>
      </c>
      <c r="AW3456" s="1856" t="str">
        <f t="shared" si="556"/>
        <v/>
      </c>
      <c r="AX3456" s="1856" t="str">
        <f t="shared" si="557"/>
        <v/>
      </c>
      <c r="AY3456" s="1856" t="str">
        <f t="shared" si="558"/>
        <v/>
      </c>
    </row>
    <row r="3457" spans="42:51">
      <c r="AP3457" s="1855">
        <f t="shared" si="559"/>
        <v>44943</v>
      </c>
      <c r="AQ3457" s="925" t="str">
        <f t="shared" si="561"/>
        <v/>
      </c>
      <c r="AR3457" s="1856" t="str">
        <f t="shared" si="560"/>
        <v/>
      </c>
      <c r="AS3457" s="927">
        <v>17</v>
      </c>
      <c r="AT3457" s="1856">
        <f t="shared" si="553"/>
        <v>44943.289583333331</v>
      </c>
      <c r="AU3457" s="1856">
        <f t="shared" si="554"/>
        <v>44943.331944444442</v>
      </c>
      <c r="AV3457" s="1856">
        <f t="shared" si="555"/>
        <v>44943.742361111115</v>
      </c>
      <c r="AW3457" s="1856">
        <f t="shared" si="556"/>
        <v>44943.784722222219</v>
      </c>
      <c r="AX3457" s="1856">
        <f t="shared" si="557"/>
        <v>44943.149305555555</v>
      </c>
      <c r="AY3457" s="1856">
        <f t="shared" si="558"/>
        <v>44943.565277777772</v>
      </c>
    </row>
    <row r="3458" spans="42:51">
      <c r="AP3458" s="1855">
        <f t="shared" si="559"/>
        <v>44943</v>
      </c>
      <c r="AQ3458" s="925" t="str">
        <f t="shared" si="561"/>
        <v/>
      </c>
      <c r="AR3458" s="1856" t="str">
        <f t="shared" si="560"/>
        <v/>
      </c>
      <c r="AS3458" s="927" t="s">
        <v>252</v>
      </c>
      <c r="AT3458" s="1856" t="str">
        <f t="shared" si="553"/>
        <v/>
      </c>
      <c r="AU3458" s="1856" t="str">
        <f t="shared" si="554"/>
        <v/>
      </c>
      <c r="AV3458" s="1856" t="str">
        <f t="shared" si="555"/>
        <v/>
      </c>
      <c r="AW3458" s="1856" t="str">
        <f t="shared" si="556"/>
        <v/>
      </c>
      <c r="AX3458" s="1856" t="str">
        <f t="shared" si="557"/>
        <v/>
      </c>
      <c r="AY3458" s="1856" t="str">
        <f t="shared" si="558"/>
        <v/>
      </c>
    </row>
    <row r="3459" spans="42:51">
      <c r="AP3459" s="1855">
        <f t="shared" si="559"/>
        <v>44943</v>
      </c>
      <c r="AQ3459" s="925" t="str">
        <f t="shared" si="561"/>
        <v/>
      </c>
      <c r="AR3459" s="1856" t="str">
        <f t="shared" si="560"/>
        <v/>
      </c>
      <c r="AT3459" s="1856" t="str">
        <f t="shared" si="553"/>
        <v/>
      </c>
      <c r="AU3459" s="1856" t="str">
        <f t="shared" si="554"/>
        <v/>
      </c>
      <c r="AV3459" s="1856" t="str">
        <f t="shared" si="555"/>
        <v/>
      </c>
      <c r="AW3459" s="1856" t="str">
        <f t="shared" si="556"/>
        <v/>
      </c>
      <c r="AX3459" s="1856" t="str">
        <f t="shared" si="557"/>
        <v/>
      </c>
      <c r="AY3459" s="1856" t="str">
        <f t="shared" si="558"/>
        <v/>
      </c>
    </row>
    <row r="3460" spans="42:51">
      <c r="AP3460" s="1855">
        <f t="shared" si="559"/>
        <v>44943</v>
      </c>
      <c r="AQ3460" s="925" t="str">
        <f t="shared" si="561"/>
        <v>MR</v>
      </c>
      <c r="AR3460" s="1856">
        <f t="shared" si="560"/>
        <v>44943.149305555555</v>
      </c>
      <c r="AS3460" s="927" t="s">
        <v>2464</v>
      </c>
      <c r="AT3460" s="1856" t="str">
        <f t="shared" si="553"/>
        <v/>
      </c>
      <c r="AU3460" s="1856" t="str">
        <f t="shared" si="554"/>
        <v/>
      </c>
      <c r="AV3460" s="1856" t="str">
        <f t="shared" si="555"/>
        <v/>
      </c>
      <c r="AW3460" s="1856" t="str">
        <f t="shared" si="556"/>
        <v/>
      </c>
      <c r="AX3460" s="1856" t="str">
        <f t="shared" si="557"/>
        <v/>
      </c>
      <c r="AY3460" s="1856" t="str">
        <f t="shared" si="558"/>
        <v/>
      </c>
    </row>
    <row r="3461" spans="42:51">
      <c r="AP3461" s="1855">
        <f t="shared" si="559"/>
        <v>44943</v>
      </c>
      <c r="AQ3461" s="925" t="str">
        <f t="shared" si="561"/>
        <v>BMNT</v>
      </c>
      <c r="AR3461" s="1856">
        <f t="shared" si="560"/>
        <v>44943.289583333331</v>
      </c>
      <c r="AS3461" s="927" t="s">
        <v>756</v>
      </c>
      <c r="AT3461" s="1856" t="str">
        <f t="shared" si="553"/>
        <v/>
      </c>
      <c r="AU3461" s="1856" t="str">
        <f t="shared" si="554"/>
        <v/>
      </c>
      <c r="AV3461" s="1856" t="str">
        <f t="shared" si="555"/>
        <v/>
      </c>
      <c r="AW3461" s="1856" t="str">
        <f t="shared" si="556"/>
        <v/>
      </c>
      <c r="AX3461" s="1856" t="str">
        <f t="shared" si="557"/>
        <v/>
      </c>
      <c r="AY3461" s="1856" t="str">
        <f t="shared" si="558"/>
        <v/>
      </c>
    </row>
    <row r="3462" spans="42:51">
      <c r="AP3462" s="1855">
        <f t="shared" si="559"/>
        <v>44943</v>
      </c>
      <c r="AQ3462" s="925" t="str">
        <f t="shared" si="561"/>
        <v>SR</v>
      </c>
      <c r="AR3462" s="1856">
        <f t="shared" si="560"/>
        <v>44943.331944444442</v>
      </c>
      <c r="AS3462" s="927" t="s">
        <v>1043</v>
      </c>
      <c r="AT3462" s="1856" t="str">
        <f t="shared" si="553"/>
        <v/>
      </c>
      <c r="AU3462" s="1856" t="str">
        <f t="shared" si="554"/>
        <v/>
      </c>
      <c r="AV3462" s="1856" t="str">
        <f t="shared" si="555"/>
        <v/>
      </c>
      <c r="AW3462" s="1856" t="str">
        <f t="shared" si="556"/>
        <v/>
      </c>
      <c r="AX3462" s="1856" t="str">
        <f t="shared" si="557"/>
        <v/>
      </c>
      <c r="AY3462" s="1856" t="str">
        <f t="shared" si="558"/>
        <v/>
      </c>
    </row>
    <row r="3463" spans="42:51">
      <c r="AP3463" s="1855">
        <f t="shared" si="559"/>
        <v>44943</v>
      </c>
      <c r="AQ3463" s="925" t="str">
        <f t="shared" si="561"/>
        <v>MS</v>
      </c>
      <c r="AR3463" s="1856">
        <f t="shared" si="560"/>
        <v>44943.565277777772</v>
      </c>
      <c r="AS3463" s="927" t="s">
        <v>2465</v>
      </c>
      <c r="AT3463" s="1856" t="str">
        <f t="shared" si="553"/>
        <v/>
      </c>
      <c r="AU3463" s="1856" t="str">
        <f t="shared" si="554"/>
        <v/>
      </c>
      <c r="AV3463" s="1856" t="str">
        <f t="shared" si="555"/>
        <v/>
      </c>
      <c r="AW3463" s="1856" t="str">
        <f t="shared" si="556"/>
        <v/>
      </c>
      <c r="AX3463" s="1856" t="str">
        <f t="shared" si="557"/>
        <v/>
      </c>
      <c r="AY3463" s="1856" t="str">
        <f t="shared" si="558"/>
        <v/>
      </c>
    </row>
    <row r="3464" spans="42:51">
      <c r="AP3464" s="1855">
        <f t="shared" si="559"/>
        <v>44943</v>
      </c>
      <c r="AQ3464" s="925" t="str">
        <f t="shared" si="561"/>
        <v>SS</v>
      </c>
      <c r="AR3464" s="1856">
        <f t="shared" si="560"/>
        <v>44943.742361111115</v>
      </c>
      <c r="AS3464" s="927" t="s">
        <v>1058</v>
      </c>
      <c r="AT3464" s="1856" t="str">
        <f t="shared" si="553"/>
        <v/>
      </c>
      <c r="AU3464" s="1856" t="str">
        <f t="shared" si="554"/>
        <v/>
      </c>
      <c r="AV3464" s="1856" t="str">
        <f t="shared" si="555"/>
        <v/>
      </c>
      <c r="AW3464" s="1856" t="str">
        <f t="shared" si="556"/>
        <v/>
      </c>
      <c r="AX3464" s="1856" t="str">
        <f t="shared" si="557"/>
        <v/>
      </c>
      <c r="AY3464" s="1856" t="str">
        <f t="shared" si="558"/>
        <v/>
      </c>
    </row>
    <row r="3465" spans="42:51">
      <c r="AP3465" s="1855">
        <f t="shared" si="559"/>
        <v>44943</v>
      </c>
      <c r="AQ3465" s="925" t="str">
        <f t="shared" si="561"/>
        <v>EENT</v>
      </c>
      <c r="AR3465" s="1856">
        <f t="shared" si="560"/>
        <v>44943.784722222219</v>
      </c>
      <c r="AS3465" s="927" t="s">
        <v>1059</v>
      </c>
      <c r="AT3465" s="1856" t="str">
        <f t="shared" si="553"/>
        <v/>
      </c>
      <c r="AU3465" s="1856" t="str">
        <f t="shared" si="554"/>
        <v/>
      </c>
      <c r="AV3465" s="1856" t="str">
        <f t="shared" si="555"/>
        <v/>
      </c>
      <c r="AW3465" s="1856" t="str">
        <f t="shared" si="556"/>
        <v/>
      </c>
      <c r="AX3465" s="1856" t="str">
        <f t="shared" si="557"/>
        <v/>
      </c>
      <c r="AY3465" s="1856" t="str">
        <f t="shared" si="558"/>
        <v/>
      </c>
    </row>
    <row r="3466" spans="42:51">
      <c r="AP3466" s="1855">
        <f t="shared" si="559"/>
        <v>44944</v>
      </c>
      <c r="AQ3466" s="925" t="str">
        <f t="shared" si="561"/>
        <v/>
      </c>
      <c r="AR3466" s="1856" t="str">
        <f t="shared" si="560"/>
        <v/>
      </c>
      <c r="AS3466" s="927">
        <v>18</v>
      </c>
      <c r="AT3466" s="1856">
        <f t="shared" si="553"/>
        <v>44944.289583333331</v>
      </c>
      <c r="AU3466" s="1856">
        <f t="shared" si="554"/>
        <v>44944.331249999996</v>
      </c>
      <c r="AV3466" s="1856">
        <f t="shared" si="555"/>
        <v>44944.743750000001</v>
      </c>
      <c r="AW3466" s="1856">
        <f t="shared" si="556"/>
        <v>44944.785416666666</v>
      </c>
      <c r="AX3466" s="1856">
        <f t="shared" si="557"/>
        <v>44944.200694444444</v>
      </c>
      <c r="AY3466" s="1856">
        <f t="shared" si="558"/>
        <v>44944.597222222226</v>
      </c>
    </row>
    <row r="3467" spans="42:51">
      <c r="AP3467" s="1855">
        <f t="shared" si="559"/>
        <v>44944</v>
      </c>
      <c r="AQ3467" s="925" t="str">
        <f t="shared" si="561"/>
        <v/>
      </c>
      <c r="AR3467" s="1856" t="str">
        <f t="shared" si="560"/>
        <v/>
      </c>
      <c r="AS3467" s="927" t="s">
        <v>252</v>
      </c>
      <c r="AT3467" s="1856" t="str">
        <f t="shared" si="553"/>
        <v/>
      </c>
      <c r="AU3467" s="1856" t="str">
        <f t="shared" si="554"/>
        <v/>
      </c>
      <c r="AV3467" s="1856" t="str">
        <f t="shared" si="555"/>
        <v/>
      </c>
      <c r="AW3467" s="1856" t="str">
        <f t="shared" si="556"/>
        <v/>
      </c>
      <c r="AX3467" s="1856" t="str">
        <f t="shared" si="557"/>
        <v/>
      </c>
      <c r="AY3467" s="1856" t="str">
        <f t="shared" si="558"/>
        <v/>
      </c>
    </row>
    <row r="3468" spans="42:51">
      <c r="AP3468" s="1855">
        <f t="shared" si="559"/>
        <v>44944</v>
      </c>
      <c r="AQ3468" s="925" t="str">
        <f t="shared" si="561"/>
        <v/>
      </c>
      <c r="AR3468" s="1856" t="str">
        <f t="shared" si="560"/>
        <v/>
      </c>
      <c r="AT3468" s="1856" t="str">
        <f t="shared" si="553"/>
        <v/>
      </c>
      <c r="AU3468" s="1856" t="str">
        <f t="shared" si="554"/>
        <v/>
      </c>
      <c r="AV3468" s="1856" t="str">
        <f t="shared" si="555"/>
        <v/>
      </c>
      <c r="AW3468" s="1856" t="str">
        <f t="shared" si="556"/>
        <v/>
      </c>
      <c r="AX3468" s="1856" t="str">
        <f t="shared" si="557"/>
        <v/>
      </c>
      <c r="AY3468" s="1856" t="str">
        <f t="shared" si="558"/>
        <v/>
      </c>
    </row>
    <row r="3469" spans="42:51">
      <c r="AP3469" s="1855">
        <f t="shared" si="559"/>
        <v>44944</v>
      </c>
      <c r="AQ3469" s="925" t="str">
        <f t="shared" si="561"/>
        <v>MR</v>
      </c>
      <c r="AR3469" s="1856">
        <f t="shared" si="560"/>
        <v>44944.200694444444</v>
      </c>
      <c r="AS3469" s="927" t="s">
        <v>2466</v>
      </c>
      <c r="AT3469" s="1856" t="str">
        <f t="shared" si="553"/>
        <v/>
      </c>
      <c r="AU3469" s="1856" t="str">
        <f t="shared" si="554"/>
        <v/>
      </c>
      <c r="AV3469" s="1856" t="str">
        <f t="shared" si="555"/>
        <v/>
      </c>
      <c r="AW3469" s="1856" t="str">
        <f t="shared" si="556"/>
        <v/>
      </c>
      <c r="AX3469" s="1856" t="str">
        <f t="shared" si="557"/>
        <v/>
      </c>
      <c r="AY3469" s="1856" t="str">
        <f t="shared" si="558"/>
        <v/>
      </c>
    </row>
    <row r="3470" spans="42:51">
      <c r="AP3470" s="1855">
        <f t="shared" si="559"/>
        <v>44944</v>
      </c>
      <c r="AQ3470" s="925" t="str">
        <f t="shared" si="561"/>
        <v>BMNT</v>
      </c>
      <c r="AR3470" s="1856">
        <f t="shared" si="560"/>
        <v>44944.289583333331</v>
      </c>
      <c r="AS3470" s="927" t="s">
        <v>756</v>
      </c>
      <c r="AT3470" s="1856" t="str">
        <f t="shared" si="553"/>
        <v/>
      </c>
      <c r="AU3470" s="1856" t="str">
        <f t="shared" si="554"/>
        <v/>
      </c>
      <c r="AV3470" s="1856" t="str">
        <f t="shared" si="555"/>
        <v/>
      </c>
      <c r="AW3470" s="1856" t="str">
        <f t="shared" si="556"/>
        <v/>
      </c>
      <c r="AX3470" s="1856" t="str">
        <f t="shared" si="557"/>
        <v/>
      </c>
      <c r="AY3470" s="1856" t="str">
        <f t="shared" si="558"/>
        <v/>
      </c>
    </row>
    <row r="3471" spans="42:51">
      <c r="AP3471" s="1855">
        <f t="shared" si="559"/>
        <v>44944</v>
      </c>
      <c r="AQ3471" s="925" t="str">
        <f t="shared" si="561"/>
        <v>SR</v>
      </c>
      <c r="AR3471" s="1856">
        <f t="shared" si="560"/>
        <v>44944.331249999996</v>
      </c>
      <c r="AS3471" s="927" t="s">
        <v>1074</v>
      </c>
      <c r="AT3471" s="1856" t="str">
        <f t="shared" si="553"/>
        <v/>
      </c>
      <c r="AU3471" s="1856" t="str">
        <f t="shared" si="554"/>
        <v/>
      </c>
      <c r="AV3471" s="1856" t="str">
        <f t="shared" si="555"/>
        <v/>
      </c>
      <c r="AW3471" s="1856" t="str">
        <f t="shared" si="556"/>
        <v/>
      </c>
      <c r="AX3471" s="1856" t="str">
        <f t="shared" si="557"/>
        <v/>
      </c>
      <c r="AY3471" s="1856" t="str">
        <f t="shared" si="558"/>
        <v/>
      </c>
    </row>
    <row r="3472" spans="42:51">
      <c r="AP3472" s="1855">
        <f t="shared" si="559"/>
        <v>44944</v>
      </c>
      <c r="AQ3472" s="925" t="str">
        <f t="shared" si="561"/>
        <v>MS</v>
      </c>
      <c r="AR3472" s="1856">
        <f t="shared" si="560"/>
        <v>44944.597222222226</v>
      </c>
      <c r="AS3472" s="927" t="s">
        <v>2467</v>
      </c>
      <c r="AT3472" s="1856" t="str">
        <f t="shared" si="553"/>
        <v/>
      </c>
      <c r="AU3472" s="1856" t="str">
        <f t="shared" si="554"/>
        <v/>
      </c>
      <c r="AV3472" s="1856" t="str">
        <f t="shared" si="555"/>
        <v/>
      </c>
      <c r="AW3472" s="1856" t="str">
        <f t="shared" si="556"/>
        <v/>
      </c>
      <c r="AX3472" s="1856" t="str">
        <f t="shared" si="557"/>
        <v/>
      </c>
      <c r="AY3472" s="1856" t="str">
        <f t="shared" si="558"/>
        <v/>
      </c>
    </row>
    <row r="3473" spans="42:51">
      <c r="AP3473" s="1855">
        <f t="shared" si="559"/>
        <v>44944</v>
      </c>
      <c r="AQ3473" s="925" t="str">
        <f t="shared" si="561"/>
        <v>SS</v>
      </c>
      <c r="AR3473" s="1856">
        <f t="shared" si="560"/>
        <v>44944.743750000001</v>
      </c>
      <c r="AS3473" s="927" t="s">
        <v>1076</v>
      </c>
      <c r="AT3473" s="1856" t="str">
        <f t="shared" si="553"/>
        <v/>
      </c>
      <c r="AU3473" s="1856" t="str">
        <f t="shared" si="554"/>
        <v/>
      </c>
      <c r="AV3473" s="1856" t="str">
        <f t="shared" si="555"/>
        <v/>
      </c>
      <c r="AW3473" s="1856" t="str">
        <f t="shared" si="556"/>
        <v/>
      </c>
      <c r="AX3473" s="1856" t="str">
        <f t="shared" si="557"/>
        <v/>
      </c>
      <c r="AY3473" s="1856" t="str">
        <f t="shared" si="558"/>
        <v/>
      </c>
    </row>
    <row r="3474" spans="42:51">
      <c r="AP3474" s="1855">
        <f t="shared" si="559"/>
        <v>44944</v>
      </c>
      <c r="AQ3474" s="925" t="str">
        <f t="shared" si="561"/>
        <v>EENT</v>
      </c>
      <c r="AR3474" s="1856">
        <f t="shared" si="560"/>
        <v>44944.785416666666</v>
      </c>
      <c r="AS3474" s="927" t="s">
        <v>1070</v>
      </c>
      <c r="AT3474" s="1856" t="str">
        <f t="shared" si="553"/>
        <v/>
      </c>
      <c r="AU3474" s="1856" t="str">
        <f t="shared" si="554"/>
        <v/>
      </c>
      <c r="AV3474" s="1856" t="str">
        <f t="shared" si="555"/>
        <v/>
      </c>
      <c r="AW3474" s="1856" t="str">
        <f t="shared" si="556"/>
        <v/>
      </c>
      <c r="AX3474" s="1856" t="str">
        <f t="shared" si="557"/>
        <v/>
      </c>
      <c r="AY3474" s="1856" t="str">
        <f t="shared" si="558"/>
        <v/>
      </c>
    </row>
    <row r="3475" spans="42:51">
      <c r="AP3475" s="1855">
        <f t="shared" si="559"/>
        <v>44945</v>
      </c>
      <c r="AQ3475" s="925" t="str">
        <f t="shared" si="561"/>
        <v/>
      </c>
      <c r="AR3475" s="1856" t="str">
        <f t="shared" si="560"/>
        <v/>
      </c>
      <c r="AS3475" s="927">
        <v>19</v>
      </c>
      <c r="AT3475" s="1856">
        <f t="shared" si="553"/>
        <v>44945.288888888892</v>
      </c>
      <c r="AU3475" s="1856">
        <f t="shared" si="554"/>
        <v>44945.331249999996</v>
      </c>
      <c r="AV3475" s="1856">
        <f t="shared" si="555"/>
        <v>44945.744444444448</v>
      </c>
      <c r="AW3475" s="1856">
        <f t="shared" si="556"/>
        <v>44945.786111111112</v>
      </c>
      <c r="AX3475" s="1856">
        <f t="shared" si="557"/>
        <v>44945.251388888886</v>
      </c>
      <c r="AY3475" s="1856">
        <f t="shared" si="558"/>
        <v>44945.636111111111</v>
      </c>
    </row>
    <row r="3476" spans="42:51">
      <c r="AP3476" s="1855">
        <f t="shared" si="559"/>
        <v>44945</v>
      </c>
      <c r="AQ3476" s="925" t="str">
        <f t="shared" si="561"/>
        <v/>
      </c>
      <c r="AR3476" s="1856" t="str">
        <f t="shared" si="560"/>
        <v/>
      </c>
      <c r="AS3476" s="927" t="s">
        <v>252</v>
      </c>
      <c r="AT3476" s="1856" t="str">
        <f t="shared" si="553"/>
        <v/>
      </c>
      <c r="AU3476" s="1856" t="str">
        <f t="shared" si="554"/>
        <v/>
      </c>
      <c r="AV3476" s="1856" t="str">
        <f t="shared" si="555"/>
        <v/>
      </c>
      <c r="AW3476" s="1856" t="str">
        <f t="shared" si="556"/>
        <v/>
      </c>
      <c r="AX3476" s="1856" t="str">
        <f t="shared" si="557"/>
        <v/>
      </c>
      <c r="AY3476" s="1856" t="str">
        <f t="shared" si="558"/>
        <v/>
      </c>
    </row>
    <row r="3477" spans="42:51">
      <c r="AP3477" s="1855">
        <f t="shared" si="559"/>
        <v>44945</v>
      </c>
      <c r="AQ3477" s="925" t="str">
        <f t="shared" si="561"/>
        <v/>
      </c>
      <c r="AR3477" s="1856" t="str">
        <f t="shared" si="560"/>
        <v/>
      </c>
      <c r="AT3477" s="1856" t="str">
        <f t="shared" si="553"/>
        <v/>
      </c>
      <c r="AU3477" s="1856" t="str">
        <f t="shared" si="554"/>
        <v/>
      </c>
      <c r="AV3477" s="1856" t="str">
        <f t="shared" si="555"/>
        <v/>
      </c>
      <c r="AW3477" s="1856" t="str">
        <f t="shared" si="556"/>
        <v/>
      </c>
      <c r="AX3477" s="1856" t="str">
        <f t="shared" si="557"/>
        <v/>
      </c>
      <c r="AY3477" s="1856" t="str">
        <f t="shared" si="558"/>
        <v/>
      </c>
    </row>
    <row r="3478" spans="42:51">
      <c r="AP3478" s="1855">
        <f t="shared" si="559"/>
        <v>44945</v>
      </c>
      <c r="AQ3478" s="925" t="str">
        <f t="shared" si="561"/>
        <v>MR</v>
      </c>
      <c r="AR3478" s="1856">
        <f t="shared" si="560"/>
        <v>44945.251388888886</v>
      </c>
      <c r="AS3478" s="927" t="s">
        <v>2468</v>
      </c>
      <c r="AT3478" s="1856" t="str">
        <f t="shared" si="553"/>
        <v/>
      </c>
      <c r="AU3478" s="1856" t="str">
        <f t="shared" si="554"/>
        <v/>
      </c>
      <c r="AV3478" s="1856" t="str">
        <f t="shared" si="555"/>
        <v/>
      </c>
      <c r="AW3478" s="1856" t="str">
        <f t="shared" si="556"/>
        <v/>
      </c>
      <c r="AX3478" s="1856" t="str">
        <f t="shared" si="557"/>
        <v/>
      </c>
      <c r="AY3478" s="1856" t="str">
        <f t="shared" si="558"/>
        <v/>
      </c>
    </row>
    <row r="3479" spans="42:51">
      <c r="AP3479" s="1855">
        <f t="shared" si="559"/>
        <v>44945</v>
      </c>
      <c r="AQ3479" s="925" t="str">
        <f t="shared" si="561"/>
        <v>BMNT</v>
      </c>
      <c r="AR3479" s="1856">
        <f t="shared" si="560"/>
        <v>44945.288888888892</v>
      </c>
      <c r="AS3479" s="927" t="s">
        <v>1083</v>
      </c>
      <c r="AT3479" s="1856" t="str">
        <f t="shared" si="553"/>
        <v/>
      </c>
      <c r="AU3479" s="1856" t="str">
        <f t="shared" si="554"/>
        <v/>
      </c>
      <c r="AV3479" s="1856" t="str">
        <f t="shared" si="555"/>
        <v/>
      </c>
      <c r="AW3479" s="1856" t="str">
        <f t="shared" si="556"/>
        <v/>
      </c>
      <c r="AX3479" s="1856" t="str">
        <f t="shared" si="557"/>
        <v/>
      </c>
      <c r="AY3479" s="1856" t="str">
        <f t="shared" si="558"/>
        <v/>
      </c>
    </row>
    <row r="3480" spans="42:51">
      <c r="AP3480" s="1855">
        <f t="shared" si="559"/>
        <v>44945</v>
      </c>
      <c r="AQ3480" s="925" t="str">
        <f t="shared" si="561"/>
        <v>SR</v>
      </c>
      <c r="AR3480" s="1856">
        <f t="shared" si="560"/>
        <v>44945.331249999996</v>
      </c>
      <c r="AS3480" s="927" t="s">
        <v>1074</v>
      </c>
      <c r="AT3480" s="1856" t="str">
        <f t="shared" si="553"/>
        <v/>
      </c>
      <c r="AU3480" s="1856" t="str">
        <f t="shared" si="554"/>
        <v/>
      </c>
      <c r="AV3480" s="1856" t="str">
        <f t="shared" si="555"/>
        <v/>
      </c>
      <c r="AW3480" s="1856" t="str">
        <f t="shared" si="556"/>
        <v/>
      </c>
      <c r="AX3480" s="1856" t="str">
        <f t="shared" si="557"/>
        <v/>
      </c>
      <c r="AY3480" s="1856" t="str">
        <f t="shared" si="558"/>
        <v/>
      </c>
    </row>
    <row r="3481" spans="42:51">
      <c r="AP3481" s="1855">
        <f t="shared" si="559"/>
        <v>44945</v>
      </c>
      <c r="AQ3481" s="925" t="str">
        <f t="shared" si="561"/>
        <v>MS</v>
      </c>
      <c r="AR3481" s="1856">
        <f t="shared" si="560"/>
        <v>44945.636111111111</v>
      </c>
      <c r="AS3481" s="927" t="s">
        <v>2469</v>
      </c>
      <c r="AT3481" s="1856" t="str">
        <f t="shared" si="553"/>
        <v/>
      </c>
      <c r="AU3481" s="1856" t="str">
        <f t="shared" si="554"/>
        <v/>
      </c>
      <c r="AV3481" s="1856" t="str">
        <f t="shared" si="555"/>
        <v/>
      </c>
      <c r="AW3481" s="1856" t="str">
        <f t="shared" si="556"/>
        <v/>
      </c>
      <c r="AX3481" s="1856" t="str">
        <f t="shared" si="557"/>
        <v/>
      </c>
      <c r="AY3481" s="1856" t="str">
        <f t="shared" si="558"/>
        <v/>
      </c>
    </row>
    <row r="3482" spans="42:51">
      <c r="AP3482" s="1855">
        <f t="shared" si="559"/>
        <v>44945</v>
      </c>
      <c r="AQ3482" s="925" t="str">
        <f t="shared" si="561"/>
        <v>SS</v>
      </c>
      <c r="AR3482" s="1856">
        <f t="shared" si="560"/>
        <v>44945.744444444448</v>
      </c>
      <c r="AS3482" s="927" t="s">
        <v>1088</v>
      </c>
      <c r="AT3482" s="1856" t="str">
        <f t="shared" si="553"/>
        <v/>
      </c>
      <c r="AU3482" s="1856" t="str">
        <f t="shared" si="554"/>
        <v/>
      </c>
      <c r="AV3482" s="1856" t="str">
        <f t="shared" si="555"/>
        <v/>
      </c>
      <c r="AW3482" s="1856" t="str">
        <f t="shared" si="556"/>
        <v/>
      </c>
      <c r="AX3482" s="1856" t="str">
        <f t="shared" si="557"/>
        <v/>
      </c>
      <c r="AY3482" s="1856" t="str">
        <f t="shared" si="558"/>
        <v/>
      </c>
    </row>
    <row r="3483" spans="42:51">
      <c r="AP3483" s="1855">
        <f t="shared" si="559"/>
        <v>44945</v>
      </c>
      <c r="AQ3483" s="925" t="str">
        <f t="shared" si="561"/>
        <v>EENT</v>
      </c>
      <c r="AR3483" s="1856">
        <f t="shared" si="560"/>
        <v>44945.786111111112</v>
      </c>
      <c r="AS3483" s="927" t="s">
        <v>1079</v>
      </c>
      <c r="AT3483" s="1856" t="str">
        <f t="shared" si="553"/>
        <v/>
      </c>
      <c r="AU3483" s="1856" t="str">
        <f t="shared" si="554"/>
        <v/>
      </c>
      <c r="AV3483" s="1856" t="str">
        <f t="shared" si="555"/>
        <v/>
      </c>
      <c r="AW3483" s="1856" t="str">
        <f t="shared" si="556"/>
        <v/>
      </c>
      <c r="AX3483" s="1856" t="str">
        <f t="shared" si="557"/>
        <v/>
      </c>
      <c r="AY3483" s="1856" t="str">
        <f t="shared" si="558"/>
        <v/>
      </c>
    </row>
    <row r="3484" spans="42:51">
      <c r="AP3484" s="1855">
        <f t="shared" si="559"/>
        <v>44946</v>
      </c>
      <c r="AQ3484" s="925" t="str">
        <f t="shared" si="561"/>
        <v/>
      </c>
      <c r="AR3484" s="1856" t="str">
        <f t="shared" si="560"/>
        <v/>
      </c>
      <c r="AS3484" s="927">
        <v>20</v>
      </c>
      <c r="AT3484" s="1856">
        <f t="shared" ref="AT3484:AT3547" si="562">IF(ISNUMBER(AS3484),INDEX(AR3485:AR3495,MATCH($AT$27,AQ3485:AQ3495,0)),"")</f>
        <v>44946.288888888892</v>
      </c>
      <c r="AU3484" s="1856">
        <f t="shared" ref="AU3484:AU3547" si="563">IF(AT3484="","",INDEX(AR3485:AR3495,MATCH($AU$27,AQ3485:AQ3495,0)))</f>
        <v>44946.331249999996</v>
      </c>
      <c r="AV3484" s="1856">
        <f t="shared" ref="AV3484:AV3547" si="564">IF(AT3484="","",INDEX(AR3485:AR3495,MATCH($AV$27,AQ3485:AQ3495,0)))</f>
        <v>44946.745138888895</v>
      </c>
      <c r="AW3484" s="1856">
        <f t="shared" ref="AW3484:AW3547" si="565">IF(AT3484="","",INDEX(AR3485:AR3495,MATCH($AW$27,AQ3485:AQ3495,0)))</f>
        <v>44946.786805555559</v>
      </c>
      <c r="AX3484" s="1856">
        <f t="shared" ref="AX3484:AX3547" si="566">IF(AT3484="","",INDEX(AR3485:AR3495,MATCH($AX$27,AQ3485:AQ3495,0)))</f>
        <v>44946.299305555556</v>
      </c>
      <c r="AY3484" s="1856">
        <f t="shared" ref="AY3484:AY3547" si="567">IF(AT3484="","",INDEX(AR3485:AR3495,MATCH($AY$27,AQ3485:AQ3495,0)))</f>
        <v>44946.684027777774</v>
      </c>
    </row>
    <row r="3485" spans="42:51">
      <c r="AP3485" s="1855">
        <f t="shared" si="559"/>
        <v>44946</v>
      </c>
      <c r="AQ3485" s="925" t="str">
        <f t="shared" si="561"/>
        <v/>
      </c>
      <c r="AR3485" s="1856" t="str">
        <f t="shared" si="560"/>
        <v/>
      </c>
      <c r="AS3485" s="927" t="s">
        <v>252</v>
      </c>
      <c r="AT3485" s="1856" t="str">
        <f t="shared" si="562"/>
        <v/>
      </c>
      <c r="AU3485" s="1856" t="str">
        <f t="shared" si="563"/>
        <v/>
      </c>
      <c r="AV3485" s="1856" t="str">
        <f t="shared" si="564"/>
        <v/>
      </c>
      <c r="AW3485" s="1856" t="str">
        <f t="shared" si="565"/>
        <v/>
      </c>
      <c r="AX3485" s="1856" t="str">
        <f t="shared" si="566"/>
        <v/>
      </c>
      <c r="AY3485" s="1856" t="str">
        <f t="shared" si="567"/>
        <v/>
      </c>
    </row>
    <row r="3486" spans="42:51">
      <c r="AP3486" s="1855">
        <f t="shared" si="559"/>
        <v>44946</v>
      </c>
      <c r="AQ3486" s="925" t="str">
        <f t="shared" si="561"/>
        <v/>
      </c>
      <c r="AR3486" s="1856" t="str">
        <f t="shared" si="560"/>
        <v/>
      </c>
      <c r="AT3486" s="1856" t="str">
        <f t="shared" si="562"/>
        <v/>
      </c>
      <c r="AU3486" s="1856" t="str">
        <f t="shared" si="563"/>
        <v/>
      </c>
      <c r="AV3486" s="1856" t="str">
        <f t="shared" si="564"/>
        <v/>
      </c>
      <c r="AW3486" s="1856" t="str">
        <f t="shared" si="565"/>
        <v/>
      </c>
      <c r="AX3486" s="1856" t="str">
        <f t="shared" si="566"/>
        <v/>
      </c>
      <c r="AY3486" s="1856" t="str">
        <f t="shared" si="567"/>
        <v/>
      </c>
    </row>
    <row r="3487" spans="42:51">
      <c r="AP3487" s="1855">
        <f t="shared" si="559"/>
        <v>44946</v>
      </c>
      <c r="AQ3487" s="925" t="str">
        <f t="shared" si="561"/>
        <v>BMNT</v>
      </c>
      <c r="AR3487" s="1856">
        <f t="shared" si="560"/>
        <v>44946.288888888892</v>
      </c>
      <c r="AS3487" s="927" t="s">
        <v>1083</v>
      </c>
      <c r="AT3487" s="1856" t="str">
        <f t="shared" si="562"/>
        <v/>
      </c>
      <c r="AU3487" s="1856" t="str">
        <f t="shared" si="563"/>
        <v/>
      </c>
      <c r="AV3487" s="1856" t="str">
        <f t="shared" si="564"/>
        <v/>
      </c>
      <c r="AW3487" s="1856" t="str">
        <f t="shared" si="565"/>
        <v/>
      </c>
      <c r="AX3487" s="1856" t="str">
        <f t="shared" si="566"/>
        <v/>
      </c>
      <c r="AY3487" s="1856" t="str">
        <f t="shared" si="567"/>
        <v/>
      </c>
    </row>
    <row r="3488" spans="42:51">
      <c r="AP3488" s="1855">
        <f t="shared" si="559"/>
        <v>44946</v>
      </c>
      <c r="AQ3488" s="925" t="str">
        <f t="shared" si="561"/>
        <v>MR</v>
      </c>
      <c r="AR3488" s="1856">
        <f t="shared" si="560"/>
        <v>44946.299305555556</v>
      </c>
      <c r="AS3488" s="927" t="s">
        <v>2370</v>
      </c>
      <c r="AT3488" s="1856" t="str">
        <f t="shared" si="562"/>
        <v/>
      </c>
      <c r="AU3488" s="1856" t="str">
        <f t="shared" si="563"/>
        <v/>
      </c>
      <c r="AV3488" s="1856" t="str">
        <f t="shared" si="564"/>
        <v/>
      </c>
      <c r="AW3488" s="1856" t="str">
        <f t="shared" si="565"/>
        <v/>
      </c>
      <c r="AX3488" s="1856" t="str">
        <f t="shared" si="566"/>
        <v/>
      </c>
      <c r="AY3488" s="1856" t="str">
        <f t="shared" si="567"/>
        <v/>
      </c>
    </row>
    <row r="3489" spans="42:51">
      <c r="AP3489" s="1855">
        <f t="shared" si="559"/>
        <v>44946</v>
      </c>
      <c r="AQ3489" s="925" t="str">
        <f t="shared" si="561"/>
        <v>SR</v>
      </c>
      <c r="AR3489" s="1856">
        <f t="shared" si="560"/>
        <v>44946.331249999996</v>
      </c>
      <c r="AS3489" s="927" t="s">
        <v>1074</v>
      </c>
      <c r="AT3489" s="1856" t="str">
        <f t="shared" si="562"/>
        <v/>
      </c>
      <c r="AU3489" s="1856" t="str">
        <f t="shared" si="563"/>
        <v/>
      </c>
      <c r="AV3489" s="1856" t="str">
        <f t="shared" si="564"/>
        <v/>
      </c>
      <c r="AW3489" s="1856" t="str">
        <f t="shared" si="565"/>
        <v/>
      </c>
      <c r="AX3489" s="1856" t="str">
        <f t="shared" si="566"/>
        <v/>
      </c>
      <c r="AY3489" s="1856" t="str">
        <f t="shared" si="567"/>
        <v/>
      </c>
    </row>
    <row r="3490" spans="42:51">
      <c r="AP3490" s="1855">
        <f t="shared" si="559"/>
        <v>44946</v>
      </c>
      <c r="AQ3490" s="925" t="str">
        <f t="shared" si="561"/>
        <v>MS</v>
      </c>
      <c r="AR3490" s="1856">
        <f t="shared" si="560"/>
        <v>44946.684027777774</v>
      </c>
      <c r="AS3490" s="927" t="s">
        <v>1869</v>
      </c>
      <c r="AT3490" s="1856" t="str">
        <f t="shared" si="562"/>
        <v/>
      </c>
      <c r="AU3490" s="1856" t="str">
        <f t="shared" si="563"/>
        <v/>
      </c>
      <c r="AV3490" s="1856" t="str">
        <f t="shared" si="564"/>
        <v/>
      </c>
      <c r="AW3490" s="1856" t="str">
        <f t="shared" si="565"/>
        <v/>
      </c>
      <c r="AX3490" s="1856" t="str">
        <f t="shared" si="566"/>
        <v/>
      </c>
      <c r="AY3490" s="1856" t="str">
        <f t="shared" si="567"/>
        <v/>
      </c>
    </row>
    <row r="3491" spans="42:51">
      <c r="AP3491" s="1855">
        <f t="shared" si="559"/>
        <v>44946</v>
      </c>
      <c r="AQ3491" s="925" t="str">
        <f t="shared" si="561"/>
        <v>SS</v>
      </c>
      <c r="AR3491" s="1856">
        <f t="shared" si="560"/>
        <v>44946.745138888895</v>
      </c>
      <c r="AS3491" s="927" t="s">
        <v>1098</v>
      </c>
      <c r="AT3491" s="1856" t="str">
        <f t="shared" si="562"/>
        <v/>
      </c>
      <c r="AU3491" s="1856" t="str">
        <f t="shared" si="563"/>
        <v/>
      </c>
      <c r="AV3491" s="1856" t="str">
        <f t="shared" si="564"/>
        <v/>
      </c>
      <c r="AW3491" s="1856" t="str">
        <f t="shared" si="565"/>
        <v/>
      </c>
      <c r="AX3491" s="1856" t="str">
        <f t="shared" si="566"/>
        <v/>
      </c>
      <c r="AY3491" s="1856" t="str">
        <f t="shared" si="567"/>
        <v/>
      </c>
    </row>
    <row r="3492" spans="42:51">
      <c r="AP3492" s="1855">
        <f t="shared" si="559"/>
        <v>44946</v>
      </c>
      <c r="AQ3492" s="925" t="str">
        <f t="shared" si="561"/>
        <v>EENT</v>
      </c>
      <c r="AR3492" s="1856">
        <f t="shared" si="560"/>
        <v>44946.786805555559</v>
      </c>
      <c r="AS3492" s="927" t="s">
        <v>1090</v>
      </c>
      <c r="AT3492" s="1856" t="str">
        <f t="shared" si="562"/>
        <v/>
      </c>
      <c r="AU3492" s="1856" t="str">
        <f t="shared" si="563"/>
        <v/>
      </c>
      <c r="AV3492" s="1856" t="str">
        <f t="shared" si="564"/>
        <v/>
      </c>
      <c r="AW3492" s="1856" t="str">
        <f t="shared" si="565"/>
        <v/>
      </c>
      <c r="AX3492" s="1856" t="str">
        <f t="shared" si="566"/>
        <v/>
      </c>
      <c r="AY3492" s="1856" t="str">
        <f t="shared" si="567"/>
        <v/>
      </c>
    </row>
    <row r="3493" spans="42:51">
      <c r="AP3493" s="1855">
        <f t="shared" ref="AP3493:AP3556" si="568">IF(ISNUMBER(AS3493),AP3492+1,AP3492)</f>
        <v>44947</v>
      </c>
      <c r="AQ3493" s="925" t="str">
        <f t="shared" si="561"/>
        <v/>
      </c>
      <c r="AR3493" s="1856" t="str">
        <f t="shared" si="560"/>
        <v/>
      </c>
      <c r="AS3493" s="927">
        <v>21</v>
      </c>
      <c r="AT3493" s="1856">
        <f t="shared" si="562"/>
        <v>44947.288888888892</v>
      </c>
      <c r="AU3493" s="1856">
        <f t="shared" si="563"/>
        <v>44947.330555555556</v>
      </c>
      <c r="AV3493" s="1856">
        <f t="shared" si="564"/>
        <v>44947.745833333334</v>
      </c>
      <c r="AW3493" s="1856">
        <f t="shared" si="565"/>
        <v>44947.787499999999</v>
      </c>
      <c r="AX3493" s="1856">
        <f t="shared" si="566"/>
        <v>44947.339583333334</v>
      </c>
      <c r="AY3493" s="1856">
        <f t="shared" si="567"/>
        <v>44947.737500000003</v>
      </c>
    </row>
    <row r="3494" spans="42:51">
      <c r="AP3494" s="1855">
        <f t="shared" si="568"/>
        <v>44947</v>
      </c>
      <c r="AQ3494" s="925" t="str">
        <f t="shared" si="561"/>
        <v/>
      </c>
      <c r="AR3494" s="1856" t="str">
        <f t="shared" si="560"/>
        <v/>
      </c>
      <c r="AS3494" s="927" t="s">
        <v>252</v>
      </c>
      <c r="AT3494" s="1856" t="str">
        <f t="shared" si="562"/>
        <v/>
      </c>
      <c r="AU3494" s="1856" t="str">
        <f t="shared" si="563"/>
        <v/>
      </c>
      <c r="AV3494" s="1856" t="str">
        <f t="shared" si="564"/>
        <v/>
      </c>
      <c r="AW3494" s="1856" t="str">
        <f t="shared" si="565"/>
        <v/>
      </c>
      <c r="AX3494" s="1856" t="str">
        <f t="shared" si="566"/>
        <v/>
      </c>
      <c r="AY3494" s="1856" t="str">
        <f t="shared" si="567"/>
        <v/>
      </c>
    </row>
    <row r="3495" spans="42:51">
      <c r="AP3495" s="1855">
        <f t="shared" si="568"/>
        <v>44947</v>
      </c>
      <c r="AQ3495" s="925" t="str">
        <f t="shared" si="561"/>
        <v/>
      </c>
      <c r="AR3495" s="1856" t="str">
        <f t="shared" si="560"/>
        <v/>
      </c>
      <c r="AT3495" s="1856" t="str">
        <f t="shared" si="562"/>
        <v/>
      </c>
      <c r="AU3495" s="1856" t="str">
        <f t="shared" si="563"/>
        <v/>
      </c>
      <c r="AV3495" s="1856" t="str">
        <f t="shared" si="564"/>
        <v/>
      </c>
      <c r="AW3495" s="1856" t="str">
        <f t="shared" si="565"/>
        <v/>
      </c>
      <c r="AX3495" s="1856" t="str">
        <f t="shared" si="566"/>
        <v/>
      </c>
      <c r="AY3495" s="1856" t="str">
        <f t="shared" si="567"/>
        <v/>
      </c>
    </row>
    <row r="3496" spans="42:51">
      <c r="AP3496" s="1855">
        <f t="shared" si="568"/>
        <v>44947</v>
      </c>
      <c r="AQ3496" s="925" t="str">
        <f t="shared" si="561"/>
        <v>BMNT</v>
      </c>
      <c r="AR3496" s="1856">
        <f t="shared" si="560"/>
        <v>44947.288888888892</v>
      </c>
      <c r="AS3496" s="927" t="s">
        <v>1083</v>
      </c>
      <c r="AT3496" s="1856" t="str">
        <f t="shared" si="562"/>
        <v/>
      </c>
      <c r="AU3496" s="1856" t="str">
        <f t="shared" si="563"/>
        <v/>
      </c>
      <c r="AV3496" s="1856" t="str">
        <f t="shared" si="564"/>
        <v/>
      </c>
      <c r="AW3496" s="1856" t="str">
        <f t="shared" si="565"/>
        <v/>
      </c>
      <c r="AX3496" s="1856" t="str">
        <f t="shared" si="566"/>
        <v/>
      </c>
      <c r="AY3496" s="1856" t="str">
        <f t="shared" si="567"/>
        <v/>
      </c>
    </row>
    <row r="3497" spans="42:51">
      <c r="AP3497" s="1855">
        <f t="shared" si="568"/>
        <v>44947</v>
      </c>
      <c r="AQ3497" s="925" t="str">
        <f t="shared" si="561"/>
        <v>SR</v>
      </c>
      <c r="AR3497" s="1856">
        <f t="shared" ref="AR3497:AR3560" si="569">IF(NOT(ISNUMBER(FIND(":",AS3497))),"",IF(ISNUMBER(FIND(" none",AS3497)),"NONE",AP3497+LEFT(RIGHT(AS3497,5),2)/24+RIGHT(AS3497,2)/1440))</f>
        <v>44947.330555555556</v>
      </c>
      <c r="AS3497" s="927" t="s">
        <v>1094</v>
      </c>
      <c r="AT3497" s="1856" t="str">
        <f t="shared" si="562"/>
        <v/>
      </c>
      <c r="AU3497" s="1856" t="str">
        <f t="shared" si="563"/>
        <v/>
      </c>
      <c r="AV3497" s="1856" t="str">
        <f t="shared" si="564"/>
        <v/>
      </c>
      <c r="AW3497" s="1856" t="str">
        <f t="shared" si="565"/>
        <v/>
      </c>
      <c r="AX3497" s="1856" t="str">
        <f t="shared" si="566"/>
        <v/>
      </c>
      <c r="AY3497" s="1856" t="str">
        <f t="shared" si="567"/>
        <v/>
      </c>
    </row>
    <row r="3498" spans="42:51">
      <c r="AP3498" s="1855">
        <f t="shared" si="568"/>
        <v>44947</v>
      </c>
      <c r="AQ3498" s="925" t="str">
        <f t="shared" si="561"/>
        <v>MR</v>
      </c>
      <c r="AR3498" s="1856">
        <f t="shared" si="569"/>
        <v>44947.339583333334</v>
      </c>
      <c r="AS3498" s="927" t="s">
        <v>2270</v>
      </c>
      <c r="AT3498" s="1856" t="str">
        <f t="shared" si="562"/>
        <v/>
      </c>
      <c r="AU3498" s="1856" t="str">
        <f t="shared" si="563"/>
        <v/>
      </c>
      <c r="AV3498" s="1856" t="str">
        <f t="shared" si="564"/>
        <v/>
      </c>
      <c r="AW3498" s="1856" t="str">
        <f t="shared" si="565"/>
        <v/>
      </c>
      <c r="AX3498" s="1856" t="str">
        <f t="shared" si="566"/>
        <v/>
      </c>
      <c r="AY3498" s="1856" t="str">
        <f t="shared" si="567"/>
        <v/>
      </c>
    </row>
    <row r="3499" spans="42:51">
      <c r="AP3499" s="1855">
        <f t="shared" si="568"/>
        <v>44947</v>
      </c>
      <c r="AQ3499" s="925" t="str">
        <f t="shared" si="561"/>
        <v>MS</v>
      </c>
      <c r="AR3499" s="1856">
        <f t="shared" si="569"/>
        <v>44947.737500000003</v>
      </c>
      <c r="AS3499" s="927" t="s">
        <v>2470</v>
      </c>
      <c r="AT3499" s="1856" t="str">
        <f t="shared" si="562"/>
        <v/>
      </c>
      <c r="AU3499" s="1856" t="str">
        <f t="shared" si="563"/>
        <v/>
      </c>
      <c r="AV3499" s="1856" t="str">
        <f t="shared" si="564"/>
        <v/>
      </c>
      <c r="AW3499" s="1856" t="str">
        <f t="shared" si="565"/>
        <v/>
      </c>
      <c r="AX3499" s="1856" t="str">
        <f t="shared" si="566"/>
        <v/>
      </c>
      <c r="AY3499" s="1856" t="str">
        <f t="shared" si="567"/>
        <v/>
      </c>
    </row>
    <row r="3500" spans="42:51">
      <c r="AP3500" s="1855">
        <f t="shared" si="568"/>
        <v>44947</v>
      </c>
      <c r="AQ3500" s="925" t="str">
        <f t="shared" si="561"/>
        <v>SS</v>
      </c>
      <c r="AR3500" s="1856">
        <f t="shared" si="569"/>
        <v>44947.745833333334</v>
      </c>
      <c r="AS3500" s="927" t="s">
        <v>1110</v>
      </c>
      <c r="AT3500" s="1856" t="str">
        <f t="shared" si="562"/>
        <v/>
      </c>
      <c r="AU3500" s="1856" t="str">
        <f t="shared" si="563"/>
        <v/>
      </c>
      <c r="AV3500" s="1856" t="str">
        <f t="shared" si="564"/>
        <v/>
      </c>
      <c r="AW3500" s="1856" t="str">
        <f t="shared" si="565"/>
        <v/>
      </c>
      <c r="AX3500" s="1856" t="str">
        <f t="shared" si="566"/>
        <v/>
      </c>
      <c r="AY3500" s="1856" t="str">
        <f t="shared" si="567"/>
        <v/>
      </c>
    </row>
    <row r="3501" spans="42:51">
      <c r="AP3501" s="1855">
        <f t="shared" si="568"/>
        <v>44947</v>
      </c>
      <c r="AQ3501" s="925" t="str">
        <f t="shared" si="561"/>
        <v>EENT</v>
      </c>
      <c r="AR3501" s="1856">
        <f t="shared" si="569"/>
        <v>44947.787499999999</v>
      </c>
      <c r="AS3501" s="927" t="s">
        <v>1100</v>
      </c>
      <c r="AT3501" s="1856" t="str">
        <f t="shared" si="562"/>
        <v/>
      </c>
      <c r="AU3501" s="1856" t="str">
        <f t="shared" si="563"/>
        <v/>
      </c>
      <c r="AV3501" s="1856" t="str">
        <f t="shared" si="564"/>
        <v/>
      </c>
      <c r="AW3501" s="1856" t="str">
        <f t="shared" si="565"/>
        <v/>
      </c>
      <c r="AX3501" s="1856" t="str">
        <f t="shared" si="566"/>
        <v/>
      </c>
      <c r="AY3501" s="1856" t="str">
        <f t="shared" si="567"/>
        <v/>
      </c>
    </row>
    <row r="3502" spans="42:51">
      <c r="AP3502" s="1855">
        <f t="shared" si="568"/>
        <v>44948</v>
      </c>
      <c r="AQ3502" s="925" t="str">
        <f t="shared" si="561"/>
        <v/>
      </c>
      <c r="AR3502" s="1856" t="str">
        <f t="shared" si="569"/>
        <v/>
      </c>
      <c r="AS3502" s="927">
        <v>22</v>
      </c>
      <c r="AT3502" s="1856">
        <f t="shared" si="562"/>
        <v>44948.288194444445</v>
      </c>
      <c r="AU3502" s="1856">
        <f t="shared" si="563"/>
        <v>44948.330555555556</v>
      </c>
      <c r="AV3502" s="1856">
        <f t="shared" si="564"/>
        <v>44948.746527777781</v>
      </c>
      <c r="AW3502" s="1856">
        <f t="shared" si="565"/>
        <v>44948.788194444445</v>
      </c>
      <c r="AX3502" s="1856">
        <f t="shared" si="566"/>
        <v>44948.372916666667</v>
      </c>
      <c r="AY3502" s="1856">
        <f t="shared" si="567"/>
        <v>44948.79305555555</v>
      </c>
    </row>
    <row r="3503" spans="42:51">
      <c r="AP3503" s="1855">
        <f t="shared" si="568"/>
        <v>44948</v>
      </c>
      <c r="AQ3503" s="925" t="str">
        <f t="shared" si="561"/>
        <v/>
      </c>
      <c r="AR3503" s="1856" t="str">
        <f t="shared" si="569"/>
        <v/>
      </c>
      <c r="AS3503" s="927" t="s">
        <v>252</v>
      </c>
      <c r="AT3503" s="1856" t="str">
        <f t="shared" si="562"/>
        <v/>
      </c>
      <c r="AU3503" s="1856" t="str">
        <f t="shared" si="563"/>
        <v/>
      </c>
      <c r="AV3503" s="1856" t="str">
        <f t="shared" si="564"/>
        <v/>
      </c>
      <c r="AW3503" s="1856" t="str">
        <f t="shared" si="565"/>
        <v/>
      </c>
      <c r="AX3503" s="1856" t="str">
        <f t="shared" si="566"/>
        <v/>
      </c>
      <c r="AY3503" s="1856" t="str">
        <f t="shared" si="567"/>
        <v/>
      </c>
    </row>
    <row r="3504" spans="42:51">
      <c r="AP3504" s="1855">
        <f t="shared" si="568"/>
        <v>44948</v>
      </c>
      <c r="AQ3504" s="925" t="str">
        <f t="shared" si="561"/>
        <v/>
      </c>
      <c r="AR3504" s="1856" t="str">
        <f t="shared" si="569"/>
        <v/>
      </c>
      <c r="AT3504" s="1856" t="str">
        <f t="shared" si="562"/>
        <v/>
      </c>
      <c r="AU3504" s="1856" t="str">
        <f t="shared" si="563"/>
        <v/>
      </c>
      <c r="AV3504" s="1856" t="str">
        <f t="shared" si="564"/>
        <v/>
      </c>
      <c r="AW3504" s="1856" t="str">
        <f t="shared" si="565"/>
        <v/>
      </c>
      <c r="AX3504" s="1856" t="str">
        <f t="shared" si="566"/>
        <v/>
      </c>
      <c r="AY3504" s="1856" t="str">
        <f t="shared" si="567"/>
        <v/>
      </c>
    </row>
    <row r="3505" spans="42:51">
      <c r="AP3505" s="1855">
        <f t="shared" si="568"/>
        <v>44948</v>
      </c>
      <c r="AQ3505" s="925" t="str">
        <f t="shared" si="561"/>
        <v>BMNT</v>
      </c>
      <c r="AR3505" s="1856">
        <f t="shared" si="569"/>
        <v>44948.288194444445</v>
      </c>
      <c r="AS3505" s="927" t="s">
        <v>1117</v>
      </c>
      <c r="AT3505" s="1856" t="str">
        <f t="shared" si="562"/>
        <v/>
      </c>
      <c r="AU3505" s="1856" t="str">
        <f t="shared" si="563"/>
        <v/>
      </c>
      <c r="AV3505" s="1856" t="str">
        <f t="shared" si="564"/>
        <v/>
      </c>
      <c r="AW3505" s="1856" t="str">
        <f t="shared" si="565"/>
        <v/>
      </c>
      <c r="AX3505" s="1856" t="str">
        <f t="shared" si="566"/>
        <v/>
      </c>
      <c r="AY3505" s="1856" t="str">
        <f t="shared" si="567"/>
        <v/>
      </c>
    </row>
    <row r="3506" spans="42:51">
      <c r="AP3506" s="1855">
        <f t="shared" si="568"/>
        <v>44948</v>
      </c>
      <c r="AQ3506" s="925" t="str">
        <f t="shared" si="561"/>
        <v>SR</v>
      </c>
      <c r="AR3506" s="1856">
        <f t="shared" si="569"/>
        <v>44948.330555555556</v>
      </c>
      <c r="AS3506" s="927" t="s">
        <v>1094</v>
      </c>
      <c r="AT3506" s="1856" t="str">
        <f t="shared" si="562"/>
        <v/>
      </c>
      <c r="AU3506" s="1856" t="str">
        <f t="shared" si="563"/>
        <v/>
      </c>
      <c r="AV3506" s="1856" t="str">
        <f t="shared" si="564"/>
        <v/>
      </c>
      <c r="AW3506" s="1856" t="str">
        <f t="shared" si="565"/>
        <v/>
      </c>
      <c r="AX3506" s="1856" t="str">
        <f t="shared" si="566"/>
        <v/>
      </c>
      <c r="AY3506" s="1856" t="str">
        <f t="shared" si="567"/>
        <v/>
      </c>
    </row>
    <row r="3507" spans="42:51">
      <c r="AP3507" s="1855">
        <f t="shared" si="568"/>
        <v>44948</v>
      </c>
      <c r="AQ3507" s="925" t="str">
        <f t="shared" si="561"/>
        <v>MR</v>
      </c>
      <c r="AR3507" s="1856">
        <f t="shared" si="569"/>
        <v>44948.372916666667</v>
      </c>
      <c r="AS3507" s="927" t="s">
        <v>2471</v>
      </c>
      <c r="AT3507" s="1856" t="str">
        <f t="shared" si="562"/>
        <v/>
      </c>
      <c r="AU3507" s="1856" t="str">
        <f t="shared" si="563"/>
        <v/>
      </c>
      <c r="AV3507" s="1856" t="str">
        <f t="shared" si="564"/>
        <v/>
      </c>
      <c r="AW3507" s="1856" t="str">
        <f t="shared" si="565"/>
        <v/>
      </c>
      <c r="AX3507" s="1856" t="str">
        <f t="shared" si="566"/>
        <v/>
      </c>
      <c r="AY3507" s="1856" t="str">
        <f t="shared" si="567"/>
        <v/>
      </c>
    </row>
    <row r="3508" spans="42:51">
      <c r="AP3508" s="1855">
        <f t="shared" si="568"/>
        <v>44948</v>
      </c>
      <c r="AQ3508" s="925" t="str">
        <f t="shared" ref="AQ3508:AQ3571" si="570">IF(NOT(ISNUMBER(FIND(":",AS3508))),"",IF(ISNUMBER(FIND("Sunr",AS3508)),"SR", IF(ISNUMBER(FIND("Suns",AS3508)),"SS",IF(ISNUMBER(FIND("Moonr",AS3508)),"MR",IF(ISNUMBER(FIND("Moons",AS3508)),"MS",IF(ISNUMBER(FIND("Twi",AS3508)),IF(HOUR(AR3508)&lt;12,"BMNT","EENT")))))))</f>
        <v>SS</v>
      </c>
      <c r="AR3508" s="1856">
        <f t="shared" si="569"/>
        <v>44948.746527777781</v>
      </c>
      <c r="AS3508" s="927" t="s">
        <v>1123</v>
      </c>
      <c r="AT3508" s="1856" t="str">
        <f t="shared" si="562"/>
        <v/>
      </c>
      <c r="AU3508" s="1856" t="str">
        <f t="shared" si="563"/>
        <v/>
      </c>
      <c r="AV3508" s="1856" t="str">
        <f t="shared" si="564"/>
        <v/>
      </c>
      <c r="AW3508" s="1856" t="str">
        <f t="shared" si="565"/>
        <v/>
      </c>
      <c r="AX3508" s="1856" t="str">
        <f t="shared" si="566"/>
        <v/>
      </c>
      <c r="AY3508" s="1856" t="str">
        <f t="shared" si="567"/>
        <v/>
      </c>
    </row>
    <row r="3509" spans="42:51">
      <c r="AP3509" s="1855">
        <f t="shared" si="568"/>
        <v>44948</v>
      </c>
      <c r="AQ3509" s="925" t="str">
        <f t="shared" si="570"/>
        <v>EENT</v>
      </c>
      <c r="AR3509" s="1856">
        <f t="shared" si="569"/>
        <v>44948.788194444445</v>
      </c>
      <c r="AS3509" s="927" t="s">
        <v>1125</v>
      </c>
      <c r="AT3509" s="1856" t="str">
        <f t="shared" si="562"/>
        <v/>
      </c>
      <c r="AU3509" s="1856" t="str">
        <f t="shared" si="563"/>
        <v/>
      </c>
      <c r="AV3509" s="1856" t="str">
        <f t="shared" si="564"/>
        <v/>
      </c>
      <c r="AW3509" s="1856" t="str">
        <f t="shared" si="565"/>
        <v/>
      </c>
      <c r="AX3509" s="1856" t="str">
        <f t="shared" si="566"/>
        <v/>
      </c>
      <c r="AY3509" s="1856" t="str">
        <f t="shared" si="567"/>
        <v/>
      </c>
    </row>
    <row r="3510" spans="42:51">
      <c r="AP3510" s="1855">
        <f t="shared" si="568"/>
        <v>44948</v>
      </c>
      <c r="AQ3510" s="925" t="str">
        <f t="shared" si="570"/>
        <v>MS</v>
      </c>
      <c r="AR3510" s="1856">
        <f t="shared" si="569"/>
        <v>44948.79305555555</v>
      </c>
      <c r="AS3510" s="927" t="s">
        <v>2472</v>
      </c>
      <c r="AT3510" s="1856" t="str">
        <f t="shared" si="562"/>
        <v/>
      </c>
      <c r="AU3510" s="1856" t="str">
        <f t="shared" si="563"/>
        <v/>
      </c>
      <c r="AV3510" s="1856" t="str">
        <f t="shared" si="564"/>
        <v/>
      </c>
      <c r="AW3510" s="1856" t="str">
        <f t="shared" si="565"/>
        <v/>
      </c>
      <c r="AX3510" s="1856" t="str">
        <f t="shared" si="566"/>
        <v/>
      </c>
      <c r="AY3510" s="1856" t="str">
        <f t="shared" si="567"/>
        <v/>
      </c>
    </row>
    <row r="3511" spans="42:51">
      <c r="AP3511" s="1855">
        <f t="shared" si="568"/>
        <v>44949</v>
      </c>
      <c r="AQ3511" s="925" t="str">
        <f t="shared" si="570"/>
        <v/>
      </c>
      <c r="AR3511" s="1856" t="str">
        <f t="shared" si="569"/>
        <v/>
      </c>
      <c r="AS3511" s="927">
        <v>23</v>
      </c>
      <c r="AT3511" s="1856">
        <f t="shared" si="562"/>
        <v>44949.288194444445</v>
      </c>
      <c r="AU3511" s="1856">
        <f t="shared" si="563"/>
        <v>44949.329861111109</v>
      </c>
      <c r="AV3511" s="1856">
        <f t="shared" si="564"/>
        <v>44949.747222222228</v>
      </c>
      <c r="AW3511" s="1856">
        <f t="shared" si="565"/>
        <v>44949.788888888892</v>
      </c>
      <c r="AX3511" s="1856">
        <f t="shared" si="566"/>
        <v>44949.4</v>
      </c>
      <c r="AY3511" s="1856">
        <f t="shared" si="567"/>
        <v>44949.847222222226</v>
      </c>
    </row>
    <row r="3512" spans="42:51">
      <c r="AP3512" s="1855">
        <f t="shared" si="568"/>
        <v>44949</v>
      </c>
      <c r="AQ3512" s="925" t="str">
        <f t="shared" si="570"/>
        <v/>
      </c>
      <c r="AR3512" s="1856" t="str">
        <f t="shared" si="569"/>
        <v/>
      </c>
      <c r="AS3512" s="927" t="s">
        <v>252</v>
      </c>
      <c r="AT3512" s="1856" t="str">
        <f t="shared" si="562"/>
        <v/>
      </c>
      <c r="AU3512" s="1856" t="str">
        <f t="shared" si="563"/>
        <v/>
      </c>
      <c r="AV3512" s="1856" t="str">
        <f t="shared" si="564"/>
        <v/>
      </c>
      <c r="AW3512" s="1856" t="str">
        <f t="shared" si="565"/>
        <v/>
      </c>
      <c r="AX3512" s="1856" t="str">
        <f t="shared" si="566"/>
        <v/>
      </c>
      <c r="AY3512" s="1856" t="str">
        <f t="shared" si="567"/>
        <v/>
      </c>
    </row>
    <row r="3513" spans="42:51">
      <c r="AP3513" s="1855">
        <f t="shared" si="568"/>
        <v>44949</v>
      </c>
      <c r="AQ3513" s="925" t="str">
        <f t="shared" si="570"/>
        <v/>
      </c>
      <c r="AR3513" s="1856" t="str">
        <f t="shared" si="569"/>
        <v/>
      </c>
      <c r="AT3513" s="1856" t="str">
        <f t="shared" si="562"/>
        <v/>
      </c>
      <c r="AU3513" s="1856" t="str">
        <f t="shared" si="563"/>
        <v/>
      </c>
      <c r="AV3513" s="1856" t="str">
        <f t="shared" si="564"/>
        <v/>
      </c>
      <c r="AW3513" s="1856" t="str">
        <f t="shared" si="565"/>
        <v/>
      </c>
      <c r="AX3513" s="1856" t="str">
        <f t="shared" si="566"/>
        <v/>
      </c>
      <c r="AY3513" s="1856" t="str">
        <f t="shared" si="567"/>
        <v/>
      </c>
    </row>
    <row r="3514" spans="42:51">
      <c r="AP3514" s="1855">
        <f t="shared" si="568"/>
        <v>44949</v>
      </c>
      <c r="AQ3514" s="925" t="str">
        <f t="shared" si="570"/>
        <v>BMNT</v>
      </c>
      <c r="AR3514" s="1856">
        <f t="shared" si="569"/>
        <v>44949.288194444445</v>
      </c>
      <c r="AS3514" s="927" t="s">
        <v>1117</v>
      </c>
      <c r="AT3514" s="1856" t="str">
        <f t="shared" si="562"/>
        <v/>
      </c>
      <c r="AU3514" s="1856" t="str">
        <f t="shared" si="563"/>
        <v/>
      </c>
      <c r="AV3514" s="1856" t="str">
        <f t="shared" si="564"/>
        <v/>
      </c>
      <c r="AW3514" s="1856" t="str">
        <f t="shared" si="565"/>
        <v/>
      </c>
      <c r="AX3514" s="1856" t="str">
        <f t="shared" si="566"/>
        <v/>
      </c>
      <c r="AY3514" s="1856" t="str">
        <f t="shared" si="567"/>
        <v/>
      </c>
    </row>
    <row r="3515" spans="42:51">
      <c r="AP3515" s="1855">
        <f t="shared" si="568"/>
        <v>44949</v>
      </c>
      <c r="AQ3515" s="925" t="str">
        <f t="shared" si="570"/>
        <v>SR</v>
      </c>
      <c r="AR3515" s="1856">
        <f t="shared" si="569"/>
        <v>44949.329861111109</v>
      </c>
      <c r="AS3515" s="927" t="s">
        <v>1119</v>
      </c>
      <c r="AT3515" s="1856" t="str">
        <f t="shared" si="562"/>
        <v/>
      </c>
      <c r="AU3515" s="1856" t="str">
        <f t="shared" si="563"/>
        <v/>
      </c>
      <c r="AV3515" s="1856" t="str">
        <f t="shared" si="564"/>
        <v/>
      </c>
      <c r="AW3515" s="1856" t="str">
        <f t="shared" si="565"/>
        <v/>
      </c>
      <c r="AX3515" s="1856" t="str">
        <f t="shared" si="566"/>
        <v/>
      </c>
      <c r="AY3515" s="1856" t="str">
        <f t="shared" si="567"/>
        <v/>
      </c>
    </row>
    <row r="3516" spans="42:51">
      <c r="AP3516" s="1855">
        <f t="shared" si="568"/>
        <v>44949</v>
      </c>
      <c r="AQ3516" s="925" t="str">
        <f t="shared" si="570"/>
        <v>MR</v>
      </c>
      <c r="AR3516" s="1856">
        <f t="shared" si="569"/>
        <v>44949.4</v>
      </c>
      <c r="AS3516" s="927" t="s">
        <v>2473</v>
      </c>
      <c r="AT3516" s="1856" t="str">
        <f t="shared" si="562"/>
        <v/>
      </c>
      <c r="AU3516" s="1856" t="str">
        <f t="shared" si="563"/>
        <v/>
      </c>
      <c r="AV3516" s="1856" t="str">
        <f t="shared" si="564"/>
        <v/>
      </c>
      <c r="AW3516" s="1856" t="str">
        <f t="shared" si="565"/>
        <v/>
      </c>
      <c r="AX3516" s="1856" t="str">
        <f t="shared" si="566"/>
        <v/>
      </c>
      <c r="AY3516" s="1856" t="str">
        <f t="shared" si="567"/>
        <v/>
      </c>
    </row>
    <row r="3517" spans="42:51">
      <c r="AP3517" s="1855">
        <f t="shared" si="568"/>
        <v>44949</v>
      </c>
      <c r="AQ3517" s="925" t="str">
        <f t="shared" si="570"/>
        <v>SS</v>
      </c>
      <c r="AR3517" s="1856">
        <f t="shared" si="569"/>
        <v>44949.747222222228</v>
      </c>
      <c r="AS3517" s="927" t="s">
        <v>1136</v>
      </c>
      <c r="AT3517" s="1856" t="str">
        <f t="shared" si="562"/>
        <v/>
      </c>
      <c r="AU3517" s="1856" t="str">
        <f t="shared" si="563"/>
        <v/>
      </c>
      <c r="AV3517" s="1856" t="str">
        <f t="shared" si="564"/>
        <v/>
      </c>
      <c r="AW3517" s="1856" t="str">
        <f t="shared" si="565"/>
        <v/>
      </c>
      <c r="AX3517" s="1856" t="str">
        <f t="shared" si="566"/>
        <v/>
      </c>
      <c r="AY3517" s="1856" t="str">
        <f t="shared" si="567"/>
        <v/>
      </c>
    </row>
    <row r="3518" spans="42:51">
      <c r="AP3518" s="1855">
        <f t="shared" si="568"/>
        <v>44949</v>
      </c>
      <c r="AQ3518" s="925" t="str">
        <f t="shared" si="570"/>
        <v>EENT</v>
      </c>
      <c r="AR3518" s="1856">
        <f t="shared" si="569"/>
        <v>44949.788888888892</v>
      </c>
      <c r="AS3518" s="927" t="s">
        <v>1138</v>
      </c>
      <c r="AT3518" s="1856" t="str">
        <f t="shared" si="562"/>
        <v/>
      </c>
      <c r="AU3518" s="1856" t="str">
        <f t="shared" si="563"/>
        <v/>
      </c>
      <c r="AV3518" s="1856" t="str">
        <f t="shared" si="564"/>
        <v/>
      </c>
      <c r="AW3518" s="1856" t="str">
        <f t="shared" si="565"/>
        <v/>
      </c>
      <c r="AX3518" s="1856" t="str">
        <f t="shared" si="566"/>
        <v/>
      </c>
      <c r="AY3518" s="1856" t="str">
        <f t="shared" si="567"/>
        <v/>
      </c>
    </row>
    <row r="3519" spans="42:51">
      <c r="AP3519" s="1855">
        <f t="shared" si="568"/>
        <v>44949</v>
      </c>
      <c r="AQ3519" s="925" t="str">
        <f t="shared" si="570"/>
        <v>MS</v>
      </c>
      <c r="AR3519" s="1856">
        <f t="shared" si="569"/>
        <v>44949.847222222226</v>
      </c>
      <c r="AS3519" s="927" t="s">
        <v>2474</v>
      </c>
      <c r="AT3519" s="1856" t="str">
        <f t="shared" si="562"/>
        <v/>
      </c>
      <c r="AU3519" s="1856" t="str">
        <f t="shared" si="563"/>
        <v/>
      </c>
      <c r="AV3519" s="1856" t="str">
        <f t="shared" si="564"/>
        <v/>
      </c>
      <c r="AW3519" s="1856" t="str">
        <f t="shared" si="565"/>
        <v/>
      </c>
      <c r="AX3519" s="1856" t="str">
        <f t="shared" si="566"/>
        <v/>
      </c>
      <c r="AY3519" s="1856" t="str">
        <f t="shared" si="567"/>
        <v/>
      </c>
    </row>
    <row r="3520" spans="42:51">
      <c r="AP3520" s="1855">
        <f t="shared" si="568"/>
        <v>44950</v>
      </c>
      <c r="AQ3520" s="925" t="str">
        <f t="shared" si="570"/>
        <v/>
      </c>
      <c r="AR3520" s="1856" t="str">
        <f t="shared" si="569"/>
        <v/>
      </c>
      <c r="AS3520" s="927">
        <v>24</v>
      </c>
      <c r="AT3520" s="1856">
        <f t="shared" si="562"/>
        <v>44950.287499999999</v>
      </c>
      <c r="AU3520" s="1856">
        <f t="shared" si="563"/>
        <v>44950.329166666663</v>
      </c>
      <c r="AV3520" s="1856">
        <f t="shared" si="564"/>
        <v>44950.747916666667</v>
      </c>
      <c r="AW3520" s="1856">
        <f t="shared" si="565"/>
        <v>44950.789583333331</v>
      </c>
      <c r="AX3520" s="1856">
        <f t="shared" si="566"/>
        <v>44950.422916666663</v>
      </c>
      <c r="AY3520" s="1856">
        <f t="shared" si="567"/>
        <v>44950.899305555555</v>
      </c>
    </row>
    <row r="3521" spans="42:51">
      <c r="AP3521" s="1855">
        <f t="shared" si="568"/>
        <v>44950</v>
      </c>
      <c r="AQ3521" s="925" t="str">
        <f t="shared" si="570"/>
        <v/>
      </c>
      <c r="AR3521" s="1856" t="str">
        <f t="shared" si="569"/>
        <v/>
      </c>
      <c r="AS3521" s="927" t="s">
        <v>252</v>
      </c>
      <c r="AT3521" s="1856" t="str">
        <f t="shared" si="562"/>
        <v/>
      </c>
      <c r="AU3521" s="1856" t="str">
        <f t="shared" si="563"/>
        <v/>
      </c>
      <c r="AV3521" s="1856" t="str">
        <f t="shared" si="564"/>
        <v/>
      </c>
      <c r="AW3521" s="1856" t="str">
        <f t="shared" si="565"/>
        <v/>
      </c>
      <c r="AX3521" s="1856" t="str">
        <f t="shared" si="566"/>
        <v/>
      </c>
      <c r="AY3521" s="1856" t="str">
        <f t="shared" si="567"/>
        <v/>
      </c>
    </row>
    <row r="3522" spans="42:51">
      <c r="AP3522" s="1855">
        <f t="shared" si="568"/>
        <v>44950</v>
      </c>
      <c r="AQ3522" s="925" t="str">
        <f t="shared" si="570"/>
        <v/>
      </c>
      <c r="AR3522" s="1856" t="str">
        <f t="shared" si="569"/>
        <v/>
      </c>
      <c r="AT3522" s="1856" t="str">
        <f t="shared" si="562"/>
        <v/>
      </c>
      <c r="AU3522" s="1856" t="str">
        <f t="shared" si="563"/>
        <v/>
      </c>
      <c r="AV3522" s="1856" t="str">
        <f t="shared" si="564"/>
        <v/>
      </c>
      <c r="AW3522" s="1856" t="str">
        <f t="shared" si="565"/>
        <v/>
      </c>
      <c r="AX3522" s="1856" t="str">
        <f t="shared" si="566"/>
        <v/>
      </c>
      <c r="AY3522" s="1856" t="str">
        <f t="shared" si="567"/>
        <v/>
      </c>
    </row>
    <row r="3523" spans="42:51">
      <c r="AP3523" s="1855">
        <f t="shared" si="568"/>
        <v>44950</v>
      </c>
      <c r="AQ3523" s="925" t="str">
        <f t="shared" si="570"/>
        <v>BMNT</v>
      </c>
      <c r="AR3523" s="1856">
        <f t="shared" si="569"/>
        <v>44950.287499999999</v>
      </c>
      <c r="AS3523" s="927" t="s">
        <v>1145</v>
      </c>
      <c r="AT3523" s="1856" t="str">
        <f t="shared" si="562"/>
        <v/>
      </c>
      <c r="AU3523" s="1856" t="str">
        <f t="shared" si="563"/>
        <v/>
      </c>
      <c r="AV3523" s="1856" t="str">
        <f t="shared" si="564"/>
        <v/>
      </c>
      <c r="AW3523" s="1856" t="str">
        <f t="shared" si="565"/>
        <v/>
      </c>
      <c r="AX3523" s="1856" t="str">
        <f t="shared" si="566"/>
        <v/>
      </c>
      <c r="AY3523" s="1856" t="str">
        <f t="shared" si="567"/>
        <v/>
      </c>
    </row>
    <row r="3524" spans="42:51">
      <c r="AP3524" s="1855">
        <f t="shared" si="568"/>
        <v>44950</v>
      </c>
      <c r="AQ3524" s="925" t="str">
        <f t="shared" si="570"/>
        <v>SR</v>
      </c>
      <c r="AR3524" s="1856">
        <f t="shared" si="569"/>
        <v>44950.329166666663</v>
      </c>
      <c r="AS3524" s="927" t="s">
        <v>1147</v>
      </c>
      <c r="AT3524" s="1856" t="str">
        <f t="shared" si="562"/>
        <v/>
      </c>
      <c r="AU3524" s="1856" t="str">
        <f t="shared" si="563"/>
        <v/>
      </c>
      <c r="AV3524" s="1856" t="str">
        <f t="shared" si="564"/>
        <v/>
      </c>
      <c r="AW3524" s="1856" t="str">
        <f t="shared" si="565"/>
        <v/>
      </c>
      <c r="AX3524" s="1856" t="str">
        <f t="shared" si="566"/>
        <v/>
      </c>
      <c r="AY3524" s="1856" t="str">
        <f t="shared" si="567"/>
        <v/>
      </c>
    </row>
    <row r="3525" spans="42:51">
      <c r="AP3525" s="1855">
        <f t="shared" si="568"/>
        <v>44950</v>
      </c>
      <c r="AQ3525" s="925" t="str">
        <f t="shared" si="570"/>
        <v>MR</v>
      </c>
      <c r="AR3525" s="1856">
        <f t="shared" si="569"/>
        <v>44950.422916666663</v>
      </c>
      <c r="AS3525" s="927" t="s">
        <v>2475</v>
      </c>
      <c r="AT3525" s="1856" t="str">
        <f t="shared" si="562"/>
        <v/>
      </c>
      <c r="AU3525" s="1856" t="str">
        <f t="shared" si="563"/>
        <v/>
      </c>
      <c r="AV3525" s="1856" t="str">
        <f t="shared" si="564"/>
        <v/>
      </c>
      <c r="AW3525" s="1856" t="str">
        <f t="shared" si="565"/>
        <v/>
      </c>
      <c r="AX3525" s="1856" t="str">
        <f t="shared" si="566"/>
        <v/>
      </c>
      <c r="AY3525" s="1856" t="str">
        <f t="shared" si="567"/>
        <v/>
      </c>
    </row>
    <row r="3526" spans="42:51">
      <c r="AP3526" s="1855">
        <f t="shared" si="568"/>
        <v>44950</v>
      </c>
      <c r="AQ3526" s="925" t="str">
        <f t="shared" si="570"/>
        <v>SS</v>
      </c>
      <c r="AR3526" s="1856">
        <f t="shared" si="569"/>
        <v>44950.747916666667</v>
      </c>
      <c r="AS3526" s="927" t="s">
        <v>1150</v>
      </c>
      <c r="AT3526" s="1856" t="str">
        <f t="shared" si="562"/>
        <v/>
      </c>
      <c r="AU3526" s="1856" t="str">
        <f t="shared" si="563"/>
        <v/>
      </c>
      <c r="AV3526" s="1856" t="str">
        <f t="shared" si="564"/>
        <v/>
      </c>
      <c r="AW3526" s="1856" t="str">
        <f t="shared" si="565"/>
        <v/>
      </c>
      <c r="AX3526" s="1856" t="str">
        <f t="shared" si="566"/>
        <v/>
      </c>
      <c r="AY3526" s="1856" t="str">
        <f t="shared" si="567"/>
        <v/>
      </c>
    </row>
    <row r="3527" spans="42:51">
      <c r="AP3527" s="1855">
        <f t="shared" si="568"/>
        <v>44950</v>
      </c>
      <c r="AQ3527" s="925" t="str">
        <f t="shared" si="570"/>
        <v>EENT</v>
      </c>
      <c r="AR3527" s="1856">
        <f t="shared" si="569"/>
        <v>44950.789583333331</v>
      </c>
      <c r="AS3527" s="927" t="s">
        <v>1151</v>
      </c>
      <c r="AT3527" s="1856" t="str">
        <f t="shared" si="562"/>
        <v/>
      </c>
      <c r="AU3527" s="1856" t="str">
        <f t="shared" si="563"/>
        <v/>
      </c>
      <c r="AV3527" s="1856" t="str">
        <f t="shared" si="564"/>
        <v/>
      </c>
      <c r="AW3527" s="1856" t="str">
        <f t="shared" si="565"/>
        <v/>
      </c>
      <c r="AX3527" s="1856" t="str">
        <f t="shared" si="566"/>
        <v/>
      </c>
      <c r="AY3527" s="1856" t="str">
        <f t="shared" si="567"/>
        <v/>
      </c>
    </row>
    <row r="3528" spans="42:51">
      <c r="AP3528" s="1855">
        <f t="shared" si="568"/>
        <v>44950</v>
      </c>
      <c r="AQ3528" s="925" t="str">
        <f t="shared" si="570"/>
        <v>MS</v>
      </c>
      <c r="AR3528" s="1856">
        <f t="shared" si="569"/>
        <v>44950.899305555555</v>
      </c>
      <c r="AS3528" s="927" t="s">
        <v>2476</v>
      </c>
      <c r="AT3528" s="1856" t="str">
        <f t="shared" si="562"/>
        <v/>
      </c>
      <c r="AU3528" s="1856" t="str">
        <f t="shared" si="563"/>
        <v/>
      </c>
      <c r="AV3528" s="1856" t="str">
        <f t="shared" si="564"/>
        <v/>
      </c>
      <c r="AW3528" s="1856" t="str">
        <f t="shared" si="565"/>
        <v/>
      </c>
      <c r="AX3528" s="1856" t="str">
        <f t="shared" si="566"/>
        <v/>
      </c>
      <c r="AY3528" s="1856" t="str">
        <f t="shared" si="567"/>
        <v/>
      </c>
    </row>
    <row r="3529" spans="42:51">
      <c r="AP3529" s="1855">
        <f t="shared" si="568"/>
        <v>44951</v>
      </c>
      <c r="AQ3529" s="925" t="str">
        <f t="shared" si="570"/>
        <v/>
      </c>
      <c r="AR3529" s="1856" t="str">
        <f t="shared" si="569"/>
        <v/>
      </c>
      <c r="AS3529" s="927">
        <v>25</v>
      </c>
      <c r="AT3529" s="1856">
        <f t="shared" si="562"/>
        <v>44951.287499999999</v>
      </c>
      <c r="AU3529" s="1856">
        <f t="shared" si="563"/>
        <v>44951.329166666663</v>
      </c>
      <c r="AV3529" s="1856">
        <f t="shared" si="564"/>
        <v>44951.748611111114</v>
      </c>
      <c r="AW3529" s="1856">
        <f t="shared" si="565"/>
        <v>44951.790277777778</v>
      </c>
      <c r="AX3529" s="1856">
        <f t="shared" si="566"/>
        <v>44951.442361111105</v>
      </c>
      <c r="AY3529" s="1856">
        <f t="shared" si="567"/>
        <v>44951.947916666664</v>
      </c>
    </row>
    <row r="3530" spans="42:51">
      <c r="AP3530" s="1855">
        <f t="shared" si="568"/>
        <v>44951</v>
      </c>
      <c r="AQ3530" s="925" t="str">
        <f t="shared" si="570"/>
        <v/>
      </c>
      <c r="AR3530" s="1856" t="str">
        <f t="shared" si="569"/>
        <v/>
      </c>
      <c r="AS3530" s="927" t="s">
        <v>252</v>
      </c>
      <c r="AT3530" s="1856" t="str">
        <f t="shared" si="562"/>
        <v/>
      </c>
      <c r="AU3530" s="1856" t="str">
        <f t="shared" si="563"/>
        <v/>
      </c>
      <c r="AV3530" s="1856" t="str">
        <f t="shared" si="564"/>
        <v/>
      </c>
      <c r="AW3530" s="1856" t="str">
        <f t="shared" si="565"/>
        <v/>
      </c>
      <c r="AX3530" s="1856" t="str">
        <f t="shared" si="566"/>
        <v/>
      </c>
      <c r="AY3530" s="1856" t="str">
        <f t="shared" si="567"/>
        <v/>
      </c>
    </row>
    <row r="3531" spans="42:51">
      <c r="AP3531" s="1855">
        <f t="shared" si="568"/>
        <v>44951</v>
      </c>
      <c r="AQ3531" s="925" t="str">
        <f t="shared" si="570"/>
        <v/>
      </c>
      <c r="AR3531" s="1856" t="str">
        <f t="shared" si="569"/>
        <v/>
      </c>
      <c r="AT3531" s="1856" t="str">
        <f t="shared" si="562"/>
        <v/>
      </c>
      <c r="AU3531" s="1856" t="str">
        <f t="shared" si="563"/>
        <v/>
      </c>
      <c r="AV3531" s="1856" t="str">
        <f t="shared" si="564"/>
        <v/>
      </c>
      <c r="AW3531" s="1856" t="str">
        <f t="shared" si="565"/>
        <v/>
      </c>
      <c r="AX3531" s="1856" t="str">
        <f t="shared" si="566"/>
        <v/>
      </c>
      <c r="AY3531" s="1856" t="str">
        <f t="shared" si="567"/>
        <v/>
      </c>
    </row>
    <row r="3532" spans="42:51">
      <c r="AP3532" s="1855">
        <f t="shared" si="568"/>
        <v>44951</v>
      </c>
      <c r="AQ3532" s="925" t="str">
        <f t="shared" si="570"/>
        <v>BMNT</v>
      </c>
      <c r="AR3532" s="1856">
        <f t="shared" si="569"/>
        <v>44951.287499999999</v>
      </c>
      <c r="AS3532" s="927" t="s">
        <v>1145</v>
      </c>
      <c r="AT3532" s="1856" t="str">
        <f t="shared" si="562"/>
        <v/>
      </c>
      <c r="AU3532" s="1856" t="str">
        <f t="shared" si="563"/>
        <v/>
      </c>
      <c r="AV3532" s="1856" t="str">
        <f t="shared" si="564"/>
        <v/>
      </c>
      <c r="AW3532" s="1856" t="str">
        <f t="shared" si="565"/>
        <v/>
      </c>
      <c r="AX3532" s="1856" t="str">
        <f t="shared" si="566"/>
        <v/>
      </c>
      <c r="AY3532" s="1856" t="str">
        <f t="shared" si="567"/>
        <v/>
      </c>
    </row>
    <row r="3533" spans="42:51">
      <c r="AP3533" s="1855">
        <f t="shared" si="568"/>
        <v>44951</v>
      </c>
      <c r="AQ3533" s="925" t="str">
        <f t="shared" si="570"/>
        <v>SR</v>
      </c>
      <c r="AR3533" s="1856">
        <f t="shared" si="569"/>
        <v>44951.329166666663</v>
      </c>
      <c r="AS3533" s="927" t="s">
        <v>1147</v>
      </c>
      <c r="AT3533" s="1856" t="str">
        <f t="shared" si="562"/>
        <v/>
      </c>
      <c r="AU3533" s="1856" t="str">
        <f t="shared" si="563"/>
        <v/>
      </c>
      <c r="AV3533" s="1856" t="str">
        <f t="shared" si="564"/>
        <v/>
      </c>
      <c r="AW3533" s="1856" t="str">
        <f t="shared" si="565"/>
        <v/>
      </c>
      <c r="AX3533" s="1856" t="str">
        <f t="shared" si="566"/>
        <v/>
      </c>
      <c r="AY3533" s="1856" t="str">
        <f t="shared" si="567"/>
        <v/>
      </c>
    </row>
    <row r="3534" spans="42:51">
      <c r="AP3534" s="1855">
        <f t="shared" si="568"/>
        <v>44951</v>
      </c>
      <c r="AQ3534" s="925" t="str">
        <f t="shared" si="570"/>
        <v>MR</v>
      </c>
      <c r="AR3534" s="1856">
        <f t="shared" si="569"/>
        <v>44951.442361111105</v>
      </c>
      <c r="AS3534" s="927" t="s">
        <v>2477</v>
      </c>
      <c r="AT3534" s="1856" t="str">
        <f t="shared" si="562"/>
        <v/>
      </c>
      <c r="AU3534" s="1856" t="str">
        <f t="shared" si="563"/>
        <v/>
      </c>
      <c r="AV3534" s="1856" t="str">
        <f t="shared" si="564"/>
        <v/>
      </c>
      <c r="AW3534" s="1856" t="str">
        <f t="shared" si="565"/>
        <v/>
      </c>
      <c r="AX3534" s="1856" t="str">
        <f t="shared" si="566"/>
        <v/>
      </c>
      <c r="AY3534" s="1856" t="str">
        <f t="shared" si="567"/>
        <v/>
      </c>
    </row>
    <row r="3535" spans="42:51">
      <c r="AP3535" s="1855">
        <f t="shared" si="568"/>
        <v>44951</v>
      </c>
      <c r="AQ3535" s="925" t="str">
        <f t="shared" si="570"/>
        <v>SS</v>
      </c>
      <c r="AR3535" s="1856">
        <f t="shared" si="569"/>
        <v>44951.748611111114</v>
      </c>
      <c r="AS3535" s="927" t="s">
        <v>1162</v>
      </c>
      <c r="AT3535" s="1856" t="str">
        <f t="shared" si="562"/>
        <v/>
      </c>
      <c r="AU3535" s="1856" t="str">
        <f t="shared" si="563"/>
        <v/>
      </c>
      <c r="AV3535" s="1856" t="str">
        <f t="shared" si="564"/>
        <v/>
      </c>
      <c r="AW3535" s="1856" t="str">
        <f t="shared" si="565"/>
        <v/>
      </c>
      <c r="AX3535" s="1856" t="str">
        <f t="shared" si="566"/>
        <v/>
      </c>
      <c r="AY3535" s="1856" t="str">
        <f t="shared" si="567"/>
        <v/>
      </c>
    </row>
    <row r="3536" spans="42:51">
      <c r="AP3536" s="1855">
        <f t="shared" si="568"/>
        <v>44951</v>
      </c>
      <c r="AQ3536" s="925" t="str">
        <f t="shared" si="570"/>
        <v>EENT</v>
      </c>
      <c r="AR3536" s="1856">
        <f t="shared" si="569"/>
        <v>44951.790277777778</v>
      </c>
      <c r="AS3536" s="927" t="s">
        <v>1163</v>
      </c>
      <c r="AT3536" s="1856" t="str">
        <f t="shared" si="562"/>
        <v/>
      </c>
      <c r="AU3536" s="1856" t="str">
        <f t="shared" si="563"/>
        <v/>
      </c>
      <c r="AV3536" s="1856" t="str">
        <f t="shared" si="564"/>
        <v/>
      </c>
      <c r="AW3536" s="1856" t="str">
        <f t="shared" si="565"/>
        <v/>
      </c>
      <c r="AX3536" s="1856" t="str">
        <f t="shared" si="566"/>
        <v/>
      </c>
      <c r="AY3536" s="1856" t="str">
        <f t="shared" si="567"/>
        <v/>
      </c>
    </row>
    <row r="3537" spans="42:51">
      <c r="AP3537" s="1855">
        <f t="shared" si="568"/>
        <v>44951</v>
      </c>
      <c r="AQ3537" s="925" t="str">
        <f t="shared" si="570"/>
        <v>MS</v>
      </c>
      <c r="AR3537" s="1856">
        <f t="shared" si="569"/>
        <v>44951.947916666664</v>
      </c>
      <c r="AS3537" s="927" t="s">
        <v>2478</v>
      </c>
      <c r="AT3537" s="1856" t="str">
        <f t="shared" si="562"/>
        <v/>
      </c>
      <c r="AU3537" s="1856" t="str">
        <f t="shared" si="563"/>
        <v/>
      </c>
      <c r="AV3537" s="1856" t="str">
        <f t="shared" si="564"/>
        <v/>
      </c>
      <c r="AW3537" s="1856" t="str">
        <f t="shared" si="565"/>
        <v/>
      </c>
      <c r="AX3537" s="1856" t="str">
        <f t="shared" si="566"/>
        <v/>
      </c>
      <c r="AY3537" s="1856" t="str">
        <f t="shared" si="567"/>
        <v/>
      </c>
    </row>
    <row r="3538" spans="42:51">
      <c r="AP3538" s="1855">
        <f t="shared" si="568"/>
        <v>44952</v>
      </c>
      <c r="AQ3538" s="925" t="str">
        <f t="shared" si="570"/>
        <v/>
      </c>
      <c r="AR3538" s="1856" t="str">
        <f t="shared" si="569"/>
        <v/>
      </c>
      <c r="AS3538" s="927">
        <v>26</v>
      </c>
      <c r="AT3538" s="1856">
        <f t="shared" si="562"/>
        <v>44952.286805555559</v>
      </c>
      <c r="AU3538" s="1856">
        <f t="shared" si="563"/>
        <v>44952.328472222223</v>
      </c>
      <c r="AV3538" s="1856">
        <f t="shared" si="564"/>
        <v>44952.749305555561</v>
      </c>
      <c r="AW3538" s="1856">
        <f t="shared" si="565"/>
        <v>44952.790972222225</v>
      </c>
      <c r="AX3538" s="1856">
        <f t="shared" si="566"/>
        <v>44952.460416666669</v>
      </c>
      <c r="AY3538" s="1856">
        <f t="shared" si="567"/>
        <v>44952.995138888895</v>
      </c>
    </row>
    <row r="3539" spans="42:51">
      <c r="AP3539" s="1855">
        <f t="shared" si="568"/>
        <v>44952</v>
      </c>
      <c r="AQ3539" s="925" t="str">
        <f t="shared" si="570"/>
        <v/>
      </c>
      <c r="AR3539" s="1856" t="str">
        <f t="shared" si="569"/>
        <v/>
      </c>
      <c r="AS3539" s="927" t="s">
        <v>252</v>
      </c>
      <c r="AT3539" s="1856" t="str">
        <f t="shared" si="562"/>
        <v/>
      </c>
      <c r="AU3539" s="1856" t="str">
        <f t="shared" si="563"/>
        <v/>
      </c>
      <c r="AV3539" s="1856" t="str">
        <f t="shared" si="564"/>
        <v/>
      </c>
      <c r="AW3539" s="1856" t="str">
        <f t="shared" si="565"/>
        <v/>
      </c>
      <c r="AX3539" s="1856" t="str">
        <f t="shared" si="566"/>
        <v/>
      </c>
      <c r="AY3539" s="1856" t="str">
        <f t="shared" si="567"/>
        <v/>
      </c>
    </row>
    <row r="3540" spans="42:51">
      <c r="AP3540" s="1855">
        <f t="shared" si="568"/>
        <v>44952</v>
      </c>
      <c r="AQ3540" s="925" t="str">
        <f t="shared" si="570"/>
        <v/>
      </c>
      <c r="AR3540" s="1856" t="str">
        <f t="shared" si="569"/>
        <v/>
      </c>
      <c r="AT3540" s="1856" t="str">
        <f t="shared" si="562"/>
        <v/>
      </c>
      <c r="AU3540" s="1856" t="str">
        <f t="shared" si="563"/>
        <v/>
      </c>
      <c r="AV3540" s="1856" t="str">
        <f t="shared" si="564"/>
        <v/>
      </c>
      <c r="AW3540" s="1856" t="str">
        <f t="shared" si="565"/>
        <v/>
      </c>
      <c r="AX3540" s="1856" t="str">
        <f t="shared" si="566"/>
        <v/>
      </c>
      <c r="AY3540" s="1856" t="str">
        <f t="shared" si="567"/>
        <v/>
      </c>
    </row>
    <row r="3541" spans="42:51">
      <c r="AP3541" s="1855">
        <f t="shared" si="568"/>
        <v>44952</v>
      </c>
      <c r="AQ3541" s="925" t="str">
        <f t="shared" si="570"/>
        <v>BMNT</v>
      </c>
      <c r="AR3541" s="1856">
        <f t="shared" si="569"/>
        <v>44952.286805555559</v>
      </c>
      <c r="AS3541" s="927" t="s">
        <v>1168</v>
      </c>
      <c r="AT3541" s="1856" t="str">
        <f t="shared" si="562"/>
        <v/>
      </c>
      <c r="AU3541" s="1856" t="str">
        <f t="shared" si="563"/>
        <v/>
      </c>
      <c r="AV3541" s="1856" t="str">
        <f t="shared" si="564"/>
        <v/>
      </c>
      <c r="AW3541" s="1856" t="str">
        <f t="shared" si="565"/>
        <v/>
      </c>
      <c r="AX3541" s="1856" t="str">
        <f t="shared" si="566"/>
        <v/>
      </c>
      <c r="AY3541" s="1856" t="str">
        <f t="shared" si="567"/>
        <v/>
      </c>
    </row>
    <row r="3542" spans="42:51">
      <c r="AP3542" s="1855">
        <f t="shared" si="568"/>
        <v>44952</v>
      </c>
      <c r="AQ3542" s="925" t="str">
        <f t="shared" si="570"/>
        <v>SR</v>
      </c>
      <c r="AR3542" s="1856">
        <f t="shared" si="569"/>
        <v>44952.328472222223</v>
      </c>
      <c r="AS3542" s="927" t="s">
        <v>1169</v>
      </c>
      <c r="AT3542" s="1856" t="str">
        <f t="shared" si="562"/>
        <v/>
      </c>
      <c r="AU3542" s="1856" t="str">
        <f t="shared" si="563"/>
        <v/>
      </c>
      <c r="AV3542" s="1856" t="str">
        <f t="shared" si="564"/>
        <v/>
      </c>
      <c r="AW3542" s="1856" t="str">
        <f t="shared" si="565"/>
        <v/>
      </c>
      <c r="AX3542" s="1856" t="str">
        <f t="shared" si="566"/>
        <v/>
      </c>
      <c r="AY3542" s="1856" t="str">
        <f t="shared" si="567"/>
        <v/>
      </c>
    </row>
    <row r="3543" spans="42:51">
      <c r="AP3543" s="1855">
        <f t="shared" si="568"/>
        <v>44952</v>
      </c>
      <c r="AQ3543" s="925" t="str">
        <f t="shared" si="570"/>
        <v>MR</v>
      </c>
      <c r="AR3543" s="1856">
        <f t="shared" si="569"/>
        <v>44952.460416666669</v>
      </c>
      <c r="AS3543" s="927" t="s">
        <v>2479</v>
      </c>
      <c r="AT3543" s="1856" t="str">
        <f t="shared" si="562"/>
        <v/>
      </c>
      <c r="AU3543" s="1856" t="str">
        <f t="shared" si="563"/>
        <v/>
      </c>
      <c r="AV3543" s="1856" t="str">
        <f t="shared" si="564"/>
        <v/>
      </c>
      <c r="AW3543" s="1856" t="str">
        <f t="shared" si="565"/>
        <v/>
      </c>
      <c r="AX3543" s="1856" t="str">
        <f t="shared" si="566"/>
        <v/>
      </c>
      <c r="AY3543" s="1856" t="str">
        <f t="shared" si="567"/>
        <v/>
      </c>
    </row>
    <row r="3544" spans="42:51">
      <c r="AP3544" s="1855">
        <f t="shared" si="568"/>
        <v>44952</v>
      </c>
      <c r="AQ3544" s="925" t="str">
        <f t="shared" si="570"/>
        <v>SS</v>
      </c>
      <c r="AR3544" s="1856">
        <f t="shared" si="569"/>
        <v>44952.749305555561</v>
      </c>
      <c r="AS3544" s="927" t="s">
        <v>2480</v>
      </c>
      <c r="AT3544" s="1856" t="str">
        <f t="shared" si="562"/>
        <v/>
      </c>
      <c r="AU3544" s="1856" t="str">
        <f t="shared" si="563"/>
        <v/>
      </c>
      <c r="AV3544" s="1856" t="str">
        <f t="shared" si="564"/>
        <v/>
      </c>
      <c r="AW3544" s="1856" t="str">
        <f t="shared" si="565"/>
        <v/>
      </c>
      <c r="AX3544" s="1856" t="str">
        <f t="shared" si="566"/>
        <v/>
      </c>
      <c r="AY3544" s="1856" t="str">
        <f t="shared" si="567"/>
        <v/>
      </c>
    </row>
    <row r="3545" spans="42:51">
      <c r="AP3545" s="1855">
        <f t="shared" si="568"/>
        <v>44952</v>
      </c>
      <c r="AQ3545" s="925" t="str">
        <f t="shared" si="570"/>
        <v>EENT</v>
      </c>
      <c r="AR3545" s="1856">
        <f t="shared" si="569"/>
        <v>44952.790972222225</v>
      </c>
      <c r="AS3545" s="927" t="s">
        <v>1173</v>
      </c>
      <c r="AT3545" s="1856" t="str">
        <f t="shared" si="562"/>
        <v/>
      </c>
      <c r="AU3545" s="1856" t="str">
        <f t="shared" si="563"/>
        <v/>
      </c>
      <c r="AV3545" s="1856" t="str">
        <f t="shared" si="564"/>
        <v/>
      </c>
      <c r="AW3545" s="1856" t="str">
        <f t="shared" si="565"/>
        <v/>
      </c>
      <c r="AX3545" s="1856" t="str">
        <f t="shared" si="566"/>
        <v/>
      </c>
      <c r="AY3545" s="1856" t="str">
        <f t="shared" si="567"/>
        <v/>
      </c>
    </row>
    <row r="3546" spans="42:51">
      <c r="AP3546" s="1855">
        <f t="shared" si="568"/>
        <v>44952</v>
      </c>
      <c r="AQ3546" s="925" t="str">
        <f t="shared" si="570"/>
        <v>MS</v>
      </c>
      <c r="AR3546" s="1856">
        <f t="shared" si="569"/>
        <v>44952.995138888895</v>
      </c>
      <c r="AS3546" s="927" t="s">
        <v>2481</v>
      </c>
      <c r="AT3546" s="1856" t="str">
        <f t="shared" si="562"/>
        <v/>
      </c>
      <c r="AU3546" s="1856" t="str">
        <f t="shared" si="563"/>
        <v/>
      </c>
      <c r="AV3546" s="1856" t="str">
        <f t="shared" si="564"/>
        <v/>
      </c>
      <c r="AW3546" s="1856" t="str">
        <f t="shared" si="565"/>
        <v/>
      </c>
      <c r="AX3546" s="1856" t="str">
        <f t="shared" si="566"/>
        <v/>
      </c>
      <c r="AY3546" s="1856" t="str">
        <f t="shared" si="567"/>
        <v/>
      </c>
    </row>
    <row r="3547" spans="42:51">
      <c r="AP3547" s="1855">
        <f t="shared" si="568"/>
        <v>44953</v>
      </c>
      <c r="AQ3547" s="925" t="str">
        <f t="shared" si="570"/>
        <v/>
      </c>
      <c r="AR3547" s="1856" t="str">
        <f t="shared" si="569"/>
        <v/>
      </c>
      <c r="AS3547" s="927">
        <v>27</v>
      </c>
      <c r="AT3547" s="1856">
        <f t="shared" si="562"/>
        <v>44953.286805555559</v>
      </c>
      <c r="AU3547" s="1856">
        <f t="shared" si="563"/>
        <v>44953.327777777777</v>
      </c>
      <c r="AV3547" s="1856">
        <f t="shared" si="564"/>
        <v>44953.75</v>
      </c>
      <c r="AW3547" s="1856">
        <f t="shared" si="565"/>
        <v>44953.791666666664</v>
      </c>
      <c r="AX3547" s="1856">
        <f t="shared" si="566"/>
        <v>44953.478472222225</v>
      </c>
      <c r="AY3547" s="1856" t="str">
        <f t="shared" si="567"/>
        <v>NONE</v>
      </c>
    </row>
    <row r="3548" spans="42:51">
      <c r="AP3548" s="1855">
        <f t="shared" si="568"/>
        <v>44953</v>
      </c>
      <c r="AQ3548" s="925" t="str">
        <f t="shared" si="570"/>
        <v/>
      </c>
      <c r="AR3548" s="1856" t="str">
        <f t="shared" si="569"/>
        <v/>
      </c>
      <c r="AS3548" s="927" t="s">
        <v>252</v>
      </c>
      <c r="AT3548" s="1856" t="str">
        <f t="shared" ref="AT3548:AT3611" si="571">IF(ISNUMBER(AS3548),INDEX(AR3549:AR3559,MATCH($AT$27,AQ3549:AQ3559,0)),"")</f>
        <v/>
      </c>
      <c r="AU3548" s="1856" t="str">
        <f t="shared" ref="AU3548:AU3611" si="572">IF(AT3548="","",INDEX(AR3549:AR3559,MATCH($AU$27,AQ3549:AQ3559,0)))</f>
        <v/>
      </c>
      <c r="AV3548" s="1856" t="str">
        <f t="shared" ref="AV3548:AV3611" si="573">IF(AT3548="","",INDEX(AR3549:AR3559,MATCH($AV$27,AQ3549:AQ3559,0)))</f>
        <v/>
      </c>
      <c r="AW3548" s="1856" t="str">
        <f t="shared" ref="AW3548:AW3611" si="574">IF(AT3548="","",INDEX(AR3549:AR3559,MATCH($AW$27,AQ3549:AQ3559,0)))</f>
        <v/>
      </c>
      <c r="AX3548" s="1856" t="str">
        <f t="shared" ref="AX3548:AX3611" si="575">IF(AT3548="","",INDEX(AR3549:AR3559,MATCH($AX$27,AQ3549:AQ3559,0)))</f>
        <v/>
      </c>
      <c r="AY3548" s="1856" t="str">
        <f t="shared" ref="AY3548:AY3611" si="576">IF(AT3548="","",INDEX(AR3549:AR3559,MATCH($AY$27,AQ3549:AQ3559,0)))</f>
        <v/>
      </c>
    </row>
    <row r="3549" spans="42:51">
      <c r="AP3549" s="1855">
        <f t="shared" si="568"/>
        <v>44953</v>
      </c>
      <c r="AQ3549" s="925" t="str">
        <f t="shared" si="570"/>
        <v/>
      </c>
      <c r="AR3549" s="1856" t="str">
        <f t="shared" si="569"/>
        <v/>
      </c>
      <c r="AT3549" s="1856" t="str">
        <f t="shared" si="571"/>
        <v/>
      </c>
      <c r="AU3549" s="1856" t="str">
        <f t="shared" si="572"/>
        <v/>
      </c>
      <c r="AV3549" s="1856" t="str">
        <f t="shared" si="573"/>
        <v/>
      </c>
      <c r="AW3549" s="1856" t="str">
        <f t="shared" si="574"/>
        <v/>
      </c>
      <c r="AX3549" s="1856" t="str">
        <f t="shared" si="575"/>
        <v/>
      </c>
      <c r="AY3549" s="1856" t="str">
        <f t="shared" si="576"/>
        <v/>
      </c>
    </row>
    <row r="3550" spans="42:51">
      <c r="AP3550" s="1855">
        <f t="shared" si="568"/>
        <v>44953</v>
      </c>
      <c r="AQ3550" s="925" t="str">
        <f t="shared" si="570"/>
        <v>BMNT</v>
      </c>
      <c r="AR3550" s="1856">
        <f t="shared" si="569"/>
        <v>44953.286805555559</v>
      </c>
      <c r="AS3550" s="927" t="s">
        <v>1168</v>
      </c>
      <c r="AT3550" s="1856" t="str">
        <f t="shared" si="571"/>
        <v/>
      </c>
      <c r="AU3550" s="1856" t="str">
        <f t="shared" si="572"/>
        <v/>
      </c>
      <c r="AV3550" s="1856" t="str">
        <f t="shared" si="573"/>
        <v/>
      </c>
      <c r="AW3550" s="1856" t="str">
        <f t="shared" si="574"/>
        <v/>
      </c>
      <c r="AX3550" s="1856" t="str">
        <f t="shared" si="575"/>
        <v/>
      </c>
      <c r="AY3550" s="1856" t="str">
        <f t="shared" si="576"/>
        <v/>
      </c>
    </row>
    <row r="3551" spans="42:51">
      <c r="AP3551" s="1855">
        <f t="shared" si="568"/>
        <v>44953</v>
      </c>
      <c r="AQ3551" s="925" t="str">
        <f t="shared" si="570"/>
        <v>SR</v>
      </c>
      <c r="AR3551" s="1856">
        <f t="shared" si="569"/>
        <v>44953.327777777777</v>
      </c>
      <c r="AS3551" s="927" t="s">
        <v>1183</v>
      </c>
      <c r="AT3551" s="1856" t="str">
        <f t="shared" si="571"/>
        <v/>
      </c>
      <c r="AU3551" s="1856" t="str">
        <f t="shared" si="572"/>
        <v/>
      </c>
      <c r="AV3551" s="1856" t="str">
        <f t="shared" si="573"/>
        <v/>
      </c>
      <c r="AW3551" s="1856" t="str">
        <f t="shared" si="574"/>
        <v/>
      </c>
      <c r="AX3551" s="1856" t="str">
        <f t="shared" si="575"/>
        <v/>
      </c>
      <c r="AY3551" s="1856" t="str">
        <f t="shared" si="576"/>
        <v/>
      </c>
    </row>
    <row r="3552" spans="42:51">
      <c r="AP3552" s="1855">
        <f t="shared" si="568"/>
        <v>44953</v>
      </c>
      <c r="AQ3552" s="925" t="str">
        <f t="shared" si="570"/>
        <v>MR</v>
      </c>
      <c r="AR3552" s="1856">
        <f t="shared" si="569"/>
        <v>44953.478472222225</v>
      </c>
      <c r="AS3552" s="927" t="s">
        <v>2482</v>
      </c>
      <c r="AT3552" s="1856" t="str">
        <f t="shared" si="571"/>
        <v/>
      </c>
      <c r="AU3552" s="1856" t="str">
        <f t="shared" si="572"/>
        <v/>
      </c>
      <c r="AV3552" s="1856" t="str">
        <f t="shared" si="573"/>
        <v/>
      </c>
      <c r="AW3552" s="1856" t="str">
        <f t="shared" si="574"/>
        <v/>
      </c>
      <c r="AX3552" s="1856" t="str">
        <f t="shared" si="575"/>
        <v/>
      </c>
      <c r="AY3552" s="1856" t="str">
        <f t="shared" si="576"/>
        <v/>
      </c>
    </row>
    <row r="3553" spans="42:51">
      <c r="AP3553" s="1855">
        <f t="shared" si="568"/>
        <v>44953</v>
      </c>
      <c r="AQ3553" s="925" t="str">
        <f t="shared" si="570"/>
        <v>SS</v>
      </c>
      <c r="AR3553" s="1856">
        <f t="shared" si="569"/>
        <v>44953.75</v>
      </c>
      <c r="AS3553" s="927" t="s">
        <v>1171</v>
      </c>
      <c r="AT3553" s="1856" t="str">
        <f t="shared" si="571"/>
        <v/>
      </c>
      <c r="AU3553" s="1856" t="str">
        <f t="shared" si="572"/>
        <v/>
      </c>
      <c r="AV3553" s="1856" t="str">
        <f t="shared" si="573"/>
        <v/>
      </c>
      <c r="AW3553" s="1856" t="str">
        <f t="shared" si="574"/>
        <v/>
      </c>
      <c r="AX3553" s="1856" t="str">
        <f t="shared" si="575"/>
        <v/>
      </c>
      <c r="AY3553" s="1856" t="str">
        <f t="shared" si="576"/>
        <v/>
      </c>
    </row>
    <row r="3554" spans="42:51">
      <c r="AP3554" s="1855">
        <f t="shared" si="568"/>
        <v>44953</v>
      </c>
      <c r="AQ3554" s="925" t="str">
        <f t="shared" si="570"/>
        <v>EENT</v>
      </c>
      <c r="AR3554" s="1856">
        <f t="shared" si="569"/>
        <v>44953.791666666664</v>
      </c>
      <c r="AS3554" s="927" t="s">
        <v>1189</v>
      </c>
      <c r="AT3554" s="1856" t="str">
        <f t="shared" si="571"/>
        <v/>
      </c>
      <c r="AU3554" s="1856" t="str">
        <f t="shared" si="572"/>
        <v/>
      </c>
      <c r="AV3554" s="1856" t="str">
        <f t="shared" si="573"/>
        <v/>
      </c>
      <c r="AW3554" s="1856" t="str">
        <f t="shared" si="574"/>
        <v/>
      </c>
      <c r="AX3554" s="1856" t="str">
        <f t="shared" si="575"/>
        <v/>
      </c>
      <c r="AY3554" s="1856" t="str">
        <f t="shared" si="576"/>
        <v/>
      </c>
    </row>
    <row r="3555" spans="42:51">
      <c r="AP3555" s="1855">
        <f t="shared" si="568"/>
        <v>44953</v>
      </c>
      <c r="AQ3555" s="925" t="str">
        <f t="shared" si="570"/>
        <v>MS</v>
      </c>
      <c r="AR3555" s="1856" t="str">
        <f t="shared" si="569"/>
        <v>NONE</v>
      </c>
      <c r="AS3555" s="927" t="s">
        <v>948</v>
      </c>
      <c r="AT3555" s="1856" t="str">
        <f t="shared" si="571"/>
        <v/>
      </c>
      <c r="AU3555" s="1856" t="str">
        <f t="shared" si="572"/>
        <v/>
      </c>
      <c r="AV3555" s="1856" t="str">
        <f t="shared" si="573"/>
        <v/>
      </c>
      <c r="AW3555" s="1856" t="str">
        <f t="shared" si="574"/>
        <v/>
      </c>
      <c r="AX3555" s="1856" t="str">
        <f t="shared" si="575"/>
        <v/>
      </c>
      <c r="AY3555" s="1856" t="str">
        <f t="shared" si="576"/>
        <v/>
      </c>
    </row>
    <row r="3556" spans="42:51">
      <c r="AP3556" s="1855">
        <f t="shared" si="568"/>
        <v>44954</v>
      </c>
      <c r="AQ3556" s="925" t="str">
        <f t="shared" si="570"/>
        <v/>
      </c>
      <c r="AR3556" s="1856" t="str">
        <f t="shared" si="569"/>
        <v/>
      </c>
      <c r="AS3556" s="927">
        <v>28</v>
      </c>
      <c r="AT3556" s="1856">
        <f t="shared" si="571"/>
        <v>44954.286111111112</v>
      </c>
      <c r="AU3556" s="1856">
        <f t="shared" si="572"/>
        <v>44954.327777777777</v>
      </c>
      <c r="AV3556" s="1856">
        <f t="shared" si="573"/>
        <v>44954.750694444447</v>
      </c>
      <c r="AW3556" s="1856">
        <f t="shared" si="574"/>
        <v>44954.792361111111</v>
      </c>
      <c r="AX3556" s="1856">
        <f t="shared" si="575"/>
        <v>44954.496527777781</v>
      </c>
      <c r="AY3556" s="1856">
        <f t="shared" si="576"/>
        <v>44954.040972222225</v>
      </c>
    </row>
    <row r="3557" spans="42:51">
      <c r="AP3557" s="1855">
        <f t="shared" ref="AP3557:AP3620" si="577">IF(ISNUMBER(AS3557),AP3556+1,AP3556)</f>
        <v>44954</v>
      </c>
      <c r="AQ3557" s="925" t="str">
        <f t="shared" si="570"/>
        <v/>
      </c>
      <c r="AR3557" s="1856" t="str">
        <f t="shared" si="569"/>
        <v/>
      </c>
      <c r="AS3557" s="927" t="s">
        <v>252</v>
      </c>
      <c r="AT3557" s="1856" t="str">
        <f t="shared" si="571"/>
        <v/>
      </c>
      <c r="AU3557" s="1856" t="str">
        <f t="shared" si="572"/>
        <v/>
      </c>
      <c r="AV3557" s="1856" t="str">
        <f t="shared" si="573"/>
        <v/>
      </c>
      <c r="AW3557" s="1856" t="str">
        <f t="shared" si="574"/>
        <v/>
      </c>
      <c r="AX3557" s="1856" t="str">
        <f t="shared" si="575"/>
        <v/>
      </c>
      <c r="AY3557" s="1856" t="str">
        <f t="shared" si="576"/>
        <v/>
      </c>
    </row>
    <row r="3558" spans="42:51">
      <c r="AP3558" s="1855">
        <f t="shared" si="577"/>
        <v>44954</v>
      </c>
      <c r="AQ3558" s="925" t="str">
        <f t="shared" si="570"/>
        <v/>
      </c>
      <c r="AR3558" s="1856" t="str">
        <f t="shared" si="569"/>
        <v/>
      </c>
      <c r="AT3558" s="1856" t="str">
        <f t="shared" si="571"/>
        <v/>
      </c>
      <c r="AU3558" s="1856" t="str">
        <f t="shared" si="572"/>
        <v/>
      </c>
      <c r="AV3558" s="1856" t="str">
        <f t="shared" si="573"/>
        <v/>
      </c>
      <c r="AW3558" s="1856" t="str">
        <f t="shared" si="574"/>
        <v/>
      </c>
      <c r="AX3558" s="1856" t="str">
        <f t="shared" si="575"/>
        <v/>
      </c>
      <c r="AY3558" s="1856" t="str">
        <f t="shared" si="576"/>
        <v/>
      </c>
    </row>
    <row r="3559" spans="42:51">
      <c r="AP3559" s="1855">
        <f t="shared" si="577"/>
        <v>44954</v>
      </c>
      <c r="AQ3559" s="925" t="str">
        <f t="shared" si="570"/>
        <v>MS</v>
      </c>
      <c r="AR3559" s="1856">
        <f t="shared" si="569"/>
        <v>44954.040972222225</v>
      </c>
      <c r="AS3559" s="927" t="s">
        <v>2431</v>
      </c>
      <c r="AT3559" s="1856" t="str">
        <f t="shared" si="571"/>
        <v/>
      </c>
      <c r="AU3559" s="1856" t="str">
        <f t="shared" si="572"/>
        <v/>
      </c>
      <c r="AV3559" s="1856" t="str">
        <f t="shared" si="573"/>
        <v/>
      </c>
      <c r="AW3559" s="1856" t="str">
        <f t="shared" si="574"/>
        <v/>
      </c>
      <c r="AX3559" s="1856" t="str">
        <f t="shared" si="575"/>
        <v/>
      </c>
      <c r="AY3559" s="1856" t="str">
        <f t="shared" si="576"/>
        <v/>
      </c>
    </row>
    <row r="3560" spans="42:51">
      <c r="AP3560" s="1855">
        <f t="shared" si="577"/>
        <v>44954</v>
      </c>
      <c r="AQ3560" s="925" t="str">
        <f t="shared" si="570"/>
        <v>BMNT</v>
      </c>
      <c r="AR3560" s="1856">
        <f t="shared" si="569"/>
        <v>44954.286111111112</v>
      </c>
      <c r="AS3560" s="927" t="s">
        <v>1193</v>
      </c>
      <c r="AT3560" s="1856" t="str">
        <f t="shared" si="571"/>
        <v/>
      </c>
      <c r="AU3560" s="1856" t="str">
        <f t="shared" si="572"/>
        <v/>
      </c>
      <c r="AV3560" s="1856" t="str">
        <f t="shared" si="573"/>
        <v/>
      </c>
      <c r="AW3560" s="1856" t="str">
        <f t="shared" si="574"/>
        <v/>
      </c>
      <c r="AX3560" s="1856" t="str">
        <f t="shared" si="575"/>
        <v/>
      </c>
      <c r="AY3560" s="1856" t="str">
        <f t="shared" si="576"/>
        <v/>
      </c>
    </row>
    <row r="3561" spans="42:51">
      <c r="AP3561" s="1855">
        <f t="shared" si="577"/>
        <v>44954</v>
      </c>
      <c r="AQ3561" s="925" t="str">
        <f t="shared" si="570"/>
        <v>SR</v>
      </c>
      <c r="AR3561" s="1856">
        <f t="shared" ref="AR3561:AR3624" si="578">IF(NOT(ISNUMBER(FIND(":",AS3561))),"",IF(ISNUMBER(FIND(" none",AS3561)),"NONE",AP3561+LEFT(RIGHT(AS3561,5),2)/24+RIGHT(AS3561,2)/1440))</f>
        <v>44954.327777777777</v>
      </c>
      <c r="AS3561" s="927" t="s">
        <v>1183</v>
      </c>
      <c r="AT3561" s="1856" t="str">
        <f t="shared" si="571"/>
        <v/>
      </c>
      <c r="AU3561" s="1856" t="str">
        <f t="shared" si="572"/>
        <v/>
      </c>
      <c r="AV3561" s="1856" t="str">
        <f t="shared" si="573"/>
        <v/>
      </c>
      <c r="AW3561" s="1856" t="str">
        <f t="shared" si="574"/>
        <v/>
      </c>
      <c r="AX3561" s="1856" t="str">
        <f t="shared" si="575"/>
        <v/>
      </c>
      <c r="AY3561" s="1856" t="str">
        <f t="shared" si="576"/>
        <v/>
      </c>
    </row>
    <row r="3562" spans="42:51">
      <c r="AP3562" s="1855">
        <f t="shared" si="577"/>
        <v>44954</v>
      </c>
      <c r="AQ3562" s="925" t="str">
        <f t="shared" si="570"/>
        <v>MR</v>
      </c>
      <c r="AR3562" s="1856">
        <f t="shared" si="578"/>
        <v>44954.496527777781</v>
      </c>
      <c r="AS3562" s="927" t="s">
        <v>2483</v>
      </c>
      <c r="AT3562" s="1856" t="str">
        <f t="shared" si="571"/>
        <v/>
      </c>
      <c r="AU3562" s="1856" t="str">
        <f t="shared" si="572"/>
        <v/>
      </c>
      <c r="AV3562" s="1856" t="str">
        <f t="shared" si="573"/>
        <v/>
      </c>
      <c r="AW3562" s="1856" t="str">
        <f t="shared" si="574"/>
        <v/>
      </c>
      <c r="AX3562" s="1856" t="str">
        <f t="shared" si="575"/>
        <v/>
      </c>
      <c r="AY3562" s="1856" t="str">
        <f t="shared" si="576"/>
        <v/>
      </c>
    </row>
    <row r="3563" spans="42:51">
      <c r="AP3563" s="1855">
        <f t="shared" si="577"/>
        <v>44954</v>
      </c>
      <c r="AQ3563" s="925" t="str">
        <f t="shared" si="570"/>
        <v>SS</v>
      </c>
      <c r="AR3563" s="1856">
        <f t="shared" si="578"/>
        <v>44954.750694444447</v>
      </c>
      <c r="AS3563" s="927" t="s">
        <v>1187</v>
      </c>
      <c r="AT3563" s="1856" t="str">
        <f t="shared" si="571"/>
        <v/>
      </c>
      <c r="AU3563" s="1856" t="str">
        <f t="shared" si="572"/>
        <v/>
      </c>
      <c r="AV3563" s="1856" t="str">
        <f t="shared" si="573"/>
        <v/>
      </c>
      <c r="AW3563" s="1856" t="str">
        <f t="shared" si="574"/>
        <v/>
      </c>
      <c r="AX3563" s="1856" t="str">
        <f t="shared" si="575"/>
        <v/>
      </c>
      <c r="AY3563" s="1856" t="str">
        <f t="shared" si="576"/>
        <v/>
      </c>
    </row>
    <row r="3564" spans="42:51">
      <c r="AP3564" s="1855">
        <f t="shared" si="577"/>
        <v>44954</v>
      </c>
      <c r="AQ3564" s="925" t="str">
        <f t="shared" si="570"/>
        <v>EENT</v>
      </c>
      <c r="AR3564" s="1856">
        <f t="shared" si="578"/>
        <v>44954.792361111111</v>
      </c>
      <c r="AS3564" s="927" t="s">
        <v>1200</v>
      </c>
      <c r="AT3564" s="1856" t="str">
        <f t="shared" si="571"/>
        <v/>
      </c>
      <c r="AU3564" s="1856" t="str">
        <f t="shared" si="572"/>
        <v/>
      </c>
      <c r="AV3564" s="1856" t="str">
        <f t="shared" si="573"/>
        <v/>
      </c>
      <c r="AW3564" s="1856" t="str">
        <f t="shared" si="574"/>
        <v/>
      </c>
      <c r="AX3564" s="1856" t="str">
        <f t="shared" si="575"/>
        <v/>
      </c>
      <c r="AY3564" s="1856" t="str">
        <f t="shared" si="576"/>
        <v/>
      </c>
    </row>
    <row r="3565" spans="42:51">
      <c r="AP3565" s="1855">
        <f t="shared" si="577"/>
        <v>44955</v>
      </c>
      <c r="AQ3565" s="925" t="str">
        <f t="shared" si="570"/>
        <v/>
      </c>
      <c r="AR3565" s="1856" t="str">
        <f t="shared" si="578"/>
        <v/>
      </c>
      <c r="AS3565" s="927">
        <v>29</v>
      </c>
      <c r="AT3565" s="1856">
        <f t="shared" si="571"/>
        <v>44955.285416666666</v>
      </c>
      <c r="AU3565" s="1856">
        <f t="shared" si="572"/>
        <v>44955.32708333333</v>
      </c>
      <c r="AV3565" s="1856">
        <f t="shared" si="573"/>
        <v>44955.752083333333</v>
      </c>
      <c r="AW3565" s="1856">
        <f t="shared" si="574"/>
        <v>44955.79305555555</v>
      </c>
      <c r="AX3565" s="1856">
        <f t="shared" si="575"/>
        <v>44955.51666666667</v>
      </c>
      <c r="AY3565" s="1856">
        <f t="shared" si="576"/>
        <v>44955.086111111115</v>
      </c>
    </row>
    <row r="3566" spans="42:51">
      <c r="AP3566" s="1855">
        <f t="shared" si="577"/>
        <v>44955</v>
      </c>
      <c r="AQ3566" s="925" t="str">
        <f t="shared" si="570"/>
        <v/>
      </c>
      <c r="AR3566" s="1856" t="str">
        <f t="shared" si="578"/>
        <v/>
      </c>
      <c r="AS3566" s="927" t="s">
        <v>252</v>
      </c>
      <c r="AT3566" s="1856" t="str">
        <f t="shared" si="571"/>
        <v/>
      </c>
      <c r="AU3566" s="1856" t="str">
        <f t="shared" si="572"/>
        <v/>
      </c>
      <c r="AV3566" s="1856" t="str">
        <f t="shared" si="573"/>
        <v/>
      </c>
      <c r="AW3566" s="1856" t="str">
        <f t="shared" si="574"/>
        <v/>
      </c>
      <c r="AX3566" s="1856" t="str">
        <f t="shared" si="575"/>
        <v/>
      </c>
      <c r="AY3566" s="1856" t="str">
        <f t="shared" si="576"/>
        <v/>
      </c>
    </row>
    <row r="3567" spans="42:51">
      <c r="AP3567" s="1855">
        <f t="shared" si="577"/>
        <v>44955</v>
      </c>
      <c r="AQ3567" s="925" t="str">
        <f t="shared" si="570"/>
        <v/>
      </c>
      <c r="AR3567" s="1856" t="str">
        <f t="shared" si="578"/>
        <v/>
      </c>
      <c r="AT3567" s="1856" t="str">
        <f t="shared" si="571"/>
        <v/>
      </c>
      <c r="AU3567" s="1856" t="str">
        <f t="shared" si="572"/>
        <v/>
      </c>
      <c r="AV3567" s="1856" t="str">
        <f t="shared" si="573"/>
        <v/>
      </c>
      <c r="AW3567" s="1856" t="str">
        <f t="shared" si="574"/>
        <v/>
      </c>
      <c r="AX3567" s="1856" t="str">
        <f t="shared" si="575"/>
        <v/>
      </c>
      <c r="AY3567" s="1856" t="str">
        <f t="shared" si="576"/>
        <v/>
      </c>
    </row>
    <row r="3568" spans="42:51">
      <c r="AP3568" s="1855">
        <f t="shared" si="577"/>
        <v>44955</v>
      </c>
      <c r="AQ3568" s="925" t="str">
        <f t="shared" si="570"/>
        <v>MS</v>
      </c>
      <c r="AR3568" s="1856">
        <f t="shared" si="578"/>
        <v>44955.086111111115</v>
      </c>
      <c r="AS3568" s="927" t="s">
        <v>2433</v>
      </c>
      <c r="AT3568" s="1856" t="str">
        <f t="shared" si="571"/>
        <v/>
      </c>
      <c r="AU3568" s="1856" t="str">
        <f t="shared" si="572"/>
        <v/>
      </c>
      <c r="AV3568" s="1856" t="str">
        <f t="shared" si="573"/>
        <v/>
      </c>
      <c r="AW3568" s="1856" t="str">
        <f t="shared" si="574"/>
        <v/>
      </c>
      <c r="AX3568" s="1856" t="str">
        <f t="shared" si="575"/>
        <v/>
      </c>
      <c r="AY3568" s="1856" t="str">
        <f t="shared" si="576"/>
        <v/>
      </c>
    </row>
    <row r="3569" spans="42:51">
      <c r="AP3569" s="1855">
        <f t="shared" si="577"/>
        <v>44955</v>
      </c>
      <c r="AQ3569" s="925" t="str">
        <f t="shared" si="570"/>
        <v>BMNT</v>
      </c>
      <c r="AR3569" s="1856">
        <f t="shared" si="578"/>
        <v>44955.285416666666</v>
      </c>
      <c r="AS3569" s="927" t="s">
        <v>1206</v>
      </c>
      <c r="AT3569" s="1856" t="str">
        <f t="shared" si="571"/>
        <v/>
      </c>
      <c r="AU3569" s="1856" t="str">
        <f t="shared" si="572"/>
        <v/>
      </c>
      <c r="AV3569" s="1856" t="str">
        <f t="shared" si="573"/>
        <v/>
      </c>
      <c r="AW3569" s="1856" t="str">
        <f t="shared" si="574"/>
        <v/>
      </c>
      <c r="AX3569" s="1856" t="str">
        <f t="shared" si="575"/>
        <v/>
      </c>
      <c r="AY3569" s="1856" t="str">
        <f t="shared" si="576"/>
        <v/>
      </c>
    </row>
    <row r="3570" spans="42:51">
      <c r="AP3570" s="1855">
        <f t="shared" si="577"/>
        <v>44955</v>
      </c>
      <c r="AQ3570" s="925" t="str">
        <f t="shared" si="570"/>
        <v>SR</v>
      </c>
      <c r="AR3570" s="1856">
        <f t="shared" si="578"/>
        <v>44955.32708333333</v>
      </c>
      <c r="AS3570" s="927" t="s">
        <v>1208</v>
      </c>
      <c r="AT3570" s="1856" t="str">
        <f t="shared" si="571"/>
        <v/>
      </c>
      <c r="AU3570" s="1856" t="str">
        <f t="shared" si="572"/>
        <v/>
      </c>
      <c r="AV3570" s="1856" t="str">
        <f t="shared" si="573"/>
        <v/>
      </c>
      <c r="AW3570" s="1856" t="str">
        <f t="shared" si="574"/>
        <v/>
      </c>
      <c r="AX3570" s="1856" t="str">
        <f t="shared" si="575"/>
        <v/>
      </c>
      <c r="AY3570" s="1856" t="str">
        <f t="shared" si="576"/>
        <v/>
      </c>
    </row>
    <row r="3571" spans="42:51">
      <c r="AP3571" s="1855">
        <f t="shared" si="577"/>
        <v>44955</v>
      </c>
      <c r="AQ3571" s="925" t="str">
        <f t="shared" si="570"/>
        <v>MR</v>
      </c>
      <c r="AR3571" s="1856">
        <f t="shared" si="578"/>
        <v>44955.51666666667</v>
      </c>
      <c r="AS3571" s="927" t="s">
        <v>2484</v>
      </c>
      <c r="AT3571" s="1856" t="str">
        <f t="shared" si="571"/>
        <v/>
      </c>
      <c r="AU3571" s="1856" t="str">
        <f t="shared" si="572"/>
        <v/>
      </c>
      <c r="AV3571" s="1856" t="str">
        <f t="shared" si="573"/>
        <v/>
      </c>
      <c r="AW3571" s="1856" t="str">
        <f t="shared" si="574"/>
        <v/>
      </c>
      <c r="AX3571" s="1856" t="str">
        <f t="shared" si="575"/>
        <v/>
      </c>
      <c r="AY3571" s="1856" t="str">
        <f t="shared" si="576"/>
        <v/>
      </c>
    </row>
    <row r="3572" spans="42:51">
      <c r="AP3572" s="1855">
        <f t="shared" si="577"/>
        <v>44955</v>
      </c>
      <c r="AQ3572" s="925" t="str">
        <f t="shared" ref="AQ3572:AQ3635" si="579">IF(NOT(ISNUMBER(FIND(":",AS3572))),"",IF(ISNUMBER(FIND("Sunr",AS3572)),"SR", IF(ISNUMBER(FIND("Suns",AS3572)),"SS",IF(ISNUMBER(FIND("Moonr",AS3572)),"MR",IF(ISNUMBER(FIND("Moons",AS3572)),"MS",IF(ISNUMBER(FIND("Twi",AS3572)),IF(HOUR(AR3572)&lt;12,"BMNT","EENT")))))))</f>
        <v>SS</v>
      </c>
      <c r="AR3572" s="1856">
        <f t="shared" si="578"/>
        <v>44955.752083333333</v>
      </c>
      <c r="AS3572" s="927" t="s">
        <v>1212</v>
      </c>
      <c r="AT3572" s="1856" t="str">
        <f t="shared" si="571"/>
        <v/>
      </c>
      <c r="AU3572" s="1856" t="str">
        <f t="shared" si="572"/>
        <v/>
      </c>
      <c r="AV3572" s="1856" t="str">
        <f t="shared" si="573"/>
        <v/>
      </c>
      <c r="AW3572" s="1856" t="str">
        <f t="shared" si="574"/>
        <v/>
      </c>
      <c r="AX3572" s="1856" t="str">
        <f t="shared" si="575"/>
        <v/>
      </c>
      <c r="AY3572" s="1856" t="str">
        <f t="shared" si="576"/>
        <v/>
      </c>
    </row>
    <row r="3573" spans="42:51">
      <c r="AP3573" s="1855">
        <f t="shared" si="577"/>
        <v>44955</v>
      </c>
      <c r="AQ3573" s="925" t="str">
        <f t="shared" si="579"/>
        <v>EENT</v>
      </c>
      <c r="AR3573" s="1856">
        <f t="shared" si="578"/>
        <v>44955.79305555555</v>
      </c>
      <c r="AS3573" s="927" t="s">
        <v>1214</v>
      </c>
      <c r="AT3573" s="1856" t="str">
        <f t="shared" si="571"/>
        <v/>
      </c>
      <c r="AU3573" s="1856" t="str">
        <f t="shared" si="572"/>
        <v/>
      </c>
      <c r="AV3573" s="1856" t="str">
        <f t="shared" si="573"/>
        <v/>
      </c>
      <c r="AW3573" s="1856" t="str">
        <f t="shared" si="574"/>
        <v/>
      </c>
      <c r="AX3573" s="1856" t="str">
        <f t="shared" si="575"/>
        <v/>
      </c>
      <c r="AY3573" s="1856" t="str">
        <f t="shared" si="576"/>
        <v/>
      </c>
    </row>
    <row r="3574" spans="42:51">
      <c r="AP3574" s="1855">
        <f t="shared" si="577"/>
        <v>44956</v>
      </c>
      <c r="AQ3574" s="925" t="str">
        <f t="shared" si="579"/>
        <v/>
      </c>
      <c r="AR3574" s="1856" t="str">
        <f t="shared" si="578"/>
        <v/>
      </c>
      <c r="AS3574" s="927">
        <v>30</v>
      </c>
      <c r="AT3574" s="1856">
        <f t="shared" si="571"/>
        <v>44956.285416666666</v>
      </c>
      <c r="AU3574" s="1856">
        <f t="shared" si="572"/>
        <v>44956.326388888883</v>
      </c>
      <c r="AV3574" s="1856">
        <f t="shared" si="573"/>
        <v>44956.75277777778</v>
      </c>
      <c r="AW3574" s="1856">
        <f t="shared" si="574"/>
        <v>44956.793749999997</v>
      </c>
      <c r="AX3574" s="1856">
        <f t="shared" si="575"/>
        <v>44956.540277777778</v>
      </c>
      <c r="AY3574" s="1856">
        <f t="shared" si="576"/>
        <v>44956.130555555559</v>
      </c>
    </row>
    <row r="3575" spans="42:51">
      <c r="AP3575" s="1855">
        <f t="shared" si="577"/>
        <v>44956</v>
      </c>
      <c r="AQ3575" s="925" t="str">
        <f t="shared" si="579"/>
        <v/>
      </c>
      <c r="AR3575" s="1856" t="str">
        <f t="shared" si="578"/>
        <v/>
      </c>
      <c r="AS3575" s="927" t="s">
        <v>252</v>
      </c>
      <c r="AT3575" s="1856" t="str">
        <f t="shared" si="571"/>
        <v/>
      </c>
      <c r="AU3575" s="1856" t="str">
        <f t="shared" si="572"/>
        <v/>
      </c>
      <c r="AV3575" s="1856" t="str">
        <f t="shared" si="573"/>
        <v/>
      </c>
      <c r="AW3575" s="1856" t="str">
        <f t="shared" si="574"/>
        <v/>
      </c>
      <c r="AX3575" s="1856" t="str">
        <f t="shared" si="575"/>
        <v/>
      </c>
      <c r="AY3575" s="1856" t="str">
        <f t="shared" si="576"/>
        <v/>
      </c>
    </row>
    <row r="3576" spans="42:51">
      <c r="AP3576" s="1855">
        <f t="shared" si="577"/>
        <v>44956</v>
      </c>
      <c r="AQ3576" s="925" t="str">
        <f t="shared" si="579"/>
        <v/>
      </c>
      <c r="AR3576" s="1856" t="str">
        <f t="shared" si="578"/>
        <v/>
      </c>
      <c r="AT3576" s="1856" t="str">
        <f t="shared" si="571"/>
        <v/>
      </c>
      <c r="AU3576" s="1856" t="str">
        <f t="shared" si="572"/>
        <v/>
      </c>
      <c r="AV3576" s="1856" t="str">
        <f t="shared" si="573"/>
        <v/>
      </c>
      <c r="AW3576" s="1856" t="str">
        <f t="shared" si="574"/>
        <v/>
      </c>
      <c r="AX3576" s="1856" t="str">
        <f t="shared" si="575"/>
        <v/>
      </c>
      <c r="AY3576" s="1856" t="str">
        <f t="shared" si="576"/>
        <v/>
      </c>
    </row>
    <row r="3577" spans="42:51">
      <c r="AP3577" s="1855">
        <f t="shared" si="577"/>
        <v>44956</v>
      </c>
      <c r="AQ3577" s="925" t="str">
        <f t="shared" si="579"/>
        <v>MS</v>
      </c>
      <c r="AR3577" s="1856">
        <f t="shared" si="578"/>
        <v>44956.130555555559</v>
      </c>
      <c r="AS3577" s="927" t="s">
        <v>2435</v>
      </c>
      <c r="AT3577" s="1856" t="str">
        <f t="shared" si="571"/>
        <v/>
      </c>
      <c r="AU3577" s="1856" t="str">
        <f t="shared" si="572"/>
        <v/>
      </c>
      <c r="AV3577" s="1856" t="str">
        <f t="shared" si="573"/>
        <v/>
      </c>
      <c r="AW3577" s="1856" t="str">
        <f t="shared" si="574"/>
        <v/>
      </c>
      <c r="AX3577" s="1856" t="str">
        <f t="shared" si="575"/>
        <v/>
      </c>
      <c r="AY3577" s="1856" t="str">
        <f t="shared" si="576"/>
        <v/>
      </c>
    </row>
    <row r="3578" spans="42:51">
      <c r="AP3578" s="1855">
        <f t="shared" si="577"/>
        <v>44956</v>
      </c>
      <c r="AQ3578" s="925" t="str">
        <f t="shared" si="579"/>
        <v>BMNT</v>
      </c>
      <c r="AR3578" s="1856">
        <f t="shared" si="578"/>
        <v>44956.285416666666</v>
      </c>
      <c r="AS3578" s="927" t="s">
        <v>1206</v>
      </c>
      <c r="AT3578" s="1856" t="str">
        <f t="shared" si="571"/>
        <v/>
      </c>
      <c r="AU3578" s="1856" t="str">
        <f t="shared" si="572"/>
        <v/>
      </c>
      <c r="AV3578" s="1856" t="str">
        <f t="shared" si="573"/>
        <v/>
      </c>
      <c r="AW3578" s="1856" t="str">
        <f t="shared" si="574"/>
        <v/>
      </c>
      <c r="AX3578" s="1856" t="str">
        <f t="shared" si="575"/>
        <v/>
      </c>
      <c r="AY3578" s="1856" t="str">
        <f t="shared" si="576"/>
        <v/>
      </c>
    </row>
    <row r="3579" spans="42:51">
      <c r="AP3579" s="1855">
        <f t="shared" si="577"/>
        <v>44956</v>
      </c>
      <c r="AQ3579" s="925" t="str">
        <f t="shared" si="579"/>
        <v>SR</v>
      </c>
      <c r="AR3579" s="1856">
        <f t="shared" si="578"/>
        <v>44956.326388888883</v>
      </c>
      <c r="AS3579" s="927" t="s">
        <v>1221</v>
      </c>
      <c r="AT3579" s="1856" t="str">
        <f t="shared" si="571"/>
        <v/>
      </c>
      <c r="AU3579" s="1856" t="str">
        <f t="shared" si="572"/>
        <v/>
      </c>
      <c r="AV3579" s="1856" t="str">
        <f t="shared" si="573"/>
        <v/>
      </c>
      <c r="AW3579" s="1856" t="str">
        <f t="shared" si="574"/>
        <v/>
      </c>
      <c r="AX3579" s="1856" t="str">
        <f t="shared" si="575"/>
        <v/>
      </c>
      <c r="AY3579" s="1856" t="str">
        <f t="shared" si="576"/>
        <v/>
      </c>
    </row>
    <row r="3580" spans="42:51">
      <c r="AP3580" s="1855">
        <f t="shared" si="577"/>
        <v>44956</v>
      </c>
      <c r="AQ3580" s="925" t="str">
        <f t="shared" si="579"/>
        <v>MR</v>
      </c>
      <c r="AR3580" s="1856">
        <f t="shared" si="578"/>
        <v>44956.540277777778</v>
      </c>
      <c r="AS3580" s="927" t="s">
        <v>2485</v>
      </c>
      <c r="AT3580" s="1856" t="str">
        <f t="shared" si="571"/>
        <v/>
      </c>
      <c r="AU3580" s="1856" t="str">
        <f t="shared" si="572"/>
        <v/>
      </c>
      <c r="AV3580" s="1856" t="str">
        <f t="shared" si="573"/>
        <v/>
      </c>
      <c r="AW3580" s="1856" t="str">
        <f t="shared" si="574"/>
        <v/>
      </c>
      <c r="AX3580" s="1856" t="str">
        <f t="shared" si="575"/>
        <v/>
      </c>
      <c r="AY3580" s="1856" t="str">
        <f t="shared" si="576"/>
        <v/>
      </c>
    </row>
    <row r="3581" spans="42:51">
      <c r="AP3581" s="1855">
        <f t="shared" si="577"/>
        <v>44956</v>
      </c>
      <c r="AQ3581" s="925" t="str">
        <f t="shared" si="579"/>
        <v>SS</v>
      </c>
      <c r="AR3581" s="1856">
        <f t="shared" si="578"/>
        <v>44956.75277777778</v>
      </c>
      <c r="AS3581" s="927" t="s">
        <v>1224</v>
      </c>
      <c r="AT3581" s="1856" t="str">
        <f t="shared" si="571"/>
        <v/>
      </c>
      <c r="AU3581" s="1856" t="str">
        <f t="shared" si="572"/>
        <v/>
      </c>
      <c r="AV3581" s="1856" t="str">
        <f t="shared" si="573"/>
        <v/>
      </c>
      <c r="AW3581" s="1856" t="str">
        <f t="shared" si="574"/>
        <v/>
      </c>
      <c r="AX3581" s="1856" t="str">
        <f t="shared" si="575"/>
        <v/>
      </c>
      <c r="AY3581" s="1856" t="str">
        <f t="shared" si="576"/>
        <v/>
      </c>
    </row>
    <row r="3582" spans="42:51">
      <c r="AP3582" s="1855">
        <f t="shared" si="577"/>
        <v>44956</v>
      </c>
      <c r="AQ3582" s="925" t="str">
        <f t="shared" si="579"/>
        <v>EENT</v>
      </c>
      <c r="AR3582" s="1856">
        <f t="shared" si="578"/>
        <v>44956.793749999997</v>
      </c>
      <c r="AS3582" s="927" t="s">
        <v>1226</v>
      </c>
      <c r="AT3582" s="1856" t="str">
        <f t="shared" si="571"/>
        <v/>
      </c>
      <c r="AU3582" s="1856" t="str">
        <f t="shared" si="572"/>
        <v/>
      </c>
      <c r="AV3582" s="1856" t="str">
        <f t="shared" si="573"/>
        <v/>
      </c>
      <c r="AW3582" s="1856" t="str">
        <f t="shared" si="574"/>
        <v/>
      </c>
      <c r="AX3582" s="1856" t="str">
        <f t="shared" si="575"/>
        <v/>
      </c>
      <c r="AY3582" s="1856" t="str">
        <f t="shared" si="576"/>
        <v/>
      </c>
    </row>
    <row r="3583" spans="42:51">
      <c r="AP3583" s="1855">
        <f t="shared" si="577"/>
        <v>44957</v>
      </c>
      <c r="AQ3583" s="925" t="str">
        <f t="shared" si="579"/>
        <v/>
      </c>
      <c r="AR3583" s="1856" t="str">
        <f t="shared" si="578"/>
        <v/>
      </c>
      <c r="AS3583" s="927">
        <v>31</v>
      </c>
      <c r="AT3583" s="1856">
        <f t="shared" si="571"/>
        <v>44957.284722222219</v>
      </c>
      <c r="AU3583" s="1856">
        <f t="shared" si="572"/>
        <v>44957.325694444444</v>
      </c>
      <c r="AV3583" s="1856">
        <f t="shared" si="573"/>
        <v>44957.753472222219</v>
      </c>
      <c r="AW3583" s="1856">
        <f t="shared" si="574"/>
        <v>44957.794444444444</v>
      </c>
      <c r="AX3583" s="1856">
        <f t="shared" si="575"/>
        <v>44957.566666666666</v>
      </c>
      <c r="AY3583" s="1856">
        <f t="shared" si="576"/>
        <v>44957.174305555556</v>
      </c>
    </row>
    <row r="3584" spans="42:51">
      <c r="AP3584" s="1855">
        <f t="shared" si="577"/>
        <v>44957</v>
      </c>
      <c r="AQ3584" s="925" t="str">
        <f t="shared" si="579"/>
        <v/>
      </c>
      <c r="AR3584" s="1856" t="str">
        <f t="shared" si="578"/>
        <v/>
      </c>
      <c r="AS3584" s="927" t="s">
        <v>252</v>
      </c>
      <c r="AT3584" s="1856" t="str">
        <f t="shared" si="571"/>
        <v/>
      </c>
      <c r="AU3584" s="1856" t="str">
        <f t="shared" si="572"/>
        <v/>
      </c>
      <c r="AV3584" s="1856" t="str">
        <f t="shared" si="573"/>
        <v/>
      </c>
      <c r="AW3584" s="1856" t="str">
        <f t="shared" si="574"/>
        <v/>
      </c>
      <c r="AX3584" s="1856" t="str">
        <f t="shared" si="575"/>
        <v/>
      </c>
      <c r="AY3584" s="1856" t="str">
        <f t="shared" si="576"/>
        <v/>
      </c>
    </row>
    <row r="3585" spans="42:51">
      <c r="AP3585" s="1855">
        <f t="shared" si="577"/>
        <v>44957</v>
      </c>
      <c r="AQ3585" s="925" t="str">
        <f t="shared" si="579"/>
        <v/>
      </c>
      <c r="AR3585" s="1856" t="str">
        <f t="shared" si="578"/>
        <v/>
      </c>
      <c r="AT3585" s="1856" t="str">
        <f t="shared" si="571"/>
        <v/>
      </c>
      <c r="AU3585" s="1856" t="str">
        <f t="shared" si="572"/>
        <v/>
      </c>
      <c r="AV3585" s="1856" t="str">
        <f t="shared" si="573"/>
        <v/>
      </c>
      <c r="AW3585" s="1856" t="str">
        <f t="shared" si="574"/>
        <v/>
      </c>
      <c r="AX3585" s="1856" t="str">
        <f t="shared" si="575"/>
        <v/>
      </c>
      <c r="AY3585" s="1856" t="str">
        <f t="shared" si="576"/>
        <v/>
      </c>
    </row>
    <row r="3586" spans="42:51">
      <c r="AP3586" s="1855">
        <f t="shared" si="577"/>
        <v>44957</v>
      </c>
      <c r="AQ3586" s="925" t="str">
        <f t="shared" si="579"/>
        <v>MS</v>
      </c>
      <c r="AR3586" s="1856">
        <f t="shared" si="578"/>
        <v>44957.174305555556</v>
      </c>
      <c r="AS3586" s="927" t="s">
        <v>2486</v>
      </c>
      <c r="AT3586" s="1856" t="str">
        <f t="shared" si="571"/>
        <v/>
      </c>
      <c r="AU3586" s="1856" t="str">
        <f t="shared" si="572"/>
        <v/>
      </c>
      <c r="AV3586" s="1856" t="str">
        <f t="shared" si="573"/>
        <v/>
      </c>
      <c r="AW3586" s="1856" t="str">
        <f t="shared" si="574"/>
        <v/>
      </c>
      <c r="AX3586" s="1856" t="str">
        <f t="shared" si="575"/>
        <v/>
      </c>
      <c r="AY3586" s="1856" t="str">
        <f t="shared" si="576"/>
        <v/>
      </c>
    </row>
    <row r="3587" spans="42:51">
      <c r="AP3587" s="1855">
        <f t="shared" si="577"/>
        <v>44957</v>
      </c>
      <c r="AQ3587" s="925" t="str">
        <f t="shared" si="579"/>
        <v>BMNT</v>
      </c>
      <c r="AR3587" s="1856">
        <f t="shared" si="578"/>
        <v>44957.284722222219</v>
      </c>
      <c r="AS3587" s="927" t="s">
        <v>1231</v>
      </c>
      <c r="AT3587" s="1856" t="str">
        <f t="shared" si="571"/>
        <v/>
      </c>
      <c r="AU3587" s="1856" t="str">
        <f t="shared" si="572"/>
        <v/>
      </c>
      <c r="AV3587" s="1856" t="str">
        <f t="shared" si="573"/>
        <v/>
      </c>
      <c r="AW3587" s="1856" t="str">
        <f t="shared" si="574"/>
        <v/>
      </c>
      <c r="AX3587" s="1856" t="str">
        <f t="shared" si="575"/>
        <v/>
      </c>
      <c r="AY3587" s="1856" t="str">
        <f t="shared" si="576"/>
        <v/>
      </c>
    </row>
    <row r="3588" spans="42:51">
      <c r="AP3588" s="1855">
        <f t="shared" si="577"/>
        <v>44957</v>
      </c>
      <c r="AQ3588" s="925" t="str">
        <f t="shared" si="579"/>
        <v>SR</v>
      </c>
      <c r="AR3588" s="1856">
        <f t="shared" si="578"/>
        <v>44957.325694444444</v>
      </c>
      <c r="AS3588" s="927" t="s">
        <v>1235</v>
      </c>
      <c r="AT3588" s="1856" t="str">
        <f t="shared" si="571"/>
        <v/>
      </c>
      <c r="AU3588" s="1856" t="str">
        <f t="shared" si="572"/>
        <v/>
      </c>
      <c r="AV3588" s="1856" t="str">
        <f t="shared" si="573"/>
        <v/>
      </c>
      <c r="AW3588" s="1856" t="str">
        <f t="shared" si="574"/>
        <v/>
      </c>
      <c r="AX3588" s="1856" t="str">
        <f t="shared" si="575"/>
        <v/>
      </c>
      <c r="AY3588" s="1856" t="str">
        <f t="shared" si="576"/>
        <v/>
      </c>
    </row>
    <row r="3589" spans="42:51">
      <c r="AP3589" s="1855">
        <f t="shared" si="577"/>
        <v>44957</v>
      </c>
      <c r="AQ3589" s="925" t="str">
        <f t="shared" si="579"/>
        <v>MR</v>
      </c>
      <c r="AR3589" s="1856">
        <f t="shared" si="578"/>
        <v>44957.566666666666</v>
      </c>
      <c r="AS3589" s="927" t="s">
        <v>1926</v>
      </c>
      <c r="AT3589" s="1856" t="str">
        <f t="shared" si="571"/>
        <v/>
      </c>
      <c r="AU3589" s="1856" t="str">
        <f t="shared" si="572"/>
        <v/>
      </c>
      <c r="AV3589" s="1856" t="str">
        <f t="shared" si="573"/>
        <v/>
      </c>
      <c r="AW3589" s="1856" t="str">
        <f t="shared" si="574"/>
        <v/>
      </c>
      <c r="AX3589" s="1856" t="str">
        <f t="shared" si="575"/>
        <v/>
      </c>
      <c r="AY3589" s="1856" t="str">
        <f t="shared" si="576"/>
        <v/>
      </c>
    </row>
    <row r="3590" spans="42:51">
      <c r="AP3590" s="1855">
        <f t="shared" si="577"/>
        <v>44957</v>
      </c>
      <c r="AQ3590" s="925" t="str">
        <f t="shared" si="579"/>
        <v>SS</v>
      </c>
      <c r="AR3590" s="1856">
        <f t="shared" si="578"/>
        <v>44957.753472222219</v>
      </c>
      <c r="AS3590" s="927" t="s">
        <v>1238</v>
      </c>
      <c r="AT3590" s="1856" t="str">
        <f t="shared" si="571"/>
        <v/>
      </c>
      <c r="AU3590" s="1856" t="str">
        <f t="shared" si="572"/>
        <v/>
      </c>
      <c r="AV3590" s="1856" t="str">
        <f t="shared" si="573"/>
        <v/>
      </c>
      <c r="AW3590" s="1856" t="str">
        <f t="shared" si="574"/>
        <v/>
      </c>
      <c r="AX3590" s="1856" t="str">
        <f t="shared" si="575"/>
        <v/>
      </c>
      <c r="AY3590" s="1856" t="str">
        <f t="shared" si="576"/>
        <v/>
      </c>
    </row>
    <row r="3591" spans="42:51">
      <c r="AP3591" s="1855">
        <f t="shared" si="577"/>
        <v>44957</v>
      </c>
      <c r="AQ3591" s="925" t="str">
        <f t="shared" si="579"/>
        <v>EENT</v>
      </c>
      <c r="AR3591" s="1856">
        <f t="shared" si="578"/>
        <v>44957.794444444444</v>
      </c>
      <c r="AS3591" s="927" t="s">
        <v>1239</v>
      </c>
      <c r="AT3591" s="1856" t="str">
        <f t="shared" si="571"/>
        <v/>
      </c>
      <c r="AU3591" s="1856" t="str">
        <f t="shared" si="572"/>
        <v/>
      </c>
      <c r="AV3591" s="1856" t="str">
        <f t="shared" si="573"/>
        <v/>
      </c>
      <c r="AW3591" s="1856" t="str">
        <f t="shared" si="574"/>
        <v/>
      </c>
      <c r="AX3591" s="1856" t="str">
        <f t="shared" si="575"/>
        <v/>
      </c>
      <c r="AY3591" s="1856" t="str">
        <f t="shared" si="576"/>
        <v/>
      </c>
    </row>
    <row r="3592" spans="42:51">
      <c r="AP3592" s="1855">
        <f t="shared" si="577"/>
        <v>44957</v>
      </c>
      <c r="AQ3592" s="925" t="str">
        <f t="shared" si="579"/>
        <v/>
      </c>
      <c r="AR3592" s="1856" t="str">
        <f t="shared" si="578"/>
        <v/>
      </c>
      <c r="AT3592" s="1856" t="str">
        <f t="shared" si="571"/>
        <v/>
      </c>
      <c r="AU3592" s="1856" t="str">
        <f t="shared" si="572"/>
        <v/>
      </c>
      <c r="AV3592" s="1856" t="str">
        <f t="shared" si="573"/>
        <v/>
      </c>
      <c r="AW3592" s="1856" t="str">
        <f t="shared" si="574"/>
        <v/>
      </c>
      <c r="AX3592" s="1856" t="str">
        <f t="shared" si="575"/>
        <v/>
      </c>
      <c r="AY3592" s="1856" t="str">
        <f t="shared" si="576"/>
        <v/>
      </c>
    </row>
    <row r="3593" spans="42:51">
      <c r="AP3593" s="1855">
        <f t="shared" si="577"/>
        <v>44957</v>
      </c>
      <c r="AQ3593" s="925" t="str">
        <f t="shared" si="579"/>
        <v/>
      </c>
      <c r="AR3593" s="1856" t="str">
        <f t="shared" si="578"/>
        <v/>
      </c>
      <c r="AT3593" s="1856" t="str">
        <f t="shared" si="571"/>
        <v/>
      </c>
      <c r="AU3593" s="1856" t="str">
        <f t="shared" si="572"/>
        <v/>
      </c>
      <c r="AV3593" s="1856" t="str">
        <f t="shared" si="573"/>
        <v/>
      </c>
      <c r="AW3593" s="1856" t="str">
        <f t="shared" si="574"/>
        <v/>
      </c>
      <c r="AX3593" s="1856" t="str">
        <f t="shared" si="575"/>
        <v/>
      </c>
      <c r="AY3593" s="1856" t="str">
        <f t="shared" si="576"/>
        <v/>
      </c>
    </row>
    <row r="3594" spans="42:51">
      <c r="AP3594" s="1855">
        <f t="shared" si="577"/>
        <v>44957</v>
      </c>
      <c r="AQ3594" s="925" t="str">
        <f t="shared" si="579"/>
        <v/>
      </c>
      <c r="AR3594" s="1856" t="str">
        <f t="shared" si="578"/>
        <v/>
      </c>
      <c r="AT3594" s="1856" t="str">
        <f t="shared" si="571"/>
        <v/>
      </c>
      <c r="AU3594" s="1856" t="str">
        <f t="shared" si="572"/>
        <v/>
      </c>
      <c r="AV3594" s="1856" t="str">
        <f t="shared" si="573"/>
        <v/>
      </c>
      <c r="AW3594" s="1856" t="str">
        <f t="shared" si="574"/>
        <v/>
      </c>
      <c r="AX3594" s="1856" t="str">
        <f t="shared" si="575"/>
        <v/>
      </c>
      <c r="AY3594" s="1856" t="str">
        <f t="shared" si="576"/>
        <v/>
      </c>
    </row>
    <row r="3595" spans="42:51">
      <c r="AP3595" s="1855">
        <f t="shared" si="577"/>
        <v>44957</v>
      </c>
      <c r="AQ3595" s="925" t="str">
        <f t="shared" si="579"/>
        <v/>
      </c>
      <c r="AR3595" s="1856" t="str">
        <f t="shared" si="578"/>
        <v/>
      </c>
      <c r="AT3595" s="1856" t="str">
        <f t="shared" si="571"/>
        <v/>
      </c>
      <c r="AU3595" s="1856" t="str">
        <f t="shared" si="572"/>
        <v/>
      </c>
      <c r="AV3595" s="1856" t="str">
        <f t="shared" si="573"/>
        <v/>
      </c>
      <c r="AW3595" s="1856" t="str">
        <f t="shared" si="574"/>
        <v/>
      </c>
      <c r="AX3595" s="1856" t="str">
        <f t="shared" si="575"/>
        <v/>
      </c>
      <c r="AY3595" s="1856" t="str">
        <f t="shared" si="576"/>
        <v/>
      </c>
    </row>
    <row r="3596" spans="42:51">
      <c r="AP3596" s="1855">
        <f t="shared" si="577"/>
        <v>44957</v>
      </c>
      <c r="AQ3596" s="925" t="str">
        <f t="shared" si="579"/>
        <v/>
      </c>
      <c r="AR3596" s="1856" t="str">
        <f t="shared" si="578"/>
        <v/>
      </c>
      <c r="AT3596" s="1856" t="str">
        <f t="shared" si="571"/>
        <v/>
      </c>
      <c r="AU3596" s="1856" t="str">
        <f t="shared" si="572"/>
        <v/>
      </c>
      <c r="AV3596" s="1856" t="str">
        <f t="shared" si="573"/>
        <v/>
      </c>
      <c r="AW3596" s="1856" t="str">
        <f t="shared" si="574"/>
        <v/>
      </c>
      <c r="AX3596" s="1856" t="str">
        <f t="shared" si="575"/>
        <v/>
      </c>
      <c r="AY3596" s="1856" t="str">
        <f t="shared" si="576"/>
        <v/>
      </c>
    </row>
    <row r="3597" spans="42:51">
      <c r="AP3597" s="1855">
        <f t="shared" si="577"/>
        <v>44957</v>
      </c>
      <c r="AQ3597" s="925" t="str">
        <f t="shared" si="579"/>
        <v/>
      </c>
      <c r="AR3597" s="1856" t="str">
        <f t="shared" si="578"/>
        <v/>
      </c>
      <c r="AT3597" s="1856" t="str">
        <f t="shared" si="571"/>
        <v/>
      </c>
      <c r="AU3597" s="1856" t="str">
        <f t="shared" si="572"/>
        <v/>
      </c>
      <c r="AV3597" s="1856" t="str">
        <f t="shared" si="573"/>
        <v/>
      </c>
      <c r="AW3597" s="1856" t="str">
        <f t="shared" si="574"/>
        <v/>
      </c>
      <c r="AX3597" s="1856" t="str">
        <f t="shared" si="575"/>
        <v/>
      </c>
      <c r="AY3597" s="1856" t="str">
        <f t="shared" si="576"/>
        <v/>
      </c>
    </row>
    <row r="3598" spans="42:51">
      <c r="AP3598" s="1855">
        <f t="shared" si="577"/>
        <v>44957</v>
      </c>
      <c r="AQ3598" s="925" t="str">
        <f t="shared" si="579"/>
        <v/>
      </c>
      <c r="AR3598" s="1856" t="str">
        <f t="shared" si="578"/>
        <v/>
      </c>
      <c r="AT3598" s="1856" t="str">
        <f t="shared" si="571"/>
        <v/>
      </c>
      <c r="AU3598" s="1856" t="str">
        <f t="shared" si="572"/>
        <v/>
      </c>
      <c r="AV3598" s="1856" t="str">
        <f t="shared" si="573"/>
        <v/>
      </c>
      <c r="AW3598" s="1856" t="str">
        <f t="shared" si="574"/>
        <v/>
      </c>
      <c r="AX3598" s="1856" t="str">
        <f t="shared" si="575"/>
        <v/>
      </c>
      <c r="AY3598" s="1856" t="str">
        <f t="shared" si="576"/>
        <v/>
      </c>
    </row>
    <row r="3599" spans="42:51">
      <c r="AP3599" s="1855">
        <f t="shared" si="577"/>
        <v>44957</v>
      </c>
      <c r="AQ3599" s="925" t="str">
        <f t="shared" si="579"/>
        <v/>
      </c>
      <c r="AR3599" s="1856" t="str">
        <f t="shared" si="578"/>
        <v/>
      </c>
      <c r="AT3599" s="1856" t="str">
        <f t="shared" si="571"/>
        <v/>
      </c>
      <c r="AU3599" s="1856" t="str">
        <f t="shared" si="572"/>
        <v/>
      </c>
      <c r="AV3599" s="1856" t="str">
        <f t="shared" si="573"/>
        <v/>
      </c>
      <c r="AW3599" s="1856" t="str">
        <f t="shared" si="574"/>
        <v/>
      </c>
      <c r="AX3599" s="1856" t="str">
        <f t="shared" si="575"/>
        <v/>
      </c>
      <c r="AY3599" s="1856" t="str">
        <f t="shared" si="576"/>
        <v/>
      </c>
    </row>
    <row r="3600" spans="42:51">
      <c r="AP3600" s="1855">
        <f t="shared" si="577"/>
        <v>44957</v>
      </c>
      <c r="AQ3600" s="925" t="str">
        <f t="shared" si="579"/>
        <v/>
      </c>
      <c r="AR3600" s="1856" t="str">
        <f t="shared" si="578"/>
        <v/>
      </c>
      <c r="AT3600" s="1856" t="str">
        <f t="shared" si="571"/>
        <v/>
      </c>
      <c r="AU3600" s="1856" t="str">
        <f t="shared" si="572"/>
        <v/>
      </c>
      <c r="AV3600" s="1856" t="str">
        <f t="shared" si="573"/>
        <v/>
      </c>
      <c r="AW3600" s="1856" t="str">
        <f t="shared" si="574"/>
        <v/>
      </c>
      <c r="AX3600" s="1856" t="str">
        <f t="shared" si="575"/>
        <v/>
      </c>
      <c r="AY3600" s="1856" t="str">
        <f t="shared" si="576"/>
        <v/>
      </c>
    </row>
    <row r="3601" spans="42:51">
      <c r="AP3601" s="1855">
        <f t="shared" si="577"/>
        <v>44957</v>
      </c>
      <c r="AQ3601" s="925" t="str">
        <f t="shared" si="579"/>
        <v/>
      </c>
      <c r="AR3601" s="1856" t="str">
        <f t="shared" si="578"/>
        <v/>
      </c>
      <c r="AT3601" s="1856" t="str">
        <f t="shared" si="571"/>
        <v/>
      </c>
      <c r="AU3601" s="1856" t="str">
        <f t="shared" si="572"/>
        <v/>
      </c>
      <c r="AV3601" s="1856" t="str">
        <f t="shared" si="573"/>
        <v/>
      </c>
      <c r="AW3601" s="1856" t="str">
        <f t="shared" si="574"/>
        <v/>
      </c>
      <c r="AX3601" s="1856" t="str">
        <f t="shared" si="575"/>
        <v/>
      </c>
      <c r="AY3601" s="1856" t="str">
        <f t="shared" si="576"/>
        <v/>
      </c>
    </row>
    <row r="3602" spans="42:51">
      <c r="AP3602" s="1855">
        <f t="shared" si="577"/>
        <v>44957</v>
      </c>
      <c r="AQ3602" s="925" t="str">
        <f t="shared" si="579"/>
        <v/>
      </c>
      <c r="AR3602" s="1856" t="str">
        <f t="shared" si="578"/>
        <v/>
      </c>
      <c r="AT3602" s="1856" t="str">
        <f t="shared" si="571"/>
        <v/>
      </c>
      <c r="AU3602" s="1856" t="str">
        <f t="shared" si="572"/>
        <v/>
      </c>
      <c r="AV3602" s="1856" t="str">
        <f t="shared" si="573"/>
        <v/>
      </c>
      <c r="AW3602" s="1856" t="str">
        <f t="shared" si="574"/>
        <v/>
      </c>
      <c r="AX3602" s="1856" t="str">
        <f t="shared" si="575"/>
        <v/>
      </c>
      <c r="AY3602" s="1856" t="str">
        <f t="shared" si="576"/>
        <v/>
      </c>
    </row>
    <row r="3603" spans="42:51">
      <c r="AP3603" s="1855">
        <f t="shared" si="577"/>
        <v>44957</v>
      </c>
      <c r="AQ3603" s="925" t="str">
        <f t="shared" si="579"/>
        <v/>
      </c>
      <c r="AR3603" s="1856" t="str">
        <f t="shared" si="578"/>
        <v/>
      </c>
      <c r="AT3603" s="1856" t="str">
        <f t="shared" si="571"/>
        <v/>
      </c>
      <c r="AU3603" s="1856" t="str">
        <f t="shared" si="572"/>
        <v/>
      </c>
      <c r="AV3603" s="1856" t="str">
        <f t="shared" si="573"/>
        <v/>
      </c>
      <c r="AW3603" s="1856" t="str">
        <f t="shared" si="574"/>
        <v/>
      </c>
      <c r="AX3603" s="1856" t="str">
        <f t="shared" si="575"/>
        <v/>
      </c>
      <c r="AY3603" s="1856" t="str">
        <f t="shared" si="576"/>
        <v/>
      </c>
    </row>
    <row r="3604" spans="42:51">
      <c r="AP3604" s="1855">
        <f t="shared" si="577"/>
        <v>44957</v>
      </c>
      <c r="AQ3604" s="925" t="str">
        <f t="shared" si="579"/>
        <v/>
      </c>
      <c r="AR3604" s="1856" t="str">
        <f t="shared" si="578"/>
        <v/>
      </c>
      <c r="AT3604" s="1856" t="str">
        <f t="shared" si="571"/>
        <v/>
      </c>
      <c r="AU3604" s="1856" t="str">
        <f t="shared" si="572"/>
        <v/>
      </c>
      <c r="AV3604" s="1856" t="str">
        <f t="shared" si="573"/>
        <v/>
      </c>
      <c r="AW3604" s="1856" t="str">
        <f t="shared" si="574"/>
        <v/>
      </c>
      <c r="AX3604" s="1856" t="str">
        <f t="shared" si="575"/>
        <v/>
      </c>
      <c r="AY3604" s="1856" t="str">
        <f t="shared" si="576"/>
        <v/>
      </c>
    </row>
    <row r="3605" spans="42:51">
      <c r="AP3605" s="1855">
        <f t="shared" si="577"/>
        <v>44957</v>
      </c>
      <c r="AQ3605" s="925" t="str">
        <f t="shared" si="579"/>
        <v/>
      </c>
      <c r="AR3605" s="1856" t="str">
        <f t="shared" si="578"/>
        <v/>
      </c>
      <c r="AT3605" s="1856" t="str">
        <f t="shared" si="571"/>
        <v/>
      </c>
      <c r="AU3605" s="1856" t="str">
        <f t="shared" si="572"/>
        <v/>
      </c>
      <c r="AV3605" s="1856" t="str">
        <f t="shared" si="573"/>
        <v/>
      </c>
      <c r="AW3605" s="1856" t="str">
        <f t="shared" si="574"/>
        <v/>
      </c>
      <c r="AX3605" s="1856" t="str">
        <f t="shared" si="575"/>
        <v/>
      </c>
      <c r="AY3605" s="1856" t="str">
        <f t="shared" si="576"/>
        <v/>
      </c>
    </row>
    <row r="3606" spans="42:51">
      <c r="AP3606" s="1855">
        <f t="shared" si="577"/>
        <v>44957</v>
      </c>
      <c r="AQ3606" s="925" t="str">
        <f t="shared" si="579"/>
        <v/>
      </c>
      <c r="AR3606" s="1856" t="str">
        <f t="shared" si="578"/>
        <v/>
      </c>
      <c r="AT3606" s="1856" t="str">
        <f t="shared" si="571"/>
        <v/>
      </c>
      <c r="AU3606" s="1856" t="str">
        <f t="shared" si="572"/>
        <v/>
      </c>
      <c r="AV3606" s="1856" t="str">
        <f t="shared" si="573"/>
        <v/>
      </c>
      <c r="AW3606" s="1856" t="str">
        <f t="shared" si="574"/>
        <v/>
      </c>
      <c r="AX3606" s="1856" t="str">
        <f t="shared" si="575"/>
        <v/>
      </c>
      <c r="AY3606" s="1856" t="str">
        <f t="shared" si="576"/>
        <v/>
      </c>
    </row>
    <row r="3607" spans="42:51">
      <c r="AP3607" s="1855">
        <f t="shared" si="577"/>
        <v>44957</v>
      </c>
      <c r="AQ3607" s="925" t="str">
        <f t="shared" si="579"/>
        <v/>
      </c>
      <c r="AR3607" s="1856" t="str">
        <f t="shared" si="578"/>
        <v/>
      </c>
      <c r="AT3607" s="1856" t="str">
        <f t="shared" si="571"/>
        <v/>
      </c>
      <c r="AU3607" s="1856" t="str">
        <f t="shared" si="572"/>
        <v/>
      </c>
      <c r="AV3607" s="1856" t="str">
        <f t="shared" si="573"/>
        <v/>
      </c>
      <c r="AW3607" s="1856" t="str">
        <f t="shared" si="574"/>
        <v/>
      </c>
      <c r="AX3607" s="1856" t="str">
        <f t="shared" si="575"/>
        <v/>
      </c>
      <c r="AY3607" s="1856" t="str">
        <f t="shared" si="576"/>
        <v/>
      </c>
    </row>
    <row r="3608" spans="42:51">
      <c r="AP3608" s="1855">
        <f t="shared" si="577"/>
        <v>44957</v>
      </c>
      <c r="AQ3608" s="925" t="str">
        <f t="shared" si="579"/>
        <v/>
      </c>
      <c r="AR3608" s="1856" t="str">
        <f t="shared" si="578"/>
        <v/>
      </c>
      <c r="AT3608" s="1856" t="str">
        <f t="shared" si="571"/>
        <v/>
      </c>
      <c r="AU3608" s="1856" t="str">
        <f t="shared" si="572"/>
        <v/>
      </c>
      <c r="AV3608" s="1856" t="str">
        <f t="shared" si="573"/>
        <v/>
      </c>
      <c r="AW3608" s="1856" t="str">
        <f t="shared" si="574"/>
        <v/>
      </c>
      <c r="AX3608" s="1856" t="str">
        <f t="shared" si="575"/>
        <v/>
      </c>
      <c r="AY3608" s="1856" t="str">
        <f t="shared" si="576"/>
        <v/>
      </c>
    </row>
    <row r="3609" spans="42:51">
      <c r="AP3609" s="1855">
        <f t="shared" si="577"/>
        <v>44957</v>
      </c>
      <c r="AQ3609" s="925" t="str">
        <f t="shared" si="579"/>
        <v/>
      </c>
      <c r="AR3609" s="1856" t="str">
        <f t="shared" si="578"/>
        <v/>
      </c>
      <c r="AT3609" s="1856" t="str">
        <f t="shared" si="571"/>
        <v/>
      </c>
      <c r="AU3609" s="1856" t="str">
        <f t="shared" si="572"/>
        <v/>
      </c>
      <c r="AV3609" s="1856" t="str">
        <f t="shared" si="573"/>
        <v/>
      </c>
      <c r="AW3609" s="1856" t="str">
        <f t="shared" si="574"/>
        <v/>
      </c>
      <c r="AX3609" s="1856" t="str">
        <f t="shared" si="575"/>
        <v/>
      </c>
      <c r="AY3609" s="1856" t="str">
        <f t="shared" si="576"/>
        <v/>
      </c>
    </row>
    <row r="3610" spans="42:51">
      <c r="AP3610" s="1855">
        <f t="shared" si="577"/>
        <v>44957</v>
      </c>
      <c r="AQ3610" s="925" t="str">
        <f t="shared" si="579"/>
        <v/>
      </c>
      <c r="AR3610" s="1856" t="str">
        <f t="shared" si="578"/>
        <v/>
      </c>
      <c r="AT3610" s="1856" t="str">
        <f t="shared" si="571"/>
        <v/>
      </c>
      <c r="AU3610" s="1856" t="str">
        <f t="shared" si="572"/>
        <v/>
      </c>
      <c r="AV3610" s="1856" t="str">
        <f t="shared" si="573"/>
        <v/>
      </c>
      <c r="AW3610" s="1856" t="str">
        <f t="shared" si="574"/>
        <v/>
      </c>
      <c r="AX3610" s="1856" t="str">
        <f t="shared" si="575"/>
        <v/>
      </c>
      <c r="AY3610" s="1856" t="str">
        <f t="shared" si="576"/>
        <v/>
      </c>
    </row>
    <row r="3611" spans="42:51">
      <c r="AP3611" s="1855">
        <f t="shared" si="577"/>
        <v>44957</v>
      </c>
      <c r="AQ3611" s="925" t="str">
        <f t="shared" si="579"/>
        <v/>
      </c>
      <c r="AR3611" s="1856" t="str">
        <f t="shared" si="578"/>
        <v/>
      </c>
      <c r="AT3611" s="1856" t="str">
        <f t="shared" si="571"/>
        <v/>
      </c>
      <c r="AU3611" s="1856" t="str">
        <f t="shared" si="572"/>
        <v/>
      </c>
      <c r="AV3611" s="1856" t="str">
        <f t="shared" si="573"/>
        <v/>
      </c>
      <c r="AW3611" s="1856" t="str">
        <f t="shared" si="574"/>
        <v/>
      </c>
      <c r="AX3611" s="1856" t="str">
        <f t="shared" si="575"/>
        <v/>
      </c>
      <c r="AY3611" s="1856" t="str">
        <f t="shared" si="576"/>
        <v/>
      </c>
    </row>
    <row r="3612" spans="42:51">
      <c r="AP3612" s="1855">
        <f t="shared" si="577"/>
        <v>44957</v>
      </c>
      <c r="AQ3612" s="925" t="str">
        <f t="shared" si="579"/>
        <v/>
      </c>
      <c r="AR3612" s="1856" t="str">
        <f t="shared" si="578"/>
        <v/>
      </c>
      <c r="AT3612" s="1856" t="str">
        <f t="shared" ref="AT3612:AT3675" si="580">IF(ISNUMBER(AS3612),INDEX(AR3613:AR3623,MATCH($AT$27,AQ3613:AQ3623,0)),"")</f>
        <v/>
      </c>
      <c r="AU3612" s="1856" t="str">
        <f t="shared" ref="AU3612:AU3675" si="581">IF(AT3612="","",INDEX(AR3613:AR3623,MATCH($AU$27,AQ3613:AQ3623,0)))</f>
        <v/>
      </c>
      <c r="AV3612" s="1856" t="str">
        <f t="shared" ref="AV3612:AV3675" si="582">IF(AT3612="","",INDEX(AR3613:AR3623,MATCH($AV$27,AQ3613:AQ3623,0)))</f>
        <v/>
      </c>
      <c r="AW3612" s="1856" t="str">
        <f t="shared" ref="AW3612:AW3675" si="583">IF(AT3612="","",INDEX(AR3613:AR3623,MATCH($AW$27,AQ3613:AQ3623,0)))</f>
        <v/>
      </c>
      <c r="AX3612" s="1856" t="str">
        <f t="shared" ref="AX3612:AX3675" si="584">IF(AT3612="","",INDEX(AR3613:AR3623,MATCH($AX$27,AQ3613:AQ3623,0)))</f>
        <v/>
      </c>
      <c r="AY3612" s="1856" t="str">
        <f t="shared" ref="AY3612:AY3675" si="585">IF(AT3612="","",INDEX(AR3613:AR3623,MATCH($AY$27,AQ3613:AQ3623,0)))</f>
        <v/>
      </c>
    </row>
    <row r="3613" spans="42:51">
      <c r="AP3613" s="1855">
        <f t="shared" si="577"/>
        <v>44957</v>
      </c>
      <c r="AQ3613" s="925" t="str">
        <f t="shared" si="579"/>
        <v/>
      </c>
      <c r="AR3613" s="1856" t="str">
        <f t="shared" si="578"/>
        <v/>
      </c>
      <c r="AT3613" s="1856" t="str">
        <f t="shared" si="580"/>
        <v/>
      </c>
      <c r="AU3613" s="1856" t="str">
        <f t="shared" si="581"/>
        <v/>
      </c>
      <c r="AV3613" s="1856" t="str">
        <f t="shared" si="582"/>
        <v/>
      </c>
      <c r="AW3613" s="1856" t="str">
        <f t="shared" si="583"/>
        <v/>
      </c>
      <c r="AX3613" s="1856" t="str">
        <f t="shared" si="584"/>
        <v/>
      </c>
      <c r="AY3613" s="1856" t="str">
        <f t="shared" si="585"/>
        <v/>
      </c>
    </row>
    <row r="3614" spans="42:51">
      <c r="AP3614" s="1855">
        <f t="shared" si="577"/>
        <v>44957</v>
      </c>
      <c r="AQ3614" s="925" t="str">
        <f t="shared" si="579"/>
        <v/>
      </c>
      <c r="AR3614" s="1856" t="str">
        <f t="shared" si="578"/>
        <v/>
      </c>
      <c r="AT3614" s="1856" t="str">
        <f t="shared" si="580"/>
        <v/>
      </c>
      <c r="AU3614" s="1856" t="str">
        <f t="shared" si="581"/>
        <v/>
      </c>
      <c r="AV3614" s="1856" t="str">
        <f t="shared" si="582"/>
        <v/>
      </c>
      <c r="AW3614" s="1856" t="str">
        <f t="shared" si="583"/>
        <v/>
      </c>
      <c r="AX3614" s="1856" t="str">
        <f t="shared" si="584"/>
        <v/>
      </c>
      <c r="AY3614" s="1856" t="str">
        <f t="shared" si="585"/>
        <v/>
      </c>
    </row>
    <row r="3615" spans="42:51">
      <c r="AP3615" s="1855">
        <f t="shared" si="577"/>
        <v>44957</v>
      </c>
      <c r="AQ3615" s="925" t="str">
        <f t="shared" si="579"/>
        <v/>
      </c>
      <c r="AR3615" s="1856" t="str">
        <f t="shared" si="578"/>
        <v/>
      </c>
      <c r="AT3615" s="1856" t="str">
        <f t="shared" si="580"/>
        <v/>
      </c>
      <c r="AU3615" s="1856" t="str">
        <f t="shared" si="581"/>
        <v/>
      </c>
      <c r="AV3615" s="1856" t="str">
        <f t="shared" si="582"/>
        <v/>
      </c>
      <c r="AW3615" s="1856" t="str">
        <f t="shared" si="583"/>
        <v/>
      </c>
      <c r="AX3615" s="1856" t="str">
        <f t="shared" si="584"/>
        <v/>
      </c>
      <c r="AY3615" s="1856" t="str">
        <f t="shared" si="585"/>
        <v/>
      </c>
    </row>
    <row r="3616" spans="42:51">
      <c r="AP3616" s="1855">
        <f t="shared" si="577"/>
        <v>44957</v>
      </c>
      <c r="AQ3616" s="925" t="str">
        <f t="shared" si="579"/>
        <v/>
      </c>
      <c r="AR3616" s="1856" t="str">
        <f t="shared" si="578"/>
        <v/>
      </c>
      <c r="AT3616" s="1856" t="str">
        <f t="shared" si="580"/>
        <v/>
      </c>
      <c r="AU3616" s="1856" t="str">
        <f t="shared" si="581"/>
        <v/>
      </c>
      <c r="AV3616" s="1856" t="str">
        <f t="shared" si="582"/>
        <v/>
      </c>
      <c r="AW3616" s="1856" t="str">
        <f t="shared" si="583"/>
        <v/>
      </c>
      <c r="AX3616" s="1856" t="str">
        <f t="shared" si="584"/>
        <v/>
      </c>
      <c r="AY3616" s="1856" t="str">
        <f t="shared" si="585"/>
        <v/>
      </c>
    </row>
    <row r="3617" spans="42:51">
      <c r="AP3617" s="1855">
        <f t="shared" si="577"/>
        <v>44957</v>
      </c>
      <c r="AQ3617" s="925" t="str">
        <f t="shared" si="579"/>
        <v/>
      </c>
      <c r="AR3617" s="1856" t="str">
        <f t="shared" si="578"/>
        <v/>
      </c>
      <c r="AT3617" s="1856" t="str">
        <f t="shared" si="580"/>
        <v/>
      </c>
      <c r="AU3617" s="1856" t="str">
        <f t="shared" si="581"/>
        <v/>
      </c>
      <c r="AV3617" s="1856" t="str">
        <f t="shared" si="582"/>
        <v/>
      </c>
      <c r="AW3617" s="1856" t="str">
        <f t="shared" si="583"/>
        <v/>
      </c>
      <c r="AX3617" s="1856" t="str">
        <f t="shared" si="584"/>
        <v/>
      </c>
      <c r="AY3617" s="1856" t="str">
        <f t="shared" si="585"/>
        <v/>
      </c>
    </row>
    <row r="3618" spans="42:51">
      <c r="AP3618" s="1855">
        <f t="shared" si="577"/>
        <v>44957</v>
      </c>
      <c r="AQ3618" s="925" t="str">
        <f t="shared" si="579"/>
        <v/>
      </c>
      <c r="AR3618" s="1856" t="str">
        <f t="shared" si="578"/>
        <v/>
      </c>
      <c r="AT3618" s="1856" t="str">
        <f t="shared" si="580"/>
        <v/>
      </c>
      <c r="AU3618" s="1856" t="str">
        <f t="shared" si="581"/>
        <v/>
      </c>
      <c r="AV3618" s="1856" t="str">
        <f t="shared" si="582"/>
        <v/>
      </c>
      <c r="AW3618" s="1856" t="str">
        <f t="shared" si="583"/>
        <v/>
      </c>
      <c r="AX3618" s="1856" t="str">
        <f t="shared" si="584"/>
        <v/>
      </c>
      <c r="AY3618" s="1856" t="str">
        <f t="shared" si="585"/>
        <v/>
      </c>
    </row>
    <row r="3619" spans="42:51">
      <c r="AP3619" s="1855">
        <f t="shared" si="577"/>
        <v>44957</v>
      </c>
      <c r="AQ3619" s="925" t="str">
        <f t="shared" si="579"/>
        <v/>
      </c>
      <c r="AR3619" s="1856" t="str">
        <f t="shared" si="578"/>
        <v/>
      </c>
      <c r="AT3619" s="1856" t="str">
        <f t="shared" si="580"/>
        <v/>
      </c>
      <c r="AU3619" s="1856" t="str">
        <f t="shared" si="581"/>
        <v/>
      </c>
      <c r="AV3619" s="1856" t="str">
        <f t="shared" si="582"/>
        <v/>
      </c>
      <c r="AW3619" s="1856" t="str">
        <f t="shared" si="583"/>
        <v/>
      </c>
      <c r="AX3619" s="1856" t="str">
        <f t="shared" si="584"/>
        <v/>
      </c>
      <c r="AY3619" s="1856" t="str">
        <f t="shared" si="585"/>
        <v/>
      </c>
    </row>
    <row r="3620" spans="42:51">
      <c r="AP3620" s="1855">
        <f t="shared" si="577"/>
        <v>44957</v>
      </c>
      <c r="AQ3620" s="925" t="str">
        <f t="shared" si="579"/>
        <v/>
      </c>
      <c r="AR3620" s="1856" t="str">
        <f t="shared" si="578"/>
        <v/>
      </c>
      <c r="AT3620" s="1856" t="str">
        <f t="shared" si="580"/>
        <v/>
      </c>
      <c r="AU3620" s="1856" t="str">
        <f t="shared" si="581"/>
        <v/>
      </c>
      <c r="AV3620" s="1856" t="str">
        <f t="shared" si="582"/>
        <v/>
      </c>
      <c r="AW3620" s="1856" t="str">
        <f t="shared" si="583"/>
        <v/>
      </c>
      <c r="AX3620" s="1856" t="str">
        <f t="shared" si="584"/>
        <v/>
      </c>
      <c r="AY3620" s="1856" t="str">
        <f t="shared" si="585"/>
        <v/>
      </c>
    </row>
    <row r="3621" spans="42:51">
      <c r="AP3621" s="1855">
        <f t="shared" ref="AP3621:AP3684" si="586">IF(ISNUMBER(AS3621),AP3620+1,AP3620)</f>
        <v>44957</v>
      </c>
      <c r="AQ3621" s="925" t="str">
        <f t="shared" si="579"/>
        <v/>
      </c>
      <c r="AR3621" s="1856" t="str">
        <f t="shared" si="578"/>
        <v/>
      </c>
      <c r="AT3621" s="1856" t="str">
        <f t="shared" si="580"/>
        <v/>
      </c>
      <c r="AU3621" s="1856" t="str">
        <f t="shared" si="581"/>
        <v/>
      </c>
      <c r="AV3621" s="1856" t="str">
        <f t="shared" si="582"/>
        <v/>
      </c>
      <c r="AW3621" s="1856" t="str">
        <f t="shared" si="583"/>
        <v/>
      </c>
      <c r="AX3621" s="1856" t="str">
        <f t="shared" si="584"/>
        <v/>
      </c>
      <c r="AY3621" s="1856" t="str">
        <f t="shared" si="585"/>
        <v/>
      </c>
    </row>
    <row r="3622" spans="42:51">
      <c r="AP3622" s="1855">
        <f t="shared" si="586"/>
        <v>44957</v>
      </c>
      <c r="AQ3622" s="925" t="str">
        <f t="shared" si="579"/>
        <v/>
      </c>
      <c r="AR3622" s="1856" t="str">
        <f t="shared" si="578"/>
        <v/>
      </c>
      <c r="AT3622" s="1856" t="str">
        <f t="shared" si="580"/>
        <v/>
      </c>
      <c r="AU3622" s="1856" t="str">
        <f t="shared" si="581"/>
        <v/>
      </c>
      <c r="AV3622" s="1856" t="str">
        <f t="shared" si="582"/>
        <v/>
      </c>
      <c r="AW3622" s="1856" t="str">
        <f t="shared" si="583"/>
        <v/>
      </c>
      <c r="AX3622" s="1856" t="str">
        <f t="shared" si="584"/>
        <v/>
      </c>
      <c r="AY3622" s="1856" t="str">
        <f t="shared" si="585"/>
        <v/>
      </c>
    </row>
    <row r="3623" spans="42:51">
      <c r="AP3623" s="1855">
        <f t="shared" si="586"/>
        <v>44957</v>
      </c>
      <c r="AQ3623" s="925" t="str">
        <f t="shared" si="579"/>
        <v/>
      </c>
      <c r="AR3623" s="1856" t="str">
        <f t="shared" si="578"/>
        <v/>
      </c>
      <c r="AT3623" s="1856" t="str">
        <f t="shared" si="580"/>
        <v/>
      </c>
      <c r="AU3623" s="1856" t="str">
        <f t="shared" si="581"/>
        <v/>
      </c>
      <c r="AV3623" s="1856" t="str">
        <f t="shared" si="582"/>
        <v/>
      </c>
      <c r="AW3623" s="1856" t="str">
        <f t="shared" si="583"/>
        <v/>
      </c>
      <c r="AX3623" s="1856" t="str">
        <f t="shared" si="584"/>
        <v/>
      </c>
      <c r="AY3623" s="1856" t="str">
        <f t="shared" si="585"/>
        <v/>
      </c>
    </row>
    <row r="3624" spans="42:51">
      <c r="AP3624" s="1855">
        <f t="shared" si="586"/>
        <v>44957</v>
      </c>
      <c r="AQ3624" s="925" t="str">
        <f t="shared" si="579"/>
        <v/>
      </c>
      <c r="AR3624" s="1856" t="str">
        <f t="shared" si="578"/>
        <v/>
      </c>
      <c r="AT3624" s="1856" t="str">
        <f t="shared" si="580"/>
        <v/>
      </c>
      <c r="AU3624" s="1856" t="str">
        <f t="shared" si="581"/>
        <v/>
      </c>
      <c r="AV3624" s="1856" t="str">
        <f t="shared" si="582"/>
        <v/>
      </c>
      <c r="AW3624" s="1856" t="str">
        <f t="shared" si="583"/>
        <v/>
      </c>
      <c r="AX3624" s="1856" t="str">
        <f t="shared" si="584"/>
        <v/>
      </c>
      <c r="AY3624" s="1856" t="str">
        <f t="shared" si="585"/>
        <v/>
      </c>
    </row>
    <row r="3625" spans="42:51">
      <c r="AP3625" s="1855">
        <f t="shared" si="586"/>
        <v>44957</v>
      </c>
      <c r="AQ3625" s="925" t="str">
        <f t="shared" si="579"/>
        <v/>
      </c>
      <c r="AR3625" s="1856" t="str">
        <f t="shared" ref="AR3625:AR3688" si="587">IF(NOT(ISNUMBER(FIND(":",AS3625))),"",IF(ISNUMBER(FIND(" none",AS3625)),"NONE",AP3625+LEFT(RIGHT(AS3625,5),2)/24+RIGHT(AS3625,2)/1440))</f>
        <v/>
      </c>
      <c r="AT3625" s="1856" t="str">
        <f t="shared" si="580"/>
        <v/>
      </c>
      <c r="AU3625" s="1856" t="str">
        <f t="shared" si="581"/>
        <v/>
      </c>
      <c r="AV3625" s="1856" t="str">
        <f t="shared" si="582"/>
        <v/>
      </c>
      <c r="AW3625" s="1856" t="str">
        <f t="shared" si="583"/>
        <v/>
      </c>
      <c r="AX3625" s="1856" t="str">
        <f t="shared" si="584"/>
        <v/>
      </c>
      <c r="AY3625" s="1856" t="str">
        <f t="shared" si="585"/>
        <v/>
      </c>
    </row>
    <row r="3626" spans="42:51">
      <c r="AP3626" s="1855">
        <f t="shared" si="586"/>
        <v>44957</v>
      </c>
      <c r="AQ3626" s="925" t="str">
        <f t="shared" si="579"/>
        <v/>
      </c>
      <c r="AR3626" s="1856" t="str">
        <f t="shared" si="587"/>
        <v/>
      </c>
      <c r="AT3626" s="1856" t="str">
        <f t="shared" si="580"/>
        <v/>
      </c>
      <c r="AU3626" s="1856" t="str">
        <f t="shared" si="581"/>
        <v/>
      </c>
      <c r="AV3626" s="1856" t="str">
        <f t="shared" si="582"/>
        <v/>
      </c>
      <c r="AW3626" s="1856" t="str">
        <f t="shared" si="583"/>
        <v/>
      </c>
      <c r="AX3626" s="1856" t="str">
        <f t="shared" si="584"/>
        <v/>
      </c>
      <c r="AY3626" s="1856" t="str">
        <f t="shared" si="585"/>
        <v/>
      </c>
    </row>
    <row r="3627" spans="42:51">
      <c r="AP3627" s="1855">
        <f t="shared" si="586"/>
        <v>44957</v>
      </c>
      <c r="AQ3627" s="925" t="str">
        <f t="shared" si="579"/>
        <v/>
      </c>
      <c r="AR3627" s="1856" t="str">
        <f t="shared" si="587"/>
        <v/>
      </c>
      <c r="AT3627" s="1856" t="str">
        <f t="shared" si="580"/>
        <v/>
      </c>
      <c r="AU3627" s="1856" t="str">
        <f t="shared" si="581"/>
        <v/>
      </c>
      <c r="AV3627" s="1856" t="str">
        <f t="shared" si="582"/>
        <v/>
      </c>
      <c r="AW3627" s="1856" t="str">
        <f t="shared" si="583"/>
        <v/>
      </c>
      <c r="AX3627" s="1856" t="str">
        <f t="shared" si="584"/>
        <v/>
      </c>
      <c r="AY3627" s="1856" t="str">
        <f t="shared" si="585"/>
        <v/>
      </c>
    </row>
    <row r="3628" spans="42:51">
      <c r="AP3628" s="1855">
        <f t="shared" si="586"/>
        <v>44957</v>
      </c>
      <c r="AQ3628" s="925" t="str">
        <f t="shared" si="579"/>
        <v/>
      </c>
      <c r="AR3628" s="1856" t="str">
        <f t="shared" si="587"/>
        <v/>
      </c>
      <c r="AT3628" s="1856" t="str">
        <f t="shared" si="580"/>
        <v/>
      </c>
      <c r="AU3628" s="1856" t="str">
        <f t="shared" si="581"/>
        <v/>
      </c>
      <c r="AV3628" s="1856" t="str">
        <f t="shared" si="582"/>
        <v/>
      </c>
      <c r="AW3628" s="1856" t="str">
        <f t="shared" si="583"/>
        <v/>
      </c>
      <c r="AX3628" s="1856" t="str">
        <f t="shared" si="584"/>
        <v/>
      </c>
      <c r="AY3628" s="1856" t="str">
        <f t="shared" si="585"/>
        <v/>
      </c>
    </row>
    <row r="3629" spans="42:51">
      <c r="AP3629" s="1855">
        <f t="shared" si="586"/>
        <v>44957</v>
      </c>
      <c r="AQ3629" s="925" t="str">
        <f t="shared" si="579"/>
        <v/>
      </c>
      <c r="AR3629" s="1856" t="str">
        <f t="shared" si="587"/>
        <v/>
      </c>
      <c r="AT3629" s="1856" t="str">
        <f t="shared" si="580"/>
        <v/>
      </c>
      <c r="AU3629" s="1856" t="str">
        <f t="shared" si="581"/>
        <v/>
      </c>
      <c r="AV3629" s="1856" t="str">
        <f t="shared" si="582"/>
        <v/>
      </c>
      <c r="AW3629" s="1856" t="str">
        <f t="shared" si="583"/>
        <v/>
      </c>
      <c r="AX3629" s="1856" t="str">
        <f t="shared" si="584"/>
        <v/>
      </c>
      <c r="AY3629" s="1856" t="str">
        <f t="shared" si="585"/>
        <v/>
      </c>
    </row>
    <row r="3630" spans="42:51">
      <c r="AP3630" s="1855">
        <f t="shared" si="586"/>
        <v>44957</v>
      </c>
      <c r="AQ3630" s="925" t="str">
        <f t="shared" si="579"/>
        <v/>
      </c>
      <c r="AR3630" s="1856" t="str">
        <f t="shared" si="587"/>
        <v/>
      </c>
      <c r="AT3630" s="1856" t="str">
        <f t="shared" si="580"/>
        <v/>
      </c>
      <c r="AU3630" s="1856" t="str">
        <f t="shared" si="581"/>
        <v/>
      </c>
      <c r="AV3630" s="1856" t="str">
        <f t="shared" si="582"/>
        <v/>
      </c>
      <c r="AW3630" s="1856" t="str">
        <f t="shared" si="583"/>
        <v/>
      </c>
      <c r="AX3630" s="1856" t="str">
        <f t="shared" si="584"/>
        <v/>
      </c>
      <c r="AY3630" s="1856" t="str">
        <f t="shared" si="585"/>
        <v/>
      </c>
    </row>
    <row r="3631" spans="42:51">
      <c r="AP3631" s="1855">
        <f t="shared" si="586"/>
        <v>44957</v>
      </c>
      <c r="AQ3631" s="925" t="str">
        <f t="shared" si="579"/>
        <v/>
      </c>
      <c r="AR3631" s="1856" t="str">
        <f t="shared" si="587"/>
        <v/>
      </c>
      <c r="AT3631" s="1856" t="str">
        <f t="shared" si="580"/>
        <v/>
      </c>
      <c r="AU3631" s="1856" t="str">
        <f t="shared" si="581"/>
        <v/>
      </c>
      <c r="AV3631" s="1856" t="str">
        <f t="shared" si="582"/>
        <v/>
      </c>
      <c r="AW3631" s="1856" t="str">
        <f t="shared" si="583"/>
        <v/>
      </c>
      <c r="AX3631" s="1856" t="str">
        <f t="shared" si="584"/>
        <v/>
      </c>
      <c r="AY3631" s="1856" t="str">
        <f t="shared" si="585"/>
        <v/>
      </c>
    </row>
    <row r="3632" spans="42:51">
      <c r="AP3632" s="1855">
        <f t="shared" si="586"/>
        <v>44957</v>
      </c>
      <c r="AQ3632" s="925" t="str">
        <f t="shared" si="579"/>
        <v/>
      </c>
      <c r="AR3632" s="1856" t="str">
        <f t="shared" si="587"/>
        <v/>
      </c>
      <c r="AT3632" s="1856" t="str">
        <f t="shared" si="580"/>
        <v/>
      </c>
      <c r="AU3632" s="1856" t="str">
        <f t="shared" si="581"/>
        <v/>
      </c>
      <c r="AV3632" s="1856" t="str">
        <f t="shared" si="582"/>
        <v/>
      </c>
      <c r="AW3632" s="1856" t="str">
        <f t="shared" si="583"/>
        <v/>
      </c>
      <c r="AX3632" s="1856" t="str">
        <f t="shared" si="584"/>
        <v/>
      </c>
      <c r="AY3632" s="1856" t="str">
        <f t="shared" si="585"/>
        <v/>
      </c>
    </row>
    <row r="3633" spans="42:51">
      <c r="AP3633" s="1855">
        <f t="shared" si="586"/>
        <v>44957</v>
      </c>
      <c r="AQ3633" s="925" t="str">
        <f t="shared" si="579"/>
        <v/>
      </c>
      <c r="AR3633" s="1856" t="str">
        <f t="shared" si="587"/>
        <v/>
      </c>
      <c r="AT3633" s="1856" t="str">
        <f t="shared" si="580"/>
        <v/>
      </c>
      <c r="AU3633" s="1856" t="str">
        <f t="shared" si="581"/>
        <v/>
      </c>
      <c r="AV3633" s="1856" t="str">
        <f t="shared" si="582"/>
        <v/>
      </c>
      <c r="AW3633" s="1856" t="str">
        <f t="shared" si="583"/>
        <v/>
      </c>
      <c r="AX3633" s="1856" t="str">
        <f t="shared" si="584"/>
        <v/>
      </c>
      <c r="AY3633" s="1856" t="str">
        <f t="shared" si="585"/>
        <v/>
      </c>
    </row>
    <row r="3634" spans="42:51">
      <c r="AP3634" s="1855">
        <f t="shared" si="586"/>
        <v>44957</v>
      </c>
      <c r="AQ3634" s="925" t="str">
        <f t="shared" si="579"/>
        <v/>
      </c>
      <c r="AR3634" s="1856" t="str">
        <f t="shared" si="587"/>
        <v/>
      </c>
      <c r="AT3634" s="1856" t="str">
        <f t="shared" si="580"/>
        <v/>
      </c>
      <c r="AU3634" s="1856" t="str">
        <f t="shared" si="581"/>
        <v/>
      </c>
      <c r="AV3634" s="1856" t="str">
        <f t="shared" si="582"/>
        <v/>
      </c>
      <c r="AW3634" s="1856" t="str">
        <f t="shared" si="583"/>
        <v/>
      </c>
      <c r="AX3634" s="1856" t="str">
        <f t="shared" si="584"/>
        <v/>
      </c>
      <c r="AY3634" s="1856" t="str">
        <f t="shared" si="585"/>
        <v/>
      </c>
    </row>
    <row r="3635" spans="42:51">
      <c r="AP3635" s="1855">
        <f t="shared" si="586"/>
        <v>44957</v>
      </c>
      <c r="AQ3635" s="925" t="str">
        <f t="shared" si="579"/>
        <v/>
      </c>
      <c r="AR3635" s="1856" t="str">
        <f t="shared" si="587"/>
        <v/>
      </c>
      <c r="AT3635" s="1856" t="str">
        <f t="shared" si="580"/>
        <v/>
      </c>
      <c r="AU3635" s="1856" t="str">
        <f t="shared" si="581"/>
        <v/>
      </c>
      <c r="AV3635" s="1856" t="str">
        <f t="shared" si="582"/>
        <v/>
      </c>
      <c r="AW3635" s="1856" t="str">
        <f t="shared" si="583"/>
        <v/>
      </c>
      <c r="AX3635" s="1856" t="str">
        <f t="shared" si="584"/>
        <v/>
      </c>
      <c r="AY3635" s="1856" t="str">
        <f t="shared" si="585"/>
        <v/>
      </c>
    </row>
    <row r="3636" spans="42:51">
      <c r="AP3636" s="1855">
        <f t="shared" si="586"/>
        <v>44957</v>
      </c>
      <c r="AQ3636" s="925" t="str">
        <f t="shared" ref="AQ3636:AQ3699" si="588">IF(NOT(ISNUMBER(FIND(":",AS3636))),"",IF(ISNUMBER(FIND("Sunr",AS3636)),"SR", IF(ISNUMBER(FIND("Suns",AS3636)),"SS",IF(ISNUMBER(FIND("Moonr",AS3636)),"MR",IF(ISNUMBER(FIND("Moons",AS3636)),"MS",IF(ISNUMBER(FIND("Twi",AS3636)),IF(HOUR(AR3636)&lt;12,"BMNT","EENT")))))))</f>
        <v/>
      </c>
      <c r="AR3636" s="1856" t="str">
        <f t="shared" si="587"/>
        <v/>
      </c>
      <c r="AT3636" s="1856" t="str">
        <f t="shared" si="580"/>
        <v/>
      </c>
      <c r="AU3636" s="1856" t="str">
        <f t="shared" si="581"/>
        <v/>
      </c>
      <c r="AV3636" s="1856" t="str">
        <f t="shared" si="582"/>
        <v/>
      </c>
      <c r="AW3636" s="1856" t="str">
        <f t="shared" si="583"/>
        <v/>
      </c>
      <c r="AX3636" s="1856" t="str">
        <f t="shared" si="584"/>
        <v/>
      </c>
      <c r="AY3636" s="1856" t="str">
        <f t="shared" si="585"/>
        <v/>
      </c>
    </row>
    <row r="3637" spans="42:51">
      <c r="AP3637" s="1855">
        <f t="shared" si="586"/>
        <v>44957</v>
      </c>
      <c r="AQ3637" s="925" t="str">
        <f t="shared" si="588"/>
        <v/>
      </c>
      <c r="AR3637" s="1856" t="str">
        <f t="shared" si="587"/>
        <v/>
      </c>
      <c r="AT3637" s="1856" t="str">
        <f t="shared" si="580"/>
        <v/>
      </c>
      <c r="AU3637" s="1856" t="str">
        <f t="shared" si="581"/>
        <v/>
      </c>
      <c r="AV3637" s="1856" t="str">
        <f t="shared" si="582"/>
        <v/>
      </c>
      <c r="AW3637" s="1856" t="str">
        <f t="shared" si="583"/>
        <v/>
      </c>
      <c r="AX3637" s="1856" t="str">
        <f t="shared" si="584"/>
        <v/>
      </c>
      <c r="AY3637" s="1856" t="str">
        <f t="shared" si="585"/>
        <v/>
      </c>
    </row>
    <row r="3638" spans="42:51">
      <c r="AP3638" s="1855">
        <f t="shared" si="586"/>
        <v>44957</v>
      </c>
      <c r="AQ3638" s="925" t="str">
        <f t="shared" si="588"/>
        <v/>
      </c>
      <c r="AR3638" s="1856" t="str">
        <f t="shared" si="587"/>
        <v/>
      </c>
      <c r="AT3638" s="1856" t="str">
        <f t="shared" si="580"/>
        <v/>
      </c>
      <c r="AU3638" s="1856" t="str">
        <f t="shared" si="581"/>
        <v/>
      </c>
      <c r="AV3638" s="1856" t="str">
        <f t="shared" si="582"/>
        <v/>
      </c>
      <c r="AW3638" s="1856" t="str">
        <f t="shared" si="583"/>
        <v/>
      </c>
      <c r="AX3638" s="1856" t="str">
        <f t="shared" si="584"/>
        <v/>
      </c>
      <c r="AY3638" s="1856" t="str">
        <f t="shared" si="585"/>
        <v/>
      </c>
    </row>
    <row r="3639" spans="42:51">
      <c r="AP3639" s="1855">
        <f t="shared" si="586"/>
        <v>44957</v>
      </c>
      <c r="AQ3639" s="925" t="str">
        <f t="shared" si="588"/>
        <v/>
      </c>
      <c r="AR3639" s="1856" t="str">
        <f t="shared" si="587"/>
        <v/>
      </c>
      <c r="AT3639" s="1856" t="str">
        <f t="shared" si="580"/>
        <v/>
      </c>
      <c r="AU3639" s="1856" t="str">
        <f t="shared" si="581"/>
        <v/>
      </c>
      <c r="AV3639" s="1856" t="str">
        <f t="shared" si="582"/>
        <v/>
      </c>
      <c r="AW3639" s="1856" t="str">
        <f t="shared" si="583"/>
        <v/>
      </c>
      <c r="AX3639" s="1856" t="str">
        <f t="shared" si="584"/>
        <v/>
      </c>
      <c r="AY3639" s="1856" t="str">
        <f t="shared" si="585"/>
        <v/>
      </c>
    </row>
    <row r="3640" spans="42:51">
      <c r="AP3640" s="1855">
        <f t="shared" si="586"/>
        <v>44957</v>
      </c>
      <c r="AQ3640" s="925" t="str">
        <f t="shared" si="588"/>
        <v/>
      </c>
      <c r="AR3640" s="1856" t="str">
        <f t="shared" si="587"/>
        <v/>
      </c>
      <c r="AT3640" s="1856" t="str">
        <f t="shared" si="580"/>
        <v/>
      </c>
      <c r="AU3640" s="1856" t="str">
        <f t="shared" si="581"/>
        <v/>
      </c>
      <c r="AV3640" s="1856" t="str">
        <f t="shared" si="582"/>
        <v/>
      </c>
      <c r="AW3640" s="1856" t="str">
        <f t="shared" si="583"/>
        <v/>
      </c>
      <c r="AX3640" s="1856" t="str">
        <f t="shared" si="584"/>
        <v/>
      </c>
      <c r="AY3640" s="1856" t="str">
        <f t="shared" si="585"/>
        <v/>
      </c>
    </row>
    <row r="3641" spans="42:51">
      <c r="AP3641" s="1855">
        <f t="shared" si="586"/>
        <v>44957</v>
      </c>
      <c r="AQ3641" s="925" t="str">
        <f t="shared" si="588"/>
        <v/>
      </c>
      <c r="AR3641" s="1856" t="str">
        <f t="shared" si="587"/>
        <v/>
      </c>
      <c r="AT3641" s="1856" t="str">
        <f t="shared" si="580"/>
        <v/>
      </c>
      <c r="AU3641" s="1856" t="str">
        <f t="shared" si="581"/>
        <v/>
      </c>
      <c r="AV3641" s="1856" t="str">
        <f t="shared" si="582"/>
        <v/>
      </c>
      <c r="AW3641" s="1856" t="str">
        <f t="shared" si="583"/>
        <v/>
      </c>
      <c r="AX3641" s="1856" t="str">
        <f t="shared" si="584"/>
        <v/>
      </c>
      <c r="AY3641" s="1856" t="str">
        <f t="shared" si="585"/>
        <v/>
      </c>
    </row>
    <row r="3642" spans="42:51">
      <c r="AP3642" s="1855">
        <f t="shared" si="586"/>
        <v>44957</v>
      </c>
      <c r="AQ3642" s="925" t="str">
        <f t="shared" si="588"/>
        <v/>
      </c>
      <c r="AR3642" s="1856" t="str">
        <f t="shared" si="587"/>
        <v/>
      </c>
      <c r="AT3642" s="1856" t="str">
        <f t="shared" si="580"/>
        <v/>
      </c>
      <c r="AU3642" s="1856" t="str">
        <f t="shared" si="581"/>
        <v/>
      </c>
      <c r="AV3642" s="1856" t="str">
        <f t="shared" si="582"/>
        <v/>
      </c>
      <c r="AW3642" s="1856" t="str">
        <f t="shared" si="583"/>
        <v/>
      </c>
      <c r="AX3642" s="1856" t="str">
        <f t="shared" si="584"/>
        <v/>
      </c>
      <c r="AY3642" s="1856" t="str">
        <f t="shared" si="585"/>
        <v/>
      </c>
    </row>
    <row r="3643" spans="42:51">
      <c r="AP3643" s="1855">
        <f t="shared" si="586"/>
        <v>44957</v>
      </c>
      <c r="AQ3643" s="925" t="str">
        <f t="shared" si="588"/>
        <v/>
      </c>
      <c r="AR3643" s="1856" t="str">
        <f t="shared" si="587"/>
        <v/>
      </c>
      <c r="AT3643" s="1856" t="str">
        <f t="shared" si="580"/>
        <v/>
      </c>
      <c r="AU3643" s="1856" t="str">
        <f t="shared" si="581"/>
        <v/>
      </c>
      <c r="AV3643" s="1856" t="str">
        <f t="shared" si="582"/>
        <v/>
      </c>
      <c r="AW3643" s="1856" t="str">
        <f t="shared" si="583"/>
        <v/>
      </c>
      <c r="AX3643" s="1856" t="str">
        <f t="shared" si="584"/>
        <v/>
      </c>
      <c r="AY3643" s="1856" t="str">
        <f t="shared" si="585"/>
        <v/>
      </c>
    </row>
    <row r="3644" spans="42:51">
      <c r="AP3644" s="1855">
        <f t="shared" si="586"/>
        <v>44957</v>
      </c>
      <c r="AQ3644" s="925" t="str">
        <f t="shared" si="588"/>
        <v/>
      </c>
      <c r="AR3644" s="1856" t="str">
        <f t="shared" si="587"/>
        <v/>
      </c>
      <c r="AT3644" s="1856" t="str">
        <f t="shared" si="580"/>
        <v/>
      </c>
      <c r="AU3644" s="1856" t="str">
        <f t="shared" si="581"/>
        <v/>
      </c>
      <c r="AV3644" s="1856" t="str">
        <f t="shared" si="582"/>
        <v/>
      </c>
      <c r="AW3644" s="1856" t="str">
        <f t="shared" si="583"/>
        <v/>
      </c>
      <c r="AX3644" s="1856" t="str">
        <f t="shared" si="584"/>
        <v/>
      </c>
      <c r="AY3644" s="1856" t="str">
        <f t="shared" si="585"/>
        <v/>
      </c>
    </row>
    <row r="3645" spans="42:51">
      <c r="AP3645" s="1855">
        <f t="shared" si="586"/>
        <v>44957</v>
      </c>
      <c r="AQ3645" s="925" t="str">
        <f t="shared" si="588"/>
        <v/>
      </c>
      <c r="AR3645" s="1856" t="str">
        <f t="shared" si="587"/>
        <v/>
      </c>
      <c r="AT3645" s="1856" t="str">
        <f t="shared" si="580"/>
        <v/>
      </c>
      <c r="AU3645" s="1856" t="str">
        <f t="shared" si="581"/>
        <v/>
      </c>
      <c r="AV3645" s="1856" t="str">
        <f t="shared" si="582"/>
        <v/>
      </c>
      <c r="AW3645" s="1856" t="str">
        <f t="shared" si="583"/>
        <v/>
      </c>
      <c r="AX3645" s="1856" t="str">
        <f t="shared" si="584"/>
        <v/>
      </c>
      <c r="AY3645" s="1856" t="str">
        <f t="shared" si="585"/>
        <v/>
      </c>
    </row>
    <row r="3646" spans="42:51">
      <c r="AP3646" s="1855">
        <f t="shared" si="586"/>
        <v>44957</v>
      </c>
      <c r="AQ3646" s="925" t="str">
        <f t="shared" si="588"/>
        <v/>
      </c>
      <c r="AR3646" s="1856" t="str">
        <f t="shared" si="587"/>
        <v/>
      </c>
      <c r="AT3646" s="1856" t="str">
        <f t="shared" si="580"/>
        <v/>
      </c>
      <c r="AU3646" s="1856" t="str">
        <f t="shared" si="581"/>
        <v/>
      </c>
      <c r="AV3646" s="1856" t="str">
        <f t="shared" si="582"/>
        <v/>
      </c>
      <c r="AW3646" s="1856" t="str">
        <f t="shared" si="583"/>
        <v/>
      </c>
      <c r="AX3646" s="1856" t="str">
        <f t="shared" si="584"/>
        <v/>
      </c>
      <c r="AY3646" s="1856" t="str">
        <f t="shared" si="585"/>
        <v/>
      </c>
    </row>
    <row r="3647" spans="42:51">
      <c r="AP3647" s="1855">
        <f t="shared" si="586"/>
        <v>44957</v>
      </c>
      <c r="AQ3647" s="925" t="str">
        <f t="shared" si="588"/>
        <v/>
      </c>
      <c r="AR3647" s="1856" t="str">
        <f t="shared" si="587"/>
        <v/>
      </c>
      <c r="AT3647" s="1856" t="str">
        <f t="shared" si="580"/>
        <v/>
      </c>
      <c r="AU3647" s="1856" t="str">
        <f t="shared" si="581"/>
        <v/>
      </c>
      <c r="AV3647" s="1856" t="str">
        <f t="shared" si="582"/>
        <v/>
      </c>
      <c r="AW3647" s="1856" t="str">
        <f t="shared" si="583"/>
        <v/>
      </c>
      <c r="AX3647" s="1856" t="str">
        <f t="shared" si="584"/>
        <v/>
      </c>
      <c r="AY3647" s="1856" t="str">
        <f t="shared" si="585"/>
        <v/>
      </c>
    </row>
    <row r="3648" spans="42:51">
      <c r="AP3648" s="1855">
        <f t="shared" si="586"/>
        <v>44957</v>
      </c>
      <c r="AQ3648" s="925" t="str">
        <f t="shared" si="588"/>
        <v/>
      </c>
      <c r="AR3648" s="1856" t="str">
        <f t="shared" si="587"/>
        <v/>
      </c>
      <c r="AT3648" s="1856" t="str">
        <f t="shared" si="580"/>
        <v/>
      </c>
      <c r="AU3648" s="1856" t="str">
        <f t="shared" si="581"/>
        <v/>
      </c>
      <c r="AV3648" s="1856" t="str">
        <f t="shared" si="582"/>
        <v/>
      </c>
      <c r="AW3648" s="1856" t="str">
        <f t="shared" si="583"/>
        <v/>
      </c>
      <c r="AX3648" s="1856" t="str">
        <f t="shared" si="584"/>
        <v/>
      </c>
      <c r="AY3648" s="1856" t="str">
        <f t="shared" si="585"/>
        <v/>
      </c>
    </row>
    <row r="3649" spans="42:51">
      <c r="AP3649" s="1855">
        <f t="shared" si="586"/>
        <v>44957</v>
      </c>
      <c r="AQ3649" s="925" t="str">
        <f t="shared" si="588"/>
        <v/>
      </c>
      <c r="AR3649" s="1856" t="str">
        <f t="shared" si="587"/>
        <v/>
      </c>
      <c r="AT3649" s="1856" t="str">
        <f t="shared" si="580"/>
        <v/>
      </c>
      <c r="AU3649" s="1856" t="str">
        <f t="shared" si="581"/>
        <v/>
      </c>
      <c r="AV3649" s="1856" t="str">
        <f t="shared" si="582"/>
        <v/>
      </c>
      <c r="AW3649" s="1856" t="str">
        <f t="shared" si="583"/>
        <v/>
      </c>
      <c r="AX3649" s="1856" t="str">
        <f t="shared" si="584"/>
        <v/>
      </c>
      <c r="AY3649" s="1856" t="str">
        <f t="shared" si="585"/>
        <v/>
      </c>
    </row>
    <row r="3650" spans="42:51">
      <c r="AP3650" s="1855">
        <f t="shared" si="586"/>
        <v>44957</v>
      </c>
      <c r="AQ3650" s="925" t="str">
        <f t="shared" si="588"/>
        <v/>
      </c>
      <c r="AR3650" s="1856" t="str">
        <f t="shared" si="587"/>
        <v/>
      </c>
      <c r="AT3650" s="1856" t="str">
        <f t="shared" si="580"/>
        <v/>
      </c>
      <c r="AU3650" s="1856" t="str">
        <f t="shared" si="581"/>
        <v/>
      </c>
      <c r="AV3650" s="1856" t="str">
        <f t="shared" si="582"/>
        <v/>
      </c>
      <c r="AW3650" s="1856" t="str">
        <f t="shared" si="583"/>
        <v/>
      </c>
      <c r="AX3650" s="1856" t="str">
        <f t="shared" si="584"/>
        <v/>
      </c>
      <c r="AY3650" s="1856" t="str">
        <f t="shared" si="585"/>
        <v/>
      </c>
    </row>
    <row r="3651" spans="42:51">
      <c r="AP3651" s="1855">
        <f t="shared" si="586"/>
        <v>44957</v>
      </c>
      <c r="AQ3651" s="925" t="str">
        <f t="shared" si="588"/>
        <v/>
      </c>
      <c r="AR3651" s="1856" t="str">
        <f t="shared" si="587"/>
        <v/>
      </c>
      <c r="AT3651" s="1856" t="str">
        <f t="shared" si="580"/>
        <v/>
      </c>
      <c r="AU3651" s="1856" t="str">
        <f t="shared" si="581"/>
        <v/>
      </c>
      <c r="AV3651" s="1856" t="str">
        <f t="shared" si="582"/>
        <v/>
      </c>
      <c r="AW3651" s="1856" t="str">
        <f t="shared" si="583"/>
        <v/>
      </c>
      <c r="AX3651" s="1856" t="str">
        <f t="shared" si="584"/>
        <v/>
      </c>
      <c r="AY3651" s="1856" t="str">
        <f t="shared" si="585"/>
        <v/>
      </c>
    </row>
    <row r="3652" spans="42:51">
      <c r="AP3652" s="1855">
        <f t="shared" si="586"/>
        <v>44957</v>
      </c>
      <c r="AQ3652" s="925" t="str">
        <f t="shared" si="588"/>
        <v/>
      </c>
      <c r="AR3652" s="1856" t="str">
        <f t="shared" si="587"/>
        <v/>
      </c>
      <c r="AT3652" s="1856" t="str">
        <f t="shared" si="580"/>
        <v/>
      </c>
      <c r="AU3652" s="1856" t="str">
        <f t="shared" si="581"/>
        <v/>
      </c>
      <c r="AV3652" s="1856" t="str">
        <f t="shared" si="582"/>
        <v/>
      </c>
      <c r="AW3652" s="1856" t="str">
        <f t="shared" si="583"/>
        <v/>
      </c>
      <c r="AX3652" s="1856" t="str">
        <f t="shared" si="584"/>
        <v/>
      </c>
      <c r="AY3652" s="1856" t="str">
        <f t="shared" si="585"/>
        <v/>
      </c>
    </row>
    <row r="3653" spans="42:51">
      <c r="AP3653" s="1855">
        <f t="shared" si="586"/>
        <v>44957</v>
      </c>
      <c r="AQ3653" s="925" t="str">
        <f t="shared" si="588"/>
        <v/>
      </c>
      <c r="AR3653" s="1856" t="str">
        <f t="shared" si="587"/>
        <v/>
      </c>
      <c r="AT3653" s="1856" t="str">
        <f t="shared" si="580"/>
        <v/>
      </c>
      <c r="AU3653" s="1856" t="str">
        <f t="shared" si="581"/>
        <v/>
      </c>
      <c r="AV3653" s="1856" t="str">
        <f t="shared" si="582"/>
        <v/>
      </c>
      <c r="AW3653" s="1856" t="str">
        <f t="shared" si="583"/>
        <v/>
      </c>
      <c r="AX3653" s="1856" t="str">
        <f t="shared" si="584"/>
        <v/>
      </c>
      <c r="AY3653" s="1856" t="str">
        <f t="shared" si="585"/>
        <v/>
      </c>
    </row>
    <row r="3654" spans="42:51">
      <c r="AP3654" s="1855">
        <f t="shared" si="586"/>
        <v>44957</v>
      </c>
      <c r="AQ3654" s="925" t="str">
        <f t="shared" si="588"/>
        <v/>
      </c>
      <c r="AR3654" s="1856" t="str">
        <f t="shared" si="587"/>
        <v/>
      </c>
      <c r="AT3654" s="1856" t="str">
        <f t="shared" si="580"/>
        <v/>
      </c>
      <c r="AU3654" s="1856" t="str">
        <f t="shared" si="581"/>
        <v/>
      </c>
      <c r="AV3654" s="1856" t="str">
        <f t="shared" si="582"/>
        <v/>
      </c>
      <c r="AW3654" s="1856" t="str">
        <f t="shared" si="583"/>
        <v/>
      </c>
      <c r="AX3654" s="1856" t="str">
        <f t="shared" si="584"/>
        <v/>
      </c>
      <c r="AY3654" s="1856" t="str">
        <f t="shared" si="585"/>
        <v/>
      </c>
    </row>
    <row r="3655" spans="42:51">
      <c r="AP3655" s="1855">
        <f t="shared" si="586"/>
        <v>44957</v>
      </c>
      <c r="AQ3655" s="925" t="str">
        <f t="shared" si="588"/>
        <v/>
      </c>
      <c r="AR3655" s="1856" t="str">
        <f t="shared" si="587"/>
        <v/>
      </c>
      <c r="AT3655" s="1856" t="str">
        <f t="shared" si="580"/>
        <v/>
      </c>
      <c r="AU3655" s="1856" t="str">
        <f t="shared" si="581"/>
        <v/>
      </c>
      <c r="AV3655" s="1856" t="str">
        <f t="shared" si="582"/>
        <v/>
      </c>
      <c r="AW3655" s="1856" t="str">
        <f t="shared" si="583"/>
        <v/>
      </c>
      <c r="AX3655" s="1856" t="str">
        <f t="shared" si="584"/>
        <v/>
      </c>
      <c r="AY3655" s="1856" t="str">
        <f t="shared" si="585"/>
        <v/>
      </c>
    </row>
    <row r="3656" spans="42:51">
      <c r="AP3656" s="1855">
        <f t="shared" si="586"/>
        <v>44957</v>
      </c>
      <c r="AQ3656" s="925" t="str">
        <f t="shared" si="588"/>
        <v/>
      </c>
      <c r="AR3656" s="1856" t="str">
        <f t="shared" si="587"/>
        <v/>
      </c>
      <c r="AT3656" s="1856" t="str">
        <f t="shared" si="580"/>
        <v/>
      </c>
      <c r="AU3656" s="1856" t="str">
        <f t="shared" si="581"/>
        <v/>
      </c>
      <c r="AV3656" s="1856" t="str">
        <f t="shared" si="582"/>
        <v/>
      </c>
      <c r="AW3656" s="1856" t="str">
        <f t="shared" si="583"/>
        <v/>
      </c>
      <c r="AX3656" s="1856" t="str">
        <f t="shared" si="584"/>
        <v/>
      </c>
      <c r="AY3656" s="1856" t="str">
        <f t="shared" si="585"/>
        <v/>
      </c>
    </row>
    <row r="3657" spans="42:51">
      <c r="AP3657" s="1855">
        <f t="shared" si="586"/>
        <v>44957</v>
      </c>
      <c r="AQ3657" s="925" t="str">
        <f t="shared" si="588"/>
        <v/>
      </c>
      <c r="AR3657" s="1856" t="str">
        <f t="shared" si="587"/>
        <v/>
      </c>
      <c r="AT3657" s="1856" t="str">
        <f t="shared" si="580"/>
        <v/>
      </c>
      <c r="AU3657" s="1856" t="str">
        <f t="shared" si="581"/>
        <v/>
      </c>
      <c r="AV3657" s="1856" t="str">
        <f t="shared" si="582"/>
        <v/>
      </c>
      <c r="AW3657" s="1856" t="str">
        <f t="shared" si="583"/>
        <v/>
      </c>
      <c r="AX3657" s="1856" t="str">
        <f t="shared" si="584"/>
        <v/>
      </c>
      <c r="AY3657" s="1856" t="str">
        <f t="shared" si="585"/>
        <v/>
      </c>
    </row>
    <row r="3658" spans="42:51">
      <c r="AP3658" s="1855">
        <f t="shared" si="586"/>
        <v>44957</v>
      </c>
      <c r="AQ3658" s="925" t="str">
        <f t="shared" si="588"/>
        <v/>
      </c>
      <c r="AR3658" s="1856" t="str">
        <f t="shared" si="587"/>
        <v/>
      </c>
      <c r="AT3658" s="1856" t="str">
        <f t="shared" si="580"/>
        <v/>
      </c>
      <c r="AU3658" s="1856" t="str">
        <f t="shared" si="581"/>
        <v/>
      </c>
      <c r="AV3658" s="1856" t="str">
        <f t="shared" si="582"/>
        <v/>
      </c>
      <c r="AW3658" s="1856" t="str">
        <f t="shared" si="583"/>
        <v/>
      </c>
      <c r="AX3658" s="1856" t="str">
        <f t="shared" si="584"/>
        <v/>
      </c>
      <c r="AY3658" s="1856" t="str">
        <f t="shared" si="585"/>
        <v/>
      </c>
    </row>
    <row r="3659" spans="42:51">
      <c r="AP3659" s="1855">
        <f t="shared" si="586"/>
        <v>44957</v>
      </c>
      <c r="AQ3659" s="925" t="str">
        <f t="shared" si="588"/>
        <v/>
      </c>
      <c r="AR3659" s="1856" t="str">
        <f t="shared" si="587"/>
        <v/>
      </c>
      <c r="AT3659" s="1856" t="str">
        <f t="shared" si="580"/>
        <v/>
      </c>
      <c r="AU3659" s="1856" t="str">
        <f t="shared" si="581"/>
        <v/>
      </c>
      <c r="AV3659" s="1856" t="str">
        <f t="shared" si="582"/>
        <v/>
      </c>
      <c r="AW3659" s="1856" t="str">
        <f t="shared" si="583"/>
        <v/>
      </c>
      <c r="AX3659" s="1856" t="str">
        <f t="shared" si="584"/>
        <v/>
      </c>
      <c r="AY3659" s="1856" t="str">
        <f t="shared" si="585"/>
        <v/>
      </c>
    </row>
    <row r="3660" spans="42:51">
      <c r="AP3660" s="1855">
        <f t="shared" si="586"/>
        <v>44957</v>
      </c>
      <c r="AQ3660" s="925" t="str">
        <f t="shared" si="588"/>
        <v/>
      </c>
      <c r="AR3660" s="1856" t="str">
        <f t="shared" si="587"/>
        <v/>
      </c>
      <c r="AT3660" s="1856" t="str">
        <f t="shared" si="580"/>
        <v/>
      </c>
      <c r="AU3660" s="1856" t="str">
        <f t="shared" si="581"/>
        <v/>
      </c>
      <c r="AV3660" s="1856" t="str">
        <f t="shared" si="582"/>
        <v/>
      </c>
      <c r="AW3660" s="1856" t="str">
        <f t="shared" si="583"/>
        <v/>
      </c>
      <c r="AX3660" s="1856" t="str">
        <f t="shared" si="584"/>
        <v/>
      </c>
      <c r="AY3660" s="1856" t="str">
        <f t="shared" si="585"/>
        <v/>
      </c>
    </row>
    <row r="3661" spans="42:51">
      <c r="AP3661" s="1855">
        <f t="shared" si="586"/>
        <v>44957</v>
      </c>
      <c r="AQ3661" s="925" t="str">
        <f t="shared" si="588"/>
        <v/>
      </c>
      <c r="AR3661" s="1856" t="str">
        <f t="shared" si="587"/>
        <v/>
      </c>
      <c r="AT3661" s="1856" t="str">
        <f t="shared" si="580"/>
        <v/>
      </c>
      <c r="AU3661" s="1856" t="str">
        <f t="shared" si="581"/>
        <v/>
      </c>
      <c r="AV3661" s="1856" t="str">
        <f t="shared" si="582"/>
        <v/>
      </c>
      <c r="AW3661" s="1856" t="str">
        <f t="shared" si="583"/>
        <v/>
      </c>
      <c r="AX3661" s="1856" t="str">
        <f t="shared" si="584"/>
        <v/>
      </c>
      <c r="AY3661" s="1856" t="str">
        <f t="shared" si="585"/>
        <v/>
      </c>
    </row>
    <row r="3662" spans="42:51">
      <c r="AP3662" s="1855">
        <f t="shared" si="586"/>
        <v>44957</v>
      </c>
      <c r="AQ3662" s="925" t="str">
        <f t="shared" si="588"/>
        <v/>
      </c>
      <c r="AR3662" s="1856" t="str">
        <f t="shared" si="587"/>
        <v/>
      </c>
      <c r="AT3662" s="1856" t="str">
        <f t="shared" si="580"/>
        <v/>
      </c>
      <c r="AU3662" s="1856" t="str">
        <f t="shared" si="581"/>
        <v/>
      </c>
      <c r="AV3662" s="1856" t="str">
        <f t="shared" si="582"/>
        <v/>
      </c>
      <c r="AW3662" s="1856" t="str">
        <f t="shared" si="583"/>
        <v/>
      </c>
      <c r="AX3662" s="1856" t="str">
        <f t="shared" si="584"/>
        <v/>
      </c>
      <c r="AY3662" s="1856" t="str">
        <f t="shared" si="585"/>
        <v/>
      </c>
    </row>
    <row r="3663" spans="42:51">
      <c r="AP3663" s="1855">
        <f t="shared" si="586"/>
        <v>44957</v>
      </c>
      <c r="AQ3663" s="925" t="str">
        <f t="shared" si="588"/>
        <v/>
      </c>
      <c r="AR3663" s="1856" t="str">
        <f t="shared" si="587"/>
        <v/>
      </c>
      <c r="AT3663" s="1856" t="str">
        <f t="shared" si="580"/>
        <v/>
      </c>
      <c r="AU3663" s="1856" t="str">
        <f t="shared" si="581"/>
        <v/>
      </c>
      <c r="AV3663" s="1856" t="str">
        <f t="shared" si="582"/>
        <v/>
      </c>
      <c r="AW3663" s="1856" t="str">
        <f t="shared" si="583"/>
        <v/>
      </c>
      <c r="AX3663" s="1856" t="str">
        <f t="shared" si="584"/>
        <v/>
      </c>
      <c r="AY3663" s="1856" t="str">
        <f t="shared" si="585"/>
        <v/>
      </c>
    </row>
    <row r="3664" spans="42:51">
      <c r="AP3664" s="1855">
        <f t="shared" si="586"/>
        <v>44957</v>
      </c>
      <c r="AQ3664" s="925" t="str">
        <f t="shared" si="588"/>
        <v/>
      </c>
      <c r="AR3664" s="1856" t="str">
        <f t="shared" si="587"/>
        <v/>
      </c>
      <c r="AT3664" s="1856" t="str">
        <f t="shared" si="580"/>
        <v/>
      </c>
      <c r="AU3664" s="1856" t="str">
        <f t="shared" si="581"/>
        <v/>
      </c>
      <c r="AV3664" s="1856" t="str">
        <f t="shared" si="582"/>
        <v/>
      </c>
      <c r="AW3664" s="1856" t="str">
        <f t="shared" si="583"/>
        <v/>
      </c>
      <c r="AX3664" s="1856" t="str">
        <f t="shared" si="584"/>
        <v/>
      </c>
      <c r="AY3664" s="1856" t="str">
        <f t="shared" si="585"/>
        <v/>
      </c>
    </row>
    <row r="3665" spans="42:51">
      <c r="AP3665" s="1855">
        <f t="shared" si="586"/>
        <v>44957</v>
      </c>
      <c r="AQ3665" s="925" t="str">
        <f t="shared" si="588"/>
        <v/>
      </c>
      <c r="AR3665" s="1856" t="str">
        <f t="shared" si="587"/>
        <v/>
      </c>
      <c r="AT3665" s="1856" t="str">
        <f t="shared" si="580"/>
        <v/>
      </c>
      <c r="AU3665" s="1856" t="str">
        <f t="shared" si="581"/>
        <v/>
      </c>
      <c r="AV3665" s="1856" t="str">
        <f t="shared" si="582"/>
        <v/>
      </c>
      <c r="AW3665" s="1856" t="str">
        <f t="shared" si="583"/>
        <v/>
      </c>
      <c r="AX3665" s="1856" t="str">
        <f t="shared" si="584"/>
        <v/>
      </c>
      <c r="AY3665" s="1856" t="str">
        <f t="shared" si="585"/>
        <v/>
      </c>
    </row>
    <row r="3666" spans="42:51">
      <c r="AP3666" s="1855">
        <f t="shared" si="586"/>
        <v>44957</v>
      </c>
      <c r="AQ3666" s="925" t="str">
        <f t="shared" si="588"/>
        <v/>
      </c>
      <c r="AR3666" s="1856" t="str">
        <f t="shared" si="587"/>
        <v/>
      </c>
      <c r="AT3666" s="1856" t="str">
        <f t="shared" si="580"/>
        <v/>
      </c>
      <c r="AU3666" s="1856" t="str">
        <f t="shared" si="581"/>
        <v/>
      </c>
      <c r="AV3666" s="1856" t="str">
        <f t="shared" si="582"/>
        <v/>
      </c>
      <c r="AW3666" s="1856" t="str">
        <f t="shared" si="583"/>
        <v/>
      </c>
      <c r="AX3666" s="1856" t="str">
        <f t="shared" si="584"/>
        <v/>
      </c>
      <c r="AY3666" s="1856" t="str">
        <f t="shared" si="585"/>
        <v/>
      </c>
    </row>
    <row r="3667" spans="42:51">
      <c r="AP3667" s="1855">
        <f t="shared" si="586"/>
        <v>44957</v>
      </c>
      <c r="AQ3667" s="925" t="str">
        <f t="shared" si="588"/>
        <v/>
      </c>
      <c r="AR3667" s="1856" t="str">
        <f t="shared" si="587"/>
        <v/>
      </c>
      <c r="AT3667" s="1856" t="str">
        <f t="shared" si="580"/>
        <v/>
      </c>
      <c r="AU3667" s="1856" t="str">
        <f t="shared" si="581"/>
        <v/>
      </c>
      <c r="AV3667" s="1856" t="str">
        <f t="shared" si="582"/>
        <v/>
      </c>
      <c r="AW3667" s="1856" t="str">
        <f t="shared" si="583"/>
        <v/>
      </c>
      <c r="AX3667" s="1856" t="str">
        <f t="shared" si="584"/>
        <v/>
      </c>
      <c r="AY3667" s="1856" t="str">
        <f t="shared" si="585"/>
        <v/>
      </c>
    </row>
    <row r="3668" spans="42:51">
      <c r="AP3668" s="1855">
        <f t="shared" si="586"/>
        <v>44957</v>
      </c>
      <c r="AQ3668" s="925" t="str">
        <f t="shared" si="588"/>
        <v/>
      </c>
      <c r="AR3668" s="1856" t="str">
        <f t="shared" si="587"/>
        <v/>
      </c>
      <c r="AT3668" s="1856" t="str">
        <f t="shared" si="580"/>
        <v/>
      </c>
      <c r="AU3668" s="1856" t="str">
        <f t="shared" si="581"/>
        <v/>
      </c>
      <c r="AV3668" s="1856" t="str">
        <f t="shared" si="582"/>
        <v/>
      </c>
      <c r="AW3668" s="1856" t="str">
        <f t="shared" si="583"/>
        <v/>
      </c>
      <c r="AX3668" s="1856" t="str">
        <f t="shared" si="584"/>
        <v/>
      </c>
      <c r="AY3668" s="1856" t="str">
        <f t="shared" si="585"/>
        <v/>
      </c>
    </row>
    <row r="3669" spans="42:51">
      <c r="AP3669" s="1855">
        <f t="shared" si="586"/>
        <v>44957</v>
      </c>
      <c r="AQ3669" s="925" t="str">
        <f t="shared" si="588"/>
        <v/>
      </c>
      <c r="AR3669" s="1856" t="str">
        <f t="shared" si="587"/>
        <v/>
      </c>
      <c r="AT3669" s="1856" t="str">
        <f t="shared" si="580"/>
        <v/>
      </c>
      <c r="AU3669" s="1856" t="str">
        <f t="shared" si="581"/>
        <v/>
      </c>
      <c r="AV3669" s="1856" t="str">
        <f t="shared" si="582"/>
        <v/>
      </c>
      <c r="AW3669" s="1856" t="str">
        <f t="shared" si="583"/>
        <v/>
      </c>
      <c r="AX3669" s="1856" t="str">
        <f t="shared" si="584"/>
        <v/>
      </c>
      <c r="AY3669" s="1856" t="str">
        <f t="shared" si="585"/>
        <v/>
      </c>
    </row>
    <row r="3670" spans="42:51">
      <c r="AP3670" s="1855">
        <f t="shared" si="586"/>
        <v>44957</v>
      </c>
      <c r="AQ3670" s="925" t="str">
        <f t="shared" si="588"/>
        <v/>
      </c>
      <c r="AR3670" s="1856" t="str">
        <f t="shared" si="587"/>
        <v/>
      </c>
      <c r="AT3670" s="1856" t="str">
        <f t="shared" si="580"/>
        <v/>
      </c>
      <c r="AU3670" s="1856" t="str">
        <f t="shared" si="581"/>
        <v/>
      </c>
      <c r="AV3670" s="1856" t="str">
        <f t="shared" si="582"/>
        <v/>
      </c>
      <c r="AW3670" s="1856" t="str">
        <f t="shared" si="583"/>
        <v/>
      </c>
      <c r="AX3670" s="1856" t="str">
        <f t="shared" si="584"/>
        <v/>
      </c>
      <c r="AY3670" s="1856" t="str">
        <f t="shared" si="585"/>
        <v/>
      </c>
    </row>
    <row r="3671" spans="42:51">
      <c r="AP3671" s="1855">
        <f t="shared" si="586"/>
        <v>44957</v>
      </c>
      <c r="AQ3671" s="925" t="str">
        <f t="shared" si="588"/>
        <v/>
      </c>
      <c r="AR3671" s="1856" t="str">
        <f t="shared" si="587"/>
        <v/>
      </c>
      <c r="AT3671" s="1856" t="str">
        <f t="shared" si="580"/>
        <v/>
      </c>
      <c r="AU3671" s="1856" t="str">
        <f t="shared" si="581"/>
        <v/>
      </c>
      <c r="AV3671" s="1856" t="str">
        <f t="shared" si="582"/>
        <v/>
      </c>
      <c r="AW3671" s="1856" t="str">
        <f t="shared" si="583"/>
        <v/>
      </c>
      <c r="AX3671" s="1856" t="str">
        <f t="shared" si="584"/>
        <v/>
      </c>
      <c r="AY3671" s="1856" t="str">
        <f t="shared" si="585"/>
        <v/>
      </c>
    </row>
    <row r="3672" spans="42:51">
      <c r="AP3672" s="1855">
        <f t="shared" si="586"/>
        <v>44957</v>
      </c>
      <c r="AQ3672" s="925" t="str">
        <f t="shared" si="588"/>
        <v/>
      </c>
      <c r="AR3672" s="1856" t="str">
        <f t="shared" si="587"/>
        <v/>
      </c>
      <c r="AT3672" s="1856" t="str">
        <f t="shared" si="580"/>
        <v/>
      </c>
      <c r="AU3672" s="1856" t="str">
        <f t="shared" si="581"/>
        <v/>
      </c>
      <c r="AV3672" s="1856" t="str">
        <f t="shared" si="582"/>
        <v/>
      </c>
      <c r="AW3672" s="1856" t="str">
        <f t="shared" si="583"/>
        <v/>
      </c>
      <c r="AX3672" s="1856" t="str">
        <f t="shared" si="584"/>
        <v/>
      </c>
      <c r="AY3672" s="1856" t="str">
        <f t="shared" si="585"/>
        <v/>
      </c>
    </row>
    <row r="3673" spans="42:51">
      <c r="AP3673" s="1855">
        <f t="shared" si="586"/>
        <v>44957</v>
      </c>
      <c r="AQ3673" s="925" t="str">
        <f t="shared" si="588"/>
        <v/>
      </c>
      <c r="AR3673" s="1856" t="str">
        <f t="shared" si="587"/>
        <v/>
      </c>
      <c r="AT3673" s="1856" t="str">
        <f t="shared" si="580"/>
        <v/>
      </c>
      <c r="AU3673" s="1856" t="str">
        <f t="shared" si="581"/>
        <v/>
      </c>
      <c r="AV3673" s="1856" t="str">
        <f t="shared" si="582"/>
        <v/>
      </c>
      <c r="AW3673" s="1856" t="str">
        <f t="shared" si="583"/>
        <v/>
      </c>
      <c r="AX3673" s="1856" t="str">
        <f t="shared" si="584"/>
        <v/>
      </c>
      <c r="AY3673" s="1856" t="str">
        <f t="shared" si="585"/>
        <v/>
      </c>
    </row>
    <row r="3674" spans="42:51">
      <c r="AP3674" s="1855">
        <f t="shared" si="586"/>
        <v>44957</v>
      </c>
      <c r="AQ3674" s="925" t="str">
        <f t="shared" si="588"/>
        <v/>
      </c>
      <c r="AR3674" s="1856" t="str">
        <f t="shared" si="587"/>
        <v/>
      </c>
      <c r="AT3674" s="1856" t="str">
        <f t="shared" si="580"/>
        <v/>
      </c>
      <c r="AU3674" s="1856" t="str">
        <f t="shared" si="581"/>
        <v/>
      </c>
      <c r="AV3674" s="1856" t="str">
        <f t="shared" si="582"/>
        <v/>
      </c>
      <c r="AW3674" s="1856" t="str">
        <f t="shared" si="583"/>
        <v/>
      </c>
      <c r="AX3674" s="1856" t="str">
        <f t="shared" si="584"/>
        <v/>
      </c>
      <c r="AY3674" s="1856" t="str">
        <f t="shared" si="585"/>
        <v/>
      </c>
    </row>
    <row r="3675" spans="42:51">
      <c r="AP3675" s="1855">
        <f t="shared" si="586"/>
        <v>44957</v>
      </c>
      <c r="AQ3675" s="925" t="str">
        <f t="shared" si="588"/>
        <v/>
      </c>
      <c r="AR3675" s="1856" t="str">
        <f t="shared" si="587"/>
        <v/>
      </c>
      <c r="AT3675" s="1856" t="str">
        <f t="shared" si="580"/>
        <v/>
      </c>
      <c r="AU3675" s="1856" t="str">
        <f t="shared" si="581"/>
        <v/>
      </c>
      <c r="AV3675" s="1856" t="str">
        <f t="shared" si="582"/>
        <v/>
      </c>
      <c r="AW3675" s="1856" t="str">
        <f t="shared" si="583"/>
        <v/>
      </c>
      <c r="AX3675" s="1856" t="str">
        <f t="shared" si="584"/>
        <v/>
      </c>
      <c r="AY3675" s="1856" t="str">
        <f t="shared" si="585"/>
        <v/>
      </c>
    </row>
    <row r="3676" spans="42:51">
      <c r="AP3676" s="1855">
        <f t="shared" si="586"/>
        <v>44957</v>
      </c>
      <c r="AQ3676" s="925" t="str">
        <f t="shared" si="588"/>
        <v/>
      </c>
      <c r="AR3676" s="1856" t="str">
        <f t="shared" si="587"/>
        <v/>
      </c>
      <c r="AT3676" s="1856" t="str">
        <f t="shared" ref="AT3676:AT3739" si="589">IF(ISNUMBER(AS3676),INDEX(AR3677:AR3687,MATCH($AT$27,AQ3677:AQ3687,0)),"")</f>
        <v/>
      </c>
      <c r="AU3676" s="1856" t="str">
        <f t="shared" ref="AU3676:AU3739" si="590">IF(AT3676="","",INDEX(AR3677:AR3687,MATCH($AU$27,AQ3677:AQ3687,0)))</f>
        <v/>
      </c>
      <c r="AV3676" s="1856" t="str">
        <f t="shared" ref="AV3676:AV3739" si="591">IF(AT3676="","",INDEX(AR3677:AR3687,MATCH($AV$27,AQ3677:AQ3687,0)))</f>
        <v/>
      </c>
      <c r="AW3676" s="1856" t="str">
        <f t="shared" ref="AW3676:AW3739" si="592">IF(AT3676="","",INDEX(AR3677:AR3687,MATCH($AW$27,AQ3677:AQ3687,0)))</f>
        <v/>
      </c>
      <c r="AX3676" s="1856" t="str">
        <f t="shared" ref="AX3676:AX3739" si="593">IF(AT3676="","",INDEX(AR3677:AR3687,MATCH($AX$27,AQ3677:AQ3687,0)))</f>
        <v/>
      </c>
      <c r="AY3676" s="1856" t="str">
        <f t="shared" ref="AY3676:AY3739" si="594">IF(AT3676="","",INDEX(AR3677:AR3687,MATCH($AY$27,AQ3677:AQ3687,0)))</f>
        <v/>
      </c>
    </row>
    <row r="3677" spans="42:51">
      <c r="AP3677" s="1855">
        <f t="shared" si="586"/>
        <v>44957</v>
      </c>
      <c r="AQ3677" s="925" t="str">
        <f t="shared" si="588"/>
        <v/>
      </c>
      <c r="AR3677" s="1856" t="str">
        <f t="shared" si="587"/>
        <v/>
      </c>
      <c r="AT3677" s="1856" t="str">
        <f t="shared" si="589"/>
        <v/>
      </c>
      <c r="AU3677" s="1856" t="str">
        <f t="shared" si="590"/>
        <v/>
      </c>
      <c r="AV3677" s="1856" t="str">
        <f t="shared" si="591"/>
        <v/>
      </c>
      <c r="AW3677" s="1856" t="str">
        <f t="shared" si="592"/>
        <v/>
      </c>
      <c r="AX3677" s="1856" t="str">
        <f t="shared" si="593"/>
        <v/>
      </c>
      <c r="AY3677" s="1856" t="str">
        <f t="shared" si="594"/>
        <v/>
      </c>
    </row>
    <row r="3678" spans="42:51">
      <c r="AP3678" s="1855">
        <f t="shared" si="586"/>
        <v>44957</v>
      </c>
      <c r="AQ3678" s="925" t="str">
        <f t="shared" si="588"/>
        <v/>
      </c>
      <c r="AR3678" s="1856" t="str">
        <f t="shared" si="587"/>
        <v/>
      </c>
      <c r="AT3678" s="1856" t="str">
        <f t="shared" si="589"/>
        <v/>
      </c>
      <c r="AU3678" s="1856" t="str">
        <f t="shared" si="590"/>
        <v/>
      </c>
      <c r="AV3678" s="1856" t="str">
        <f t="shared" si="591"/>
        <v/>
      </c>
      <c r="AW3678" s="1856" t="str">
        <f t="shared" si="592"/>
        <v/>
      </c>
      <c r="AX3678" s="1856" t="str">
        <f t="shared" si="593"/>
        <v/>
      </c>
      <c r="AY3678" s="1856" t="str">
        <f t="shared" si="594"/>
        <v/>
      </c>
    </row>
    <row r="3679" spans="42:51">
      <c r="AP3679" s="1855">
        <f t="shared" si="586"/>
        <v>44957</v>
      </c>
      <c r="AQ3679" s="925" t="str">
        <f t="shared" si="588"/>
        <v/>
      </c>
      <c r="AR3679" s="1856" t="str">
        <f t="shared" si="587"/>
        <v/>
      </c>
      <c r="AT3679" s="1856" t="str">
        <f t="shared" si="589"/>
        <v/>
      </c>
      <c r="AU3679" s="1856" t="str">
        <f t="shared" si="590"/>
        <v/>
      </c>
      <c r="AV3679" s="1856" t="str">
        <f t="shared" si="591"/>
        <v/>
      </c>
      <c r="AW3679" s="1856" t="str">
        <f t="shared" si="592"/>
        <v/>
      </c>
      <c r="AX3679" s="1856" t="str">
        <f t="shared" si="593"/>
        <v/>
      </c>
      <c r="AY3679" s="1856" t="str">
        <f t="shared" si="594"/>
        <v/>
      </c>
    </row>
    <row r="3680" spans="42:51">
      <c r="AP3680" s="1855">
        <f t="shared" si="586"/>
        <v>44957</v>
      </c>
      <c r="AQ3680" s="925" t="str">
        <f t="shared" si="588"/>
        <v/>
      </c>
      <c r="AR3680" s="1856" t="str">
        <f t="shared" si="587"/>
        <v/>
      </c>
      <c r="AT3680" s="1856" t="str">
        <f t="shared" si="589"/>
        <v/>
      </c>
      <c r="AU3680" s="1856" t="str">
        <f t="shared" si="590"/>
        <v/>
      </c>
      <c r="AV3680" s="1856" t="str">
        <f t="shared" si="591"/>
        <v/>
      </c>
      <c r="AW3680" s="1856" t="str">
        <f t="shared" si="592"/>
        <v/>
      </c>
      <c r="AX3680" s="1856" t="str">
        <f t="shared" si="593"/>
        <v/>
      </c>
      <c r="AY3680" s="1856" t="str">
        <f t="shared" si="594"/>
        <v/>
      </c>
    </row>
    <row r="3681" spans="42:51">
      <c r="AP3681" s="1855">
        <f t="shared" si="586"/>
        <v>44957</v>
      </c>
      <c r="AQ3681" s="925" t="str">
        <f t="shared" si="588"/>
        <v/>
      </c>
      <c r="AR3681" s="1856" t="str">
        <f t="shared" si="587"/>
        <v/>
      </c>
      <c r="AT3681" s="1856" t="str">
        <f t="shared" si="589"/>
        <v/>
      </c>
      <c r="AU3681" s="1856" t="str">
        <f t="shared" si="590"/>
        <v/>
      </c>
      <c r="AV3681" s="1856" t="str">
        <f t="shared" si="591"/>
        <v/>
      </c>
      <c r="AW3681" s="1856" t="str">
        <f t="shared" si="592"/>
        <v/>
      </c>
      <c r="AX3681" s="1856" t="str">
        <f t="shared" si="593"/>
        <v/>
      </c>
      <c r="AY3681" s="1856" t="str">
        <f t="shared" si="594"/>
        <v/>
      </c>
    </row>
    <row r="3682" spans="42:51">
      <c r="AP3682" s="1855">
        <f t="shared" si="586"/>
        <v>44957</v>
      </c>
      <c r="AQ3682" s="925" t="str">
        <f t="shared" si="588"/>
        <v/>
      </c>
      <c r="AR3682" s="1856" t="str">
        <f t="shared" si="587"/>
        <v/>
      </c>
      <c r="AT3682" s="1856" t="str">
        <f t="shared" si="589"/>
        <v/>
      </c>
      <c r="AU3682" s="1856" t="str">
        <f t="shared" si="590"/>
        <v/>
      </c>
      <c r="AV3682" s="1856" t="str">
        <f t="shared" si="591"/>
        <v/>
      </c>
      <c r="AW3682" s="1856" t="str">
        <f t="shared" si="592"/>
        <v/>
      </c>
      <c r="AX3682" s="1856" t="str">
        <f t="shared" si="593"/>
        <v/>
      </c>
      <c r="AY3682" s="1856" t="str">
        <f t="shared" si="594"/>
        <v/>
      </c>
    </row>
    <row r="3683" spans="42:51">
      <c r="AP3683" s="1855">
        <f t="shared" si="586"/>
        <v>44957</v>
      </c>
      <c r="AQ3683" s="925" t="str">
        <f t="shared" si="588"/>
        <v/>
      </c>
      <c r="AR3683" s="1856" t="str">
        <f t="shared" si="587"/>
        <v/>
      </c>
      <c r="AT3683" s="1856" t="str">
        <f t="shared" si="589"/>
        <v/>
      </c>
      <c r="AU3683" s="1856" t="str">
        <f t="shared" si="590"/>
        <v/>
      </c>
      <c r="AV3683" s="1856" t="str">
        <f t="shared" si="591"/>
        <v/>
      </c>
      <c r="AW3683" s="1856" t="str">
        <f t="shared" si="592"/>
        <v/>
      </c>
      <c r="AX3683" s="1856" t="str">
        <f t="shared" si="593"/>
        <v/>
      </c>
      <c r="AY3683" s="1856" t="str">
        <f t="shared" si="594"/>
        <v/>
      </c>
    </row>
    <row r="3684" spans="42:51">
      <c r="AP3684" s="1855">
        <f t="shared" si="586"/>
        <v>44957</v>
      </c>
      <c r="AQ3684" s="925" t="str">
        <f t="shared" si="588"/>
        <v/>
      </c>
      <c r="AR3684" s="1856" t="str">
        <f t="shared" si="587"/>
        <v/>
      </c>
      <c r="AT3684" s="1856" t="str">
        <f t="shared" si="589"/>
        <v/>
      </c>
      <c r="AU3684" s="1856" t="str">
        <f t="shared" si="590"/>
        <v/>
      </c>
      <c r="AV3684" s="1856" t="str">
        <f t="shared" si="591"/>
        <v/>
      </c>
      <c r="AW3684" s="1856" t="str">
        <f t="shared" si="592"/>
        <v/>
      </c>
      <c r="AX3684" s="1856" t="str">
        <f t="shared" si="593"/>
        <v/>
      </c>
      <c r="AY3684" s="1856" t="str">
        <f t="shared" si="594"/>
        <v/>
      </c>
    </row>
    <row r="3685" spans="42:51">
      <c r="AP3685" s="1855">
        <f t="shared" ref="AP3685:AP3748" si="595">IF(ISNUMBER(AS3685),AP3684+1,AP3684)</f>
        <v>44957</v>
      </c>
      <c r="AQ3685" s="925" t="str">
        <f t="shared" si="588"/>
        <v/>
      </c>
      <c r="AR3685" s="1856" t="str">
        <f t="shared" si="587"/>
        <v/>
      </c>
      <c r="AT3685" s="1856" t="str">
        <f t="shared" si="589"/>
        <v/>
      </c>
      <c r="AU3685" s="1856" t="str">
        <f t="shared" si="590"/>
        <v/>
      </c>
      <c r="AV3685" s="1856" t="str">
        <f t="shared" si="591"/>
        <v/>
      </c>
      <c r="AW3685" s="1856" t="str">
        <f t="shared" si="592"/>
        <v/>
      </c>
      <c r="AX3685" s="1856" t="str">
        <f t="shared" si="593"/>
        <v/>
      </c>
      <c r="AY3685" s="1856" t="str">
        <f t="shared" si="594"/>
        <v/>
      </c>
    </row>
    <row r="3686" spans="42:51">
      <c r="AP3686" s="1855">
        <f t="shared" si="595"/>
        <v>44957</v>
      </c>
      <c r="AQ3686" s="925" t="str">
        <f t="shared" si="588"/>
        <v/>
      </c>
      <c r="AR3686" s="1856" t="str">
        <f t="shared" si="587"/>
        <v/>
      </c>
      <c r="AT3686" s="1856" t="str">
        <f t="shared" si="589"/>
        <v/>
      </c>
      <c r="AU3686" s="1856" t="str">
        <f t="shared" si="590"/>
        <v/>
      </c>
      <c r="AV3686" s="1856" t="str">
        <f t="shared" si="591"/>
        <v/>
      </c>
      <c r="AW3686" s="1856" t="str">
        <f t="shared" si="592"/>
        <v/>
      </c>
      <c r="AX3686" s="1856" t="str">
        <f t="shared" si="593"/>
        <v/>
      </c>
      <c r="AY3686" s="1856" t="str">
        <f t="shared" si="594"/>
        <v/>
      </c>
    </row>
    <row r="3687" spans="42:51">
      <c r="AP3687" s="1855">
        <f t="shared" si="595"/>
        <v>44957</v>
      </c>
      <c r="AQ3687" s="925" t="str">
        <f t="shared" si="588"/>
        <v/>
      </c>
      <c r="AR3687" s="1856" t="str">
        <f t="shared" si="587"/>
        <v/>
      </c>
      <c r="AT3687" s="1856" t="str">
        <f t="shared" si="589"/>
        <v/>
      </c>
      <c r="AU3687" s="1856" t="str">
        <f t="shared" si="590"/>
        <v/>
      </c>
      <c r="AV3687" s="1856" t="str">
        <f t="shared" si="591"/>
        <v/>
      </c>
      <c r="AW3687" s="1856" t="str">
        <f t="shared" si="592"/>
        <v/>
      </c>
      <c r="AX3687" s="1856" t="str">
        <f t="shared" si="593"/>
        <v/>
      </c>
      <c r="AY3687" s="1856" t="str">
        <f t="shared" si="594"/>
        <v/>
      </c>
    </row>
    <row r="3688" spans="42:51">
      <c r="AP3688" s="1855">
        <f t="shared" si="595"/>
        <v>44957</v>
      </c>
      <c r="AQ3688" s="925" t="str">
        <f t="shared" si="588"/>
        <v/>
      </c>
      <c r="AR3688" s="1856" t="str">
        <f t="shared" si="587"/>
        <v/>
      </c>
      <c r="AT3688" s="1856" t="str">
        <f t="shared" si="589"/>
        <v/>
      </c>
      <c r="AU3688" s="1856" t="str">
        <f t="shared" si="590"/>
        <v/>
      </c>
      <c r="AV3688" s="1856" t="str">
        <f t="shared" si="591"/>
        <v/>
      </c>
      <c r="AW3688" s="1856" t="str">
        <f t="shared" si="592"/>
        <v/>
      </c>
      <c r="AX3688" s="1856" t="str">
        <f t="shared" si="593"/>
        <v/>
      </c>
      <c r="AY3688" s="1856" t="str">
        <f t="shared" si="594"/>
        <v/>
      </c>
    </row>
    <row r="3689" spans="42:51">
      <c r="AP3689" s="1855">
        <f t="shared" si="595"/>
        <v>44957</v>
      </c>
      <c r="AQ3689" s="925" t="str">
        <f t="shared" si="588"/>
        <v/>
      </c>
      <c r="AR3689" s="1856" t="str">
        <f t="shared" ref="AR3689:AR3752" si="596">IF(NOT(ISNUMBER(FIND(":",AS3689))),"",IF(ISNUMBER(FIND(" none",AS3689)),"NONE",AP3689+LEFT(RIGHT(AS3689,5),2)/24+RIGHT(AS3689,2)/1440))</f>
        <v/>
      </c>
      <c r="AT3689" s="1856" t="str">
        <f t="shared" si="589"/>
        <v/>
      </c>
      <c r="AU3689" s="1856" t="str">
        <f t="shared" si="590"/>
        <v/>
      </c>
      <c r="AV3689" s="1856" t="str">
        <f t="shared" si="591"/>
        <v/>
      </c>
      <c r="AW3689" s="1856" t="str">
        <f t="shared" si="592"/>
        <v/>
      </c>
      <c r="AX3689" s="1856" t="str">
        <f t="shared" si="593"/>
        <v/>
      </c>
      <c r="AY3689" s="1856" t="str">
        <f t="shared" si="594"/>
        <v/>
      </c>
    </row>
    <row r="3690" spans="42:51">
      <c r="AP3690" s="1855">
        <f t="shared" si="595"/>
        <v>44957</v>
      </c>
      <c r="AQ3690" s="925" t="str">
        <f t="shared" si="588"/>
        <v/>
      </c>
      <c r="AR3690" s="1856" t="str">
        <f t="shared" si="596"/>
        <v/>
      </c>
      <c r="AT3690" s="1856" t="str">
        <f t="shared" si="589"/>
        <v/>
      </c>
      <c r="AU3690" s="1856" t="str">
        <f t="shared" si="590"/>
        <v/>
      </c>
      <c r="AV3690" s="1856" t="str">
        <f t="shared" si="591"/>
        <v/>
      </c>
      <c r="AW3690" s="1856" t="str">
        <f t="shared" si="592"/>
        <v/>
      </c>
      <c r="AX3690" s="1856" t="str">
        <f t="shared" si="593"/>
        <v/>
      </c>
      <c r="AY3690" s="1856" t="str">
        <f t="shared" si="594"/>
        <v/>
      </c>
    </row>
    <row r="3691" spans="42:51">
      <c r="AP3691" s="1855">
        <f t="shared" si="595"/>
        <v>44957</v>
      </c>
      <c r="AQ3691" s="925" t="str">
        <f t="shared" si="588"/>
        <v/>
      </c>
      <c r="AR3691" s="1856" t="str">
        <f t="shared" si="596"/>
        <v/>
      </c>
      <c r="AT3691" s="1856" t="str">
        <f t="shared" si="589"/>
        <v/>
      </c>
      <c r="AU3691" s="1856" t="str">
        <f t="shared" si="590"/>
        <v/>
      </c>
      <c r="AV3691" s="1856" t="str">
        <f t="shared" si="591"/>
        <v/>
      </c>
      <c r="AW3691" s="1856" t="str">
        <f t="shared" si="592"/>
        <v/>
      </c>
      <c r="AX3691" s="1856" t="str">
        <f t="shared" si="593"/>
        <v/>
      </c>
      <c r="AY3691" s="1856" t="str">
        <f t="shared" si="594"/>
        <v/>
      </c>
    </row>
    <row r="3692" spans="42:51">
      <c r="AP3692" s="1855">
        <f t="shared" si="595"/>
        <v>44957</v>
      </c>
      <c r="AQ3692" s="925" t="str">
        <f t="shared" si="588"/>
        <v/>
      </c>
      <c r="AR3692" s="1856" t="str">
        <f t="shared" si="596"/>
        <v/>
      </c>
      <c r="AT3692" s="1856" t="str">
        <f t="shared" si="589"/>
        <v/>
      </c>
      <c r="AU3692" s="1856" t="str">
        <f t="shared" si="590"/>
        <v/>
      </c>
      <c r="AV3692" s="1856" t="str">
        <f t="shared" si="591"/>
        <v/>
      </c>
      <c r="AW3692" s="1856" t="str">
        <f t="shared" si="592"/>
        <v/>
      </c>
      <c r="AX3692" s="1856" t="str">
        <f t="shared" si="593"/>
        <v/>
      </c>
      <c r="AY3692" s="1856" t="str">
        <f t="shared" si="594"/>
        <v/>
      </c>
    </row>
    <row r="3693" spans="42:51">
      <c r="AP3693" s="1855">
        <f t="shared" si="595"/>
        <v>44957</v>
      </c>
      <c r="AQ3693" s="925" t="str">
        <f t="shared" si="588"/>
        <v/>
      </c>
      <c r="AR3693" s="1856" t="str">
        <f t="shared" si="596"/>
        <v/>
      </c>
      <c r="AT3693" s="1856" t="str">
        <f t="shared" si="589"/>
        <v/>
      </c>
      <c r="AU3693" s="1856" t="str">
        <f t="shared" si="590"/>
        <v/>
      </c>
      <c r="AV3693" s="1856" t="str">
        <f t="shared" si="591"/>
        <v/>
      </c>
      <c r="AW3693" s="1856" t="str">
        <f t="shared" si="592"/>
        <v/>
      </c>
      <c r="AX3693" s="1856" t="str">
        <f t="shared" si="593"/>
        <v/>
      </c>
      <c r="AY3693" s="1856" t="str">
        <f t="shared" si="594"/>
        <v/>
      </c>
    </row>
    <row r="3694" spans="42:51">
      <c r="AP3694" s="1855">
        <f t="shared" si="595"/>
        <v>44957</v>
      </c>
      <c r="AQ3694" s="925" t="str">
        <f t="shared" si="588"/>
        <v/>
      </c>
      <c r="AR3694" s="1856" t="str">
        <f t="shared" si="596"/>
        <v/>
      </c>
      <c r="AT3694" s="1856" t="str">
        <f t="shared" si="589"/>
        <v/>
      </c>
      <c r="AU3694" s="1856" t="str">
        <f t="shared" si="590"/>
        <v/>
      </c>
      <c r="AV3694" s="1856" t="str">
        <f t="shared" si="591"/>
        <v/>
      </c>
      <c r="AW3694" s="1856" t="str">
        <f t="shared" si="592"/>
        <v/>
      </c>
      <c r="AX3694" s="1856" t="str">
        <f t="shared" si="593"/>
        <v/>
      </c>
      <c r="AY3694" s="1856" t="str">
        <f t="shared" si="594"/>
        <v/>
      </c>
    </row>
    <row r="3695" spans="42:51">
      <c r="AP3695" s="1855">
        <f t="shared" si="595"/>
        <v>44957</v>
      </c>
      <c r="AQ3695" s="925" t="str">
        <f t="shared" si="588"/>
        <v/>
      </c>
      <c r="AR3695" s="1856" t="str">
        <f t="shared" si="596"/>
        <v/>
      </c>
      <c r="AT3695" s="1856" t="str">
        <f t="shared" si="589"/>
        <v/>
      </c>
      <c r="AU3695" s="1856" t="str">
        <f t="shared" si="590"/>
        <v/>
      </c>
      <c r="AV3695" s="1856" t="str">
        <f t="shared" si="591"/>
        <v/>
      </c>
      <c r="AW3695" s="1856" t="str">
        <f t="shared" si="592"/>
        <v/>
      </c>
      <c r="AX3695" s="1856" t="str">
        <f t="shared" si="593"/>
        <v/>
      </c>
      <c r="AY3695" s="1856" t="str">
        <f t="shared" si="594"/>
        <v/>
      </c>
    </row>
    <row r="3696" spans="42:51">
      <c r="AP3696" s="1855">
        <f t="shared" si="595"/>
        <v>44957</v>
      </c>
      <c r="AQ3696" s="925" t="str">
        <f t="shared" si="588"/>
        <v/>
      </c>
      <c r="AR3696" s="1856" t="str">
        <f t="shared" si="596"/>
        <v/>
      </c>
      <c r="AT3696" s="1856" t="str">
        <f t="shared" si="589"/>
        <v/>
      </c>
      <c r="AU3696" s="1856" t="str">
        <f t="shared" si="590"/>
        <v/>
      </c>
      <c r="AV3696" s="1856" t="str">
        <f t="shared" si="591"/>
        <v/>
      </c>
      <c r="AW3696" s="1856" t="str">
        <f t="shared" si="592"/>
        <v/>
      </c>
      <c r="AX3696" s="1856" t="str">
        <f t="shared" si="593"/>
        <v/>
      </c>
      <c r="AY3696" s="1856" t="str">
        <f t="shared" si="594"/>
        <v/>
      </c>
    </row>
    <row r="3697" spans="42:51">
      <c r="AP3697" s="1855">
        <f t="shared" si="595"/>
        <v>44957</v>
      </c>
      <c r="AQ3697" s="925" t="str">
        <f t="shared" si="588"/>
        <v/>
      </c>
      <c r="AR3697" s="1856" t="str">
        <f t="shared" si="596"/>
        <v/>
      </c>
      <c r="AT3697" s="1856" t="str">
        <f t="shared" si="589"/>
        <v/>
      </c>
      <c r="AU3697" s="1856" t="str">
        <f t="shared" si="590"/>
        <v/>
      </c>
      <c r="AV3697" s="1856" t="str">
        <f t="shared" si="591"/>
        <v/>
      </c>
      <c r="AW3697" s="1856" t="str">
        <f t="shared" si="592"/>
        <v/>
      </c>
      <c r="AX3697" s="1856" t="str">
        <f t="shared" si="593"/>
        <v/>
      </c>
      <c r="AY3697" s="1856" t="str">
        <f t="shared" si="594"/>
        <v/>
      </c>
    </row>
    <row r="3698" spans="42:51">
      <c r="AP3698" s="1855">
        <f t="shared" si="595"/>
        <v>44957</v>
      </c>
      <c r="AQ3698" s="925" t="str">
        <f t="shared" si="588"/>
        <v/>
      </c>
      <c r="AR3698" s="1856" t="str">
        <f t="shared" si="596"/>
        <v/>
      </c>
      <c r="AT3698" s="1856" t="str">
        <f t="shared" si="589"/>
        <v/>
      </c>
      <c r="AU3698" s="1856" t="str">
        <f t="shared" si="590"/>
        <v/>
      </c>
      <c r="AV3698" s="1856" t="str">
        <f t="shared" si="591"/>
        <v/>
      </c>
      <c r="AW3698" s="1856" t="str">
        <f t="shared" si="592"/>
        <v/>
      </c>
      <c r="AX3698" s="1856" t="str">
        <f t="shared" si="593"/>
        <v/>
      </c>
      <c r="AY3698" s="1856" t="str">
        <f t="shared" si="594"/>
        <v/>
      </c>
    </row>
    <row r="3699" spans="42:51">
      <c r="AP3699" s="1855">
        <f t="shared" si="595"/>
        <v>44957</v>
      </c>
      <c r="AQ3699" s="925" t="str">
        <f t="shared" si="588"/>
        <v/>
      </c>
      <c r="AR3699" s="1856" t="str">
        <f t="shared" si="596"/>
        <v/>
      </c>
      <c r="AT3699" s="1856" t="str">
        <f t="shared" si="589"/>
        <v/>
      </c>
      <c r="AU3699" s="1856" t="str">
        <f t="shared" si="590"/>
        <v/>
      </c>
      <c r="AV3699" s="1856" t="str">
        <f t="shared" si="591"/>
        <v/>
      </c>
      <c r="AW3699" s="1856" t="str">
        <f t="shared" si="592"/>
        <v/>
      </c>
      <c r="AX3699" s="1856" t="str">
        <f t="shared" si="593"/>
        <v/>
      </c>
      <c r="AY3699" s="1856" t="str">
        <f t="shared" si="594"/>
        <v/>
      </c>
    </row>
    <row r="3700" spans="42:51">
      <c r="AP3700" s="1855">
        <f t="shared" si="595"/>
        <v>44957</v>
      </c>
      <c r="AQ3700" s="925" t="str">
        <f t="shared" ref="AQ3700:AQ3763" si="597">IF(NOT(ISNUMBER(FIND(":",AS3700))),"",IF(ISNUMBER(FIND("Sunr",AS3700)),"SR", IF(ISNUMBER(FIND("Suns",AS3700)),"SS",IF(ISNUMBER(FIND("Moonr",AS3700)),"MR",IF(ISNUMBER(FIND("Moons",AS3700)),"MS",IF(ISNUMBER(FIND("Twi",AS3700)),IF(HOUR(AR3700)&lt;12,"BMNT","EENT")))))))</f>
        <v/>
      </c>
      <c r="AR3700" s="1856" t="str">
        <f t="shared" si="596"/>
        <v/>
      </c>
      <c r="AT3700" s="1856" t="str">
        <f t="shared" si="589"/>
        <v/>
      </c>
      <c r="AU3700" s="1856" t="str">
        <f t="shared" si="590"/>
        <v/>
      </c>
      <c r="AV3700" s="1856" t="str">
        <f t="shared" si="591"/>
        <v/>
      </c>
      <c r="AW3700" s="1856" t="str">
        <f t="shared" si="592"/>
        <v/>
      </c>
      <c r="AX3700" s="1856" t="str">
        <f t="shared" si="593"/>
        <v/>
      </c>
      <c r="AY3700" s="1856" t="str">
        <f t="shared" si="594"/>
        <v/>
      </c>
    </row>
    <row r="3701" spans="42:51">
      <c r="AP3701" s="1855">
        <f t="shared" si="595"/>
        <v>44957</v>
      </c>
      <c r="AQ3701" s="925" t="str">
        <f t="shared" si="597"/>
        <v/>
      </c>
      <c r="AR3701" s="1856" t="str">
        <f t="shared" si="596"/>
        <v/>
      </c>
      <c r="AT3701" s="1856" t="str">
        <f t="shared" si="589"/>
        <v/>
      </c>
      <c r="AU3701" s="1856" t="str">
        <f t="shared" si="590"/>
        <v/>
      </c>
      <c r="AV3701" s="1856" t="str">
        <f t="shared" si="591"/>
        <v/>
      </c>
      <c r="AW3701" s="1856" t="str">
        <f t="shared" si="592"/>
        <v/>
      </c>
      <c r="AX3701" s="1856" t="str">
        <f t="shared" si="593"/>
        <v/>
      </c>
      <c r="AY3701" s="1856" t="str">
        <f t="shared" si="594"/>
        <v/>
      </c>
    </row>
    <row r="3702" spans="42:51">
      <c r="AP3702" s="1855">
        <f t="shared" si="595"/>
        <v>44957</v>
      </c>
      <c r="AQ3702" s="925" t="str">
        <f t="shared" si="597"/>
        <v/>
      </c>
      <c r="AR3702" s="1856" t="str">
        <f t="shared" si="596"/>
        <v/>
      </c>
      <c r="AT3702" s="1856" t="str">
        <f t="shared" si="589"/>
        <v/>
      </c>
      <c r="AU3702" s="1856" t="str">
        <f t="shared" si="590"/>
        <v/>
      </c>
      <c r="AV3702" s="1856" t="str">
        <f t="shared" si="591"/>
        <v/>
      </c>
      <c r="AW3702" s="1856" t="str">
        <f t="shared" si="592"/>
        <v/>
      </c>
      <c r="AX3702" s="1856" t="str">
        <f t="shared" si="593"/>
        <v/>
      </c>
      <c r="AY3702" s="1856" t="str">
        <f t="shared" si="594"/>
        <v/>
      </c>
    </row>
    <row r="3703" spans="42:51">
      <c r="AP3703" s="1855">
        <f t="shared" si="595"/>
        <v>44957</v>
      </c>
      <c r="AQ3703" s="925" t="str">
        <f t="shared" si="597"/>
        <v/>
      </c>
      <c r="AR3703" s="1856" t="str">
        <f t="shared" si="596"/>
        <v/>
      </c>
      <c r="AT3703" s="1856" t="str">
        <f t="shared" si="589"/>
        <v/>
      </c>
      <c r="AU3703" s="1856" t="str">
        <f t="shared" si="590"/>
        <v/>
      </c>
      <c r="AV3703" s="1856" t="str">
        <f t="shared" si="591"/>
        <v/>
      </c>
      <c r="AW3703" s="1856" t="str">
        <f t="shared" si="592"/>
        <v/>
      </c>
      <c r="AX3703" s="1856" t="str">
        <f t="shared" si="593"/>
        <v/>
      </c>
      <c r="AY3703" s="1856" t="str">
        <f t="shared" si="594"/>
        <v/>
      </c>
    </row>
    <row r="3704" spans="42:51">
      <c r="AP3704" s="1855">
        <f t="shared" si="595"/>
        <v>44957</v>
      </c>
      <c r="AQ3704" s="925" t="str">
        <f t="shared" si="597"/>
        <v/>
      </c>
      <c r="AR3704" s="1856" t="str">
        <f t="shared" si="596"/>
        <v/>
      </c>
      <c r="AT3704" s="1856" t="str">
        <f t="shared" si="589"/>
        <v/>
      </c>
      <c r="AU3704" s="1856" t="str">
        <f t="shared" si="590"/>
        <v/>
      </c>
      <c r="AV3704" s="1856" t="str">
        <f t="shared" si="591"/>
        <v/>
      </c>
      <c r="AW3704" s="1856" t="str">
        <f t="shared" si="592"/>
        <v/>
      </c>
      <c r="AX3704" s="1856" t="str">
        <f t="shared" si="593"/>
        <v/>
      </c>
      <c r="AY3704" s="1856" t="str">
        <f t="shared" si="594"/>
        <v/>
      </c>
    </row>
    <row r="3705" spans="42:51">
      <c r="AP3705" s="1855">
        <f t="shared" si="595"/>
        <v>44957</v>
      </c>
      <c r="AQ3705" s="925" t="str">
        <f t="shared" si="597"/>
        <v/>
      </c>
      <c r="AR3705" s="1856" t="str">
        <f t="shared" si="596"/>
        <v/>
      </c>
      <c r="AT3705" s="1856" t="str">
        <f t="shared" si="589"/>
        <v/>
      </c>
      <c r="AU3705" s="1856" t="str">
        <f t="shared" si="590"/>
        <v/>
      </c>
      <c r="AV3705" s="1856" t="str">
        <f t="shared" si="591"/>
        <v/>
      </c>
      <c r="AW3705" s="1856" t="str">
        <f t="shared" si="592"/>
        <v/>
      </c>
      <c r="AX3705" s="1856" t="str">
        <f t="shared" si="593"/>
        <v/>
      </c>
      <c r="AY3705" s="1856" t="str">
        <f t="shared" si="594"/>
        <v/>
      </c>
    </row>
    <row r="3706" spans="42:51">
      <c r="AP3706" s="1855">
        <f t="shared" si="595"/>
        <v>44957</v>
      </c>
      <c r="AQ3706" s="925" t="str">
        <f t="shared" si="597"/>
        <v/>
      </c>
      <c r="AR3706" s="1856" t="str">
        <f t="shared" si="596"/>
        <v/>
      </c>
      <c r="AT3706" s="1856" t="str">
        <f t="shared" si="589"/>
        <v/>
      </c>
      <c r="AU3706" s="1856" t="str">
        <f t="shared" si="590"/>
        <v/>
      </c>
      <c r="AV3706" s="1856" t="str">
        <f t="shared" si="591"/>
        <v/>
      </c>
      <c r="AW3706" s="1856" t="str">
        <f t="shared" si="592"/>
        <v/>
      </c>
      <c r="AX3706" s="1856" t="str">
        <f t="shared" si="593"/>
        <v/>
      </c>
      <c r="AY3706" s="1856" t="str">
        <f t="shared" si="594"/>
        <v/>
      </c>
    </row>
    <row r="3707" spans="42:51">
      <c r="AP3707" s="1855">
        <f t="shared" si="595"/>
        <v>44957</v>
      </c>
      <c r="AQ3707" s="925" t="str">
        <f t="shared" si="597"/>
        <v/>
      </c>
      <c r="AR3707" s="1856" t="str">
        <f t="shared" si="596"/>
        <v/>
      </c>
      <c r="AT3707" s="1856" t="str">
        <f t="shared" si="589"/>
        <v/>
      </c>
      <c r="AU3707" s="1856" t="str">
        <f t="shared" si="590"/>
        <v/>
      </c>
      <c r="AV3707" s="1856" t="str">
        <f t="shared" si="591"/>
        <v/>
      </c>
      <c r="AW3707" s="1856" t="str">
        <f t="shared" si="592"/>
        <v/>
      </c>
      <c r="AX3707" s="1856" t="str">
        <f t="shared" si="593"/>
        <v/>
      </c>
      <c r="AY3707" s="1856" t="str">
        <f t="shared" si="594"/>
        <v/>
      </c>
    </row>
    <row r="3708" spans="42:51">
      <c r="AP3708" s="1855">
        <f t="shared" si="595"/>
        <v>44957</v>
      </c>
      <c r="AQ3708" s="925" t="str">
        <f t="shared" si="597"/>
        <v/>
      </c>
      <c r="AR3708" s="1856" t="str">
        <f t="shared" si="596"/>
        <v/>
      </c>
      <c r="AT3708" s="1856" t="str">
        <f t="shared" si="589"/>
        <v/>
      </c>
      <c r="AU3708" s="1856" t="str">
        <f t="shared" si="590"/>
        <v/>
      </c>
      <c r="AV3708" s="1856" t="str">
        <f t="shared" si="591"/>
        <v/>
      </c>
      <c r="AW3708" s="1856" t="str">
        <f t="shared" si="592"/>
        <v/>
      </c>
      <c r="AX3708" s="1856" t="str">
        <f t="shared" si="593"/>
        <v/>
      </c>
      <c r="AY3708" s="1856" t="str">
        <f t="shared" si="594"/>
        <v/>
      </c>
    </row>
    <row r="3709" spans="42:51">
      <c r="AP3709" s="1855">
        <f t="shared" si="595"/>
        <v>44957</v>
      </c>
      <c r="AQ3709" s="925" t="str">
        <f t="shared" si="597"/>
        <v/>
      </c>
      <c r="AR3709" s="1856" t="str">
        <f t="shared" si="596"/>
        <v/>
      </c>
      <c r="AT3709" s="1856" t="str">
        <f t="shared" si="589"/>
        <v/>
      </c>
      <c r="AU3709" s="1856" t="str">
        <f t="shared" si="590"/>
        <v/>
      </c>
      <c r="AV3709" s="1856" t="str">
        <f t="shared" si="591"/>
        <v/>
      </c>
      <c r="AW3709" s="1856" t="str">
        <f t="shared" si="592"/>
        <v/>
      </c>
      <c r="AX3709" s="1856" t="str">
        <f t="shared" si="593"/>
        <v/>
      </c>
      <c r="AY3709" s="1856" t="str">
        <f t="shared" si="594"/>
        <v/>
      </c>
    </row>
    <row r="3710" spans="42:51">
      <c r="AP3710" s="1855">
        <f t="shared" si="595"/>
        <v>44957</v>
      </c>
      <c r="AQ3710" s="925" t="str">
        <f t="shared" si="597"/>
        <v/>
      </c>
      <c r="AR3710" s="1856" t="str">
        <f t="shared" si="596"/>
        <v/>
      </c>
      <c r="AT3710" s="1856" t="str">
        <f t="shared" si="589"/>
        <v/>
      </c>
      <c r="AU3710" s="1856" t="str">
        <f t="shared" si="590"/>
        <v/>
      </c>
      <c r="AV3710" s="1856" t="str">
        <f t="shared" si="591"/>
        <v/>
      </c>
      <c r="AW3710" s="1856" t="str">
        <f t="shared" si="592"/>
        <v/>
      </c>
      <c r="AX3710" s="1856" t="str">
        <f t="shared" si="593"/>
        <v/>
      </c>
      <c r="AY3710" s="1856" t="str">
        <f t="shared" si="594"/>
        <v/>
      </c>
    </row>
    <row r="3711" spans="42:51">
      <c r="AP3711" s="1855">
        <f t="shared" si="595"/>
        <v>44957</v>
      </c>
      <c r="AQ3711" s="925" t="str">
        <f t="shared" si="597"/>
        <v/>
      </c>
      <c r="AR3711" s="1856" t="str">
        <f t="shared" si="596"/>
        <v/>
      </c>
      <c r="AT3711" s="1856" t="str">
        <f t="shared" si="589"/>
        <v/>
      </c>
      <c r="AU3711" s="1856" t="str">
        <f t="shared" si="590"/>
        <v/>
      </c>
      <c r="AV3711" s="1856" t="str">
        <f t="shared" si="591"/>
        <v/>
      </c>
      <c r="AW3711" s="1856" t="str">
        <f t="shared" si="592"/>
        <v/>
      </c>
      <c r="AX3711" s="1856" t="str">
        <f t="shared" si="593"/>
        <v/>
      </c>
      <c r="AY3711" s="1856" t="str">
        <f t="shared" si="594"/>
        <v/>
      </c>
    </row>
    <row r="3712" spans="42:51">
      <c r="AP3712" s="1855">
        <f t="shared" si="595"/>
        <v>44957</v>
      </c>
      <c r="AQ3712" s="925" t="str">
        <f t="shared" si="597"/>
        <v/>
      </c>
      <c r="AR3712" s="1856" t="str">
        <f t="shared" si="596"/>
        <v/>
      </c>
      <c r="AT3712" s="1856" t="str">
        <f t="shared" si="589"/>
        <v/>
      </c>
      <c r="AU3712" s="1856" t="str">
        <f t="shared" si="590"/>
        <v/>
      </c>
      <c r="AV3712" s="1856" t="str">
        <f t="shared" si="591"/>
        <v/>
      </c>
      <c r="AW3712" s="1856" t="str">
        <f t="shared" si="592"/>
        <v/>
      </c>
      <c r="AX3712" s="1856" t="str">
        <f t="shared" si="593"/>
        <v/>
      </c>
      <c r="AY3712" s="1856" t="str">
        <f t="shared" si="594"/>
        <v/>
      </c>
    </row>
    <row r="3713" spans="42:51">
      <c r="AP3713" s="1855">
        <f t="shared" si="595"/>
        <v>44957</v>
      </c>
      <c r="AQ3713" s="925" t="str">
        <f t="shared" si="597"/>
        <v/>
      </c>
      <c r="AR3713" s="1856" t="str">
        <f t="shared" si="596"/>
        <v/>
      </c>
      <c r="AT3713" s="1856" t="str">
        <f t="shared" si="589"/>
        <v/>
      </c>
      <c r="AU3713" s="1856" t="str">
        <f t="shared" si="590"/>
        <v/>
      </c>
      <c r="AV3713" s="1856" t="str">
        <f t="shared" si="591"/>
        <v/>
      </c>
      <c r="AW3713" s="1856" t="str">
        <f t="shared" si="592"/>
        <v/>
      </c>
      <c r="AX3713" s="1856" t="str">
        <f t="shared" si="593"/>
        <v/>
      </c>
      <c r="AY3713" s="1856" t="str">
        <f t="shared" si="594"/>
        <v/>
      </c>
    </row>
    <row r="3714" spans="42:51">
      <c r="AP3714" s="1855">
        <f t="shared" si="595"/>
        <v>44957</v>
      </c>
      <c r="AQ3714" s="925" t="str">
        <f t="shared" si="597"/>
        <v/>
      </c>
      <c r="AR3714" s="1856" t="str">
        <f t="shared" si="596"/>
        <v/>
      </c>
      <c r="AT3714" s="1856" t="str">
        <f t="shared" si="589"/>
        <v/>
      </c>
      <c r="AU3714" s="1856" t="str">
        <f t="shared" si="590"/>
        <v/>
      </c>
      <c r="AV3714" s="1856" t="str">
        <f t="shared" si="591"/>
        <v/>
      </c>
      <c r="AW3714" s="1856" t="str">
        <f t="shared" si="592"/>
        <v/>
      </c>
      <c r="AX3714" s="1856" t="str">
        <f t="shared" si="593"/>
        <v/>
      </c>
      <c r="AY3714" s="1856" t="str">
        <f t="shared" si="594"/>
        <v/>
      </c>
    </row>
    <row r="3715" spans="42:51">
      <c r="AP3715" s="1855">
        <f t="shared" si="595"/>
        <v>44957</v>
      </c>
      <c r="AQ3715" s="925" t="str">
        <f t="shared" si="597"/>
        <v/>
      </c>
      <c r="AR3715" s="1856" t="str">
        <f t="shared" si="596"/>
        <v/>
      </c>
      <c r="AT3715" s="1856" t="str">
        <f t="shared" si="589"/>
        <v/>
      </c>
      <c r="AU3715" s="1856" t="str">
        <f t="shared" si="590"/>
        <v/>
      </c>
      <c r="AV3715" s="1856" t="str">
        <f t="shared" si="591"/>
        <v/>
      </c>
      <c r="AW3715" s="1856" t="str">
        <f t="shared" si="592"/>
        <v/>
      </c>
      <c r="AX3715" s="1856" t="str">
        <f t="shared" si="593"/>
        <v/>
      </c>
      <c r="AY3715" s="1856" t="str">
        <f t="shared" si="594"/>
        <v/>
      </c>
    </row>
    <row r="3716" spans="42:51">
      <c r="AP3716" s="1855">
        <f t="shared" si="595"/>
        <v>44957</v>
      </c>
      <c r="AQ3716" s="925" t="str">
        <f t="shared" si="597"/>
        <v/>
      </c>
      <c r="AR3716" s="1856" t="str">
        <f t="shared" si="596"/>
        <v/>
      </c>
      <c r="AT3716" s="1856" t="str">
        <f t="shared" si="589"/>
        <v/>
      </c>
      <c r="AU3716" s="1856" t="str">
        <f t="shared" si="590"/>
        <v/>
      </c>
      <c r="AV3716" s="1856" t="str">
        <f t="shared" si="591"/>
        <v/>
      </c>
      <c r="AW3716" s="1856" t="str">
        <f t="shared" si="592"/>
        <v/>
      </c>
      <c r="AX3716" s="1856" t="str">
        <f t="shared" si="593"/>
        <v/>
      </c>
      <c r="AY3716" s="1856" t="str">
        <f t="shared" si="594"/>
        <v/>
      </c>
    </row>
    <row r="3717" spans="42:51">
      <c r="AP3717" s="1855">
        <f t="shared" si="595"/>
        <v>44957</v>
      </c>
      <c r="AQ3717" s="925" t="str">
        <f t="shared" si="597"/>
        <v/>
      </c>
      <c r="AR3717" s="1856" t="str">
        <f t="shared" si="596"/>
        <v/>
      </c>
      <c r="AT3717" s="1856" t="str">
        <f t="shared" si="589"/>
        <v/>
      </c>
      <c r="AU3717" s="1856" t="str">
        <f t="shared" si="590"/>
        <v/>
      </c>
      <c r="AV3717" s="1856" t="str">
        <f t="shared" si="591"/>
        <v/>
      </c>
      <c r="AW3717" s="1856" t="str">
        <f t="shared" si="592"/>
        <v/>
      </c>
      <c r="AX3717" s="1856" t="str">
        <f t="shared" si="593"/>
        <v/>
      </c>
      <c r="AY3717" s="1856" t="str">
        <f t="shared" si="594"/>
        <v/>
      </c>
    </row>
    <row r="3718" spans="42:51">
      <c r="AP3718" s="1855">
        <f t="shared" si="595"/>
        <v>44957</v>
      </c>
      <c r="AQ3718" s="925" t="str">
        <f t="shared" si="597"/>
        <v/>
      </c>
      <c r="AR3718" s="1856" t="str">
        <f t="shared" si="596"/>
        <v/>
      </c>
      <c r="AT3718" s="1856" t="str">
        <f t="shared" si="589"/>
        <v/>
      </c>
      <c r="AU3718" s="1856" t="str">
        <f t="shared" si="590"/>
        <v/>
      </c>
      <c r="AV3718" s="1856" t="str">
        <f t="shared" si="591"/>
        <v/>
      </c>
      <c r="AW3718" s="1856" t="str">
        <f t="shared" si="592"/>
        <v/>
      </c>
      <c r="AX3718" s="1856" t="str">
        <f t="shared" si="593"/>
        <v/>
      </c>
      <c r="AY3718" s="1856" t="str">
        <f t="shared" si="594"/>
        <v/>
      </c>
    </row>
    <row r="3719" spans="42:51">
      <c r="AP3719" s="1855">
        <f t="shared" si="595"/>
        <v>44957</v>
      </c>
      <c r="AQ3719" s="925" t="str">
        <f t="shared" si="597"/>
        <v/>
      </c>
      <c r="AR3719" s="1856" t="str">
        <f t="shared" si="596"/>
        <v/>
      </c>
      <c r="AT3719" s="1856" t="str">
        <f t="shared" si="589"/>
        <v/>
      </c>
      <c r="AU3719" s="1856" t="str">
        <f t="shared" si="590"/>
        <v/>
      </c>
      <c r="AV3719" s="1856" t="str">
        <f t="shared" si="591"/>
        <v/>
      </c>
      <c r="AW3719" s="1856" t="str">
        <f t="shared" si="592"/>
        <v/>
      </c>
      <c r="AX3719" s="1856" t="str">
        <f t="shared" si="593"/>
        <v/>
      </c>
      <c r="AY3719" s="1856" t="str">
        <f t="shared" si="594"/>
        <v/>
      </c>
    </row>
    <row r="3720" spans="42:51">
      <c r="AP3720" s="1855">
        <f t="shared" si="595"/>
        <v>44957</v>
      </c>
      <c r="AQ3720" s="925" t="str">
        <f t="shared" si="597"/>
        <v/>
      </c>
      <c r="AR3720" s="1856" t="str">
        <f t="shared" si="596"/>
        <v/>
      </c>
      <c r="AT3720" s="1856" t="str">
        <f t="shared" si="589"/>
        <v/>
      </c>
      <c r="AU3720" s="1856" t="str">
        <f t="shared" si="590"/>
        <v/>
      </c>
      <c r="AV3720" s="1856" t="str">
        <f t="shared" si="591"/>
        <v/>
      </c>
      <c r="AW3720" s="1856" t="str">
        <f t="shared" si="592"/>
        <v/>
      </c>
      <c r="AX3720" s="1856" t="str">
        <f t="shared" si="593"/>
        <v/>
      </c>
      <c r="AY3720" s="1856" t="str">
        <f t="shared" si="594"/>
        <v/>
      </c>
    </row>
    <row r="3721" spans="42:51">
      <c r="AP3721" s="1855">
        <f t="shared" si="595"/>
        <v>44957</v>
      </c>
      <c r="AQ3721" s="925" t="str">
        <f t="shared" si="597"/>
        <v/>
      </c>
      <c r="AR3721" s="1856" t="str">
        <f t="shared" si="596"/>
        <v/>
      </c>
      <c r="AT3721" s="1856" t="str">
        <f t="shared" si="589"/>
        <v/>
      </c>
      <c r="AU3721" s="1856" t="str">
        <f t="shared" si="590"/>
        <v/>
      </c>
      <c r="AV3721" s="1856" t="str">
        <f t="shared" si="591"/>
        <v/>
      </c>
      <c r="AW3721" s="1856" t="str">
        <f t="shared" si="592"/>
        <v/>
      </c>
      <c r="AX3721" s="1856" t="str">
        <f t="shared" si="593"/>
        <v/>
      </c>
      <c r="AY3721" s="1856" t="str">
        <f t="shared" si="594"/>
        <v/>
      </c>
    </row>
    <row r="3722" spans="42:51">
      <c r="AP3722" s="1855">
        <f t="shared" si="595"/>
        <v>44957</v>
      </c>
      <c r="AQ3722" s="925" t="str">
        <f t="shared" si="597"/>
        <v/>
      </c>
      <c r="AR3722" s="1856" t="str">
        <f t="shared" si="596"/>
        <v/>
      </c>
      <c r="AT3722" s="1856" t="str">
        <f t="shared" si="589"/>
        <v/>
      </c>
      <c r="AU3722" s="1856" t="str">
        <f t="shared" si="590"/>
        <v/>
      </c>
      <c r="AV3722" s="1856" t="str">
        <f t="shared" si="591"/>
        <v/>
      </c>
      <c r="AW3722" s="1856" t="str">
        <f t="shared" si="592"/>
        <v/>
      </c>
      <c r="AX3722" s="1856" t="str">
        <f t="shared" si="593"/>
        <v/>
      </c>
      <c r="AY3722" s="1856" t="str">
        <f t="shared" si="594"/>
        <v/>
      </c>
    </row>
    <row r="3723" spans="42:51">
      <c r="AP3723" s="1855">
        <f t="shared" si="595"/>
        <v>44957</v>
      </c>
      <c r="AQ3723" s="925" t="str">
        <f t="shared" si="597"/>
        <v/>
      </c>
      <c r="AR3723" s="1856" t="str">
        <f t="shared" si="596"/>
        <v/>
      </c>
      <c r="AT3723" s="1856" t="str">
        <f t="shared" si="589"/>
        <v/>
      </c>
      <c r="AU3723" s="1856" t="str">
        <f t="shared" si="590"/>
        <v/>
      </c>
      <c r="AV3723" s="1856" t="str">
        <f t="shared" si="591"/>
        <v/>
      </c>
      <c r="AW3723" s="1856" t="str">
        <f t="shared" si="592"/>
        <v/>
      </c>
      <c r="AX3723" s="1856" t="str">
        <f t="shared" si="593"/>
        <v/>
      </c>
      <c r="AY3723" s="1856" t="str">
        <f t="shared" si="594"/>
        <v/>
      </c>
    </row>
    <row r="3724" spans="42:51">
      <c r="AP3724" s="1855">
        <f t="shared" si="595"/>
        <v>44957</v>
      </c>
      <c r="AQ3724" s="925" t="str">
        <f t="shared" si="597"/>
        <v/>
      </c>
      <c r="AR3724" s="1856" t="str">
        <f t="shared" si="596"/>
        <v/>
      </c>
      <c r="AT3724" s="1856" t="str">
        <f t="shared" si="589"/>
        <v/>
      </c>
      <c r="AU3724" s="1856" t="str">
        <f t="shared" si="590"/>
        <v/>
      </c>
      <c r="AV3724" s="1856" t="str">
        <f t="shared" si="591"/>
        <v/>
      </c>
      <c r="AW3724" s="1856" t="str">
        <f t="shared" si="592"/>
        <v/>
      </c>
      <c r="AX3724" s="1856" t="str">
        <f t="shared" si="593"/>
        <v/>
      </c>
      <c r="AY3724" s="1856" t="str">
        <f t="shared" si="594"/>
        <v/>
      </c>
    </row>
    <row r="3725" spans="42:51">
      <c r="AP3725" s="1855">
        <f t="shared" si="595"/>
        <v>44957</v>
      </c>
      <c r="AQ3725" s="925" t="str">
        <f t="shared" si="597"/>
        <v/>
      </c>
      <c r="AR3725" s="1856" t="str">
        <f t="shared" si="596"/>
        <v/>
      </c>
      <c r="AT3725" s="1856" t="str">
        <f t="shared" si="589"/>
        <v/>
      </c>
      <c r="AU3725" s="1856" t="str">
        <f t="shared" si="590"/>
        <v/>
      </c>
      <c r="AV3725" s="1856" t="str">
        <f t="shared" si="591"/>
        <v/>
      </c>
      <c r="AW3725" s="1856" t="str">
        <f t="shared" si="592"/>
        <v/>
      </c>
      <c r="AX3725" s="1856" t="str">
        <f t="shared" si="593"/>
        <v/>
      </c>
      <c r="AY3725" s="1856" t="str">
        <f t="shared" si="594"/>
        <v/>
      </c>
    </row>
    <row r="3726" spans="42:51">
      <c r="AP3726" s="1855">
        <f t="shared" si="595"/>
        <v>44957</v>
      </c>
      <c r="AQ3726" s="925" t="str">
        <f t="shared" si="597"/>
        <v/>
      </c>
      <c r="AR3726" s="1856" t="str">
        <f t="shared" si="596"/>
        <v/>
      </c>
      <c r="AT3726" s="1856" t="str">
        <f t="shared" si="589"/>
        <v/>
      </c>
      <c r="AU3726" s="1856" t="str">
        <f t="shared" si="590"/>
        <v/>
      </c>
      <c r="AV3726" s="1856" t="str">
        <f t="shared" si="591"/>
        <v/>
      </c>
      <c r="AW3726" s="1856" t="str">
        <f t="shared" si="592"/>
        <v/>
      </c>
      <c r="AX3726" s="1856" t="str">
        <f t="shared" si="593"/>
        <v/>
      </c>
      <c r="AY3726" s="1856" t="str">
        <f t="shared" si="594"/>
        <v/>
      </c>
    </row>
    <row r="3727" spans="42:51">
      <c r="AP3727" s="1855">
        <f t="shared" si="595"/>
        <v>44957</v>
      </c>
      <c r="AQ3727" s="925" t="str">
        <f t="shared" si="597"/>
        <v/>
      </c>
      <c r="AR3727" s="1856" t="str">
        <f t="shared" si="596"/>
        <v/>
      </c>
      <c r="AT3727" s="1856" t="str">
        <f t="shared" si="589"/>
        <v/>
      </c>
      <c r="AU3727" s="1856" t="str">
        <f t="shared" si="590"/>
        <v/>
      </c>
      <c r="AV3727" s="1856" t="str">
        <f t="shared" si="591"/>
        <v/>
      </c>
      <c r="AW3727" s="1856" t="str">
        <f t="shared" si="592"/>
        <v/>
      </c>
      <c r="AX3727" s="1856" t="str">
        <f t="shared" si="593"/>
        <v/>
      </c>
      <c r="AY3727" s="1856" t="str">
        <f t="shared" si="594"/>
        <v/>
      </c>
    </row>
    <row r="3728" spans="42:51">
      <c r="AP3728" s="1855">
        <f t="shared" si="595"/>
        <v>44957</v>
      </c>
      <c r="AQ3728" s="925" t="str">
        <f t="shared" si="597"/>
        <v/>
      </c>
      <c r="AR3728" s="1856" t="str">
        <f t="shared" si="596"/>
        <v/>
      </c>
      <c r="AT3728" s="1856" t="str">
        <f t="shared" si="589"/>
        <v/>
      </c>
      <c r="AU3728" s="1856" t="str">
        <f t="shared" si="590"/>
        <v/>
      </c>
      <c r="AV3728" s="1856" t="str">
        <f t="shared" si="591"/>
        <v/>
      </c>
      <c r="AW3728" s="1856" t="str">
        <f t="shared" si="592"/>
        <v/>
      </c>
      <c r="AX3728" s="1856" t="str">
        <f t="shared" si="593"/>
        <v/>
      </c>
      <c r="AY3728" s="1856" t="str">
        <f t="shared" si="594"/>
        <v/>
      </c>
    </row>
    <row r="3729" spans="42:51">
      <c r="AP3729" s="1855">
        <f t="shared" si="595"/>
        <v>44957</v>
      </c>
      <c r="AQ3729" s="925" t="str">
        <f t="shared" si="597"/>
        <v/>
      </c>
      <c r="AR3729" s="1856" t="str">
        <f t="shared" si="596"/>
        <v/>
      </c>
      <c r="AT3729" s="1856" t="str">
        <f t="shared" si="589"/>
        <v/>
      </c>
      <c r="AU3729" s="1856" t="str">
        <f t="shared" si="590"/>
        <v/>
      </c>
      <c r="AV3729" s="1856" t="str">
        <f t="shared" si="591"/>
        <v/>
      </c>
      <c r="AW3729" s="1856" t="str">
        <f t="shared" si="592"/>
        <v/>
      </c>
      <c r="AX3729" s="1856" t="str">
        <f t="shared" si="593"/>
        <v/>
      </c>
      <c r="AY3729" s="1856" t="str">
        <f t="shared" si="594"/>
        <v/>
      </c>
    </row>
    <row r="3730" spans="42:51">
      <c r="AP3730" s="1855">
        <f t="shared" si="595"/>
        <v>44957</v>
      </c>
      <c r="AQ3730" s="925" t="str">
        <f t="shared" si="597"/>
        <v/>
      </c>
      <c r="AR3730" s="1856" t="str">
        <f t="shared" si="596"/>
        <v/>
      </c>
      <c r="AT3730" s="1856" t="str">
        <f t="shared" si="589"/>
        <v/>
      </c>
      <c r="AU3730" s="1856" t="str">
        <f t="shared" si="590"/>
        <v/>
      </c>
      <c r="AV3730" s="1856" t="str">
        <f t="shared" si="591"/>
        <v/>
      </c>
      <c r="AW3730" s="1856" t="str">
        <f t="shared" si="592"/>
        <v/>
      </c>
      <c r="AX3730" s="1856" t="str">
        <f t="shared" si="593"/>
        <v/>
      </c>
      <c r="AY3730" s="1856" t="str">
        <f t="shared" si="594"/>
        <v/>
      </c>
    </row>
    <row r="3731" spans="42:51">
      <c r="AP3731" s="1855">
        <f t="shared" si="595"/>
        <v>44957</v>
      </c>
      <c r="AQ3731" s="925" t="str">
        <f t="shared" si="597"/>
        <v/>
      </c>
      <c r="AR3731" s="1856" t="str">
        <f t="shared" si="596"/>
        <v/>
      </c>
      <c r="AT3731" s="1856" t="str">
        <f t="shared" si="589"/>
        <v/>
      </c>
      <c r="AU3731" s="1856" t="str">
        <f t="shared" si="590"/>
        <v/>
      </c>
      <c r="AV3731" s="1856" t="str">
        <f t="shared" si="591"/>
        <v/>
      </c>
      <c r="AW3731" s="1856" t="str">
        <f t="shared" si="592"/>
        <v/>
      </c>
      <c r="AX3731" s="1856" t="str">
        <f t="shared" si="593"/>
        <v/>
      </c>
      <c r="AY3731" s="1856" t="str">
        <f t="shared" si="594"/>
        <v/>
      </c>
    </row>
    <row r="3732" spans="42:51">
      <c r="AP3732" s="1855">
        <f t="shared" si="595"/>
        <v>44957</v>
      </c>
      <c r="AQ3732" s="925" t="str">
        <f t="shared" si="597"/>
        <v/>
      </c>
      <c r="AR3732" s="1856" t="str">
        <f t="shared" si="596"/>
        <v/>
      </c>
      <c r="AT3732" s="1856" t="str">
        <f t="shared" si="589"/>
        <v/>
      </c>
      <c r="AU3732" s="1856" t="str">
        <f t="shared" si="590"/>
        <v/>
      </c>
      <c r="AV3732" s="1856" t="str">
        <f t="shared" si="591"/>
        <v/>
      </c>
      <c r="AW3732" s="1856" t="str">
        <f t="shared" si="592"/>
        <v/>
      </c>
      <c r="AX3732" s="1856" t="str">
        <f t="shared" si="593"/>
        <v/>
      </c>
      <c r="AY3732" s="1856" t="str">
        <f t="shared" si="594"/>
        <v/>
      </c>
    </row>
    <row r="3733" spans="42:51">
      <c r="AP3733" s="1855">
        <f t="shared" si="595"/>
        <v>44957</v>
      </c>
      <c r="AQ3733" s="925" t="str">
        <f t="shared" si="597"/>
        <v/>
      </c>
      <c r="AR3733" s="1856" t="str">
        <f t="shared" si="596"/>
        <v/>
      </c>
      <c r="AT3733" s="1856" t="str">
        <f t="shared" si="589"/>
        <v/>
      </c>
      <c r="AU3733" s="1856" t="str">
        <f t="shared" si="590"/>
        <v/>
      </c>
      <c r="AV3733" s="1856" t="str">
        <f t="shared" si="591"/>
        <v/>
      </c>
      <c r="AW3733" s="1856" t="str">
        <f t="shared" si="592"/>
        <v/>
      </c>
      <c r="AX3733" s="1856" t="str">
        <f t="shared" si="593"/>
        <v/>
      </c>
      <c r="AY3733" s="1856" t="str">
        <f t="shared" si="594"/>
        <v/>
      </c>
    </row>
    <row r="3734" spans="42:51">
      <c r="AP3734" s="1855">
        <f t="shared" si="595"/>
        <v>44957</v>
      </c>
      <c r="AQ3734" s="925" t="str">
        <f t="shared" si="597"/>
        <v/>
      </c>
      <c r="AR3734" s="1856" t="str">
        <f t="shared" si="596"/>
        <v/>
      </c>
      <c r="AT3734" s="1856" t="str">
        <f t="shared" si="589"/>
        <v/>
      </c>
      <c r="AU3734" s="1856" t="str">
        <f t="shared" si="590"/>
        <v/>
      </c>
      <c r="AV3734" s="1856" t="str">
        <f t="shared" si="591"/>
        <v/>
      </c>
      <c r="AW3734" s="1856" t="str">
        <f t="shared" si="592"/>
        <v/>
      </c>
      <c r="AX3734" s="1856" t="str">
        <f t="shared" si="593"/>
        <v/>
      </c>
      <c r="AY3734" s="1856" t="str">
        <f t="shared" si="594"/>
        <v/>
      </c>
    </row>
    <row r="3735" spans="42:51">
      <c r="AP3735" s="1855">
        <f t="shared" si="595"/>
        <v>44957</v>
      </c>
      <c r="AQ3735" s="925" t="str">
        <f t="shared" si="597"/>
        <v/>
      </c>
      <c r="AR3735" s="1856" t="str">
        <f t="shared" si="596"/>
        <v/>
      </c>
      <c r="AT3735" s="1856" t="str">
        <f t="shared" si="589"/>
        <v/>
      </c>
      <c r="AU3735" s="1856" t="str">
        <f t="shared" si="590"/>
        <v/>
      </c>
      <c r="AV3735" s="1856" t="str">
        <f t="shared" si="591"/>
        <v/>
      </c>
      <c r="AW3735" s="1856" t="str">
        <f t="shared" si="592"/>
        <v/>
      </c>
      <c r="AX3735" s="1856" t="str">
        <f t="shared" si="593"/>
        <v/>
      </c>
      <c r="AY3735" s="1856" t="str">
        <f t="shared" si="594"/>
        <v/>
      </c>
    </row>
    <row r="3736" spans="42:51">
      <c r="AP3736" s="1855">
        <f t="shared" si="595"/>
        <v>44957</v>
      </c>
      <c r="AQ3736" s="925" t="str">
        <f t="shared" si="597"/>
        <v/>
      </c>
      <c r="AR3736" s="1856" t="str">
        <f t="shared" si="596"/>
        <v/>
      </c>
      <c r="AT3736" s="1856" t="str">
        <f t="shared" si="589"/>
        <v/>
      </c>
      <c r="AU3736" s="1856" t="str">
        <f t="shared" si="590"/>
        <v/>
      </c>
      <c r="AV3736" s="1856" t="str">
        <f t="shared" si="591"/>
        <v/>
      </c>
      <c r="AW3736" s="1856" t="str">
        <f t="shared" si="592"/>
        <v/>
      </c>
      <c r="AX3736" s="1856" t="str">
        <f t="shared" si="593"/>
        <v/>
      </c>
      <c r="AY3736" s="1856" t="str">
        <f t="shared" si="594"/>
        <v/>
      </c>
    </row>
    <row r="3737" spans="42:51">
      <c r="AP3737" s="1855">
        <f t="shared" si="595"/>
        <v>44957</v>
      </c>
      <c r="AQ3737" s="925" t="str">
        <f t="shared" si="597"/>
        <v/>
      </c>
      <c r="AR3737" s="1856" t="str">
        <f t="shared" si="596"/>
        <v/>
      </c>
      <c r="AT3737" s="1856" t="str">
        <f t="shared" si="589"/>
        <v/>
      </c>
      <c r="AU3737" s="1856" t="str">
        <f t="shared" si="590"/>
        <v/>
      </c>
      <c r="AV3737" s="1856" t="str">
        <f t="shared" si="591"/>
        <v/>
      </c>
      <c r="AW3737" s="1856" t="str">
        <f t="shared" si="592"/>
        <v/>
      </c>
      <c r="AX3737" s="1856" t="str">
        <f t="shared" si="593"/>
        <v/>
      </c>
      <c r="AY3737" s="1856" t="str">
        <f t="shared" si="594"/>
        <v/>
      </c>
    </row>
    <row r="3738" spans="42:51">
      <c r="AP3738" s="1855">
        <f t="shared" si="595"/>
        <v>44957</v>
      </c>
      <c r="AQ3738" s="925" t="str">
        <f t="shared" si="597"/>
        <v/>
      </c>
      <c r="AR3738" s="1856" t="str">
        <f t="shared" si="596"/>
        <v/>
      </c>
      <c r="AT3738" s="1856" t="str">
        <f t="shared" si="589"/>
        <v/>
      </c>
      <c r="AU3738" s="1856" t="str">
        <f t="shared" si="590"/>
        <v/>
      </c>
      <c r="AV3738" s="1856" t="str">
        <f t="shared" si="591"/>
        <v/>
      </c>
      <c r="AW3738" s="1856" t="str">
        <f t="shared" si="592"/>
        <v/>
      </c>
      <c r="AX3738" s="1856" t="str">
        <f t="shared" si="593"/>
        <v/>
      </c>
      <c r="AY3738" s="1856" t="str">
        <f t="shared" si="594"/>
        <v/>
      </c>
    </row>
    <row r="3739" spans="42:51">
      <c r="AP3739" s="1855">
        <f t="shared" si="595"/>
        <v>44957</v>
      </c>
      <c r="AQ3739" s="925" t="str">
        <f t="shared" si="597"/>
        <v/>
      </c>
      <c r="AR3739" s="1856" t="str">
        <f t="shared" si="596"/>
        <v/>
      </c>
      <c r="AT3739" s="1856" t="str">
        <f t="shared" si="589"/>
        <v/>
      </c>
      <c r="AU3739" s="1856" t="str">
        <f t="shared" si="590"/>
        <v/>
      </c>
      <c r="AV3739" s="1856" t="str">
        <f t="shared" si="591"/>
        <v/>
      </c>
      <c r="AW3739" s="1856" t="str">
        <f t="shared" si="592"/>
        <v/>
      </c>
      <c r="AX3739" s="1856" t="str">
        <f t="shared" si="593"/>
        <v/>
      </c>
      <c r="AY3739" s="1856" t="str">
        <f t="shared" si="594"/>
        <v/>
      </c>
    </row>
    <row r="3740" spans="42:51">
      <c r="AP3740" s="1855">
        <f t="shared" si="595"/>
        <v>44957</v>
      </c>
      <c r="AQ3740" s="925" t="str">
        <f t="shared" si="597"/>
        <v/>
      </c>
      <c r="AR3740" s="1856" t="str">
        <f t="shared" si="596"/>
        <v/>
      </c>
      <c r="AT3740" s="1856" t="str">
        <f t="shared" ref="AT3740:AT3803" si="598">IF(ISNUMBER(AS3740),INDEX(AR3741:AR3751,MATCH($AT$27,AQ3741:AQ3751,0)),"")</f>
        <v/>
      </c>
      <c r="AU3740" s="1856" t="str">
        <f t="shared" ref="AU3740:AU3803" si="599">IF(AT3740="","",INDEX(AR3741:AR3751,MATCH($AU$27,AQ3741:AQ3751,0)))</f>
        <v/>
      </c>
      <c r="AV3740" s="1856" t="str">
        <f t="shared" ref="AV3740:AV3803" si="600">IF(AT3740="","",INDEX(AR3741:AR3751,MATCH($AV$27,AQ3741:AQ3751,0)))</f>
        <v/>
      </c>
      <c r="AW3740" s="1856" t="str">
        <f t="shared" ref="AW3740:AW3803" si="601">IF(AT3740="","",INDEX(AR3741:AR3751,MATCH($AW$27,AQ3741:AQ3751,0)))</f>
        <v/>
      </c>
      <c r="AX3740" s="1856" t="str">
        <f t="shared" ref="AX3740:AX3803" si="602">IF(AT3740="","",INDEX(AR3741:AR3751,MATCH($AX$27,AQ3741:AQ3751,0)))</f>
        <v/>
      </c>
      <c r="AY3740" s="1856" t="str">
        <f t="shared" ref="AY3740:AY3803" si="603">IF(AT3740="","",INDEX(AR3741:AR3751,MATCH($AY$27,AQ3741:AQ3751,0)))</f>
        <v/>
      </c>
    </row>
    <row r="3741" spans="42:51">
      <c r="AP3741" s="1855">
        <f t="shared" si="595"/>
        <v>44957</v>
      </c>
      <c r="AQ3741" s="925" t="str">
        <f t="shared" si="597"/>
        <v/>
      </c>
      <c r="AR3741" s="1856" t="str">
        <f t="shared" si="596"/>
        <v/>
      </c>
      <c r="AT3741" s="1856" t="str">
        <f t="shared" si="598"/>
        <v/>
      </c>
      <c r="AU3741" s="1856" t="str">
        <f t="shared" si="599"/>
        <v/>
      </c>
      <c r="AV3741" s="1856" t="str">
        <f t="shared" si="600"/>
        <v/>
      </c>
      <c r="AW3741" s="1856" t="str">
        <f t="shared" si="601"/>
        <v/>
      </c>
      <c r="AX3741" s="1856" t="str">
        <f t="shared" si="602"/>
        <v/>
      </c>
      <c r="AY3741" s="1856" t="str">
        <f t="shared" si="603"/>
        <v/>
      </c>
    </row>
    <row r="3742" spans="42:51">
      <c r="AP3742" s="1855">
        <f t="shared" si="595"/>
        <v>44957</v>
      </c>
      <c r="AQ3742" s="925" t="str">
        <f t="shared" si="597"/>
        <v/>
      </c>
      <c r="AR3742" s="1856" t="str">
        <f t="shared" si="596"/>
        <v/>
      </c>
      <c r="AT3742" s="1856" t="str">
        <f t="shared" si="598"/>
        <v/>
      </c>
      <c r="AU3742" s="1856" t="str">
        <f t="shared" si="599"/>
        <v/>
      </c>
      <c r="AV3742" s="1856" t="str">
        <f t="shared" si="600"/>
        <v/>
      </c>
      <c r="AW3742" s="1856" t="str">
        <f t="shared" si="601"/>
        <v/>
      </c>
      <c r="AX3742" s="1856" t="str">
        <f t="shared" si="602"/>
        <v/>
      </c>
      <c r="AY3742" s="1856" t="str">
        <f t="shared" si="603"/>
        <v/>
      </c>
    </row>
    <row r="3743" spans="42:51">
      <c r="AP3743" s="1855">
        <f t="shared" si="595"/>
        <v>44957</v>
      </c>
      <c r="AQ3743" s="925" t="str">
        <f t="shared" si="597"/>
        <v/>
      </c>
      <c r="AR3743" s="1856" t="str">
        <f t="shared" si="596"/>
        <v/>
      </c>
      <c r="AT3743" s="1856" t="str">
        <f t="shared" si="598"/>
        <v/>
      </c>
      <c r="AU3743" s="1856" t="str">
        <f t="shared" si="599"/>
        <v/>
      </c>
      <c r="AV3743" s="1856" t="str">
        <f t="shared" si="600"/>
        <v/>
      </c>
      <c r="AW3743" s="1856" t="str">
        <f t="shared" si="601"/>
        <v/>
      </c>
      <c r="AX3743" s="1856" t="str">
        <f t="shared" si="602"/>
        <v/>
      </c>
      <c r="AY3743" s="1856" t="str">
        <f t="shared" si="603"/>
        <v/>
      </c>
    </row>
    <row r="3744" spans="42:51">
      <c r="AP3744" s="1855">
        <f t="shared" si="595"/>
        <v>44957</v>
      </c>
      <c r="AQ3744" s="925" t="str">
        <f t="shared" si="597"/>
        <v/>
      </c>
      <c r="AR3744" s="1856" t="str">
        <f t="shared" si="596"/>
        <v/>
      </c>
      <c r="AT3744" s="1856" t="str">
        <f t="shared" si="598"/>
        <v/>
      </c>
      <c r="AU3744" s="1856" t="str">
        <f t="shared" si="599"/>
        <v/>
      </c>
      <c r="AV3744" s="1856" t="str">
        <f t="shared" si="600"/>
        <v/>
      </c>
      <c r="AW3744" s="1856" t="str">
        <f t="shared" si="601"/>
        <v/>
      </c>
      <c r="AX3744" s="1856" t="str">
        <f t="shared" si="602"/>
        <v/>
      </c>
      <c r="AY3744" s="1856" t="str">
        <f t="shared" si="603"/>
        <v/>
      </c>
    </row>
    <row r="3745" spans="42:51">
      <c r="AP3745" s="1855">
        <f t="shared" si="595"/>
        <v>44957</v>
      </c>
      <c r="AQ3745" s="925" t="str">
        <f t="shared" si="597"/>
        <v/>
      </c>
      <c r="AR3745" s="1856" t="str">
        <f t="shared" si="596"/>
        <v/>
      </c>
      <c r="AT3745" s="1856" t="str">
        <f t="shared" si="598"/>
        <v/>
      </c>
      <c r="AU3745" s="1856" t="str">
        <f t="shared" si="599"/>
        <v/>
      </c>
      <c r="AV3745" s="1856" t="str">
        <f t="shared" si="600"/>
        <v/>
      </c>
      <c r="AW3745" s="1856" t="str">
        <f t="shared" si="601"/>
        <v/>
      </c>
      <c r="AX3745" s="1856" t="str">
        <f t="shared" si="602"/>
        <v/>
      </c>
      <c r="AY3745" s="1856" t="str">
        <f t="shared" si="603"/>
        <v/>
      </c>
    </row>
    <row r="3746" spans="42:51">
      <c r="AP3746" s="1855">
        <f t="shared" si="595"/>
        <v>44957</v>
      </c>
      <c r="AQ3746" s="925" t="str">
        <f t="shared" si="597"/>
        <v/>
      </c>
      <c r="AR3746" s="1856" t="str">
        <f t="shared" si="596"/>
        <v/>
      </c>
      <c r="AT3746" s="1856" t="str">
        <f t="shared" si="598"/>
        <v/>
      </c>
      <c r="AU3746" s="1856" t="str">
        <f t="shared" si="599"/>
        <v/>
      </c>
      <c r="AV3746" s="1856" t="str">
        <f t="shared" si="600"/>
        <v/>
      </c>
      <c r="AW3746" s="1856" t="str">
        <f t="shared" si="601"/>
        <v/>
      </c>
      <c r="AX3746" s="1856" t="str">
        <f t="shared" si="602"/>
        <v/>
      </c>
      <c r="AY3746" s="1856" t="str">
        <f t="shared" si="603"/>
        <v/>
      </c>
    </row>
    <row r="3747" spans="42:51">
      <c r="AP3747" s="1855">
        <f t="shared" si="595"/>
        <v>44957</v>
      </c>
      <c r="AQ3747" s="925" t="str">
        <f t="shared" si="597"/>
        <v/>
      </c>
      <c r="AR3747" s="1856" t="str">
        <f t="shared" si="596"/>
        <v/>
      </c>
      <c r="AT3747" s="1856" t="str">
        <f t="shared" si="598"/>
        <v/>
      </c>
      <c r="AU3747" s="1856" t="str">
        <f t="shared" si="599"/>
        <v/>
      </c>
      <c r="AV3747" s="1856" t="str">
        <f t="shared" si="600"/>
        <v/>
      </c>
      <c r="AW3747" s="1856" t="str">
        <f t="shared" si="601"/>
        <v/>
      </c>
      <c r="AX3747" s="1856" t="str">
        <f t="shared" si="602"/>
        <v/>
      </c>
      <c r="AY3747" s="1856" t="str">
        <f t="shared" si="603"/>
        <v/>
      </c>
    </row>
    <row r="3748" spans="42:51">
      <c r="AP3748" s="1855">
        <f t="shared" si="595"/>
        <v>44957</v>
      </c>
      <c r="AQ3748" s="925" t="str">
        <f t="shared" si="597"/>
        <v/>
      </c>
      <c r="AR3748" s="1856" t="str">
        <f t="shared" si="596"/>
        <v/>
      </c>
      <c r="AT3748" s="1856" t="str">
        <f t="shared" si="598"/>
        <v/>
      </c>
      <c r="AU3748" s="1856" t="str">
        <f t="shared" si="599"/>
        <v/>
      </c>
      <c r="AV3748" s="1856" t="str">
        <f t="shared" si="600"/>
        <v/>
      </c>
      <c r="AW3748" s="1856" t="str">
        <f t="shared" si="601"/>
        <v/>
      </c>
      <c r="AX3748" s="1856" t="str">
        <f t="shared" si="602"/>
        <v/>
      </c>
      <c r="AY3748" s="1856" t="str">
        <f t="shared" si="603"/>
        <v/>
      </c>
    </row>
    <row r="3749" spans="42:51">
      <c r="AP3749" s="1855">
        <f t="shared" ref="AP3749:AP3812" si="604">IF(ISNUMBER(AS3749),AP3748+1,AP3748)</f>
        <v>44957</v>
      </c>
      <c r="AQ3749" s="925" t="str">
        <f t="shared" si="597"/>
        <v/>
      </c>
      <c r="AR3749" s="1856" t="str">
        <f t="shared" si="596"/>
        <v/>
      </c>
      <c r="AT3749" s="1856" t="str">
        <f t="shared" si="598"/>
        <v/>
      </c>
      <c r="AU3749" s="1856" t="str">
        <f t="shared" si="599"/>
        <v/>
      </c>
      <c r="AV3749" s="1856" t="str">
        <f t="shared" si="600"/>
        <v/>
      </c>
      <c r="AW3749" s="1856" t="str">
        <f t="shared" si="601"/>
        <v/>
      </c>
      <c r="AX3749" s="1856" t="str">
        <f t="shared" si="602"/>
        <v/>
      </c>
      <c r="AY3749" s="1856" t="str">
        <f t="shared" si="603"/>
        <v/>
      </c>
    </row>
    <row r="3750" spans="42:51">
      <c r="AP3750" s="1855">
        <f t="shared" si="604"/>
        <v>44957</v>
      </c>
      <c r="AQ3750" s="925" t="str">
        <f t="shared" si="597"/>
        <v/>
      </c>
      <c r="AR3750" s="1856" t="str">
        <f t="shared" si="596"/>
        <v/>
      </c>
      <c r="AT3750" s="1856" t="str">
        <f t="shared" si="598"/>
        <v/>
      </c>
      <c r="AU3750" s="1856" t="str">
        <f t="shared" si="599"/>
        <v/>
      </c>
      <c r="AV3750" s="1856" t="str">
        <f t="shared" si="600"/>
        <v/>
      </c>
      <c r="AW3750" s="1856" t="str">
        <f t="shared" si="601"/>
        <v/>
      </c>
      <c r="AX3750" s="1856" t="str">
        <f t="shared" si="602"/>
        <v/>
      </c>
      <c r="AY3750" s="1856" t="str">
        <f t="shared" si="603"/>
        <v/>
      </c>
    </row>
    <row r="3751" spans="42:51">
      <c r="AP3751" s="1855">
        <f t="shared" si="604"/>
        <v>44957</v>
      </c>
      <c r="AQ3751" s="925" t="str">
        <f t="shared" si="597"/>
        <v/>
      </c>
      <c r="AR3751" s="1856" t="str">
        <f t="shared" si="596"/>
        <v/>
      </c>
      <c r="AT3751" s="1856" t="str">
        <f t="shared" si="598"/>
        <v/>
      </c>
      <c r="AU3751" s="1856" t="str">
        <f t="shared" si="599"/>
        <v/>
      </c>
      <c r="AV3751" s="1856" t="str">
        <f t="shared" si="600"/>
        <v/>
      </c>
      <c r="AW3751" s="1856" t="str">
        <f t="shared" si="601"/>
        <v/>
      </c>
      <c r="AX3751" s="1856" t="str">
        <f t="shared" si="602"/>
        <v/>
      </c>
      <c r="AY3751" s="1856" t="str">
        <f t="shared" si="603"/>
        <v/>
      </c>
    </row>
    <row r="3752" spans="42:51">
      <c r="AP3752" s="1855">
        <f t="shared" si="604"/>
        <v>44957</v>
      </c>
      <c r="AQ3752" s="925" t="str">
        <f t="shared" si="597"/>
        <v/>
      </c>
      <c r="AR3752" s="1856" t="str">
        <f t="shared" si="596"/>
        <v/>
      </c>
      <c r="AT3752" s="1856" t="str">
        <f t="shared" si="598"/>
        <v/>
      </c>
      <c r="AU3752" s="1856" t="str">
        <f t="shared" si="599"/>
        <v/>
      </c>
      <c r="AV3752" s="1856" t="str">
        <f t="shared" si="600"/>
        <v/>
      </c>
      <c r="AW3752" s="1856" t="str">
        <f t="shared" si="601"/>
        <v/>
      </c>
      <c r="AX3752" s="1856" t="str">
        <f t="shared" si="602"/>
        <v/>
      </c>
      <c r="AY3752" s="1856" t="str">
        <f t="shared" si="603"/>
        <v/>
      </c>
    </row>
    <row r="3753" spans="42:51">
      <c r="AP3753" s="1855">
        <f t="shared" si="604"/>
        <v>44957</v>
      </c>
      <c r="AQ3753" s="925" t="str">
        <f t="shared" si="597"/>
        <v/>
      </c>
      <c r="AR3753" s="1856" t="str">
        <f t="shared" ref="AR3753:AR3816" si="605">IF(NOT(ISNUMBER(FIND(":",AS3753))),"",IF(ISNUMBER(FIND(" none",AS3753)),"NONE",AP3753+LEFT(RIGHT(AS3753,5),2)/24+RIGHT(AS3753,2)/1440))</f>
        <v/>
      </c>
      <c r="AT3753" s="1856" t="str">
        <f t="shared" si="598"/>
        <v/>
      </c>
      <c r="AU3753" s="1856" t="str">
        <f t="shared" si="599"/>
        <v/>
      </c>
      <c r="AV3753" s="1856" t="str">
        <f t="shared" si="600"/>
        <v/>
      </c>
      <c r="AW3753" s="1856" t="str">
        <f t="shared" si="601"/>
        <v/>
      </c>
      <c r="AX3753" s="1856" t="str">
        <f t="shared" si="602"/>
        <v/>
      </c>
      <c r="AY3753" s="1856" t="str">
        <f t="shared" si="603"/>
        <v/>
      </c>
    </row>
    <row r="3754" spans="42:51">
      <c r="AP3754" s="1855">
        <f t="shared" si="604"/>
        <v>44957</v>
      </c>
      <c r="AQ3754" s="925" t="str">
        <f t="shared" si="597"/>
        <v/>
      </c>
      <c r="AR3754" s="1856" t="str">
        <f t="shared" si="605"/>
        <v/>
      </c>
      <c r="AT3754" s="1856" t="str">
        <f t="shared" si="598"/>
        <v/>
      </c>
      <c r="AU3754" s="1856" t="str">
        <f t="shared" si="599"/>
        <v/>
      </c>
      <c r="AV3754" s="1856" t="str">
        <f t="shared" si="600"/>
        <v/>
      </c>
      <c r="AW3754" s="1856" t="str">
        <f t="shared" si="601"/>
        <v/>
      </c>
      <c r="AX3754" s="1856" t="str">
        <f t="shared" si="602"/>
        <v/>
      </c>
      <c r="AY3754" s="1856" t="str">
        <f t="shared" si="603"/>
        <v/>
      </c>
    </row>
    <row r="3755" spans="42:51">
      <c r="AP3755" s="1855">
        <f t="shared" si="604"/>
        <v>44957</v>
      </c>
      <c r="AQ3755" s="925" t="str">
        <f t="shared" si="597"/>
        <v/>
      </c>
      <c r="AR3755" s="1856" t="str">
        <f t="shared" si="605"/>
        <v/>
      </c>
      <c r="AT3755" s="1856" t="str">
        <f t="shared" si="598"/>
        <v/>
      </c>
      <c r="AU3755" s="1856" t="str">
        <f t="shared" si="599"/>
        <v/>
      </c>
      <c r="AV3755" s="1856" t="str">
        <f t="shared" si="600"/>
        <v/>
      </c>
      <c r="AW3755" s="1856" t="str">
        <f t="shared" si="601"/>
        <v/>
      </c>
      <c r="AX3755" s="1856" t="str">
        <f t="shared" si="602"/>
        <v/>
      </c>
      <c r="AY3755" s="1856" t="str">
        <f t="shared" si="603"/>
        <v/>
      </c>
    </row>
    <row r="3756" spans="42:51">
      <c r="AP3756" s="1855">
        <f t="shared" si="604"/>
        <v>44957</v>
      </c>
      <c r="AQ3756" s="925" t="str">
        <f t="shared" si="597"/>
        <v/>
      </c>
      <c r="AR3756" s="1856" t="str">
        <f t="shared" si="605"/>
        <v/>
      </c>
      <c r="AT3756" s="1856" t="str">
        <f t="shared" si="598"/>
        <v/>
      </c>
      <c r="AU3756" s="1856" t="str">
        <f t="shared" si="599"/>
        <v/>
      </c>
      <c r="AV3756" s="1856" t="str">
        <f t="shared" si="600"/>
        <v/>
      </c>
      <c r="AW3756" s="1856" t="str">
        <f t="shared" si="601"/>
        <v/>
      </c>
      <c r="AX3756" s="1856" t="str">
        <f t="shared" si="602"/>
        <v/>
      </c>
      <c r="AY3756" s="1856" t="str">
        <f t="shared" si="603"/>
        <v/>
      </c>
    </row>
    <row r="3757" spans="42:51">
      <c r="AP3757" s="1855">
        <f t="shared" si="604"/>
        <v>44957</v>
      </c>
      <c r="AQ3757" s="925" t="str">
        <f t="shared" si="597"/>
        <v/>
      </c>
      <c r="AR3757" s="1856" t="str">
        <f t="shared" si="605"/>
        <v/>
      </c>
      <c r="AT3757" s="1856" t="str">
        <f t="shared" si="598"/>
        <v/>
      </c>
      <c r="AU3757" s="1856" t="str">
        <f t="shared" si="599"/>
        <v/>
      </c>
      <c r="AV3757" s="1856" t="str">
        <f t="shared" si="600"/>
        <v/>
      </c>
      <c r="AW3757" s="1856" t="str">
        <f t="shared" si="601"/>
        <v/>
      </c>
      <c r="AX3757" s="1856" t="str">
        <f t="shared" si="602"/>
        <v/>
      </c>
      <c r="AY3757" s="1856" t="str">
        <f t="shared" si="603"/>
        <v/>
      </c>
    </row>
    <row r="3758" spans="42:51">
      <c r="AP3758" s="1855">
        <f t="shared" si="604"/>
        <v>44957</v>
      </c>
      <c r="AQ3758" s="925" t="str">
        <f t="shared" si="597"/>
        <v/>
      </c>
      <c r="AR3758" s="1856" t="str">
        <f t="shared" si="605"/>
        <v/>
      </c>
      <c r="AT3758" s="1856" t="str">
        <f t="shared" si="598"/>
        <v/>
      </c>
      <c r="AU3758" s="1856" t="str">
        <f t="shared" si="599"/>
        <v/>
      </c>
      <c r="AV3758" s="1856" t="str">
        <f t="shared" si="600"/>
        <v/>
      </c>
      <c r="AW3758" s="1856" t="str">
        <f t="shared" si="601"/>
        <v/>
      </c>
      <c r="AX3758" s="1856" t="str">
        <f t="shared" si="602"/>
        <v/>
      </c>
      <c r="AY3758" s="1856" t="str">
        <f t="shared" si="603"/>
        <v/>
      </c>
    </row>
    <row r="3759" spans="42:51">
      <c r="AP3759" s="1855">
        <f t="shared" si="604"/>
        <v>44957</v>
      </c>
      <c r="AQ3759" s="925" t="str">
        <f t="shared" si="597"/>
        <v/>
      </c>
      <c r="AR3759" s="1856" t="str">
        <f t="shared" si="605"/>
        <v/>
      </c>
      <c r="AT3759" s="1856" t="str">
        <f t="shared" si="598"/>
        <v/>
      </c>
      <c r="AU3759" s="1856" t="str">
        <f t="shared" si="599"/>
        <v/>
      </c>
      <c r="AV3759" s="1856" t="str">
        <f t="shared" si="600"/>
        <v/>
      </c>
      <c r="AW3759" s="1856" t="str">
        <f t="shared" si="601"/>
        <v/>
      </c>
      <c r="AX3759" s="1856" t="str">
        <f t="shared" si="602"/>
        <v/>
      </c>
      <c r="AY3759" s="1856" t="str">
        <f t="shared" si="603"/>
        <v/>
      </c>
    </row>
    <row r="3760" spans="42:51">
      <c r="AP3760" s="1855">
        <f t="shared" si="604"/>
        <v>44957</v>
      </c>
      <c r="AQ3760" s="925" t="str">
        <f t="shared" si="597"/>
        <v/>
      </c>
      <c r="AR3760" s="1856" t="str">
        <f t="shared" si="605"/>
        <v/>
      </c>
      <c r="AT3760" s="1856" t="str">
        <f t="shared" si="598"/>
        <v/>
      </c>
      <c r="AU3760" s="1856" t="str">
        <f t="shared" si="599"/>
        <v/>
      </c>
      <c r="AV3760" s="1856" t="str">
        <f t="shared" si="600"/>
        <v/>
      </c>
      <c r="AW3760" s="1856" t="str">
        <f t="shared" si="601"/>
        <v/>
      </c>
      <c r="AX3760" s="1856" t="str">
        <f t="shared" si="602"/>
        <v/>
      </c>
      <c r="AY3760" s="1856" t="str">
        <f t="shared" si="603"/>
        <v/>
      </c>
    </row>
    <row r="3761" spans="42:51">
      <c r="AP3761" s="1855">
        <f t="shared" si="604"/>
        <v>44957</v>
      </c>
      <c r="AQ3761" s="925" t="str">
        <f t="shared" si="597"/>
        <v/>
      </c>
      <c r="AR3761" s="1856" t="str">
        <f t="shared" si="605"/>
        <v/>
      </c>
      <c r="AT3761" s="1856" t="str">
        <f t="shared" si="598"/>
        <v/>
      </c>
      <c r="AU3761" s="1856" t="str">
        <f t="shared" si="599"/>
        <v/>
      </c>
      <c r="AV3761" s="1856" t="str">
        <f t="shared" si="600"/>
        <v/>
      </c>
      <c r="AW3761" s="1856" t="str">
        <f t="shared" si="601"/>
        <v/>
      </c>
      <c r="AX3761" s="1856" t="str">
        <f t="shared" si="602"/>
        <v/>
      </c>
      <c r="AY3761" s="1856" t="str">
        <f t="shared" si="603"/>
        <v/>
      </c>
    </row>
    <row r="3762" spans="42:51">
      <c r="AP3762" s="1855">
        <f t="shared" si="604"/>
        <v>44957</v>
      </c>
      <c r="AQ3762" s="925" t="str">
        <f t="shared" si="597"/>
        <v/>
      </c>
      <c r="AR3762" s="1856" t="str">
        <f t="shared" si="605"/>
        <v/>
      </c>
      <c r="AT3762" s="1856" t="str">
        <f t="shared" si="598"/>
        <v/>
      </c>
      <c r="AU3762" s="1856" t="str">
        <f t="shared" si="599"/>
        <v/>
      </c>
      <c r="AV3762" s="1856" t="str">
        <f t="shared" si="600"/>
        <v/>
      </c>
      <c r="AW3762" s="1856" t="str">
        <f t="shared" si="601"/>
        <v/>
      </c>
      <c r="AX3762" s="1856" t="str">
        <f t="shared" si="602"/>
        <v/>
      </c>
      <c r="AY3762" s="1856" t="str">
        <f t="shared" si="603"/>
        <v/>
      </c>
    </row>
    <row r="3763" spans="42:51">
      <c r="AP3763" s="1855">
        <f t="shared" si="604"/>
        <v>44957</v>
      </c>
      <c r="AQ3763" s="925" t="str">
        <f t="shared" si="597"/>
        <v/>
      </c>
      <c r="AR3763" s="1856" t="str">
        <f t="shared" si="605"/>
        <v/>
      </c>
      <c r="AT3763" s="1856" t="str">
        <f t="shared" si="598"/>
        <v/>
      </c>
      <c r="AU3763" s="1856" t="str">
        <f t="shared" si="599"/>
        <v/>
      </c>
      <c r="AV3763" s="1856" t="str">
        <f t="shared" si="600"/>
        <v/>
      </c>
      <c r="AW3763" s="1856" t="str">
        <f t="shared" si="601"/>
        <v/>
      </c>
      <c r="AX3763" s="1856" t="str">
        <f t="shared" si="602"/>
        <v/>
      </c>
      <c r="AY3763" s="1856" t="str">
        <f t="shared" si="603"/>
        <v/>
      </c>
    </row>
    <row r="3764" spans="42:51">
      <c r="AP3764" s="1855">
        <f t="shared" si="604"/>
        <v>44957</v>
      </c>
      <c r="AQ3764" s="925" t="str">
        <f t="shared" ref="AQ3764:AQ3827" si="606">IF(NOT(ISNUMBER(FIND(":",AS3764))),"",IF(ISNUMBER(FIND("Sunr",AS3764)),"SR", IF(ISNUMBER(FIND("Suns",AS3764)),"SS",IF(ISNUMBER(FIND("Moonr",AS3764)),"MR",IF(ISNUMBER(FIND("Moons",AS3764)),"MS",IF(ISNUMBER(FIND("Twi",AS3764)),IF(HOUR(AR3764)&lt;12,"BMNT","EENT")))))))</f>
        <v/>
      </c>
      <c r="AR3764" s="1856" t="str">
        <f t="shared" si="605"/>
        <v/>
      </c>
      <c r="AT3764" s="1856" t="str">
        <f t="shared" si="598"/>
        <v/>
      </c>
      <c r="AU3764" s="1856" t="str">
        <f t="shared" si="599"/>
        <v/>
      </c>
      <c r="AV3764" s="1856" t="str">
        <f t="shared" si="600"/>
        <v/>
      </c>
      <c r="AW3764" s="1856" t="str">
        <f t="shared" si="601"/>
        <v/>
      </c>
      <c r="AX3764" s="1856" t="str">
        <f t="shared" si="602"/>
        <v/>
      </c>
      <c r="AY3764" s="1856" t="str">
        <f t="shared" si="603"/>
        <v/>
      </c>
    </row>
    <row r="3765" spans="42:51">
      <c r="AP3765" s="1855">
        <f t="shared" si="604"/>
        <v>44957</v>
      </c>
      <c r="AQ3765" s="925" t="str">
        <f t="shared" si="606"/>
        <v/>
      </c>
      <c r="AR3765" s="1856" t="str">
        <f t="shared" si="605"/>
        <v/>
      </c>
      <c r="AT3765" s="1856" t="str">
        <f t="shared" si="598"/>
        <v/>
      </c>
      <c r="AU3765" s="1856" t="str">
        <f t="shared" si="599"/>
        <v/>
      </c>
      <c r="AV3765" s="1856" t="str">
        <f t="shared" si="600"/>
        <v/>
      </c>
      <c r="AW3765" s="1856" t="str">
        <f t="shared" si="601"/>
        <v/>
      </c>
      <c r="AX3765" s="1856" t="str">
        <f t="shared" si="602"/>
        <v/>
      </c>
      <c r="AY3765" s="1856" t="str">
        <f t="shared" si="603"/>
        <v/>
      </c>
    </row>
    <row r="3766" spans="42:51">
      <c r="AP3766" s="1855">
        <f t="shared" si="604"/>
        <v>44957</v>
      </c>
      <c r="AQ3766" s="925" t="str">
        <f t="shared" si="606"/>
        <v/>
      </c>
      <c r="AR3766" s="1856" t="str">
        <f t="shared" si="605"/>
        <v/>
      </c>
      <c r="AT3766" s="1856" t="str">
        <f t="shared" si="598"/>
        <v/>
      </c>
      <c r="AU3766" s="1856" t="str">
        <f t="shared" si="599"/>
        <v/>
      </c>
      <c r="AV3766" s="1856" t="str">
        <f t="shared" si="600"/>
        <v/>
      </c>
      <c r="AW3766" s="1856" t="str">
        <f t="shared" si="601"/>
        <v/>
      </c>
      <c r="AX3766" s="1856" t="str">
        <f t="shared" si="602"/>
        <v/>
      </c>
      <c r="AY3766" s="1856" t="str">
        <f t="shared" si="603"/>
        <v/>
      </c>
    </row>
    <row r="3767" spans="42:51">
      <c r="AP3767" s="1855">
        <f t="shared" si="604"/>
        <v>44957</v>
      </c>
      <c r="AQ3767" s="925" t="str">
        <f t="shared" si="606"/>
        <v/>
      </c>
      <c r="AR3767" s="1856" t="str">
        <f t="shared" si="605"/>
        <v/>
      </c>
      <c r="AT3767" s="1856" t="str">
        <f t="shared" si="598"/>
        <v/>
      </c>
      <c r="AU3767" s="1856" t="str">
        <f t="shared" si="599"/>
        <v/>
      </c>
      <c r="AV3767" s="1856" t="str">
        <f t="shared" si="600"/>
        <v/>
      </c>
      <c r="AW3767" s="1856" t="str">
        <f t="shared" si="601"/>
        <v/>
      </c>
      <c r="AX3767" s="1856" t="str">
        <f t="shared" si="602"/>
        <v/>
      </c>
      <c r="AY3767" s="1856" t="str">
        <f t="shared" si="603"/>
        <v/>
      </c>
    </row>
    <row r="3768" spans="42:51">
      <c r="AP3768" s="1855">
        <f t="shared" si="604"/>
        <v>44957</v>
      </c>
      <c r="AQ3768" s="925" t="str">
        <f t="shared" si="606"/>
        <v/>
      </c>
      <c r="AR3768" s="1856" t="str">
        <f t="shared" si="605"/>
        <v/>
      </c>
      <c r="AT3768" s="1856" t="str">
        <f t="shared" si="598"/>
        <v/>
      </c>
      <c r="AU3768" s="1856" t="str">
        <f t="shared" si="599"/>
        <v/>
      </c>
      <c r="AV3768" s="1856" t="str">
        <f t="shared" si="600"/>
        <v/>
      </c>
      <c r="AW3768" s="1856" t="str">
        <f t="shared" si="601"/>
        <v/>
      </c>
      <c r="AX3768" s="1856" t="str">
        <f t="shared" si="602"/>
        <v/>
      </c>
      <c r="AY3768" s="1856" t="str">
        <f t="shared" si="603"/>
        <v/>
      </c>
    </row>
    <row r="3769" spans="42:51">
      <c r="AP3769" s="1855">
        <f t="shared" si="604"/>
        <v>44957</v>
      </c>
      <c r="AQ3769" s="925" t="str">
        <f t="shared" si="606"/>
        <v/>
      </c>
      <c r="AR3769" s="1856" t="str">
        <f t="shared" si="605"/>
        <v/>
      </c>
      <c r="AT3769" s="1856" t="str">
        <f t="shared" si="598"/>
        <v/>
      </c>
      <c r="AU3769" s="1856" t="str">
        <f t="shared" si="599"/>
        <v/>
      </c>
      <c r="AV3769" s="1856" t="str">
        <f t="shared" si="600"/>
        <v/>
      </c>
      <c r="AW3769" s="1856" t="str">
        <f t="shared" si="601"/>
        <v/>
      </c>
      <c r="AX3769" s="1856" t="str">
        <f t="shared" si="602"/>
        <v/>
      </c>
      <c r="AY3769" s="1856" t="str">
        <f t="shared" si="603"/>
        <v/>
      </c>
    </row>
    <row r="3770" spans="42:51">
      <c r="AP3770" s="1855">
        <f t="shared" si="604"/>
        <v>44957</v>
      </c>
      <c r="AQ3770" s="925" t="str">
        <f t="shared" si="606"/>
        <v/>
      </c>
      <c r="AR3770" s="1856" t="str">
        <f t="shared" si="605"/>
        <v/>
      </c>
      <c r="AT3770" s="1856" t="str">
        <f t="shared" si="598"/>
        <v/>
      </c>
      <c r="AU3770" s="1856" t="str">
        <f t="shared" si="599"/>
        <v/>
      </c>
      <c r="AV3770" s="1856" t="str">
        <f t="shared" si="600"/>
        <v/>
      </c>
      <c r="AW3770" s="1856" t="str">
        <f t="shared" si="601"/>
        <v/>
      </c>
      <c r="AX3770" s="1856" t="str">
        <f t="shared" si="602"/>
        <v/>
      </c>
      <c r="AY3770" s="1856" t="str">
        <f t="shared" si="603"/>
        <v/>
      </c>
    </row>
    <row r="3771" spans="42:51">
      <c r="AP3771" s="1855">
        <f t="shared" si="604"/>
        <v>44957</v>
      </c>
      <c r="AQ3771" s="925" t="str">
        <f t="shared" si="606"/>
        <v/>
      </c>
      <c r="AR3771" s="1856" t="str">
        <f t="shared" si="605"/>
        <v/>
      </c>
      <c r="AT3771" s="1856" t="str">
        <f t="shared" si="598"/>
        <v/>
      </c>
      <c r="AU3771" s="1856" t="str">
        <f t="shared" si="599"/>
        <v/>
      </c>
      <c r="AV3771" s="1856" t="str">
        <f t="shared" si="600"/>
        <v/>
      </c>
      <c r="AW3771" s="1856" t="str">
        <f t="shared" si="601"/>
        <v/>
      </c>
      <c r="AX3771" s="1856" t="str">
        <f t="shared" si="602"/>
        <v/>
      </c>
      <c r="AY3771" s="1856" t="str">
        <f t="shared" si="603"/>
        <v/>
      </c>
    </row>
    <row r="3772" spans="42:51">
      <c r="AP3772" s="1855">
        <f t="shared" si="604"/>
        <v>44957</v>
      </c>
      <c r="AQ3772" s="925" t="str">
        <f t="shared" si="606"/>
        <v/>
      </c>
      <c r="AR3772" s="1856" t="str">
        <f t="shared" si="605"/>
        <v/>
      </c>
      <c r="AT3772" s="1856" t="str">
        <f t="shared" si="598"/>
        <v/>
      </c>
      <c r="AU3772" s="1856" t="str">
        <f t="shared" si="599"/>
        <v/>
      </c>
      <c r="AV3772" s="1856" t="str">
        <f t="shared" si="600"/>
        <v/>
      </c>
      <c r="AW3772" s="1856" t="str">
        <f t="shared" si="601"/>
        <v/>
      </c>
      <c r="AX3772" s="1856" t="str">
        <f t="shared" si="602"/>
        <v/>
      </c>
      <c r="AY3772" s="1856" t="str">
        <f t="shared" si="603"/>
        <v/>
      </c>
    </row>
    <row r="3773" spans="42:51">
      <c r="AP3773" s="1855">
        <f t="shared" si="604"/>
        <v>44957</v>
      </c>
      <c r="AQ3773" s="925" t="str">
        <f t="shared" si="606"/>
        <v/>
      </c>
      <c r="AR3773" s="1856" t="str">
        <f t="shared" si="605"/>
        <v/>
      </c>
      <c r="AT3773" s="1856" t="str">
        <f t="shared" si="598"/>
        <v/>
      </c>
      <c r="AU3773" s="1856" t="str">
        <f t="shared" si="599"/>
        <v/>
      </c>
      <c r="AV3773" s="1856" t="str">
        <f t="shared" si="600"/>
        <v/>
      </c>
      <c r="AW3773" s="1856" t="str">
        <f t="shared" si="601"/>
        <v/>
      </c>
      <c r="AX3773" s="1856" t="str">
        <f t="shared" si="602"/>
        <v/>
      </c>
      <c r="AY3773" s="1856" t="str">
        <f t="shared" si="603"/>
        <v/>
      </c>
    </row>
    <row r="3774" spans="42:51">
      <c r="AP3774" s="1855">
        <f t="shared" si="604"/>
        <v>44957</v>
      </c>
      <c r="AQ3774" s="925" t="str">
        <f t="shared" si="606"/>
        <v/>
      </c>
      <c r="AR3774" s="1856" t="str">
        <f t="shared" si="605"/>
        <v/>
      </c>
      <c r="AT3774" s="1856" t="str">
        <f t="shared" si="598"/>
        <v/>
      </c>
      <c r="AU3774" s="1856" t="str">
        <f t="shared" si="599"/>
        <v/>
      </c>
      <c r="AV3774" s="1856" t="str">
        <f t="shared" si="600"/>
        <v/>
      </c>
      <c r="AW3774" s="1856" t="str">
        <f t="shared" si="601"/>
        <v/>
      </c>
      <c r="AX3774" s="1856" t="str">
        <f t="shared" si="602"/>
        <v/>
      </c>
      <c r="AY3774" s="1856" t="str">
        <f t="shared" si="603"/>
        <v/>
      </c>
    </row>
    <row r="3775" spans="42:51">
      <c r="AP3775" s="1855">
        <f t="shared" si="604"/>
        <v>44957</v>
      </c>
      <c r="AQ3775" s="925" t="str">
        <f t="shared" si="606"/>
        <v/>
      </c>
      <c r="AR3775" s="1856" t="str">
        <f t="shared" si="605"/>
        <v/>
      </c>
      <c r="AT3775" s="1856" t="str">
        <f t="shared" si="598"/>
        <v/>
      </c>
      <c r="AU3775" s="1856" t="str">
        <f t="shared" si="599"/>
        <v/>
      </c>
      <c r="AV3775" s="1856" t="str">
        <f t="shared" si="600"/>
        <v/>
      </c>
      <c r="AW3775" s="1856" t="str">
        <f t="shared" si="601"/>
        <v/>
      </c>
      <c r="AX3775" s="1856" t="str">
        <f t="shared" si="602"/>
        <v/>
      </c>
      <c r="AY3775" s="1856" t="str">
        <f t="shared" si="603"/>
        <v/>
      </c>
    </row>
    <row r="3776" spans="42:51">
      <c r="AP3776" s="1855">
        <f t="shared" si="604"/>
        <v>44957</v>
      </c>
      <c r="AQ3776" s="925" t="str">
        <f t="shared" si="606"/>
        <v/>
      </c>
      <c r="AR3776" s="1856" t="str">
        <f t="shared" si="605"/>
        <v/>
      </c>
      <c r="AT3776" s="1856" t="str">
        <f t="shared" si="598"/>
        <v/>
      </c>
      <c r="AU3776" s="1856" t="str">
        <f t="shared" si="599"/>
        <v/>
      </c>
      <c r="AV3776" s="1856" t="str">
        <f t="shared" si="600"/>
        <v/>
      </c>
      <c r="AW3776" s="1856" t="str">
        <f t="shared" si="601"/>
        <v/>
      </c>
      <c r="AX3776" s="1856" t="str">
        <f t="shared" si="602"/>
        <v/>
      </c>
      <c r="AY3776" s="1856" t="str">
        <f t="shared" si="603"/>
        <v/>
      </c>
    </row>
    <row r="3777" spans="42:51">
      <c r="AP3777" s="1855">
        <f t="shared" si="604"/>
        <v>44957</v>
      </c>
      <c r="AQ3777" s="925" t="str">
        <f t="shared" si="606"/>
        <v/>
      </c>
      <c r="AR3777" s="1856" t="str">
        <f t="shared" si="605"/>
        <v/>
      </c>
      <c r="AT3777" s="1856" t="str">
        <f t="shared" si="598"/>
        <v/>
      </c>
      <c r="AU3777" s="1856" t="str">
        <f t="shared" si="599"/>
        <v/>
      </c>
      <c r="AV3777" s="1856" t="str">
        <f t="shared" si="600"/>
        <v/>
      </c>
      <c r="AW3777" s="1856" t="str">
        <f t="shared" si="601"/>
        <v/>
      </c>
      <c r="AX3777" s="1856" t="str">
        <f t="shared" si="602"/>
        <v/>
      </c>
      <c r="AY3777" s="1856" t="str">
        <f t="shared" si="603"/>
        <v/>
      </c>
    </row>
    <row r="3778" spans="42:51">
      <c r="AP3778" s="1855">
        <f t="shared" si="604"/>
        <v>44957</v>
      </c>
      <c r="AQ3778" s="925" t="str">
        <f t="shared" si="606"/>
        <v/>
      </c>
      <c r="AR3778" s="1856" t="str">
        <f t="shared" si="605"/>
        <v/>
      </c>
      <c r="AT3778" s="1856" t="str">
        <f t="shared" si="598"/>
        <v/>
      </c>
      <c r="AU3778" s="1856" t="str">
        <f t="shared" si="599"/>
        <v/>
      </c>
      <c r="AV3778" s="1856" t="str">
        <f t="shared" si="600"/>
        <v/>
      </c>
      <c r="AW3778" s="1856" t="str">
        <f t="shared" si="601"/>
        <v/>
      </c>
      <c r="AX3778" s="1856" t="str">
        <f t="shared" si="602"/>
        <v/>
      </c>
      <c r="AY3778" s="1856" t="str">
        <f t="shared" si="603"/>
        <v/>
      </c>
    </row>
    <row r="3779" spans="42:51">
      <c r="AP3779" s="1855">
        <f t="shared" si="604"/>
        <v>44957</v>
      </c>
      <c r="AQ3779" s="925" t="str">
        <f t="shared" si="606"/>
        <v/>
      </c>
      <c r="AR3779" s="1856" t="str">
        <f t="shared" si="605"/>
        <v/>
      </c>
      <c r="AT3779" s="1856" t="str">
        <f t="shared" si="598"/>
        <v/>
      </c>
      <c r="AU3779" s="1856" t="str">
        <f t="shared" si="599"/>
        <v/>
      </c>
      <c r="AV3779" s="1856" t="str">
        <f t="shared" si="600"/>
        <v/>
      </c>
      <c r="AW3779" s="1856" t="str">
        <f t="shared" si="601"/>
        <v/>
      </c>
      <c r="AX3779" s="1856" t="str">
        <f t="shared" si="602"/>
        <v/>
      </c>
      <c r="AY3779" s="1856" t="str">
        <f t="shared" si="603"/>
        <v/>
      </c>
    </row>
    <row r="3780" spans="42:51">
      <c r="AP3780" s="1855">
        <f t="shared" si="604"/>
        <v>44957</v>
      </c>
      <c r="AQ3780" s="925" t="str">
        <f t="shared" si="606"/>
        <v/>
      </c>
      <c r="AR3780" s="1856" t="str">
        <f t="shared" si="605"/>
        <v/>
      </c>
      <c r="AT3780" s="1856" t="str">
        <f t="shared" si="598"/>
        <v/>
      </c>
      <c r="AU3780" s="1856" t="str">
        <f t="shared" si="599"/>
        <v/>
      </c>
      <c r="AV3780" s="1856" t="str">
        <f t="shared" si="600"/>
        <v/>
      </c>
      <c r="AW3780" s="1856" t="str">
        <f t="shared" si="601"/>
        <v/>
      </c>
      <c r="AX3780" s="1856" t="str">
        <f t="shared" si="602"/>
        <v/>
      </c>
      <c r="AY3780" s="1856" t="str">
        <f t="shared" si="603"/>
        <v/>
      </c>
    </row>
    <row r="3781" spans="42:51">
      <c r="AP3781" s="1855">
        <f t="shared" si="604"/>
        <v>44957</v>
      </c>
      <c r="AQ3781" s="925" t="str">
        <f t="shared" si="606"/>
        <v/>
      </c>
      <c r="AR3781" s="1856" t="str">
        <f t="shared" si="605"/>
        <v/>
      </c>
      <c r="AT3781" s="1856" t="str">
        <f t="shared" si="598"/>
        <v/>
      </c>
      <c r="AU3781" s="1856" t="str">
        <f t="shared" si="599"/>
        <v/>
      </c>
      <c r="AV3781" s="1856" t="str">
        <f t="shared" si="600"/>
        <v/>
      </c>
      <c r="AW3781" s="1856" t="str">
        <f t="shared" si="601"/>
        <v/>
      </c>
      <c r="AX3781" s="1856" t="str">
        <f t="shared" si="602"/>
        <v/>
      </c>
      <c r="AY3781" s="1856" t="str">
        <f t="shared" si="603"/>
        <v/>
      </c>
    </row>
    <row r="3782" spans="42:51">
      <c r="AP3782" s="1855">
        <f t="shared" si="604"/>
        <v>44957</v>
      </c>
      <c r="AQ3782" s="925" t="str">
        <f t="shared" si="606"/>
        <v/>
      </c>
      <c r="AR3782" s="1856" t="str">
        <f t="shared" si="605"/>
        <v/>
      </c>
      <c r="AT3782" s="1856" t="str">
        <f t="shared" si="598"/>
        <v/>
      </c>
      <c r="AU3782" s="1856" t="str">
        <f t="shared" si="599"/>
        <v/>
      </c>
      <c r="AV3782" s="1856" t="str">
        <f t="shared" si="600"/>
        <v/>
      </c>
      <c r="AW3782" s="1856" t="str">
        <f t="shared" si="601"/>
        <v/>
      </c>
      <c r="AX3782" s="1856" t="str">
        <f t="shared" si="602"/>
        <v/>
      </c>
      <c r="AY3782" s="1856" t="str">
        <f t="shared" si="603"/>
        <v/>
      </c>
    </row>
    <row r="3783" spans="42:51">
      <c r="AP3783" s="1855">
        <f t="shared" si="604"/>
        <v>44957</v>
      </c>
      <c r="AQ3783" s="925" t="str">
        <f t="shared" si="606"/>
        <v/>
      </c>
      <c r="AR3783" s="1856" t="str">
        <f t="shared" si="605"/>
        <v/>
      </c>
      <c r="AT3783" s="1856" t="str">
        <f t="shared" si="598"/>
        <v/>
      </c>
      <c r="AU3783" s="1856" t="str">
        <f t="shared" si="599"/>
        <v/>
      </c>
      <c r="AV3783" s="1856" t="str">
        <f t="shared" si="600"/>
        <v/>
      </c>
      <c r="AW3783" s="1856" t="str">
        <f t="shared" si="601"/>
        <v/>
      </c>
      <c r="AX3783" s="1856" t="str">
        <f t="shared" si="602"/>
        <v/>
      </c>
      <c r="AY3783" s="1856" t="str">
        <f t="shared" si="603"/>
        <v/>
      </c>
    </row>
    <row r="3784" spans="42:51">
      <c r="AP3784" s="1855">
        <f t="shared" si="604"/>
        <v>44957</v>
      </c>
      <c r="AQ3784" s="925" t="str">
        <f t="shared" si="606"/>
        <v/>
      </c>
      <c r="AR3784" s="1856" t="str">
        <f t="shared" si="605"/>
        <v/>
      </c>
      <c r="AT3784" s="1856" t="str">
        <f t="shared" si="598"/>
        <v/>
      </c>
      <c r="AU3784" s="1856" t="str">
        <f t="shared" si="599"/>
        <v/>
      </c>
      <c r="AV3784" s="1856" t="str">
        <f t="shared" si="600"/>
        <v/>
      </c>
      <c r="AW3784" s="1856" t="str">
        <f t="shared" si="601"/>
        <v/>
      </c>
      <c r="AX3784" s="1856" t="str">
        <f t="shared" si="602"/>
        <v/>
      </c>
      <c r="AY3784" s="1856" t="str">
        <f t="shared" si="603"/>
        <v/>
      </c>
    </row>
    <row r="3785" spans="42:51">
      <c r="AP3785" s="1855">
        <f t="shared" si="604"/>
        <v>44957</v>
      </c>
      <c r="AQ3785" s="925" t="str">
        <f t="shared" si="606"/>
        <v/>
      </c>
      <c r="AR3785" s="1856" t="str">
        <f t="shared" si="605"/>
        <v/>
      </c>
      <c r="AT3785" s="1856" t="str">
        <f t="shared" si="598"/>
        <v/>
      </c>
      <c r="AU3785" s="1856" t="str">
        <f t="shared" si="599"/>
        <v/>
      </c>
      <c r="AV3785" s="1856" t="str">
        <f t="shared" si="600"/>
        <v/>
      </c>
      <c r="AW3785" s="1856" t="str">
        <f t="shared" si="601"/>
        <v/>
      </c>
      <c r="AX3785" s="1856" t="str">
        <f t="shared" si="602"/>
        <v/>
      </c>
      <c r="AY3785" s="1856" t="str">
        <f t="shared" si="603"/>
        <v/>
      </c>
    </row>
    <row r="3786" spans="42:51">
      <c r="AP3786" s="1855">
        <f t="shared" si="604"/>
        <v>44957</v>
      </c>
      <c r="AQ3786" s="925" t="str">
        <f t="shared" si="606"/>
        <v/>
      </c>
      <c r="AR3786" s="1856" t="str">
        <f t="shared" si="605"/>
        <v/>
      </c>
      <c r="AT3786" s="1856" t="str">
        <f t="shared" si="598"/>
        <v/>
      </c>
      <c r="AU3786" s="1856" t="str">
        <f t="shared" si="599"/>
        <v/>
      </c>
      <c r="AV3786" s="1856" t="str">
        <f t="shared" si="600"/>
        <v/>
      </c>
      <c r="AW3786" s="1856" t="str">
        <f t="shared" si="601"/>
        <v/>
      </c>
      <c r="AX3786" s="1856" t="str">
        <f t="shared" si="602"/>
        <v/>
      </c>
      <c r="AY3786" s="1856" t="str">
        <f t="shared" si="603"/>
        <v/>
      </c>
    </row>
    <row r="3787" spans="42:51">
      <c r="AP3787" s="1855">
        <f t="shared" si="604"/>
        <v>44957</v>
      </c>
      <c r="AQ3787" s="925" t="str">
        <f t="shared" si="606"/>
        <v/>
      </c>
      <c r="AR3787" s="1856" t="str">
        <f t="shared" si="605"/>
        <v/>
      </c>
      <c r="AT3787" s="1856" t="str">
        <f t="shared" si="598"/>
        <v/>
      </c>
      <c r="AU3787" s="1856" t="str">
        <f t="shared" si="599"/>
        <v/>
      </c>
      <c r="AV3787" s="1856" t="str">
        <f t="shared" si="600"/>
        <v/>
      </c>
      <c r="AW3787" s="1856" t="str">
        <f t="shared" si="601"/>
        <v/>
      </c>
      <c r="AX3787" s="1856" t="str">
        <f t="shared" si="602"/>
        <v/>
      </c>
      <c r="AY3787" s="1856" t="str">
        <f t="shared" si="603"/>
        <v/>
      </c>
    </row>
    <row r="3788" spans="42:51">
      <c r="AP3788" s="1855">
        <f t="shared" si="604"/>
        <v>44957</v>
      </c>
      <c r="AQ3788" s="925" t="str">
        <f t="shared" si="606"/>
        <v/>
      </c>
      <c r="AR3788" s="1856" t="str">
        <f t="shared" si="605"/>
        <v/>
      </c>
      <c r="AT3788" s="1856" t="str">
        <f t="shared" si="598"/>
        <v/>
      </c>
      <c r="AU3788" s="1856" t="str">
        <f t="shared" si="599"/>
        <v/>
      </c>
      <c r="AV3788" s="1856" t="str">
        <f t="shared" si="600"/>
        <v/>
      </c>
      <c r="AW3788" s="1856" t="str">
        <f t="shared" si="601"/>
        <v/>
      </c>
      <c r="AX3788" s="1856" t="str">
        <f t="shared" si="602"/>
        <v/>
      </c>
      <c r="AY3788" s="1856" t="str">
        <f t="shared" si="603"/>
        <v/>
      </c>
    </row>
    <row r="3789" spans="42:51">
      <c r="AP3789" s="1855">
        <f t="shared" si="604"/>
        <v>44957</v>
      </c>
      <c r="AQ3789" s="925" t="str">
        <f t="shared" si="606"/>
        <v/>
      </c>
      <c r="AR3789" s="1856" t="str">
        <f t="shared" si="605"/>
        <v/>
      </c>
      <c r="AT3789" s="1856" t="str">
        <f t="shared" si="598"/>
        <v/>
      </c>
      <c r="AU3789" s="1856" t="str">
        <f t="shared" si="599"/>
        <v/>
      </c>
      <c r="AV3789" s="1856" t="str">
        <f t="shared" si="600"/>
        <v/>
      </c>
      <c r="AW3789" s="1856" t="str">
        <f t="shared" si="601"/>
        <v/>
      </c>
      <c r="AX3789" s="1856" t="str">
        <f t="shared" si="602"/>
        <v/>
      </c>
      <c r="AY3789" s="1856" t="str">
        <f t="shared" si="603"/>
        <v/>
      </c>
    </row>
    <row r="3790" spans="42:51">
      <c r="AP3790" s="1855">
        <f t="shared" si="604"/>
        <v>44957</v>
      </c>
      <c r="AQ3790" s="925" t="str">
        <f t="shared" si="606"/>
        <v/>
      </c>
      <c r="AR3790" s="1856" t="str">
        <f t="shared" si="605"/>
        <v/>
      </c>
      <c r="AT3790" s="1856" t="str">
        <f t="shared" si="598"/>
        <v/>
      </c>
      <c r="AU3790" s="1856" t="str">
        <f t="shared" si="599"/>
        <v/>
      </c>
      <c r="AV3790" s="1856" t="str">
        <f t="shared" si="600"/>
        <v/>
      </c>
      <c r="AW3790" s="1856" t="str">
        <f t="shared" si="601"/>
        <v/>
      </c>
      <c r="AX3790" s="1856" t="str">
        <f t="shared" si="602"/>
        <v/>
      </c>
      <c r="AY3790" s="1856" t="str">
        <f t="shared" si="603"/>
        <v/>
      </c>
    </row>
    <row r="3791" spans="42:51">
      <c r="AP3791" s="1855">
        <f t="shared" si="604"/>
        <v>44957</v>
      </c>
      <c r="AQ3791" s="925" t="str">
        <f t="shared" si="606"/>
        <v/>
      </c>
      <c r="AR3791" s="1856" t="str">
        <f t="shared" si="605"/>
        <v/>
      </c>
      <c r="AT3791" s="1856" t="str">
        <f t="shared" si="598"/>
        <v/>
      </c>
      <c r="AU3791" s="1856" t="str">
        <f t="shared" si="599"/>
        <v/>
      </c>
      <c r="AV3791" s="1856" t="str">
        <f t="shared" si="600"/>
        <v/>
      </c>
      <c r="AW3791" s="1856" t="str">
        <f t="shared" si="601"/>
        <v/>
      </c>
      <c r="AX3791" s="1856" t="str">
        <f t="shared" si="602"/>
        <v/>
      </c>
      <c r="AY3791" s="1856" t="str">
        <f t="shared" si="603"/>
        <v/>
      </c>
    </row>
    <row r="3792" spans="42:51">
      <c r="AP3792" s="1855">
        <f t="shared" si="604"/>
        <v>44957</v>
      </c>
      <c r="AQ3792" s="925" t="str">
        <f t="shared" si="606"/>
        <v/>
      </c>
      <c r="AR3792" s="1856" t="str">
        <f t="shared" si="605"/>
        <v/>
      </c>
      <c r="AT3792" s="1856" t="str">
        <f t="shared" si="598"/>
        <v/>
      </c>
      <c r="AU3792" s="1856" t="str">
        <f t="shared" si="599"/>
        <v/>
      </c>
      <c r="AV3792" s="1856" t="str">
        <f t="shared" si="600"/>
        <v/>
      </c>
      <c r="AW3792" s="1856" t="str">
        <f t="shared" si="601"/>
        <v/>
      </c>
      <c r="AX3792" s="1856" t="str">
        <f t="shared" si="602"/>
        <v/>
      </c>
      <c r="AY3792" s="1856" t="str">
        <f t="shared" si="603"/>
        <v/>
      </c>
    </row>
    <row r="3793" spans="42:51">
      <c r="AP3793" s="1855">
        <f t="shared" si="604"/>
        <v>44957</v>
      </c>
      <c r="AQ3793" s="925" t="str">
        <f t="shared" si="606"/>
        <v/>
      </c>
      <c r="AR3793" s="1856" t="str">
        <f t="shared" si="605"/>
        <v/>
      </c>
      <c r="AT3793" s="1856" t="str">
        <f t="shared" si="598"/>
        <v/>
      </c>
      <c r="AU3793" s="1856" t="str">
        <f t="shared" si="599"/>
        <v/>
      </c>
      <c r="AV3793" s="1856" t="str">
        <f t="shared" si="600"/>
        <v/>
      </c>
      <c r="AW3793" s="1856" t="str">
        <f t="shared" si="601"/>
        <v/>
      </c>
      <c r="AX3793" s="1856" t="str">
        <f t="shared" si="602"/>
        <v/>
      </c>
      <c r="AY3793" s="1856" t="str">
        <f t="shared" si="603"/>
        <v/>
      </c>
    </row>
    <row r="3794" spans="42:51">
      <c r="AP3794" s="1855">
        <f t="shared" si="604"/>
        <v>44957</v>
      </c>
      <c r="AQ3794" s="925" t="str">
        <f t="shared" si="606"/>
        <v/>
      </c>
      <c r="AR3794" s="1856" t="str">
        <f t="shared" si="605"/>
        <v/>
      </c>
      <c r="AT3794" s="1856" t="str">
        <f t="shared" si="598"/>
        <v/>
      </c>
      <c r="AU3794" s="1856" t="str">
        <f t="shared" si="599"/>
        <v/>
      </c>
      <c r="AV3794" s="1856" t="str">
        <f t="shared" si="600"/>
        <v/>
      </c>
      <c r="AW3794" s="1856" t="str">
        <f t="shared" si="601"/>
        <v/>
      </c>
      <c r="AX3794" s="1856" t="str">
        <f t="shared" si="602"/>
        <v/>
      </c>
      <c r="AY3794" s="1856" t="str">
        <f t="shared" si="603"/>
        <v/>
      </c>
    </row>
    <row r="3795" spans="42:51">
      <c r="AP3795" s="1855">
        <f t="shared" si="604"/>
        <v>44957</v>
      </c>
      <c r="AQ3795" s="925" t="str">
        <f t="shared" si="606"/>
        <v/>
      </c>
      <c r="AR3795" s="1856" t="str">
        <f t="shared" si="605"/>
        <v/>
      </c>
      <c r="AT3795" s="1856" t="str">
        <f t="shared" si="598"/>
        <v/>
      </c>
      <c r="AU3795" s="1856" t="str">
        <f t="shared" si="599"/>
        <v/>
      </c>
      <c r="AV3795" s="1856" t="str">
        <f t="shared" si="600"/>
        <v/>
      </c>
      <c r="AW3795" s="1856" t="str">
        <f t="shared" si="601"/>
        <v/>
      </c>
      <c r="AX3795" s="1856" t="str">
        <f t="shared" si="602"/>
        <v/>
      </c>
      <c r="AY3795" s="1856" t="str">
        <f t="shared" si="603"/>
        <v/>
      </c>
    </row>
    <row r="3796" spans="42:51">
      <c r="AP3796" s="1855">
        <f t="shared" si="604"/>
        <v>44957</v>
      </c>
      <c r="AQ3796" s="925" t="str">
        <f t="shared" si="606"/>
        <v/>
      </c>
      <c r="AR3796" s="1856" t="str">
        <f t="shared" si="605"/>
        <v/>
      </c>
      <c r="AT3796" s="1856" t="str">
        <f t="shared" si="598"/>
        <v/>
      </c>
      <c r="AU3796" s="1856" t="str">
        <f t="shared" si="599"/>
        <v/>
      </c>
      <c r="AV3796" s="1856" t="str">
        <f t="shared" si="600"/>
        <v/>
      </c>
      <c r="AW3796" s="1856" t="str">
        <f t="shared" si="601"/>
        <v/>
      </c>
      <c r="AX3796" s="1856" t="str">
        <f t="shared" si="602"/>
        <v/>
      </c>
      <c r="AY3796" s="1856" t="str">
        <f t="shared" si="603"/>
        <v/>
      </c>
    </row>
    <row r="3797" spans="42:51">
      <c r="AP3797" s="1855">
        <f t="shared" si="604"/>
        <v>44957</v>
      </c>
      <c r="AQ3797" s="925" t="str">
        <f t="shared" si="606"/>
        <v/>
      </c>
      <c r="AR3797" s="1856" t="str">
        <f t="shared" si="605"/>
        <v/>
      </c>
      <c r="AT3797" s="1856" t="str">
        <f t="shared" si="598"/>
        <v/>
      </c>
      <c r="AU3797" s="1856" t="str">
        <f t="shared" si="599"/>
        <v/>
      </c>
      <c r="AV3797" s="1856" t="str">
        <f t="shared" si="600"/>
        <v/>
      </c>
      <c r="AW3797" s="1856" t="str">
        <f t="shared" si="601"/>
        <v/>
      </c>
      <c r="AX3797" s="1856" t="str">
        <f t="shared" si="602"/>
        <v/>
      </c>
      <c r="AY3797" s="1856" t="str">
        <f t="shared" si="603"/>
        <v/>
      </c>
    </row>
    <row r="3798" spans="42:51">
      <c r="AP3798" s="1855">
        <f t="shared" si="604"/>
        <v>44957</v>
      </c>
      <c r="AQ3798" s="925" t="str">
        <f t="shared" si="606"/>
        <v/>
      </c>
      <c r="AR3798" s="1856" t="str">
        <f t="shared" si="605"/>
        <v/>
      </c>
      <c r="AT3798" s="1856" t="str">
        <f t="shared" si="598"/>
        <v/>
      </c>
      <c r="AU3798" s="1856" t="str">
        <f t="shared" si="599"/>
        <v/>
      </c>
      <c r="AV3798" s="1856" t="str">
        <f t="shared" si="600"/>
        <v/>
      </c>
      <c r="AW3798" s="1856" t="str">
        <f t="shared" si="601"/>
        <v/>
      </c>
      <c r="AX3798" s="1856" t="str">
        <f t="shared" si="602"/>
        <v/>
      </c>
      <c r="AY3798" s="1856" t="str">
        <f t="shared" si="603"/>
        <v/>
      </c>
    </row>
    <row r="3799" spans="42:51">
      <c r="AP3799" s="1855">
        <f t="shared" si="604"/>
        <v>44957</v>
      </c>
      <c r="AQ3799" s="925" t="str">
        <f t="shared" si="606"/>
        <v/>
      </c>
      <c r="AR3799" s="1856" t="str">
        <f t="shared" si="605"/>
        <v/>
      </c>
      <c r="AT3799" s="1856" t="str">
        <f t="shared" si="598"/>
        <v/>
      </c>
      <c r="AU3799" s="1856" t="str">
        <f t="shared" si="599"/>
        <v/>
      </c>
      <c r="AV3799" s="1856" t="str">
        <f t="shared" si="600"/>
        <v/>
      </c>
      <c r="AW3799" s="1856" t="str">
        <f t="shared" si="601"/>
        <v/>
      </c>
      <c r="AX3799" s="1856" t="str">
        <f t="shared" si="602"/>
        <v/>
      </c>
      <c r="AY3799" s="1856" t="str">
        <f t="shared" si="603"/>
        <v/>
      </c>
    </row>
    <row r="3800" spans="42:51">
      <c r="AP3800" s="1855">
        <f t="shared" si="604"/>
        <v>44957</v>
      </c>
      <c r="AQ3800" s="925" t="str">
        <f t="shared" si="606"/>
        <v/>
      </c>
      <c r="AR3800" s="1856" t="str">
        <f t="shared" si="605"/>
        <v/>
      </c>
      <c r="AT3800" s="1856" t="str">
        <f t="shared" si="598"/>
        <v/>
      </c>
      <c r="AU3800" s="1856" t="str">
        <f t="shared" si="599"/>
        <v/>
      </c>
      <c r="AV3800" s="1856" t="str">
        <f t="shared" si="600"/>
        <v/>
      </c>
      <c r="AW3800" s="1856" t="str">
        <f t="shared" si="601"/>
        <v/>
      </c>
      <c r="AX3800" s="1856" t="str">
        <f t="shared" si="602"/>
        <v/>
      </c>
      <c r="AY3800" s="1856" t="str">
        <f t="shared" si="603"/>
        <v/>
      </c>
    </row>
    <row r="3801" spans="42:51">
      <c r="AP3801" s="1855">
        <f t="shared" si="604"/>
        <v>44957</v>
      </c>
      <c r="AQ3801" s="925" t="str">
        <f t="shared" si="606"/>
        <v/>
      </c>
      <c r="AR3801" s="1856" t="str">
        <f t="shared" si="605"/>
        <v/>
      </c>
      <c r="AT3801" s="1856" t="str">
        <f t="shared" si="598"/>
        <v/>
      </c>
      <c r="AU3801" s="1856" t="str">
        <f t="shared" si="599"/>
        <v/>
      </c>
      <c r="AV3801" s="1856" t="str">
        <f t="shared" si="600"/>
        <v/>
      </c>
      <c r="AW3801" s="1856" t="str">
        <f t="shared" si="601"/>
        <v/>
      </c>
      <c r="AX3801" s="1856" t="str">
        <f t="shared" si="602"/>
        <v/>
      </c>
      <c r="AY3801" s="1856" t="str">
        <f t="shared" si="603"/>
        <v/>
      </c>
    </row>
    <row r="3802" spans="42:51">
      <c r="AP3802" s="1855">
        <f t="shared" si="604"/>
        <v>44957</v>
      </c>
      <c r="AQ3802" s="925" t="str">
        <f t="shared" si="606"/>
        <v/>
      </c>
      <c r="AR3802" s="1856" t="str">
        <f t="shared" si="605"/>
        <v/>
      </c>
      <c r="AT3802" s="1856" t="str">
        <f t="shared" si="598"/>
        <v/>
      </c>
      <c r="AU3802" s="1856" t="str">
        <f t="shared" si="599"/>
        <v/>
      </c>
      <c r="AV3802" s="1856" t="str">
        <f t="shared" si="600"/>
        <v/>
      </c>
      <c r="AW3802" s="1856" t="str">
        <f t="shared" si="601"/>
        <v/>
      </c>
      <c r="AX3802" s="1856" t="str">
        <f t="shared" si="602"/>
        <v/>
      </c>
      <c r="AY3802" s="1856" t="str">
        <f t="shared" si="603"/>
        <v/>
      </c>
    </row>
    <row r="3803" spans="42:51">
      <c r="AP3803" s="1855">
        <f t="shared" si="604"/>
        <v>44957</v>
      </c>
      <c r="AQ3803" s="925" t="str">
        <f t="shared" si="606"/>
        <v/>
      </c>
      <c r="AR3803" s="1856" t="str">
        <f t="shared" si="605"/>
        <v/>
      </c>
      <c r="AT3803" s="1856" t="str">
        <f t="shared" si="598"/>
        <v/>
      </c>
      <c r="AU3803" s="1856" t="str">
        <f t="shared" si="599"/>
        <v/>
      </c>
      <c r="AV3803" s="1856" t="str">
        <f t="shared" si="600"/>
        <v/>
      </c>
      <c r="AW3803" s="1856" t="str">
        <f t="shared" si="601"/>
        <v/>
      </c>
      <c r="AX3803" s="1856" t="str">
        <f t="shared" si="602"/>
        <v/>
      </c>
      <c r="AY3803" s="1856" t="str">
        <f t="shared" si="603"/>
        <v/>
      </c>
    </row>
    <row r="3804" spans="42:51">
      <c r="AP3804" s="1855">
        <f t="shared" si="604"/>
        <v>44957</v>
      </c>
      <c r="AQ3804" s="925" t="str">
        <f t="shared" si="606"/>
        <v/>
      </c>
      <c r="AR3804" s="1856" t="str">
        <f t="shared" si="605"/>
        <v/>
      </c>
      <c r="AT3804" s="1856" t="str">
        <f t="shared" ref="AT3804:AT3867" si="607">IF(ISNUMBER(AS3804),INDEX(AR3805:AR3815,MATCH($AT$27,AQ3805:AQ3815,0)),"")</f>
        <v/>
      </c>
      <c r="AU3804" s="1856" t="str">
        <f t="shared" ref="AU3804:AU3867" si="608">IF(AT3804="","",INDEX(AR3805:AR3815,MATCH($AU$27,AQ3805:AQ3815,0)))</f>
        <v/>
      </c>
      <c r="AV3804" s="1856" t="str">
        <f t="shared" ref="AV3804:AV3867" si="609">IF(AT3804="","",INDEX(AR3805:AR3815,MATCH($AV$27,AQ3805:AQ3815,0)))</f>
        <v/>
      </c>
      <c r="AW3804" s="1856" t="str">
        <f t="shared" ref="AW3804:AW3867" si="610">IF(AT3804="","",INDEX(AR3805:AR3815,MATCH($AW$27,AQ3805:AQ3815,0)))</f>
        <v/>
      </c>
      <c r="AX3804" s="1856" t="str">
        <f t="shared" ref="AX3804:AX3867" si="611">IF(AT3804="","",INDEX(AR3805:AR3815,MATCH($AX$27,AQ3805:AQ3815,0)))</f>
        <v/>
      </c>
      <c r="AY3804" s="1856" t="str">
        <f t="shared" ref="AY3804:AY3867" si="612">IF(AT3804="","",INDEX(AR3805:AR3815,MATCH($AY$27,AQ3805:AQ3815,0)))</f>
        <v/>
      </c>
    </row>
    <row r="3805" spans="42:51">
      <c r="AP3805" s="1855">
        <f t="shared" si="604"/>
        <v>44957</v>
      </c>
      <c r="AQ3805" s="925" t="str">
        <f t="shared" si="606"/>
        <v/>
      </c>
      <c r="AR3805" s="1856" t="str">
        <f t="shared" si="605"/>
        <v/>
      </c>
      <c r="AT3805" s="1856" t="str">
        <f t="shared" si="607"/>
        <v/>
      </c>
      <c r="AU3805" s="1856" t="str">
        <f t="shared" si="608"/>
        <v/>
      </c>
      <c r="AV3805" s="1856" t="str">
        <f t="shared" si="609"/>
        <v/>
      </c>
      <c r="AW3805" s="1856" t="str">
        <f t="shared" si="610"/>
        <v/>
      </c>
      <c r="AX3805" s="1856" t="str">
        <f t="shared" si="611"/>
        <v/>
      </c>
      <c r="AY3805" s="1856" t="str">
        <f t="shared" si="612"/>
        <v/>
      </c>
    </row>
    <row r="3806" spans="42:51">
      <c r="AP3806" s="1855">
        <f t="shared" si="604"/>
        <v>44957</v>
      </c>
      <c r="AQ3806" s="925" t="str">
        <f t="shared" si="606"/>
        <v/>
      </c>
      <c r="AR3806" s="1856" t="str">
        <f t="shared" si="605"/>
        <v/>
      </c>
      <c r="AT3806" s="1856" t="str">
        <f t="shared" si="607"/>
        <v/>
      </c>
      <c r="AU3806" s="1856" t="str">
        <f t="shared" si="608"/>
        <v/>
      </c>
      <c r="AV3806" s="1856" t="str">
        <f t="shared" si="609"/>
        <v/>
      </c>
      <c r="AW3806" s="1856" t="str">
        <f t="shared" si="610"/>
        <v/>
      </c>
      <c r="AX3806" s="1856" t="str">
        <f t="shared" si="611"/>
        <v/>
      </c>
      <c r="AY3806" s="1856" t="str">
        <f t="shared" si="612"/>
        <v/>
      </c>
    </row>
    <row r="3807" spans="42:51">
      <c r="AP3807" s="1855">
        <f t="shared" si="604"/>
        <v>44957</v>
      </c>
      <c r="AQ3807" s="925" t="str">
        <f t="shared" si="606"/>
        <v/>
      </c>
      <c r="AR3807" s="1856" t="str">
        <f t="shared" si="605"/>
        <v/>
      </c>
      <c r="AT3807" s="1856" t="str">
        <f t="shared" si="607"/>
        <v/>
      </c>
      <c r="AU3807" s="1856" t="str">
        <f t="shared" si="608"/>
        <v/>
      </c>
      <c r="AV3807" s="1856" t="str">
        <f t="shared" si="609"/>
        <v/>
      </c>
      <c r="AW3807" s="1856" t="str">
        <f t="shared" si="610"/>
        <v/>
      </c>
      <c r="AX3807" s="1856" t="str">
        <f t="shared" si="611"/>
        <v/>
      </c>
      <c r="AY3807" s="1856" t="str">
        <f t="shared" si="612"/>
        <v/>
      </c>
    </row>
    <row r="3808" spans="42:51">
      <c r="AP3808" s="1855">
        <f t="shared" si="604"/>
        <v>44957</v>
      </c>
      <c r="AQ3808" s="925" t="str">
        <f t="shared" si="606"/>
        <v/>
      </c>
      <c r="AR3808" s="1856" t="str">
        <f t="shared" si="605"/>
        <v/>
      </c>
      <c r="AT3808" s="1856" t="str">
        <f t="shared" si="607"/>
        <v/>
      </c>
      <c r="AU3808" s="1856" t="str">
        <f t="shared" si="608"/>
        <v/>
      </c>
      <c r="AV3808" s="1856" t="str">
        <f t="shared" si="609"/>
        <v/>
      </c>
      <c r="AW3808" s="1856" t="str">
        <f t="shared" si="610"/>
        <v/>
      </c>
      <c r="AX3808" s="1856" t="str">
        <f t="shared" si="611"/>
        <v/>
      </c>
      <c r="AY3808" s="1856" t="str">
        <f t="shared" si="612"/>
        <v/>
      </c>
    </row>
    <row r="3809" spans="42:51">
      <c r="AP3809" s="1855">
        <f t="shared" si="604"/>
        <v>44957</v>
      </c>
      <c r="AQ3809" s="925" t="str">
        <f t="shared" si="606"/>
        <v/>
      </c>
      <c r="AR3809" s="1856" t="str">
        <f t="shared" si="605"/>
        <v/>
      </c>
      <c r="AT3809" s="1856" t="str">
        <f t="shared" si="607"/>
        <v/>
      </c>
      <c r="AU3809" s="1856" t="str">
        <f t="shared" si="608"/>
        <v/>
      </c>
      <c r="AV3809" s="1856" t="str">
        <f t="shared" si="609"/>
        <v/>
      </c>
      <c r="AW3809" s="1856" t="str">
        <f t="shared" si="610"/>
        <v/>
      </c>
      <c r="AX3809" s="1856" t="str">
        <f t="shared" si="611"/>
        <v/>
      </c>
      <c r="AY3809" s="1856" t="str">
        <f t="shared" si="612"/>
        <v/>
      </c>
    </row>
    <row r="3810" spans="42:51">
      <c r="AP3810" s="1855">
        <f t="shared" si="604"/>
        <v>44957</v>
      </c>
      <c r="AQ3810" s="925" t="str">
        <f t="shared" si="606"/>
        <v/>
      </c>
      <c r="AR3810" s="1856" t="str">
        <f t="shared" si="605"/>
        <v/>
      </c>
      <c r="AT3810" s="1856" t="str">
        <f t="shared" si="607"/>
        <v/>
      </c>
      <c r="AU3810" s="1856" t="str">
        <f t="shared" si="608"/>
        <v/>
      </c>
      <c r="AV3810" s="1856" t="str">
        <f t="shared" si="609"/>
        <v/>
      </c>
      <c r="AW3810" s="1856" t="str">
        <f t="shared" si="610"/>
        <v/>
      </c>
      <c r="AX3810" s="1856" t="str">
        <f t="shared" si="611"/>
        <v/>
      </c>
      <c r="AY3810" s="1856" t="str">
        <f t="shared" si="612"/>
        <v/>
      </c>
    </row>
    <row r="3811" spans="42:51">
      <c r="AP3811" s="1855">
        <f t="shared" si="604"/>
        <v>44957</v>
      </c>
      <c r="AQ3811" s="925" t="str">
        <f t="shared" si="606"/>
        <v/>
      </c>
      <c r="AR3811" s="1856" t="str">
        <f t="shared" si="605"/>
        <v/>
      </c>
      <c r="AT3811" s="1856" t="str">
        <f t="shared" si="607"/>
        <v/>
      </c>
      <c r="AU3811" s="1856" t="str">
        <f t="shared" si="608"/>
        <v/>
      </c>
      <c r="AV3811" s="1856" t="str">
        <f t="shared" si="609"/>
        <v/>
      </c>
      <c r="AW3811" s="1856" t="str">
        <f t="shared" si="610"/>
        <v/>
      </c>
      <c r="AX3811" s="1856" t="str">
        <f t="shared" si="611"/>
        <v/>
      </c>
      <c r="AY3811" s="1856" t="str">
        <f t="shared" si="612"/>
        <v/>
      </c>
    </row>
    <row r="3812" spans="42:51">
      <c r="AP3812" s="1855">
        <f t="shared" si="604"/>
        <v>44957</v>
      </c>
      <c r="AQ3812" s="925" t="str">
        <f t="shared" si="606"/>
        <v/>
      </c>
      <c r="AR3812" s="1856" t="str">
        <f t="shared" si="605"/>
        <v/>
      </c>
      <c r="AT3812" s="1856" t="str">
        <f t="shared" si="607"/>
        <v/>
      </c>
      <c r="AU3812" s="1856" t="str">
        <f t="shared" si="608"/>
        <v/>
      </c>
      <c r="AV3812" s="1856" t="str">
        <f t="shared" si="609"/>
        <v/>
      </c>
      <c r="AW3812" s="1856" t="str">
        <f t="shared" si="610"/>
        <v/>
      </c>
      <c r="AX3812" s="1856" t="str">
        <f t="shared" si="611"/>
        <v/>
      </c>
      <c r="AY3812" s="1856" t="str">
        <f t="shared" si="612"/>
        <v/>
      </c>
    </row>
    <row r="3813" spans="42:51">
      <c r="AP3813" s="1855">
        <f t="shared" ref="AP3813:AP3876" si="613">IF(ISNUMBER(AS3813),AP3812+1,AP3812)</f>
        <v>44957</v>
      </c>
      <c r="AQ3813" s="925" t="str">
        <f t="shared" si="606"/>
        <v/>
      </c>
      <c r="AR3813" s="1856" t="str">
        <f t="shared" si="605"/>
        <v/>
      </c>
      <c r="AT3813" s="1856" t="str">
        <f t="shared" si="607"/>
        <v/>
      </c>
      <c r="AU3813" s="1856" t="str">
        <f t="shared" si="608"/>
        <v/>
      </c>
      <c r="AV3813" s="1856" t="str">
        <f t="shared" si="609"/>
        <v/>
      </c>
      <c r="AW3813" s="1856" t="str">
        <f t="shared" si="610"/>
        <v/>
      </c>
      <c r="AX3813" s="1856" t="str">
        <f t="shared" si="611"/>
        <v/>
      </c>
      <c r="AY3813" s="1856" t="str">
        <f t="shared" si="612"/>
        <v/>
      </c>
    </row>
    <row r="3814" spans="42:51">
      <c r="AP3814" s="1855">
        <f t="shared" si="613"/>
        <v>44957</v>
      </c>
      <c r="AQ3814" s="925" t="str">
        <f t="shared" si="606"/>
        <v/>
      </c>
      <c r="AR3814" s="1856" t="str">
        <f t="shared" si="605"/>
        <v/>
      </c>
      <c r="AT3814" s="1856" t="str">
        <f t="shared" si="607"/>
        <v/>
      </c>
      <c r="AU3814" s="1856" t="str">
        <f t="shared" si="608"/>
        <v/>
      </c>
      <c r="AV3814" s="1856" t="str">
        <f t="shared" si="609"/>
        <v/>
      </c>
      <c r="AW3814" s="1856" t="str">
        <f t="shared" si="610"/>
        <v/>
      </c>
      <c r="AX3814" s="1856" t="str">
        <f t="shared" si="611"/>
        <v/>
      </c>
      <c r="AY3814" s="1856" t="str">
        <f t="shared" si="612"/>
        <v/>
      </c>
    </row>
    <row r="3815" spans="42:51">
      <c r="AP3815" s="1855">
        <f t="shared" si="613"/>
        <v>44957</v>
      </c>
      <c r="AQ3815" s="925" t="str">
        <f t="shared" si="606"/>
        <v/>
      </c>
      <c r="AR3815" s="1856" t="str">
        <f t="shared" si="605"/>
        <v/>
      </c>
      <c r="AT3815" s="1856" t="str">
        <f t="shared" si="607"/>
        <v/>
      </c>
      <c r="AU3815" s="1856" t="str">
        <f t="shared" si="608"/>
        <v/>
      </c>
      <c r="AV3815" s="1856" t="str">
        <f t="shared" si="609"/>
        <v/>
      </c>
      <c r="AW3815" s="1856" t="str">
        <f t="shared" si="610"/>
        <v/>
      </c>
      <c r="AX3815" s="1856" t="str">
        <f t="shared" si="611"/>
        <v/>
      </c>
      <c r="AY3815" s="1856" t="str">
        <f t="shared" si="612"/>
        <v/>
      </c>
    </row>
    <row r="3816" spans="42:51">
      <c r="AP3816" s="1855">
        <f t="shared" si="613"/>
        <v>44957</v>
      </c>
      <c r="AQ3816" s="925" t="str">
        <f t="shared" si="606"/>
        <v/>
      </c>
      <c r="AR3816" s="1856" t="str">
        <f t="shared" si="605"/>
        <v/>
      </c>
      <c r="AT3816" s="1856" t="str">
        <f t="shared" si="607"/>
        <v/>
      </c>
      <c r="AU3816" s="1856" t="str">
        <f t="shared" si="608"/>
        <v/>
      </c>
      <c r="AV3816" s="1856" t="str">
        <f t="shared" si="609"/>
        <v/>
      </c>
      <c r="AW3816" s="1856" t="str">
        <f t="shared" si="610"/>
        <v/>
      </c>
      <c r="AX3816" s="1856" t="str">
        <f t="shared" si="611"/>
        <v/>
      </c>
      <c r="AY3816" s="1856" t="str">
        <f t="shared" si="612"/>
        <v/>
      </c>
    </row>
    <row r="3817" spans="42:51">
      <c r="AP3817" s="1855">
        <f t="shared" si="613"/>
        <v>44957</v>
      </c>
      <c r="AQ3817" s="925" t="str">
        <f t="shared" si="606"/>
        <v/>
      </c>
      <c r="AR3817" s="1856" t="str">
        <f t="shared" ref="AR3817:AR3880" si="614">IF(NOT(ISNUMBER(FIND(":",AS3817))),"",IF(ISNUMBER(FIND(" none",AS3817)),"NONE",AP3817+LEFT(RIGHT(AS3817,5),2)/24+RIGHT(AS3817,2)/1440))</f>
        <v/>
      </c>
      <c r="AT3817" s="1856" t="str">
        <f t="shared" si="607"/>
        <v/>
      </c>
      <c r="AU3817" s="1856" t="str">
        <f t="shared" si="608"/>
        <v/>
      </c>
      <c r="AV3817" s="1856" t="str">
        <f t="shared" si="609"/>
        <v/>
      </c>
      <c r="AW3817" s="1856" t="str">
        <f t="shared" si="610"/>
        <v/>
      </c>
      <c r="AX3817" s="1856" t="str">
        <f t="shared" si="611"/>
        <v/>
      </c>
      <c r="AY3817" s="1856" t="str">
        <f t="shared" si="612"/>
        <v/>
      </c>
    </row>
    <row r="3818" spans="42:51">
      <c r="AP3818" s="1855">
        <f t="shared" si="613"/>
        <v>44957</v>
      </c>
      <c r="AQ3818" s="925" t="str">
        <f t="shared" si="606"/>
        <v/>
      </c>
      <c r="AR3818" s="1856" t="str">
        <f t="shared" si="614"/>
        <v/>
      </c>
      <c r="AT3818" s="1856" t="str">
        <f t="shared" si="607"/>
        <v/>
      </c>
      <c r="AU3818" s="1856" t="str">
        <f t="shared" si="608"/>
        <v/>
      </c>
      <c r="AV3818" s="1856" t="str">
        <f t="shared" si="609"/>
        <v/>
      </c>
      <c r="AW3818" s="1856" t="str">
        <f t="shared" si="610"/>
        <v/>
      </c>
      <c r="AX3818" s="1856" t="str">
        <f t="shared" si="611"/>
        <v/>
      </c>
      <c r="AY3818" s="1856" t="str">
        <f t="shared" si="612"/>
        <v/>
      </c>
    </row>
    <row r="3819" spans="42:51">
      <c r="AP3819" s="1855">
        <f t="shared" si="613"/>
        <v>44957</v>
      </c>
      <c r="AQ3819" s="925" t="str">
        <f t="shared" si="606"/>
        <v/>
      </c>
      <c r="AR3819" s="1856" t="str">
        <f t="shared" si="614"/>
        <v/>
      </c>
      <c r="AT3819" s="1856" t="str">
        <f t="shared" si="607"/>
        <v/>
      </c>
      <c r="AU3819" s="1856" t="str">
        <f t="shared" si="608"/>
        <v/>
      </c>
      <c r="AV3819" s="1856" t="str">
        <f t="shared" si="609"/>
        <v/>
      </c>
      <c r="AW3819" s="1856" t="str">
        <f t="shared" si="610"/>
        <v/>
      </c>
      <c r="AX3819" s="1856" t="str">
        <f t="shared" si="611"/>
        <v/>
      </c>
      <c r="AY3819" s="1856" t="str">
        <f t="shared" si="612"/>
        <v/>
      </c>
    </row>
    <row r="3820" spans="42:51">
      <c r="AP3820" s="1855">
        <f t="shared" si="613"/>
        <v>44957</v>
      </c>
      <c r="AQ3820" s="925" t="str">
        <f t="shared" si="606"/>
        <v/>
      </c>
      <c r="AR3820" s="1856" t="str">
        <f t="shared" si="614"/>
        <v/>
      </c>
      <c r="AT3820" s="1856" t="str">
        <f t="shared" si="607"/>
        <v/>
      </c>
      <c r="AU3820" s="1856" t="str">
        <f t="shared" si="608"/>
        <v/>
      </c>
      <c r="AV3820" s="1856" t="str">
        <f t="shared" si="609"/>
        <v/>
      </c>
      <c r="AW3820" s="1856" t="str">
        <f t="shared" si="610"/>
        <v/>
      </c>
      <c r="AX3820" s="1856" t="str">
        <f t="shared" si="611"/>
        <v/>
      </c>
      <c r="AY3820" s="1856" t="str">
        <f t="shared" si="612"/>
        <v/>
      </c>
    </row>
    <row r="3821" spans="42:51">
      <c r="AP3821" s="1855">
        <f t="shared" si="613"/>
        <v>44957</v>
      </c>
      <c r="AQ3821" s="925" t="str">
        <f t="shared" si="606"/>
        <v/>
      </c>
      <c r="AR3821" s="1856" t="str">
        <f t="shared" si="614"/>
        <v/>
      </c>
      <c r="AT3821" s="1856" t="str">
        <f t="shared" si="607"/>
        <v/>
      </c>
      <c r="AU3821" s="1856" t="str">
        <f t="shared" si="608"/>
        <v/>
      </c>
      <c r="AV3821" s="1856" t="str">
        <f t="shared" si="609"/>
        <v/>
      </c>
      <c r="AW3821" s="1856" t="str">
        <f t="shared" si="610"/>
        <v/>
      </c>
      <c r="AX3821" s="1856" t="str">
        <f t="shared" si="611"/>
        <v/>
      </c>
      <c r="AY3821" s="1856" t="str">
        <f t="shared" si="612"/>
        <v/>
      </c>
    </row>
    <row r="3822" spans="42:51">
      <c r="AP3822" s="1855">
        <f t="shared" si="613"/>
        <v>44957</v>
      </c>
      <c r="AQ3822" s="925" t="str">
        <f t="shared" si="606"/>
        <v/>
      </c>
      <c r="AR3822" s="1856" t="str">
        <f t="shared" si="614"/>
        <v/>
      </c>
      <c r="AT3822" s="1856" t="str">
        <f t="shared" si="607"/>
        <v/>
      </c>
      <c r="AU3822" s="1856" t="str">
        <f t="shared" si="608"/>
        <v/>
      </c>
      <c r="AV3822" s="1856" t="str">
        <f t="shared" si="609"/>
        <v/>
      </c>
      <c r="AW3822" s="1856" t="str">
        <f t="shared" si="610"/>
        <v/>
      </c>
      <c r="AX3822" s="1856" t="str">
        <f t="shared" si="611"/>
        <v/>
      </c>
      <c r="AY3822" s="1856" t="str">
        <f t="shared" si="612"/>
        <v/>
      </c>
    </row>
    <row r="3823" spans="42:51">
      <c r="AP3823" s="1855">
        <f t="shared" si="613"/>
        <v>44957</v>
      </c>
      <c r="AQ3823" s="925" t="str">
        <f t="shared" si="606"/>
        <v/>
      </c>
      <c r="AR3823" s="1856" t="str">
        <f t="shared" si="614"/>
        <v/>
      </c>
      <c r="AT3823" s="1856" t="str">
        <f t="shared" si="607"/>
        <v/>
      </c>
      <c r="AU3823" s="1856" t="str">
        <f t="shared" si="608"/>
        <v/>
      </c>
      <c r="AV3823" s="1856" t="str">
        <f t="shared" si="609"/>
        <v/>
      </c>
      <c r="AW3823" s="1856" t="str">
        <f t="shared" si="610"/>
        <v/>
      </c>
      <c r="AX3823" s="1856" t="str">
        <f t="shared" si="611"/>
        <v/>
      </c>
      <c r="AY3823" s="1856" t="str">
        <f t="shared" si="612"/>
        <v/>
      </c>
    </row>
    <row r="3824" spans="42:51">
      <c r="AP3824" s="1855">
        <f t="shared" si="613"/>
        <v>44957</v>
      </c>
      <c r="AQ3824" s="925" t="str">
        <f t="shared" si="606"/>
        <v/>
      </c>
      <c r="AR3824" s="1856" t="str">
        <f t="shared" si="614"/>
        <v/>
      </c>
      <c r="AT3824" s="1856" t="str">
        <f t="shared" si="607"/>
        <v/>
      </c>
      <c r="AU3824" s="1856" t="str">
        <f t="shared" si="608"/>
        <v/>
      </c>
      <c r="AV3824" s="1856" t="str">
        <f t="shared" si="609"/>
        <v/>
      </c>
      <c r="AW3824" s="1856" t="str">
        <f t="shared" si="610"/>
        <v/>
      </c>
      <c r="AX3824" s="1856" t="str">
        <f t="shared" si="611"/>
        <v/>
      </c>
      <c r="AY3824" s="1856" t="str">
        <f t="shared" si="612"/>
        <v/>
      </c>
    </row>
    <row r="3825" spans="42:51">
      <c r="AP3825" s="1855">
        <f t="shared" si="613"/>
        <v>44957</v>
      </c>
      <c r="AQ3825" s="925" t="str">
        <f t="shared" si="606"/>
        <v/>
      </c>
      <c r="AR3825" s="1856" t="str">
        <f t="shared" si="614"/>
        <v/>
      </c>
      <c r="AT3825" s="1856" t="str">
        <f t="shared" si="607"/>
        <v/>
      </c>
      <c r="AU3825" s="1856" t="str">
        <f t="shared" si="608"/>
        <v/>
      </c>
      <c r="AV3825" s="1856" t="str">
        <f t="shared" si="609"/>
        <v/>
      </c>
      <c r="AW3825" s="1856" t="str">
        <f t="shared" si="610"/>
        <v/>
      </c>
      <c r="AX3825" s="1856" t="str">
        <f t="shared" si="611"/>
        <v/>
      </c>
      <c r="AY3825" s="1856" t="str">
        <f t="shared" si="612"/>
        <v/>
      </c>
    </row>
    <row r="3826" spans="42:51">
      <c r="AP3826" s="1855">
        <f t="shared" si="613"/>
        <v>44957</v>
      </c>
      <c r="AQ3826" s="925" t="str">
        <f t="shared" si="606"/>
        <v/>
      </c>
      <c r="AR3826" s="1856" t="str">
        <f t="shared" si="614"/>
        <v/>
      </c>
      <c r="AT3826" s="1856" t="str">
        <f t="shared" si="607"/>
        <v/>
      </c>
      <c r="AU3826" s="1856" t="str">
        <f t="shared" si="608"/>
        <v/>
      </c>
      <c r="AV3826" s="1856" t="str">
        <f t="shared" si="609"/>
        <v/>
      </c>
      <c r="AW3826" s="1856" t="str">
        <f t="shared" si="610"/>
        <v/>
      </c>
      <c r="AX3826" s="1856" t="str">
        <f t="shared" si="611"/>
        <v/>
      </c>
      <c r="AY3826" s="1856" t="str">
        <f t="shared" si="612"/>
        <v/>
      </c>
    </row>
    <row r="3827" spans="42:51">
      <c r="AP3827" s="1855">
        <f t="shared" si="613"/>
        <v>44957</v>
      </c>
      <c r="AQ3827" s="925" t="str">
        <f t="shared" si="606"/>
        <v/>
      </c>
      <c r="AR3827" s="1856" t="str">
        <f t="shared" si="614"/>
        <v/>
      </c>
      <c r="AT3827" s="1856" t="str">
        <f t="shared" si="607"/>
        <v/>
      </c>
      <c r="AU3827" s="1856" t="str">
        <f t="shared" si="608"/>
        <v/>
      </c>
      <c r="AV3827" s="1856" t="str">
        <f t="shared" si="609"/>
        <v/>
      </c>
      <c r="AW3827" s="1856" t="str">
        <f t="shared" si="610"/>
        <v/>
      </c>
      <c r="AX3827" s="1856" t="str">
        <f t="shared" si="611"/>
        <v/>
      </c>
      <c r="AY3827" s="1856" t="str">
        <f t="shared" si="612"/>
        <v/>
      </c>
    </row>
    <row r="3828" spans="42:51">
      <c r="AP3828" s="1855">
        <f t="shared" si="613"/>
        <v>44957</v>
      </c>
      <c r="AQ3828" s="925" t="str">
        <f t="shared" ref="AQ3828:AQ3891" si="615">IF(NOT(ISNUMBER(FIND(":",AS3828))),"",IF(ISNUMBER(FIND("Sunr",AS3828)),"SR", IF(ISNUMBER(FIND("Suns",AS3828)),"SS",IF(ISNUMBER(FIND("Moonr",AS3828)),"MR",IF(ISNUMBER(FIND("Moons",AS3828)),"MS",IF(ISNUMBER(FIND("Twi",AS3828)),IF(HOUR(AR3828)&lt;12,"BMNT","EENT")))))))</f>
        <v/>
      </c>
      <c r="AR3828" s="1856" t="str">
        <f t="shared" si="614"/>
        <v/>
      </c>
      <c r="AT3828" s="1856" t="str">
        <f t="shared" si="607"/>
        <v/>
      </c>
      <c r="AU3828" s="1856" t="str">
        <f t="shared" si="608"/>
        <v/>
      </c>
      <c r="AV3828" s="1856" t="str">
        <f t="shared" si="609"/>
        <v/>
      </c>
      <c r="AW3828" s="1856" t="str">
        <f t="shared" si="610"/>
        <v/>
      </c>
      <c r="AX3828" s="1856" t="str">
        <f t="shared" si="611"/>
        <v/>
      </c>
      <c r="AY3828" s="1856" t="str">
        <f t="shared" si="612"/>
        <v/>
      </c>
    </row>
    <row r="3829" spans="42:51">
      <c r="AP3829" s="1855">
        <f t="shared" si="613"/>
        <v>44957</v>
      </c>
      <c r="AQ3829" s="925" t="str">
        <f t="shared" si="615"/>
        <v/>
      </c>
      <c r="AR3829" s="1856" t="str">
        <f t="shared" si="614"/>
        <v/>
      </c>
      <c r="AT3829" s="1856" t="str">
        <f t="shared" si="607"/>
        <v/>
      </c>
      <c r="AU3829" s="1856" t="str">
        <f t="shared" si="608"/>
        <v/>
      </c>
      <c r="AV3829" s="1856" t="str">
        <f t="shared" si="609"/>
        <v/>
      </c>
      <c r="AW3829" s="1856" t="str">
        <f t="shared" si="610"/>
        <v/>
      </c>
      <c r="AX3829" s="1856" t="str">
        <f t="shared" si="611"/>
        <v/>
      </c>
      <c r="AY3829" s="1856" t="str">
        <f t="shared" si="612"/>
        <v/>
      </c>
    </row>
    <row r="3830" spans="42:51">
      <c r="AP3830" s="1855">
        <f t="shared" si="613"/>
        <v>44957</v>
      </c>
      <c r="AQ3830" s="925" t="str">
        <f t="shared" si="615"/>
        <v/>
      </c>
      <c r="AR3830" s="1856" t="str">
        <f t="shared" si="614"/>
        <v/>
      </c>
      <c r="AT3830" s="1856" t="str">
        <f t="shared" si="607"/>
        <v/>
      </c>
      <c r="AU3830" s="1856" t="str">
        <f t="shared" si="608"/>
        <v/>
      </c>
      <c r="AV3830" s="1856" t="str">
        <f t="shared" si="609"/>
        <v/>
      </c>
      <c r="AW3830" s="1856" t="str">
        <f t="shared" si="610"/>
        <v/>
      </c>
      <c r="AX3830" s="1856" t="str">
        <f t="shared" si="611"/>
        <v/>
      </c>
      <c r="AY3830" s="1856" t="str">
        <f t="shared" si="612"/>
        <v/>
      </c>
    </row>
    <row r="3831" spans="42:51">
      <c r="AP3831" s="1855">
        <f t="shared" si="613"/>
        <v>44957</v>
      </c>
      <c r="AQ3831" s="925" t="str">
        <f t="shared" si="615"/>
        <v/>
      </c>
      <c r="AR3831" s="1856" t="str">
        <f t="shared" si="614"/>
        <v/>
      </c>
      <c r="AT3831" s="1856" t="str">
        <f t="shared" si="607"/>
        <v/>
      </c>
      <c r="AU3831" s="1856" t="str">
        <f t="shared" si="608"/>
        <v/>
      </c>
      <c r="AV3831" s="1856" t="str">
        <f t="shared" si="609"/>
        <v/>
      </c>
      <c r="AW3831" s="1856" t="str">
        <f t="shared" si="610"/>
        <v/>
      </c>
      <c r="AX3831" s="1856" t="str">
        <f t="shared" si="611"/>
        <v/>
      </c>
      <c r="AY3831" s="1856" t="str">
        <f t="shared" si="612"/>
        <v/>
      </c>
    </row>
    <row r="3832" spans="42:51">
      <c r="AP3832" s="1855">
        <f t="shared" si="613"/>
        <v>44957</v>
      </c>
      <c r="AQ3832" s="925" t="str">
        <f t="shared" si="615"/>
        <v/>
      </c>
      <c r="AR3832" s="1856" t="str">
        <f t="shared" si="614"/>
        <v/>
      </c>
      <c r="AT3832" s="1856" t="str">
        <f t="shared" si="607"/>
        <v/>
      </c>
      <c r="AU3832" s="1856" t="str">
        <f t="shared" si="608"/>
        <v/>
      </c>
      <c r="AV3832" s="1856" t="str">
        <f t="shared" si="609"/>
        <v/>
      </c>
      <c r="AW3832" s="1856" t="str">
        <f t="shared" si="610"/>
        <v/>
      </c>
      <c r="AX3832" s="1856" t="str">
        <f t="shared" si="611"/>
        <v/>
      </c>
      <c r="AY3832" s="1856" t="str">
        <f t="shared" si="612"/>
        <v/>
      </c>
    </row>
    <row r="3833" spans="42:51">
      <c r="AP3833" s="1855">
        <f t="shared" si="613"/>
        <v>44957</v>
      </c>
      <c r="AQ3833" s="925" t="str">
        <f t="shared" si="615"/>
        <v/>
      </c>
      <c r="AR3833" s="1856" t="str">
        <f t="shared" si="614"/>
        <v/>
      </c>
      <c r="AT3833" s="1856" t="str">
        <f t="shared" si="607"/>
        <v/>
      </c>
      <c r="AU3833" s="1856" t="str">
        <f t="shared" si="608"/>
        <v/>
      </c>
      <c r="AV3833" s="1856" t="str">
        <f t="shared" si="609"/>
        <v/>
      </c>
      <c r="AW3833" s="1856" t="str">
        <f t="shared" si="610"/>
        <v/>
      </c>
      <c r="AX3833" s="1856" t="str">
        <f t="shared" si="611"/>
        <v/>
      </c>
      <c r="AY3833" s="1856" t="str">
        <f t="shared" si="612"/>
        <v/>
      </c>
    </row>
    <row r="3834" spans="42:51">
      <c r="AP3834" s="1855">
        <f t="shared" si="613"/>
        <v>44957</v>
      </c>
      <c r="AQ3834" s="925" t="str">
        <f t="shared" si="615"/>
        <v/>
      </c>
      <c r="AR3834" s="1856" t="str">
        <f t="shared" si="614"/>
        <v/>
      </c>
      <c r="AT3834" s="1856" t="str">
        <f t="shared" si="607"/>
        <v/>
      </c>
      <c r="AU3834" s="1856" t="str">
        <f t="shared" si="608"/>
        <v/>
      </c>
      <c r="AV3834" s="1856" t="str">
        <f t="shared" si="609"/>
        <v/>
      </c>
      <c r="AW3834" s="1856" t="str">
        <f t="shared" si="610"/>
        <v/>
      </c>
      <c r="AX3834" s="1856" t="str">
        <f t="shared" si="611"/>
        <v/>
      </c>
      <c r="AY3834" s="1856" t="str">
        <f t="shared" si="612"/>
        <v/>
      </c>
    </row>
    <row r="3835" spans="42:51">
      <c r="AP3835" s="1855">
        <f t="shared" si="613"/>
        <v>44957</v>
      </c>
      <c r="AQ3835" s="925" t="str">
        <f t="shared" si="615"/>
        <v/>
      </c>
      <c r="AR3835" s="1856" t="str">
        <f t="shared" si="614"/>
        <v/>
      </c>
      <c r="AT3835" s="1856" t="str">
        <f t="shared" si="607"/>
        <v/>
      </c>
      <c r="AU3835" s="1856" t="str">
        <f t="shared" si="608"/>
        <v/>
      </c>
      <c r="AV3835" s="1856" t="str">
        <f t="shared" si="609"/>
        <v/>
      </c>
      <c r="AW3835" s="1856" t="str">
        <f t="shared" si="610"/>
        <v/>
      </c>
      <c r="AX3835" s="1856" t="str">
        <f t="shared" si="611"/>
        <v/>
      </c>
      <c r="AY3835" s="1856" t="str">
        <f t="shared" si="612"/>
        <v/>
      </c>
    </row>
    <row r="3836" spans="42:51">
      <c r="AP3836" s="1855">
        <f t="shared" si="613"/>
        <v>44957</v>
      </c>
      <c r="AQ3836" s="925" t="str">
        <f t="shared" si="615"/>
        <v/>
      </c>
      <c r="AR3836" s="1856" t="str">
        <f t="shared" si="614"/>
        <v/>
      </c>
      <c r="AT3836" s="1856" t="str">
        <f t="shared" si="607"/>
        <v/>
      </c>
      <c r="AU3836" s="1856" t="str">
        <f t="shared" si="608"/>
        <v/>
      </c>
      <c r="AV3836" s="1856" t="str">
        <f t="shared" si="609"/>
        <v/>
      </c>
      <c r="AW3836" s="1856" t="str">
        <f t="shared" si="610"/>
        <v/>
      </c>
      <c r="AX3836" s="1856" t="str">
        <f t="shared" si="611"/>
        <v/>
      </c>
      <c r="AY3836" s="1856" t="str">
        <f t="shared" si="612"/>
        <v/>
      </c>
    </row>
    <row r="3837" spans="42:51">
      <c r="AP3837" s="1855">
        <f t="shared" si="613"/>
        <v>44957</v>
      </c>
      <c r="AQ3837" s="925" t="str">
        <f t="shared" si="615"/>
        <v/>
      </c>
      <c r="AR3837" s="1856" t="str">
        <f t="shared" si="614"/>
        <v/>
      </c>
      <c r="AT3837" s="1856" t="str">
        <f t="shared" si="607"/>
        <v/>
      </c>
      <c r="AU3837" s="1856" t="str">
        <f t="shared" si="608"/>
        <v/>
      </c>
      <c r="AV3837" s="1856" t="str">
        <f t="shared" si="609"/>
        <v/>
      </c>
      <c r="AW3837" s="1856" t="str">
        <f t="shared" si="610"/>
        <v/>
      </c>
      <c r="AX3837" s="1856" t="str">
        <f t="shared" si="611"/>
        <v/>
      </c>
      <c r="AY3837" s="1856" t="str">
        <f t="shared" si="612"/>
        <v/>
      </c>
    </row>
    <row r="3838" spans="42:51">
      <c r="AP3838" s="1855">
        <f t="shared" si="613"/>
        <v>44957</v>
      </c>
      <c r="AQ3838" s="925" t="str">
        <f t="shared" si="615"/>
        <v/>
      </c>
      <c r="AR3838" s="1856" t="str">
        <f t="shared" si="614"/>
        <v/>
      </c>
      <c r="AT3838" s="1856" t="str">
        <f t="shared" si="607"/>
        <v/>
      </c>
      <c r="AU3838" s="1856" t="str">
        <f t="shared" si="608"/>
        <v/>
      </c>
      <c r="AV3838" s="1856" t="str">
        <f t="shared" si="609"/>
        <v/>
      </c>
      <c r="AW3838" s="1856" t="str">
        <f t="shared" si="610"/>
        <v/>
      </c>
      <c r="AX3838" s="1856" t="str">
        <f t="shared" si="611"/>
        <v/>
      </c>
      <c r="AY3838" s="1856" t="str">
        <f t="shared" si="612"/>
        <v/>
      </c>
    </row>
    <row r="3839" spans="42:51">
      <c r="AP3839" s="1855">
        <f t="shared" si="613"/>
        <v>44957</v>
      </c>
      <c r="AQ3839" s="925" t="str">
        <f t="shared" si="615"/>
        <v/>
      </c>
      <c r="AR3839" s="1856" t="str">
        <f t="shared" si="614"/>
        <v/>
      </c>
      <c r="AT3839" s="1856" t="str">
        <f t="shared" si="607"/>
        <v/>
      </c>
      <c r="AU3839" s="1856" t="str">
        <f t="shared" si="608"/>
        <v/>
      </c>
      <c r="AV3839" s="1856" t="str">
        <f t="shared" si="609"/>
        <v/>
      </c>
      <c r="AW3839" s="1856" t="str">
        <f t="shared" si="610"/>
        <v/>
      </c>
      <c r="AX3839" s="1856" t="str">
        <f t="shared" si="611"/>
        <v/>
      </c>
      <c r="AY3839" s="1856" t="str">
        <f t="shared" si="612"/>
        <v/>
      </c>
    </row>
    <row r="3840" spans="42:51">
      <c r="AP3840" s="1855">
        <f t="shared" si="613"/>
        <v>44957</v>
      </c>
      <c r="AQ3840" s="925" t="str">
        <f t="shared" si="615"/>
        <v/>
      </c>
      <c r="AR3840" s="1856" t="str">
        <f t="shared" si="614"/>
        <v/>
      </c>
      <c r="AT3840" s="1856" t="str">
        <f t="shared" si="607"/>
        <v/>
      </c>
      <c r="AU3840" s="1856" t="str">
        <f t="shared" si="608"/>
        <v/>
      </c>
      <c r="AV3840" s="1856" t="str">
        <f t="shared" si="609"/>
        <v/>
      </c>
      <c r="AW3840" s="1856" t="str">
        <f t="shared" si="610"/>
        <v/>
      </c>
      <c r="AX3840" s="1856" t="str">
        <f t="shared" si="611"/>
        <v/>
      </c>
      <c r="AY3840" s="1856" t="str">
        <f t="shared" si="612"/>
        <v/>
      </c>
    </row>
    <row r="3841" spans="42:51">
      <c r="AP3841" s="1855">
        <f t="shared" si="613"/>
        <v>44957</v>
      </c>
      <c r="AQ3841" s="925" t="str">
        <f t="shared" si="615"/>
        <v/>
      </c>
      <c r="AR3841" s="1856" t="str">
        <f t="shared" si="614"/>
        <v/>
      </c>
      <c r="AT3841" s="1856" t="str">
        <f t="shared" si="607"/>
        <v/>
      </c>
      <c r="AU3841" s="1856" t="str">
        <f t="shared" si="608"/>
        <v/>
      </c>
      <c r="AV3841" s="1856" t="str">
        <f t="shared" si="609"/>
        <v/>
      </c>
      <c r="AW3841" s="1856" t="str">
        <f t="shared" si="610"/>
        <v/>
      </c>
      <c r="AX3841" s="1856" t="str">
        <f t="shared" si="611"/>
        <v/>
      </c>
      <c r="AY3841" s="1856" t="str">
        <f t="shared" si="612"/>
        <v/>
      </c>
    </row>
    <row r="3842" spans="42:51">
      <c r="AP3842" s="1855">
        <f t="shared" si="613"/>
        <v>44957</v>
      </c>
      <c r="AQ3842" s="925" t="str">
        <f t="shared" si="615"/>
        <v/>
      </c>
      <c r="AR3842" s="1856" t="str">
        <f t="shared" si="614"/>
        <v/>
      </c>
      <c r="AT3842" s="1856" t="str">
        <f t="shared" si="607"/>
        <v/>
      </c>
      <c r="AU3842" s="1856" t="str">
        <f t="shared" si="608"/>
        <v/>
      </c>
      <c r="AV3842" s="1856" t="str">
        <f t="shared" si="609"/>
        <v/>
      </c>
      <c r="AW3842" s="1856" t="str">
        <f t="shared" si="610"/>
        <v/>
      </c>
      <c r="AX3842" s="1856" t="str">
        <f t="shared" si="611"/>
        <v/>
      </c>
      <c r="AY3842" s="1856" t="str">
        <f t="shared" si="612"/>
        <v/>
      </c>
    </row>
    <row r="3843" spans="42:51">
      <c r="AP3843" s="1855">
        <f t="shared" si="613"/>
        <v>44957</v>
      </c>
      <c r="AQ3843" s="925" t="str">
        <f t="shared" si="615"/>
        <v/>
      </c>
      <c r="AR3843" s="1856" t="str">
        <f t="shared" si="614"/>
        <v/>
      </c>
      <c r="AT3843" s="1856" t="str">
        <f t="shared" si="607"/>
        <v/>
      </c>
      <c r="AU3843" s="1856" t="str">
        <f t="shared" si="608"/>
        <v/>
      </c>
      <c r="AV3843" s="1856" t="str">
        <f t="shared" si="609"/>
        <v/>
      </c>
      <c r="AW3843" s="1856" t="str">
        <f t="shared" si="610"/>
        <v/>
      </c>
      <c r="AX3843" s="1856" t="str">
        <f t="shared" si="611"/>
        <v/>
      </c>
      <c r="AY3843" s="1856" t="str">
        <f t="shared" si="612"/>
        <v/>
      </c>
    </row>
    <row r="3844" spans="42:51">
      <c r="AP3844" s="1855">
        <f t="shared" si="613"/>
        <v>44957</v>
      </c>
      <c r="AQ3844" s="925" t="str">
        <f t="shared" si="615"/>
        <v/>
      </c>
      <c r="AR3844" s="1856" t="str">
        <f t="shared" si="614"/>
        <v/>
      </c>
      <c r="AT3844" s="1856" t="str">
        <f t="shared" si="607"/>
        <v/>
      </c>
      <c r="AU3844" s="1856" t="str">
        <f t="shared" si="608"/>
        <v/>
      </c>
      <c r="AV3844" s="1856" t="str">
        <f t="shared" si="609"/>
        <v/>
      </c>
      <c r="AW3844" s="1856" t="str">
        <f t="shared" si="610"/>
        <v/>
      </c>
      <c r="AX3844" s="1856" t="str">
        <f t="shared" si="611"/>
        <v/>
      </c>
      <c r="AY3844" s="1856" t="str">
        <f t="shared" si="612"/>
        <v/>
      </c>
    </row>
    <row r="3845" spans="42:51">
      <c r="AP3845" s="1855">
        <f t="shared" si="613"/>
        <v>44957</v>
      </c>
      <c r="AQ3845" s="925" t="str">
        <f t="shared" si="615"/>
        <v/>
      </c>
      <c r="AR3845" s="1856" t="str">
        <f t="shared" si="614"/>
        <v/>
      </c>
      <c r="AT3845" s="1856" t="str">
        <f t="shared" si="607"/>
        <v/>
      </c>
      <c r="AU3845" s="1856" t="str">
        <f t="shared" si="608"/>
        <v/>
      </c>
      <c r="AV3845" s="1856" t="str">
        <f t="shared" si="609"/>
        <v/>
      </c>
      <c r="AW3845" s="1856" t="str">
        <f t="shared" si="610"/>
        <v/>
      </c>
      <c r="AX3845" s="1856" t="str">
        <f t="shared" si="611"/>
        <v/>
      </c>
      <c r="AY3845" s="1856" t="str">
        <f t="shared" si="612"/>
        <v/>
      </c>
    </row>
    <row r="3846" spans="42:51">
      <c r="AP3846" s="1855">
        <f t="shared" si="613"/>
        <v>44957</v>
      </c>
      <c r="AQ3846" s="925" t="str">
        <f t="shared" si="615"/>
        <v/>
      </c>
      <c r="AR3846" s="1856" t="str">
        <f t="shared" si="614"/>
        <v/>
      </c>
      <c r="AT3846" s="1856" t="str">
        <f t="shared" si="607"/>
        <v/>
      </c>
      <c r="AU3846" s="1856" t="str">
        <f t="shared" si="608"/>
        <v/>
      </c>
      <c r="AV3846" s="1856" t="str">
        <f t="shared" si="609"/>
        <v/>
      </c>
      <c r="AW3846" s="1856" t="str">
        <f t="shared" si="610"/>
        <v/>
      </c>
      <c r="AX3846" s="1856" t="str">
        <f t="shared" si="611"/>
        <v/>
      </c>
      <c r="AY3846" s="1856" t="str">
        <f t="shared" si="612"/>
        <v/>
      </c>
    </row>
    <row r="3847" spans="42:51">
      <c r="AP3847" s="1855">
        <f t="shared" si="613"/>
        <v>44957</v>
      </c>
      <c r="AQ3847" s="925" t="str">
        <f t="shared" si="615"/>
        <v/>
      </c>
      <c r="AR3847" s="1856" t="str">
        <f t="shared" si="614"/>
        <v/>
      </c>
      <c r="AT3847" s="1856" t="str">
        <f t="shared" si="607"/>
        <v/>
      </c>
      <c r="AU3847" s="1856" t="str">
        <f t="shared" si="608"/>
        <v/>
      </c>
      <c r="AV3847" s="1856" t="str">
        <f t="shared" si="609"/>
        <v/>
      </c>
      <c r="AW3847" s="1856" t="str">
        <f t="shared" si="610"/>
        <v/>
      </c>
      <c r="AX3847" s="1856" t="str">
        <f t="shared" si="611"/>
        <v/>
      </c>
      <c r="AY3847" s="1856" t="str">
        <f t="shared" si="612"/>
        <v/>
      </c>
    </row>
    <row r="3848" spans="42:51">
      <c r="AP3848" s="1855">
        <f t="shared" si="613"/>
        <v>44957</v>
      </c>
      <c r="AQ3848" s="925" t="str">
        <f t="shared" si="615"/>
        <v/>
      </c>
      <c r="AR3848" s="1856" t="str">
        <f t="shared" si="614"/>
        <v/>
      </c>
      <c r="AT3848" s="1856" t="str">
        <f t="shared" si="607"/>
        <v/>
      </c>
      <c r="AU3848" s="1856" t="str">
        <f t="shared" si="608"/>
        <v/>
      </c>
      <c r="AV3848" s="1856" t="str">
        <f t="shared" si="609"/>
        <v/>
      </c>
      <c r="AW3848" s="1856" t="str">
        <f t="shared" si="610"/>
        <v/>
      </c>
      <c r="AX3848" s="1856" t="str">
        <f t="shared" si="611"/>
        <v/>
      </c>
      <c r="AY3848" s="1856" t="str">
        <f t="shared" si="612"/>
        <v/>
      </c>
    </row>
    <row r="3849" spans="42:51">
      <c r="AP3849" s="1855">
        <f t="shared" si="613"/>
        <v>44957</v>
      </c>
      <c r="AQ3849" s="925" t="str">
        <f t="shared" si="615"/>
        <v/>
      </c>
      <c r="AR3849" s="1856" t="str">
        <f t="shared" si="614"/>
        <v/>
      </c>
      <c r="AT3849" s="1856" t="str">
        <f t="shared" si="607"/>
        <v/>
      </c>
      <c r="AU3849" s="1856" t="str">
        <f t="shared" si="608"/>
        <v/>
      </c>
      <c r="AV3849" s="1856" t="str">
        <f t="shared" si="609"/>
        <v/>
      </c>
      <c r="AW3849" s="1856" t="str">
        <f t="shared" si="610"/>
        <v/>
      </c>
      <c r="AX3849" s="1856" t="str">
        <f t="shared" si="611"/>
        <v/>
      </c>
      <c r="AY3849" s="1856" t="str">
        <f t="shared" si="612"/>
        <v/>
      </c>
    </row>
    <row r="3850" spans="42:51">
      <c r="AP3850" s="1855">
        <f t="shared" si="613"/>
        <v>44957</v>
      </c>
      <c r="AQ3850" s="925" t="str">
        <f t="shared" si="615"/>
        <v/>
      </c>
      <c r="AR3850" s="1856" t="str">
        <f t="shared" si="614"/>
        <v/>
      </c>
      <c r="AT3850" s="1856" t="str">
        <f t="shared" si="607"/>
        <v/>
      </c>
      <c r="AU3850" s="1856" t="str">
        <f t="shared" si="608"/>
        <v/>
      </c>
      <c r="AV3850" s="1856" t="str">
        <f t="shared" si="609"/>
        <v/>
      </c>
      <c r="AW3850" s="1856" t="str">
        <f t="shared" si="610"/>
        <v/>
      </c>
      <c r="AX3850" s="1856" t="str">
        <f t="shared" si="611"/>
        <v/>
      </c>
      <c r="AY3850" s="1856" t="str">
        <f t="shared" si="612"/>
        <v/>
      </c>
    </row>
    <row r="3851" spans="42:51">
      <c r="AP3851" s="1855">
        <f t="shared" si="613"/>
        <v>44957</v>
      </c>
      <c r="AQ3851" s="925" t="str">
        <f t="shared" si="615"/>
        <v/>
      </c>
      <c r="AR3851" s="1856" t="str">
        <f t="shared" si="614"/>
        <v/>
      </c>
      <c r="AT3851" s="1856" t="str">
        <f t="shared" si="607"/>
        <v/>
      </c>
      <c r="AU3851" s="1856" t="str">
        <f t="shared" si="608"/>
        <v/>
      </c>
      <c r="AV3851" s="1856" t="str">
        <f t="shared" si="609"/>
        <v/>
      </c>
      <c r="AW3851" s="1856" t="str">
        <f t="shared" si="610"/>
        <v/>
      </c>
      <c r="AX3851" s="1856" t="str">
        <f t="shared" si="611"/>
        <v/>
      </c>
      <c r="AY3851" s="1856" t="str">
        <f t="shared" si="612"/>
        <v/>
      </c>
    </row>
    <row r="3852" spans="42:51">
      <c r="AP3852" s="1855">
        <f t="shared" si="613"/>
        <v>44957</v>
      </c>
      <c r="AQ3852" s="925" t="str">
        <f t="shared" si="615"/>
        <v/>
      </c>
      <c r="AR3852" s="1856" t="str">
        <f t="shared" si="614"/>
        <v/>
      </c>
      <c r="AT3852" s="1856" t="str">
        <f t="shared" si="607"/>
        <v/>
      </c>
      <c r="AU3852" s="1856" t="str">
        <f t="shared" si="608"/>
        <v/>
      </c>
      <c r="AV3852" s="1856" t="str">
        <f t="shared" si="609"/>
        <v/>
      </c>
      <c r="AW3852" s="1856" t="str">
        <f t="shared" si="610"/>
        <v/>
      </c>
      <c r="AX3852" s="1856" t="str">
        <f t="shared" si="611"/>
        <v/>
      </c>
      <c r="AY3852" s="1856" t="str">
        <f t="shared" si="612"/>
        <v/>
      </c>
    </row>
    <row r="3853" spans="42:51">
      <c r="AP3853" s="1855">
        <f t="shared" si="613"/>
        <v>44957</v>
      </c>
      <c r="AQ3853" s="925" t="str">
        <f t="shared" si="615"/>
        <v/>
      </c>
      <c r="AR3853" s="1856" t="str">
        <f t="shared" si="614"/>
        <v/>
      </c>
      <c r="AT3853" s="1856" t="str">
        <f t="shared" si="607"/>
        <v/>
      </c>
      <c r="AU3853" s="1856" t="str">
        <f t="shared" si="608"/>
        <v/>
      </c>
      <c r="AV3853" s="1856" t="str">
        <f t="shared" si="609"/>
        <v/>
      </c>
      <c r="AW3853" s="1856" t="str">
        <f t="shared" si="610"/>
        <v/>
      </c>
      <c r="AX3853" s="1856" t="str">
        <f t="shared" si="611"/>
        <v/>
      </c>
      <c r="AY3853" s="1856" t="str">
        <f t="shared" si="612"/>
        <v/>
      </c>
    </row>
    <row r="3854" spans="42:51">
      <c r="AP3854" s="1855">
        <f t="shared" si="613"/>
        <v>44957</v>
      </c>
      <c r="AQ3854" s="925" t="str">
        <f t="shared" si="615"/>
        <v/>
      </c>
      <c r="AR3854" s="1856" t="str">
        <f t="shared" si="614"/>
        <v/>
      </c>
      <c r="AT3854" s="1856" t="str">
        <f t="shared" si="607"/>
        <v/>
      </c>
      <c r="AU3854" s="1856" t="str">
        <f t="shared" si="608"/>
        <v/>
      </c>
      <c r="AV3854" s="1856" t="str">
        <f t="shared" si="609"/>
        <v/>
      </c>
      <c r="AW3854" s="1856" t="str">
        <f t="shared" si="610"/>
        <v/>
      </c>
      <c r="AX3854" s="1856" t="str">
        <f t="shared" si="611"/>
        <v/>
      </c>
      <c r="AY3854" s="1856" t="str">
        <f t="shared" si="612"/>
        <v/>
      </c>
    </row>
    <row r="3855" spans="42:51">
      <c r="AP3855" s="1855">
        <f t="shared" si="613"/>
        <v>44957</v>
      </c>
      <c r="AQ3855" s="925" t="str">
        <f t="shared" si="615"/>
        <v/>
      </c>
      <c r="AR3855" s="1856" t="str">
        <f t="shared" si="614"/>
        <v/>
      </c>
      <c r="AT3855" s="1856" t="str">
        <f t="shared" si="607"/>
        <v/>
      </c>
      <c r="AU3855" s="1856" t="str">
        <f t="shared" si="608"/>
        <v/>
      </c>
      <c r="AV3855" s="1856" t="str">
        <f t="shared" si="609"/>
        <v/>
      </c>
      <c r="AW3855" s="1856" t="str">
        <f t="shared" si="610"/>
        <v/>
      </c>
      <c r="AX3855" s="1856" t="str">
        <f t="shared" si="611"/>
        <v/>
      </c>
      <c r="AY3855" s="1856" t="str">
        <f t="shared" si="612"/>
        <v/>
      </c>
    </row>
    <row r="3856" spans="42:51">
      <c r="AP3856" s="1855">
        <f t="shared" si="613"/>
        <v>44957</v>
      </c>
      <c r="AQ3856" s="925" t="str">
        <f t="shared" si="615"/>
        <v/>
      </c>
      <c r="AR3856" s="1856" t="str">
        <f t="shared" si="614"/>
        <v/>
      </c>
      <c r="AT3856" s="1856" t="str">
        <f t="shared" si="607"/>
        <v/>
      </c>
      <c r="AU3856" s="1856" t="str">
        <f t="shared" si="608"/>
        <v/>
      </c>
      <c r="AV3856" s="1856" t="str">
        <f t="shared" si="609"/>
        <v/>
      </c>
      <c r="AW3856" s="1856" t="str">
        <f t="shared" si="610"/>
        <v/>
      </c>
      <c r="AX3856" s="1856" t="str">
        <f t="shared" si="611"/>
        <v/>
      </c>
      <c r="AY3856" s="1856" t="str">
        <f t="shared" si="612"/>
        <v/>
      </c>
    </row>
    <row r="3857" spans="42:51">
      <c r="AP3857" s="1855">
        <f t="shared" si="613"/>
        <v>44957</v>
      </c>
      <c r="AQ3857" s="925" t="str">
        <f t="shared" si="615"/>
        <v/>
      </c>
      <c r="AR3857" s="1856" t="str">
        <f t="shared" si="614"/>
        <v/>
      </c>
      <c r="AT3857" s="1856" t="str">
        <f t="shared" si="607"/>
        <v/>
      </c>
      <c r="AU3857" s="1856" t="str">
        <f t="shared" si="608"/>
        <v/>
      </c>
      <c r="AV3857" s="1856" t="str">
        <f t="shared" si="609"/>
        <v/>
      </c>
      <c r="AW3857" s="1856" t="str">
        <f t="shared" si="610"/>
        <v/>
      </c>
      <c r="AX3857" s="1856" t="str">
        <f t="shared" si="611"/>
        <v/>
      </c>
      <c r="AY3857" s="1856" t="str">
        <f t="shared" si="612"/>
        <v/>
      </c>
    </row>
    <row r="3858" spans="42:51">
      <c r="AP3858" s="1855">
        <f t="shared" si="613"/>
        <v>44957</v>
      </c>
      <c r="AQ3858" s="925" t="str">
        <f t="shared" si="615"/>
        <v/>
      </c>
      <c r="AR3858" s="1856" t="str">
        <f t="shared" si="614"/>
        <v/>
      </c>
      <c r="AT3858" s="1856" t="str">
        <f t="shared" si="607"/>
        <v/>
      </c>
      <c r="AU3858" s="1856" t="str">
        <f t="shared" si="608"/>
        <v/>
      </c>
      <c r="AV3858" s="1856" t="str">
        <f t="shared" si="609"/>
        <v/>
      </c>
      <c r="AW3858" s="1856" t="str">
        <f t="shared" si="610"/>
        <v/>
      </c>
      <c r="AX3858" s="1856" t="str">
        <f t="shared" si="611"/>
        <v/>
      </c>
      <c r="AY3858" s="1856" t="str">
        <f t="shared" si="612"/>
        <v/>
      </c>
    </row>
    <row r="3859" spans="42:51">
      <c r="AP3859" s="1855">
        <f t="shared" si="613"/>
        <v>44957</v>
      </c>
      <c r="AQ3859" s="925" t="str">
        <f t="shared" si="615"/>
        <v/>
      </c>
      <c r="AR3859" s="1856" t="str">
        <f t="shared" si="614"/>
        <v/>
      </c>
      <c r="AT3859" s="1856" t="str">
        <f t="shared" si="607"/>
        <v/>
      </c>
      <c r="AU3859" s="1856" t="str">
        <f t="shared" si="608"/>
        <v/>
      </c>
      <c r="AV3859" s="1856" t="str">
        <f t="shared" si="609"/>
        <v/>
      </c>
      <c r="AW3859" s="1856" t="str">
        <f t="shared" si="610"/>
        <v/>
      </c>
      <c r="AX3859" s="1856" t="str">
        <f t="shared" si="611"/>
        <v/>
      </c>
      <c r="AY3859" s="1856" t="str">
        <f t="shared" si="612"/>
        <v/>
      </c>
    </row>
    <row r="3860" spans="42:51">
      <c r="AP3860" s="1855">
        <f t="shared" si="613"/>
        <v>44957</v>
      </c>
      <c r="AQ3860" s="925" t="str">
        <f t="shared" si="615"/>
        <v/>
      </c>
      <c r="AR3860" s="1856" t="str">
        <f t="shared" si="614"/>
        <v/>
      </c>
      <c r="AT3860" s="1856" t="str">
        <f t="shared" si="607"/>
        <v/>
      </c>
      <c r="AU3860" s="1856" t="str">
        <f t="shared" si="608"/>
        <v/>
      </c>
      <c r="AV3860" s="1856" t="str">
        <f t="shared" si="609"/>
        <v/>
      </c>
      <c r="AW3860" s="1856" t="str">
        <f t="shared" si="610"/>
        <v/>
      </c>
      <c r="AX3860" s="1856" t="str">
        <f t="shared" si="611"/>
        <v/>
      </c>
      <c r="AY3860" s="1856" t="str">
        <f t="shared" si="612"/>
        <v/>
      </c>
    </row>
    <row r="3861" spans="42:51">
      <c r="AP3861" s="1855">
        <f t="shared" si="613"/>
        <v>44957</v>
      </c>
      <c r="AQ3861" s="925" t="str">
        <f t="shared" si="615"/>
        <v/>
      </c>
      <c r="AR3861" s="1856" t="str">
        <f t="shared" si="614"/>
        <v/>
      </c>
      <c r="AT3861" s="1856" t="str">
        <f t="shared" si="607"/>
        <v/>
      </c>
      <c r="AU3861" s="1856" t="str">
        <f t="shared" si="608"/>
        <v/>
      </c>
      <c r="AV3861" s="1856" t="str">
        <f t="shared" si="609"/>
        <v/>
      </c>
      <c r="AW3861" s="1856" t="str">
        <f t="shared" si="610"/>
        <v/>
      </c>
      <c r="AX3861" s="1856" t="str">
        <f t="shared" si="611"/>
        <v/>
      </c>
      <c r="AY3861" s="1856" t="str">
        <f t="shared" si="612"/>
        <v/>
      </c>
    </row>
    <row r="3862" spans="42:51">
      <c r="AP3862" s="1855">
        <f t="shared" si="613"/>
        <v>44957</v>
      </c>
      <c r="AQ3862" s="925" t="str">
        <f t="shared" si="615"/>
        <v/>
      </c>
      <c r="AR3862" s="1856" t="str">
        <f t="shared" si="614"/>
        <v/>
      </c>
      <c r="AT3862" s="1856" t="str">
        <f t="shared" si="607"/>
        <v/>
      </c>
      <c r="AU3862" s="1856" t="str">
        <f t="shared" si="608"/>
        <v/>
      </c>
      <c r="AV3862" s="1856" t="str">
        <f t="shared" si="609"/>
        <v/>
      </c>
      <c r="AW3862" s="1856" t="str">
        <f t="shared" si="610"/>
        <v/>
      </c>
      <c r="AX3862" s="1856" t="str">
        <f t="shared" si="611"/>
        <v/>
      </c>
      <c r="AY3862" s="1856" t="str">
        <f t="shared" si="612"/>
        <v/>
      </c>
    </row>
    <row r="3863" spans="42:51">
      <c r="AP3863" s="1855">
        <f t="shared" si="613"/>
        <v>44957</v>
      </c>
      <c r="AQ3863" s="925" t="str">
        <f t="shared" si="615"/>
        <v/>
      </c>
      <c r="AR3863" s="1856" t="str">
        <f t="shared" si="614"/>
        <v/>
      </c>
      <c r="AT3863" s="1856" t="str">
        <f t="shared" si="607"/>
        <v/>
      </c>
      <c r="AU3863" s="1856" t="str">
        <f t="shared" si="608"/>
        <v/>
      </c>
      <c r="AV3863" s="1856" t="str">
        <f t="shared" si="609"/>
        <v/>
      </c>
      <c r="AW3863" s="1856" t="str">
        <f t="shared" si="610"/>
        <v/>
      </c>
      <c r="AX3863" s="1856" t="str">
        <f t="shared" si="611"/>
        <v/>
      </c>
      <c r="AY3863" s="1856" t="str">
        <f t="shared" si="612"/>
        <v/>
      </c>
    </row>
    <row r="3864" spans="42:51">
      <c r="AP3864" s="1855">
        <f t="shared" si="613"/>
        <v>44957</v>
      </c>
      <c r="AQ3864" s="925" t="str">
        <f t="shared" si="615"/>
        <v/>
      </c>
      <c r="AR3864" s="1856" t="str">
        <f t="shared" si="614"/>
        <v/>
      </c>
      <c r="AT3864" s="1856" t="str">
        <f t="shared" si="607"/>
        <v/>
      </c>
      <c r="AU3864" s="1856" t="str">
        <f t="shared" si="608"/>
        <v/>
      </c>
      <c r="AV3864" s="1856" t="str">
        <f t="shared" si="609"/>
        <v/>
      </c>
      <c r="AW3864" s="1856" t="str">
        <f t="shared" si="610"/>
        <v/>
      </c>
      <c r="AX3864" s="1856" t="str">
        <f t="shared" si="611"/>
        <v/>
      </c>
      <c r="AY3864" s="1856" t="str">
        <f t="shared" si="612"/>
        <v/>
      </c>
    </row>
    <row r="3865" spans="42:51">
      <c r="AP3865" s="1855">
        <f t="shared" si="613"/>
        <v>44957</v>
      </c>
      <c r="AQ3865" s="925" t="str">
        <f t="shared" si="615"/>
        <v/>
      </c>
      <c r="AR3865" s="1856" t="str">
        <f t="shared" si="614"/>
        <v/>
      </c>
      <c r="AT3865" s="1856" t="str">
        <f t="shared" si="607"/>
        <v/>
      </c>
      <c r="AU3865" s="1856" t="str">
        <f t="shared" si="608"/>
        <v/>
      </c>
      <c r="AV3865" s="1856" t="str">
        <f t="shared" si="609"/>
        <v/>
      </c>
      <c r="AW3865" s="1856" t="str">
        <f t="shared" si="610"/>
        <v/>
      </c>
      <c r="AX3865" s="1856" t="str">
        <f t="shared" si="611"/>
        <v/>
      </c>
      <c r="AY3865" s="1856" t="str">
        <f t="shared" si="612"/>
        <v/>
      </c>
    </row>
    <row r="3866" spans="42:51">
      <c r="AP3866" s="1855">
        <f t="shared" si="613"/>
        <v>44957</v>
      </c>
      <c r="AQ3866" s="925" t="str">
        <f t="shared" si="615"/>
        <v/>
      </c>
      <c r="AR3866" s="1856" t="str">
        <f t="shared" si="614"/>
        <v/>
      </c>
      <c r="AT3866" s="1856" t="str">
        <f t="shared" si="607"/>
        <v/>
      </c>
      <c r="AU3866" s="1856" t="str">
        <f t="shared" si="608"/>
        <v/>
      </c>
      <c r="AV3866" s="1856" t="str">
        <f t="shared" si="609"/>
        <v/>
      </c>
      <c r="AW3866" s="1856" t="str">
        <f t="shared" si="610"/>
        <v/>
      </c>
      <c r="AX3866" s="1856" t="str">
        <f t="shared" si="611"/>
        <v/>
      </c>
      <c r="AY3866" s="1856" t="str">
        <f t="shared" si="612"/>
        <v/>
      </c>
    </row>
    <row r="3867" spans="42:51">
      <c r="AP3867" s="1855">
        <f t="shared" si="613"/>
        <v>44957</v>
      </c>
      <c r="AQ3867" s="925" t="str">
        <f t="shared" si="615"/>
        <v/>
      </c>
      <c r="AR3867" s="1856" t="str">
        <f t="shared" si="614"/>
        <v/>
      </c>
      <c r="AT3867" s="1856" t="str">
        <f t="shared" si="607"/>
        <v/>
      </c>
      <c r="AU3867" s="1856" t="str">
        <f t="shared" si="608"/>
        <v/>
      </c>
      <c r="AV3867" s="1856" t="str">
        <f t="shared" si="609"/>
        <v/>
      </c>
      <c r="AW3867" s="1856" t="str">
        <f t="shared" si="610"/>
        <v/>
      </c>
      <c r="AX3867" s="1856" t="str">
        <f t="shared" si="611"/>
        <v/>
      </c>
      <c r="AY3867" s="1856" t="str">
        <f t="shared" si="612"/>
        <v/>
      </c>
    </row>
    <row r="3868" spans="42:51">
      <c r="AP3868" s="1855">
        <f t="shared" si="613"/>
        <v>44957</v>
      </c>
      <c r="AQ3868" s="925" t="str">
        <f t="shared" si="615"/>
        <v/>
      </c>
      <c r="AR3868" s="1856" t="str">
        <f t="shared" si="614"/>
        <v/>
      </c>
      <c r="AT3868" s="1856" t="str">
        <f t="shared" ref="AT3868:AT3931" si="616">IF(ISNUMBER(AS3868),INDEX(AR3869:AR3879,MATCH($AT$27,AQ3869:AQ3879,0)),"")</f>
        <v/>
      </c>
      <c r="AU3868" s="1856" t="str">
        <f t="shared" ref="AU3868:AU3931" si="617">IF(AT3868="","",INDEX(AR3869:AR3879,MATCH($AU$27,AQ3869:AQ3879,0)))</f>
        <v/>
      </c>
      <c r="AV3868" s="1856" t="str">
        <f t="shared" ref="AV3868:AV3931" si="618">IF(AT3868="","",INDEX(AR3869:AR3879,MATCH($AV$27,AQ3869:AQ3879,0)))</f>
        <v/>
      </c>
      <c r="AW3868" s="1856" t="str">
        <f t="shared" ref="AW3868:AW3931" si="619">IF(AT3868="","",INDEX(AR3869:AR3879,MATCH($AW$27,AQ3869:AQ3879,0)))</f>
        <v/>
      </c>
      <c r="AX3868" s="1856" t="str">
        <f t="shared" ref="AX3868:AX3931" si="620">IF(AT3868="","",INDEX(AR3869:AR3879,MATCH($AX$27,AQ3869:AQ3879,0)))</f>
        <v/>
      </c>
      <c r="AY3868" s="1856" t="str">
        <f t="shared" ref="AY3868:AY3931" si="621">IF(AT3868="","",INDEX(AR3869:AR3879,MATCH($AY$27,AQ3869:AQ3879,0)))</f>
        <v/>
      </c>
    </row>
    <row r="3869" spans="42:51">
      <c r="AP3869" s="1855">
        <f t="shared" si="613"/>
        <v>44957</v>
      </c>
      <c r="AQ3869" s="925" t="str">
        <f t="shared" si="615"/>
        <v/>
      </c>
      <c r="AR3869" s="1856" t="str">
        <f t="shared" si="614"/>
        <v/>
      </c>
      <c r="AT3869" s="1856" t="str">
        <f t="shared" si="616"/>
        <v/>
      </c>
      <c r="AU3869" s="1856" t="str">
        <f t="shared" si="617"/>
        <v/>
      </c>
      <c r="AV3869" s="1856" t="str">
        <f t="shared" si="618"/>
        <v/>
      </c>
      <c r="AW3869" s="1856" t="str">
        <f t="shared" si="619"/>
        <v/>
      </c>
      <c r="AX3869" s="1856" t="str">
        <f t="shared" si="620"/>
        <v/>
      </c>
      <c r="AY3869" s="1856" t="str">
        <f t="shared" si="621"/>
        <v/>
      </c>
    </row>
    <row r="3870" spans="42:51">
      <c r="AP3870" s="1855">
        <f t="shared" si="613"/>
        <v>44957</v>
      </c>
      <c r="AQ3870" s="925" t="str">
        <f t="shared" si="615"/>
        <v/>
      </c>
      <c r="AR3870" s="1856" t="str">
        <f t="shared" si="614"/>
        <v/>
      </c>
      <c r="AT3870" s="1856" t="str">
        <f t="shared" si="616"/>
        <v/>
      </c>
      <c r="AU3870" s="1856" t="str">
        <f t="shared" si="617"/>
        <v/>
      </c>
      <c r="AV3870" s="1856" t="str">
        <f t="shared" si="618"/>
        <v/>
      </c>
      <c r="AW3870" s="1856" t="str">
        <f t="shared" si="619"/>
        <v/>
      </c>
      <c r="AX3870" s="1856" t="str">
        <f t="shared" si="620"/>
        <v/>
      </c>
      <c r="AY3870" s="1856" t="str">
        <f t="shared" si="621"/>
        <v/>
      </c>
    </row>
    <row r="3871" spans="42:51">
      <c r="AP3871" s="1855">
        <f t="shared" si="613"/>
        <v>44957</v>
      </c>
      <c r="AQ3871" s="925" t="str">
        <f t="shared" si="615"/>
        <v/>
      </c>
      <c r="AR3871" s="1856" t="str">
        <f t="shared" si="614"/>
        <v/>
      </c>
      <c r="AT3871" s="1856" t="str">
        <f t="shared" si="616"/>
        <v/>
      </c>
      <c r="AU3871" s="1856" t="str">
        <f t="shared" si="617"/>
        <v/>
      </c>
      <c r="AV3871" s="1856" t="str">
        <f t="shared" si="618"/>
        <v/>
      </c>
      <c r="AW3871" s="1856" t="str">
        <f t="shared" si="619"/>
        <v/>
      </c>
      <c r="AX3871" s="1856" t="str">
        <f t="shared" si="620"/>
        <v/>
      </c>
      <c r="AY3871" s="1856" t="str">
        <f t="shared" si="621"/>
        <v/>
      </c>
    </row>
    <row r="3872" spans="42:51">
      <c r="AP3872" s="1855">
        <f t="shared" si="613"/>
        <v>44957</v>
      </c>
      <c r="AQ3872" s="925" t="str">
        <f t="shared" si="615"/>
        <v/>
      </c>
      <c r="AR3872" s="1856" t="str">
        <f t="shared" si="614"/>
        <v/>
      </c>
      <c r="AT3872" s="1856" t="str">
        <f t="shared" si="616"/>
        <v/>
      </c>
      <c r="AU3872" s="1856" t="str">
        <f t="shared" si="617"/>
        <v/>
      </c>
      <c r="AV3872" s="1856" t="str">
        <f t="shared" si="618"/>
        <v/>
      </c>
      <c r="AW3872" s="1856" t="str">
        <f t="shared" si="619"/>
        <v/>
      </c>
      <c r="AX3872" s="1856" t="str">
        <f t="shared" si="620"/>
        <v/>
      </c>
      <c r="AY3872" s="1856" t="str">
        <f t="shared" si="621"/>
        <v/>
      </c>
    </row>
    <row r="3873" spans="42:51">
      <c r="AP3873" s="1855">
        <f t="shared" si="613"/>
        <v>44957</v>
      </c>
      <c r="AQ3873" s="925" t="str">
        <f t="shared" si="615"/>
        <v/>
      </c>
      <c r="AR3873" s="1856" t="str">
        <f t="shared" si="614"/>
        <v/>
      </c>
      <c r="AT3873" s="1856" t="str">
        <f t="shared" si="616"/>
        <v/>
      </c>
      <c r="AU3873" s="1856" t="str">
        <f t="shared" si="617"/>
        <v/>
      </c>
      <c r="AV3873" s="1856" t="str">
        <f t="shared" si="618"/>
        <v/>
      </c>
      <c r="AW3873" s="1856" t="str">
        <f t="shared" si="619"/>
        <v/>
      </c>
      <c r="AX3873" s="1856" t="str">
        <f t="shared" si="620"/>
        <v/>
      </c>
      <c r="AY3873" s="1856" t="str">
        <f t="shared" si="621"/>
        <v/>
      </c>
    </row>
    <row r="3874" spans="42:51">
      <c r="AP3874" s="1855">
        <f t="shared" si="613"/>
        <v>44957</v>
      </c>
      <c r="AQ3874" s="925" t="str">
        <f t="shared" si="615"/>
        <v/>
      </c>
      <c r="AR3874" s="1856" t="str">
        <f t="shared" si="614"/>
        <v/>
      </c>
      <c r="AT3874" s="1856" t="str">
        <f t="shared" si="616"/>
        <v/>
      </c>
      <c r="AU3874" s="1856" t="str">
        <f t="shared" si="617"/>
        <v/>
      </c>
      <c r="AV3874" s="1856" t="str">
        <f t="shared" si="618"/>
        <v/>
      </c>
      <c r="AW3874" s="1856" t="str">
        <f t="shared" si="619"/>
        <v/>
      </c>
      <c r="AX3874" s="1856" t="str">
        <f t="shared" si="620"/>
        <v/>
      </c>
      <c r="AY3874" s="1856" t="str">
        <f t="shared" si="621"/>
        <v/>
      </c>
    </row>
    <row r="3875" spans="42:51">
      <c r="AP3875" s="1855">
        <f t="shared" si="613"/>
        <v>44957</v>
      </c>
      <c r="AQ3875" s="925" t="str">
        <f t="shared" si="615"/>
        <v/>
      </c>
      <c r="AR3875" s="1856" t="str">
        <f t="shared" si="614"/>
        <v/>
      </c>
      <c r="AT3875" s="1856" t="str">
        <f t="shared" si="616"/>
        <v/>
      </c>
      <c r="AU3875" s="1856" t="str">
        <f t="shared" si="617"/>
        <v/>
      </c>
      <c r="AV3875" s="1856" t="str">
        <f t="shared" si="618"/>
        <v/>
      </c>
      <c r="AW3875" s="1856" t="str">
        <f t="shared" si="619"/>
        <v/>
      </c>
      <c r="AX3875" s="1856" t="str">
        <f t="shared" si="620"/>
        <v/>
      </c>
      <c r="AY3875" s="1856" t="str">
        <f t="shared" si="621"/>
        <v/>
      </c>
    </row>
    <row r="3876" spans="42:51">
      <c r="AP3876" s="1855">
        <f t="shared" si="613"/>
        <v>44957</v>
      </c>
      <c r="AQ3876" s="925" t="str">
        <f t="shared" si="615"/>
        <v/>
      </c>
      <c r="AR3876" s="1856" t="str">
        <f t="shared" si="614"/>
        <v/>
      </c>
      <c r="AT3876" s="1856" t="str">
        <f t="shared" si="616"/>
        <v/>
      </c>
      <c r="AU3876" s="1856" t="str">
        <f t="shared" si="617"/>
        <v/>
      </c>
      <c r="AV3876" s="1856" t="str">
        <f t="shared" si="618"/>
        <v/>
      </c>
      <c r="AW3876" s="1856" t="str">
        <f t="shared" si="619"/>
        <v/>
      </c>
      <c r="AX3876" s="1856" t="str">
        <f t="shared" si="620"/>
        <v/>
      </c>
      <c r="AY3876" s="1856" t="str">
        <f t="shared" si="621"/>
        <v/>
      </c>
    </row>
    <row r="3877" spans="42:51">
      <c r="AP3877" s="1855">
        <f t="shared" ref="AP3877:AP3940" si="622">IF(ISNUMBER(AS3877),AP3876+1,AP3876)</f>
        <v>44957</v>
      </c>
      <c r="AQ3877" s="925" t="str">
        <f t="shared" si="615"/>
        <v/>
      </c>
      <c r="AR3877" s="1856" t="str">
        <f t="shared" si="614"/>
        <v/>
      </c>
      <c r="AT3877" s="1856" t="str">
        <f t="shared" si="616"/>
        <v/>
      </c>
      <c r="AU3877" s="1856" t="str">
        <f t="shared" si="617"/>
        <v/>
      </c>
      <c r="AV3877" s="1856" t="str">
        <f t="shared" si="618"/>
        <v/>
      </c>
      <c r="AW3877" s="1856" t="str">
        <f t="shared" si="619"/>
        <v/>
      </c>
      <c r="AX3877" s="1856" t="str">
        <f t="shared" si="620"/>
        <v/>
      </c>
      <c r="AY3877" s="1856" t="str">
        <f t="shared" si="621"/>
        <v/>
      </c>
    </row>
    <row r="3878" spans="42:51">
      <c r="AP3878" s="1855">
        <f t="shared" si="622"/>
        <v>44957</v>
      </c>
      <c r="AQ3878" s="925" t="str">
        <f t="shared" si="615"/>
        <v/>
      </c>
      <c r="AR3878" s="1856" t="str">
        <f t="shared" si="614"/>
        <v/>
      </c>
      <c r="AT3878" s="1856" t="str">
        <f t="shared" si="616"/>
        <v/>
      </c>
      <c r="AU3878" s="1856" t="str">
        <f t="shared" si="617"/>
        <v/>
      </c>
      <c r="AV3878" s="1856" t="str">
        <f t="shared" si="618"/>
        <v/>
      </c>
      <c r="AW3878" s="1856" t="str">
        <f t="shared" si="619"/>
        <v/>
      </c>
      <c r="AX3878" s="1856" t="str">
        <f t="shared" si="620"/>
        <v/>
      </c>
      <c r="AY3878" s="1856" t="str">
        <f t="shared" si="621"/>
        <v/>
      </c>
    </row>
    <row r="3879" spans="42:51">
      <c r="AP3879" s="1855">
        <f t="shared" si="622"/>
        <v>44957</v>
      </c>
      <c r="AQ3879" s="925" t="str">
        <f t="shared" si="615"/>
        <v/>
      </c>
      <c r="AR3879" s="1856" t="str">
        <f t="shared" si="614"/>
        <v/>
      </c>
      <c r="AT3879" s="1856" t="str">
        <f t="shared" si="616"/>
        <v/>
      </c>
      <c r="AU3879" s="1856" t="str">
        <f t="shared" si="617"/>
        <v/>
      </c>
      <c r="AV3879" s="1856" t="str">
        <f t="shared" si="618"/>
        <v/>
      </c>
      <c r="AW3879" s="1856" t="str">
        <f t="shared" si="619"/>
        <v/>
      </c>
      <c r="AX3879" s="1856" t="str">
        <f t="shared" si="620"/>
        <v/>
      </c>
      <c r="AY3879" s="1856" t="str">
        <f t="shared" si="621"/>
        <v/>
      </c>
    </row>
    <row r="3880" spans="42:51">
      <c r="AP3880" s="1855">
        <f t="shared" si="622"/>
        <v>44957</v>
      </c>
      <c r="AQ3880" s="925" t="str">
        <f t="shared" si="615"/>
        <v/>
      </c>
      <c r="AR3880" s="1856" t="str">
        <f t="shared" si="614"/>
        <v/>
      </c>
      <c r="AT3880" s="1856" t="str">
        <f t="shared" si="616"/>
        <v/>
      </c>
      <c r="AU3880" s="1856" t="str">
        <f t="shared" si="617"/>
        <v/>
      </c>
      <c r="AV3880" s="1856" t="str">
        <f t="shared" si="618"/>
        <v/>
      </c>
      <c r="AW3880" s="1856" t="str">
        <f t="shared" si="619"/>
        <v/>
      </c>
      <c r="AX3880" s="1856" t="str">
        <f t="shared" si="620"/>
        <v/>
      </c>
      <c r="AY3880" s="1856" t="str">
        <f t="shared" si="621"/>
        <v/>
      </c>
    </row>
    <row r="3881" spans="42:51">
      <c r="AP3881" s="1855">
        <f t="shared" si="622"/>
        <v>44957</v>
      </c>
      <c r="AQ3881" s="925" t="str">
        <f t="shared" si="615"/>
        <v/>
      </c>
      <c r="AR3881" s="1856" t="str">
        <f t="shared" ref="AR3881:AR3944" si="623">IF(NOT(ISNUMBER(FIND(":",AS3881))),"",IF(ISNUMBER(FIND(" none",AS3881)),"NONE",AP3881+LEFT(RIGHT(AS3881,5),2)/24+RIGHT(AS3881,2)/1440))</f>
        <v/>
      </c>
      <c r="AT3881" s="1856" t="str">
        <f t="shared" si="616"/>
        <v/>
      </c>
      <c r="AU3881" s="1856" t="str">
        <f t="shared" si="617"/>
        <v/>
      </c>
      <c r="AV3881" s="1856" t="str">
        <f t="shared" si="618"/>
        <v/>
      </c>
      <c r="AW3881" s="1856" t="str">
        <f t="shared" si="619"/>
        <v/>
      </c>
      <c r="AX3881" s="1856" t="str">
        <f t="shared" si="620"/>
        <v/>
      </c>
      <c r="AY3881" s="1856" t="str">
        <f t="shared" si="621"/>
        <v/>
      </c>
    </row>
    <row r="3882" spans="42:51">
      <c r="AP3882" s="1855">
        <f t="shared" si="622"/>
        <v>44957</v>
      </c>
      <c r="AQ3882" s="925" t="str">
        <f t="shared" si="615"/>
        <v/>
      </c>
      <c r="AR3882" s="1856" t="str">
        <f t="shared" si="623"/>
        <v/>
      </c>
      <c r="AT3882" s="1856" t="str">
        <f t="shared" si="616"/>
        <v/>
      </c>
      <c r="AU3882" s="1856" t="str">
        <f t="shared" si="617"/>
        <v/>
      </c>
      <c r="AV3882" s="1856" t="str">
        <f t="shared" si="618"/>
        <v/>
      </c>
      <c r="AW3882" s="1856" t="str">
        <f t="shared" si="619"/>
        <v/>
      </c>
      <c r="AX3882" s="1856" t="str">
        <f t="shared" si="620"/>
        <v/>
      </c>
      <c r="AY3882" s="1856" t="str">
        <f t="shared" si="621"/>
        <v/>
      </c>
    </row>
    <row r="3883" spans="42:51">
      <c r="AP3883" s="1855">
        <f t="shared" si="622"/>
        <v>44957</v>
      </c>
      <c r="AQ3883" s="925" t="str">
        <f t="shared" si="615"/>
        <v/>
      </c>
      <c r="AR3883" s="1856" t="str">
        <f t="shared" si="623"/>
        <v/>
      </c>
      <c r="AT3883" s="1856" t="str">
        <f t="shared" si="616"/>
        <v/>
      </c>
      <c r="AU3883" s="1856" t="str">
        <f t="shared" si="617"/>
        <v/>
      </c>
      <c r="AV3883" s="1856" t="str">
        <f t="shared" si="618"/>
        <v/>
      </c>
      <c r="AW3883" s="1856" t="str">
        <f t="shared" si="619"/>
        <v/>
      </c>
      <c r="AX3883" s="1856" t="str">
        <f t="shared" si="620"/>
        <v/>
      </c>
      <c r="AY3883" s="1856" t="str">
        <f t="shared" si="621"/>
        <v/>
      </c>
    </row>
    <row r="3884" spans="42:51">
      <c r="AP3884" s="1855">
        <f t="shared" si="622"/>
        <v>44957</v>
      </c>
      <c r="AQ3884" s="925" t="str">
        <f t="shared" si="615"/>
        <v/>
      </c>
      <c r="AR3884" s="1856" t="str">
        <f t="shared" si="623"/>
        <v/>
      </c>
      <c r="AT3884" s="1856" t="str">
        <f t="shared" si="616"/>
        <v/>
      </c>
      <c r="AU3884" s="1856" t="str">
        <f t="shared" si="617"/>
        <v/>
      </c>
      <c r="AV3884" s="1856" t="str">
        <f t="shared" si="618"/>
        <v/>
      </c>
      <c r="AW3884" s="1856" t="str">
        <f t="shared" si="619"/>
        <v/>
      </c>
      <c r="AX3884" s="1856" t="str">
        <f t="shared" si="620"/>
        <v/>
      </c>
      <c r="AY3884" s="1856" t="str">
        <f t="shared" si="621"/>
        <v/>
      </c>
    </row>
    <row r="3885" spans="42:51">
      <c r="AP3885" s="1855">
        <f t="shared" si="622"/>
        <v>44957</v>
      </c>
      <c r="AQ3885" s="925" t="str">
        <f t="shared" si="615"/>
        <v/>
      </c>
      <c r="AR3885" s="1856" t="str">
        <f t="shared" si="623"/>
        <v/>
      </c>
      <c r="AT3885" s="1856" t="str">
        <f t="shared" si="616"/>
        <v/>
      </c>
      <c r="AU3885" s="1856" t="str">
        <f t="shared" si="617"/>
        <v/>
      </c>
      <c r="AV3885" s="1856" t="str">
        <f t="shared" si="618"/>
        <v/>
      </c>
      <c r="AW3885" s="1856" t="str">
        <f t="shared" si="619"/>
        <v/>
      </c>
      <c r="AX3885" s="1856" t="str">
        <f t="shared" si="620"/>
        <v/>
      </c>
      <c r="AY3885" s="1856" t="str">
        <f t="shared" si="621"/>
        <v/>
      </c>
    </row>
    <row r="3886" spans="42:51">
      <c r="AP3886" s="1855">
        <f t="shared" si="622"/>
        <v>44957</v>
      </c>
      <c r="AQ3886" s="925" t="str">
        <f t="shared" si="615"/>
        <v/>
      </c>
      <c r="AR3886" s="1856" t="str">
        <f t="shared" si="623"/>
        <v/>
      </c>
      <c r="AT3886" s="1856" t="str">
        <f t="shared" si="616"/>
        <v/>
      </c>
      <c r="AU3886" s="1856" t="str">
        <f t="shared" si="617"/>
        <v/>
      </c>
      <c r="AV3886" s="1856" t="str">
        <f t="shared" si="618"/>
        <v/>
      </c>
      <c r="AW3886" s="1856" t="str">
        <f t="shared" si="619"/>
        <v/>
      </c>
      <c r="AX3886" s="1856" t="str">
        <f t="shared" si="620"/>
        <v/>
      </c>
      <c r="AY3886" s="1856" t="str">
        <f t="shared" si="621"/>
        <v/>
      </c>
    </row>
    <row r="3887" spans="42:51">
      <c r="AP3887" s="1855">
        <f t="shared" si="622"/>
        <v>44957</v>
      </c>
      <c r="AQ3887" s="925" t="str">
        <f t="shared" si="615"/>
        <v/>
      </c>
      <c r="AR3887" s="1856" t="str">
        <f t="shared" si="623"/>
        <v/>
      </c>
      <c r="AT3887" s="1856" t="str">
        <f t="shared" si="616"/>
        <v/>
      </c>
      <c r="AU3887" s="1856" t="str">
        <f t="shared" si="617"/>
        <v/>
      </c>
      <c r="AV3887" s="1856" t="str">
        <f t="shared" si="618"/>
        <v/>
      </c>
      <c r="AW3887" s="1856" t="str">
        <f t="shared" si="619"/>
        <v/>
      </c>
      <c r="AX3887" s="1856" t="str">
        <f t="shared" si="620"/>
        <v/>
      </c>
      <c r="AY3887" s="1856" t="str">
        <f t="shared" si="621"/>
        <v/>
      </c>
    </row>
    <row r="3888" spans="42:51">
      <c r="AP3888" s="1855">
        <f t="shared" si="622"/>
        <v>44957</v>
      </c>
      <c r="AQ3888" s="925" t="str">
        <f t="shared" si="615"/>
        <v/>
      </c>
      <c r="AR3888" s="1856" t="str">
        <f t="shared" si="623"/>
        <v/>
      </c>
      <c r="AT3888" s="1856" t="str">
        <f t="shared" si="616"/>
        <v/>
      </c>
      <c r="AU3888" s="1856" t="str">
        <f t="shared" si="617"/>
        <v/>
      </c>
      <c r="AV3888" s="1856" t="str">
        <f t="shared" si="618"/>
        <v/>
      </c>
      <c r="AW3888" s="1856" t="str">
        <f t="shared" si="619"/>
        <v/>
      </c>
      <c r="AX3888" s="1856" t="str">
        <f t="shared" si="620"/>
        <v/>
      </c>
      <c r="AY3888" s="1856" t="str">
        <f t="shared" si="621"/>
        <v/>
      </c>
    </row>
    <row r="3889" spans="42:51">
      <c r="AP3889" s="1855">
        <f t="shared" si="622"/>
        <v>44957</v>
      </c>
      <c r="AQ3889" s="925" t="str">
        <f t="shared" si="615"/>
        <v/>
      </c>
      <c r="AR3889" s="1856" t="str">
        <f t="shared" si="623"/>
        <v/>
      </c>
      <c r="AT3889" s="1856" t="str">
        <f t="shared" si="616"/>
        <v/>
      </c>
      <c r="AU3889" s="1856" t="str">
        <f t="shared" si="617"/>
        <v/>
      </c>
      <c r="AV3889" s="1856" t="str">
        <f t="shared" si="618"/>
        <v/>
      </c>
      <c r="AW3889" s="1856" t="str">
        <f t="shared" si="619"/>
        <v/>
      </c>
      <c r="AX3889" s="1856" t="str">
        <f t="shared" si="620"/>
        <v/>
      </c>
      <c r="AY3889" s="1856" t="str">
        <f t="shared" si="621"/>
        <v/>
      </c>
    </row>
    <row r="3890" spans="42:51">
      <c r="AP3890" s="1855">
        <f t="shared" si="622"/>
        <v>44957</v>
      </c>
      <c r="AQ3890" s="925" t="str">
        <f t="shared" si="615"/>
        <v/>
      </c>
      <c r="AR3890" s="1856" t="str">
        <f t="shared" si="623"/>
        <v/>
      </c>
      <c r="AT3890" s="1856" t="str">
        <f t="shared" si="616"/>
        <v/>
      </c>
      <c r="AU3890" s="1856" t="str">
        <f t="shared" si="617"/>
        <v/>
      </c>
      <c r="AV3890" s="1856" t="str">
        <f t="shared" si="618"/>
        <v/>
      </c>
      <c r="AW3890" s="1856" t="str">
        <f t="shared" si="619"/>
        <v/>
      </c>
      <c r="AX3890" s="1856" t="str">
        <f t="shared" si="620"/>
        <v/>
      </c>
      <c r="AY3890" s="1856" t="str">
        <f t="shared" si="621"/>
        <v/>
      </c>
    </row>
    <row r="3891" spans="42:51">
      <c r="AP3891" s="1855">
        <f t="shared" si="622"/>
        <v>44957</v>
      </c>
      <c r="AQ3891" s="925" t="str">
        <f t="shared" si="615"/>
        <v/>
      </c>
      <c r="AR3891" s="1856" t="str">
        <f t="shared" si="623"/>
        <v/>
      </c>
      <c r="AT3891" s="1856" t="str">
        <f t="shared" si="616"/>
        <v/>
      </c>
      <c r="AU3891" s="1856" t="str">
        <f t="shared" si="617"/>
        <v/>
      </c>
      <c r="AV3891" s="1856" t="str">
        <f t="shared" si="618"/>
        <v/>
      </c>
      <c r="AW3891" s="1856" t="str">
        <f t="shared" si="619"/>
        <v/>
      </c>
      <c r="AX3891" s="1856" t="str">
        <f t="shared" si="620"/>
        <v/>
      </c>
      <c r="AY3891" s="1856" t="str">
        <f t="shared" si="621"/>
        <v/>
      </c>
    </row>
    <row r="3892" spans="42:51">
      <c r="AP3892" s="1855">
        <f t="shared" si="622"/>
        <v>44957</v>
      </c>
      <c r="AQ3892" s="925" t="str">
        <f t="shared" ref="AQ3892:AQ3955" si="624">IF(NOT(ISNUMBER(FIND(":",AS3892))),"",IF(ISNUMBER(FIND("Sunr",AS3892)),"SR", IF(ISNUMBER(FIND("Suns",AS3892)),"SS",IF(ISNUMBER(FIND("Moonr",AS3892)),"MR",IF(ISNUMBER(FIND("Moons",AS3892)),"MS",IF(ISNUMBER(FIND("Twi",AS3892)),IF(HOUR(AR3892)&lt;12,"BMNT","EENT")))))))</f>
        <v/>
      </c>
      <c r="AR3892" s="1856" t="str">
        <f t="shared" si="623"/>
        <v/>
      </c>
      <c r="AT3892" s="1856" t="str">
        <f t="shared" si="616"/>
        <v/>
      </c>
      <c r="AU3892" s="1856" t="str">
        <f t="shared" si="617"/>
        <v/>
      </c>
      <c r="AV3892" s="1856" t="str">
        <f t="shared" si="618"/>
        <v/>
      </c>
      <c r="AW3892" s="1856" t="str">
        <f t="shared" si="619"/>
        <v/>
      </c>
      <c r="AX3892" s="1856" t="str">
        <f t="shared" si="620"/>
        <v/>
      </c>
      <c r="AY3892" s="1856" t="str">
        <f t="shared" si="621"/>
        <v/>
      </c>
    </row>
    <row r="3893" spans="42:51">
      <c r="AP3893" s="1855">
        <f t="shared" si="622"/>
        <v>44957</v>
      </c>
      <c r="AQ3893" s="925" t="str">
        <f t="shared" si="624"/>
        <v/>
      </c>
      <c r="AR3893" s="1856" t="str">
        <f t="shared" si="623"/>
        <v/>
      </c>
      <c r="AT3893" s="1856" t="str">
        <f t="shared" si="616"/>
        <v/>
      </c>
      <c r="AU3893" s="1856" t="str">
        <f t="shared" si="617"/>
        <v/>
      </c>
      <c r="AV3893" s="1856" t="str">
        <f t="shared" si="618"/>
        <v/>
      </c>
      <c r="AW3893" s="1856" t="str">
        <f t="shared" si="619"/>
        <v/>
      </c>
      <c r="AX3893" s="1856" t="str">
        <f t="shared" si="620"/>
        <v/>
      </c>
      <c r="AY3893" s="1856" t="str">
        <f t="shared" si="621"/>
        <v/>
      </c>
    </row>
    <row r="3894" spans="42:51">
      <c r="AP3894" s="1855">
        <f t="shared" si="622"/>
        <v>44957</v>
      </c>
      <c r="AQ3894" s="925" t="str">
        <f t="shared" si="624"/>
        <v/>
      </c>
      <c r="AR3894" s="1856" t="str">
        <f t="shared" si="623"/>
        <v/>
      </c>
      <c r="AT3894" s="1856" t="str">
        <f t="shared" si="616"/>
        <v/>
      </c>
      <c r="AU3894" s="1856" t="str">
        <f t="shared" si="617"/>
        <v/>
      </c>
      <c r="AV3894" s="1856" t="str">
        <f t="shared" si="618"/>
        <v/>
      </c>
      <c r="AW3894" s="1856" t="str">
        <f t="shared" si="619"/>
        <v/>
      </c>
      <c r="AX3894" s="1856" t="str">
        <f t="shared" si="620"/>
        <v/>
      </c>
      <c r="AY3894" s="1856" t="str">
        <f t="shared" si="621"/>
        <v/>
      </c>
    </row>
    <row r="3895" spans="42:51">
      <c r="AP3895" s="1855">
        <f t="shared" si="622"/>
        <v>44957</v>
      </c>
      <c r="AQ3895" s="925" t="str">
        <f t="shared" si="624"/>
        <v/>
      </c>
      <c r="AR3895" s="1856" t="str">
        <f t="shared" si="623"/>
        <v/>
      </c>
      <c r="AT3895" s="1856" t="str">
        <f t="shared" si="616"/>
        <v/>
      </c>
      <c r="AU3895" s="1856" t="str">
        <f t="shared" si="617"/>
        <v/>
      </c>
      <c r="AV3895" s="1856" t="str">
        <f t="shared" si="618"/>
        <v/>
      </c>
      <c r="AW3895" s="1856" t="str">
        <f t="shared" si="619"/>
        <v/>
      </c>
      <c r="AX3895" s="1856" t="str">
        <f t="shared" si="620"/>
        <v/>
      </c>
      <c r="AY3895" s="1856" t="str">
        <f t="shared" si="621"/>
        <v/>
      </c>
    </row>
    <row r="3896" spans="42:51">
      <c r="AP3896" s="1855">
        <f t="shared" si="622"/>
        <v>44957</v>
      </c>
      <c r="AQ3896" s="925" t="str">
        <f t="shared" si="624"/>
        <v/>
      </c>
      <c r="AR3896" s="1856" t="str">
        <f t="shared" si="623"/>
        <v/>
      </c>
      <c r="AT3896" s="1856" t="str">
        <f t="shared" si="616"/>
        <v/>
      </c>
      <c r="AU3896" s="1856" t="str">
        <f t="shared" si="617"/>
        <v/>
      </c>
      <c r="AV3896" s="1856" t="str">
        <f t="shared" si="618"/>
        <v/>
      </c>
      <c r="AW3896" s="1856" t="str">
        <f t="shared" si="619"/>
        <v/>
      </c>
      <c r="AX3896" s="1856" t="str">
        <f t="shared" si="620"/>
        <v/>
      </c>
      <c r="AY3896" s="1856" t="str">
        <f t="shared" si="621"/>
        <v/>
      </c>
    </row>
    <row r="3897" spans="42:51">
      <c r="AP3897" s="1855">
        <f t="shared" si="622"/>
        <v>44957</v>
      </c>
      <c r="AQ3897" s="925" t="str">
        <f t="shared" si="624"/>
        <v/>
      </c>
      <c r="AR3897" s="1856" t="str">
        <f t="shared" si="623"/>
        <v/>
      </c>
      <c r="AT3897" s="1856" t="str">
        <f t="shared" si="616"/>
        <v/>
      </c>
      <c r="AU3897" s="1856" t="str">
        <f t="shared" si="617"/>
        <v/>
      </c>
      <c r="AV3897" s="1856" t="str">
        <f t="shared" si="618"/>
        <v/>
      </c>
      <c r="AW3897" s="1856" t="str">
        <f t="shared" si="619"/>
        <v/>
      </c>
      <c r="AX3897" s="1856" t="str">
        <f t="shared" si="620"/>
        <v/>
      </c>
      <c r="AY3897" s="1856" t="str">
        <f t="shared" si="621"/>
        <v/>
      </c>
    </row>
    <row r="3898" spans="42:51">
      <c r="AP3898" s="1855">
        <f t="shared" si="622"/>
        <v>44957</v>
      </c>
      <c r="AQ3898" s="925" t="str">
        <f t="shared" si="624"/>
        <v/>
      </c>
      <c r="AR3898" s="1856" t="str">
        <f t="shared" si="623"/>
        <v/>
      </c>
      <c r="AT3898" s="1856" t="str">
        <f t="shared" si="616"/>
        <v/>
      </c>
      <c r="AU3898" s="1856" t="str">
        <f t="shared" si="617"/>
        <v/>
      </c>
      <c r="AV3898" s="1856" t="str">
        <f t="shared" si="618"/>
        <v/>
      </c>
      <c r="AW3898" s="1856" t="str">
        <f t="shared" si="619"/>
        <v/>
      </c>
      <c r="AX3898" s="1856" t="str">
        <f t="shared" si="620"/>
        <v/>
      </c>
      <c r="AY3898" s="1856" t="str">
        <f t="shared" si="621"/>
        <v/>
      </c>
    </row>
    <row r="3899" spans="42:51">
      <c r="AP3899" s="1855">
        <f t="shared" si="622"/>
        <v>44957</v>
      </c>
      <c r="AQ3899" s="925" t="str">
        <f t="shared" si="624"/>
        <v/>
      </c>
      <c r="AR3899" s="1856" t="str">
        <f t="shared" si="623"/>
        <v/>
      </c>
      <c r="AT3899" s="1856" t="str">
        <f t="shared" si="616"/>
        <v/>
      </c>
      <c r="AU3899" s="1856" t="str">
        <f t="shared" si="617"/>
        <v/>
      </c>
      <c r="AV3899" s="1856" t="str">
        <f t="shared" si="618"/>
        <v/>
      </c>
      <c r="AW3899" s="1856" t="str">
        <f t="shared" si="619"/>
        <v/>
      </c>
      <c r="AX3899" s="1856" t="str">
        <f t="shared" si="620"/>
        <v/>
      </c>
      <c r="AY3899" s="1856" t="str">
        <f t="shared" si="621"/>
        <v/>
      </c>
    </row>
    <row r="3900" spans="42:51">
      <c r="AP3900" s="1855">
        <f t="shared" si="622"/>
        <v>44957</v>
      </c>
      <c r="AQ3900" s="925" t="str">
        <f t="shared" si="624"/>
        <v/>
      </c>
      <c r="AR3900" s="1856" t="str">
        <f t="shared" si="623"/>
        <v/>
      </c>
      <c r="AT3900" s="1856" t="str">
        <f t="shared" si="616"/>
        <v/>
      </c>
      <c r="AU3900" s="1856" t="str">
        <f t="shared" si="617"/>
        <v/>
      </c>
      <c r="AV3900" s="1856" t="str">
        <f t="shared" si="618"/>
        <v/>
      </c>
      <c r="AW3900" s="1856" t="str">
        <f t="shared" si="619"/>
        <v/>
      </c>
      <c r="AX3900" s="1856" t="str">
        <f t="shared" si="620"/>
        <v/>
      </c>
      <c r="AY3900" s="1856" t="str">
        <f t="shared" si="621"/>
        <v/>
      </c>
    </row>
    <row r="3901" spans="42:51">
      <c r="AP3901" s="1855">
        <f t="shared" si="622"/>
        <v>44957</v>
      </c>
      <c r="AQ3901" s="925" t="str">
        <f t="shared" si="624"/>
        <v/>
      </c>
      <c r="AR3901" s="1856" t="str">
        <f t="shared" si="623"/>
        <v/>
      </c>
      <c r="AT3901" s="1856" t="str">
        <f t="shared" si="616"/>
        <v/>
      </c>
      <c r="AU3901" s="1856" t="str">
        <f t="shared" si="617"/>
        <v/>
      </c>
      <c r="AV3901" s="1856" t="str">
        <f t="shared" si="618"/>
        <v/>
      </c>
      <c r="AW3901" s="1856" t="str">
        <f t="shared" si="619"/>
        <v/>
      </c>
      <c r="AX3901" s="1856" t="str">
        <f t="shared" si="620"/>
        <v/>
      </c>
      <c r="AY3901" s="1856" t="str">
        <f t="shared" si="621"/>
        <v/>
      </c>
    </row>
    <row r="3902" spans="42:51">
      <c r="AP3902" s="1855">
        <f t="shared" si="622"/>
        <v>44957</v>
      </c>
      <c r="AQ3902" s="925" t="str">
        <f t="shared" si="624"/>
        <v/>
      </c>
      <c r="AR3902" s="1856" t="str">
        <f t="shared" si="623"/>
        <v/>
      </c>
      <c r="AT3902" s="1856" t="str">
        <f t="shared" si="616"/>
        <v/>
      </c>
      <c r="AU3902" s="1856" t="str">
        <f t="shared" si="617"/>
        <v/>
      </c>
      <c r="AV3902" s="1856" t="str">
        <f t="shared" si="618"/>
        <v/>
      </c>
      <c r="AW3902" s="1856" t="str">
        <f t="shared" si="619"/>
        <v/>
      </c>
      <c r="AX3902" s="1856" t="str">
        <f t="shared" si="620"/>
        <v/>
      </c>
      <c r="AY3902" s="1856" t="str">
        <f t="shared" si="621"/>
        <v/>
      </c>
    </row>
    <row r="3903" spans="42:51">
      <c r="AP3903" s="1855">
        <f t="shared" si="622"/>
        <v>44957</v>
      </c>
      <c r="AQ3903" s="925" t="str">
        <f t="shared" si="624"/>
        <v/>
      </c>
      <c r="AR3903" s="1856" t="str">
        <f t="shared" si="623"/>
        <v/>
      </c>
      <c r="AT3903" s="1856" t="str">
        <f t="shared" si="616"/>
        <v/>
      </c>
      <c r="AU3903" s="1856" t="str">
        <f t="shared" si="617"/>
        <v/>
      </c>
      <c r="AV3903" s="1856" t="str">
        <f t="shared" si="618"/>
        <v/>
      </c>
      <c r="AW3903" s="1856" t="str">
        <f t="shared" si="619"/>
        <v/>
      </c>
      <c r="AX3903" s="1856" t="str">
        <f t="shared" si="620"/>
        <v/>
      </c>
      <c r="AY3903" s="1856" t="str">
        <f t="shared" si="621"/>
        <v/>
      </c>
    </row>
    <row r="3904" spans="42:51">
      <c r="AP3904" s="1855">
        <f t="shared" si="622"/>
        <v>44957</v>
      </c>
      <c r="AQ3904" s="925" t="str">
        <f t="shared" si="624"/>
        <v/>
      </c>
      <c r="AR3904" s="1856" t="str">
        <f t="shared" si="623"/>
        <v/>
      </c>
      <c r="AT3904" s="1856" t="str">
        <f t="shared" si="616"/>
        <v/>
      </c>
      <c r="AU3904" s="1856" t="str">
        <f t="shared" si="617"/>
        <v/>
      </c>
      <c r="AV3904" s="1856" t="str">
        <f t="shared" si="618"/>
        <v/>
      </c>
      <c r="AW3904" s="1856" t="str">
        <f t="shared" si="619"/>
        <v/>
      </c>
      <c r="AX3904" s="1856" t="str">
        <f t="shared" si="620"/>
        <v/>
      </c>
      <c r="AY3904" s="1856" t="str">
        <f t="shared" si="621"/>
        <v/>
      </c>
    </row>
    <row r="3905" spans="42:51">
      <c r="AP3905" s="1855">
        <f t="shared" si="622"/>
        <v>44957</v>
      </c>
      <c r="AQ3905" s="925" t="str">
        <f t="shared" si="624"/>
        <v/>
      </c>
      <c r="AR3905" s="1856" t="str">
        <f t="shared" si="623"/>
        <v/>
      </c>
      <c r="AT3905" s="1856" t="str">
        <f t="shared" si="616"/>
        <v/>
      </c>
      <c r="AU3905" s="1856" t="str">
        <f t="shared" si="617"/>
        <v/>
      </c>
      <c r="AV3905" s="1856" t="str">
        <f t="shared" si="618"/>
        <v/>
      </c>
      <c r="AW3905" s="1856" t="str">
        <f t="shared" si="619"/>
        <v/>
      </c>
      <c r="AX3905" s="1856" t="str">
        <f t="shared" si="620"/>
        <v/>
      </c>
      <c r="AY3905" s="1856" t="str">
        <f t="shared" si="621"/>
        <v/>
      </c>
    </row>
    <row r="3906" spans="42:51">
      <c r="AP3906" s="1855">
        <f t="shared" si="622"/>
        <v>44957</v>
      </c>
      <c r="AQ3906" s="925" t="str">
        <f t="shared" si="624"/>
        <v/>
      </c>
      <c r="AR3906" s="1856" t="str">
        <f t="shared" si="623"/>
        <v/>
      </c>
      <c r="AT3906" s="1856" t="str">
        <f t="shared" si="616"/>
        <v/>
      </c>
      <c r="AU3906" s="1856" t="str">
        <f t="shared" si="617"/>
        <v/>
      </c>
      <c r="AV3906" s="1856" t="str">
        <f t="shared" si="618"/>
        <v/>
      </c>
      <c r="AW3906" s="1856" t="str">
        <f t="shared" si="619"/>
        <v/>
      </c>
      <c r="AX3906" s="1856" t="str">
        <f t="shared" si="620"/>
        <v/>
      </c>
      <c r="AY3906" s="1856" t="str">
        <f t="shared" si="621"/>
        <v/>
      </c>
    </row>
    <row r="3907" spans="42:51">
      <c r="AP3907" s="1855">
        <f t="shared" si="622"/>
        <v>44957</v>
      </c>
      <c r="AQ3907" s="925" t="str">
        <f t="shared" si="624"/>
        <v/>
      </c>
      <c r="AR3907" s="1856" t="str">
        <f t="shared" si="623"/>
        <v/>
      </c>
      <c r="AT3907" s="1856" t="str">
        <f t="shared" si="616"/>
        <v/>
      </c>
      <c r="AU3907" s="1856" t="str">
        <f t="shared" si="617"/>
        <v/>
      </c>
      <c r="AV3907" s="1856" t="str">
        <f t="shared" si="618"/>
        <v/>
      </c>
      <c r="AW3907" s="1856" t="str">
        <f t="shared" si="619"/>
        <v/>
      </c>
      <c r="AX3907" s="1856" t="str">
        <f t="shared" si="620"/>
        <v/>
      </c>
      <c r="AY3907" s="1856" t="str">
        <f t="shared" si="621"/>
        <v/>
      </c>
    </row>
    <row r="3908" spans="42:51">
      <c r="AP3908" s="1855">
        <f t="shared" si="622"/>
        <v>44957</v>
      </c>
      <c r="AQ3908" s="925" t="str">
        <f t="shared" si="624"/>
        <v/>
      </c>
      <c r="AR3908" s="1856" t="str">
        <f t="shared" si="623"/>
        <v/>
      </c>
      <c r="AT3908" s="1856" t="str">
        <f t="shared" si="616"/>
        <v/>
      </c>
      <c r="AU3908" s="1856" t="str">
        <f t="shared" si="617"/>
        <v/>
      </c>
      <c r="AV3908" s="1856" t="str">
        <f t="shared" si="618"/>
        <v/>
      </c>
      <c r="AW3908" s="1856" t="str">
        <f t="shared" si="619"/>
        <v/>
      </c>
      <c r="AX3908" s="1856" t="str">
        <f t="shared" si="620"/>
        <v/>
      </c>
      <c r="AY3908" s="1856" t="str">
        <f t="shared" si="621"/>
        <v/>
      </c>
    </row>
    <row r="3909" spans="42:51">
      <c r="AP3909" s="1855">
        <f t="shared" si="622"/>
        <v>44957</v>
      </c>
      <c r="AQ3909" s="925" t="str">
        <f t="shared" si="624"/>
        <v/>
      </c>
      <c r="AR3909" s="1856" t="str">
        <f t="shared" si="623"/>
        <v/>
      </c>
      <c r="AT3909" s="1856" t="str">
        <f t="shared" si="616"/>
        <v/>
      </c>
      <c r="AU3909" s="1856" t="str">
        <f t="shared" si="617"/>
        <v/>
      </c>
      <c r="AV3909" s="1856" t="str">
        <f t="shared" si="618"/>
        <v/>
      </c>
      <c r="AW3909" s="1856" t="str">
        <f t="shared" si="619"/>
        <v/>
      </c>
      <c r="AX3909" s="1856" t="str">
        <f t="shared" si="620"/>
        <v/>
      </c>
      <c r="AY3909" s="1856" t="str">
        <f t="shared" si="621"/>
        <v/>
      </c>
    </row>
    <row r="3910" spans="42:51">
      <c r="AP3910" s="1855">
        <f t="shared" si="622"/>
        <v>44957</v>
      </c>
      <c r="AQ3910" s="925" t="str">
        <f t="shared" si="624"/>
        <v/>
      </c>
      <c r="AR3910" s="1856" t="str">
        <f t="shared" si="623"/>
        <v/>
      </c>
      <c r="AT3910" s="1856" t="str">
        <f t="shared" si="616"/>
        <v/>
      </c>
      <c r="AU3910" s="1856" t="str">
        <f t="shared" si="617"/>
        <v/>
      </c>
      <c r="AV3910" s="1856" t="str">
        <f t="shared" si="618"/>
        <v/>
      </c>
      <c r="AW3910" s="1856" t="str">
        <f t="shared" si="619"/>
        <v/>
      </c>
      <c r="AX3910" s="1856" t="str">
        <f t="shared" si="620"/>
        <v/>
      </c>
      <c r="AY3910" s="1856" t="str">
        <f t="shared" si="621"/>
        <v/>
      </c>
    </row>
    <row r="3911" spans="42:51">
      <c r="AP3911" s="1855">
        <f t="shared" si="622"/>
        <v>44957</v>
      </c>
      <c r="AQ3911" s="925" t="str">
        <f t="shared" si="624"/>
        <v/>
      </c>
      <c r="AR3911" s="1856" t="str">
        <f t="shared" si="623"/>
        <v/>
      </c>
      <c r="AT3911" s="1856" t="str">
        <f t="shared" si="616"/>
        <v/>
      </c>
      <c r="AU3911" s="1856" t="str">
        <f t="shared" si="617"/>
        <v/>
      </c>
      <c r="AV3911" s="1856" t="str">
        <f t="shared" si="618"/>
        <v/>
      </c>
      <c r="AW3911" s="1856" t="str">
        <f t="shared" si="619"/>
        <v/>
      </c>
      <c r="AX3911" s="1856" t="str">
        <f t="shared" si="620"/>
        <v/>
      </c>
      <c r="AY3911" s="1856" t="str">
        <f t="shared" si="621"/>
        <v/>
      </c>
    </row>
    <row r="3912" spans="42:51">
      <c r="AP3912" s="1855">
        <f t="shared" si="622"/>
        <v>44957</v>
      </c>
      <c r="AQ3912" s="925" t="str">
        <f t="shared" si="624"/>
        <v/>
      </c>
      <c r="AR3912" s="1856" t="str">
        <f t="shared" si="623"/>
        <v/>
      </c>
      <c r="AT3912" s="1856" t="str">
        <f t="shared" si="616"/>
        <v/>
      </c>
      <c r="AU3912" s="1856" t="str">
        <f t="shared" si="617"/>
        <v/>
      </c>
      <c r="AV3912" s="1856" t="str">
        <f t="shared" si="618"/>
        <v/>
      </c>
      <c r="AW3912" s="1856" t="str">
        <f t="shared" si="619"/>
        <v/>
      </c>
      <c r="AX3912" s="1856" t="str">
        <f t="shared" si="620"/>
        <v/>
      </c>
      <c r="AY3912" s="1856" t="str">
        <f t="shared" si="621"/>
        <v/>
      </c>
    </row>
    <row r="3913" spans="42:51">
      <c r="AP3913" s="1855">
        <f t="shared" si="622"/>
        <v>44957</v>
      </c>
      <c r="AQ3913" s="925" t="str">
        <f t="shared" si="624"/>
        <v/>
      </c>
      <c r="AR3913" s="1856" t="str">
        <f t="shared" si="623"/>
        <v/>
      </c>
      <c r="AT3913" s="1856" t="str">
        <f t="shared" si="616"/>
        <v/>
      </c>
      <c r="AU3913" s="1856" t="str">
        <f t="shared" si="617"/>
        <v/>
      </c>
      <c r="AV3913" s="1856" t="str">
        <f t="shared" si="618"/>
        <v/>
      </c>
      <c r="AW3913" s="1856" t="str">
        <f t="shared" si="619"/>
        <v/>
      </c>
      <c r="AX3913" s="1856" t="str">
        <f t="shared" si="620"/>
        <v/>
      </c>
      <c r="AY3913" s="1856" t="str">
        <f t="shared" si="621"/>
        <v/>
      </c>
    </row>
    <row r="3914" spans="42:51">
      <c r="AP3914" s="1855">
        <f t="shared" si="622"/>
        <v>44957</v>
      </c>
      <c r="AQ3914" s="925" t="str">
        <f t="shared" si="624"/>
        <v/>
      </c>
      <c r="AR3914" s="1856" t="str">
        <f t="shared" si="623"/>
        <v/>
      </c>
      <c r="AT3914" s="1856" t="str">
        <f t="shared" si="616"/>
        <v/>
      </c>
      <c r="AU3914" s="1856" t="str">
        <f t="shared" si="617"/>
        <v/>
      </c>
      <c r="AV3914" s="1856" t="str">
        <f t="shared" si="618"/>
        <v/>
      </c>
      <c r="AW3914" s="1856" t="str">
        <f t="shared" si="619"/>
        <v/>
      </c>
      <c r="AX3914" s="1856" t="str">
        <f t="shared" si="620"/>
        <v/>
      </c>
      <c r="AY3914" s="1856" t="str">
        <f t="shared" si="621"/>
        <v/>
      </c>
    </row>
    <row r="3915" spans="42:51">
      <c r="AP3915" s="1855">
        <f t="shared" si="622"/>
        <v>44957</v>
      </c>
      <c r="AQ3915" s="925" t="str">
        <f t="shared" si="624"/>
        <v/>
      </c>
      <c r="AR3915" s="1856" t="str">
        <f t="shared" si="623"/>
        <v/>
      </c>
      <c r="AT3915" s="1856" t="str">
        <f t="shared" si="616"/>
        <v/>
      </c>
      <c r="AU3915" s="1856" t="str">
        <f t="shared" si="617"/>
        <v/>
      </c>
      <c r="AV3915" s="1856" t="str">
        <f t="shared" si="618"/>
        <v/>
      </c>
      <c r="AW3915" s="1856" t="str">
        <f t="shared" si="619"/>
        <v/>
      </c>
      <c r="AX3915" s="1856" t="str">
        <f t="shared" si="620"/>
        <v/>
      </c>
      <c r="AY3915" s="1856" t="str">
        <f t="shared" si="621"/>
        <v/>
      </c>
    </row>
    <row r="3916" spans="42:51">
      <c r="AP3916" s="1855">
        <f t="shared" si="622"/>
        <v>44957</v>
      </c>
      <c r="AQ3916" s="925" t="str">
        <f t="shared" si="624"/>
        <v/>
      </c>
      <c r="AR3916" s="1856" t="str">
        <f t="shared" si="623"/>
        <v/>
      </c>
      <c r="AT3916" s="1856" t="str">
        <f t="shared" si="616"/>
        <v/>
      </c>
      <c r="AU3916" s="1856" t="str">
        <f t="shared" si="617"/>
        <v/>
      </c>
      <c r="AV3916" s="1856" t="str">
        <f t="shared" si="618"/>
        <v/>
      </c>
      <c r="AW3916" s="1856" t="str">
        <f t="shared" si="619"/>
        <v/>
      </c>
      <c r="AX3916" s="1856" t="str">
        <f t="shared" si="620"/>
        <v/>
      </c>
      <c r="AY3916" s="1856" t="str">
        <f t="shared" si="621"/>
        <v/>
      </c>
    </row>
    <row r="3917" spans="42:51">
      <c r="AP3917" s="1855">
        <f t="shared" si="622"/>
        <v>44957</v>
      </c>
      <c r="AQ3917" s="925" t="str">
        <f t="shared" si="624"/>
        <v/>
      </c>
      <c r="AR3917" s="1856" t="str">
        <f t="shared" si="623"/>
        <v/>
      </c>
      <c r="AT3917" s="1856" t="str">
        <f t="shared" si="616"/>
        <v/>
      </c>
      <c r="AU3917" s="1856" t="str">
        <f t="shared" si="617"/>
        <v/>
      </c>
      <c r="AV3917" s="1856" t="str">
        <f t="shared" si="618"/>
        <v/>
      </c>
      <c r="AW3917" s="1856" t="str">
        <f t="shared" si="619"/>
        <v/>
      </c>
      <c r="AX3917" s="1856" t="str">
        <f t="shared" si="620"/>
        <v/>
      </c>
      <c r="AY3917" s="1856" t="str">
        <f t="shared" si="621"/>
        <v/>
      </c>
    </row>
    <row r="3918" spans="42:51">
      <c r="AP3918" s="1855">
        <f t="shared" si="622"/>
        <v>44957</v>
      </c>
      <c r="AQ3918" s="925" t="str">
        <f t="shared" si="624"/>
        <v/>
      </c>
      <c r="AR3918" s="1856" t="str">
        <f t="shared" si="623"/>
        <v/>
      </c>
      <c r="AT3918" s="1856" t="str">
        <f t="shared" si="616"/>
        <v/>
      </c>
      <c r="AU3918" s="1856" t="str">
        <f t="shared" si="617"/>
        <v/>
      </c>
      <c r="AV3918" s="1856" t="str">
        <f t="shared" si="618"/>
        <v/>
      </c>
      <c r="AW3918" s="1856" t="str">
        <f t="shared" si="619"/>
        <v/>
      </c>
      <c r="AX3918" s="1856" t="str">
        <f t="shared" si="620"/>
        <v/>
      </c>
      <c r="AY3918" s="1856" t="str">
        <f t="shared" si="621"/>
        <v/>
      </c>
    </row>
    <row r="3919" spans="42:51">
      <c r="AP3919" s="1855">
        <f t="shared" si="622"/>
        <v>44957</v>
      </c>
      <c r="AQ3919" s="925" t="str">
        <f t="shared" si="624"/>
        <v/>
      </c>
      <c r="AR3919" s="1856" t="str">
        <f t="shared" si="623"/>
        <v/>
      </c>
      <c r="AT3919" s="1856" t="str">
        <f t="shared" si="616"/>
        <v/>
      </c>
      <c r="AU3919" s="1856" t="str">
        <f t="shared" si="617"/>
        <v/>
      </c>
      <c r="AV3919" s="1856" t="str">
        <f t="shared" si="618"/>
        <v/>
      </c>
      <c r="AW3919" s="1856" t="str">
        <f t="shared" si="619"/>
        <v/>
      </c>
      <c r="AX3919" s="1856" t="str">
        <f t="shared" si="620"/>
        <v/>
      </c>
      <c r="AY3919" s="1856" t="str">
        <f t="shared" si="621"/>
        <v/>
      </c>
    </row>
    <row r="3920" spans="42:51">
      <c r="AP3920" s="1855">
        <f t="shared" si="622"/>
        <v>44957</v>
      </c>
      <c r="AQ3920" s="925" t="str">
        <f t="shared" si="624"/>
        <v/>
      </c>
      <c r="AR3920" s="1856" t="str">
        <f t="shared" si="623"/>
        <v/>
      </c>
      <c r="AT3920" s="1856" t="str">
        <f t="shared" si="616"/>
        <v/>
      </c>
      <c r="AU3920" s="1856" t="str">
        <f t="shared" si="617"/>
        <v/>
      </c>
      <c r="AV3920" s="1856" t="str">
        <f t="shared" si="618"/>
        <v/>
      </c>
      <c r="AW3920" s="1856" t="str">
        <f t="shared" si="619"/>
        <v/>
      </c>
      <c r="AX3920" s="1856" t="str">
        <f t="shared" si="620"/>
        <v/>
      </c>
      <c r="AY3920" s="1856" t="str">
        <f t="shared" si="621"/>
        <v/>
      </c>
    </row>
    <row r="3921" spans="42:51">
      <c r="AP3921" s="1855">
        <f t="shared" si="622"/>
        <v>44957</v>
      </c>
      <c r="AQ3921" s="925" t="str">
        <f t="shared" si="624"/>
        <v/>
      </c>
      <c r="AR3921" s="1856" t="str">
        <f t="shared" si="623"/>
        <v/>
      </c>
      <c r="AT3921" s="1856" t="str">
        <f t="shared" si="616"/>
        <v/>
      </c>
      <c r="AU3921" s="1856" t="str">
        <f t="shared" si="617"/>
        <v/>
      </c>
      <c r="AV3921" s="1856" t="str">
        <f t="shared" si="618"/>
        <v/>
      </c>
      <c r="AW3921" s="1856" t="str">
        <f t="shared" si="619"/>
        <v/>
      </c>
      <c r="AX3921" s="1856" t="str">
        <f t="shared" si="620"/>
        <v/>
      </c>
      <c r="AY3921" s="1856" t="str">
        <f t="shared" si="621"/>
        <v/>
      </c>
    </row>
    <row r="3922" spans="42:51">
      <c r="AP3922" s="1855">
        <f t="shared" si="622"/>
        <v>44957</v>
      </c>
      <c r="AQ3922" s="925" t="str">
        <f t="shared" si="624"/>
        <v/>
      </c>
      <c r="AR3922" s="1856" t="str">
        <f t="shared" si="623"/>
        <v/>
      </c>
      <c r="AT3922" s="1856" t="str">
        <f t="shared" si="616"/>
        <v/>
      </c>
      <c r="AU3922" s="1856" t="str">
        <f t="shared" si="617"/>
        <v/>
      </c>
      <c r="AV3922" s="1856" t="str">
        <f t="shared" si="618"/>
        <v/>
      </c>
      <c r="AW3922" s="1856" t="str">
        <f t="shared" si="619"/>
        <v/>
      </c>
      <c r="AX3922" s="1856" t="str">
        <f t="shared" si="620"/>
        <v/>
      </c>
      <c r="AY3922" s="1856" t="str">
        <f t="shared" si="621"/>
        <v/>
      </c>
    </row>
    <row r="3923" spans="42:51">
      <c r="AP3923" s="1855">
        <f t="shared" si="622"/>
        <v>44957</v>
      </c>
      <c r="AQ3923" s="925" t="str">
        <f t="shared" si="624"/>
        <v/>
      </c>
      <c r="AR3923" s="1856" t="str">
        <f t="shared" si="623"/>
        <v/>
      </c>
      <c r="AT3923" s="1856" t="str">
        <f t="shared" si="616"/>
        <v/>
      </c>
      <c r="AU3923" s="1856" t="str">
        <f t="shared" si="617"/>
        <v/>
      </c>
      <c r="AV3923" s="1856" t="str">
        <f t="shared" si="618"/>
        <v/>
      </c>
      <c r="AW3923" s="1856" t="str">
        <f t="shared" si="619"/>
        <v/>
      </c>
      <c r="AX3923" s="1856" t="str">
        <f t="shared" si="620"/>
        <v/>
      </c>
      <c r="AY3923" s="1856" t="str">
        <f t="shared" si="621"/>
        <v/>
      </c>
    </row>
    <row r="3924" spans="42:51">
      <c r="AP3924" s="1855">
        <f t="shared" si="622"/>
        <v>44957</v>
      </c>
      <c r="AQ3924" s="925" t="str">
        <f t="shared" si="624"/>
        <v/>
      </c>
      <c r="AR3924" s="1856" t="str">
        <f t="shared" si="623"/>
        <v/>
      </c>
      <c r="AT3924" s="1856" t="str">
        <f t="shared" si="616"/>
        <v/>
      </c>
      <c r="AU3924" s="1856" t="str">
        <f t="shared" si="617"/>
        <v/>
      </c>
      <c r="AV3924" s="1856" t="str">
        <f t="shared" si="618"/>
        <v/>
      </c>
      <c r="AW3924" s="1856" t="str">
        <f t="shared" si="619"/>
        <v/>
      </c>
      <c r="AX3924" s="1856" t="str">
        <f t="shared" si="620"/>
        <v/>
      </c>
      <c r="AY3924" s="1856" t="str">
        <f t="shared" si="621"/>
        <v/>
      </c>
    </row>
    <row r="3925" spans="42:51">
      <c r="AP3925" s="1855">
        <f t="shared" si="622"/>
        <v>44957</v>
      </c>
      <c r="AQ3925" s="925" t="str">
        <f t="shared" si="624"/>
        <v/>
      </c>
      <c r="AR3925" s="1856" t="str">
        <f t="shared" si="623"/>
        <v/>
      </c>
      <c r="AT3925" s="1856" t="str">
        <f t="shared" si="616"/>
        <v/>
      </c>
      <c r="AU3925" s="1856" t="str">
        <f t="shared" si="617"/>
        <v/>
      </c>
      <c r="AV3925" s="1856" t="str">
        <f t="shared" si="618"/>
        <v/>
      </c>
      <c r="AW3925" s="1856" t="str">
        <f t="shared" si="619"/>
        <v/>
      </c>
      <c r="AX3925" s="1856" t="str">
        <f t="shared" si="620"/>
        <v/>
      </c>
      <c r="AY3925" s="1856" t="str">
        <f t="shared" si="621"/>
        <v/>
      </c>
    </row>
    <row r="3926" spans="42:51">
      <c r="AP3926" s="1855">
        <f t="shared" si="622"/>
        <v>44957</v>
      </c>
      <c r="AQ3926" s="925" t="str">
        <f t="shared" si="624"/>
        <v/>
      </c>
      <c r="AR3926" s="1856" t="str">
        <f t="shared" si="623"/>
        <v/>
      </c>
      <c r="AT3926" s="1856" t="str">
        <f t="shared" si="616"/>
        <v/>
      </c>
      <c r="AU3926" s="1856" t="str">
        <f t="shared" si="617"/>
        <v/>
      </c>
      <c r="AV3926" s="1856" t="str">
        <f t="shared" si="618"/>
        <v/>
      </c>
      <c r="AW3926" s="1856" t="str">
        <f t="shared" si="619"/>
        <v/>
      </c>
      <c r="AX3926" s="1856" t="str">
        <f t="shared" si="620"/>
        <v/>
      </c>
      <c r="AY3926" s="1856" t="str">
        <f t="shared" si="621"/>
        <v/>
      </c>
    </row>
    <row r="3927" spans="42:51">
      <c r="AP3927" s="1855">
        <f t="shared" si="622"/>
        <v>44957</v>
      </c>
      <c r="AQ3927" s="925" t="str">
        <f t="shared" si="624"/>
        <v/>
      </c>
      <c r="AR3927" s="1856" t="str">
        <f t="shared" si="623"/>
        <v/>
      </c>
      <c r="AT3927" s="1856" t="str">
        <f t="shared" si="616"/>
        <v/>
      </c>
      <c r="AU3927" s="1856" t="str">
        <f t="shared" si="617"/>
        <v/>
      </c>
      <c r="AV3927" s="1856" t="str">
        <f t="shared" si="618"/>
        <v/>
      </c>
      <c r="AW3927" s="1856" t="str">
        <f t="shared" si="619"/>
        <v/>
      </c>
      <c r="AX3927" s="1856" t="str">
        <f t="shared" si="620"/>
        <v/>
      </c>
      <c r="AY3927" s="1856" t="str">
        <f t="shared" si="621"/>
        <v/>
      </c>
    </row>
    <row r="3928" spans="42:51">
      <c r="AP3928" s="1855">
        <f t="shared" si="622"/>
        <v>44957</v>
      </c>
      <c r="AQ3928" s="925" t="str">
        <f t="shared" si="624"/>
        <v/>
      </c>
      <c r="AR3928" s="1856" t="str">
        <f t="shared" si="623"/>
        <v/>
      </c>
      <c r="AT3928" s="1856" t="str">
        <f t="shared" si="616"/>
        <v/>
      </c>
      <c r="AU3928" s="1856" t="str">
        <f t="shared" si="617"/>
        <v/>
      </c>
      <c r="AV3928" s="1856" t="str">
        <f t="shared" si="618"/>
        <v/>
      </c>
      <c r="AW3928" s="1856" t="str">
        <f t="shared" si="619"/>
        <v/>
      </c>
      <c r="AX3928" s="1856" t="str">
        <f t="shared" si="620"/>
        <v/>
      </c>
      <c r="AY3928" s="1856" t="str">
        <f t="shared" si="621"/>
        <v/>
      </c>
    </row>
    <row r="3929" spans="42:51">
      <c r="AP3929" s="1855">
        <f t="shared" si="622"/>
        <v>44957</v>
      </c>
      <c r="AQ3929" s="925" t="str">
        <f t="shared" si="624"/>
        <v/>
      </c>
      <c r="AR3929" s="1856" t="str">
        <f t="shared" si="623"/>
        <v/>
      </c>
      <c r="AT3929" s="1856" t="str">
        <f t="shared" si="616"/>
        <v/>
      </c>
      <c r="AU3929" s="1856" t="str">
        <f t="shared" si="617"/>
        <v/>
      </c>
      <c r="AV3929" s="1856" t="str">
        <f t="shared" si="618"/>
        <v/>
      </c>
      <c r="AW3929" s="1856" t="str">
        <f t="shared" si="619"/>
        <v/>
      </c>
      <c r="AX3929" s="1856" t="str">
        <f t="shared" si="620"/>
        <v/>
      </c>
      <c r="AY3929" s="1856" t="str">
        <f t="shared" si="621"/>
        <v/>
      </c>
    </row>
    <row r="3930" spans="42:51">
      <c r="AP3930" s="1855">
        <f t="shared" si="622"/>
        <v>44957</v>
      </c>
      <c r="AQ3930" s="925" t="str">
        <f t="shared" si="624"/>
        <v/>
      </c>
      <c r="AR3930" s="1856" t="str">
        <f t="shared" si="623"/>
        <v/>
      </c>
      <c r="AT3930" s="1856" t="str">
        <f t="shared" si="616"/>
        <v/>
      </c>
      <c r="AU3930" s="1856" t="str">
        <f t="shared" si="617"/>
        <v/>
      </c>
      <c r="AV3930" s="1856" t="str">
        <f t="shared" si="618"/>
        <v/>
      </c>
      <c r="AW3930" s="1856" t="str">
        <f t="shared" si="619"/>
        <v/>
      </c>
      <c r="AX3930" s="1856" t="str">
        <f t="shared" si="620"/>
        <v/>
      </c>
      <c r="AY3930" s="1856" t="str">
        <f t="shared" si="621"/>
        <v/>
      </c>
    </row>
    <row r="3931" spans="42:51">
      <c r="AP3931" s="1855">
        <f t="shared" si="622"/>
        <v>44957</v>
      </c>
      <c r="AQ3931" s="925" t="str">
        <f t="shared" si="624"/>
        <v/>
      </c>
      <c r="AR3931" s="1856" t="str">
        <f t="shared" si="623"/>
        <v/>
      </c>
      <c r="AT3931" s="1856" t="str">
        <f t="shared" si="616"/>
        <v/>
      </c>
      <c r="AU3931" s="1856" t="str">
        <f t="shared" si="617"/>
        <v/>
      </c>
      <c r="AV3931" s="1856" t="str">
        <f t="shared" si="618"/>
        <v/>
      </c>
      <c r="AW3931" s="1856" t="str">
        <f t="shared" si="619"/>
        <v/>
      </c>
      <c r="AX3931" s="1856" t="str">
        <f t="shared" si="620"/>
        <v/>
      </c>
      <c r="AY3931" s="1856" t="str">
        <f t="shared" si="621"/>
        <v/>
      </c>
    </row>
    <row r="3932" spans="42:51">
      <c r="AP3932" s="1855">
        <f t="shared" si="622"/>
        <v>44957</v>
      </c>
      <c r="AQ3932" s="925" t="str">
        <f t="shared" si="624"/>
        <v/>
      </c>
      <c r="AR3932" s="1856" t="str">
        <f t="shared" si="623"/>
        <v/>
      </c>
      <c r="AT3932" s="1856" t="str">
        <f t="shared" ref="AT3932:AT3995" si="625">IF(ISNUMBER(AS3932),INDEX(AR3933:AR3943,MATCH($AT$27,AQ3933:AQ3943,0)),"")</f>
        <v/>
      </c>
      <c r="AU3932" s="1856" t="str">
        <f t="shared" ref="AU3932:AU3995" si="626">IF(AT3932="","",INDEX(AR3933:AR3943,MATCH($AU$27,AQ3933:AQ3943,0)))</f>
        <v/>
      </c>
      <c r="AV3932" s="1856" t="str">
        <f t="shared" ref="AV3932:AV3995" si="627">IF(AT3932="","",INDEX(AR3933:AR3943,MATCH($AV$27,AQ3933:AQ3943,0)))</f>
        <v/>
      </c>
      <c r="AW3932" s="1856" t="str">
        <f t="shared" ref="AW3932:AW3995" si="628">IF(AT3932="","",INDEX(AR3933:AR3943,MATCH($AW$27,AQ3933:AQ3943,0)))</f>
        <v/>
      </c>
      <c r="AX3932" s="1856" t="str">
        <f t="shared" ref="AX3932:AX3995" si="629">IF(AT3932="","",INDEX(AR3933:AR3943,MATCH($AX$27,AQ3933:AQ3943,0)))</f>
        <v/>
      </c>
      <c r="AY3932" s="1856" t="str">
        <f t="shared" ref="AY3932:AY3995" si="630">IF(AT3932="","",INDEX(AR3933:AR3943,MATCH($AY$27,AQ3933:AQ3943,0)))</f>
        <v/>
      </c>
    </row>
    <row r="3933" spans="42:51">
      <c r="AP3933" s="1855">
        <f t="shared" si="622"/>
        <v>44957</v>
      </c>
      <c r="AQ3933" s="925" t="str">
        <f t="shared" si="624"/>
        <v/>
      </c>
      <c r="AR3933" s="1856" t="str">
        <f t="shared" si="623"/>
        <v/>
      </c>
      <c r="AT3933" s="1856" t="str">
        <f t="shared" si="625"/>
        <v/>
      </c>
      <c r="AU3933" s="1856" t="str">
        <f t="shared" si="626"/>
        <v/>
      </c>
      <c r="AV3933" s="1856" t="str">
        <f t="shared" si="627"/>
        <v/>
      </c>
      <c r="AW3933" s="1856" t="str">
        <f t="shared" si="628"/>
        <v/>
      </c>
      <c r="AX3933" s="1856" t="str">
        <f t="shared" si="629"/>
        <v/>
      </c>
      <c r="AY3933" s="1856" t="str">
        <f t="shared" si="630"/>
        <v/>
      </c>
    </row>
    <row r="3934" spans="42:51">
      <c r="AP3934" s="1855">
        <f t="shared" si="622"/>
        <v>44957</v>
      </c>
      <c r="AQ3934" s="925" t="str">
        <f t="shared" si="624"/>
        <v/>
      </c>
      <c r="AR3934" s="1856" t="str">
        <f t="shared" si="623"/>
        <v/>
      </c>
      <c r="AT3934" s="1856" t="str">
        <f t="shared" si="625"/>
        <v/>
      </c>
      <c r="AU3934" s="1856" t="str">
        <f t="shared" si="626"/>
        <v/>
      </c>
      <c r="AV3934" s="1856" t="str">
        <f t="shared" si="627"/>
        <v/>
      </c>
      <c r="AW3934" s="1856" t="str">
        <f t="shared" si="628"/>
        <v/>
      </c>
      <c r="AX3934" s="1856" t="str">
        <f t="shared" si="629"/>
        <v/>
      </c>
      <c r="AY3934" s="1856" t="str">
        <f t="shared" si="630"/>
        <v/>
      </c>
    </row>
    <row r="3935" spans="42:51">
      <c r="AP3935" s="1855">
        <f t="shared" si="622"/>
        <v>44957</v>
      </c>
      <c r="AQ3935" s="925" t="str">
        <f t="shared" si="624"/>
        <v/>
      </c>
      <c r="AR3935" s="1856" t="str">
        <f t="shared" si="623"/>
        <v/>
      </c>
      <c r="AT3935" s="1856" t="str">
        <f t="shared" si="625"/>
        <v/>
      </c>
      <c r="AU3935" s="1856" t="str">
        <f t="shared" si="626"/>
        <v/>
      </c>
      <c r="AV3935" s="1856" t="str">
        <f t="shared" si="627"/>
        <v/>
      </c>
      <c r="AW3935" s="1856" t="str">
        <f t="shared" si="628"/>
        <v/>
      </c>
      <c r="AX3935" s="1856" t="str">
        <f t="shared" si="629"/>
        <v/>
      </c>
      <c r="AY3935" s="1856" t="str">
        <f t="shared" si="630"/>
        <v/>
      </c>
    </row>
    <row r="3936" spans="42:51">
      <c r="AP3936" s="1855">
        <f t="shared" si="622"/>
        <v>44957</v>
      </c>
      <c r="AQ3936" s="925" t="str">
        <f t="shared" si="624"/>
        <v/>
      </c>
      <c r="AR3936" s="1856" t="str">
        <f t="shared" si="623"/>
        <v/>
      </c>
      <c r="AT3936" s="1856" t="str">
        <f t="shared" si="625"/>
        <v/>
      </c>
      <c r="AU3936" s="1856" t="str">
        <f t="shared" si="626"/>
        <v/>
      </c>
      <c r="AV3936" s="1856" t="str">
        <f t="shared" si="627"/>
        <v/>
      </c>
      <c r="AW3936" s="1856" t="str">
        <f t="shared" si="628"/>
        <v/>
      </c>
      <c r="AX3936" s="1856" t="str">
        <f t="shared" si="629"/>
        <v/>
      </c>
      <c r="AY3936" s="1856" t="str">
        <f t="shared" si="630"/>
        <v/>
      </c>
    </row>
    <row r="3937" spans="42:51">
      <c r="AP3937" s="1855">
        <f t="shared" si="622"/>
        <v>44957</v>
      </c>
      <c r="AQ3937" s="925" t="str">
        <f t="shared" si="624"/>
        <v/>
      </c>
      <c r="AR3937" s="1856" t="str">
        <f t="shared" si="623"/>
        <v/>
      </c>
      <c r="AT3937" s="1856" t="str">
        <f t="shared" si="625"/>
        <v/>
      </c>
      <c r="AU3937" s="1856" t="str">
        <f t="shared" si="626"/>
        <v/>
      </c>
      <c r="AV3937" s="1856" t="str">
        <f t="shared" si="627"/>
        <v/>
      </c>
      <c r="AW3937" s="1856" t="str">
        <f t="shared" si="628"/>
        <v/>
      </c>
      <c r="AX3937" s="1856" t="str">
        <f t="shared" si="629"/>
        <v/>
      </c>
      <c r="AY3937" s="1856" t="str">
        <f t="shared" si="630"/>
        <v/>
      </c>
    </row>
    <row r="3938" spans="42:51">
      <c r="AP3938" s="1855">
        <f t="shared" si="622"/>
        <v>44957</v>
      </c>
      <c r="AQ3938" s="925" t="str">
        <f t="shared" si="624"/>
        <v/>
      </c>
      <c r="AR3938" s="1856" t="str">
        <f t="shared" si="623"/>
        <v/>
      </c>
      <c r="AT3938" s="1856" t="str">
        <f t="shared" si="625"/>
        <v/>
      </c>
      <c r="AU3938" s="1856" t="str">
        <f t="shared" si="626"/>
        <v/>
      </c>
      <c r="AV3938" s="1856" t="str">
        <f t="shared" si="627"/>
        <v/>
      </c>
      <c r="AW3938" s="1856" t="str">
        <f t="shared" si="628"/>
        <v/>
      </c>
      <c r="AX3938" s="1856" t="str">
        <f t="shared" si="629"/>
        <v/>
      </c>
      <c r="AY3938" s="1856" t="str">
        <f t="shared" si="630"/>
        <v/>
      </c>
    </row>
    <row r="3939" spans="42:51">
      <c r="AP3939" s="1855">
        <f t="shared" si="622"/>
        <v>44957</v>
      </c>
      <c r="AQ3939" s="925" t="str">
        <f t="shared" si="624"/>
        <v/>
      </c>
      <c r="AR3939" s="1856" t="str">
        <f t="shared" si="623"/>
        <v/>
      </c>
      <c r="AT3939" s="1856" t="str">
        <f t="shared" si="625"/>
        <v/>
      </c>
      <c r="AU3939" s="1856" t="str">
        <f t="shared" si="626"/>
        <v/>
      </c>
      <c r="AV3939" s="1856" t="str">
        <f t="shared" si="627"/>
        <v/>
      </c>
      <c r="AW3939" s="1856" t="str">
        <f t="shared" si="628"/>
        <v/>
      </c>
      <c r="AX3939" s="1856" t="str">
        <f t="shared" si="629"/>
        <v/>
      </c>
      <c r="AY3939" s="1856" t="str">
        <f t="shared" si="630"/>
        <v/>
      </c>
    </row>
    <row r="3940" spans="42:51">
      <c r="AP3940" s="1855">
        <f t="shared" si="622"/>
        <v>44957</v>
      </c>
      <c r="AQ3940" s="925" t="str">
        <f t="shared" si="624"/>
        <v/>
      </c>
      <c r="AR3940" s="1856" t="str">
        <f t="shared" si="623"/>
        <v/>
      </c>
      <c r="AT3940" s="1856" t="str">
        <f t="shared" si="625"/>
        <v/>
      </c>
      <c r="AU3940" s="1856" t="str">
        <f t="shared" si="626"/>
        <v/>
      </c>
      <c r="AV3940" s="1856" t="str">
        <f t="shared" si="627"/>
        <v/>
      </c>
      <c r="AW3940" s="1856" t="str">
        <f t="shared" si="628"/>
        <v/>
      </c>
      <c r="AX3940" s="1856" t="str">
        <f t="shared" si="629"/>
        <v/>
      </c>
      <c r="AY3940" s="1856" t="str">
        <f t="shared" si="630"/>
        <v/>
      </c>
    </row>
    <row r="3941" spans="42:51">
      <c r="AP3941" s="1855">
        <f t="shared" ref="AP3941:AP4004" si="631">IF(ISNUMBER(AS3941),AP3940+1,AP3940)</f>
        <v>44957</v>
      </c>
      <c r="AQ3941" s="925" t="str">
        <f t="shared" si="624"/>
        <v/>
      </c>
      <c r="AR3941" s="1856" t="str">
        <f t="shared" si="623"/>
        <v/>
      </c>
      <c r="AT3941" s="1856" t="str">
        <f t="shared" si="625"/>
        <v/>
      </c>
      <c r="AU3941" s="1856" t="str">
        <f t="shared" si="626"/>
        <v/>
      </c>
      <c r="AV3941" s="1856" t="str">
        <f t="shared" si="627"/>
        <v/>
      </c>
      <c r="AW3941" s="1856" t="str">
        <f t="shared" si="628"/>
        <v/>
      </c>
      <c r="AX3941" s="1856" t="str">
        <f t="shared" si="629"/>
        <v/>
      </c>
      <c r="AY3941" s="1856" t="str">
        <f t="shared" si="630"/>
        <v/>
      </c>
    </row>
    <row r="3942" spans="42:51">
      <c r="AP3942" s="1855">
        <f t="shared" si="631"/>
        <v>44957</v>
      </c>
      <c r="AQ3942" s="925" t="str">
        <f t="shared" si="624"/>
        <v/>
      </c>
      <c r="AR3942" s="1856" t="str">
        <f t="shared" si="623"/>
        <v/>
      </c>
      <c r="AT3942" s="1856" t="str">
        <f t="shared" si="625"/>
        <v/>
      </c>
      <c r="AU3942" s="1856" t="str">
        <f t="shared" si="626"/>
        <v/>
      </c>
      <c r="AV3942" s="1856" t="str">
        <f t="shared" si="627"/>
        <v/>
      </c>
      <c r="AW3942" s="1856" t="str">
        <f t="shared" si="628"/>
        <v/>
      </c>
      <c r="AX3942" s="1856" t="str">
        <f t="shared" si="629"/>
        <v/>
      </c>
      <c r="AY3942" s="1856" t="str">
        <f t="shared" si="630"/>
        <v/>
      </c>
    </row>
    <row r="3943" spans="42:51">
      <c r="AP3943" s="1855">
        <f t="shared" si="631"/>
        <v>44957</v>
      </c>
      <c r="AQ3943" s="925" t="str">
        <f t="shared" si="624"/>
        <v/>
      </c>
      <c r="AR3943" s="1856" t="str">
        <f t="shared" si="623"/>
        <v/>
      </c>
      <c r="AT3943" s="1856" t="str">
        <f t="shared" si="625"/>
        <v/>
      </c>
      <c r="AU3943" s="1856" t="str">
        <f t="shared" si="626"/>
        <v/>
      </c>
      <c r="AV3943" s="1856" t="str">
        <f t="shared" si="627"/>
        <v/>
      </c>
      <c r="AW3943" s="1856" t="str">
        <f t="shared" si="628"/>
        <v/>
      </c>
      <c r="AX3943" s="1856" t="str">
        <f t="shared" si="629"/>
        <v/>
      </c>
      <c r="AY3943" s="1856" t="str">
        <f t="shared" si="630"/>
        <v/>
      </c>
    </row>
    <row r="3944" spans="42:51">
      <c r="AP3944" s="1855">
        <f t="shared" si="631"/>
        <v>44957</v>
      </c>
      <c r="AQ3944" s="925" t="str">
        <f t="shared" si="624"/>
        <v/>
      </c>
      <c r="AR3944" s="1856" t="str">
        <f t="shared" si="623"/>
        <v/>
      </c>
      <c r="AT3944" s="1856" t="str">
        <f t="shared" si="625"/>
        <v/>
      </c>
      <c r="AU3944" s="1856" t="str">
        <f t="shared" si="626"/>
        <v/>
      </c>
      <c r="AV3944" s="1856" t="str">
        <f t="shared" si="627"/>
        <v/>
      </c>
      <c r="AW3944" s="1856" t="str">
        <f t="shared" si="628"/>
        <v/>
      </c>
      <c r="AX3944" s="1856" t="str">
        <f t="shared" si="629"/>
        <v/>
      </c>
      <c r="AY3944" s="1856" t="str">
        <f t="shared" si="630"/>
        <v/>
      </c>
    </row>
    <row r="3945" spans="42:51">
      <c r="AP3945" s="1855">
        <f t="shared" si="631"/>
        <v>44957</v>
      </c>
      <c r="AQ3945" s="925" t="str">
        <f t="shared" si="624"/>
        <v/>
      </c>
      <c r="AR3945" s="1856" t="str">
        <f t="shared" ref="AR3945:AR4008" si="632">IF(NOT(ISNUMBER(FIND(":",AS3945))),"",IF(ISNUMBER(FIND(" none",AS3945)),"NONE",AP3945+LEFT(RIGHT(AS3945,5),2)/24+RIGHT(AS3945,2)/1440))</f>
        <v/>
      </c>
      <c r="AT3945" s="1856" t="str">
        <f t="shared" si="625"/>
        <v/>
      </c>
      <c r="AU3945" s="1856" t="str">
        <f t="shared" si="626"/>
        <v/>
      </c>
      <c r="AV3945" s="1856" t="str">
        <f t="shared" si="627"/>
        <v/>
      </c>
      <c r="AW3945" s="1856" t="str">
        <f t="shared" si="628"/>
        <v/>
      </c>
      <c r="AX3945" s="1856" t="str">
        <f t="shared" si="629"/>
        <v/>
      </c>
      <c r="AY3945" s="1856" t="str">
        <f t="shared" si="630"/>
        <v/>
      </c>
    </row>
    <row r="3946" spans="42:51">
      <c r="AP3946" s="1855">
        <f t="shared" si="631"/>
        <v>44957</v>
      </c>
      <c r="AQ3946" s="925" t="str">
        <f t="shared" si="624"/>
        <v/>
      </c>
      <c r="AR3946" s="1856" t="str">
        <f t="shared" si="632"/>
        <v/>
      </c>
      <c r="AT3946" s="1856" t="str">
        <f t="shared" si="625"/>
        <v/>
      </c>
      <c r="AU3946" s="1856" t="str">
        <f t="shared" si="626"/>
        <v/>
      </c>
      <c r="AV3946" s="1856" t="str">
        <f t="shared" si="627"/>
        <v/>
      </c>
      <c r="AW3946" s="1856" t="str">
        <f t="shared" si="628"/>
        <v/>
      </c>
      <c r="AX3946" s="1856" t="str">
        <f t="shared" si="629"/>
        <v/>
      </c>
      <c r="AY3946" s="1856" t="str">
        <f t="shared" si="630"/>
        <v/>
      </c>
    </row>
    <row r="3947" spans="42:51">
      <c r="AP3947" s="1855">
        <f t="shared" si="631"/>
        <v>44957</v>
      </c>
      <c r="AQ3947" s="925" t="str">
        <f t="shared" si="624"/>
        <v/>
      </c>
      <c r="AR3947" s="1856" t="str">
        <f t="shared" si="632"/>
        <v/>
      </c>
      <c r="AT3947" s="1856" t="str">
        <f t="shared" si="625"/>
        <v/>
      </c>
      <c r="AU3947" s="1856" t="str">
        <f t="shared" si="626"/>
        <v/>
      </c>
      <c r="AV3947" s="1856" t="str">
        <f t="shared" si="627"/>
        <v/>
      </c>
      <c r="AW3947" s="1856" t="str">
        <f t="shared" si="628"/>
        <v/>
      </c>
      <c r="AX3947" s="1856" t="str">
        <f t="shared" si="629"/>
        <v/>
      </c>
      <c r="AY3947" s="1856" t="str">
        <f t="shared" si="630"/>
        <v/>
      </c>
    </row>
    <row r="3948" spans="42:51">
      <c r="AP3948" s="1855">
        <f t="shared" si="631"/>
        <v>44957</v>
      </c>
      <c r="AQ3948" s="925" t="str">
        <f t="shared" si="624"/>
        <v/>
      </c>
      <c r="AR3948" s="1856" t="str">
        <f t="shared" si="632"/>
        <v/>
      </c>
      <c r="AT3948" s="1856" t="str">
        <f t="shared" si="625"/>
        <v/>
      </c>
      <c r="AU3948" s="1856" t="str">
        <f t="shared" si="626"/>
        <v/>
      </c>
      <c r="AV3948" s="1856" t="str">
        <f t="shared" si="627"/>
        <v/>
      </c>
      <c r="AW3948" s="1856" t="str">
        <f t="shared" si="628"/>
        <v/>
      </c>
      <c r="AX3948" s="1856" t="str">
        <f t="shared" si="629"/>
        <v/>
      </c>
      <c r="AY3948" s="1856" t="str">
        <f t="shared" si="630"/>
        <v/>
      </c>
    </row>
    <row r="3949" spans="42:51">
      <c r="AP3949" s="1855">
        <f t="shared" si="631"/>
        <v>44957</v>
      </c>
      <c r="AQ3949" s="925" t="str">
        <f t="shared" si="624"/>
        <v/>
      </c>
      <c r="AR3949" s="1856" t="str">
        <f t="shared" si="632"/>
        <v/>
      </c>
      <c r="AT3949" s="1856" t="str">
        <f t="shared" si="625"/>
        <v/>
      </c>
      <c r="AU3949" s="1856" t="str">
        <f t="shared" si="626"/>
        <v/>
      </c>
      <c r="AV3949" s="1856" t="str">
        <f t="shared" si="627"/>
        <v/>
      </c>
      <c r="AW3949" s="1856" t="str">
        <f t="shared" si="628"/>
        <v/>
      </c>
      <c r="AX3949" s="1856" t="str">
        <f t="shared" si="629"/>
        <v/>
      </c>
      <c r="AY3949" s="1856" t="str">
        <f t="shared" si="630"/>
        <v/>
      </c>
    </row>
    <row r="3950" spans="42:51">
      <c r="AP3950" s="1855">
        <f t="shared" si="631"/>
        <v>44957</v>
      </c>
      <c r="AQ3950" s="925" t="str">
        <f t="shared" si="624"/>
        <v/>
      </c>
      <c r="AR3950" s="1856" t="str">
        <f t="shared" si="632"/>
        <v/>
      </c>
      <c r="AT3950" s="1856" t="str">
        <f t="shared" si="625"/>
        <v/>
      </c>
      <c r="AU3950" s="1856" t="str">
        <f t="shared" si="626"/>
        <v/>
      </c>
      <c r="AV3950" s="1856" t="str">
        <f t="shared" si="627"/>
        <v/>
      </c>
      <c r="AW3950" s="1856" t="str">
        <f t="shared" si="628"/>
        <v/>
      </c>
      <c r="AX3950" s="1856" t="str">
        <f t="shared" si="629"/>
        <v/>
      </c>
      <c r="AY3950" s="1856" t="str">
        <f t="shared" si="630"/>
        <v/>
      </c>
    </row>
    <row r="3951" spans="42:51">
      <c r="AP3951" s="1855">
        <f t="shared" si="631"/>
        <v>44957</v>
      </c>
      <c r="AQ3951" s="925" t="str">
        <f t="shared" si="624"/>
        <v/>
      </c>
      <c r="AR3951" s="1856" t="str">
        <f t="shared" si="632"/>
        <v/>
      </c>
      <c r="AT3951" s="1856" t="str">
        <f t="shared" si="625"/>
        <v/>
      </c>
      <c r="AU3951" s="1856" t="str">
        <f t="shared" si="626"/>
        <v/>
      </c>
      <c r="AV3951" s="1856" t="str">
        <f t="shared" si="627"/>
        <v/>
      </c>
      <c r="AW3951" s="1856" t="str">
        <f t="shared" si="628"/>
        <v/>
      </c>
      <c r="AX3951" s="1856" t="str">
        <f t="shared" si="629"/>
        <v/>
      </c>
      <c r="AY3951" s="1856" t="str">
        <f t="shared" si="630"/>
        <v/>
      </c>
    </row>
    <row r="3952" spans="42:51">
      <c r="AP3952" s="1855">
        <f t="shared" si="631"/>
        <v>44957</v>
      </c>
      <c r="AQ3952" s="925" t="str">
        <f t="shared" si="624"/>
        <v/>
      </c>
      <c r="AR3952" s="1856" t="str">
        <f t="shared" si="632"/>
        <v/>
      </c>
      <c r="AT3952" s="1856" t="str">
        <f t="shared" si="625"/>
        <v/>
      </c>
      <c r="AU3952" s="1856" t="str">
        <f t="shared" si="626"/>
        <v/>
      </c>
      <c r="AV3952" s="1856" t="str">
        <f t="shared" si="627"/>
        <v/>
      </c>
      <c r="AW3952" s="1856" t="str">
        <f t="shared" si="628"/>
        <v/>
      </c>
      <c r="AX3952" s="1856" t="str">
        <f t="shared" si="629"/>
        <v/>
      </c>
      <c r="AY3952" s="1856" t="str">
        <f t="shared" si="630"/>
        <v/>
      </c>
    </row>
    <row r="3953" spans="42:51">
      <c r="AP3953" s="1855">
        <f t="shared" si="631"/>
        <v>44957</v>
      </c>
      <c r="AQ3953" s="925" t="str">
        <f t="shared" si="624"/>
        <v/>
      </c>
      <c r="AR3953" s="1856" t="str">
        <f t="shared" si="632"/>
        <v/>
      </c>
      <c r="AT3953" s="1856" t="str">
        <f t="shared" si="625"/>
        <v/>
      </c>
      <c r="AU3953" s="1856" t="str">
        <f t="shared" si="626"/>
        <v/>
      </c>
      <c r="AV3953" s="1856" t="str">
        <f t="shared" si="627"/>
        <v/>
      </c>
      <c r="AW3953" s="1856" t="str">
        <f t="shared" si="628"/>
        <v/>
      </c>
      <c r="AX3953" s="1856" t="str">
        <f t="shared" si="629"/>
        <v/>
      </c>
      <c r="AY3953" s="1856" t="str">
        <f t="shared" si="630"/>
        <v/>
      </c>
    </row>
    <row r="3954" spans="42:51">
      <c r="AP3954" s="1855">
        <f t="shared" si="631"/>
        <v>44957</v>
      </c>
      <c r="AQ3954" s="925" t="str">
        <f t="shared" si="624"/>
        <v/>
      </c>
      <c r="AR3954" s="1856" t="str">
        <f t="shared" si="632"/>
        <v/>
      </c>
      <c r="AT3954" s="1856" t="str">
        <f t="shared" si="625"/>
        <v/>
      </c>
      <c r="AU3954" s="1856" t="str">
        <f t="shared" si="626"/>
        <v/>
      </c>
      <c r="AV3954" s="1856" t="str">
        <f t="shared" si="627"/>
        <v/>
      </c>
      <c r="AW3954" s="1856" t="str">
        <f t="shared" si="628"/>
        <v/>
      </c>
      <c r="AX3954" s="1856" t="str">
        <f t="shared" si="629"/>
        <v/>
      </c>
      <c r="AY3954" s="1856" t="str">
        <f t="shared" si="630"/>
        <v/>
      </c>
    </row>
    <row r="3955" spans="42:51">
      <c r="AP3955" s="1855">
        <f t="shared" si="631"/>
        <v>44957</v>
      </c>
      <c r="AQ3955" s="925" t="str">
        <f t="shared" si="624"/>
        <v/>
      </c>
      <c r="AR3955" s="1856" t="str">
        <f t="shared" si="632"/>
        <v/>
      </c>
      <c r="AT3955" s="1856" t="str">
        <f t="shared" si="625"/>
        <v/>
      </c>
      <c r="AU3955" s="1856" t="str">
        <f t="shared" si="626"/>
        <v/>
      </c>
      <c r="AV3955" s="1856" t="str">
        <f t="shared" si="627"/>
        <v/>
      </c>
      <c r="AW3955" s="1856" t="str">
        <f t="shared" si="628"/>
        <v/>
      </c>
      <c r="AX3955" s="1856" t="str">
        <f t="shared" si="629"/>
        <v/>
      </c>
      <c r="AY3955" s="1856" t="str">
        <f t="shared" si="630"/>
        <v/>
      </c>
    </row>
    <row r="3956" spans="42:51">
      <c r="AP3956" s="1855">
        <f t="shared" si="631"/>
        <v>44957</v>
      </c>
      <c r="AQ3956" s="925" t="str">
        <f t="shared" ref="AQ3956:AQ4019" si="633">IF(NOT(ISNUMBER(FIND(":",AS3956))),"",IF(ISNUMBER(FIND("Sunr",AS3956)),"SR", IF(ISNUMBER(FIND("Suns",AS3956)),"SS",IF(ISNUMBER(FIND("Moonr",AS3956)),"MR",IF(ISNUMBER(FIND("Moons",AS3956)),"MS",IF(ISNUMBER(FIND("Twi",AS3956)),IF(HOUR(AR3956)&lt;12,"BMNT","EENT")))))))</f>
        <v/>
      </c>
      <c r="AR3956" s="1856" t="str">
        <f t="shared" si="632"/>
        <v/>
      </c>
      <c r="AT3956" s="1856" t="str">
        <f t="shared" si="625"/>
        <v/>
      </c>
      <c r="AU3956" s="1856" t="str">
        <f t="shared" si="626"/>
        <v/>
      </c>
      <c r="AV3956" s="1856" t="str">
        <f t="shared" si="627"/>
        <v/>
      </c>
      <c r="AW3956" s="1856" t="str">
        <f t="shared" si="628"/>
        <v/>
      </c>
      <c r="AX3956" s="1856" t="str">
        <f t="shared" si="629"/>
        <v/>
      </c>
      <c r="AY3956" s="1856" t="str">
        <f t="shared" si="630"/>
        <v/>
      </c>
    </row>
    <row r="3957" spans="42:51">
      <c r="AP3957" s="1855">
        <f t="shared" si="631"/>
        <v>44957</v>
      </c>
      <c r="AQ3957" s="925" t="str">
        <f t="shared" si="633"/>
        <v/>
      </c>
      <c r="AR3957" s="1856" t="str">
        <f t="shared" si="632"/>
        <v/>
      </c>
      <c r="AT3957" s="1856" t="str">
        <f t="shared" si="625"/>
        <v/>
      </c>
      <c r="AU3957" s="1856" t="str">
        <f t="shared" si="626"/>
        <v/>
      </c>
      <c r="AV3957" s="1856" t="str">
        <f t="shared" si="627"/>
        <v/>
      </c>
      <c r="AW3957" s="1856" t="str">
        <f t="shared" si="628"/>
        <v/>
      </c>
      <c r="AX3957" s="1856" t="str">
        <f t="shared" si="629"/>
        <v/>
      </c>
      <c r="AY3957" s="1856" t="str">
        <f t="shared" si="630"/>
        <v/>
      </c>
    </row>
    <row r="3958" spans="42:51">
      <c r="AP3958" s="1855">
        <f t="shared" si="631"/>
        <v>44957</v>
      </c>
      <c r="AQ3958" s="925" t="str">
        <f t="shared" si="633"/>
        <v/>
      </c>
      <c r="AR3958" s="1856" t="str">
        <f t="shared" si="632"/>
        <v/>
      </c>
      <c r="AT3958" s="1856" t="str">
        <f t="shared" si="625"/>
        <v/>
      </c>
      <c r="AU3958" s="1856" t="str">
        <f t="shared" si="626"/>
        <v/>
      </c>
      <c r="AV3958" s="1856" t="str">
        <f t="shared" si="627"/>
        <v/>
      </c>
      <c r="AW3958" s="1856" t="str">
        <f t="shared" si="628"/>
        <v/>
      </c>
      <c r="AX3958" s="1856" t="str">
        <f t="shared" si="629"/>
        <v/>
      </c>
      <c r="AY3958" s="1856" t="str">
        <f t="shared" si="630"/>
        <v/>
      </c>
    </row>
    <row r="3959" spans="42:51">
      <c r="AP3959" s="1855">
        <f t="shared" si="631"/>
        <v>44957</v>
      </c>
      <c r="AQ3959" s="925" t="str">
        <f t="shared" si="633"/>
        <v/>
      </c>
      <c r="AR3959" s="1856" t="str">
        <f t="shared" si="632"/>
        <v/>
      </c>
      <c r="AT3959" s="1856" t="str">
        <f t="shared" si="625"/>
        <v/>
      </c>
      <c r="AU3959" s="1856" t="str">
        <f t="shared" si="626"/>
        <v/>
      </c>
      <c r="AV3959" s="1856" t="str">
        <f t="shared" si="627"/>
        <v/>
      </c>
      <c r="AW3959" s="1856" t="str">
        <f t="shared" si="628"/>
        <v/>
      </c>
      <c r="AX3959" s="1856" t="str">
        <f t="shared" si="629"/>
        <v/>
      </c>
      <c r="AY3959" s="1856" t="str">
        <f t="shared" si="630"/>
        <v/>
      </c>
    </row>
    <row r="3960" spans="42:51">
      <c r="AP3960" s="1855">
        <f t="shared" si="631"/>
        <v>44957</v>
      </c>
      <c r="AQ3960" s="925" t="str">
        <f t="shared" si="633"/>
        <v/>
      </c>
      <c r="AR3960" s="1856" t="str">
        <f t="shared" si="632"/>
        <v/>
      </c>
      <c r="AT3960" s="1856" t="str">
        <f t="shared" si="625"/>
        <v/>
      </c>
      <c r="AU3960" s="1856" t="str">
        <f t="shared" si="626"/>
        <v/>
      </c>
      <c r="AV3960" s="1856" t="str">
        <f t="shared" si="627"/>
        <v/>
      </c>
      <c r="AW3960" s="1856" t="str">
        <f t="shared" si="628"/>
        <v/>
      </c>
      <c r="AX3960" s="1856" t="str">
        <f t="shared" si="629"/>
        <v/>
      </c>
      <c r="AY3960" s="1856" t="str">
        <f t="shared" si="630"/>
        <v/>
      </c>
    </row>
    <row r="3961" spans="42:51">
      <c r="AP3961" s="1855">
        <f t="shared" si="631"/>
        <v>44957</v>
      </c>
      <c r="AQ3961" s="925" t="str">
        <f t="shared" si="633"/>
        <v/>
      </c>
      <c r="AR3961" s="1856" t="str">
        <f t="shared" si="632"/>
        <v/>
      </c>
      <c r="AT3961" s="1856" t="str">
        <f t="shared" si="625"/>
        <v/>
      </c>
      <c r="AU3961" s="1856" t="str">
        <f t="shared" si="626"/>
        <v/>
      </c>
      <c r="AV3961" s="1856" t="str">
        <f t="shared" si="627"/>
        <v/>
      </c>
      <c r="AW3961" s="1856" t="str">
        <f t="shared" si="628"/>
        <v/>
      </c>
      <c r="AX3961" s="1856" t="str">
        <f t="shared" si="629"/>
        <v/>
      </c>
      <c r="AY3961" s="1856" t="str">
        <f t="shared" si="630"/>
        <v/>
      </c>
    </row>
    <row r="3962" spans="42:51">
      <c r="AP3962" s="1855">
        <f t="shared" si="631"/>
        <v>44957</v>
      </c>
      <c r="AQ3962" s="925" t="str">
        <f t="shared" si="633"/>
        <v/>
      </c>
      <c r="AR3962" s="1856" t="str">
        <f t="shared" si="632"/>
        <v/>
      </c>
      <c r="AT3962" s="1856" t="str">
        <f t="shared" si="625"/>
        <v/>
      </c>
      <c r="AU3962" s="1856" t="str">
        <f t="shared" si="626"/>
        <v/>
      </c>
      <c r="AV3962" s="1856" t="str">
        <f t="shared" si="627"/>
        <v/>
      </c>
      <c r="AW3962" s="1856" t="str">
        <f t="shared" si="628"/>
        <v/>
      </c>
      <c r="AX3962" s="1856" t="str">
        <f t="shared" si="629"/>
        <v/>
      </c>
      <c r="AY3962" s="1856" t="str">
        <f t="shared" si="630"/>
        <v/>
      </c>
    </row>
    <row r="3963" spans="42:51">
      <c r="AP3963" s="1855">
        <f t="shared" si="631"/>
        <v>44957</v>
      </c>
      <c r="AQ3963" s="925" t="str">
        <f t="shared" si="633"/>
        <v/>
      </c>
      <c r="AR3963" s="1856" t="str">
        <f t="shared" si="632"/>
        <v/>
      </c>
      <c r="AT3963" s="1856" t="str">
        <f t="shared" si="625"/>
        <v/>
      </c>
      <c r="AU3963" s="1856" t="str">
        <f t="shared" si="626"/>
        <v/>
      </c>
      <c r="AV3963" s="1856" t="str">
        <f t="shared" si="627"/>
        <v/>
      </c>
      <c r="AW3963" s="1856" t="str">
        <f t="shared" si="628"/>
        <v/>
      </c>
      <c r="AX3963" s="1856" t="str">
        <f t="shared" si="629"/>
        <v/>
      </c>
      <c r="AY3963" s="1856" t="str">
        <f t="shared" si="630"/>
        <v/>
      </c>
    </row>
    <row r="3964" spans="42:51">
      <c r="AP3964" s="1855">
        <f t="shared" si="631"/>
        <v>44957</v>
      </c>
      <c r="AQ3964" s="925" t="str">
        <f t="shared" si="633"/>
        <v/>
      </c>
      <c r="AR3964" s="1856" t="str">
        <f t="shared" si="632"/>
        <v/>
      </c>
      <c r="AT3964" s="1856" t="str">
        <f t="shared" si="625"/>
        <v/>
      </c>
      <c r="AU3964" s="1856" t="str">
        <f t="shared" si="626"/>
        <v/>
      </c>
      <c r="AV3964" s="1856" t="str">
        <f t="shared" si="627"/>
        <v/>
      </c>
      <c r="AW3964" s="1856" t="str">
        <f t="shared" si="628"/>
        <v/>
      </c>
      <c r="AX3964" s="1856" t="str">
        <f t="shared" si="629"/>
        <v/>
      </c>
      <c r="AY3964" s="1856" t="str">
        <f t="shared" si="630"/>
        <v/>
      </c>
    </row>
    <row r="3965" spans="42:51">
      <c r="AP3965" s="1855">
        <f t="shared" si="631"/>
        <v>44957</v>
      </c>
      <c r="AQ3965" s="925" t="str">
        <f t="shared" si="633"/>
        <v/>
      </c>
      <c r="AR3965" s="1856" t="str">
        <f t="shared" si="632"/>
        <v/>
      </c>
      <c r="AT3965" s="1856" t="str">
        <f t="shared" si="625"/>
        <v/>
      </c>
      <c r="AU3965" s="1856" t="str">
        <f t="shared" si="626"/>
        <v/>
      </c>
      <c r="AV3965" s="1856" t="str">
        <f t="shared" si="627"/>
        <v/>
      </c>
      <c r="AW3965" s="1856" t="str">
        <f t="shared" si="628"/>
        <v/>
      </c>
      <c r="AX3965" s="1856" t="str">
        <f t="shared" si="629"/>
        <v/>
      </c>
      <c r="AY3965" s="1856" t="str">
        <f t="shared" si="630"/>
        <v/>
      </c>
    </row>
    <row r="3966" spans="42:51">
      <c r="AP3966" s="1855">
        <f t="shared" si="631"/>
        <v>44957</v>
      </c>
      <c r="AQ3966" s="925" t="str">
        <f t="shared" si="633"/>
        <v/>
      </c>
      <c r="AR3966" s="1856" t="str">
        <f t="shared" si="632"/>
        <v/>
      </c>
      <c r="AT3966" s="1856" t="str">
        <f t="shared" si="625"/>
        <v/>
      </c>
      <c r="AU3966" s="1856" t="str">
        <f t="shared" si="626"/>
        <v/>
      </c>
      <c r="AV3966" s="1856" t="str">
        <f t="shared" si="627"/>
        <v/>
      </c>
      <c r="AW3966" s="1856" t="str">
        <f t="shared" si="628"/>
        <v/>
      </c>
      <c r="AX3966" s="1856" t="str">
        <f t="shared" si="629"/>
        <v/>
      </c>
      <c r="AY3966" s="1856" t="str">
        <f t="shared" si="630"/>
        <v/>
      </c>
    </row>
    <row r="3967" spans="42:51">
      <c r="AP3967" s="1855">
        <f t="shared" si="631"/>
        <v>44957</v>
      </c>
      <c r="AQ3967" s="925" t="str">
        <f t="shared" si="633"/>
        <v/>
      </c>
      <c r="AR3967" s="1856" t="str">
        <f t="shared" si="632"/>
        <v/>
      </c>
      <c r="AT3967" s="1856" t="str">
        <f t="shared" si="625"/>
        <v/>
      </c>
      <c r="AU3967" s="1856" t="str">
        <f t="shared" si="626"/>
        <v/>
      </c>
      <c r="AV3967" s="1856" t="str">
        <f t="shared" si="627"/>
        <v/>
      </c>
      <c r="AW3967" s="1856" t="str">
        <f t="shared" si="628"/>
        <v/>
      </c>
      <c r="AX3967" s="1856" t="str">
        <f t="shared" si="629"/>
        <v/>
      </c>
      <c r="AY3967" s="1856" t="str">
        <f t="shared" si="630"/>
        <v/>
      </c>
    </row>
    <row r="3968" spans="42:51">
      <c r="AP3968" s="1855">
        <f t="shared" si="631"/>
        <v>44957</v>
      </c>
      <c r="AQ3968" s="925" t="str">
        <f t="shared" si="633"/>
        <v/>
      </c>
      <c r="AR3968" s="1856" t="str">
        <f t="shared" si="632"/>
        <v/>
      </c>
      <c r="AT3968" s="1856" t="str">
        <f t="shared" si="625"/>
        <v/>
      </c>
      <c r="AU3968" s="1856" t="str">
        <f t="shared" si="626"/>
        <v/>
      </c>
      <c r="AV3968" s="1856" t="str">
        <f t="shared" si="627"/>
        <v/>
      </c>
      <c r="AW3968" s="1856" t="str">
        <f t="shared" si="628"/>
        <v/>
      </c>
      <c r="AX3968" s="1856" t="str">
        <f t="shared" si="629"/>
        <v/>
      </c>
      <c r="AY3968" s="1856" t="str">
        <f t="shared" si="630"/>
        <v/>
      </c>
    </row>
    <row r="3969" spans="42:51">
      <c r="AP3969" s="1855">
        <f t="shared" si="631"/>
        <v>44957</v>
      </c>
      <c r="AQ3969" s="925" t="str">
        <f t="shared" si="633"/>
        <v/>
      </c>
      <c r="AR3969" s="1856" t="str">
        <f t="shared" si="632"/>
        <v/>
      </c>
      <c r="AT3969" s="1856" t="str">
        <f t="shared" si="625"/>
        <v/>
      </c>
      <c r="AU3969" s="1856" t="str">
        <f t="shared" si="626"/>
        <v/>
      </c>
      <c r="AV3969" s="1856" t="str">
        <f t="shared" si="627"/>
        <v/>
      </c>
      <c r="AW3969" s="1856" t="str">
        <f t="shared" si="628"/>
        <v/>
      </c>
      <c r="AX3969" s="1856" t="str">
        <f t="shared" si="629"/>
        <v/>
      </c>
      <c r="AY3969" s="1856" t="str">
        <f t="shared" si="630"/>
        <v/>
      </c>
    </row>
    <row r="3970" spans="42:51">
      <c r="AP3970" s="1855">
        <f t="shared" si="631"/>
        <v>44957</v>
      </c>
      <c r="AQ3970" s="925" t="str">
        <f t="shared" si="633"/>
        <v/>
      </c>
      <c r="AR3970" s="1856" t="str">
        <f t="shared" si="632"/>
        <v/>
      </c>
      <c r="AT3970" s="1856" t="str">
        <f t="shared" si="625"/>
        <v/>
      </c>
      <c r="AU3970" s="1856" t="str">
        <f t="shared" si="626"/>
        <v/>
      </c>
      <c r="AV3970" s="1856" t="str">
        <f t="shared" si="627"/>
        <v/>
      </c>
      <c r="AW3970" s="1856" t="str">
        <f t="shared" si="628"/>
        <v/>
      </c>
      <c r="AX3970" s="1856" t="str">
        <f t="shared" si="629"/>
        <v/>
      </c>
      <c r="AY3970" s="1856" t="str">
        <f t="shared" si="630"/>
        <v/>
      </c>
    </row>
    <row r="3971" spans="42:51">
      <c r="AP3971" s="1855">
        <f t="shared" si="631"/>
        <v>44957</v>
      </c>
      <c r="AQ3971" s="925" t="str">
        <f t="shared" si="633"/>
        <v/>
      </c>
      <c r="AR3971" s="1856" t="str">
        <f t="shared" si="632"/>
        <v/>
      </c>
      <c r="AT3971" s="1856" t="str">
        <f t="shared" si="625"/>
        <v/>
      </c>
      <c r="AU3971" s="1856" t="str">
        <f t="shared" si="626"/>
        <v/>
      </c>
      <c r="AV3971" s="1856" t="str">
        <f t="shared" si="627"/>
        <v/>
      </c>
      <c r="AW3971" s="1856" t="str">
        <f t="shared" si="628"/>
        <v/>
      </c>
      <c r="AX3971" s="1856" t="str">
        <f t="shared" si="629"/>
        <v/>
      </c>
      <c r="AY3971" s="1856" t="str">
        <f t="shared" si="630"/>
        <v/>
      </c>
    </row>
    <row r="3972" spans="42:51">
      <c r="AP3972" s="1855">
        <f t="shared" si="631"/>
        <v>44957</v>
      </c>
      <c r="AQ3972" s="925" t="str">
        <f t="shared" si="633"/>
        <v/>
      </c>
      <c r="AR3972" s="1856" t="str">
        <f t="shared" si="632"/>
        <v/>
      </c>
      <c r="AT3972" s="1856" t="str">
        <f t="shared" si="625"/>
        <v/>
      </c>
      <c r="AU3972" s="1856" t="str">
        <f t="shared" si="626"/>
        <v/>
      </c>
      <c r="AV3972" s="1856" t="str">
        <f t="shared" si="627"/>
        <v/>
      </c>
      <c r="AW3972" s="1856" t="str">
        <f t="shared" si="628"/>
        <v/>
      </c>
      <c r="AX3972" s="1856" t="str">
        <f t="shared" si="629"/>
        <v/>
      </c>
      <c r="AY3972" s="1856" t="str">
        <f t="shared" si="630"/>
        <v/>
      </c>
    </row>
    <row r="3973" spans="42:51">
      <c r="AP3973" s="1855">
        <f t="shared" si="631"/>
        <v>44957</v>
      </c>
      <c r="AQ3973" s="925" t="str">
        <f t="shared" si="633"/>
        <v/>
      </c>
      <c r="AR3973" s="1856" t="str">
        <f t="shared" si="632"/>
        <v/>
      </c>
      <c r="AT3973" s="1856" t="str">
        <f t="shared" si="625"/>
        <v/>
      </c>
      <c r="AU3973" s="1856" t="str">
        <f t="shared" si="626"/>
        <v/>
      </c>
      <c r="AV3973" s="1856" t="str">
        <f t="shared" si="627"/>
        <v/>
      </c>
      <c r="AW3973" s="1856" t="str">
        <f t="shared" si="628"/>
        <v/>
      </c>
      <c r="AX3973" s="1856" t="str">
        <f t="shared" si="629"/>
        <v/>
      </c>
      <c r="AY3973" s="1856" t="str">
        <f t="shared" si="630"/>
        <v/>
      </c>
    </row>
    <row r="3974" spans="42:51">
      <c r="AP3974" s="1855">
        <f t="shared" si="631"/>
        <v>44957</v>
      </c>
      <c r="AQ3974" s="925" t="str">
        <f t="shared" si="633"/>
        <v/>
      </c>
      <c r="AR3974" s="1856" t="str">
        <f t="shared" si="632"/>
        <v/>
      </c>
      <c r="AT3974" s="1856" t="str">
        <f t="shared" si="625"/>
        <v/>
      </c>
      <c r="AU3974" s="1856" t="str">
        <f t="shared" si="626"/>
        <v/>
      </c>
      <c r="AV3974" s="1856" t="str">
        <f t="shared" si="627"/>
        <v/>
      </c>
      <c r="AW3974" s="1856" t="str">
        <f t="shared" si="628"/>
        <v/>
      </c>
      <c r="AX3974" s="1856" t="str">
        <f t="shared" si="629"/>
        <v/>
      </c>
      <c r="AY3974" s="1856" t="str">
        <f t="shared" si="630"/>
        <v/>
      </c>
    </row>
    <row r="3975" spans="42:51">
      <c r="AP3975" s="1855">
        <f t="shared" si="631"/>
        <v>44957</v>
      </c>
      <c r="AQ3975" s="925" t="str">
        <f t="shared" si="633"/>
        <v/>
      </c>
      <c r="AR3975" s="1856" t="str">
        <f t="shared" si="632"/>
        <v/>
      </c>
      <c r="AT3975" s="1856" t="str">
        <f t="shared" si="625"/>
        <v/>
      </c>
      <c r="AU3975" s="1856" t="str">
        <f t="shared" si="626"/>
        <v/>
      </c>
      <c r="AV3975" s="1856" t="str">
        <f t="shared" si="627"/>
        <v/>
      </c>
      <c r="AW3975" s="1856" t="str">
        <f t="shared" si="628"/>
        <v/>
      </c>
      <c r="AX3975" s="1856" t="str">
        <f t="shared" si="629"/>
        <v/>
      </c>
      <c r="AY3975" s="1856" t="str">
        <f t="shared" si="630"/>
        <v/>
      </c>
    </row>
    <row r="3976" spans="42:51">
      <c r="AP3976" s="1855">
        <f t="shared" si="631"/>
        <v>44957</v>
      </c>
      <c r="AQ3976" s="925" t="str">
        <f t="shared" si="633"/>
        <v/>
      </c>
      <c r="AR3976" s="1856" t="str">
        <f t="shared" si="632"/>
        <v/>
      </c>
      <c r="AT3976" s="1856" t="str">
        <f t="shared" si="625"/>
        <v/>
      </c>
      <c r="AU3976" s="1856" t="str">
        <f t="shared" si="626"/>
        <v/>
      </c>
      <c r="AV3976" s="1856" t="str">
        <f t="shared" si="627"/>
        <v/>
      </c>
      <c r="AW3976" s="1856" t="str">
        <f t="shared" si="628"/>
        <v/>
      </c>
      <c r="AX3976" s="1856" t="str">
        <f t="shared" si="629"/>
        <v/>
      </c>
      <c r="AY3976" s="1856" t="str">
        <f t="shared" si="630"/>
        <v/>
      </c>
    </row>
    <row r="3977" spans="42:51">
      <c r="AP3977" s="1855">
        <f t="shared" si="631"/>
        <v>44957</v>
      </c>
      <c r="AQ3977" s="925" t="str">
        <f t="shared" si="633"/>
        <v/>
      </c>
      <c r="AR3977" s="1856" t="str">
        <f t="shared" si="632"/>
        <v/>
      </c>
      <c r="AT3977" s="1856" t="str">
        <f t="shared" si="625"/>
        <v/>
      </c>
      <c r="AU3977" s="1856" t="str">
        <f t="shared" si="626"/>
        <v/>
      </c>
      <c r="AV3977" s="1856" t="str">
        <f t="shared" si="627"/>
        <v/>
      </c>
      <c r="AW3977" s="1856" t="str">
        <f t="shared" si="628"/>
        <v/>
      </c>
      <c r="AX3977" s="1856" t="str">
        <f t="shared" si="629"/>
        <v/>
      </c>
      <c r="AY3977" s="1856" t="str">
        <f t="shared" si="630"/>
        <v/>
      </c>
    </row>
    <row r="3978" spans="42:51">
      <c r="AP3978" s="1855">
        <f t="shared" si="631"/>
        <v>44957</v>
      </c>
      <c r="AQ3978" s="925" t="str">
        <f t="shared" si="633"/>
        <v/>
      </c>
      <c r="AR3978" s="1856" t="str">
        <f t="shared" si="632"/>
        <v/>
      </c>
      <c r="AT3978" s="1856" t="str">
        <f t="shared" si="625"/>
        <v/>
      </c>
      <c r="AU3978" s="1856" t="str">
        <f t="shared" si="626"/>
        <v/>
      </c>
      <c r="AV3978" s="1856" t="str">
        <f t="shared" si="627"/>
        <v/>
      </c>
      <c r="AW3978" s="1856" t="str">
        <f t="shared" si="628"/>
        <v/>
      </c>
      <c r="AX3978" s="1856" t="str">
        <f t="shared" si="629"/>
        <v/>
      </c>
      <c r="AY3978" s="1856" t="str">
        <f t="shared" si="630"/>
        <v/>
      </c>
    </row>
    <row r="3979" spans="42:51">
      <c r="AP3979" s="1855">
        <f t="shared" si="631"/>
        <v>44957</v>
      </c>
      <c r="AQ3979" s="925" t="str">
        <f t="shared" si="633"/>
        <v/>
      </c>
      <c r="AR3979" s="1856" t="str">
        <f t="shared" si="632"/>
        <v/>
      </c>
      <c r="AT3979" s="1856" t="str">
        <f t="shared" si="625"/>
        <v/>
      </c>
      <c r="AU3979" s="1856" t="str">
        <f t="shared" si="626"/>
        <v/>
      </c>
      <c r="AV3979" s="1856" t="str">
        <f t="shared" si="627"/>
        <v/>
      </c>
      <c r="AW3979" s="1856" t="str">
        <f t="shared" si="628"/>
        <v/>
      </c>
      <c r="AX3979" s="1856" t="str">
        <f t="shared" si="629"/>
        <v/>
      </c>
      <c r="AY3979" s="1856" t="str">
        <f t="shared" si="630"/>
        <v/>
      </c>
    </row>
    <row r="3980" spans="42:51">
      <c r="AP3980" s="1855">
        <f t="shared" si="631"/>
        <v>44957</v>
      </c>
      <c r="AQ3980" s="925" t="str">
        <f t="shared" si="633"/>
        <v/>
      </c>
      <c r="AR3980" s="1856" t="str">
        <f t="shared" si="632"/>
        <v/>
      </c>
      <c r="AT3980" s="1856" t="str">
        <f t="shared" si="625"/>
        <v/>
      </c>
      <c r="AU3980" s="1856" t="str">
        <f t="shared" si="626"/>
        <v/>
      </c>
      <c r="AV3980" s="1856" t="str">
        <f t="shared" si="627"/>
        <v/>
      </c>
      <c r="AW3980" s="1856" t="str">
        <f t="shared" si="628"/>
        <v/>
      </c>
      <c r="AX3980" s="1856" t="str">
        <f t="shared" si="629"/>
        <v/>
      </c>
      <c r="AY3980" s="1856" t="str">
        <f t="shared" si="630"/>
        <v/>
      </c>
    </row>
    <row r="3981" spans="42:51">
      <c r="AP3981" s="1855">
        <f t="shared" si="631"/>
        <v>44957</v>
      </c>
      <c r="AQ3981" s="925" t="str">
        <f t="shared" si="633"/>
        <v/>
      </c>
      <c r="AR3981" s="1856" t="str">
        <f t="shared" si="632"/>
        <v/>
      </c>
      <c r="AT3981" s="1856" t="str">
        <f t="shared" si="625"/>
        <v/>
      </c>
      <c r="AU3981" s="1856" t="str">
        <f t="shared" si="626"/>
        <v/>
      </c>
      <c r="AV3981" s="1856" t="str">
        <f t="shared" si="627"/>
        <v/>
      </c>
      <c r="AW3981" s="1856" t="str">
        <f t="shared" si="628"/>
        <v/>
      </c>
      <c r="AX3981" s="1856" t="str">
        <f t="shared" si="629"/>
        <v/>
      </c>
      <c r="AY3981" s="1856" t="str">
        <f t="shared" si="630"/>
        <v/>
      </c>
    </row>
    <row r="3982" spans="42:51">
      <c r="AP3982" s="1855">
        <f t="shared" si="631"/>
        <v>44957</v>
      </c>
      <c r="AQ3982" s="925" t="str">
        <f t="shared" si="633"/>
        <v/>
      </c>
      <c r="AR3982" s="1856" t="str">
        <f t="shared" si="632"/>
        <v/>
      </c>
      <c r="AT3982" s="1856" t="str">
        <f t="shared" si="625"/>
        <v/>
      </c>
      <c r="AU3982" s="1856" t="str">
        <f t="shared" si="626"/>
        <v/>
      </c>
      <c r="AV3982" s="1856" t="str">
        <f t="shared" si="627"/>
        <v/>
      </c>
      <c r="AW3982" s="1856" t="str">
        <f t="shared" si="628"/>
        <v/>
      </c>
      <c r="AX3982" s="1856" t="str">
        <f t="shared" si="629"/>
        <v/>
      </c>
      <c r="AY3982" s="1856" t="str">
        <f t="shared" si="630"/>
        <v/>
      </c>
    </row>
    <row r="3983" spans="42:51">
      <c r="AP3983" s="1855">
        <f t="shared" si="631"/>
        <v>44957</v>
      </c>
      <c r="AQ3983" s="925" t="str">
        <f t="shared" si="633"/>
        <v/>
      </c>
      <c r="AR3983" s="1856" t="str">
        <f t="shared" si="632"/>
        <v/>
      </c>
      <c r="AT3983" s="1856" t="str">
        <f t="shared" si="625"/>
        <v/>
      </c>
      <c r="AU3983" s="1856" t="str">
        <f t="shared" si="626"/>
        <v/>
      </c>
      <c r="AV3983" s="1856" t="str">
        <f t="shared" si="627"/>
        <v/>
      </c>
      <c r="AW3983" s="1856" t="str">
        <f t="shared" si="628"/>
        <v/>
      </c>
      <c r="AX3983" s="1856" t="str">
        <f t="shared" si="629"/>
        <v/>
      </c>
      <c r="AY3983" s="1856" t="str">
        <f t="shared" si="630"/>
        <v/>
      </c>
    </row>
    <row r="3984" spans="42:51">
      <c r="AP3984" s="1855">
        <f t="shared" si="631"/>
        <v>44957</v>
      </c>
      <c r="AQ3984" s="925" t="str">
        <f t="shared" si="633"/>
        <v/>
      </c>
      <c r="AR3984" s="1856" t="str">
        <f t="shared" si="632"/>
        <v/>
      </c>
      <c r="AT3984" s="1856" t="str">
        <f t="shared" si="625"/>
        <v/>
      </c>
      <c r="AU3984" s="1856" t="str">
        <f t="shared" si="626"/>
        <v/>
      </c>
      <c r="AV3984" s="1856" t="str">
        <f t="shared" si="627"/>
        <v/>
      </c>
      <c r="AW3984" s="1856" t="str">
        <f t="shared" si="628"/>
        <v/>
      </c>
      <c r="AX3984" s="1856" t="str">
        <f t="shared" si="629"/>
        <v/>
      </c>
      <c r="AY3984" s="1856" t="str">
        <f t="shared" si="630"/>
        <v/>
      </c>
    </row>
    <row r="3985" spans="42:51">
      <c r="AP3985" s="1855">
        <f t="shared" si="631"/>
        <v>44957</v>
      </c>
      <c r="AQ3985" s="925" t="str">
        <f t="shared" si="633"/>
        <v/>
      </c>
      <c r="AR3985" s="1856" t="str">
        <f t="shared" si="632"/>
        <v/>
      </c>
      <c r="AT3985" s="1856" t="str">
        <f t="shared" si="625"/>
        <v/>
      </c>
      <c r="AU3985" s="1856" t="str">
        <f t="shared" si="626"/>
        <v/>
      </c>
      <c r="AV3985" s="1856" t="str">
        <f t="shared" si="627"/>
        <v/>
      </c>
      <c r="AW3985" s="1856" t="str">
        <f t="shared" si="628"/>
        <v/>
      </c>
      <c r="AX3985" s="1856" t="str">
        <f t="shared" si="629"/>
        <v/>
      </c>
      <c r="AY3985" s="1856" t="str">
        <f t="shared" si="630"/>
        <v/>
      </c>
    </row>
    <row r="3986" spans="42:51">
      <c r="AP3986" s="1855">
        <f t="shared" si="631"/>
        <v>44957</v>
      </c>
      <c r="AQ3986" s="925" t="str">
        <f t="shared" si="633"/>
        <v/>
      </c>
      <c r="AR3986" s="1856" t="str">
        <f t="shared" si="632"/>
        <v/>
      </c>
      <c r="AT3986" s="1856" t="str">
        <f t="shared" si="625"/>
        <v/>
      </c>
      <c r="AU3986" s="1856" t="str">
        <f t="shared" si="626"/>
        <v/>
      </c>
      <c r="AV3986" s="1856" t="str">
        <f t="shared" si="627"/>
        <v/>
      </c>
      <c r="AW3986" s="1856" t="str">
        <f t="shared" si="628"/>
        <v/>
      </c>
      <c r="AX3986" s="1856" t="str">
        <f t="shared" si="629"/>
        <v/>
      </c>
      <c r="AY3986" s="1856" t="str">
        <f t="shared" si="630"/>
        <v/>
      </c>
    </row>
    <row r="3987" spans="42:51">
      <c r="AP3987" s="1855">
        <f t="shared" si="631"/>
        <v>44957</v>
      </c>
      <c r="AQ3987" s="925" t="str">
        <f t="shared" si="633"/>
        <v/>
      </c>
      <c r="AR3987" s="1856" t="str">
        <f t="shared" si="632"/>
        <v/>
      </c>
      <c r="AT3987" s="1856" t="str">
        <f t="shared" si="625"/>
        <v/>
      </c>
      <c r="AU3987" s="1856" t="str">
        <f t="shared" si="626"/>
        <v/>
      </c>
      <c r="AV3987" s="1856" t="str">
        <f t="shared" si="627"/>
        <v/>
      </c>
      <c r="AW3987" s="1856" t="str">
        <f t="shared" si="628"/>
        <v/>
      </c>
      <c r="AX3987" s="1856" t="str">
        <f t="shared" si="629"/>
        <v/>
      </c>
      <c r="AY3987" s="1856" t="str">
        <f t="shared" si="630"/>
        <v/>
      </c>
    </row>
    <row r="3988" spans="42:51">
      <c r="AP3988" s="1855">
        <f t="shared" si="631"/>
        <v>44957</v>
      </c>
      <c r="AQ3988" s="925" t="str">
        <f t="shared" si="633"/>
        <v/>
      </c>
      <c r="AR3988" s="1856" t="str">
        <f t="shared" si="632"/>
        <v/>
      </c>
      <c r="AT3988" s="1856" t="str">
        <f t="shared" si="625"/>
        <v/>
      </c>
      <c r="AU3988" s="1856" t="str">
        <f t="shared" si="626"/>
        <v/>
      </c>
      <c r="AV3988" s="1856" t="str">
        <f t="shared" si="627"/>
        <v/>
      </c>
      <c r="AW3988" s="1856" t="str">
        <f t="shared" si="628"/>
        <v/>
      </c>
      <c r="AX3988" s="1856" t="str">
        <f t="shared" si="629"/>
        <v/>
      </c>
      <c r="AY3988" s="1856" t="str">
        <f t="shared" si="630"/>
        <v/>
      </c>
    </row>
    <row r="3989" spans="42:51">
      <c r="AP3989" s="1855">
        <f t="shared" si="631"/>
        <v>44957</v>
      </c>
      <c r="AQ3989" s="925" t="str">
        <f t="shared" si="633"/>
        <v/>
      </c>
      <c r="AR3989" s="1856" t="str">
        <f t="shared" si="632"/>
        <v/>
      </c>
      <c r="AT3989" s="1856" t="str">
        <f t="shared" si="625"/>
        <v/>
      </c>
      <c r="AU3989" s="1856" t="str">
        <f t="shared" si="626"/>
        <v/>
      </c>
      <c r="AV3989" s="1856" t="str">
        <f t="shared" si="627"/>
        <v/>
      </c>
      <c r="AW3989" s="1856" t="str">
        <f t="shared" si="628"/>
        <v/>
      </c>
      <c r="AX3989" s="1856" t="str">
        <f t="shared" si="629"/>
        <v/>
      </c>
      <c r="AY3989" s="1856" t="str">
        <f t="shared" si="630"/>
        <v/>
      </c>
    </row>
    <row r="3990" spans="42:51">
      <c r="AP3990" s="1855">
        <f t="shared" si="631"/>
        <v>44957</v>
      </c>
      <c r="AQ3990" s="925" t="str">
        <f t="shared" si="633"/>
        <v/>
      </c>
      <c r="AR3990" s="1856" t="str">
        <f t="shared" si="632"/>
        <v/>
      </c>
      <c r="AT3990" s="1856" t="str">
        <f t="shared" si="625"/>
        <v/>
      </c>
      <c r="AU3990" s="1856" t="str">
        <f t="shared" si="626"/>
        <v/>
      </c>
      <c r="AV3990" s="1856" t="str">
        <f t="shared" si="627"/>
        <v/>
      </c>
      <c r="AW3990" s="1856" t="str">
        <f t="shared" si="628"/>
        <v/>
      </c>
      <c r="AX3990" s="1856" t="str">
        <f t="shared" si="629"/>
        <v/>
      </c>
      <c r="AY3990" s="1856" t="str">
        <f t="shared" si="630"/>
        <v/>
      </c>
    </row>
    <row r="3991" spans="42:51">
      <c r="AP3991" s="1855">
        <f t="shared" si="631"/>
        <v>44957</v>
      </c>
      <c r="AQ3991" s="925" t="str">
        <f t="shared" si="633"/>
        <v/>
      </c>
      <c r="AR3991" s="1856" t="str">
        <f t="shared" si="632"/>
        <v/>
      </c>
      <c r="AT3991" s="1856" t="str">
        <f t="shared" si="625"/>
        <v/>
      </c>
      <c r="AU3991" s="1856" t="str">
        <f t="shared" si="626"/>
        <v/>
      </c>
      <c r="AV3991" s="1856" t="str">
        <f t="shared" si="627"/>
        <v/>
      </c>
      <c r="AW3991" s="1856" t="str">
        <f t="shared" si="628"/>
        <v/>
      </c>
      <c r="AX3991" s="1856" t="str">
        <f t="shared" si="629"/>
        <v/>
      </c>
      <c r="AY3991" s="1856" t="str">
        <f t="shared" si="630"/>
        <v/>
      </c>
    </row>
    <row r="3992" spans="42:51">
      <c r="AP3992" s="1855">
        <f t="shared" si="631"/>
        <v>44957</v>
      </c>
      <c r="AQ3992" s="925" t="str">
        <f t="shared" si="633"/>
        <v/>
      </c>
      <c r="AR3992" s="1856" t="str">
        <f t="shared" si="632"/>
        <v/>
      </c>
      <c r="AT3992" s="1856" t="str">
        <f t="shared" si="625"/>
        <v/>
      </c>
      <c r="AU3992" s="1856" t="str">
        <f t="shared" si="626"/>
        <v/>
      </c>
      <c r="AV3992" s="1856" t="str">
        <f t="shared" si="627"/>
        <v/>
      </c>
      <c r="AW3992" s="1856" t="str">
        <f t="shared" si="628"/>
        <v/>
      </c>
      <c r="AX3992" s="1856" t="str">
        <f t="shared" si="629"/>
        <v/>
      </c>
      <c r="AY3992" s="1856" t="str">
        <f t="shared" si="630"/>
        <v/>
      </c>
    </row>
    <row r="3993" spans="42:51">
      <c r="AP3993" s="1855">
        <f t="shared" si="631"/>
        <v>44957</v>
      </c>
      <c r="AQ3993" s="925" t="str">
        <f t="shared" si="633"/>
        <v/>
      </c>
      <c r="AR3993" s="1856" t="str">
        <f t="shared" si="632"/>
        <v/>
      </c>
      <c r="AT3993" s="1856" t="str">
        <f t="shared" si="625"/>
        <v/>
      </c>
      <c r="AU3993" s="1856" t="str">
        <f t="shared" si="626"/>
        <v/>
      </c>
      <c r="AV3993" s="1856" t="str">
        <f t="shared" si="627"/>
        <v/>
      </c>
      <c r="AW3993" s="1856" t="str">
        <f t="shared" si="628"/>
        <v/>
      </c>
      <c r="AX3993" s="1856" t="str">
        <f t="shared" si="629"/>
        <v/>
      </c>
      <c r="AY3993" s="1856" t="str">
        <f t="shared" si="630"/>
        <v/>
      </c>
    </row>
    <row r="3994" spans="42:51">
      <c r="AP3994" s="1855">
        <f t="shared" si="631"/>
        <v>44957</v>
      </c>
      <c r="AQ3994" s="925" t="str">
        <f t="shared" si="633"/>
        <v/>
      </c>
      <c r="AR3994" s="1856" t="str">
        <f t="shared" si="632"/>
        <v/>
      </c>
      <c r="AT3994" s="1856" t="str">
        <f t="shared" si="625"/>
        <v/>
      </c>
      <c r="AU3994" s="1856" t="str">
        <f t="shared" si="626"/>
        <v/>
      </c>
      <c r="AV3994" s="1856" t="str">
        <f t="shared" si="627"/>
        <v/>
      </c>
      <c r="AW3994" s="1856" t="str">
        <f t="shared" si="628"/>
        <v/>
      </c>
      <c r="AX3994" s="1856" t="str">
        <f t="shared" si="629"/>
        <v/>
      </c>
      <c r="AY3994" s="1856" t="str">
        <f t="shared" si="630"/>
        <v/>
      </c>
    </row>
    <row r="3995" spans="42:51">
      <c r="AP3995" s="1855">
        <f t="shared" si="631"/>
        <v>44957</v>
      </c>
      <c r="AQ3995" s="925" t="str">
        <f t="shared" si="633"/>
        <v/>
      </c>
      <c r="AR3995" s="1856" t="str">
        <f t="shared" si="632"/>
        <v/>
      </c>
      <c r="AT3995" s="1856" t="str">
        <f t="shared" si="625"/>
        <v/>
      </c>
      <c r="AU3995" s="1856" t="str">
        <f t="shared" si="626"/>
        <v/>
      </c>
      <c r="AV3995" s="1856" t="str">
        <f t="shared" si="627"/>
        <v/>
      </c>
      <c r="AW3995" s="1856" t="str">
        <f t="shared" si="628"/>
        <v/>
      </c>
      <c r="AX3995" s="1856" t="str">
        <f t="shared" si="629"/>
        <v/>
      </c>
      <c r="AY3995" s="1856" t="str">
        <f t="shared" si="630"/>
        <v/>
      </c>
    </row>
    <row r="3996" spans="42:51">
      <c r="AP3996" s="1855">
        <f t="shared" si="631"/>
        <v>44957</v>
      </c>
      <c r="AQ3996" s="925" t="str">
        <f t="shared" si="633"/>
        <v/>
      </c>
      <c r="AR3996" s="1856" t="str">
        <f t="shared" si="632"/>
        <v/>
      </c>
      <c r="AT3996" s="1856" t="str">
        <f t="shared" ref="AT3996:AT4059" si="634">IF(ISNUMBER(AS3996),INDEX(AR3997:AR4007,MATCH($AT$27,AQ3997:AQ4007,0)),"")</f>
        <v/>
      </c>
      <c r="AU3996" s="1856" t="str">
        <f t="shared" ref="AU3996:AU4059" si="635">IF(AT3996="","",INDEX(AR3997:AR4007,MATCH($AU$27,AQ3997:AQ4007,0)))</f>
        <v/>
      </c>
      <c r="AV3996" s="1856" t="str">
        <f t="shared" ref="AV3996:AV4059" si="636">IF(AT3996="","",INDEX(AR3997:AR4007,MATCH($AV$27,AQ3997:AQ4007,0)))</f>
        <v/>
      </c>
      <c r="AW3996" s="1856" t="str">
        <f t="shared" ref="AW3996:AW4059" si="637">IF(AT3996="","",INDEX(AR3997:AR4007,MATCH($AW$27,AQ3997:AQ4007,0)))</f>
        <v/>
      </c>
      <c r="AX3996" s="1856" t="str">
        <f t="shared" ref="AX3996:AX4059" si="638">IF(AT3996="","",INDEX(AR3997:AR4007,MATCH($AX$27,AQ3997:AQ4007,0)))</f>
        <v/>
      </c>
      <c r="AY3996" s="1856" t="str">
        <f t="shared" ref="AY3996:AY4059" si="639">IF(AT3996="","",INDEX(AR3997:AR4007,MATCH($AY$27,AQ3997:AQ4007,0)))</f>
        <v/>
      </c>
    </row>
    <row r="3997" spans="42:51">
      <c r="AP3997" s="1855">
        <f t="shared" si="631"/>
        <v>44957</v>
      </c>
      <c r="AQ3997" s="925" t="str">
        <f t="shared" si="633"/>
        <v/>
      </c>
      <c r="AR3997" s="1856" t="str">
        <f t="shared" si="632"/>
        <v/>
      </c>
      <c r="AT3997" s="1856" t="str">
        <f t="shared" si="634"/>
        <v/>
      </c>
      <c r="AU3997" s="1856" t="str">
        <f t="shared" si="635"/>
        <v/>
      </c>
      <c r="AV3997" s="1856" t="str">
        <f t="shared" si="636"/>
        <v/>
      </c>
      <c r="AW3997" s="1856" t="str">
        <f t="shared" si="637"/>
        <v/>
      </c>
      <c r="AX3997" s="1856" t="str">
        <f t="shared" si="638"/>
        <v/>
      </c>
      <c r="AY3997" s="1856" t="str">
        <f t="shared" si="639"/>
        <v/>
      </c>
    </row>
    <row r="3998" spans="42:51">
      <c r="AP3998" s="1855">
        <f t="shared" si="631"/>
        <v>44957</v>
      </c>
      <c r="AQ3998" s="925" t="str">
        <f t="shared" si="633"/>
        <v/>
      </c>
      <c r="AR3998" s="1856" t="str">
        <f t="shared" si="632"/>
        <v/>
      </c>
      <c r="AT3998" s="1856" t="str">
        <f t="shared" si="634"/>
        <v/>
      </c>
      <c r="AU3998" s="1856" t="str">
        <f t="shared" si="635"/>
        <v/>
      </c>
      <c r="AV3998" s="1856" t="str">
        <f t="shared" si="636"/>
        <v/>
      </c>
      <c r="AW3998" s="1856" t="str">
        <f t="shared" si="637"/>
        <v/>
      </c>
      <c r="AX3998" s="1856" t="str">
        <f t="shared" si="638"/>
        <v/>
      </c>
      <c r="AY3998" s="1856" t="str">
        <f t="shared" si="639"/>
        <v/>
      </c>
    </row>
    <row r="3999" spans="42:51">
      <c r="AP3999" s="1855">
        <f t="shared" si="631"/>
        <v>44957</v>
      </c>
      <c r="AQ3999" s="925" t="str">
        <f t="shared" si="633"/>
        <v/>
      </c>
      <c r="AR3999" s="1856" t="str">
        <f t="shared" si="632"/>
        <v/>
      </c>
      <c r="AT3999" s="1856" t="str">
        <f t="shared" si="634"/>
        <v/>
      </c>
      <c r="AU3999" s="1856" t="str">
        <f t="shared" si="635"/>
        <v/>
      </c>
      <c r="AV3999" s="1856" t="str">
        <f t="shared" si="636"/>
        <v/>
      </c>
      <c r="AW3999" s="1856" t="str">
        <f t="shared" si="637"/>
        <v/>
      </c>
      <c r="AX3999" s="1856" t="str">
        <f t="shared" si="638"/>
        <v/>
      </c>
      <c r="AY3999" s="1856" t="str">
        <f t="shared" si="639"/>
        <v/>
      </c>
    </row>
    <row r="4000" spans="42:51">
      <c r="AP4000" s="1855">
        <f t="shared" si="631"/>
        <v>44957</v>
      </c>
      <c r="AQ4000" s="925" t="str">
        <f t="shared" si="633"/>
        <v/>
      </c>
      <c r="AR4000" s="1856" t="str">
        <f t="shared" si="632"/>
        <v/>
      </c>
      <c r="AT4000" s="1856" t="str">
        <f t="shared" si="634"/>
        <v/>
      </c>
      <c r="AU4000" s="1856" t="str">
        <f t="shared" si="635"/>
        <v/>
      </c>
      <c r="AV4000" s="1856" t="str">
        <f t="shared" si="636"/>
        <v/>
      </c>
      <c r="AW4000" s="1856" t="str">
        <f t="shared" si="637"/>
        <v/>
      </c>
      <c r="AX4000" s="1856" t="str">
        <f t="shared" si="638"/>
        <v/>
      </c>
      <c r="AY4000" s="1856" t="str">
        <f t="shared" si="639"/>
        <v/>
      </c>
    </row>
    <row r="4001" spans="42:51">
      <c r="AP4001" s="1855">
        <f t="shared" si="631"/>
        <v>44957</v>
      </c>
      <c r="AQ4001" s="925" t="str">
        <f t="shared" si="633"/>
        <v/>
      </c>
      <c r="AR4001" s="1856" t="str">
        <f t="shared" si="632"/>
        <v/>
      </c>
      <c r="AT4001" s="1856" t="str">
        <f t="shared" si="634"/>
        <v/>
      </c>
      <c r="AU4001" s="1856" t="str">
        <f t="shared" si="635"/>
        <v/>
      </c>
      <c r="AV4001" s="1856" t="str">
        <f t="shared" si="636"/>
        <v/>
      </c>
      <c r="AW4001" s="1856" t="str">
        <f t="shared" si="637"/>
        <v/>
      </c>
      <c r="AX4001" s="1856" t="str">
        <f t="shared" si="638"/>
        <v/>
      </c>
      <c r="AY4001" s="1856" t="str">
        <f t="shared" si="639"/>
        <v/>
      </c>
    </row>
    <row r="4002" spans="42:51">
      <c r="AP4002" s="1855">
        <f t="shared" si="631"/>
        <v>44957</v>
      </c>
      <c r="AQ4002" s="925" t="str">
        <f t="shared" si="633"/>
        <v/>
      </c>
      <c r="AR4002" s="1856" t="str">
        <f t="shared" si="632"/>
        <v/>
      </c>
      <c r="AT4002" s="1856" t="str">
        <f t="shared" si="634"/>
        <v/>
      </c>
      <c r="AU4002" s="1856" t="str">
        <f t="shared" si="635"/>
        <v/>
      </c>
      <c r="AV4002" s="1856" t="str">
        <f t="shared" si="636"/>
        <v/>
      </c>
      <c r="AW4002" s="1856" t="str">
        <f t="shared" si="637"/>
        <v/>
      </c>
      <c r="AX4002" s="1856" t="str">
        <f t="shared" si="638"/>
        <v/>
      </c>
      <c r="AY4002" s="1856" t="str">
        <f t="shared" si="639"/>
        <v/>
      </c>
    </row>
    <row r="4003" spans="42:51">
      <c r="AP4003" s="1855">
        <f t="shared" si="631"/>
        <v>44957</v>
      </c>
      <c r="AQ4003" s="925" t="str">
        <f t="shared" si="633"/>
        <v/>
      </c>
      <c r="AR4003" s="1856" t="str">
        <f t="shared" si="632"/>
        <v/>
      </c>
      <c r="AT4003" s="1856" t="str">
        <f t="shared" si="634"/>
        <v/>
      </c>
      <c r="AU4003" s="1856" t="str">
        <f t="shared" si="635"/>
        <v/>
      </c>
      <c r="AV4003" s="1856" t="str">
        <f t="shared" si="636"/>
        <v/>
      </c>
      <c r="AW4003" s="1856" t="str">
        <f t="shared" si="637"/>
        <v/>
      </c>
      <c r="AX4003" s="1856" t="str">
        <f t="shared" si="638"/>
        <v/>
      </c>
      <c r="AY4003" s="1856" t="str">
        <f t="shared" si="639"/>
        <v/>
      </c>
    </row>
    <row r="4004" spans="42:51">
      <c r="AP4004" s="1855">
        <f t="shared" si="631"/>
        <v>44957</v>
      </c>
      <c r="AQ4004" s="925" t="str">
        <f t="shared" si="633"/>
        <v/>
      </c>
      <c r="AR4004" s="1856" t="str">
        <f t="shared" si="632"/>
        <v/>
      </c>
      <c r="AT4004" s="1856" t="str">
        <f t="shared" si="634"/>
        <v/>
      </c>
      <c r="AU4004" s="1856" t="str">
        <f t="shared" si="635"/>
        <v/>
      </c>
      <c r="AV4004" s="1856" t="str">
        <f t="shared" si="636"/>
        <v/>
      </c>
      <c r="AW4004" s="1856" t="str">
        <f t="shared" si="637"/>
        <v/>
      </c>
      <c r="AX4004" s="1856" t="str">
        <f t="shared" si="638"/>
        <v/>
      </c>
      <c r="AY4004" s="1856" t="str">
        <f t="shared" si="639"/>
        <v/>
      </c>
    </row>
    <row r="4005" spans="42:51">
      <c r="AP4005" s="1855">
        <f t="shared" ref="AP4005:AP4068" si="640">IF(ISNUMBER(AS4005),AP4004+1,AP4004)</f>
        <v>44957</v>
      </c>
      <c r="AQ4005" s="925" t="str">
        <f t="shared" si="633"/>
        <v/>
      </c>
      <c r="AR4005" s="1856" t="str">
        <f t="shared" si="632"/>
        <v/>
      </c>
      <c r="AT4005" s="1856" t="str">
        <f t="shared" si="634"/>
        <v/>
      </c>
      <c r="AU4005" s="1856" t="str">
        <f t="shared" si="635"/>
        <v/>
      </c>
      <c r="AV4005" s="1856" t="str">
        <f t="shared" si="636"/>
        <v/>
      </c>
      <c r="AW4005" s="1856" t="str">
        <f t="shared" si="637"/>
        <v/>
      </c>
      <c r="AX4005" s="1856" t="str">
        <f t="shared" si="638"/>
        <v/>
      </c>
      <c r="AY4005" s="1856" t="str">
        <f t="shared" si="639"/>
        <v/>
      </c>
    </row>
    <row r="4006" spans="42:51">
      <c r="AP4006" s="1855">
        <f t="shared" si="640"/>
        <v>44957</v>
      </c>
      <c r="AQ4006" s="925" t="str">
        <f t="shared" si="633"/>
        <v/>
      </c>
      <c r="AR4006" s="1856" t="str">
        <f t="shared" si="632"/>
        <v/>
      </c>
      <c r="AT4006" s="1856" t="str">
        <f t="shared" si="634"/>
        <v/>
      </c>
      <c r="AU4006" s="1856" t="str">
        <f t="shared" si="635"/>
        <v/>
      </c>
      <c r="AV4006" s="1856" t="str">
        <f t="shared" si="636"/>
        <v/>
      </c>
      <c r="AW4006" s="1856" t="str">
        <f t="shared" si="637"/>
        <v/>
      </c>
      <c r="AX4006" s="1856" t="str">
        <f t="shared" si="638"/>
        <v/>
      </c>
      <c r="AY4006" s="1856" t="str">
        <f t="shared" si="639"/>
        <v/>
      </c>
    </row>
    <row r="4007" spans="42:51">
      <c r="AP4007" s="1855">
        <f t="shared" si="640"/>
        <v>44957</v>
      </c>
      <c r="AQ4007" s="925" t="str">
        <f t="shared" si="633"/>
        <v/>
      </c>
      <c r="AR4007" s="1856" t="str">
        <f t="shared" si="632"/>
        <v/>
      </c>
      <c r="AT4007" s="1856" t="str">
        <f t="shared" si="634"/>
        <v/>
      </c>
      <c r="AU4007" s="1856" t="str">
        <f t="shared" si="635"/>
        <v/>
      </c>
      <c r="AV4007" s="1856" t="str">
        <f t="shared" si="636"/>
        <v/>
      </c>
      <c r="AW4007" s="1856" t="str">
        <f t="shared" si="637"/>
        <v/>
      </c>
      <c r="AX4007" s="1856" t="str">
        <f t="shared" si="638"/>
        <v/>
      </c>
      <c r="AY4007" s="1856" t="str">
        <f t="shared" si="639"/>
        <v/>
      </c>
    </row>
    <row r="4008" spans="42:51">
      <c r="AP4008" s="1855">
        <f t="shared" si="640"/>
        <v>44957</v>
      </c>
      <c r="AQ4008" s="925" t="str">
        <f t="shared" si="633"/>
        <v/>
      </c>
      <c r="AR4008" s="1856" t="str">
        <f t="shared" si="632"/>
        <v/>
      </c>
      <c r="AT4008" s="1856" t="str">
        <f t="shared" si="634"/>
        <v/>
      </c>
      <c r="AU4008" s="1856" t="str">
        <f t="shared" si="635"/>
        <v/>
      </c>
      <c r="AV4008" s="1856" t="str">
        <f t="shared" si="636"/>
        <v/>
      </c>
      <c r="AW4008" s="1856" t="str">
        <f t="shared" si="637"/>
        <v/>
      </c>
      <c r="AX4008" s="1856" t="str">
        <f t="shared" si="638"/>
        <v/>
      </c>
      <c r="AY4008" s="1856" t="str">
        <f t="shared" si="639"/>
        <v/>
      </c>
    </row>
    <row r="4009" spans="42:51">
      <c r="AP4009" s="1855">
        <f t="shared" si="640"/>
        <v>44957</v>
      </c>
      <c r="AQ4009" s="925" t="str">
        <f t="shared" si="633"/>
        <v/>
      </c>
      <c r="AR4009" s="1856" t="str">
        <f t="shared" ref="AR4009:AR4072" si="641">IF(NOT(ISNUMBER(FIND(":",AS4009))),"",IF(ISNUMBER(FIND(" none",AS4009)),"NONE",AP4009+LEFT(RIGHT(AS4009,5),2)/24+RIGHT(AS4009,2)/1440))</f>
        <v/>
      </c>
      <c r="AT4009" s="1856" t="str">
        <f t="shared" si="634"/>
        <v/>
      </c>
      <c r="AU4009" s="1856" t="str">
        <f t="shared" si="635"/>
        <v/>
      </c>
      <c r="AV4009" s="1856" t="str">
        <f t="shared" si="636"/>
        <v/>
      </c>
      <c r="AW4009" s="1856" t="str">
        <f t="shared" si="637"/>
        <v/>
      </c>
      <c r="AX4009" s="1856" t="str">
        <f t="shared" si="638"/>
        <v/>
      </c>
      <c r="AY4009" s="1856" t="str">
        <f t="shared" si="639"/>
        <v/>
      </c>
    </row>
    <row r="4010" spans="42:51">
      <c r="AP4010" s="1855">
        <f t="shared" si="640"/>
        <v>44957</v>
      </c>
      <c r="AQ4010" s="925" t="str">
        <f t="shared" si="633"/>
        <v/>
      </c>
      <c r="AR4010" s="1856" t="str">
        <f t="shared" si="641"/>
        <v/>
      </c>
      <c r="AT4010" s="1856" t="str">
        <f t="shared" si="634"/>
        <v/>
      </c>
      <c r="AU4010" s="1856" t="str">
        <f t="shared" si="635"/>
        <v/>
      </c>
      <c r="AV4010" s="1856" t="str">
        <f t="shared" si="636"/>
        <v/>
      </c>
      <c r="AW4010" s="1856" t="str">
        <f t="shared" si="637"/>
        <v/>
      </c>
      <c r="AX4010" s="1856" t="str">
        <f t="shared" si="638"/>
        <v/>
      </c>
      <c r="AY4010" s="1856" t="str">
        <f t="shared" si="639"/>
        <v/>
      </c>
    </row>
    <row r="4011" spans="42:51">
      <c r="AP4011" s="1855">
        <f t="shared" si="640"/>
        <v>44957</v>
      </c>
      <c r="AQ4011" s="925" t="str">
        <f t="shared" si="633"/>
        <v/>
      </c>
      <c r="AR4011" s="1856" t="str">
        <f t="shared" si="641"/>
        <v/>
      </c>
      <c r="AT4011" s="1856" t="str">
        <f t="shared" si="634"/>
        <v/>
      </c>
      <c r="AU4011" s="1856" t="str">
        <f t="shared" si="635"/>
        <v/>
      </c>
      <c r="AV4011" s="1856" t="str">
        <f t="shared" si="636"/>
        <v/>
      </c>
      <c r="AW4011" s="1856" t="str">
        <f t="shared" si="637"/>
        <v/>
      </c>
      <c r="AX4011" s="1856" t="str">
        <f t="shared" si="638"/>
        <v/>
      </c>
      <c r="AY4011" s="1856" t="str">
        <f t="shared" si="639"/>
        <v/>
      </c>
    </row>
    <row r="4012" spans="42:51">
      <c r="AP4012" s="1855">
        <f t="shared" si="640"/>
        <v>44957</v>
      </c>
      <c r="AQ4012" s="925" t="str">
        <f t="shared" si="633"/>
        <v/>
      </c>
      <c r="AR4012" s="1856" t="str">
        <f t="shared" si="641"/>
        <v/>
      </c>
      <c r="AT4012" s="1856" t="str">
        <f t="shared" si="634"/>
        <v/>
      </c>
      <c r="AU4012" s="1856" t="str">
        <f t="shared" si="635"/>
        <v/>
      </c>
      <c r="AV4012" s="1856" t="str">
        <f t="shared" si="636"/>
        <v/>
      </c>
      <c r="AW4012" s="1856" t="str">
        <f t="shared" si="637"/>
        <v/>
      </c>
      <c r="AX4012" s="1856" t="str">
        <f t="shared" si="638"/>
        <v/>
      </c>
      <c r="AY4012" s="1856" t="str">
        <f t="shared" si="639"/>
        <v/>
      </c>
    </row>
    <row r="4013" spans="42:51">
      <c r="AP4013" s="1855">
        <f t="shared" si="640"/>
        <v>44957</v>
      </c>
      <c r="AQ4013" s="925" t="str">
        <f t="shared" si="633"/>
        <v/>
      </c>
      <c r="AR4013" s="1856" t="str">
        <f t="shared" si="641"/>
        <v/>
      </c>
      <c r="AT4013" s="1856" t="str">
        <f t="shared" si="634"/>
        <v/>
      </c>
      <c r="AU4013" s="1856" t="str">
        <f t="shared" si="635"/>
        <v/>
      </c>
      <c r="AV4013" s="1856" t="str">
        <f t="shared" si="636"/>
        <v/>
      </c>
      <c r="AW4013" s="1856" t="str">
        <f t="shared" si="637"/>
        <v/>
      </c>
      <c r="AX4013" s="1856" t="str">
        <f t="shared" si="638"/>
        <v/>
      </c>
      <c r="AY4013" s="1856" t="str">
        <f t="shared" si="639"/>
        <v/>
      </c>
    </row>
    <row r="4014" spans="42:51">
      <c r="AP4014" s="1855">
        <f t="shared" si="640"/>
        <v>44957</v>
      </c>
      <c r="AQ4014" s="925" t="str">
        <f t="shared" si="633"/>
        <v/>
      </c>
      <c r="AR4014" s="1856" t="str">
        <f t="shared" si="641"/>
        <v/>
      </c>
      <c r="AT4014" s="1856" t="str">
        <f t="shared" si="634"/>
        <v/>
      </c>
      <c r="AU4014" s="1856" t="str">
        <f t="shared" si="635"/>
        <v/>
      </c>
      <c r="AV4014" s="1856" t="str">
        <f t="shared" si="636"/>
        <v/>
      </c>
      <c r="AW4014" s="1856" t="str">
        <f t="shared" si="637"/>
        <v/>
      </c>
      <c r="AX4014" s="1856" t="str">
        <f t="shared" si="638"/>
        <v/>
      </c>
      <c r="AY4014" s="1856" t="str">
        <f t="shared" si="639"/>
        <v/>
      </c>
    </row>
    <row r="4015" spans="42:51">
      <c r="AP4015" s="1855">
        <f t="shared" si="640"/>
        <v>44957</v>
      </c>
      <c r="AQ4015" s="925" t="str">
        <f t="shared" si="633"/>
        <v/>
      </c>
      <c r="AR4015" s="1856" t="str">
        <f t="shared" si="641"/>
        <v/>
      </c>
      <c r="AT4015" s="1856" t="str">
        <f t="shared" si="634"/>
        <v/>
      </c>
      <c r="AU4015" s="1856" t="str">
        <f t="shared" si="635"/>
        <v/>
      </c>
      <c r="AV4015" s="1856" t="str">
        <f t="shared" si="636"/>
        <v/>
      </c>
      <c r="AW4015" s="1856" t="str">
        <f t="shared" si="637"/>
        <v/>
      </c>
      <c r="AX4015" s="1856" t="str">
        <f t="shared" si="638"/>
        <v/>
      </c>
      <c r="AY4015" s="1856" t="str">
        <f t="shared" si="639"/>
        <v/>
      </c>
    </row>
    <row r="4016" spans="42:51">
      <c r="AP4016" s="1855">
        <f t="shared" si="640"/>
        <v>44957</v>
      </c>
      <c r="AQ4016" s="925" t="str">
        <f t="shared" si="633"/>
        <v/>
      </c>
      <c r="AR4016" s="1856" t="str">
        <f t="shared" si="641"/>
        <v/>
      </c>
      <c r="AT4016" s="1856" t="str">
        <f t="shared" si="634"/>
        <v/>
      </c>
      <c r="AU4016" s="1856" t="str">
        <f t="shared" si="635"/>
        <v/>
      </c>
      <c r="AV4016" s="1856" t="str">
        <f t="shared" si="636"/>
        <v/>
      </c>
      <c r="AW4016" s="1856" t="str">
        <f t="shared" si="637"/>
        <v/>
      </c>
      <c r="AX4016" s="1856" t="str">
        <f t="shared" si="638"/>
        <v/>
      </c>
      <c r="AY4016" s="1856" t="str">
        <f t="shared" si="639"/>
        <v/>
      </c>
    </row>
    <row r="4017" spans="42:51">
      <c r="AP4017" s="1855">
        <f t="shared" si="640"/>
        <v>44957</v>
      </c>
      <c r="AQ4017" s="925" t="str">
        <f t="shared" si="633"/>
        <v/>
      </c>
      <c r="AR4017" s="1856" t="str">
        <f t="shared" si="641"/>
        <v/>
      </c>
      <c r="AT4017" s="1856" t="str">
        <f t="shared" si="634"/>
        <v/>
      </c>
      <c r="AU4017" s="1856" t="str">
        <f t="shared" si="635"/>
        <v/>
      </c>
      <c r="AV4017" s="1856" t="str">
        <f t="shared" si="636"/>
        <v/>
      </c>
      <c r="AW4017" s="1856" t="str">
        <f t="shared" si="637"/>
        <v/>
      </c>
      <c r="AX4017" s="1856" t="str">
        <f t="shared" si="638"/>
        <v/>
      </c>
      <c r="AY4017" s="1856" t="str">
        <f t="shared" si="639"/>
        <v/>
      </c>
    </row>
    <row r="4018" spans="42:51">
      <c r="AP4018" s="1855">
        <f t="shared" si="640"/>
        <v>44957</v>
      </c>
      <c r="AQ4018" s="925" t="str">
        <f t="shared" si="633"/>
        <v/>
      </c>
      <c r="AR4018" s="1856" t="str">
        <f t="shared" si="641"/>
        <v/>
      </c>
      <c r="AT4018" s="1856" t="str">
        <f t="shared" si="634"/>
        <v/>
      </c>
      <c r="AU4018" s="1856" t="str">
        <f t="shared" si="635"/>
        <v/>
      </c>
      <c r="AV4018" s="1856" t="str">
        <f t="shared" si="636"/>
        <v/>
      </c>
      <c r="AW4018" s="1856" t="str">
        <f t="shared" si="637"/>
        <v/>
      </c>
      <c r="AX4018" s="1856" t="str">
        <f t="shared" si="638"/>
        <v/>
      </c>
      <c r="AY4018" s="1856" t="str">
        <f t="shared" si="639"/>
        <v/>
      </c>
    </row>
    <row r="4019" spans="42:51">
      <c r="AP4019" s="1855">
        <f t="shared" si="640"/>
        <v>44957</v>
      </c>
      <c r="AQ4019" s="925" t="str">
        <f t="shared" si="633"/>
        <v/>
      </c>
      <c r="AR4019" s="1856" t="str">
        <f t="shared" si="641"/>
        <v/>
      </c>
      <c r="AT4019" s="1856" t="str">
        <f t="shared" si="634"/>
        <v/>
      </c>
      <c r="AU4019" s="1856" t="str">
        <f t="shared" si="635"/>
        <v/>
      </c>
      <c r="AV4019" s="1856" t="str">
        <f t="shared" si="636"/>
        <v/>
      </c>
      <c r="AW4019" s="1856" t="str">
        <f t="shared" si="637"/>
        <v/>
      </c>
      <c r="AX4019" s="1856" t="str">
        <f t="shared" si="638"/>
        <v/>
      </c>
      <c r="AY4019" s="1856" t="str">
        <f t="shared" si="639"/>
        <v/>
      </c>
    </row>
    <row r="4020" spans="42:51">
      <c r="AP4020" s="1855">
        <f t="shared" si="640"/>
        <v>44957</v>
      </c>
      <c r="AQ4020" s="925" t="str">
        <f t="shared" ref="AQ4020:AQ4083" si="642">IF(NOT(ISNUMBER(FIND(":",AS4020))),"",IF(ISNUMBER(FIND("Sunr",AS4020)),"SR", IF(ISNUMBER(FIND("Suns",AS4020)),"SS",IF(ISNUMBER(FIND("Moonr",AS4020)),"MR",IF(ISNUMBER(FIND("Moons",AS4020)),"MS",IF(ISNUMBER(FIND("Twi",AS4020)),IF(HOUR(AR4020)&lt;12,"BMNT","EENT")))))))</f>
        <v/>
      </c>
      <c r="AR4020" s="1856" t="str">
        <f t="shared" si="641"/>
        <v/>
      </c>
      <c r="AT4020" s="1856" t="str">
        <f t="shared" si="634"/>
        <v/>
      </c>
      <c r="AU4020" s="1856" t="str">
        <f t="shared" si="635"/>
        <v/>
      </c>
      <c r="AV4020" s="1856" t="str">
        <f t="shared" si="636"/>
        <v/>
      </c>
      <c r="AW4020" s="1856" t="str">
        <f t="shared" si="637"/>
        <v/>
      </c>
      <c r="AX4020" s="1856" t="str">
        <f t="shared" si="638"/>
        <v/>
      </c>
      <c r="AY4020" s="1856" t="str">
        <f t="shared" si="639"/>
        <v/>
      </c>
    </row>
    <row r="4021" spans="42:51">
      <c r="AP4021" s="1855">
        <f t="shared" si="640"/>
        <v>44957</v>
      </c>
      <c r="AQ4021" s="925" t="str">
        <f t="shared" si="642"/>
        <v/>
      </c>
      <c r="AR4021" s="1856" t="str">
        <f t="shared" si="641"/>
        <v/>
      </c>
      <c r="AT4021" s="1856" t="str">
        <f t="shared" si="634"/>
        <v/>
      </c>
      <c r="AU4021" s="1856" t="str">
        <f t="shared" si="635"/>
        <v/>
      </c>
      <c r="AV4021" s="1856" t="str">
        <f t="shared" si="636"/>
        <v/>
      </c>
      <c r="AW4021" s="1856" t="str">
        <f t="shared" si="637"/>
        <v/>
      </c>
      <c r="AX4021" s="1856" t="str">
        <f t="shared" si="638"/>
        <v/>
      </c>
      <c r="AY4021" s="1856" t="str">
        <f t="shared" si="639"/>
        <v/>
      </c>
    </row>
    <row r="4022" spans="42:51">
      <c r="AP4022" s="1855">
        <f t="shared" si="640"/>
        <v>44957</v>
      </c>
      <c r="AQ4022" s="925" t="str">
        <f t="shared" si="642"/>
        <v/>
      </c>
      <c r="AR4022" s="1856" t="str">
        <f t="shared" si="641"/>
        <v/>
      </c>
      <c r="AT4022" s="1856" t="str">
        <f t="shared" si="634"/>
        <v/>
      </c>
      <c r="AU4022" s="1856" t="str">
        <f t="shared" si="635"/>
        <v/>
      </c>
      <c r="AV4022" s="1856" t="str">
        <f t="shared" si="636"/>
        <v/>
      </c>
      <c r="AW4022" s="1856" t="str">
        <f t="shared" si="637"/>
        <v/>
      </c>
      <c r="AX4022" s="1856" t="str">
        <f t="shared" si="638"/>
        <v/>
      </c>
      <c r="AY4022" s="1856" t="str">
        <f t="shared" si="639"/>
        <v/>
      </c>
    </row>
    <row r="4023" spans="42:51">
      <c r="AP4023" s="1855">
        <f t="shared" si="640"/>
        <v>44957</v>
      </c>
      <c r="AQ4023" s="925" t="str">
        <f t="shared" si="642"/>
        <v/>
      </c>
      <c r="AR4023" s="1856" t="str">
        <f t="shared" si="641"/>
        <v/>
      </c>
      <c r="AT4023" s="1856" t="str">
        <f t="shared" si="634"/>
        <v/>
      </c>
      <c r="AU4023" s="1856" t="str">
        <f t="shared" si="635"/>
        <v/>
      </c>
      <c r="AV4023" s="1856" t="str">
        <f t="shared" si="636"/>
        <v/>
      </c>
      <c r="AW4023" s="1856" t="str">
        <f t="shared" si="637"/>
        <v/>
      </c>
      <c r="AX4023" s="1856" t="str">
        <f t="shared" si="638"/>
        <v/>
      </c>
      <c r="AY4023" s="1856" t="str">
        <f t="shared" si="639"/>
        <v/>
      </c>
    </row>
    <row r="4024" spans="42:51">
      <c r="AP4024" s="1855">
        <f t="shared" si="640"/>
        <v>44957</v>
      </c>
      <c r="AQ4024" s="925" t="str">
        <f t="shared" si="642"/>
        <v/>
      </c>
      <c r="AR4024" s="1856" t="str">
        <f t="shared" si="641"/>
        <v/>
      </c>
      <c r="AT4024" s="1856" t="str">
        <f t="shared" si="634"/>
        <v/>
      </c>
      <c r="AU4024" s="1856" t="str">
        <f t="shared" si="635"/>
        <v/>
      </c>
      <c r="AV4024" s="1856" t="str">
        <f t="shared" si="636"/>
        <v/>
      </c>
      <c r="AW4024" s="1856" t="str">
        <f t="shared" si="637"/>
        <v/>
      </c>
      <c r="AX4024" s="1856" t="str">
        <f t="shared" si="638"/>
        <v/>
      </c>
      <c r="AY4024" s="1856" t="str">
        <f t="shared" si="639"/>
        <v/>
      </c>
    </row>
    <row r="4025" spans="42:51">
      <c r="AP4025" s="1855">
        <f t="shared" si="640"/>
        <v>44957</v>
      </c>
      <c r="AQ4025" s="925" t="str">
        <f t="shared" si="642"/>
        <v/>
      </c>
      <c r="AR4025" s="1856" t="str">
        <f t="shared" si="641"/>
        <v/>
      </c>
      <c r="AT4025" s="1856" t="str">
        <f t="shared" si="634"/>
        <v/>
      </c>
      <c r="AU4025" s="1856" t="str">
        <f t="shared" si="635"/>
        <v/>
      </c>
      <c r="AV4025" s="1856" t="str">
        <f t="shared" si="636"/>
        <v/>
      </c>
      <c r="AW4025" s="1856" t="str">
        <f t="shared" si="637"/>
        <v/>
      </c>
      <c r="AX4025" s="1856" t="str">
        <f t="shared" si="638"/>
        <v/>
      </c>
      <c r="AY4025" s="1856" t="str">
        <f t="shared" si="639"/>
        <v/>
      </c>
    </row>
    <row r="4026" spans="42:51">
      <c r="AP4026" s="1855">
        <f t="shared" si="640"/>
        <v>44957</v>
      </c>
      <c r="AQ4026" s="925" t="str">
        <f t="shared" si="642"/>
        <v/>
      </c>
      <c r="AR4026" s="1856" t="str">
        <f t="shared" si="641"/>
        <v/>
      </c>
      <c r="AT4026" s="1856" t="str">
        <f t="shared" si="634"/>
        <v/>
      </c>
      <c r="AU4026" s="1856" t="str">
        <f t="shared" si="635"/>
        <v/>
      </c>
      <c r="AV4026" s="1856" t="str">
        <f t="shared" si="636"/>
        <v/>
      </c>
      <c r="AW4026" s="1856" t="str">
        <f t="shared" si="637"/>
        <v/>
      </c>
      <c r="AX4026" s="1856" t="str">
        <f t="shared" si="638"/>
        <v/>
      </c>
      <c r="AY4026" s="1856" t="str">
        <f t="shared" si="639"/>
        <v/>
      </c>
    </row>
    <row r="4027" spans="42:51">
      <c r="AP4027" s="1855">
        <f t="shared" si="640"/>
        <v>44957</v>
      </c>
      <c r="AQ4027" s="925" t="str">
        <f t="shared" si="642"/>
        <v/>
      </c>
      <c r="AR4027" s="1856" t="str">
        <f t="shared" si="641"/>
        <v/>
      </c>
      <c r="AT4027" s="1856" t="str">
        <f t="shared" si="634"/>
        <v/>
      </c>
      <c r="AU4027" s="1856" t="str">
        <f t="shared" si="635"/>
        <v/>
      </c>
      <c r="AV4027" s="1856" t="str">
        <f t="shared" si="636"/>
        <v/>
      </c>
      <c r="AW4027" s="1856" t="str">
        <f t="shared" si="637"/>
        <v/>
      </c>
      <c r="AX4027" s="1856" t="str">
        <f t="shared" si="638"/>
        <v/>
      </c>
      <c r="AY4027" s="1856" t="str">
        <f t="shared" si="639"/>
        <v/>
      </c>
    </row>
    <row r="4028" spans="42:51">
      <c r="AP4028" s="1855">
        <f t="shared" si="640"/>
        <v>44957</v>
      </c>
      <c r="AQ4028" s="925" t="str">
        <f t="shared" si="642"/>
        <v/>
      </c>
      <c r="AR4028" s="1856" t="str">
        <f t="shared" si="641"/>
        <v/>
      </c>
      <c r="AT4028" s="1856" t="str">
        <f t="shared" si="634"/>
        <v/>
      </c>
      <c r="AU4028" s="1856" t="str">
        <f t="shared" si="635"/>
        <v/>
      </c>
      <c r="AV4028" s="1856" t="str">
        <f t="shared" si="636"/>
        <v/>
      </c>
      <c r="AW4028" s="1856" t="str">
        <f t="shared" si="637"/>
        <v/>
      </c>
      <c r="AX4028" s="1856" t="str">
        <f t="shared" si="638"/>
        <v/>
      </c>
      <c r="AY4028" s="1856" t="str">
        <f t="shared" si="639"/>
        <v/>
      </c>
    </row>
    <row r="4029" spans="42:51">
      <c r="AP4029" s="1855">
        <f t="shared" si="640"/>
        <v>44957</v>
      </c>
      <c r="AQ4029" s="925" t="str">
        <f t="shared" si="642"/>
        <v/>
      </c>
      <c r="AR4029" s="1856" t="str">
        <f t="shared" si="641"/>
        <v/>
      </c>
      <c r="AT4029" s="1856" t="str">
        <f t="shared" si="634"/>
        <v/>
      </c>
      <c r="AU4029" s="1856" t="str">
        <f t="shared" si="635"/>
        <v/>
      </c>
      <c r="AV4029" s="1856" t="str">
        <f t="shared" si="636"/>
        <v/>
      </c>
      <c r="AW4029" s="1856" t="str">
        <f t="shared" si="637"/>
        <v/>
      </c>
      <c r="AX4029" s="1856" t="str">
        <f t="shared" si="638"/>
        <v/>
      </c>
      <c r="AY4029" s="1856" t="str">
        <f t="shared" si="639"/>
        <v/>
      </c>
    </row>
    <row r="4030" spans="42:51">
      <c r="AP4030" s="1855">
        <f t="shared" si="640"/>
        <v>44957</v>
      </c>
      <c r="AQ4030" s="925" t="str">
        <f t="shared" si="642"/>
        <v/>
      </c>
      <c r="AR4030" s="1856" t="str">
        <f t="shared" si="641"/>
        <v/>
      </c>
      <c r="AT4030" s="1856" t="str">
        <f t="shared" si="634"/>
        <v/>
      </c>
      <c r="AU4030" s="1856" t="str">
        <f t="shared" si="635"/>
        <v/>
      </c>
      <c r="AV4030" s="1856" t="str">
        <f t="shared" si="636"/>
        <v/>
      </c>
      <c r="AW4030" s="1856" t="str">
        <f t="shared" si="637"/>
        <v/>
      </c>
      <c r="AX4030" s="1856" t="str">
        <f t="shared" si="638"/>
        <v/>
      </c>
      <c r="AY4030" s="1856" t="str">
        <f t="shared" si="639"/>
        <v/>
      </c>
    </row>
    <row r="4031" spans="42:51">
      <c r="AP4031" s="1855">
        <f t="shared" si="640"/>
        <v>44957</v>
      </c>
      <c r="AQ4031" s="925" t="str">
        <f t="shared" si="642"/>
        <v/>
      </c>
      <c r="AR4031" s="1856" t="str">
        <f t="shared" si="641"/>
        <v/>
      </c>
      <c r="AT4031" s="1856" t="str">
        <f t="shared" si="634"/>
        <v/>
      </c>
      <c r="AU4031" s="1856" t="str">
        <f t="shared" si="635"/>
        <v/>
      </c>
      <c r="AV4031" s="1856" t="str">
        <f t="shared" si="636"/>
        <v/>
      </c>
      <c r="AW4031" s="1856" t="str">
        <f t="shared" si="637"/>
        <v/>
      </c>
      <c r="AX4031" s="1856" t="str">
        <f t="shared" si="638"/>
        <v/>
      </c>
      <c r="AY4031" s="1856" t="str">
        <f t="shared" si="639"/>
        <v/>
      </c>
    </row>
    <row r="4032" spans="42:51">
      <c r="AP4032" s="1855">
        <f t="shared" si="640"/>
        <v>44957</v>
      </c>
      <c r="AQ4032" s="925" t="str">
        <f t="shared" si="642"/>
        <v/>
      </c>
      <c r="AR4032" s="1856" t="str">
        <f t="shared" si="641"/>
        <v/>
      </c>
      <c r="AT4032" s="1856" t="str">
        <f t="shared" si="634"/>
        <v/>
      </c>
      <c r="AU4032" s="1856" t="str">
        <f t="shared" si="635"/>
        <v/>
      </c>
      <c r="AV4032" s="1856" t="str">
        <f t="shared" si="636"/>
        <v/>
      </c>
      <c r="AW4032" s="1856" t="str">
        <f t="shared" si="637"/>
        <v/>
      </c>
      <c r="AX4032" s="1856" t="str">
        <f t="shared" si="638"/>
        <v/>
      </c>
      <c r="AY4032" s="1856" t="str">
        <f t="shared" si="639"/>
        <v/>
      </c>
    </row>
    <row r="4033" spans="42:51">
      <c r="AP4033" s="1855">
        <f t="shared" si="640"/>
        <v>44957</v>
      </c>
      <c r="AQ4033" s="925" t="str">
        <f t="shared" si="642"/>
        <v/>
      </c>
      <c r="AR4033" s="1856" t="str">
        <f t="shared" si="641"/>
        <v/>
      </c>
      <c r="AT4033" s="1856" t="str">
        <f t="shared" si="634"/>
        <v/>
      </c>
      <c r="AU4033" s="1856" t="str">
        <f t="shared" si="635"/>
        <v/>
      </c>
      <c r="AV4033" s="1856" t="str">
        <f t="shared" si="636"/>
        <v/>
      </c>
      <c r="AW4033" s="1856" t="str">
        <f t="shared" si="637"/>
        <v/>
      </c>
      <c r="AX4033" s="1856" t="str">
        <f t="shared" si="638"/>
        <v/>
      </c>
      <c r="AY4033" s="1856" t="str">
        <f t="shared" si="639"/>
        <v/>
      </c>
    </row>
    <row r="4034" spans="42:51">
      <c r="AP4034" s="1855">
        <f t="shared" si="640"/>
        <v>44957</v>
      </c>
      <c r="AQ4034" s="925" t="str">
        <f t="shared" si="642"/>
        <v/>
      </c>
      <c r="AR4034" s="1856" t="str">
        <f t="shared" si="641"/>
        <v/>
      </c>
      <c r="AT4034" s="1856" t="str">
        <f t="shared" si="634"/>
        <v/>
      </c>
      <c r="AU4034" s="1856" t="str">
        <f t="shared" si="635"/>
        <v/>
      </c>
      <c r="AV4034" s="1856" t="str">
        <f t="shared" si="636"/>
        <v/>
      </c>
      <c r="AW4034" s="1856" t="str">
        <f t="shared" si="637"/>
        <v/>
      </c>
      <c r="AX4034" s="1856" t="str">
        <f t="shared" si="638"/>
        <v/>
      </c>
      <c r="AY4034" s="1856" t="str">
        <f t="shared" si="639"/>
        <v/>
      </c>
    </row>
    <row r="4035" spans="42:51">
      <c r="AP4035" s="1855">
        <f t="shared" si="640"/>
        <v>44957</v>
      </c>
      <c r="AQ4035" s="925" t="str">
        <f t="shared" si="642"/>
        <v/>
      </c>
      <c r="AR4035" s="1856" t="str">
        <f t="shared" si="641"/>
        <v/>
      </c>
      <c r="AT4035" s="1856" t="str">
        <f t="shared" si="634"/>
        <v/>
      </c>
      <c r="AU4035" s="1856" t="str">
        <f t="shared" si="635"/>
        <v/>
      </c>
      <c r="AV4035" s="1856" t="str">
        <f t="shared" si="636"/>
        <v/>
      </c>
      <c r="AW4035" s="1856" t="str">
        <f t="shared" si="637"/>
        <v/>
      </c>
      <c r="AX4035" s="1856" t="str">
        <f t="shared" si="638"/>
        <v/>
      </c>
      <c r="AY4035" s="1856" t="str">
        <f t="shared" si="639"/>
        <v/>
      </c>
    </row>
    <row r="4036" spans="42:51">
      <c r="AP4036" s="1855">
        <f t="shared" si="640"/>
        <v>44957</v>
      </c>
      <c r="AQ4036" s="925" t="str">
        <f t="shared" si="642"/>
        <v/>
      </c>
      <c r="AR4036" s="1856" t="str">
        <f t="shared" si="641"/>
        <v/>
      </c>
      <c r="AT4036" s="1856" t="str">
        <f t="shared" si="634"/>
        <v/>
      </c>
      <c r="AU4036" s="1856" t="str">
        <f t="shared" si="635"/>
        <v/>
      </c>
      <c r="AV4036" s="1856" t="str">
        <f t="shared" si="636"/>
        <v/>
      </c>
      <c r="AW4036" s="1856" t="str">
        <f t="shared" si="637"/>
        <v/>
      </c>
      <c r="AX4036" s="1856" t="str">
        <f t="shared" si="638"/>
        <v/>
      </c>
      <c r="AY4036" s="1856" t="str">
        <f t="shared" si="639"/>
        <v/>
      </c>
    </row>
    <row r="4037" spans="42:51">
      <c r="AP4037" s="1855">
        <f t="shared" si="640"/>
        <v>44957</v>
      </c>
      <c r="AQ4037" s="925" t="str">
        <f t="shared" si="642"/>
        <v/>
      </c>
      <c r="AR4037" s="1856" t="str">
        <f t="shared" si="641"/>
        <v/>
      </c>
      <c r="AT4037" s="1856" t="str">
        <f t="shared" si="634"/>
        <v/>
      </c>
      <c r="AU4037" s="1856" t="str">
        <f t="shared" si="635"/>
        <v/>
      </c>
      <c r="AV4037" s="1856" t="str">
        <f t="shared" si="636"/>
        <v/>
      </c>
      <c r="AW4037" s="1856" t="str">
        <f t="shared" si="637"/>
        <v/>
      </c>
      <c r="AX4037" s="1856" t="str">
        <f t="shared" si="638"/>
        <v/>
      </c>
      <c r="AY4037" s="1856" t="str">
        <f t="shared" si="639"/>
        <v/>
      </c>
    </row>
    <row r="4038" spans="42:51">
      <c r="AP4038" s="1855">
        <f t="shared" si="640"/>
        <v>44957</v>
      </c>
      <c r="AQ4038" s="925" t="str">
        <f t="shared" si="642"/>
        <v/>
      </c>
      <c r="AR4038" s="1856" t="str">
        <f t="shared" si="641"/>
        <v/>
      </c>
      <c r="AT4038" s="1856" t="str">
        <f t="shared" si="634"/>
        <v/>
      </c>
      <c r="AU4038" s="1856" t="str">
        <f t="shared" si="635"/>
        <v/>
      </c>
      <c r="AV4038" s="1856" t="str">
        <f t="shared" si="636"/>
        <v/>
      </c>
      <c r="AW4038" s="1856" t="str">
        <f t="shared" si="637"/>
        <v/>
      </c>
      <c r="AX4038" s="1856" t="str">
        <f t="shared" si="638"/>
        <v/>
      </c>
      <c r="AY4038" s="1856" t="str">
        <f t="shared" si="639"/>
        <v/>
      </c>
    </row>
    <row r="4039" spans="42:51">
      <c r="AP4039" s="1855">
        <f t="shared" si="640"/>
        <v>44957</v>
      </c>
      <c r="AQ4039" s="925" t="str">
        <f t="shared" si="642"/>
        <v/>
      </c>
      <c r="AR4039" s="1856" t="str">
        <f t="shared" si="641"/>
        <v/>
      </c>
      <c r="AT4039" s="1856" t="str">
        <f t="shared" si="634"/>
        <v/>
      </c>
      <c r="AU4039" s="1856" t="str">
        <f t="shared" si="635"/>
        <v/>
      </c>
      <c r="AV4039" s="1856" t="str">
        <f t="shared" si="636"/>
        <v/>
      </c>
      <c r="AW4039" s="1856" t="str">
        <f t="shared" si="637"/>
        <v/>
      </c>
      <c r="AX4039" s="1856" t="str">
        <f t="shared" si="638"/>
        <v/>
      </c>
      <c r="AY4039" s="1856" t="str">
        <f t="shared" si="639"/>
        <v/>
      </c>
    </row>
    <row r="4040" spans="42:51">
      <c r="AP4040" s="1855">
        <f t="shared" si="640"/>
        <v>44957</v>
      </c>
      <c r="AQ4040" s="925" t="str">
        <f t="shared" si="642"/>
        <v/>
      </c>
      <c r="AR4040" s="1856" t="str">
        <f t="shared" si="641"/>
        <v/>
      </c>
      <c r="AT4040" s="1856" t="str">
        <f t="shared" si="634"/>
        <v/>
      </c>
      <c r="AU4040" s="1856" t="str">
        <f t="shared" si="635"/>
        <v/>
      </c>
      <c r="AV4040" s="1856" t="str">
        <f t="shared" si="636"/>
        <v/>
      </c>
      <c r="AW4040" s="1856" t="str">
        <f t="shared" si="637"/>
        <v/>
      </c>
      <c r="AX4040" s="1856" t="str">
        <f t="shared" si="638"/>
        <v/>
      </c>
      <c r="AY4040" s="1856" t="str">
        <f t="shared" si="639"/>
        <v/>
      </c>
    </row>
    <row r="4041" spans="42:51">
      <c r="AP4041" s="1855">
        <f t="shared" si="640"/>
        <v>44957</v>
      </c>
      <c r="AQ4041" s="925" t="str">
        <f t="shared" si="642"/>
        <v/>
      </c>
      <c r="AR4041" s="1856" t="str">
        <f t="shared" si="641"/>
        <v/>
      </c>
      <c r="AT4041" s="1856" t="str">
        <f t="shared" si="634"/>
        <v/>
      </c>
      <c r="AU4041" s="1856" t="str">
        <f t="shared" si="635"/>
        <v/>
      </c>
      <c r="AV4041" s="1856" t="str">
        <f t="shared" si="636"/>
        <v/>
      </c>
      <c r="AW4041" s="1856" t="str">
        <f t="shared" si="637"/>
        <v/>
      </c>
      <c r="AX4041" s="1856" t="str">
        <f t="shared" si="638"/>
        <v/>
      </c>
      <c r="AY4041" s="1856" t="str">
        <f t="shared" si="639"/>
        <v/>
      </c>
    </row>
    <row r="4042" spans="42:51">
      <c r="AP4042" s="1855">
        <f t="shared" si="640"/>
        <v>44957</v>
      </c>
      <c r="AQ4042" s="925" t="str">
        <f t="shared" si="642"/>
        <v/>
      </c>
      <c r="AR4042" s="1856" t="str">
        <f t="shared" si="641"/>
        <v/>
      </c>
      <c r="AT4042" s="1856" t="str">
        <f t="shared" si="634"/>
        <v/>
      </c>
      <c r="AU4042" s="1856" t="str">
        <f t="shared" si="635"/>
        <v/>
      </c>
      <c r="AV4042" s="1856" t="str">
        <f t="shared" si="636"/>
        <v/>
      </c>
      <c r="AW4042" s="1856" t="str">
        <f t="shared" si="637"/>
        <v/>
      </c>
      <c r="AX4042" s="1856" t="str">
        <f t="shared" si="638"/>
        <v/>
      </c>
      <c r="AY4042" s="1856" t="str">
        <f t="shared" si="639"/>
        <v/>
      </c>
    </row>
    <row r="4043" spans="42:51">
      <c r="AP4043" s="1855">
        <f t="shared" si="640"/>
        <v>44957</v>
      </c>
      <c r="AQ4043" s="925" t="str">
        <f t="shared" si="642"/>
        <v/>
      </c>
      <c r="AR4043" s="1856" t="str">
        <f t="shared" si="641"/>
        <v/>
      </c>
      <c r="AT4043" s="1856" t="str">
        <f t="shared" si="634"/>
        <v/>
      </c>
      <c r="AU4043" s="1856" t="str">
        <f t="shared" si="635"/>
        <v/>
      </c>
      <c r="AV4043" s="1856" t="str">
        <f t="shared" si="636"/>
        <v/>
      </c>
      <c r="AW4043" s="1856" t="str">
        <f t="shared" si="637"/>
        <v/>
      </c>
      <c r="AX4043" s="1856" t="str">
        <f t="shared" si="638"/>
        <v/>
      </c>
      <c r="AY4043" s="1856" t="str">
        <f t="shared" si="639"/>
        <v/>
      </c>
    </row>
    <row r="4044" spans="42:51">
      <c r="AP4044" s="1855">
        <f t="shared" si="640"/>
        <v>44957</v>
      </c>
      <c r="AQ4044" s="925" t="str">
        <f t="shared" si="642"/>
        <v/>
      </c>
      <c r="AR4044" s="1856" t="str">
        <f t="shared" si="641"/>
        <v/>
      </c>
      <c r="AT4044" s="1856" t="str">
        <f t="shared" si="634"/>
        <v/>
      </c>
      <c r="AU4044" s="1856" t="str">
        <f t="shared" si="635"/>
        <v/>
      </c>
      <c r="AV4044" s="1856" t="str">
        <f t="shared" si="636"/>
        <v/>
      </c>
      <c r="AW4044" s="1856" t="str">
        <f t="shared" si="637"/>
        <v/>
      </c>
      <c r="AX4044" s="1856" t="str">
        <f t="shared" si="638"/>
        <v/>
      </c>
      <c r="AY4044" s="1856" t="str">
        <f t="shared" si="639"/>
        <v/>
      </c>
    </row>
    <row r="4045" spans="42:51">
      <c r="AP4045" s="1855">
        <f t="shared" si="640"/>
        <v>44957</v>
      </c>
      <c r="AQ4045" s="925" t="str">
        <f t="shared" si="642"/>
        <v/>
      </c>
      <c r="AR4045" s="1856" t="str">
        <f t="shared" si="641"/>
        <v/>
      </c>
      <c r="AT4045" s="1856" t="str">
        <f t="shared" si="634"/>
        <v/>
      </c>
      <c r="AU4045" s="1856" t="str">
        <f t="shared" si="635"/>
        <v/>
      </c>
      <c r="AV4045" s="1856" t="str">
        <f t="shared" si="636"/>
        <v/>
      </c>
      <c r="AW4045" s="1856" t="str">
        <f t="shared" si="637"/>
        <v/>
      </c>
      <c r="AX4045" s="1856" t="str">
        <f t="shared" si="638"/>
        <v/>
      </c>
      <c r="AY4045" s="1856" t="str">
        <f t="shared" si="639"/>
        <v/>
      </c>
    </row>
    <row r="4046" spans="42:51">
      <c r="AP4046" s="1855">
        <f t="shared" si="640"/>
        <v>44957</v>
      </c>
      <c r="AQ4046" s="925" t="str">
        <f t="shared" si="642"/>
        <v/>
      </c>
      <c r="AR4046" s="1856" t="str">
        <f t="shared" si="641"/>
        <v/>
      </c>
      <c r="AT4046" s="1856" t="str">
        <f t="shared" si="634"/>
        <v/>
      </c>
      <c r="AU4046" s="1856" t="str">
        <f t="shared" si="635"/>
        <v/>
      </c>
      <c r="AV4046" s="1856" t="str">
        <f t="shared" si="636"/>
        <v/>
      </c>
      <c r="AW4046" s="1856" t="str">
        <f t="shared" si="637"/>
        <v/>
      </c>
      <c r="AX4046" s="1856" t="str">
        <f t="shared" si="638"/>
        <v/>
      </c>
      <c r="AY4046" s="1856" t="str">
        <f t="shared" si="639"/>
        <v/>
      </c>
    </row>
    <row r="4047" spans="42:51">
      <c r="AP4047" s="1855">
        <f t="shared" si="640"/>
        <v>44957</v>
      </c>
      <c r="AQ4047" s="925" t="str">
        <f t="shared" si="642"/>
        <v/>
      </c>
      <c r="AR4047" s="1856" t="str">
        <f t="shared" si="641"/>
        <v/>
      </c>
      <c r="AT4047" s="1856" t="str">
        <f t="shared" si="634"/>
        <v/>
      </c>
      <c r="AU4047" s="1856" t="str">
        <f t="shared" si="635"/>
        <v/>
      </c>
      <c r="AV4047" s="1856" t="str">
        <f t="shared" si="636"/>
        <v/>
      </c>
      <c r="AW4047" s="1856" t="str">
        <f t="shared" si="637"/>
        <v/>
      </c>
      <c r="AX4047" s="1856" t="str">
        <f t="shared" si="638"/>
        <v/>
      </c>
      <c r="AY4047" s="1856" t="str">
        <f t="shared" si="639"/>
        <v/>
      </c>
    </row>
    <row r="4048" spans="42:51">
      <c r="AP4048" s="1855">
        <f t="shared" si="640"/>
        <v>44957</v>
      </c>
      <c r="AQ4048" s="925" t="str">
        <f t="shared" si="642"/>
        <v/>
      </c>
      <c r="AR4048" s="1856" t="str">
        <f t="shared" si="641"/>
        <v/>
      </c>
      <c r="AT4048" s="1856" t="str">
        <f t="shared" si="634"/>
        <v/>
      </c>
      <c r="AU4048" s="1856" t="str">
        <f t="shared" si="635"/>
        <v/>
      </c>
      <c r="AV4048" s="1856" t="str">
        <f t="shared" si="636"/>
        <v/>
      </c>
      <c r="AW4048" s="1856" t="str">
        <f t="shared" si="637"/>
        <v/>
      </c>
      <c r="AX4048" s="1856" t="str">
        <f t="shared" si="638"/>
        <v/>
      </c>
      <c r="AY4048" s="1856" t="str">
        <f t="shared" si="639"/>
        <v/>
      </c>
    </row>
    <row r="4049" spans="42:51">
      <c r="AP4049" s="1855">
        <f t="shared" si="640"/>
        <v>44957</v>
      </c>
      <c r="AQ4049" s="925" t="str">
        <f t="shared" si="642"/>
        <v/>
      </c>
      <c r="AR4049" s="1856" t="str">
        <f t="shared" si="641"/>
        <v/>
      </c>
      <c r="AT4049" s="1856" t="str">
        <f t="shared" si="634"/>
        <v/>
      </c>
      <c r="AU4049" s="1856" t="str">
        <f t="shared" si="635"/>
        <v/>
      </c>
      <c r="AV4049" s="1856" t="str">
        <f t="shared" si="636"/>
        <v/>
      </c>
      <c r="AW4049" s="1856" t="str">
        <f t="shared" si="637"/>
        <v/>
      </c>
      <c r="AX4049" s="1856" t="str">
        <f t="shared" si="638"/>
        <v/>
      </c>
      <c r="AY4049" s="1856" t="str">
        <f t="shared" si="639"/>
        <v/>
      </c>
    </row>
    <row r="4050" spans="42:51">
      <c r="AP4050" s="1855">
        <f t="shared" si="640"/>
        <v>44957</v>
      </c>
      <c r="AQ4050" s="925" t="str">
        <f t="shared" si="642"/>
        <v/>
      </c>
      <c r="AR4050" s="1856" t="str">
        <f t="shared" si="641"/>
        <v/>
      </c>
      <c r="AT4050" s="1856" t="str">
        <f t="shared" si="634"/>
        <v/>
      </c>
      <c r="AU4050" s="1856" t="str">
        <f t="shared" si="635"/>
        <v/>
      </c>
      <c r="AV4050" s="1856" t="str">
        <f t="shared" si="636"/>
        <v/>
      </c>
      <c r="AW4050" s="1856" t="str">
        <f t="shared" si="637"/>
        <v/>
      </c>
      <c r="AX4050" s="1856" t="str">
        <f t="shared" si="638"/>
        <v/>
      </c>
      <c r="AY4050" s="1856" t="str">
        <f t="shared" si="639"/>
        <v/>
      </c>
    </row>
    <row r="4051" spans="42:51">
      <c r="AP4051" s="1855">
        <f t="shared" si="640"/>
        <v>44957</v>
      </c>
      <c r="AQ4051" s="925" t="str">
        <f t="shared" si="642"/>
        <v/>
      </c>
      <c r="AR4051" s="1856" t="str">
        <f t="shared" si="641"/>
        <v/>
      </c>
      <c r="AT4051" s="1856" t="str">
        <f t="shared" si="634"/>
        <v/>
      </c>
      <c r="AU4051" s="1856" t="str">
        <f t="shared" si="635"/>
        <v/>
      </c>
      <c r="AV4051" s="1856" t="str">
        <f t="shared" si="636"/>
        <v/>
      </c>
      <c r="AW4051" s="1856" t="str">
        <f t="shared" si="637"/>
        <v/>
      </c>
      <c r="AX4051" s="1856" t="str">
        <f t="shared" si="638"/>
        <v/>
      </c>
      <c r="AY4051" s="1856" t="str">
        <f t="shared" si="639"/>
        <v/>
      </c>
    </row>
    <row r="4052" spans="42:51">
      <c r="AP4052" s="1855">
        <f t="shared" si="640"/>
        <v>44957</v>
      </c>
      <c r="AQ4052" s="925" t="str">
        <f t="shared" si="642"/>
        <v/>
      </c>
      <c r="AR4052" s="1856" t="str">
        <f t="shared" si="641"/>
        <v/>
      </c>
      <c r="AT4052" s="1856" t="str">
        <f t="shared" si="634"/>
        <v/>
      </c>
      <c r="AU4052" s="1856" t="str">
        <f t="shared" si="635"/>
        <v/>
      </c>
      <c r="AV4052" s="1856" t="str">
        <f t="shared" si="636"/>
        <v/>
      </c>
      <c r="AW4052" s="1856" t="str">
        <f t="shared" si="637"/>
        <v/>
      </c>
      <c r="AX4052" s="1856" t="str">
        <f t="shared" si="638"/>
        <v/>
      </c>
      <c r="AY4052" s="1856" t="str">
        <f t="shared" si="639"/>
        <v/>
      </c>
    </row>
    <row r="4053" spans="42:51">
      <c r="AP4053" s="1855">
        <f t="shared" si="640"/>
        <v>44957</v>
      </c>
      <c r="AQ4053" s="925" t="str">
        <f t="shared" si="642"/>
        <v/>
      </c>
      <c r="AR4053" s="1856" t="str">
        <f t="shared" si="641"/>
        <v/>
      </c>
      <c r="AT4053" s="1856" t="str">
        <f t="shared" si="634"/>
        <v/>
      </c>
      <c r="AU4053" s="1856" t="str">
        <f t="shared" si="635"/>
        <v/>
      </c>
      <c r="AV4053" s="1856" t="str">
        <f t="shared" si="636"/>
        <v/>
      </c>
      <c r="AW4053" s="1856" t="str">
        <f t="shared" si="637"/>
        <v/>
      </c>
      <c r="AX4053" s="1856" t="str">
        <f t="shared" si="638"/>
        <v/>
      </c>
      <c r="AY4053" s="1856" t="str">
        <f t="shared" si="639"/>
        <v/>
      </c>
    </row>
    <row r="4054" spans="42:51">
      <c r="AP4054" s="1855">
        <f t="shared" si="640"/>
        <v>44957</v>
      </c>
      <c r="AQ4054" s="925" t="str">
        <f t="shared" si="642"/>
        <v/>
      </c>
      <c r="AR4054" s="1856" t="str">
        <f t="shared" si="641"/>
        <v/>
      </c>
      <c r="AT4054" s="1856" t="str">
        <f t="shared" si="634"/>
        <v/>
      </c>
      <c r="AU4054" s="1856" t="str">
        <f t="shared" si="635"/>
        <v/>
      </c>
      <c r="AV4054" s="1856" t="str">
        <f t="shared" si="636"/>
        <v/>
      </c>
      <c r="AW4054" s="1856" t="str">
        <f t="shared" si="637"/>
        <v/>
      </c>
      <c r="AX4054" s="1856" t="str">
        <f t="shared" si="638"/>
        <v/>
      </c>
      <c r="AY4054" s="1856" t="str">
        <f t="shared" si="639"/>
        <v/>
      </c>
    </row>
    <row r="4055" spans="42:51">
      <c r="AP4055" s="1855">
        <f t="shared" si="640"/>
        <v>44957</v>
      </c>
      <c r="AQ4055" s="925" t="str">
        <f t="shared" si="642"/>
        <v/>
      </c>
      <c r="AR4055" s="1856" t="str">
        <f t="shared" si="641"/>
        <v/>
      </c>
      <c r="AT4055" s="1856" t="str">
        <f t="shared" si="634"/>
        <v/>
      </c>
      <c r="AU4055" s="1856" t="str">
        <f t="shared" si="635"/>
        <v/>
      </c>
      <c r="AV4055" s="1856" t="str">
        <f t="shared" si="636"/>
        <v/>
      </c>
      <c r="AW4055" s="1856" t="str">
        <f t="shared" si="637"/>
        <v/>
      </c>
      <c r="AX4055" s="1856" t="str">
        <f t="shared" si="638"/>
        <v/>
      </c>
      <c r="AY4055" s="1856" t="str">
        <f t="shared" si="639"/>
        <v/>
      </c>
    </row>
    <row r="4056" spans="42:51">
      <c r="AP4056" s="1855">
        <f t="shared" si="640"/>
        <v>44957</v>
      </c>
      <c r="AQ4056" s="925" t="str">
        <f t="shared" si="642"/>
        <v/>
      </c>
      <c r="AR4056" s="1856" t="str">
        <f t="shared" si="641"/>
        <v/>
      </c>
      <c r="AT4056" s="1856" t="str">
        <f t="shared" si="634"/>
        <v/>
      </c>
      <c r="AU4056" s="1856" t="str">
        <f t="shared" si="635"/>
        <v/>
      </c>
      <c r="AV4056" s="1856" t="str">
        <f t="shared" si="636"/>
        <v/>
      </c>
      <c r="AW4056" s="1856" t="str">
        <f t="shared" si="637"/>
        <v/>
      </c>
      <c r="AX4056" s="1856" t="str">
        <f t="shared" si="638"/>
        <v/>
      </c>
      <c r="AY4056" s="1856" t="str">
        <f t="shared" si="639"/>
        <v/>
      </c>
    </row>
    <row r="4057" spans="42:51">
      <c r="AP4057" s="1855">
        <f t="shared" si="640"/>
        <v>44957</v>
      </c>
      <c r="AQ4057" s="925" t="str">
        <f t="shared" si="642"/>
        <v/>
      </c>
      <c r="AR4057" s="1856" t="str">
        <f t="shared" si="641"/>
        <v/>
      </c>
      <c r="AT4057" s="1856" t="str">
        <f t="shared" si="634"/>
        <v/>
      </c>
      <c r="AU4057" s="1856" t="str">
        <f t="shared" si="635"/>
        <v/>
      </c>
      <c r="AV4057" s="1856" t="str">
        <f t="shared" si="636"/>
        <v/>
      </c>
      <c r="AW4057" s="1856" t="str">
        <f t="shared" si="637"/>
        <v/>
      </c>
      <c r="AX4057" s="1856" t="str">
        <f t="shared" si="638"/>
        <v/>
      </c>
      <c r="AY4057" s="1856" t="str">
        <f t="shared" si="639"/>
        <v/>
      </c>
    </row>
    <row r="4058" spans="42:51">
      <c r="AP4058" s="1855">
        <f t="shared" si="640"/>
        <v>44957</v>
      </c>
      <c r="AQ4058" s="925" t="str">
        <f t="shared" si="642"/>
        <v/>
      </c>
      <c r="AR4058" s="1856" t="str">
        <f t="shared" si="641"/>
        <v/>
      </c>
      <c r="AT4058" s="1856" t="str">
        <f t="shared" si="634"/>
        <v/>
      </c>
      <c r="AU4058" s="1856" t="str">
        <f t="shared" si="635"/>
        <v/>
      </c>
      <c r="AV4058" s="1856" t="str">
        <f t="shared" si="636"/>
        <v/>
      </c>
      <c r="AW4058" s="1856" t="str">
        <f t="shared" si="637"/>
        <v/>
      </c>
      <c r="AX4058" s="1856" t="str">
        <f t="shared" si="638"/>
        <v/>
      </c>
      <c r="AY4058" s="1856" t="str">
        <f t="shared" si="639"/>
        <v/>
      </c>
    </row>
    <row r="4059" spans="42:51">
      <c r="AP4059" s="1855">
        <f t="shared" si="640"/>
        <v>44957</v>
      </c>
      <c r="AQ4059" s="925" t="str">
        <f t="shared" si="642"/>
        <v/>
      </c>
      <c r="AR4059" s="1856" t="str">
        <f t="shared" si="641"/>
        <v/>
      </c>
      <c r="AT4059" s="1856" t="str">
        <f t="shared" si="634"/>
        <v/>
      </c>
      <c r="AU4059" s="1856" t="str">
        <f t="shared" si="635"/>
        <v/>
      </c>
      <c r="AV4059" s="1856" t="str">
        <f t="shared" si="636"/>
        <v/>
      </c>
      <c r="AW4059" s="1856" t="str">
        <f t="shared" si="637"/>
        <v/>
      </c>
      <c r="AX4059" s="1856" t="str">
        <f t="shared" si="638"/>
        <v/>
      </c>
      <c r="AY4059" s="1856" t="str">
        <f t="shared" si="639"/>
        <v/>
      </c>
    </row>
    <row r="4060" spans="42:51">
      <c r="AP4060" s="1855">
        <f t="shared" si="640"/>
        <v>44957</v>
      </c>
      <c r="AQ4060" s="925" t="str">
        <f t="shared" si="642"/>
        <v/>
      </c>
      <c r="AR4060" s="1856" t="str">
        <f t="shared" si="641"/>
        <v/>
      </c>
      <c r="AT4060" s="1856" t="str">
        <f t="shared" ref="AT4060:AT4123" si="643">IF(ISNUMBER(AS4060),INDEX(AR4061:AR4071,MATCH($AT$27,AQ4061:AQ4071,0)),"")</f>
        <v/>
      </c>
      <c r="AU4060" s="1856" t="str">
        <f t="shared" ref="AU4060:AU4123" si="644">IF(AT4060="","",INDEX(AR4061:AR4071,MATCH($AU$27,AQ4061:AQ4071,0)))</f>
        <v/>
      </c>
      <c r="AV4060" s="1856" t="str">
        <f t="shared" ref="AV4060:AV4123" si="645">IF(AT4060="","",INDEX(AR4061:AR4071,MATCH($AV$27,AQ4061:AQ4071,0)))</f>
        <v/>
      </c>
      <c r="AW4060" s="1856" t="str">
        <f t="shared" ref="AW4060:AW4123" si="646">IF(AT4060="","",INDEX(AR4061:AR4071,MATCH($AW$27,AQ4061:AQ4071,0)))</f>
        <v/>
      </c>
      <c r="AX4060" s="1856" t="str">
        <f t="shared" ref="AX4060:AX4123" si="647">IF(AT4060="","",INDEX(AR4061:AR4071,MATCH($AX$27,AQ4061:AQ4071,0)))</f>
        <v/>
      </c>
      <c r="AY4060" s="1856" t="str">
        <f t="shared" ref="AY4060:AY4123" si="648">IF(AT4060="","",INDEX(AR4061:AR4071,MATCH($AY$27,AQ4061:AQ4071,0)))</f>
        <v/>
      </c>
    </row>
    <row r="4061" spans="42:51">
      <c r="AP4061" s="1855">
        <f t="shared" si="640"/>
        <v>44957</v>
      </c>
      <c r="AQ4061" s="925" t="str">
        <f t="shared" si="642"/>
        <v/>
      </c>
      <c r="AR4061" s="1856" t="str">
        <f t="shared" si="641"/>
        <v/>
      </c>
      <c r="AT4061" s="1856" t="str">
        <f t="shared" si="643"/>
        <v/>
      </c>
      <c r="AU4061" s="1856" t="str">
        <f t="shared" si="644"/>
        <v/>
      </c>
      <c r="AV4061" s="1856" t="str">
        <f t="shared" si="645"/>
        <v/>
      </c>
      <c r="AW4061" s="1856" t="str">
        <f t="shared" si="646"/>
        <v/>
      </c>
      <c r="AX4061" s="1856" t="str">
        <f t="shared" si="647"/>
        <v/>
      </c>
      <c r="AY4061" s="1856" t="str">
        <f t="shared" si="648"/>
        <v/>
      </c>
    </row>
    <row r="4062" spans="42:51">
      <c r="AP4062" s="1855">
        <f t="shared" si="640"/>
        <v>44957</v>
      </c>
      <c r="AQ4062" s="925" t="str">
        <f t="shared" si="642"/>
        <v/>
      </c>
      <c r="AR4062" s="1856" t="str">
        <f t="shared" si="641"/>
        <v/>
      </c>
      <c r="AT4062" s="1856" t="str">
        <f t="shared" si="643"/>
        <v/>
      </c>
      <c r="AU4062" s="1856" t="str">
        <f t="shared" si="644"/>
        <v/>
      </c>
      <c r="AV4062" s="1856" t="str">
        <f t="shared" si="645"/>
        <v/>
      </c>
      <c r="AW4062" s="1856" t="str">
        <f t="shared" si="646"/>
        <v/>
      </c>
      <c r="AX4062" s="1856" t="str">
        <f t="shared" si="647"/>
        <v/>
      </c>
      <c r="AY4062" s="1856" t="str">
        <f t="shared" si="648"/>
        <v/>
      </c>
    </row>
    <row r="4063" spans="42:51">
      <c r="AP4063" s="1855">
        <f t="shared" si="640"/>
        <v>44957</v>
      </c>
      <c r="AQ4063" s="925" t="str">
        <f t="shared" si="642"/>
        <v/>
      </c>
      <c r="AR4063" s="1856" t="str">
        <f t="shared" si="641"/>
        <v/>
      </c>
      <c r="AT4063" s="1856" t="str">
        <f t="shared" si="643"/>
        <v/>
      </c>
      <c r="AU4063" s="1856" t="str">
        <f t="shared" si="644"/>
        <v/>
      </c>
      <c r="AV4063" s="1856" t="str">
        <f t="shared" si="645"/>
        <v/>
      </c>
      <c r="AW4063" s="1856" t="str">
        <f t="shared" si="646"/>
        <v/>
      </c>
      <c r="AX4063" s="1856" t="str">
        <f t="shared" si="647"/>
        <v/>
      </c>
      <c r="AY4063" s="1856" t="str">
        <f t="shared" si="648"/>
        <v/>
      </c>
    </row>
    <row r="4064" spans="42:51">
      <c r="AP4064" s="1855">
        <f t="shared" si="640"/>
        <v>44957</v>
      </c>
      <c r="AQ4064" s="925" t="str">
        <f t="shared" si="642"/>
        <v/>
      </c>
      <c r="AR4064" s="1856" t="str">
        <f t="shared" si="641"/>
        <v/>
      </c>
      <c r="AT4064" s="1856" t="str">
        <f t="shared" si="643"/>
        <v/>
      </c>
      <c r="AU4064" s="1856" t="str">
        <f t="shared" si="644"/>
        <v/>
      </c>
      <c r="AV4064" s="1856" t="str">
        <f t="shared" si="645"/>
        <v/>
      </c>
      <c r="AW4064" s="1856" t="str">
        <f t="shared" si="646"/>
        <v/>
      </c>
      <c r="AX4064" s="1856" t="str">
        <f t="shared" si="647"/>
        <v/>
      </c>
      <c r="AY4064" s="1856" t="str">
        <f t="shared" si="648"/>
        <v/>
      </c>
    </row>
    <row r="4065" spans="42:51">
      <c r="AP4065" s="1855">
        <f t="shared" si="640"/>
        <v>44957</v>
      </c>
      <c r="AQ4065" s="925" t="str">
        <f t="shared" si="642"/>
        <v/>
      </c>
      <c r="AR4065" s="1856" t="str">
        <f t="shared" si="641"/>
        <v/>
      </c>
      <c r="AT4065" s="1856" t="str">
        <f t="shared" si="643"/>
        <v/>
      </c>
      <c r="AU4065" s="1856" t="str">
        <f t="shared" si="644"/>
        <v/>
      </c>
      <c r="AV4065" s="1856" t="str">
        <f t="shared" si="645"/>
        <v/>
      </c>
      <c r="AW4065" s="1856" t="str">
        <f t="shared" si="646"/>
        <v/>
      </c>
      <c r="AX4065" s="1856" t="str">
        <f t="shared" si="647"/>
        <v/>
      </c>
      <c r="AY4065" s="1856" t="str">
        <f t="shared" si="648"/>
        <v/>
      </c>
    </row>
    <row r="4066" spans="42:51">
      <c r="AP4066" s="1855">
        <f t="shared" si="640"/>
        <v>44957</v>
      </c>
      <c r="AQ4066" s="925" t="str">
        <f t="shared" si="642"/>
        <v/>
      </c>
      <c r="AR4066" s="1856" t="str">
        <f t="shared" si="641"/>
        <v/>
      </c>
      <c r="AT4066" s="1856" t="str">
        <f t="shared" si="643"/>
        <v/>
      </c>
      <c r="AU4066" s="1856" t="str">
        <f t="shared" si="644"/>
        <v/>
      </c>
      <c r="AV4066" s="1856" t="str">
        <f t="shared" si="645"/>
        <v/>
      </c>
      <c r="AW4066" s="1856" t="str">
        <f t="shared" si="646"/>
        <v/>
      </c>
      <c r="AX4066" s="1856" t="str">
        <f t="shared" si="647"/>
        <v/>
      </c>
      <c r="AY4066" s="1856" t="str">
        <f t="shared" si="648"/>
        <v/>
      </c>
    </row>
    <row r="4067" spans="42:51">
      <c r="AP4067" s="1855">
        <f t="shared" si="640"/>
        <v>44957</v>
      </c>
      <c r="AQ4067" s="925" t="str">
        <f t="shared" si="642"/>
        <v/>
      </c>
      <c r="AR4067" s="1856" t="str">
        <f t="shared" si="641"/>
        <v/>
      </c>
      <c r="AT4067" s="1856" t="str">
        <f t="shared" si="643"/>
        <v/>
      </c>
      <c r="AU4067" s="1856" t="str">
        <f t="shared" si="644"/>
        <v/>
      </c>
      <c r="AV4067" s="1856" t="str">
        <f t="shared" si="645"/>
        <v/>
      </c>
      <c r="AW4067" s="1856" t="str">
        <f t="shared" si="646"/>
        <v/>
      </c>
      <c r="AX4067" s="1856" t="str">
        <f t="shared" si="647"/>
        <v/>
      </c>
      <c r="AY4067" s="1856" t="str">
        <f t="shared" si="648"/>
        <v/>
      </c>
    </row>
    <row r="4068" spans="42:51">
      <c r="AP4068" s="1855">
        <f t="shared" si="640"/>
        <v>44957</v>
      </c>
      <c r="AQ4068" s="925" t="str">
        <f t="shared" si="642"/>
        <v/>
      </c>
      <c r="AR4068" s="1856" t="str">
        <f t="shared" si="641"/>
        <v/>
      </c>
      <c r="AT4068" s="1856" t="str">
        <f t="shared" si="643"/>
        <v/>
      </c>
      <c r="AU4068" s="1856" t="str">
        <f t="shared" si="644"/>
        <v/>
      </c>
      <c r="AV4068" s="1856" t="str">
        <f t="shared" si="645"/>
        <v/>
      </c>
      <c r="AW4068" s="1856" t="str">
        <f t="shared" si="646"/>
        <v/>
      </c>
      <c r="AX4068" s="1856" t="str">
        <f t="shared" si="647"/>
        <v/>
      </c>
      <c r="AY4068" s="1856" t="str">
        <f t="shared" si="648"/>
        <v/>
      </c>
    </row>
    <row r="4069" spans="42:51">
      <c r="AP4069" s="1855">
        <f t="shared" ref="AP4069:AP4132" si="649">IF(ISNUMBER(AS4069),AP4068+1,AP4068)</f>
        <v>44957</v>
      </c>
      <c r="AQ4069" s="925" t="str">
        <f t="shared" si="642"/>
        <v/>
      </c>
      <c r="AR4069" s="1856" t="str">
        <f t="shared" si="641"/>
        <v/>
      </c>
      <c r="AT4069" s="1856" t="str">
        <f t="shared" si="643"/>
        <v/>
      </c>
      <c r="AU4069" s="1856" t="str">
        <f t="shared" si="644"/>
        <v/>
      </c>
      <c r="AV4069" s="1856" t="str">
        <f t="shared" si="645"/>
        <v/>
      </c>
      <c r="AW4069" s="1856" t="str">
        <f t="shared" si="646"/>
        <v/>
      </c>
      <c r="AX4069" s="1856" t="str">
        <f t="shared" si="647"/>
        <v/>
      </c>
      <c r="AY4069" s="1856" t="str">
        <f t="shared" si="648"/>
        <v/>
      </c>
    </row>
    <row r="4070" spans="42:51">
      <c r="AP4070" s="1855">
        <f t="shared" si="649"/>
        <v>44957</v>
      </c>
      <c r="AQ4070" s="925" t="str">
        <f t="shared" si="642"/>
        <v/>
      </c>
      <c r="AR4070" s="1856" t="str">
        <f t="shared" si="641"/>
        <v/>
      </c>
      <c r="AT4070" s="1856" t="str">
        <f t="shared" si="643"/>
        <v/>
      </c>
      <c r="AU4070" s="1856" t="str">
        <f t="shared" si="644"/>
        <v/>
      </c>
      <c r="AV4070" s="1856" t="str">
        <f t="shared" si="645"/>
        <v/>
      </c>
      <c r="AW4070" s="1856" t="str">
        <f t="shared" si="646"/>
        <v/>
      </c>
      <c r="AX4070" s="1856" t="str">
        <f t="shared" si="647"/>
        <v/>
      </c>
      <c r="AY4070" s="1856" t="str">
        <f t="shared" si="648"/>
        <v/>
      </c>
    </row>
    <row r="4071" spans="42:51">
      <c r="AP4071" s="1855">
        <f t="shared" si="649"/>
        <v>44957</v>
      </c>
      <c r="AQ4071" s="925" t="str">
        <f t="shared" si="642"/>
        <v/>
      </c>
      <c r="AR4071" s="1856" t="str">
        <f t="shared" si="641"/>
        <v/>
      </c>
      <c r="AT4071" s="1856" t="str">
        <f t="shared" si="643"/>
        <v/>
      </c>
      <c r="AU4071" s="1856" t="str">
        <f t="shared" si="644"/>
        <v/>
      </c>
      <c r="AV4071" s="1856" t="str">
        <f t="shared" si="645"/>
        <v/>
      </c>
      <c r="AW4071" s="1856" t="str">
        <f t="shared" si="646"/>
        <v/>
      </c>
      <c r="AX4071" s="1856" t="str">
        <f t="shared" si="647"/>
        <v/>
      </c>
      <c r="AY4071" s="1856" t="str">
        <f t="shared" si="648"/>
        <v/>
      </c>
    </row>
    <row r="4072" spans="42:51">
      <c r="AP4072" s="1855">
        <f t="shared" si="649"/>
        <v>44957</v>
      </c>
      <c r="AQ4072" s="925" t="str">
        <f t="shared" si="642"/>
        <v/>
      </c>
      <c r="AR4072" s="1856" t="str">
        <f t="shared" si="641"/>
        <v/>
      </c>
      <c r="AT4072" s="1856" t="str">
        <f t="shared" si="643"/>
        <v/>
      </c>
      <c r="AU4072" s="1856" t="str">
        <f t="shared" si="644"/>
        <v/>
      </c>
      <c r="AV4072" s="1856" t="str">
        <f t="shared" si="645"/>
        <v/>
      </c>
      <c r="AW4072" s="1856" t="str">
        <f t="shared" si="646"/>
        <v/>
      </c>
      <c r="AX4072" s="1856" t="str">
        <f t="shared" si="647"/>
        <v/>
      </c>
      <c r="AY4072" s="1856" t="str">
        <f t="shared" si="648"/>
        <v/>
      </c>
    </row>
    <row r="4073" spans="42:51">
      <c r="AP4073" s="1855">
        <f t="shared" si="649"/>
        <v>44957</v>
      </c>
      <c r="AQ4073" s="925" t="str">
        <f t="shared" si="642"/>
        <v/>
      </c>
      <c r="AR4073" s="1856" t="str">
        <f t="shared" ref="AR4073:AR4136" si="650">IF(NOT(ISNUMBER(FIND(":",AS4073))),"",IF(ISNUMBER(FIND(" none",AS4073)),"NONE",AP4073+LEFT(RIGHT(AS4073,5),2)/24+RIGHT(AS4073,2)/1440))</f>
        <v/>
      </c>
      <c r="AT4073" s="1856" t="str">
        <f t="shared" si="643"/>
        <v/>
      </c>
      <c r="AU4073" s="1856" t="str">
        <f t="shared" si="644"/>
        <v/>
      </c>
      <c r="AV4073" s="1856" t="str">
        <f t="shared" si="645"/>
        <v/>
      </c>
      <c r="AW4073" s="1856" t="str">
        <f t="shared" si="646"/>
        <v/>
      </c>
      <c r="AX4073" s="1856" t="str">
        <f t="shared" si="647"/>
        <v/>
      </c>
      <c r="AY4073" s="1856" t="str">
        <f t="shared" si="648"/>
        <v/>
      </c>
    </row>
    <row r="4074" spans="42:51">
      <c r="AP4074" s="1855">
        <f t="shared" si="649"/>
        <v>44957</v>
      </c>
      <c r="AQ4074" s="925" t="str">
        <f t="shared" si="642"/>
        <v/>
      </c>
      <c r="AR4074" s="1856" t="str">
        <f t="shared" si="650"/>
        <v/>
      </c>
      <c r="AT4074" s="1856" t="str">
        <f t="shared" si="643"/>
        <v/>
      </c>
      <c r="AU4074" s="1856" t="str">
        <f t="shared" si="644"/>
        <v/>
      </c>
      <c r="AV4074" s="1856" t="str">
        <f t="shared" si="645"/>
        <v/>
      </c>
      <c r="AW4074" s="1856" t="str">
        <f t="shared" si="646"/>
        <v/>
      </c>
      <c r="AX4074" s="1856" t="str">
        <f t="shared" si="647"/>
        <v/>
      </c>
      <c r="AY4074" s="1856" t="str">
        <f t="shared" si="648"/>
        <v/>
      </c>
    </row>
    <row r="4075" spans="42:51">
      <c r="AP4075" s="1855">
        <f t="shared" si="649"/>
        <v>44957</v>
      </c>
      <c r="AQ4075" s="925" t="str">
        <f t="shared" si="642"/>
        <v/>
      </c>
      <c r="AR4075" s="1856" t="str">
        <f t="shared" si="650"/>
        <v/>
      </c>
      <c r="AT4075" s="1856" t="str">
        <f t="shared" si="643"/>
        <v/>
      </c>
      <c r="AU4075" s="1856" t="str">
        <f t="shared" si="644"/>
        <v/>
      </c>
      <c r="AV4075" s="1856" t="str">
        <f t="shared" si="645"/>
        <v/>
      </c>
      <c r="AW4075" s="1856" t="str">
        <f t="shared" si="646"/>
        <v/>
      </c>
      <c r="AX4075" s="1856" t="str">
        <f t="shared" si="647"/>
        <v/>
      </c>
      <c r="AY4075" s="1856" t="str">
        <f t="shared" si="648"/>
        <v/>
      </c>
    </row>
    <row r="4076" spans="42:51">
      <c r="AP4076" s="1855">
        <f t="shared" si="649"/>
        <v>44957</v>
      </c>
      <c r="AQ4076" s="925" t="str">
        <f t="shared" si="642"/>
        <v/>
      </c>
      <c r="AR4076" s="1856" t="str">
        <f t="shared" si="650"/>
        <v/>
      </c>
      <c r="AT4076" s="1856" t="str">
        <f t="shared" si="643"/>
        <v/>
      </c>
      <c r="AU4076" s="1856" t="str">
        <f t="shared" si="644"/>
        <v/>
      </c>
      <c r="AV4076" s="1856" t="str">
        <f t="shared" si="645"/>
        <v/>
      </c>
      <c r="AW4076" s="1856" t="str">
        <f t="shared" si="646"/>
        <v/>
      </c>
      <c r="AX4076" s="1856" t="str">
        <f t="shared" si="647"/>
        <v/>
      </c>
      <c r="AY4076" s="1856" t="str">
        <f t="shared" si="648"/>
        <v/>
      </c>
    </row>
    <row r="4077" spans="42:51">
      <c r="AP4077" s="1855">
        <f t="shared" si="649"/>
        <v>44957</v>
      </c>
      <c r="AQ4077" s="925" t="str">
        <f t="shared" si="642"/>
        <v/>
      </c>
      <c r="AR4077" s="1856" t="str">
        <f t="shared" si="650"/>
        <v/>
      </c>
      <c r="AT4077" s="1856" t="str">
        <f t="shared" si="643"/>
        <v/>
      </c>
      <c r="AU4077" s="1856" t="str">
        <f t="shared" si="644"/>
        <v/>
      </c>
      <c r="AV4077" s="1856" t="str">
        <f t="shared" si="645"/>
        <v/>
      </c>
      <c r="AW4077" s="1856" t="str">
        <f t="shared" si="646"/>
        <v/>
      </c>
      <c r="AX4077" s="1856" t="str">
        <f t="shared" si="647"/>
        <v/>
      </c>
      <c r="AY4077" s="1856" t="str">
        <f t="shared" si="648"/>
        <v/>
      </c>
    </row>
    <row r="4078" spans="42:51">
      <c r="AP4078" s="1855">
        <f t="shared" si="649"/>
        <v>44957</v>
      </c>
      <c r="AQ4078" s="925" t="str">
        <f t="shared" si="642"/>
        <v/>
      </c>
      <c r="AR4078" s="1856" t="str">
        <f t="shared" si="650"/>
        <v/>
      </c>
      <c r="AT4078" s="1856" t="str">
        <f t="shared" si="643"/>
        <v/>
      </c>
      <c r="AU4078" s="1856" t="str">
        <f t="shared" si="644"/>
        <v/>
      </c>
      <c r="AV4078" s="1856" t="str">
        <f t="shared" si="645"/>
        <v/>
      </c>
      <c r="AW4078" s="1856" t="str">
        <f t="shared" si="646"/>
        <v/>
      </c>
      <c r="AX4078" s="1856" t="str">
        <f t="shared" si="647"/>
        <v/>
      </c>
      <c r="AY4078" s="1856" t="str">
        <f t="shared" si="648"/>
        <v/>
      </c>
    </row>
    <row r="4079" spans="42:51">
      <c r="AP4079" s="1855">
        <f t="shared" si="649"/>
        <v>44957</v>
      </c>
      <c r="AQ4079" s="925" t="str">
        <f t="shared" si="642"/>
        <v/>
      </c>
      <c r="AR4079" s="1856" t="str">
        <f t="shared" si="650"/>
        <v/>
      </c>
      <c r="AT4079" s="1856" t="str">
        <f t="shared" si="643"/>
        <v/>
      </c>
      <c r="AU4079" s="1856" t="str">
        <f t="shared" si="644"/>
        <v/>
      </c>
      <c r="AV4079" s="1856" t="str">
        <f t="shared" si="645"/>
        <v/>
      </c>
      <c r="AW4079" s="1856" t="str">
        <f t="shared" si="646"/>
        <v/>
      </c>
      <c r="AX4079" s="1856" t="str">
        <f t="shared" si="647"/>
        <v/>
      </c>
      <c r="AY4079" s="1856" t="str">
        <f t="shared" si="648"/>
        <v/>
      </c>
    </row>
    <row r="4080" spans="42:51">
      <c r="AP4080" s="1855">
        <f t="shared" si="649"/>
        <v>44957</v>
      </c>
      <c r="AQ4080" s="925" t="str">
        <f t="shared" si="642"/>
        <v/>
      </c>
      <c r="AR4080" s="1856" t="str">
        <f t="shared" si="650"/>
        <v/>
      </c>
      <c r="AT4080" s="1856" t="str">
        <f t="shared" si="643"/>
        <v/>
      </c>
      <c r="AU4080" s="1856" t="str">
        <f t="shared" si="644"/>
        <v/>
      </c>
      <c r="AV4080" s="1856" t="str">
        <f t="shared" si="645"/>
        <v/>
      </c>
      <c r="AW4080" s="1856" t="str">
        <f t="shared" si="646"/>
        <v/>
      </c>
      <c r="AX4080" s="1856" t="str">
        <f t="shared" si="647"/>
        <v/>
      </c>
      <c r="AY4080" s="1856" t="str">
        <f t="shared" si="648"/>
        <v/>
      </c>
    </row>
    <row r="4081" spans="42:51">
      <c r="AP4081" s="1855">
        <f t="shared" si="649"/>
        <v>44957</v>
      </c>
      <c r="AQ4081" s="925" t="str">
        <f t="shared" si="642"/>
        <v/>
      </c>
      <c r="AR4081" s="1856" t="str">
        <f t="shared" si="650"/>
        <v/>
      </c>
      <c r="AT4081" s="1856" t="str">
        <f t="shared" si="643"/>
        <v/>
      </c>
      <c r="AU4081" s="1856" t="str">
        <f t="shared" si="644"/>
        <v/>
      </c>
      <c r="AV4081" s="1856" t="str">
        <f t="shared" si="645"/>
        <v/>
      </c>
      <c r="AW4081" s="1856" t="str">
        <f t="shared" si="646"/>
        <v/>
      </c>
      <c r="AX4081" s="1856" t="str">
        <f t="shared" si="647"/>
        <v/>
      </c>
      <c r="AY4081" s="1856" t="str">
        <f t="shared" si="648"/>
        <v/>
      </c>
    </row>
    <row r="4082" spans="42:51">
      <c r="AP4082" s="1855">
        <f t="shared" si="649"/>
        <v>44957</v>
      </c>
      <c r="AQ4082" s="925" t="str">
        <f t="shared" si="642"/>
        <v/>
      </c>
      <c r="AR4082" s="1856" t="str">
        <f t="shared" si="650"/>
        <v/>
      </c>
      <c r="AT4082" s="1856" t="str">
        <f t="shared" si="643"/>
        <v/>
      </c>
      <c r="AU4082" s="1856" t="str">
        <f t="shared" si="644"/>
        <v/>
      </c>
      <c r="AV4082" s="1856" t="str">
        <f t="shared" si="645"/>
        <v/>
      </c>
      <c r="AW4082" s="1856" t="str">
        <f t="shared" si="646"/>
        <v/>
      </c>
      <c r="AX4082" s="1856" t="str">
        <f t="shared" si="647"/>
        <v/>
      </c>
      <c r="AY4082" s="1856" t="str">
        <f t="shared" si="648"/>
        <v/>
      </c>
    </row>
    <row r="4083" spans="42:51">
      <c r="AP4083" s="1855">
        <f t="shared" si="649"/>
        <v>44957</v>
      </c>
      <c r="AQ4083" s="925" t="str">
        <f t="shared" si="642"/>
        <v/>
      </c>
      <c r="AR4083" s="1856" t="str">
        <f t="shared" si="650"/>
        <v/>
      </c>
      <c r="AT4083" s="1856" t="str">
        <f t="shared" si="643"/>
        <v/>
      </c>
      <c r="AU4083" s="1856" t="str">
        <f t="shared" si="644"/>
        <v/>
      </c>
      <c r="AV4083" s="1856" t="str">
        <f t="shared" si="645"/>
        <v/>
      </c>
      <c r="AW4083" s="1856" t="str">
        <f t="shared" si="646"/>
        <v/>
      </c>
      <c r="AX4083" s="1856" t="str">
        <f t="shared" si="647"/>
        <v/>
      </c>
      <c r="AY4083" s="1856" t="str">
        <f t="shared" si="648"/>
        <v/>
      </c>
    </row>
    <row r="4084" spans="42:51">
      <c r="AP4084" s="1855">
        <f t="shared" si="649"/>
        <v>44957</v>
      </c>
      <c r="AQ4084" s="925" t="str">
        <f t="shared" ref="AQ4084:AQ4147" si="651">IF(NOT(ISNUMBER(FIND(":",AS4084))),"",IF(ISNUMBER(FIND("Sunr",AS4084)),"SR", IF(ISNUMBER(FIND("Suns",AS4084)),"SS",IF(ISNUMBER(FIND("Moonr",AS4084)),"MR",IF(ISNUMBER(FIND("Moons",AS4084)),"MS",IF(ISNUMBER(FIND("Twi",AS4084)),IF(HOUR(AR4084)&lt;12,"BMNT","EENT")))))))</f>
        <v/>
      </c>
      <c r="AR4084" s="1856" t="str">
        <f t="shared" si="650"/>
        <v/>
      </c>
      <c r="AT4084" s="1856" t="str">
        <f t="shared" si="643"/>
        <v/>
      </c>
      <c r="AU4084" s="1856" t="str">
        <f t="shared" si="644"/>
        <v/>
      </c>
      <c r="AV4084" s="1856" t="str">
        <f t="shared" si="645"/>
        <v/>
      </c>
      <c r="AW4084" s="1856" t="str">
        <f t="shared" si="646"/>
        <v/>
      </c>
      <c r="AX4084" s="1856" t="str">
        <f t="shared" si="647"/>
        <v/>
      </c>
      <c r="AY4084" s="1856" t="str">
        <f t="shared" si="648"/>
        <v/>
      </c>
    </row>
    <row r="4085" spans="42:51">
      <c r="AP4085" s="1855">
        <f t="shared" si="649"/>
        <v>44957</v>
      </c>
      <c r="AQ4085" s="925" t="str">
        <f t="shared" si="651"/>
        <v/>
      </c>
      <c r="AR4085" s="1856" t="str">
        <f t="shared" si="650"/>
        <v/>
      </c>
      <c r="AT4085" s="1856" t="str">
        <f t="shared" si="643"/>
        <v/>
      </c>
      <c r="AU4085" s="1856" t="str">
        <f t="shared" si="644"/>
        <v/>
      </c>
      <c r="AV4085" s="1856" t="str">
        <f t="shared" si="645"/>
        <v/>
      </c>
      <c r="AW4085" s="1856" t="str">
        <f t="shared" si="646"/>
        <v/>
      </c>
      <c r="AX4085" s="1856" t="str">
        <f t="shared" si="647"/>
        <v/>
      </c>
      <c r="AY4085" s="1856" t="str">
        <f t="shared" si="648"/>
        <v/>
      </c>
    </row>
    <row r="4086" spans="42:51">
      <c r="AP4086" s="1855">
        <f t="shared" si="649"/>
        <v>44957</v>
      </c>
      <c r="AQ4086" s="925" t="str">
        <f t="shared" si="651"/>
        <v/>
      </c>
      <c r="AR4086" s="1856" t="str">
        <f t="shared" si="650"/>
        <v/>
      </c>
      <c r="AT4086" s="1856" t="str">
        <f t="shared" si="643"/>
        <v/>
      </c>
      <c r="AU4086" s="1856" t="str">
        <f t="shared" si="644"/>
        <v/>
      </c>
      <c r="AV4086" s="1856" t="str">
        <f t="shared" si="645"/>
        <v/>
      </c>
      <c r="AW4086" s="1856" t="str">
        <f t="shared" si="646"/>
        <v/>
      </c>
      <c r="AX4086" s="1856" t="str">
        <f t="shared" si="647"/>
        <v/>
      </c>
      <c r="AY4086" s="1856" t="str">
        <f t="shared" si="648"/>
        <v/>
      </c>
    </row>
    <row r="4087" spans="42:51">
      <c r="AP4087" s="1855">
        <f t="shared" si="649"/>
        <v>44957</v>
      </c>
      <c r="AQ4087" s="925" t="str">
        <f t="shared" si="651"/>
        <v/>
      </c>
      <c r="AR4087" s="1856" t="str">
        <f t="shared" si="650"/>
        <v/>
      </c>
      <c r="AT4087" s="1856" t="str">
        <f t="shared" si="643"/>
        <v/>
      </c>
      <c r="AU4087" s="1856" t="str">
        <f t="shared" si="644"/>
        <v/>
      </c>
      <c r="AV4087" s="1856" t="str">
        <f t="shared" si="645"/>
        <v/>
      </c>
      <c r="AW4087" s="1856" t="str">
        <f t="shared" si="646"/>
        <v/>
      </c>
      <c r="AX4087" s="1856" t="str">
        <f t="shared" si="647"/>
        <v/>
      </c>
      <c r="AY4087" s="1856" t="str">
        <f t="shared" si="648"/>
        <v/>
      </c>
    </row>
    <row r="4088" spans="42:51">
      <c r="AP4088" s="1855">
        <f t="shared" si="649"/>
        <v>44957</v>
      </c>
      <c r="AQ4088" s="925" t="str">
        <f t="shared" si="651"/>
        <v/>
      </c>
      <c r="AR4088" s="1856" t="str">
        <f t="shared" si="650"/>
        <v/>
      </c>
      <c r="AT4088" s="1856" t="str">
        <f t="shared" si="643"/>
        <v/>
      </c>
      <c r="AU4088" s="1856" t="str">
        <f t="shared" si="644"/>
        <v/>
      </c>
      <c r="AV4088" s="1856" t="str">
        <f t="shared" si="645"/>
        <v/>
      </c>
      <c r="AW4088" s="1856" t="str">
        <f t="shared" si="646"/>
        <v/>
      </c>
      <c r="AX4088" s="1856" t="str">
        <f t="shared" si="647"/>
        <v/>
      </c>
      <c r="AY4088" s="1856" t="str">
        <f t="shared" si="648"/>
        <v/>
      </c>
    </row>
    <row r="4089" spans="42:51">
      <c r="AP4089" s="1855">
        <f t="shared" si="649"/>
        <v>44957</v>
      </c>
      <c r="AQ4089" s="925" t="str">
        <f t="shared" si="651"/>
        <v/>
      </c>
      <c r="AR4089" s="1856" t="str">
        <f t="shared" si="650"/>
        <v/>
      </c>
      <c r="AT4089" s="1856" t="str">
        <f t="shared" si="643"/>
        <v/>
      </c>
      <c r="AU4089" s="1856" t="str">
        <f t="shared" si="644"/>
        <v/>
      </c>
      <c r="AV4089" s="1856" t="str">
        <f t="shared" si="645"/>
        <v/>
      </c>
      <c r="AW4089" s="1856" t="str">
        <f t="shared" si="646"/>
        <v/>
      </c>
      <c r="AX4089" s="1856" t="str">
        <f t="shared" si="647"/>
        <v/>
      </c>
      <c r="AY4089" s="1856" t="str">
        <f t="shared" si="648"/>
        <v/>
      </c>
    </row>
    <row r="4090" spans="42:51">
      <c r="AP4090" s="1855">
        <f t="shared" si="649"/>
        <v>44957</v>
      </c>
      <c r="AQ4090" s="925" t="str">
        <f t="shared" si="651"/>
        <v/>
      </c>
      <c r="AR4090" s="1856" t="str">
        <f t="shared" si="650"/>
        <v/>
      </c>
      <c r="AT4090" s="1856" t="str">
        <f t="shared" si="643"/>
        <v/>
      </c>
      <c r="AU4090" s="1856" t="str">
        <f t="shared" si="644"/>
        <v/>
      </c>
      <c r="AV4090" s="1856" t="str">
        <f t="shared" si="645"/>
        <v/>
      </c>
      <c r="AW4090" s="1856" t="str">
        <f t="shared" si="646"/>
        <v/>
      </c>
      <c r="AX4090" s="1856" t="str">
        <f t="shared" si="647"/>
        <v/>
      </c>
      <c r="AY4090" s="1856" t="str">
        <f t="shared" si="648"/>
        <v/>
      </c>
    </row>
    <row r="4091" spans="42:51">
      <c r="AP4091" s="1855">
        <f t="shared" si="649"/>
        <v>44957</v>
      </c>
      <c r="AQ4091" s="925" t="str">
        <f t="shared" si="651"/>
        <v/>
      </c>
      <c r="AR4091" s="1856" t="str">
        <f t="shared" si="650"/>
        <v/>
      </c>
      <c r="AT4091" s="1856" t="str">
        <f t="shared" si="643"/>
        <v/>
      </c>
      <c r="AU4091" s="1856" t="str">
        <f t="shared" si="644"/>
        <v/>
      </c>
      <c r="AV4091" s="1856" t="str">
        <f t="shared" si="645"/>
        <v/>
      </c>
      <c r="AW4091" s="1856" t="str">
        <f t="shared" si="646"/>
        <v/>
      </c>
      <c r="AX4091" s="1856" t="str">
        <f t="shared" si="647"/>
        <v/>
      </c>
      <c r="AY4091" s="1856" t="str">
        <f t="shared" si="648"/>
        <v/>
      </c>
    </row>
    <row r="4092" spans="42:51">
      <c r="AP4092" s="1855">
        <f t="shared" si="649"/>
        <v>44957</v>
      </c>
      <c r="AQ4092" s="925" t="str">
        <f t="shared" si="651"/>
        <v/>
      </c>
      <c r="AR4092" s="1856" t="str">
        <f t="shared" si="650"/>
        <v/>
      </c>
      <c r="AT4092" s="1856" t="str">
        <f t="shared" si="643"/>
        <v/>
      </c>
      <c r="AU4092" s="1856" t="str">
        <f t="shared" si="644"/>
        <v/>
      </c>
      <c r="AV4092" s="1856" t="str">
        <f t="shared" si="645"/>
        <v/>
      </c>
      <c r="AW4092" s="1856" t="str">
        <f t="shared" si="646"/>
        <v/>
      </c>
      <c r="AX4092" s="1856" t="str">
        <f t="shared" si="647"/>
        <v/>
      </c>
      <c r="AY4092" s="1856" t="str">
        <f t="shared" si="648"/>
        <v/>
      </c>
    </row>
    <row r="4093" spans="42:51">
      <c r="AP4093" s="1855">
        <f t="shared" si="649"/>
        <v>44957</v>
      </c>
      <c r="AQ4093" s="925" t="str">
        <f t="shared" si="651"/>
        <v/>
      </c>
      <c r="AR4093" s="1856" t="str">
        <f t="shared" si="650"/>
        <v/>
      </c>
      <c r="AT4093" s="1856" t="str">
        <f t="shared" si="643"/>
        <v/>
      </c>
      <c r="AU4093" s="1856" t="str">
        <f t="shared" si="644"/>
        <v/>
      </c>
      <c r="AV4093" s="1856" t="str">
        <f t="shared" si="645"/>
        <v/>
      </c>
      <c r="AW4093" s="1856" t="str">
        <f t="shared" si="646"/>
        <v/>
      </c>
      <c r="AX4093" s="1856" t="str">
        <f t="shared" si="647"/>
        <v/>
      </c>
      <c r="AY4093" s="1856" t="str">
        <f t="shared" si="648"/>
        <v/>
      </c>
    </row>
    <row r="4094" spans="42:51">
      <c r="AP4094" s="1855">
        <f t="shared" si="649"/>
        <v>44957</v>
      </c>
      <c r="AQ4094" s="925" t="str">
        <f t="shared" si="651"/>
        <v/>
      </c>
      <c r="AR4094" s="1856" t="str">
        <f t="shared" si="650"/>
        <v/>
      </c>
      <c r="AT4094" s="1856" t="str">
        <f t="shared" si="643"/>
        <v/>
      </c>
      <c r="AU4094" s="1856" t="str">
        <f t="shared" si="644"/>
        <v/>
      </c>
      <c r="AV4094" s="1856" t="str">
        <f t="shared" si="645"/>
        <v/>
      </c>
      <c r="AW4094" s="1856" t="str">
        <f t="shared" si="646"/>
        <v/>
      </c>
      <c r="AX4094" s="1856" t="str">
        <f t="shared" si="647"/>
        <v/>
      </c>
      <c r="AY4094" s="1856" t="str">
        <f t="shared" si="648"/>
        <v/>
      </c>
    </row>
    <row r="4095" spans="42:51">
      <c r="AP4095" s="1855">
        <f t="shared" si="649"/>
        <v>44957</v>
      </c>
      <c r="AQ4095" s="925" t="str">
        <f t="shared" si="651"/>
        <v/>
      </c>
      <c r="AR4095" s="1856" t="str">
        <f t="shared" si="650"/>
        <v/>
      </c>
      <c r="AT4095" s="1856" t="str">
        <f t="shared" si="643"/>
        <v/>
      </c>
      <c r="AU4095" s="1856" t="str">
        <f t="shared" si="644"/>
        <v/>
      </c>
      <c r="AV4095" s="1856" t="str">
        <f t="shared" si="645"/>
        <v/>
      </c>
      <c r="AW4095" s="1856" t="str">
        <f t="shared" si="646"/>
        <v/>
      </c>
      <c r="AX4095" s="1856" t="str">
        <f t="shared" si="647"/>
        <v/>
      </c>
      <c r="AY4095" s="1856" t="str">
        <f t="shared" si="648"/>
        <v/>
      </c>
    </row>
    <row r="4096" spans="42:51">
      <c r="AP4096" s="1855">
        <f t="shared" si="649"/>
        <v>44957</v>
      </c>
      <c r="AQ4096" s="925" t="str">
        <f t="shared" si="651"/>
        <v/>
      </c>
      <c r="AR4096" s="1856" t="str">
        <f t="shared" si="650"/>
        <v/>
      </c>
      <c r="AT4096" s="1856" t="str">
        <f t="shared" si="643"/>
        <v/>
      </c>
      <c r="AU4096" s="1856" t="str">
        <f t="shared" si="644"/>
        <v/>
      </c>
      <c r="AV4096" s="1856" t="str">
        <f t="shared" si="645"/>
        <v/>
      </c>
      <c r="AW4096" s="1856" t="str">
        <f t="shared" si="646"/>
        <v/>
      </c>
      <c r="AX4096" s="1856" t="str">
        <f t="shared" si="647"/>
        <v/>
      </c>
      <c r="AY4096" s="1856" t="str">
        <f t="shared" si="648"/>
        <v/>
      </c>
    </row>
    <row r="4097" spans="42:51">
      <c r="AP4097" s="1855">
        <f t="shared" si="649"/>
        <v>44957</v>
      </c>
      <c r="AQ4097" s="925" t="str">
        <f t="shared" si="651"/>
        <v/>
      </c>
      <c r="AR4097" s="1856" t="str">
        <f t="shared" si="650"/>
        <v/>
      </c>
      <c r="AT4097" s="1856" t="str">
        <f t="shared" si="643"/>
        <v/>
      </c>
      <c r="AU4097" s="1856" t="str">
        <f t="shared" si="644"/>
        <v/>
      </c>
      <c r="AV4097" s="1856" t="str">
        <f t="shared" si="645"/>
        <v/>
      </c>
      <c r="AW4097" s="1856" t="str">
        <f t="shared" si="646"/>
        <v/>
      </c>
      <c r="AX4097" s="1856" t="str">
        <f t="shared" si="647"/>
        <v/>
      </c>
      <c r="AY4097" s="1856" t="str">
        <f t="shared" si="648"/>
        <v/>
      </c>
    </row>
    <row r="4098" spans="42:51">
      <c r="AP4098" s="1855">
        <f t="shared" si="649"/>
        <v>44957</v>
      </c>
      <c r="AQ4098" s="925" t="str">
        <f t="shared" si="651"/>
        <v/>
      </c>
      <c r="AR4098" s="1856" t="str">
        <f t="shared" si="650"/>
        <v/>
      </c>
      <c r="AT4098" s="1856" t="str">
        <f t="shared" si="643"/>
        <v/>
      </c>
      <c r="AU4098" s="1856" t="str">
        <f t="shared" si="644"/>
        <v/>
      </c>
      <c r="AV4098" s="1856" t="str">
        <f t="shared" si="645"/>
        <v/>
      </c>
      <c r="AW4098" s="1856" t="str">
        <f t="shared" si="646"/>
        <v/>
      </c>
      <c r="AX4098" s="1856" t="str">
        <f t="shared" si="647"/>
        <v/>
      </c>
      <c r="AY4098" s="1856" t="str">
        <f t="shared" si="648"/>
        <v/>
      </c>
    </row>
    <row r="4099" spans="42:51">
      <c r="AP4099" s="1855">
        <f t="shared" si="649"/>
        <v>44957</v>
      </c>
      <c r="AQ4099" s="925" t="str">
        <f t="shared" si="651"/>
        <v/>
      </c>
      <c r="AR4099" s="1856" t="str">
        <f t="shared" si="650"/>
        <v/>
      </c>
      <c r="AT4099" s="1856" t="str">
        <f t="shared" si="643"/>
        <v/>
      </c>
      <c r="AU4099" s="1856" t="str">
        <f t="shared" si="644"/>
        <v/>
      </c>
      <c r="AV4099" s="1856" t="str">
        <f t="shared" si="645"/>
        <v/>
      </c>
      <c r="AW4099" s="1856" t="str">
        <f t="shared" si="646"/>
        <v/>
      </c>
      <c r="AX4099" s="1856" t="str">
        <f t="shared" si="647"/>
        <v/>
      </c>
      <c r="AY4099" s="1856" t="str">
        <f t="shared" si="648"/>
        <v/>
      </c>
    </row>
    <row r="4100" spans="42:51">
      <c r="AP4100" s="1855">
        <f t="shared" si="649"/>
        <v>44957</v>
      </c>
      <c r="AQ4100" s="925" t="str">
        <f t="shared" si="651"/>
        <v/>
      </c>
      <c r="AR4100" s="1856" t="str">
        <f t="shared" si="650"/>
        <v/>
      </c>
      <c r="AT4100" s="1856" t="str">
        <f t="shared" si="643"/>
        <v/>
      </c>
      <c r="AU4100" s="1856" t="str">
        <f t="shared" si="644"/>
        <v/>
      </c>
      <c r="AV4100" s="1856" t="str">
        <f t="shared" si="645"/>
        <v/>
      </c>
      <c r="AW4100" s="1856" t="str">
        <f t="shared" si="646"/>
        <v/>
      </c>
      <c r="AX4100" s="1856" t="str">
        <f t="shared" si="647"/>
        <v/>
      </c>
      <c r="AY4100" s="1856" t="str">
        <f t="shared" si="648"/>
        <v/>
      </c>
    </row>
    <row r="4101" spans="42:51">
      <c r="AP4101" s="1855">
        <f t="shared" si="649"/>
        <v>44957</v>
      </c>
      <c r="AQ4101" s="925" t="str">
        <f t="shared" si="651"/>
        <v/>
      </c>
      <c r="AR4101" s="1856" t="str">
        <f t="shared" si="650"/>
        <v/>
      </c>
      <c r="AT4101" s="1856" t="str">
        <f t="shared" si="643"/>
        <v/>
      </c>
      <c r="AU4101" s="1856" t="str">
        <f t="shared" si="644"/>
        <v/>
      </c>
      <c r="AV4101" s="1856" t="str">
        <f t="shared" si="645"/>
        <v/>
      </c>
      <c r="AW4101" s="1856" t="str">
        <f t="shared" si="646"/>
        <v/>
      </c>
      <c r="AX4101" s="1856" t="str">
        <f t="shared" si="647"/>
        <v/>
      </c>
      <c r="AY4101" s="1856" t="str">
        <f t="shared" si="648"/>
        <v/>
      </c>
    </row>
    <row r="4102" spans="42:51">
      <c r="AP4102" s="1855">
        <f t="shared" si="649"/>
        <v>44957</v>
      </c>
      <c r="AQ4102" s="925" t="str">
        <f t="shared" si="651"/>
        <v/>
      </c>
      <c r="AR4102" s="1856" t="str">
        <f t="shared" si="650"/>
        <v/>
      </c>
      <c r="AT4102" s="1856" t="str">
        <f t="shared" si="643"/>
        <v/>
      </c>
      <c r="AU4102" s="1856" t="str">
        <f t="shared" si="644"/>
        <v/>
      </c>
      <c r="AV4102" s="1856" t="str">
        <f t="shared" si="645"/>
        <v/>
      </c>
      <c r="AW4102" s="1856" t="str">
        <f t="shared" si="646"/>
        <v/>
      </c>
      <c r="AX4102" s="1856" t="str">
        <f t="shared" si="647"/>
        <v/>
      </c>
      <c r="AY4102" s="1856" t="str">
        <f t="shared" si="648"/>
        <v/>
      </c>
    </row>
    <row r="4103" spans="42:51">
      <c r="AP4103" s="1855">
        <f t="shared" si="649"/>
        <v>44957</v>
      </c>
      <c r="AQ4103" s="925" t="str">
        <f t="shared" si="651"/>
        <v/>
      </c>
      <c r="AR4103" s="1856" t="str">
        <f t="shared" si="650"/>
        <v/>
      </c>
      <c r="AT4103" s="1856" t="str">
        <f t="shared" si="643"/>
        <v/>
      </c>
      <c r="AU4103" s="1856" t="str">
        <f t="shared" si="644"/>
        <v/>
      </c>
      <c r="AV4103" s="1856" t="str">
        <f t="shared" si="645"/>
        <v/>
      </c>
      <c r="AW4103" s="1856" t="str">
        <f t="shared" si="646"/>
        <v/>
      </c>
      <c r="AX4103" s="1856" t="str">
        <f t="shared" si="647"/>
        <v/>
      </c>
      <c r="AY4103" s="1856" t="str">
        <f t="shared" si="648"/>
        <v/>
      </c>
    </row>
    <row r="4104" spans="42:51">
      <c r="AP4104" s="1855">
        <f t="shared" si="649"/>
        <v>44957</v>
      </c>
      <c r="AQ4104" s="925" t="str">
        <f t="shared" si="651"/>
        <v/>
      </c>
      <c r="AR4104" s="1856" t="str">
        <f t="shared" si="650"/>
        <v/>
      </c>
      <c r="AT4104" s="1856" t="str">
        <f t="shared" si="643"/>
        <v/>
      </c>
      <c r="AU4104" s="1856" t="str">
        <f t="shared" si="644"/>
        <v/>
      </c>
      <c r="AV4104" s="1856" t="str">
        <f t="shared" si="645"/>
        <v/>
      </c>
      <c r="AW4104" s="1856" t="str">
        <f t="shared" si="646"/>
        <v/>
      </c>
      <c r="AX4104" s="1856" t="str">
        <f t="shared" si="647"/>
        <v/>
      </c>
      <c r="AY4104" s="1856" t="str">
        <f t="shared" si="648"/>
        <v/>
      </c>
    </row>
    <row r="4105" spans="42:51">
      <c r="AP4105" s="1855">
        <f t="shared" si="649"/>
        <v>44957</v>
      </c>
      <c r="AQ4105" s="925" t="str">
        <f t="shared" si="651"/>
        <v/>
      </c>
      <c r="AR4105" s="1856" t="str">
        <f t="shared" si="650"/>
        <v/>
      </c>
      <c r="AT4105" s="1856" t="str">
        <f t="shared" si="643"/>
        <v/>
      </c>
      <c r="AU4105" s="1856" t="str">
        <f t="shared" si="644"/>
        <v/>
      </c>
      <c r="AV4105" s="1856" t="str">
        <f t="shared" si="645"/>
        <v/>
      </c>
      <c r="AW4105" s="1856" t="str">
        <f t="shared" si="646"/>
        <v/>
      </c>
      <c r="AX4105" s="1856" t="str">
        <f t="shared" si="647"/>
        <v/>
      </c>
      <c r="AY4105" s="1856" t="str">
        <f t="shared" si="648"/>
        <v/>
      </c>
    </row>
    <row r="4106" spans="42:51">
      <c r="AP4106" s="1855">
        <f t="shared" si="649"/>
        <v>44957</v>
      </c>
      <c r="AQ4106" s="925" t="str">
        <f t="shared" si="651"/>
        <v/>
      </c>
      <c r="AR4106" s="1856" t="str">
        <f t="shared" si="650"/>
        <v/>
      </c>
      <c r="AT4106" s="1856" t="str">
        <f t="shared" si="643"/>
        <v/>
      </c>
      <c r="AU4106" s="1856" t="str">
        <f t="shared" si="644"/>
        <v/>
      </c>
      <c r="AV4106" s="1856" t="str">
        <f t="shared" si="645"/>
        <v/>
      </c>
      <c r="AW4106" s="1856" t="str">
        <f t="shared" si="646"/>
        <v/>
      </c>
      <c r="AX4106" s="1856" t="str">
        <f t="shared" si="647"/>
        <v/>
      </c>
      <c r="AY4106" s="1856" t="str">
        <f t="shared" si="648"/>
        <v/>
      </c>
    </row>
    <row r="4107" spans="42:51">
      <c r="AP4107" s="1855">
        <f t="shared" si="649"/>
        <v>44957</v>
      </c>
      <c r="AQ4107" s="925" t="str">
        <f t="shared" si="651"/>
        <v/>
      </c>
      <c r="AR4107" s="1856" t="str">
        <f t="shared" si="650"/>
        <v/>
      </c>
      <c r="AT4107" s="1856" t="str">
        <f t="shared" si="643"/>
        <v/>
      </c>
      <c r="AU4107" s="1856" t="str">
        <f t="shared" si="644"/>
        <v/>
      </c>
      <c r="AV4107" s="1856" t="str">
        <f t="shared" si="645"/>
        <v/>
      </c>
      <c r="AW4107" s="1856" t="str">
        <f t="shared" si="646"/>
        <v/>
      </c>
      <c r="AX4107" s="1856" t="str">
        <f t="shared" si="647"/>
        <v/>
      </c>
      <c r="AY4107" s="1856" t="str">
        <f t="shared" si="648"/>
        <v/>
      </c>
    </row>
    <row r="4108" spans="42:51">
      <c r="AP4108" s="1855">
        <f t="shared" si="649"/>
        <v>44957</v>
      </c>
      <c r="AQ4108" s="925" t="str">
        <f t="shared" si="651"/>
        <v/>
      </c>
      <c r="AR4108" s="1856" t="str">
        <f t="shared" si="650"/>
        <v/>
      </c>
      <c r="AT4108" s="1856" t="str">
        <f t="shared" si="643"/>
        <v/>
      </c>
      <c r="AU4108" s="1856" t="str">
        <f t="shared" si="644"/>
        <v/>
      </c>
      <c r="AV4108" s="1856" t="str">
        <f t="shared" si="645"/>
        <v/>
      </c>
      <c r="AW4108" s="1856" t="str">
        <f t="shared" si="646"/>
        <v/>
      </c>
      <c r="AX4108" s="1856" t="str">
        <f t="shared" si="647"/>
        <v/>
      </c>
      <c r="AY4108" s="1856" t="str">
        <f t="shared" si="648"/>
        <v/>
      </c>
    </row>
    <row r="4109" spans="42:51">
      <c r="AP4109" s="1855">
        <f t="shared" si="649"/>
        <v>44957</v>
      </c>
      <c r="AQ4109" s="925" t="str">
        <f t="shared" si="651"/>
        <v/>
      </c>
      <c r="AR4109" s="1856" t="str">
        <f t="shared" si="650"/>
        <v/>
      </c>
      <c r="AT4109" s="1856" t="str">
        <f t="shared" si="643"/>
        <v/>
      </c>
      <c r="AU4109" s="1856" t="str">
        <f t="shared" si="644"/>
        <v/>
      </c>
      <c r="AV4109" s="1856" t="str">
        <f t="shared" si="645"/>
        <v/>
      </c>
      <c r="AW4109" s="1856" t="str">
        <f t="shared" si="646"/>
        <v/>
      </c>
      <c r="AX4109" s="1856" t="str">
        <f t="shared" si="647"/>
        <v/>
      </c>
      <c r="AY4109" s="1856" t="str">
        <f t="shared" si="648"/>
        <v/>
      </c>
    </row>
    <row r="4110" spans="42:51">
      <c r="AP4110" s="1855">
        <f t="shared" si="649"/>
        <v>44957</v>
      </c>
      <c r="AQ4110" s="925" t="str">
        <f t="shared" si="651"/>
        <v/>
      </c>
      <c r="AR4110" s="1856" t="str">
        <f t="shared" si="650"/>
        <v/>
      </c>
      <c r="AT4110" s="1856" t="str">
        <f t="shared" si="643"/>
        <v/>
      </c>
      <c r="AU4110" s="1856" t="str">
        <f t="shared" si="644"/>
        <v/>
      </c>
      <c r="AV4110" s="1856" t="str">
        <f t="shared" si="645"/>
        <v/>
      </c>
      <c r="AW4110" s="1856" t="str">
        <f t="shared" si="646"/>
        <v/>
      </c>
      <c r="AX4110" s="1856" t="str">
        <f t="shared" si="647"/>
        <v/>
      </c>
      <c r="AY4110" s="1856" t="str">
        <f t="shared" si="648"/>
        <v/>
      </c>
    </row>
    <row r="4111" spans="42:51">
      <c r="AP4111" s="1855">
        <f t="shared" si="649"/>
        <v>44957</v>
      </c>
      <c r="AQ4111" s="925" t="str">
        <f t="shared" si="651"/>
        <v/>
      </c>
      <c r="AR4111" s="1856" t="str">
        <f t="shared" si="650"/>
        <v/>
      </c>
      <c r="AT4111" s="1856" t="str">
        <f t="shared" si="643"/>
        <v/>
      </c>
      <c r="AU4111" s="1856" t="str">
        <f t="shared" si="644"/>
        <v/>
      </c>
      <c r="AV4111" s="1856" t="str">
        <f t="shared" si="645"/>
        <v/>
      </c>
      <c r="AW4111" s="1856" t="str">
        <f t="shared" si="646"/>
        <v/>
      </c>
      <c r="AX4111" s="1856" t="str">
        <f t="shared" si="647"/>
        <v/>
      </c>
      <c r="AY4111" s="1856" t="str">
        <f t="shared" si="648"/>
        <v/>
      </c>
    </row>
    <row r="4112" spans="42:51">
      <c r="AP4112" s="1855">
        <f t="shared" si="649"/>
        <v>44957</v>
      </c>
      <c r="AQ4112" s="925" t="str">
        <f t="shared" si="651"/>
        <v/>
      </c>
      <c r="AR4112" s="1856" t="str">
        <f t="shared" si="650"/>
        <v/>
      </c>
      <c r="AT4112" s="1856" t="str">
        <f t="shared" si="643"/>
        <v/>
      </c>
      <c r="AU4112" s="1856" t="str">
        <f t="shared" si="644"/>
        <v/>
      </c>
      <c r="AV4112" s="1856" t="str">
        <f t="shared" si="645"/>
        <v/>
      </c>
      <c r="AW4112" s="1856" t="str">
        <f t="shared" si="646"/>
        <v/>
      </c>
      <c r="AX4112" s="1856" t="str">
        <f t="shared" si="647"/>
        <v/>
      </c>
      <c r="AY4112" s="1856" t="str">
        <f t="shared" si="648"/>
        <v/>
      </c>
    </row>
    <row r="4113" spans="42:51">
      <c r="AP4113" s="1855">
        <f t="shared" si="649"/>
        <v>44957</v>
      </c>
      <c r="AQ4113" s="925" t="str">
        <f t="shared" si="651"/>
        <v/>
      </c>
      <c r="AR4113" s="1856" t="str">
        <f t="shared" si="650"/>
        <v/>
      </c>
      <c r="AT4113" s="1856" t="str">
        <f t="shared" si="643"/>
        <v/>
      </c>
      <c r="AU4113" s="1856" t="str">
        <f t="shared" si="644"/>
        <v/>
      </c>
      <c r="AV4113" s="1856" t="str">
        <f t="shared" si="645"/>
        <v/>
      </c>
      <c r="AW4113" s="1856" t="str">
        <f t="shared" si="646"/>
        <v/>
      </c>
      <c r="AX4113" s="1856" t="str">
        <f t="shared" si="647"/>
        <v/>
      </c>
      <c r="AY4113" s="1856" t="str">
        <f t="shared" si="648"/>
        <v/>
      </c>
    </row>
    <row r="4114" spans="42:51">
      <c r="AP4114" s="1855">
        <f t="shared" si="649"/>
        <v>44957</v>
      </c>
      <c r="AQ4114" s="925" t="str">
        <f t="shared" si="651"/>
        <v/>
      </c>
      <c r="AR4114" s="1856" t="str">
        <f t="shared" si="650"/>
        <v/>
      </c>
      <c r="AT4114" s="1856" t="str">
        <f t="shared" si="643"/>
        <v/>
      </c>
      <c r="AU4114" s="1856" t="str">
        <f t="shared" si="644"/>
        <v/>
      </c>
      <c r="AV4114" s="1856" t="str">
        <f t="shared" si="645"/>
        <v/>
      </c>
      <c r="AW4114" s="1856" t="str">
        <f t="shared" si="646"/>
        <v/>
      </c>
      <c r="AX4114" s="1856" t="str">
        <f t="shared" si="647"/>
        <v/>
      </c>
      <c r="AY4114" s="1856" t="str">
        <f t="shared" si="648"/>
        <v/>
      </c>
    </row>
    <row r="4115" spans="42:51">
      <c r="AP4115" s="1855">
        <f t="shared" si="649"/>
        <v>44957</v>
      </c>
      <c r="AQ4115" s="925" t="str">
        <f t="shared" si="651"/>
        <v/>
      </c>
      <c r="AR4115" s="1856" t="str">
        <f t="shared" si="650"/>
        <v/>
      </c>
      <c r="AT4115" s="1856" t="str">
        <f t="shared" si="643"/>
        <v/>
      </c>
      <c r="AU4115" s="1856" t="str">
        <f t="shared" si="644"/>
        <v/>
      </c>
      <c r="AV4115" s="1856" t="str">
        <f t="shared" si="645"/>
        <v/>
      </c>
      <c r="AW4115" s="1856" t="str">
        <f t="shared" si="646"/>
        <v/>
      </c>
      <c r="AX4115" s="1856" t="str">
        <f t="shared" si="647"/>
        <v/>
      </c>
      <c r="AY4115" s="1856" t="str">
        <f t="shared" si="648"/>
        <v/>
      </c>
    </row>
    <row r="4116" spans="42:51">
      <c r="AP4116" s="1855">
        <f t="shared" si="649"/>
        <v>44957</v>
      </c>
      <c r="AQ4116" s="925" t="str">
        <f t="shared" si="651"/>
        <v/>
      </c>
      <c r="AR4116" s="1856" t="str">
        <f t="shared" si="650"/>
        <v/>
      </c>
      <c r="AT4116" s="1856" t="str">
        <f t="shared" si="643"/>
        <v/>
      </c>
      <c r="AU4116" s="1856" t="str">
        <f t="shared" si="644"/>
        <v/>
      </c>
      <c r="AV4116" s="1856" t="str">
        <f t="shared" si="645"/>
        <v/>
      </c>
      <c r="AW4116" s="1856" t="str">
        <f t="shared" si="646"/>
        <v/>
      </c>
      <c r="AX4116" s="1856" t="str">
        <f t="shared" si="647"/>
        <v/>
      </c>
      <c r="AY4116" s="1856" t="str">
        <f t="shared" si="648"/>
        <v/>
      </c>
    </row>
    <row r="4117" spans="42:51">
      <c r="AP4117" s="1855">
        <f t="shared" si="649"/>
        <v>44957</v>
      </c>
      <c r="AQ4117" s="925" t="str">
        <f t="shared" si="651"/>
        <v/>
      </c>
      <c r="AR4117" s="1856" t="str">
        <f t="shared" si="650"/>
        <v/>
      </c>
      <c r="AT4117" s="1856" t="str">
        <f t="shared" si="643"/>
        <v/>
      </c>
      <c r="AU4117" s="1856" t="str">
        <f t="shared" si="644"/>
        <v/>
      </c>
      <c r="AV4117" s="1856" t="str">
        <f t="shared" si="645"/>
        <v/>
      </c>
      <c r="AW4117" s="1856" t="str">
        <f t="shared" si="646"/>
        <v/>
      </c>
      <c r="AX4117" s="1856" t="str">
        <f t="shared" si="647"/>
        <v/>
      </c>
      <c r="AY4117" s="1856" t="str">
        <f t="shared" si="648"/>
        <v/>
      </c>
    </row>
    <row r="4118" spans="42:51">
      <c r="AP4118" s="1855">
        <f t="shared" si="649"/>
        <v>44957</v>
      </c>
      <c r="AQ4118" s="925" t="str">
        <f t="shared" si="651"/>
        <v/>
      </c>
      <c r="AR4118" s="1856" t="str">
        <f t="shared" si="650"/>
        <v/>
      </c>
      <c r="AT4118" s="1856" t="str">
        <f t="shared" si="643"/>
        <v/>
      </c>
      <c r="AU4118" s="1856" t="str">
        <f t="shared" si="644"/>
        <v/>
      </c>
      <c r="AV4118" s="1856" t="str">
        <f t="shared" si="645"/>
        <v/>
      </c>
      <c r="AW4118" s="1856" t="str">
        <f t="shared" si="646"/>
        <v/>
      </c>
      <c r="AX4118" s="1856" t="str">
        <f t="shared" si="647"/>
        <v/>
      </c>
      <c r="AY4118" s="1856" t="str">
        <f t="shared" si="648"/>
        <v/>
      </c>
    </row>
    <row r="4119" spans="42:51">
      <c r="AP4119" s="1855">
        <f t="shared" si="649"/>
        <v>44957</v>
      </c>
      <c r="AQ4119" s="925" t="str">
        <f t="shared" si="651"/>
        <v/>
      </c>
      <c r="AR4119" s="1856" t="str">
        <f t="shared" si="650"/>
        <v/>
      </c>
      <c r="AT4119" s="1856" t="str">
        <f t="shared" si="643"/>
        <v/>
      </c>
      <c r="AU4119" s="1856" t="str">
        <f t="shared" si="644"/>
        <v/>
      </c>
      <c r="AV4119" s="1856" t="str">
        <f t="shared" si="645"/>
        <v/>
      </c>
      <c r="AW4119" s="1856" t="str">
        <f t="shared" si="646"/>
        <v/>
      </c>
      <c r="AX4119" s="1856" t="str">
        <f t="shared" si="647"/>
        <v/>
      </c>
      <c r="AY4119" s="1856" t="str">
        <f t="shared" si="648"/>
        <v/>
      </c>
    </row>
    <row r="4120" spans="42:51">
      <c r="AP4120" s="1855">
        <f t="shared" si="649"/>
        <v>44957</v>
      </c>
      <c r="AQ4120" s="925" t="str">
        <f t="shared" si="651"/>
        <v/>
      </c>
      <c r="AR4120" s="1856" t="str">
        <f t="shared" si="650"/>
        <v/>
      </c>
      <c r="AT4120" s="1856" t="str">
        <f t="shared" si="643"/>
        <v/>
      </c>
      <c r="AU4120" s="1856" t="str">
        <f t="shared" si="644"/>
        <v/>
      </c>
      <c r="AV4120" s="1856" t="str">
        <f t="shared" si="645"/>
        <v/>
      </c>
      <c r="AW4120" s="1856" t="str">
        <f t="shared" si="646"/>
        <v/>
      </c>
      <c r="AX4120" s="1856" t="str">
        <f t="shared" si="647"/>
        <v/>
      </c>
      <c r="AY4120" s="1856" t="str">
        <f t="shared" si="648"/>
        <v/>
      </c>
    </row>
    <row r="4121" spans="42:51">
      <c r="AP4121" s="1855">
        <f t="shared" si="649"/>
        <v>44957</v>
      </c>
      <c r="AQ4121" s="925" t="str">
        <f t="shared" si="651"/>
        <v/>
      </c>
      <c r="AR4121" s="1856" t="str">
        <f t="shared" si="650"/>
        <v/>
      </c>
      <c r="AT4121" s="1856" t="str">
        <f t="shared" si="643"/>
        <v/>
      </c>
      <c r="AU4121" s="1856" t="str">
        <f t="shared" si="644"/>
        <v/>
      </c>
      <c r="AV4121" s="1856" t="str">
        <f t="shared" si="645"/>
        <v/>
      </c>
      <c r="AW4121" s="1856" t="str">
        <f t="shared" si="646"/>
        <v/>
      </c>
      <c r="AX4121" s="1856" t="str">
        <f t="shared" si="647"/>
        <v/>
      </c>
      <c r="AY4121" s="1856" t="str">
        <f t="shared" si="648"/>
        <v/>
      </c>
    </row>
    <row r="4122" spans="42:51">
      <c r="AP4122" s="1855">
        <f t="shared" si="649"/>
        <v>44957</v>
      </c>
      <c r="AQ4122" s="925" t="str">
        <f t="shared" si="651"/>
        <v/>
      </c>
      <c r="AR4122" s="1856" t="str">
        <f t="shared" si="650"/>
        <v/>
      </c>
      <c r="AT4122" s="1856" t="str">
        <f t="shared" si="643"/>
        <v/>
      </c>
      <c r="AU4122" s="1856" t="str">
        <f t="shared" si="644"/>
        <v/>
      </c>
      <c r="AV4122" s="1856" t="str">
        <f t="shared" si="645"/>
        <v/>
      </c>
      <c r="AW4122" s="1856" t="str">
        <f t="shared" si="646"/>
        <v/>
      </c>
      <c r="AX4122" s="1856" t="str">
        <f t="shared" si="647"/>
        <v/>
      </c>
      <c r="AY4122" s="1856" t="str">
        <f t="shared" si="648"/>
        <v/>
      </c>
    </row>
    <row r="4123" spans="42:51">
      <c r="AP4123" s="1855">
        <f t="shared" si="649"/>
        <v>44957</v>
      </c>
      <c r="AQ4123" s="925" t="str">
        <f t="shared" si="651"/>
        <v/>
      </c>
      <c r="AR4123" s="1856" t="str">
        <f t="shared" si="650"/>
        <v/>
      </c>
      <c r="AT4123" s="1856" t="str">
        <f t="shared" si="643"/>
        <v/>
      </c>
      <c r="AU4123" s="1856" t="str">
        <f t="shared" si="644"/>
        <v/>
      </c>
      <c r="AV4123" s="1856" t="str">
        <f t="shared" si="645"/>
        <v/>
      </c>
      <c r="AW4123" s="1856" t="str">
        <f t="shared" si="646"/>
        <v/>
      </c>
      <c r="AX4123" s="1856" t="str">
        <f t="shared" si="647"/>
        <v/>
      </c>
      <c r="AY4123" s="1856" t="str">
        <f t="shared" si="648"/>
        <v/>
      </c>
    </row>
    <row r="4124" spans="42:51">
      <c r="AP4124" s="1855">
        <f t="shared" si="649"/>
        <v>44957</v>
      </c>
      <c r="AQ4124" s="925" t="str">
        <f t="shared" si="651"/>
        <v/>
      </c>
      <c r="AR4124" s="1856" t="str">
        <f t="shared" si="650"/>
        <v/>
      </c>
      <c r="AT4124" s="1856" t="str">
        <f t="shared" ref="AT4124:AT4187" si="652">IF(ISNUMBER(AS4124),INDEX(AR4125:AR4135,MATCH($AT$27,AQ4125:AQ4135,0)),"")</f>
        <v/>
      </c>
      <c r="AU4124" s="1856" t="str">
        <f t="shared" ref="AU4124:AU4187" si="653">IF(AT4124="","",INDEX(AR4125:AR4135,MATCH($AU$27,AQ4125:AQ4135,0)))</f>
        <v/>
      </c>
      <c r="AV4124" s="1856" t="str">
        <f t="shared" ref="AV4124:AV4187" si="654">IF(AT4124="","",INDEX(AR4125:AR4135,MATCH($AV$27,AQ4125:AQ4135,0)))</f>
        <v/>
      </c>
      <c r="AW4124" s="1856" t="str">
        <f t="shared" ref="AW4124:AW4187" si="655">IF(AT4124="","",INDEX(AR4125:AR4135,MATCH($AW$27,AQ4125:AQ4135,0)))</f>
        <v/>
      </c>
      <c r="AX4124" s="1856" t="str">
        <f t="shared" ref="AX4124:AX4187" si="656">IF(AT4124="","",INDEX(AR4125:AR4135,MATCH($AX$27,AQ4125:AQ4135,0)))</f>
        <v/>
      </c>
      <c r="AY4124" s="1856" t="str">
        <f t="shared" ref="AY4124:AY4187" si="657">IF(AT4124="","",INDEX(AR4125:AR4135,MATCH($AY$27,AQ4125:AQ4135,0)))</f>
        <v/>
      </c>
    </row>
    <row r="4125" spans="42:51">
      <c r="AP4125" s="1855">
        <f t="shared" si="649"/>
        <v>44957</v>
      </c>
      <c r="AQ4125" s="925" t="str">
        <f t="shared" si="651"/>
        <v/>
      </c>
      <c r="AR4125" s="1856" t="str">
        <f t="shared" si="650"/>
        <v/>
      </c>
      <c r="AT4125" s="1856" t="str">
        <f t="shared" si="652"/>
        <v/>
      </c>
      <c r="AU4125" s="1856" t="str">
        <f t="shared" si="653"/>
        <v/>
      </c>
      <c r="AV4125" s="1856" t="str">
        <f t="shared" si="654"/>
        <v/>
      </c>
      <c r="AW4125" s="1856" t="str">
        <f t="shared" si="655"/>
        <v/>
      </c>
      <c r="AX4125" s="1856" t="str">
        <f t="shared" si="656"/>
        <v/>
      </c>
      <c r="AY4125" s="1856" t="str">
        <f t="shared" si="657"/>
        <v/>
      </c>
    </row>
    <row r="4126" spans="42:51">
      <c r="AP4126" s="1855">
        <f t="shared" si="649"/>
        <v>44957</v>
      </c>
      <c r="AQ4126" s="925" t="str">
        <f t="shared" si="651"/>
        <v/>
      </c>
      <c r="AR4126" s="1856" t="str">
        <f t="shared" si="650"/>
        <v/>
      </c>
      <c r="AT4126" s="1856" t="str">
        <f t="shared" si="652"/>
        <v/>
      </c>
      <c r="AU4126" s="1856" t="str">
        <f t="shared" si="653"/>
        <v/>
      </c>
      <c r="AV4126" s="1856" t="str">
        <f t="shared" si="654"/>
        <v/>
      </c>
      <c r="AW4126" s="1856" t="str">
        <f t="shared" si="655"/>
        <v/>
      </c>
      <c r="AX4126" s="1856" t="str">
        <f t="shared" si="656"/>
        <v/>
      </c>
      <c r="AY4126" s="1856" t="str">
        <f t="shared" si="657"/>
        <v/>
      </c>
    </row>
    <row r="4127" spans="42:51">
      <c r="AP4127" s="1855">
        <f t="shared" si="649"/>
        <v>44957</v>
      </c>
      <c r="AQ4127" s="925" t="str">
        <f t="shared" si="651"/>
        <v/>
      </c>
      <c r="AR4127" s="1856" t="str">
        <f t="shared" si="650"/>
        <v/>
      </c>
      <c r="AT4127" s="1856" t="str">
        <f t="shared" si="652"/>
        <v/>
      </c>
      <c r="AU4127" s="1856" t="str">
        <f t="shared" si="653"/>
        <v/>
      </c>
      <c r="AV4127" s="1856" t="str">
        <f t="shared" si="654"/>
        <v/>
      </c>
      <c r="AW4127" s="1856" t="str">
        <f t="shared" si="655"/>
        <v/>
      </c>
      <c r="AX4127" s="1856" t="str">
        <f t="shared" si="656"/>
        <v/>
      </c>
      <c r="AY4127" s="1856" t="str">
        <f t="shared" si="657"/>
        <v/>
      </c>
    </row>
    <row r="4128" spans="42:51">
      <c r="AP4128" s="1855">
        <f t="shared" si="649"/>
        <v>44957</v>
      </c>
      <c r="AQ4128" s="925" t="str">
        <f t="shared" si="651"/>
        <v/>
      </c>
      <c r="AR4128" s="1856" t="str">
        <f t="shared" si="650"/>
        <v/>
      </c>
      <c r="AT4128" s="1856" t="str">
        <f t="shared" si="652"/>
        <v/>
      </c>
      <c r="AU4128" s="1856" t="str">
        <f t="shared" si="653"/>
        <v/>
      </c>
      <c r="AV4128" s="1856" t="str">
        <f t="shared" si="654"/>
        <v/>
      </c>
      <c r="AW4128" s="1856" t="str">
        <f t="shared" si="655"/>
        <v/>
      </c>
      <c r="AX4128" s="1856" t="str">
        <f t="shared" si="656"/>
        <v/>
      </c>
      <c r="AY4128" s="1856" t="str">
        <f t="shared" si="657"/>
        <v/>
      </c>
    </row>
    <row r="4129" spans="42:51">
      <c r="AP4129" s="1855">
        <f t="shared" si="649"/>
        <v>44957</v>
      </c>
      <c r="AQ4129" s="925" t="str">
        <f t="shared" si="651"/>
        <v/>
      </c>
      <c r="AR4129" s="1856" t="str">
        <f t="shared" si="650"/>
        <v/>
      </c>
      <c r="AT4129" s="1856" t="str">
        <f t="shared" si="652"/>
        <v/>
      </c>
      <c r="AU4129" s="1856" t="str">
        <f t="shared" si="653"/>
        <v/>
      </c>
      <c r="AV4129" s="1856" t="str">
        <f t="shared" si="654"/>
        <v/>
      </c>
      <c r="AW4129" s="1856" t="str">
        <f t="shared" si="655"/>
        <v/>
      </c>
      <c r="AX4129" s="1856" t="str">
        <f t="shared" si="656"/>
        <v/>
      </c>
      <c r="AY4129" s="1856" t="str">
        <f t="shared" si="657"/>
        <v/>
      </c>
    </row>
    <row r="4130" spans="42:51">
      <c r="AP4130" s="1855">
        <f t="shared" si="649"/>
        <v>44957</v>
      </c>
      <c r="AQ4130" s="925" t="str">
        <f t="shared" si="651"/>
        <v/>
      </c>
      <c r="AR4130" s="1856" t="str">
        <f t="shared" si="650"/>
        <v/>
      </c>
      <c r="AT4130" s="1856" t="str">
        <f t="shared" si="652"/>
        <v/>
      </c>
      <c r="AU4130" s="1856" t="str">
        <f t="shared" si="653"/>
        <v/>
      </c>
      <c r="AV4130" s="1856" t="str">
        <f t="shared" si="654"/>
        <v/>
      </c>
      <c r="AW4130" s="1856" t="str">
        <f t="shared" si="655"/>
        <v/>
      </c>
      <c r="AX4130" s="1856" t="str">
        <f t="shared" si="656"/>
        <v/>
      </c>
      <c r="AY4130" s="1856" t="str">
        <f t="shared" si="657"/>
        <v/>
      </c>
    </row>
    <row r="4131" spans="42:51">
      <c r="AP4131" s="1855">
        <f t="shared" si="649"/>
        <v>44957</v>
      </c>
      <c r="AQ4131" s="925" t="str">
        <f t="shared" si="651"/>
        <v/>
      </c>
      <c r="AR4131" s="1856" t="str">
        <f t="shared" si="650"/>
        <v/>
      </c>
      <c r="AT4131" s="1856" t="str">
        <f t="shared" si="652"/>
        <v/>
      </c>
      <c r="AU4131" s="1856" t="str">
        <f t="shared" si="653"/>
        <v/>
      </c>
      <c r="AV4131" s="1856" t="str">
        <f t="shared" si="654"/>
        <v/>
      </c>
      <c r="AW4131" s="1856" t="str">
        <f t="shared" si="655"/>
        <v/>
      </c>
      <c r="AX4131" s="1856" t="str">
        <f t="shared" si="656"/>
        <v/>
      </c>
      <c r="AY4131" s="1856" t="str">
        <f t="shared" si="657"/>
        <v/>
      </c>
    </row>
    <row r="4132" spans="42:51">
      <c r="AP4132" s="1855">
        <f t="shared" si="649"/>
        <v>44957</v>
      </c>
      <c r="AQ4132" s="925" t="str">
        <f t="shared" si="651"/>
        <v/>
      </c>
      <c r="AR4132" s="1856" t="str">
        <f t="shared" si="650"/>
        <v/>
      </c>
      <c r="AT4132" s="1856" t="str">
        <f t="shared" si="652"/>
        <v/>
      </c>
      <c r="AU4132" s="1856" t="str">
        <f t="shared" si="653"/>
        <v/>
      </c>
      <c r="AV4132" s="1856" t="str">
        <f t="shared" si="654"/>
        <v/>
      </c>
      <c r="AW4132" s="1856" t="str">
        <f t="shared" si="655"/>
        <v/>
      </c>
      <c r="AX4132" s="1856" t="str">
        <f t="shared" si="656"/>
        <v/>
      </c>
      <c r="AY4132" s="1856" t="str">
        <f t="shared" si="657"/>
        <v/>
      </c>
    </row>
    <row r="4133" spans="42:51">
      <c r="AP4133" s="1855">
        <f t="shared" ref="AP4133:AP4196" si="658">IF(ISNUMBER(AS4133),AP4132+1,AP4132)</f>
        <v>44957</v>
      </c>
      <c r="AQ4133" s="925" t="str">
        <f t="shared" si="651"/>
        <v/>
      </c>
      <c r="AR4133" s="1856" t="str">
        <f t="shared" si="650"/>
        <v/>
      </c>
      <c r="AT4133" s="1856" t="str">
        <f t="shared" si="652"/>
        <v/>
      </c>
      <c r="AU4133" s="1856" t="str">
        <f t="shared" si="653"/>
        <v/>
      </c>
      <c r="AV4133" s="1856" t="str">
        <f t="shared" si="654"/>
        <v/>
      </c>
      <c r="AW4133" s="1856" t="str">
        <f t="shared" si="655"/>
        <v/>
      </c>
      <c r="AX4133" s="1856" t="str">
        <f t="shared" si="656"/>
        <v/>
      </c>
      <c r="AY4133" s="1856" t="str">
        <f t="shared" si="657"/>
        <v/>
      </c>
    </row>
    <row r="4134" spans="42:51">
      <c r="AP4134" s="1855">
        <f t="shared" si="658"/>
        <v>44957</v>
      </c>
      <c r="AQ4134" s="925" t="str">
        <f t="shared" si="651"/>
        <v/>
      </c>
      <c r="AR4134" s="1856" t="str">
        <f t="shared" si="650"/>
        <v/>
      </c>
      <c r="AT4134" s="1856" t="str">
        <f t="shared" si="652"/>
        <v/>
      </c>
      <c r="AU4134" s="1856" t="str">
        <f t="shared" si="653"/>
        <v/>
      </c>
      <c r="AV4134" s="1856" t="str">
        <f t="shared" si="654"/>
        <v/>
      </c>
      <c r="AW4134" s="1856" t="str">
        <f t="shared" si="655"/>
        <v/>
      </c>
      <c r="AX4134" s="1856" t="str">
        <f t="shared" si="656"/>
        <v/>
      </c>
      <c r="AY4134" s="1856" t="str">
        <f t="shared" si="657"/>
        <v/>
      </c>
    </row>
    <row r="4135" spans="42:51">
      <c r="AP4135" s="1855">
        <f t="shared" si="658"/>
        <v>44957</v>
      </c>
      <c r="AQ4135" s="925" t="str">
        <f t="shared" si="651"/>
        <v/>
      </c>
      <c r="AR4135" s="1856" t="str">
        <f t="shared" si="650"/>
        <v/>
      </c>
      <c r="AT4135" s="1856" t="str">
        <f t="shared" si="652"/>
        <v/>
      </c>
      <c r="AU4135" s="1856" t="str">
        <f t="shared" si="653"/>
        <v/>
      </c>
      <c r="AV4135" s="1856" t="str">
        <f t="shared" si="654"/>
        <v/>
      </c>
      <c r="AW4135" s="1856" t="str">
        <f t="shared" si="655"/>
        <v/>
      </c>
      <c r="AX4135" s="1856" t="str">
        <f t="shared" si="656"/>
        <v/>
      </c>
      <c r="AY4135" s="1856" t="str">
        <f t="shared" si="657"/>
        <v/>
      </c>
    </row>
    <row r="4136" spans="42:51">
      <c r="AP4136" s="1855">
        <f t="shared" si="658"/>
        <v>44957</v>
      </c>
      <c r="AQ4136" s="925" t="str">
        <f t="shared" si="651"/>
        <v/>
      </c>
      <c r="AR4136" s="1856" t="str">
        <f t="shared" si="650"/>
        <v/>
      </c>
      <c r="AT4136" s="1856" t="str">
        <f t="shared" si="652"/>
        <v/>
      </c>
      <c r="AU4136" s="1856" t="str">
        <f t="shared" si="653"/>
        <v/>
      </c>
      <c r="AV4136" s="1856" t="str">
        <f t="shared" si="654"/>
        <v/>
      </c>
      <c r="AW4136" s="1856" t="str">
        <f t="shared" si="655"/>
        <v/>
      </c>
      <c r="AX4136" s="1856" t="str">
        <f t="shared" si="656"/>
        <v/>
      </c>
      <c r="AY4136" s="1856" t="str">
        <f t="shared" si="657"/>
        <v/>
      </c>
    </row>
    <row r="4137" spans="42:51">
      <c r="AP4137" s="1855">
        <f t="shared" si="658"/>
        <v>44957</v>
      </c>
      <c r="AQ4137" s="925" t="str">
        <f t="shared" si="651"/>
        <v/>
      </c>
      <c r="AR4137" s="1856" t="str">
        <f t="shared" ref="AR4137:AR4200" si="659">IF(NOT(ISNUMBER(FIND(":",AS4137))),"",IF(ISNUMBER(FIND(" none",AS4137)),"NONE",AP4137+LEFT(RIGHT(AS4137,5),2)/24+RIGHT(AS4137,2)/1440))</f>
        <v/>
      </c>
      <c r="AT4137" s="1856" t="str">
        <f t="shared" si="652"/>
        <v/>
      </c>
      <c r="AU4137" s="1856" t="str">
        <f t="shared" si="653"/>
        <v/>
      </c>
      <c r="AV4137" s="1856" t="str">
        <f t="shared" si="654"/>
        <v/>
      </c>
      <c r="AW4137" s="1856" t="str">
        <f t="shared" si="655"/>
        <v/>
      </c>
      <c r="AX4137" s="1856" t="str">
        <f t="shared" si="656"/>
        <v/>
      </c>
      <c r="AY4137" s="1856" t="str">
        <f t="shared" si="657"/>
        <v/>
      </c>
    </row>
    <row r="4138" spans="42:51">
      <c r="AP4138" s="1855">
        <f t="shared" si="658"/>
        <v>44957</v>
      </c>
      <c r="AQ4138" s="925" t="str">
        <f t="shared" si="651"/>
        <v/>
      </c>
      <c r="AR4138" s="1856" t="str">
        <f t="shared" si="659"/>
        <v/>
      </c>
      <c r="AT4138" s="1856" t="str">
        <f t="shared" si="652"/>
        <v/>
      </c>
      <c r="AU4138" s="1856" t="str">
        <f t="shared" si="653"/>
        <v/>
      </c>
      <c r="AV4138" s="1856" t="str">
        <f t="shared" si="654"/>
        <v/>
      </c>
      <c r="AW4138" s="1856" t="str">
        <f t="shared" si="655"/>
        <v/>
      </c>
      <c r="AX4138" s="1856" t="str">
        <f t="shared" si="656"/>
        <v/>
      </c>
      <c r="AY4138" s="1856" t="str">
        <f t="shared" si="657"/>
        <v/>
      </c>
    </row>
    <row r="4139" spans="42:51">
      <c r="AP4139" s="1855">
        <f t="shared" si="658"/>
        <v>44957</v>
      </c>
      <c r="AQ4139" s="925" t="str">
        <f t="shared" si="651"/>
        <v/>
      </c>
      <c r="AR4139" s="1856" t="str">
        <f t="shared" si="659"/>
        <v/>
      </c>
      <c r="AT4139" s="1856" t="str">
        <f t="shared" si="652"/>
        <v/>
      </c>
      <c r="AU4139" s="1856" t="str">
        <f t="shared" si="653"/>
        <v/>
      </c>
      <c r="AV4139" s="1856" t="str">
        <f t="shared" si="654"/>
        <v/>
      </c>
      <c r="AW4139" s="1856" t="str">
        <f t="shared" si="655"/>
        <v/>
      </c>
      <c r="AX4139" s="1856" t="str">
        <f t="shared" si="656"/>
        <v/>
      </c>
      <c r="AY4139" s="1856" t="str">
        <f t="shared" si="657"/>
        <v/>
      </c>
    </row>
    <row r="4140" spans="42:51">
      <c r="AP4140" s="1855">
        <f t="shared" si="658"/>
        <v>44957</v>
      </c>
      <c r="AQ4140" s="925" t="str">
        <f t="shared" si="651"/>
        <v/>
      </c>
      <c r="AR4140" s="1856" t="str">
        <f t="shared" si="659"/>
        <v/>
      </c>
      <c r="AT4140" s="1856" t="str">
        <f t="shared" si="652"/>
        <v/>
      </c>
      <c r="AU4140" s="1856" t="str">
        <f t="shared" si="653"/>
        <v/>
      </c>
      <c r="AV4140" s="1856" t="str">
        <f t="shared" si="654"/>
        <v/>
      </c>
      <c r="AW4140" s="1856" t="str">
        <f t="shared" si="655"/>
        <v/>
      </c>
      <c r="AX4140" s="1856" t="str">
        <f t="shared" si="656"/>
        <v/>
      </c>
      <c r="AY4140" s="1856" t="str">
        <f t="shared" si="657"/>
        <v/>
      </c>
    </row>
    <row r="4141" spans="42:51">
      <c r="AP4141" s="1855">
        <f t="shared" si="658"/>
        <v>44957</v>
      </c>
      <c r="AQ4141" s="925" t="str">
        <f t="shared" si="651"/>
        <v/>
      </c>
      <c r="AR4141" s="1856" t="str">
        <f t="shared" si="659"/>
        <v/>
      </c>
      <c r="AT4141" s="1856" t="str">
        <f t="shared" si="652"/>
        <v/>
      </c>
      <c r="AU4141" s="1856" t="str">
        <f t="shared" si="653"/>
        <v/>
      </c>
      <c r="AV4141" s="1856" t="str">
        <f t="shared" si="654"/>
        <v/>
      </c>
      <c r="AW4141" s="1856" t="str">
        <f t="shared" si="655"/>
        <v/>
      </c>
      <c r="AX4141" s="1856" t="str">
        <f t="shared" si="656"/>
        <v/>
      </c>
      <c r="AY4141" s="1856" t="str">
        <f t="shared" si="657"/>
        <v/>
      </c>
    </row>
    <row r="4142" spans="42:51">
      <c r="AP4142" s="1855">
        <f t="shared" si="658"/>
        <v>44957</v>
      </c>
      <c r="AQ4142" s="925" t="str">
        <f t="shared" si="651"/>
        <v/>
      </c>
      <c r="AR4142" s="1856" t="str">
        <f t="shared" si="659"/>
        <v/>
      </c>
      <c r="AT4142" s="1856" t="str">
        <f t="shared" si="652"/>
        <v/>
      </c>
      <c r="AU4142" s="1856" t="str">
        <f t="shared" si="653"/>
        <v/>
      </c>
      <c r="AV4142" s="1856" t="str">
        <f t="shared" si="654"/>
        <v/>
      </c>
      <c r="AW4142" s="1856" t="str">
        <f t="shared" si="655"/>
        <v/>
      </c>
      <c r="AX4142" s="1856" t="str">
        <f t="shared" si="656"/>
        <v/>
      </c>
      <c r="AY4142" s="1856" t="str">
        <f t="shared" si="657"/>
        <v/>
      </c>
    </row>
    <row r="4143" spans="42:51">
      <c r="AP4143" s="1855">
        <f t="shared" si="658"/>
        <v>44957</v>
      </c>
      <c r="AQ4143" s="925" t="str">
        <f t="shared" si="651"/>
        <v/>
      </c>
      <c r="AR4143" s="1856" t="str">
        <f t="shared" si="659"/>
        <v/>
      </c>
      <c r="AT4143" s="1856" t="str">
        <f t="shared" si="652"/>
        <v/>
      </c>
      <c r="AU4143" s="1856" t="str">
        <f t="shared" si="653"/>
        <v/>
      </c>
      <c r="AV4143" s="1856" t="str">
        <f t="shared" si="654"/>
        <v/>
      </c>
      <c r="AW4143" s="1856" t="str">
        <f t="shared" si="655"/>
        <v/>
      </c>
      <c r="AX4143" s="1856" t="str">
        <f t="shared" si="656"/>
        <v/>
      </c>
      <c r="AY4143" s="1856" t="str">
        <f t="shared" si="657"/>
        <v/>
      </c>
    </row>
    <row r="4144" spans="42:51">
      <c r="AP4144" s="1855">
        <f t="shared" si="658"/>
        <v>44957</v>
      </c>
      <c r="AQ4144" s="925" t="str">
        <f t="shared" si="651"/>
        <v/>
      </c>
      <c r="AR4144" s="1856" t="str">
        <f t="shared" si="659"/>
        <v/>
      </c>
      <c r="AT4144" s="1856" t="str">
        <f t="shared" si="652"/>
        <v/>
      </c>
      <c r="AU4144" s="1856" t="str">
        <f t="shared" si="653"/>
        <v/>
      </c>
      <c r="AV4144" s="1856" t="str">
        <f t="shared" si="654"/>
        <v/>
      </c>
      <c r="AW4144" s="1856" t="str">
        <f t="shared" si="655"/>
        <v/>
      </c>
      <c r="AX4144" s="1856" t="str">
        <f t="shared" si="656"/>
        <v/>
      </c>
      <c r="AY4144" s="1856" t="str">
        <f t="shared" si="657"/>
        <v/>
      </c>
    </row>
    <row r="4145" spans="42:51">
      <c r="AP4145" s="1855">
        <f t="shared" si="658"/>
        <v>44957</v>
      </c>
      <c r="AQ4145" s="925" t="str">
        <f t="shared" si="651"/>
        <v/>
      </c>
      <c r="AR4145" s="1856" t="str">
        <f t="shared" si="659"/>
        <v/>
      </c>
      <c r="AT4145" s="1856" t="str">
        <f t="shared" si="652"/>
        <v/>
      </c>
      <c r="AU4145" s="1856" t="str">
        <f t="shared" si="653"/>
        <v/>
      </c>
      <c r="AV4145" s="1856" t="str">
        <f t="shared" si="654"/>
        <v/>
      </c>
      <c r="AW4145" s="1856" t="str">
        <f t="shared" si="655"/>
        <v/>
      </c>
      <c r="AX4145" s="1856" t="str">
        <f t="shared" si="656"/>
        <v/>
      </c>
      <c r="AY4145" s="1856" t="str">
        <f t="shared" si="657"/>
        <v/>
      </c>
    </row>
    <row r="4146" spans="42:51">
      <c r="AP4146" s="1855">
        <f t="shared" si="658"/>
        <v>44957</v>
      </c>
      <c r="AQ4146" s="925" t="str">
        <f t="shared" si="651"/>
        <v/>
      </c>
      <c r="AR4146" s="1856" t="str">
        <f t="shared" si="659"/>
        <v/>
      </c>
      <c r="AT4146" s="1856" t="str">
        <f t="shared" si="652"/>
        <v/>
      </c>
      <c r="AU4146" s="1856" t="str">
        <f t="shared" si="653"/>
        <v/>
      </c>
      <c r="AV4146" s="1856" t="str">
        <f t="shared" si="654"/>
        <v/>
      </c>
      <c r="AW4146" s="1856" t="str">
        <f t="shared" si="655"/>
        <v/>
      </c>
      <c r="AX4146" s="1856" t="str">
        <f t="shared" si="656"/>
        <v/>
      </c>
      <c r="AY4146" s="1856" t="str">
        <f t="shared" si="657"/>
        <v/>
      </c>
    </row>
    <row r="4147" spans="42:51">
      <c r="AP4147" s="1855">
        <f t="shared" si="658"/>
        <v>44957</v>
      </c>
      <c r="AQ4147" s="925" t="str">
        <f t="shared" si="651"/>
        <v/>
      </c>
      <c r="AR4147" s="1856" t="str">
        <f t="shared" si="659"/>
        <v/>
      </c>
      <c r="AT4147" s="1856" t="str">
        <f t="shared" si="652"/>
        <v/>
      </c>
      <c r="AU4147" s="1856" t="str">
        <f t="shared" si="653"/>
        <v/>
      </c>
      <c r="AV4147" s="1856" t="str">
        <f t="shared" si="654"/>
        <v/>
      </c>
      <c r="AW4147" s="1856" t="str">
        <f t="shared" si="655"/>
        <v/>
      </c>
      <c r="AX4147" s="1856" t="str">
        <f t="shared" si="656"/>
        <v/>
      </c>
      <c r="AY4147" s="1856" t="str">
        <f t="shared" si="657"/>
        <v/>
      </c>
    </row>
    <row r="4148" spans="42:51">
      <c r="AP4148" s="1855">
        <f t="shared" si="658"/>
        <v>44957</v>
      </c>
      <c r="AQ4148" s="925" t="str">
        <f t="shared" ref="AQ4148:AQ4211" si="660">IF(NOT(ISNUMBER(FIND(":",AS4148))),"",IF(ISNUMBER(FIND("Sunr",AS4148)),"SR", IF(ISNUMBER(FIND("Suns",AS4148)),"SS",IF(ISNUMBER(FIND("Moonr",AS4148)),"MR",IF(ISNUMBER(FIND("Moons",AS4148)),"MS",IF(ISNUMBER(FIND("Twi",AS4148)),IF(HOUR(AR4148)&lt;12,"BMNT","EENT")))))))</f>
        <v/>
      </c>
      <c r="AR4148" s="1856" t="str">
        <f t="shared" si="659"/>
        <v/>
      </c>
      <c r="AT4148" s="1856" t="str">
        <f t="shared" si="652"/>
        <v/>
      </c>
      <c r="AU4148" s="1856" t="str">
        <f t="shared" si="653"/>
        <v/>
      </c>
      <c r="AV4148" s="1856" t="str">
        <f t="shared" si="654"/>
        <v/>
      </c>
      <c r="AW4148" s="1856" t="str">
        <f t="shared" si="655"/>
        <v/>
      </c>
      <c r="AX4148" s="1856" t="str">
        <f t="shared" si="656"/>
        <v/>
      </c>
      <c r="AY4148" s="1856" t="str">
        <f t="shared" si="657"/>
        <v/>
      </c>
    </row>
    <row r="4149" spans="42:51">
      <c r="AP4149" s="1855">
        <f t="shared" si="658"/>
        <v>44957</v>
      </c>
      <c r="AQ4149" s="925" t="str">
        <f t="shared" si="660"/>
        <v/>
      </c>
      <c r="AR4149" s="1856" t="str">
        <f t="shared" si="659"/>
        <v/>
      </c>
      <c r="AT4149" s="1856" t="str">
        <f t="shared" si="652"/>
        <v/>
      </c>
      <c r="AU4149" s="1856" t="str">
        <f t="shared" si="653"/>
        <v/>
      </c>
      <c r="AV4149" s="1856" t="str">
        <f t="shared" si="654"/>
        <v/>
      </c>
      <c r="AW4149" s="1856" t="str">
        <f t="shared" si="655"/>
        <v/>
      </c>
      <c r="AX4149" s="1856" t="str">
        <f t="shared" si="656"/>
        <v/>
      </c>
      <c r="AY4149" s="1856" t="str">
        <f t="shared" si="657"/>
        <v/>
      </c>
    </row>
    <row r="4150" spans="42:51">
      <c r="AP4150" s="1855">
        <f t="shared" si="658"/>
        <v>44957</v>
      </c>
      <c r="AQ4150" s="925" t="str">
        <f t="shared" si="660"/>
        <v/>
      </c>
      <c r="AR4150" s="1856" t="str">
        <f t="shared" si="659"/>
        <v/>
      </c>
      <c r="AT4150" s="1856" t="str">
        <f t="shared" si="652"/>
        <v/>
      </c>
      <c r="AU4150" s="1856" t="str">
        <f t="shared" si="653"/>
        <v/>
      </c>
      <c r="AV4150" s="1856" t="str">
        <f t="shared" si="654"/>
        <v/>
      </c>
      <c r="AW4150" s="1856" t="str">
        <f t="shared" si="655"/>
        <v/>
      </c>
      <c r="AX4150" s="1856" t="str">
        <f t="shared" si="656"/>
        <v/>
      </c>
      <c r="AY4150" s="1856" t="str">
        <f t="shared" si="657"/>
        <v/>
      </c>
    </row>
    <row r="4151" spans="42:51">
      <c r="AP4151" s="1855">
        <f t="shared" si="658"/>
        <v>44957</v>
      </c>
      <c r="AQ4151" s="925" t="str">
        <f t="shared" si="660"/>
        <v/>
      </c>
      <c r="AR4151" s="1856" t="str">
        <f t="shared" si="659"/>
        <v/>
      </c>
      <c r="AT4151" s="1856" t="str">
        <f t="shared" si="652"/>
        <v/>
      </c>
      <c r="AU4151" s="1856" t="str">
        <f t="shared" si="653"/>
        <v/>
      </c>
      <c r="AV4151" s="1856" t="str">
        <f t="shared" si="654"/>
        <v/>
      </c>
      <c r="AW4151" s="1856" t="str">
        <f t="shared" si="655"/>
        <v/>
      </c>
      <c r="AX4151" s="1856" t="str">
        <f t="shared" si="656"/>
        <v/>
      </c>
      <c r="AY4151" s="1856" t="str">
        <f t="shared" si="657"/>
        <v/>
      </c>
    </row>
    <row r="4152" spans="42:51">
      <c r="AP4152" s="1855">
        <f t="shared" si="658"/>
        <v>44957</v>
      </c>
      <c r="AQ4152" s="925" t="str">
        <f t="shared" si="660"/>
        <v/>
      </c>
      <c r="AR4152" s="1856" t="str">
        <f t="shared" si="659"/>
        <v/>
      </c>
      <c r="AT4152" s="1856" t="str">
        <f t="shared" si="652"/>
        <v/>
      </c>
      <c r="AU4152" s="1856" t="str">
        <f t="shared" si="653"/>
        <v/>
      </c>
      <c r="AV4152" s="1856" t="str">
        <f t="shared" si="654"/>
        <v/>
      </c>
      <c r="AW4152" s="1856" t="str">
        <f t="shared" si="655"/>
        <v/>
      </c>
      <c r="AX4152" s="1856" t="str">
        <f t="shared" si="656"/>
        <v/>
      </c>
      <c r="AY4152" s="1856" t="str">
        <f t="shared" si="657"/>
        <v/>
      </c>
    </row>
    <row r="4153" spans="42:51">
      <c r="AP4153" s="1855">
        <f t="shared" si="658"/>
        <v>44957</v>
      </c>
      <c r="AQ4153" s="925" t="str">
        <f t="shared" si="660"/>
        <v/>
      </c>
      <c r="AR4153" s="1856" t="str">
        <f t="shared" si="659"/>
        <v/>
      </c>
      <c r="AT4153" s="1856" t="str">
        <f t="shared" si="652"/>
        <v/>
      </c>
      <c r="AU4153" s="1856" t="str">
        <f t="shared" si="653"/>
        <v/>
      </c>
      <c r="AV4153" s="1856" t="str">
        <f t="shared" si="654"/>
        <v/>
      </c>
      <c r="AW4153" s="1856" t="str">
        <f t="shared" si="655"/>
        <v/>
      </c>
      <c r="AX4153" s="1856" t="str">
        <f t="shared" si="656"/>
        <v/>
      </c>
      <c r="AY4153" s="1856" t="str">
        <f t="shared" si="657"/>
        <v/>
      </c>
    </row>
    <row r="4154" spans="42:51">
      <c r="AP4154" s="1855">
        <f t="shared" si="658"/>
        <v>44957</v>
      </c>
      <c r="AQ4154" s="925" t="str">
        <f t="shared" si="660"/>
        <v/>
      </c>
      <c r="AR4154" s="1856" t="str">
        <f t="shared" si="659"/>
        <v/>
      </c>
      <c r="AT4154" s="1856" t="str">
        <f t="shared" si="652"/>
        <v/>
      </c>
      <c r="AU4154" s="1856" t="str">
        <f t="shared" si="653"/>
        <v/>
      </c>
      <c r="AV4154" s="1856" t="str">
        <f t="shared" si="654"/>
        <v/>
      </c>
      <c r="AW4154" s="1856" t="str">
        <f t="shared" si="655"/>
        <v/>
      </c>
      <c r="AX4154" s="1856" t="str">
        <f t="shared" si="656"/>
        <v/>
      </c>
      <c r="AY4154" s="1856" t="str">
        <f t="shared" si="657"/>
        <v/>
      </c>
    </row>
    <row r="4155" spans="42:51">
      <c r="AP4155" s="1855">
        <f t="shared" si="658"/>
        <v>44957</v>
      </c>
      <c r="AQ4155" s="925" t="str">
        <f t="shared" si="660"/>
        <v/>
      </c>
      <c r="AR4155" s="1856" t="str">
        <f t="shared" si="659"/>
        <v/>
      </c>
      <c r="AT4155" s="1856" t="str">
        <f t="shared" si="652"/>
        <v/>
      </c>
      <c r="AU4155" s="1856" t="str">
        <f t="shared" si="653"/>
        <v/>
      </c>
      <c r="AV4155" s="1856" t="str">
        <f t="shared" si="654"/>
        <v/>
      </c>
      <c r="AW4155" s="1856" t="str">
        <f t="shared" si="655"/>
        <v/>
      </c>
      <c r="AX4155" s="1856" t="str">
        <f t="shared" si="656"/>
        <v/>
      </c>
      <c r="AY4155" s="1856" t="str">
        <f t="shared" si="657"/>
        <v/>
      </c>
    </row>
    <row r="4156" spans="42:51">
      <c r="AP4156" s="1855">
        <f t="shared" si="658"/>
        <v>44957</v>
      </c>
      <c r="AQ4156" s="925" t="str">
        <f t="shared" si="660"/>
        <v/>
      </c>
      <c r="AR4156" s="1856" t="str">
        <f t="shared" si="659"/>
        <v/>
      </c>
      <c r="AT4156" s="1856" t="str">
        <f t="shared" si="652"/>
        <v/>
      </c>
      <c r="AU4156" s="1856" t="str">
        <f t="shared" si="653"/>
        <v/>
      </c>
      <c r="AV4156" s="1856" t="str">
        <f t="shared" si="654"/>
        <v/>
      </c>
      <c r="AW4156" s="1856" t="str">
        <f t="shared" si="655"/>
        <v/>
      </c>
      <c r="AX4156" s="1856" t="str">
        <f t="shared" si="656"/>
        <v/>
      </c>
      <c r="AY4156" s="1856" t="str">
        <f t="shared" si="657"/>
        <v/>
      </c>
    </row>
    <row r="4157" spans="42:51">
      <c r="AP4157" s="1855">
        <f t="shared" si="658"/>
        <v>44957</v>
      </c>
      <c r="AQ4157" s="925" t="str">
        <f t="shared" si="660"/>
        <v/>
      </c>
      <c r="AR4157" s="1856" t="str">
        <f t="shared" si="659"/>
        <v/>
      </c>
      <c r="AT4157" s="1856" t="str">
        <f t="shared" si="652"/>
        <v/>
      </c>
      <c r="AU4157" s="1856" t="str">
        <f t="shared" si="653"/>
        <v/>
      </c>
      <c r="AV4157" s="1856" t="str">
        <f t="shared" si="654"/>
        <v/>
      </c>
      <c r="AW4157" s="1856" t="str">
        <f t="shared" si="655"/>
        <v/>
      </c>
      <c r="AX4157" s="1856" t="str">
        <f t="shared" si="656"/>
        <v/>
      </c>
      <c r="AY4157" s="1856" t="str">
        <f t="shared" si="657"/>
        <v/>
      </c>
    </row>
    <row r="4158" spans="42:51">
      <c r="AP4158" s="1855">
        <f t="shared" si="658"/>
        <v>44957</v>
      </c>
      <c r="AQ4158" s="925" t="str">
        <f t="shared" si="660"/>
        <v/>
      </c>
      <c r="AR4158" s="1856" t="str">
        <f t="shared" si="659"/>
        <v/>
      </c>
      <c r="AT4158" s="1856" t="str">
        <f t="shared" si="652"/>
        <v/>
      </c>
      <c r="AU4158" s="1856" t="str">
        <f t="shared" si="653"/>
        <v/>
      </c>
      <c r="AV4158" s="1856" t="str">
        <f t="shared" si="654"/>
        <v/>
      </c>
      <c r="AW4158" s="1856" t="str">
        <f t="shared" si="655"/>
        <v/>
      </c>
      <c r="AX4158" s="1856" t="str">
        <f t="shared" si="656"/>
        <v/>
      </c>
      <c r="AY4158" s="1856" t="str">
        <f t="shared" si="657"/>
        <v/>
      </c>
    </row>
    <row r="4159" spans="42:51">
      <c r="AP4159" s="1855">
        <f t="shared" si="658"/>
        <v>44957</v>
      </c>
      <c r="AQ4159" s="925" t="str">
        <f t="shared" si="660"/>
        <v/>
      </c>
      <c r="AR4159" s="1856" t="str">
        <f t="shared" si="659"/>
        <v/>
      </c>
      <c r="AT4159" s="1856" t="str">
        <f t="shared" si="652"/>
        <v/>
      </c>
      <c r="AU4159" s="1856" t="str">
        <f t="shared" si="653"/>
        <v/>
      </c>
      <c r="AV4159" s="1856" t="str">
        <f t="shared" si="654"/>
        <v/>
      </c>
      <c r="AW4159" s="1856" t="str">
        <f t="shared" si="655"/>
        <v/>
      </c>
      <c r="AX4159" s="1856" t="str">
        <f t="shared" si="656"/>
        <v/>
      </c>
      <c r="AY4159" s="1856" t="str">
        <f t="shared" si="657"/>
        <v/>
      </c>
    </row>
    <row r="4160" spans="42:51">
      <c r="AP4160" s="1855">
        <f t="shared" si="658"/>
        <v>44957</v>
      </c>
      <c r="AQ4160" s="925" t="str">
        <f t="shared" si="660"/>
        <v/>
      </c>
      <c r="AR4160" s="1856" t="str">
        <f t="shared" si="659"/>
        <v/>
      </c>
      <c r="AT4160" s="1856" t="str">
        <f t="shared" si="652"/>
        <v/>
      </c>
      <c r="AU4160" s="1856" t="str">
        <f t="shared" si="653"/>
        <v/>
      </c>
      <c r="AV4160" s="1856" t="str">
        <f t="shared" si="654"/>
        <v/>
      </c>
      <c r="AW4160" s="1856" t="str">
        <f t="shared" si="655"/>
        <v/>
      </c>
      <c r="AX4160" s="1856" t="str">
        <f t="shared" si="656"/>
        <v/>
      </c>
      <c r="AY4160" s="1856" t="str">
        <f t="shared" si="657"/>
        <v/>
      </c>
    </row>
    <row r="4161" spans="42:51">
      <c r="AP4161" s="1855">
        <f t="shared" si="658"/>
        <v>44957</v>
      </c>
      <c r="AQ4161" s="925" t="str">
        <f t="shared" si="660"/>
        <v/>
      </c>
      <c r="AR4161" s="1856" t="str">
        <f t="shared" si="659"/>
        <v/>
      </c>
      <c r="AT4161" s="1856" t="str">
        <f t="shared" si="652"/>
        <v/>
      </c>
      <c r="AU4161" s="1856" t="str">
        <f t="shared" si="653"/>
        <v/>
      </c>
      <c r="AV4161" s="1856" t="str">
        <f t="shared" si="654"/>
        <v/>
      </c>
      <c r="AW4161" s="1856" t="str">
        <f t="shared" si="655"/>
        <v/>
      </c>
      <c r="AX4161" s="1856" t="str">
        <f t="shared" si="656"/>
        <v/>
      </c>
      <c r="AY4161" s="1856" t="str">
        <f t="shared" si="657"/>
        <v/>
      </c>
    </row>
    <row r="4162" spans="42:51">
      <c r="AP4162" s="1855">
        <f t="shared" si="658"/>
        <v>44957</v>
      </c>
      <c r="AQ4162" s="925" t="str">
        <f t="shared" si="660"/>
        <v/>
      </c>
      <c r="AR4162" s="1856" t="str">
        <f t="shared" si="659"/>
        <v/>
      </c>
      <c r="AT4162" s="1856" t="str">
        <f t="shared" si="652"/>
        <v/>
      </c>
      <c r="AU4162" s="1856" t="str">
        <f t="shared" si="653"/>
        <v/>
      </c>
      <c r="AV4162" s="1856" t="str">
        <f t="shared" si="654"/>
        <v/>
      </c>
      <c r="AW4162" s="1856" t="str">
        <f t="shared" si="655"/>
        <v/>
      </c>
      <c r="AX4162" s="1856" t="str">
        <f t="shared" si="656"/>
        <v/>
      </c>
      <c r="AY4162" s="1856" t="str">
        <f t="shared" si="657"/>
        <v/>
      </c>
    </row>
    <row r="4163" spans="42:51">
      <c r="AP4163" s="1855">
        <f t="shared" si="658"/>
        <v>44957</v>
      </c>
      <c r="AQ4163" s="925" t="str">
        <f t="shared" si="660"/>
        <v/>
      </c>
      <c r="AR4163" s="1856" t="str">
        <f t="shared" si="659"/>
        <v/>
      </c>
      <c r="AT4163" s="1856" t="str">
        <f t="shared" si="652"/>
        <v/>
      </c>
      <c r="AU4163" s="1856" t="str">
        <f t="shared" si="653"/>
        <v/>
      </c>
      <c r="AV4163" s="1856" t="str">
        <f t="shared" si="654"/>
        <v/>
      </c>
      <c r="AW4163" s="1856" t="str">
        <f t="shared" si="655"/>
        <v/>
      </c>
      <c r="AX4163" s="1856" t="str">
        <f t="shared" si="656"/>
        <v/>
      </c>
      <c r="AY4163" s="1856" t="str">
        <f t="shared" si="657"/>
        <v/>
      </c>
    </row>
    <row r="4164" spans="42:51">
      <c r="AP4164" s="1855">
        <f t="shared" si="658"/>
        <v>44957</v>
      </c>
      <c r="AQ4164" s="925" t="str">
        <f t="shared" si="660"/>
        <v/>
      </c>
      <c r="AR4164" s="1856" t="str">
        <f t="shared" si="659"/>
        <v/>
      </c>
      <c r="AT4164" s="1856" t="str">
        <f t="shared" si="652"/>
        <v/>
      </c>
      <c r="AU4164" s="1856" t="str">
        <f t="shared" si="653"/>
        <v/>
      </c>
      <c r="AV4164" s="1856" t="str">
        <f t="shared" si="654"/>
        <v/>
      </c>
      <c r="AW4164" s="1856" t="str">
        <f t="shared" si="655"/>
        <v/>
      </c>
      <c r="AX4164" s="1856" t="str">
        <f t="shared" si="656"/>
        <v/>
      </c>
      <c r="AY4164" s="1856" t="str">
        <f t="shared" si="657"/>
        <v/>
      </c>
    </row>
    <row r="4165" spans="42:51">
      <c r="AP4165" s="1855">
        <f t="shared" si="658"/>
        <v>44957</v>
      </c>
      <c r="AQ4165" s="925" t="str">
        <f t="shared" si="660"/>
        <v/>
      </c>
      <c r="AR4165" s="1856" t="str">
        <f t="shared" si="659"/>
        <v/>
      </c>
      <c r="AT4165" s="1856" t="str">
        <f t="shared" si="652"/>
        <v/>
      </c>
      <c r="AU4165" s="1856" t="str">
        <f t="shared" si="653"/>
        <v/>
      </c>
      <c r="AV4165" s="1856" t="str">
        <f t="shared" si="654"/>
        <v/>
      </c>
      <c r="AW4165" s="1856" t="str">
        <f t="shared" si="655"/>
        <v/>
      </c>
      <c r="AX4165" s="1856" t="str">
        <f t="shared" si="656"/>
        <v/>
      </c>
      <c r="AY4165" s="1856" t="str">
        <f t="shared" si="657"/>
        <v/>
      </c>
    </row>
    <row r="4166" spans="42:51">
      <c r="AP4166" s="1855">
        <f t="shared" si="658"/>
        <v>44957</v>
      </c>
      <c r="AQ4166" s="925" t="str">
        <f t="shared" si="660"/>
        <v/>
      </c>
      <c r="AR4166" s="1856" t="str">
        <f t="shared" si="659"/>
        <v/>
      </c>
      <c r="AT4166" s="1856" t="str">
        <f t="shared" si="652"/>
        <v/>
      </c>
      <c r="AU4166" s="1856" t="str">
        <f t="shared" si="653"/>
        <v/>
      </c>
      <c r="AV4166" s="1856" t="str">
        <f t="shared" si="654"/>
        <v/>
      </c>
      <c r="AW4166" s="1856" t="str">
        <f t="shared" si="655"/>
        <v/>
      </c>
      <c r="AX4166" s="1856" t="str">
        <f t="shared" si="656"/>
        <v/>
      </c>
      <c r="AY4166" s="1856" t="str">
        <f t="shared" si="657"/>
        <v/>
      </c>
    </row>
    <row r="4167" spans="42:51">
      <c r="AP4167" s="1855">
        <f t="shared" si="658"/>
        <v>44957</v>
      </c>
      <c r="AQ4167" s="925" t="str">
        <f t="shared" si="660"/>
        <v/>
      </c>
      <c r="AR4167" s="1856" t="str">
        <f t="shared" si="659"/>
        <v/>
      </c>
      <c r="AT4167" s="1856" t="str">
        <f t="shared" si="652"/>
        <v/>
      </c>
      <c r="AU4167" s="1856" t="str">
        <f t="shared" si="653"/>
        <v/>
      </c>
      <c r="AV4167" s="1856" t="str">
        <f t="shared" si="654"/>
        <v/>
      </c>
      <c r="AW4167" s="1856" t="str">
        <f t="shared" si="655"/>
        <v/>
      </c>
      <c r="AX4167" s="1856" t="str">
        <f t="shared" si="656"/>
        <v/>
      </c>
      <c r="AY4167" s="1856" t="str">
        <f t="shared" si="657"/>
        <v/>
      </c>
    </row>
    <row r="4168" spans="42:51">
      <c r="AP4168" s="1855">
        <f t="shared" si="658"/>
        <v>44957</v>
      </c>
      <c r="AQ4168" s="925" t="str">
        <f t="shared" si="660"/>
        <v/>
      </c>
      <c r="AR4168" s="1856" t="str">
        <f t="shared" si="659"/>
        <v/>
      </c>
      <c r="AT4168" s="1856" t="str">
        <f t="shared" si="652"/>
        <v/>
      </c>
      <c r="AU4168" s="1856" t="str">
        <f t="shared" si="653"/>
        <v/>
      </c>
      <c r="AV4168" s="1856" t="str">
        <f t="shared" si="654"/>
        <v/>
      </c>
      <c r="AW4168" s="1856" t="str">
        <f t="shared" si="655"/>
        <v/>
      </c>
      <c r="AX4168" s="1856" t="str">
        <f t="shared" si="656"/>
        <v/>
      </c>
      <c r="AY4168" s="1856" t="str">
        <f t="shared" si="657"/>
        <v/>
      </c>
    </row>
    <row r="4169" spans="42:51">
      <c r="AP4169" s="1855">
        <f t="shared" si="658"/>
        <v>44957</v>
      </c>
      <c r="AQ4169" s="925" t="str">
        <f t="shared" si="660"/>
        <v/>
      </c>
      <c r="AR4169" s="1856" t="str">
        <f t="shared" si="659"/>
        <v/>
      </c>
      <c r="AT4169" s="1856" t="str">
        <f t="shared" si="652"/>
        <v/>
      </c>
      <c r="AU4169" s="1856" t="str">
        <f t="shared" si="653"/>
        <v/>
      </c>
      <c r="AV4169" s="1856" t="str">
        <f t="shared" si="654"/>
        <v/>
      </c>
      <c r="AW4169" s="1856" t="str">
        <f t="shared" si="655"/>
        <v/>
      </c>
      <c r="AX4169" s="1856" t="str">
        <f t="shared" si="656"/>
        <v/>
      </c>
      <c r="AY4169" s="1856" t="str">
        <f t="shared" si="657"/>
        <v/>
      </c>
    </row>
    <row r="4170" spans="42:51">
      <c r="AP4170" s="1855">
        <f t="shared" si="658"/>
        <v>44957</v>
      </c>
      <c r="AQ4170" s="925" t="str">
        <f t="shared" si="660"/>
        <v/>
      </c>
      <c r="AR4170" s="1856" t="str">
        <f t="shared" si="659"/>
        <v/>
      </c>
      <c r="AT4170" s="1856" t="str">
        <f t="shared" si="652"/>
        <v/>
      </c>
      <c r="AU4170" s="1856" t="str">
        <f t="shared" si="653"/>
        <v/>
      </c>
      <c r="AV4170" s="1856" t="str">
        <f t="shared" si="654"/>
        <v/>
      </c>
      <c r="AW4170" s="1856" t="str">
        <f t="shared" si="655"/>
        <v/>
      </c>
      <c r="AX4170" s="1856" t="str">
        <f t="shared" si="656"/>
        <v/>
      </c>
      <c r="AY4170" s="1856" t="str">
        <f t="shared" si="657"/>
        <v/>
      </c>
    </row>
    <row r="4171" spans="42:51">
      <c r="AP4171" s="1855">
        <f t="shared" si="658"/>
        <v>44957</v>
      </c>
      <c r="AQ4171" s="925" t="str">
        <f t="shared" si="660"/>
        <v/>
      </c>
      <c r="AR4171" s="1856" t="str">
        <f t="shared" si="659"/>
        <v/>
      </c>
      <c r="AT4171" s="1856" t="str">
        <f t="shared" si="652"/>
        <v/>
      </c>
      <c r="AU4171" s="1856" t="str">
        <f t="shared" si="653"/>
        <v/>
      </c>
      <c r="AV4171" s="1856" t="str">
        <f t="shared" si="654"/>
        <v/>
      </c>
      <c r="AW4171" s="1856" t="str">
        <f t="shared" si="655"/>
        <v/>
      </c>
      <c r="AX4171" s="1856" t="str">
        <f t="shared" si="656"/>
        <v/>
      </c>
      <c r="AY4171" s="1856" t="str">
        <f t="shared" si="657"/>
        <v/>
      </c>
    </row>
    <row r="4172" spans="42:51">
      <c r="AP4172" s="1855">
        <f t="shared" si="658"/>
        <v>44957</v>
      </c>
      <c r="AQ4172" s="925" t="str">
        <f t="shared" si="660"/>
        <v/>
      </c>
      <c r="AR4172" s="1856" t="str">
        <f t="shared" si="659"/>
        <v/>
      </c>
      <c r="AT4172" s="1856" t="str">
        <f t="shared" si="652"/>
        <v/>
      </c>
      <c r="AU4172" s="1856" t="str">
        <f t="shared" si="653"/>
        <v/>
      </c>
      <c r="AV4172" s="1856" t="str">
        <f t="shared" si="654"/>
        <v/>
      </c>
      <c r="AW4172" s="1856" t="str">
        <f t="shared" si="655"/>
        <v/>
      </c>
      <c r="AX4172" s="1856" t="str">
        <f t="shared" si="656"/>
        <v/>
      </c>
      <c r="AY4172" s="1856" t="str">
        <f t="shared" si="657"/>
        <v/>
      </c>
    </row>
    <row r="4173" spans="42:51">
      <c r="AP4173" s="1855">
        <f t="shared" si="658"/>
        <v>44957</v>
      </c>
      <c r="AQ4173" s="925" t="str">
        <f t="shared" si="660"/>
        <v/>
      </c>
      <c r="AR4173" s="1856" t="str">
        <f t="shared" si="659"/>
        <v/>
      </c>
      <c r="AT4173" s="1856" t="str">
        <f t="shared" si="652"/>
        <v/>
      </c>
      <c r="AU4173" s="1856" t="str">
        <f t="shared" si="653"/>
        <v/>
      </c>
      <c r="AV4173" s="1856" t="str">
        <f t="shared" si="654"/>
        <v/>
      </c>
      <c r="AW4173" s="1856" t="str">
        <f t="shared" si="655"/>
        <v/>
      </c>
      <c r="AX4173" s="1856" t="str">
        <f t="shared" si="656"/>
        <v/>
      </c>
      <c r="AY4173" s="1856" t="str">
        <f t="shared" si="657"/>
        <v/>
      </c>
    </row>
    <row r="4174" spans="42:51">
      <c r="AP4174" s="1855">
        <f t="shared" si="658"/>
        <v>44957</v>
      </c>
      <c r="AQ4174" s="925" t="str">
        <f t="shared" si="660"/>
        <v/>
      </c>
      <c r="AR4174" s="1856" t="str">
        <f t="shared" si="659"/>
        <v/>
      </c>
      <c r="AT4174" s="1856" t="str">
        <f t="shared" si="652"/>
        <v/>
      </c>
      <c r="AU4174" s="1856" t="str">
        <f t="shared" si="653"/>
        <v/>
      </c>
      <c r="AV4174" s="1856" t="str">
        <f t="shared" si="654"/>
        <v/>
      </c>
      <c r="AW4174" s="1856" t="str">
        <f t="shared" si="655"/>
        <v/>
      </c>
      <c r="AX4174" s="1856" t="str">
        <f t="shared" si="656"/>
        <v/>
      </c>
      <c r="AY4174" s="1856" t="str">
        <f t="shared" si="657"/>
        <v/>
      </c>
    </row>
    <row r="4175" spans="42:51">
      <c r="AP4175" s="1855">
        <f t="shared" si="658"/>
        <v>44957</v>
      </c>
      <c r="AQ4175" s="925" t="str">
        <f t="shared" si="660"/>
        <v/>
      </c>
      <c r="AR4175" s="1856" t="str">
        <f t="shared" si="659"/>
        <v/>
      </c>
      <c r="AT4175" s="1856" t="str">
        <f t="shared" si="652"/>
        <v/>
      </c>
      <c r="AU4175" s="1856" t="str">
        <f t="shared" si="653"/>
        <v/>
      </c>
      <c r="AV4175" s="1856" t="str">
        <f t="shared" si="654"/>
        <v/>
      </c>
      <c r="AW4175" s="1856" t="str">
        <f t="shared" si="655"/>
        <v/>
      </c>
      <c r="AX4175" s="1856" t="str">
        <f t="shared" si="656"/>
        <v/>
      </c>
      <c r="AY4175" s="1856" t="str">
        <f t="shared" si="657"/>
        <v/>
      </c>
    </row>
    <row r="4176" spans="42:51">
      <c r="AP4176" s="1855">
        <f t="shared" si="658"/>
        <v>44957</v>
      </c>
      <c r="AQ4176" s="925" t="str">
        <f t="shared" si="660"/>
        <v/>
      </c>
      <c r="AR4176" s="1856" t="str">
        <f t="shared" si="659"/>
        <v/>
      </c>
      <c r="AT4176" s="1856" t="str">
        <f t="shared" si="652"/>
        <v/>
      </c>
      <c r="AU4176" s="1856" t="str">
        <f t="shared" si="653"/>
        <v/>
      </c>
      <c r="AV4176" s="1856" t="str">
        <f t="shared" si="654"/>
        <v/>
      </c>
      <c r="AW4176" s="1856" t="str">
        <f t="shared" si="655"/>
        <v/>
      </c>
      <c r="AX4176" s="1856" t="str">
        <f t="shared" si="656"/>
        <v/>
      </c>
      <c r="AY4176" s="1856" t="str">
        <f t="shared" si="657"/>
        <v/>
      </c>
    </row>
    <row r="4177" spans="42:51">
      <c r="AP4177" s="1855">
        <f t="shared" si="658"/>
        <v>44957</v>
      </c>
      <c r="AQ4177" s="925" t="str">
        <f t="shared" si="660"/>
        <v/>
      </c>
      <c r="AR4177" s="1856" t="str">
        <f t="shared" si="659"/>
        <v/>
      </c>
      <c r="AT4177" s="1856" t="str">
        <f t="shared" si="652"/>
        <v/>
      </c>
      <c r="AU4177" s="1856" t="str">
        <f t="shared" si="653"/>
        <v/>
      </c>
      <c r="AV4177" s="1856" t="str">
        <f t="shared" si="654"/>
        <v/>
      </c>
      <c r="AW4177" s="1856" t="str">
        <f t="shared" si="655"/>
        <v/>
      </c>
      <c r="AX4177" s="1856" t="str">
        <f t="shared" si="656"/>
        <v/>
      </c>
      <c r="AY4177" s="1856" t="str">
        <f t="shared" si="657"/>
        <v/>
      </c>
    </row>
    <row r="4178" spans="42:51">
      <c r="AP4178" s="1855">
        <f t="shared" si="658"/>
        <v>44957</v>
      </c>
      <c r="AQ4178" s="925" t="str">
        <f t="shared" si="660"/>
        <v/>
      </c>
      <c r="AR4178" s="1856" t="str">
        <f t="shared" si="659"/>
        <v/>
      </c>
      <c r="AT4178" s="1856" t="str">
        <f t="shared" si="652"/>
        <v/>
      </c>
      <c r="AU4178" s="1856" t="str">
        <f t="shared" si="653"/>
        <v/>
      </c>
      <c r="AV4178" s="1856" t="str">
        <f t="shared" si="654"/>
        <v/>
      </c>
      <c r="AW4178" s="1856" t="str">
        <f t="shared" si="655"/>
        <v/>
      </c>
      <c r="AX4178" s="1856" t="str">
        <f t="shared" si="656"/>
        <v/>
      </c>
      <c r="AY4178" s="1856" t="str">
        <f t="shared" si="657"/>
        <v/>
      </c>
    </row>
    <row r="4179" spans="42:51">
      <c r="AP4179" s="1855">
        <f t="shared" si="658"/>
        <v>44957</v>
      </c>
      <c r="AQ4179" s="925" t="str">
        <f t="shared" si="660"/>
        <v/>
      </c>
      <c r="AR4179" s="1856" t="str">
        <f t="shared" si="659"/>
        <v/>
      </c>
      <c r="AT4179" s="1856" t="str">
        <f t="shared" si="652"/>
        <v/>
      </c>
      <c r="AU4179" s="1856" t="str">
        <f t="shared" si="653"/>
        <v/>
      </c>
      <c r="AV4179" s="1856" t="str">
        <f t="shared" si="654"/>
        <v/>
      </c>
      <c r="AW4179" s="1856" t="str">
        <f t="shared" si="655"/>
        <v/>
      </c>
      <c r="AX4179" s="1856" t="str">
        <f t="shared" si="656"/>
        <v/>
      </c>
      <c r="AY4179" s="1856" t="str">
        <f t="shared" si="657"/>
        <v/>
      </c>
    </row>
    <row r="4180" spans="42:51">
      <c r="AP4180" s="1855">
        <f t="shared" si="658"/>
        <v>44957</v>
      </c>
      <c r="AQ4180" s="925" t="str">
        <f t="shared" si="660"/>
        <v/>
      </c>
      <c r="AR4180" s="1856" t="str">
        <f t="shared" si="659"/>
        <v/>
      </c>
      <c r="AT4180" s="1856" t="str">
        <f t="shared" si="652"/>
        <v/>
      </c>
      <c r="AU4180" s="1856" t="str">
        <f t="shared" si="653"/>
        <v/>
      </c>
      <c r="AV4180" s="1856" t="str">
        <f t="shared" si="654"/>
        <v/>
      </c>
      <c r="AW4180" s="1856" t="str">
        <f t="shared" si="655"/>
        <v/>
      </c>
      <c r="AX4180" s="1856" t="str">
        <f t="shared" si="656"/>
        <v/>
      </c>
      <c r="AY4180" s="1856" t="str">
        <f t="shared" si="657"/>
        <v/>
      </c>
    </row>
    <row r="4181" spans="42:51">
      <c r="AP4181" s="1855">
        <f t="shared" si="658"/>
        <v>44957</v>
      </c>
      <c r="AQ4181" s="925" t="str">
        <f t="shared" si="660"/>
        <v/>
      </c>
      <c r="AR4181" s="1856" t="str">
        <f t="shared" si="659"/>
        <v/>
      </c>
      <c r="AT4181" s="1856" t="str">
        <f t="shared" si="652"/>
        <v/>
      </c>
      <c r="AU4181" s="1856" t="str">
        <f t="shared" si="653"/>
        <v/>
      </c>
      <c r="AV4181" s="1856" t="str">
        <f t="shared" si="654"/>
        <v/>
      </c>
      <c r="AW4181" s="1856" t="str">
        <f t="shared" si="655"/>
        <v/>
      </c>
      <c r="AX4181" s="1856" t="str">
        <f t="shared" si="656"/>
        <v/>
      </c>
      <c r="AY4181" s="1856" t="str">
        <f t="shared" si="657"/>
        <v/>
      </c>
    </row>
    <row r="4182" spans="42:51">
      <c r="AP4182" s="1855">
        <f t="shared" si="658"/>
        <v>44957</v>
      </c>
      <c r="AQ4182" s="925" t="str">
        <f t="shared" si="660"/>
        <v/>
      </c>
      <c r="AR4182" s="1856" t="str">
        <f t="shared" si="659"/>
        <v/>
      </c>
      <c r="AT4182" s="1856" t="str">
        <f t="shared" si="652"/>
        <v/>
      </c>
      <c r="AU4182" s="1856" t="str">
        <f t="shared" si="653"/>
        <v/>
      </c>
      <c r="AV4182" s="1856" t="str">
        <f t="shared" si="654"/>
        <v/>
      </c>
      <c r="AW4182" s="1856" t="str">
        <f t="shared" si="655"/>
        <v/>
      </c>
      <c r="AX4182" s="1856" t="str">
        <f t="shared" si="656"/>
        <v/>
      </c>
      <c r="AY4182" s="1856" t="str">
        <f t="shared" si="657"/>
        <v/>
      </c>
    </row>
    <row r="4183" spans="42:51">
      <c r="AP4183" s="1855">
        <f t="shared" si="658"/>
        <v>44957</v>
      </c>
      <c r="AQ4183" s="925" t="str">
        <f t="shared" si="660"/>
        <v/>
      </c>
      <c r="AR4183" s="1856" t="str">
        <f t="shared" si="659"/>
        <v/>
      </c>
      <c r="AT4183" s="1856" t="str">
        <f t="shared" si="652"/>
        <v/>
      </c>
      <c r="AU4183" s="1856" t="str">
        <f t="shared" si="653"/>
        <v/>
      </c>
      <c r="AV4183" s="1856" t="str">
        <f t="shared" si="654"/>
        <v/>
      </c>
      <c r="AW4183" s="1856" t="str">
        <f t="shared" si="655"/>
        <v/>
      </c>
      <c r="AX4183" s="1856" t="str">
        <f t="shared" si="656"/>
        <v/>
      </c>
      <c r="AY4183" s="1856" t="str">
        <f t="shared" si="657"/>
        <v/>
      </c>
    </row>
    <row r="4184" spans="42:51">
      <c r="AP4184" s="1855">
        <f t="shared" si="658"/>
        <v>44957</v>
      </c>
      <c r="AQ4184" s="925" t="str">
        <f t="shared" si="660"/>
        <v/>
      </c>
      <c r="AR4184" s="1856" t="str">
        <f t="shared" si="659"/>
        <v/>
      </c>
      <c r="AT4184" s="1856" t="str">
        <f t="shared" si="652"/>
        <v/>
      </c>
      <c r="AU4184" s="1856" t="str">
        <f t="shared" si="653"/>
        <v/>
      </c>
      <c r="AV4184" s="1856" t="str">
        <f t="shared" si="654"/>
        <v/>
      </c>
      <c r="AW4184" s="1856" t="str">
        <f t="shared" si="655"/>
        <v/>
      </c>
      <c r="AX4184" s="1856" t="str">
        <f t="shared" si="656"/>
        <v/>
      </c>
      <c r="AY4184" s="1856" t="str">
        <f t="shared" si="657"/>
        <v/>
      </c>
    </row>
    <row r="4185" spans="42:51">
      <c r="AP4185" s="1855">
        <f t="shared" si="658"/>
        <v>44957</v>
      </c>
      <c r="AQ4185" s="925" t="str">
        <f t="shared" si="660"/>
        <v/>
      </c>
      <c r="AR4185" s="1856" t="str">
        <f t="shared" si="659"/>
        <v/>
      </c>
      <c r="AT4185" s="1856" t="str">
        <f t="shared" si="652"/>
        <v/>
      </c>
      <c r="AU4185" s="1856" t="str">
        <f t="shared" si="653"/>
        <v/>
      </c>
      <c r="AV4185" s="1856" t="str">
        <f t="shared" si="654"/>
        <v/>
      </c>
      <c r="AW4185" s="1856" t="str">
        <f t="shared" si="655"/>
        <v/>
      </c>
      <c r="AX4185" s="1856" t="str">
        <f t="shared" si="656"/>
        <v/>
      </c>
      <c r="AY4185" s="1856" t="str">
        <f t="shared" si="657"/>
        <v/>
      </c>
    </row>
    <row r="4186" spans="42:51">
      <c r="AP4186" s="1855">
        <f t="shared" si="658"/>
        <v>44957</v>
      </c>
      <c r="AQ4186" s="925" t="str">
        <f t="shared" si="660"/>
        <v/>
      </c>
      <c r="AR4186" s="1856" t="str">
        <f t="shared" si="659"/>
        <v/>
      </c>
      <c r="AT4186" s="1856" t="str">
        <f t="shared" si="652"/>
        <v/>
      </c>
      <c r="AU4186" s="1856" t="str">
        <f t="shared" si="653"/>
        <v/>
      </c>
      <c r="AV4186" s="1856" t="str">
        <f t="shared" si="654"/>
        <v/>
      </c>
      <c r="AW4186" s="1856" t="str">
        <f t="shared" si="655"/>
        <v/>
      </c>
      <c r="AX4186" s="1856" t="str">
        <f t="shared" si="656"/>
        <v/>
      </c>
      <c r="AY4186" s="1856" t="str">
        <f t="shared" si="657"/>
        <v/>
      </c>
    </row>
    <row r="4187" spans="42:51">
      <c r="AP4187" s="1855">
        <f t="shared" si="658"/>
        <v>44957</v>
      </c>
      <c r="AQ4187" s="925" t="str">
        <f t="shared" si="660"/>
        <v/>
      </c>
      <c r="AR4187" s="1856" t="str">
        <f t="shared" si="659"/>
        <v/>
      </c>
      <c r="AT4187" s="1856" t="str">
        <f t="shared" si="652"/>
        <v/>
      </c>
      <c r="AU4187" s="1856" t="str">
        <f t="shared" si="653"/>
        <v/>
      </c>
      <c r="AV4187" s="1856" t="str">
        <f t="shared" si="654"/>
        <v/>
      </c>
      <c r="AW4187" s="1856" t="str">
        <f t="shared" si="655"/>
        <v/>
      </c>
      <c r="AX4187" s="1856" t="str">
        <f t="shared" si="656"/>
        <v/>
      </c>
      <c r="AY4187" s="1856" t="str">
        <f t="shared" si="657"/>
        <v/>
      </c>
    </row>
    <row r="4188" spans="42:51">
      <c r="AP4188" s="1855">
        <f t="shared" si="658"/>
        <v>44957</v>
      </c>
      <c r="AQ4188" s="925" t="str">
        <f t="shared" si="660"/>
        <v/>
      </c>
      <c r="AR4188" s="1856" t="str">
        <f t="shared" si="659"/>
        <v/>
      </c>
      <c r="AT4188" s="1856" t="str">
        <f t="shared" ref="AT4188:AT4251" si="661">IF(ISNUMBER(AS4188),INDEX(AR4189:AR4199,MATCH($AT$27,AQ4189:AQ4199,0)),"")</f>
        <v/>
      </c>
      <c r="AU4188" s="1856" t="str">
        <f t="shared" ref="AU4188:AU4251" si="662">IF(AT4188="","",INDEX(AR4189:AR4199,MATCH($AU$27,AQ4189:AQ4199,0)))</f>
        <v/>
      </c>
      <c r="AV4188" s="1856" t="str">
        <f t="shared" ref="AV4188:AV4251" si="663">IF(AT4188="","",INDEX(AR4189:AR4199,MATCH($AV$27,AQ4189:AQ4199,0)))</f>
        <v/>
      </c>
      <c r="AW4188" s="1856" t="str">
        <f t="shared" ref="AW4188:AW4251" si="664">IF(AT4188="","",INDEX(AR4189:AR4199,MATCH($AW$27,AQ4189:AQ4199,0)))</f>
        <v/>
      </c>
      <c r="AX4188" s="1856" t="str">
        <f t="shared" ref="AX4188:AX4251" si="665">IF(AT4188="","",INDEX(AR4189:AR4199,MATCH($AX$27,AQ4189:AQ4199,0)))</f>
        <v/>
      </c>
      <c r="AY4188" s="1856" t="str">
        <f t="shared" ref="AY4188:AY4251" si="666">IF(AT4188="","",INDEX(AR4189:AR4199,MATCH($AY$27,AQ4189:AQ4199,0)))</f>
        <v/>
      </c>
    </row>
    <row r="4189" spans="42:51">
      <c r="AP4189" s="1855">
        <f t="shared" si="658"/>
        <v>44957</v>
      </c>
      <c r="AQ4189" s="925" t="str">
        <f t="shared" si="660"/>
        <v/>
      </c>
      <c r="AR4189" s="1856" t="str">
        <f t="shared" si="659"/>
        <v/>
      </c>
      <c r="AT4189" s="1856" t="str">
        <f t="shared" si="661"/>
        <v/>
      </c>
      <c r="AU4189" s="1856" t="str">
        <f t="shared" si="662"/>
        <v/>
      </c>
      <c r="AV4189" s="1856" t="str">
        <f t="shared" si="663"/>
        <v/>
      </c>
      <c r="AW4189" s="1856" t="str">
        <f t="shared" si="664"/>
        <v/>
      </c>
      <c r="AX4189" s="1856" t="str">
        <f t="shared" si="665"/>
        <v/>
      </c>
      <c r="AY4189" s="1856" t="str">
        <f t="shared" si="666"/>
        <v/>
      </c>
    </row>
    <row r="4190" spans="42:51">
      <c r="AP4190" s="1855">
        <f t="shared" si="658"/>
        <v>44957</v>
      </c>
      <c r="AQ4190" s="925" t="str">
        <f t="shared" si="660"/>
        <v/>
      </c>
      <c r="AR4190" s="1856" t="str">
        <f t="shared" si="659"/>
        <v/>
      </c>
      <c r="AT4190" s="1856" t="str">
        <f t="shared" si="661"/>
        <v/>
      </c>
      <c r="AU4190" s="1856" t="str">
        <f t="shared" si="662"/>
        <v/>
      </c>
      <c r="AV4190" s="1856" t="str">
        <f t="shared" si="663"/>
        <v/>
      </c>
      <c r="AW4190" s="1856" t="str">
        <f t="shared" si="664"/>
        <v/>
      </c>
      <c r="AX4190" s="1856" t="str">
        <f t="shared" si="665"/>
        <v/>
      </c>
      <c r="AY4190" s="1856" t="str">
        <f t="shared" si="666"/>
        <v/>
      </c>
    </row>
    <row r="4191" spans="42:51">
      <c r="AP4191" s="1855">
        <f t="shared" si="658"/>
        <v>44957</v>
      </c>
      <c r="AQ4191" s="925" t="str">
        <f t="shared" si="660"/>
        <v/>
      </c>
      <c r="AR4191" s="1856" t="str">
        <f t="shared" si="659"/>
        <v/>
      </c>
      <c r="AT4191" s="1856" t="str">
        <f t="shared" si="661"/>
        <v/>
      </c>
      <c r="AU4191" s="1856" t="str">
        <f t="shared" si="662"/>
        <v/>
      </c>
      <c r="AV4191" s="1856" t="str">
        <f t="shared" si="663"/>
        <v/>
      </c>
      <c r="AW4191" s="1856" t="str">
        <f t="shared" si="664"/>
        <v/>
      </c>
      <c r="AX4191" s="1856" t="str">
        <f t="shared" si="665"/>
        <v/>
      </c>
      <c r="AY4191" s="1856" t="str">
        <f t="shared" si="666"/>
        <v/>
      </c>
    </row>
    <row r="4192" spans="42:51">
      <c r="AP4192" s="1855">
        <f t="shared" si="658"/>
        <v>44957</v>
      </c>
      <c r="AQ4192" s="925" t="str">
        <f t="shared" si="660"/>
        <v/>
      </c>
      <c r="AR4192" s="1856" t="str">
        <f t="shared" si="659"/>
        <v/>
      </c>
      <c r="AT4192" s="1856" t="str">
        <f t="shared" si="661"/>
        <v/>
      </c>
      <c r="AU4192" s="1856" t="str">
        <f t="shared" si="662"/>
        <v/>
      </c>
      <c r="AV4192" s="1856" t="str">
        <f t="shared" si="663"/>
        <v/>
      </c>
      <c r="AW4192" s="1856" t="str">
        <f t="shared" si="664"/>
        <v/>
      </c>
      <c r="AX4192" s="1856" t="str">
        <f t="shared" si="665"/>
        <v/>
      </c>
      <c r="AY4192" s="1856" t="str">
        <f t="shared" si="666"/>
        <v/>
      </c>
    </row>
    <row r="4193" spans="42:51">
      <c r="AP4193" s="1855">
        <f t="shared" si="658"/>
        <v>44957</v>
      </c>
      <c r="AQ4193" s="925" t="str">
        <f t="shared" si="660"/>
        <v/>
      </c>
      <c r="AR4193" s="1856" t="str">
        <f t="shared" si="659"/>
        <v/>
      </c>
      <c r="AT4193" s="1856" t="str">
        <f t="shared" si="661"/>
        <v/>
      </c>
      <c r="AU4193" s="1856" t="str">
        <f t="shared" si="662"/>
        <v/>
      </c>
      <c r="AV4193" s="1856" t="str">
        <f t="shared" si="663"/>
        <v/>
      </c>
      <c r="AW4193" s="1856" t="str">
        <f t="shared" si="664"/>
        <v/>
      </c>
      <c r="AX4193" s="1856" t="str">
        <f t="shared" si="665"/>
        <v/>
      </c>
      <c r="AY4193" s="1856" t="str">
        <f t="shared" si="666"/>
        <v/>
      </c>
    </row>
    <row r="4194" spans="42:51">
      <c r="AP4194" s="1855">
        <f t="shared" si="658"/>
        <v>44957</v>
      </c>
      <c r="AQ4194" s="925" t="str">
        <f t="shared" si="660"/>
        <v/>
      </c>
      <c r="AR4194" s="1856" t="str">
        <f t="shared" si="659"/>
        <v/>
      </c>
      <c r="AT4194" s="1856" t="str">
        <f t="shared" si="661"/>
        <v/>
      </c>
      <c r="AU4194" s="1856" t="str">
        <f t="shared" si="662"/>
        <v/>
      </c>
      <c r="AV4194" s="1856" t="str">
        <f t="shared" si="663"/>
        <v/>
      </c>
      <c r="AW4194" s="1856" t="str">
        <f t="shared" si="664"/>
        <v/>
      </c>
      <c r="AX4194" s="1856" t="str">
        <f t="shared" si="665"/>
        <v/>
      </c>
      <c r="AY4194" s="1856" t="str">
        <f t="shared" si="666"/>
        <v/>
      </c>
    </row>
    <row r="4195" spans="42:51">
      <c r="AP4195" s="1855">
        <f t="shared" si="658"/>
        <v>44957</v>
      </c>
      <c r="AQ4195" s="925" t="str">
        <f t="shared" si="660"/>
        <v/>
      </c>
      <c r="AR4195" s="1856" t="str">
        <f t="shared" si="659"/>
        <v/>
      </c>
      <c r="AT4195" s="1856" t="str">
        <f t="shared" si="661"/>
        <v/>
      </c>
      <c r="AU4195" s="1856" t="str">
        <f t="shared" si="662"/>
        <v/>
      </c>
      <c r="AV4195" s="1856" t="str">
        <f t="shared" si="663"/>
        <v/>
      </c>
      <c r="AW4195" s="1856" t="str">
        <f t="shared" si="664"/>
        <v/>
      </c>
      <c r="AX4195" s="1856" t="str">
        <f t="shared" si="665"/>
        <v/>
      </c>
      <c r="AY4195" s="1856" t="str">
        <f t="shared" si="666"/>
        <v/>
      </c>
    </row>
    <row r="4196" spans="42:51">
      <c r="AP4196" s="1855">
        <f t="shared" si="658"/>
        <v>44957</v>
      </c>
      <c r="AQ4196" s="925" t="str">
        <f t="shared" si="660"/>
        <v/>
      </c>
      <c r="AR4196" s="1856" t="str">
        <f t="shared" si="659"/>
        <v/>
      </c>
      <c r="AT4196" s="1856" t="str">
        <f t="shared" si="661"/>
        <v/>
      </c>
      <c r="AU4196" s="1856" t="str">
        <f t="shared" si="662"/>
        <v/>
      </c>
      <c r="AV4196" s="1856" t="str">
        <f t="shared" si="663"/>
        <v/>
      </c>
      <c r="AW4196" s="1856" t="str">
        <f t="shared" si="664"/>
        <v/>
      </c>
      <c r="AX4196" s="1856" t="str">
        <f t="shared" si="665"/>
        <v/>
      </c>
      <c r="AY4196" s="1856" t="str">
        <f t="shared" si="666"/>
        <v/>
      </c>
    </row>
    <row r="4197" spans="42:51">
      <c r="AP4197" s="1855">
        <f t="shared" ref="AP4197:AP4260" si="667">IF(ISNUMBER(AS4197),AP4196+1,AP4196)</f>
        <v>44957</v>
      </c>
      <c r="AQ4197" s="925" t="str">
        <f t="shared" si="660"/>
        <v/>
      </c>
      <c r="AR4197" s="1856" t="str">
        <f t="shared" si="659"/>
        <v/>
      </c>
      <c r="AT4197" s="1856" t="str">
        <f t="shared" si="661"/>
        <v/>
      </c>
      <c r="AU4197" s="1856" t="str">
        <f t="shared" si="662"/>
        <v/>
      </c>
      <c r="AV4197" s="1856" t="str">
        <f t="shared" si="663"/>
        <v/>
      </c>
      <c r="AW4197" s="1856" t="str">
        <f t="shared" si="664"/>
        <v/>
      </c>
      <c r="AX4197" s="1856" t="str">
        <f t="shared" si="665"/>
        <v/>
      </c>
      <c r="AY4197" s="1856" t="str">
        <f t="shared" si="666"/>
        <v/>
      </c>
    </row>
    <row r="4198" spans="42:51">
      <c r="AP4198" s="1855">
        <f t="shared" si="667"/>
        <v>44957</v>
      </c>
      <c r="AQ4198" s="925" t="str">
        <f t="shared" si="660"/>
        <v/>
      </c>
      <c r="AR4198" s="1856" t="str">
        <f t="shared" si="659"/>
        <v/>
      </c>
      <c r="AT4198" s="1856" t="str">
        <f t="shared" si="661"/>
        <v/>
      </c>
      <c r="AU4198" s="1856" t="str">
        <f t="shared" si="662"/>
        <v/>
      </c>
      <c r="AV4198" s="1856" t="str">
        <f t="shared" si="663"/>
        <v/>
      </c>
      <c r="AW4198" s="1856" t="str">
        <f t="shared" si="664"/>
        <v/>
      </c>
      <c r="AX4198" s="1856" t="str">
        <f t="shared" si="665"/>
        <v/>
      </c>
      <c r="AY4198" s="1856" t="str">
        <f t="shared" si="666"/>
        <v/>
      </c>
    </row>
    <row r="4199" spans="42:51">
      <c r="AP4199" s="1855">
        <f t="shared" si="667"/>
        <v>44957</v>
      </c>
      <c r="AQ4199" s="925" t="str">
        <f t="shared" si="660"/>
        <v/>
      </c>
      <c r="AR4199" s="1856" t="str">
        <f t="shared" si="659"/>
        <v/>
      </c>
      <c r="AT4199" s="1856" t="str">
        <f t="shared" si="661"/>
        <v/>
      </c>
      <c r="AU4199" s="1856" t="str">
        <f t="shared" si="662"/>
        <v/>
      </c>
      <c r="AV4199" s="1856" t="str">
        <f t="shared" si="663"/>
        <v/>
      </c>
      <c r="AW4199" s="1856" t="str">
        <f t="shared" si="664"/>
        <v/>
      </c>
      <c r="AX4199" s="1856" t="str">
        <f t="shared" si="665"/>
        <v/>
      </c>
      <c r="AY4199" s="1856" t="str">
        <f t="shared" si="666"/>
        <v/>
      </c>
    </row>
    <row r="4200" spans="42:51">
      <c r="AP4200" s="1855">
        <f t="shared" si="667"/>
        <v>44957</v>
      </c>
      <c r="AQ4200" s="925" t="str">
        <f t="shared" si="660"/>
        <v/>
      </c>
      <c r="AR4200" s="1856" t="str">
        <f t="shared" si="659"/>
        <v/>
      </c>
      <c r="AT4200" s="1856" t="str">
        <f t="shared" si="661"/>
        <v/>
      </c>
      <c r="AU4200" s="1856" t="str">
        <f t="shared" si="662"/>
        <v/>
      </c>
      <c r="AV4200" s="1856" t="str">
        <f t="shared" si="663"/>
        <v/>
      </c>
      <c r="AW4200" s="1856" t="str">
        <f t="shared" si="664"/>
        <v/>
      </c>
      <c r="AX4200" s="1856" t="str">
        <f t="shared" si="665"/>
        <v/>
      </c>
      <c r="AY4200" s="1856" t="str">
        <f t="shared" si="666"/>
        <v/>
      </c>
    </row>
    <row r="4201" spans="42:51">
      <c r="AP4201" s="1855">
        <f t="shared" si="667"/>
        <v>44957</v>
      </c>
      <c r="AQ4201" s="925" t="str">
        <f t="shared" si="660"/>
        <v/>
      </c>
      <c r="AR4201" s="1856" t="str">
        <f t="shared" ref="AR4201:AR4264" si="668">IF(NOT(ISNUMBER(FIND(":",AS4201))),"",IF(ISNUMBER(FIND(" none",AS4201)),"NONE",AP4201+LEFT(RIGHT(AS4201,5),2)/24+RIGHT(AS4201,2)/1440))</f>
        <v/>
      </c>
      <c r="AT4201" s="1856" t="str">
        <f t="shared" si="661"/>
        <v/>
      </c>
      <c r="AU4201" s="1856" t="str">
        <f t="shared" si="662"/>
        <v/>
      </c>
      <c r="AV4201" s="1856" t="str">
        <f t="shared" si="663"/>
        <v/>
      </c>
      <c r="AW4201" s="1856" t="str">
        <f t="shared" si="664"/>
        <v/>
      </c>
      <c r="AX4201" s="1856" t="str">
        <f t="shared" si="665"/>
        <v/>
      </c>
      <c r="AY4201" s="1856" t="str">
        <f t="shared" si="666"/>
        <v/>
      </c>
    </row>
    <row r="4202" spans="42:51">
      <c r="AP4202" s="1855">
        <f t="shared" si="667"/>
        <v>44957</v>
      </c>
      <c r="AQ4202" s="925" t="str">
        <f t="shared" si="660"/>
        <v/>
      </c>
      <c r="AR4202" s="1856" t="str">
        <f t="shared" si="668"/>
        <v/>
      </c>
      <c r="AT4202" s="1856" t="str">
        <f t="shared" si="661"/>
        <v/>
      </c>
      <c r="AU4202" s="1856" t="str">
        <f t="shared" si="662"/>
        <v/>
      </c>
      <c r="AV4202" s="1856" t="str">
        <f t="shared" si="663"/>
        <v/>
      </c>
      <c r="AW4202" s="1856" t="str">
        <f t="shared" si="664"/>
        <v/>
      </c>
      <c r="AX4202" s="1856" t="str">
        <f t="shared" si="665"/>
        <v/>
      </c>
      <c r="AY4202" s="1856" t="str">
        <f t="shared" si="666"/>
        <v/>
      </c>
    </row>
    <row r="4203" spans="42:51">
      <c r="AP4203" s="1855">
        <f t="shared" si="667"/>
        <v>44957</v>
      </c>
      <c r="AQ4203" s="925" t="str">
        <f t="shared" si="660"/>
        <v/>
      </c>
      <c r="AR4203" s="1856" t="str">
        <f t="shared" si="668"/>
        <v/>
      </c>
      <c r="AT4203" s="1856" t="str">
        <f t="shared" si="661"/>
        <v/>
      </c>
      <c r="AU4203" s="1856" t="str">
        <f t="shared" si="662"/>
        <v/>
      </c>
      <c r="AV4203" s="1856" t="str">
        <f t="shared" si="663"/>
        <v/>
      </c>
      <c r="AW4203" s="1856" t="str">
        <f t="shared" si="664"/>
        <v/>
      </c>
      <c r="AX4203" s="1856" t="str">
        <f t="shared" si="665"/>
        <v/>
      </c>
      <c r="AY4203" s="1856" t="str">
        <f t="shared" si="666"/>
        <v/>
      </c>
    </row>
    <row r="4204" spans="42:51">
      <c r="AP4204" s="1855">
        <f t="shared" si="667"/>
        <v>44957</v>
      </c>
      <c r="AQ4204" s="925" t="str">
        <f t="shared" si="660"/>
        <v/>
      </c>
      <c r="AR4204" s="1856" t="str">
        <f t="shared" si="668"/>
        <v/>
      </c>
      <c r="AT4204" s="1856" t="str">
        <f t="shared" si="661"/>
        <v/>
      </c>
      <c r="AU4204" s="1856" t="str">
        <f t="shared" si="662"/>
        <v/>
      </c>
      <c r="AV4204" s="1856" t="str">
        <f t="shared" si="663"/>
        <v/>
      </c>
      <c r="AW4204" s="1856" t="str">
        <f t="shared" si="664"/>
        <v/>
      </c>
      <c r="AX4204" s="1856" t="str">
        <f t="shared" si="665"/>
        <v/>
      </c>
      <c r="AY4204" s="1856" t="str">
        <f t="shared" si="666"/>
        <v/>
      </c>
    </row>
    <row r="4205" spans="42:51">
      <c r="AP4205" s="1855">
        <f t="shared" si="667"/>
        <v>44957</v>
      </c>
      <c r="AQ4205" s="925" t="str">
        <f t="shared" si="660"/>
        <v/>
      </c>
      <c r="AR4205" s="1856" t="str">
        <f t="shared" si="668"/>
        <v/>
      </c>
      <c r="AT4205" s="1856" t="str">
        <f t="shared" si="661"/>
        <v/>
      </c>
      <c r="AU4205" s="1856" t="str">
        <f t="shared" si="662"/>
        <v/>
      </c>
      <c r="AV4205" s="1856" t="str">
        <f t="shared" si="663"/>
        <v/>
      </c>
      <c r="AW4205" s="1856" t="str">
        <f t="shared" si="664"/>
        <v/>
      </c>
      <c r="AX4205" s="1856" t="str">
        <f t="shared" si="665"/>
        <v/>
      </c>
      <c r="AY4205" s="1856" t="str">
        <f t="shared" si="666"/>
        <v/>
      </c>
    </row>
    <row r="4206" spans="42:51">
      <c r="AP4206" s="1855">
        <f t="shared" si="667"/>
        <v>44957</v>
      </c>
      <c r="AQ4206" s="925" t="str">
        <f t="shared" si="660"/>
        <v/>
      </c>
      <c r="AR4206" s="1856" t="str">
        <f t="shared" si="668"/>
        <v/>
      </c>
      <c r="AT4206" s="1856" t="str">
        <f t="shared" si="661"/>
        <v/>
      </c>
      <c r="AU4206" s="1856" t="str">
        <f t="shared" si="662"/>
        <v/>
      </c>
      <c r="AV4206" s="1856" t="str">
        <f t="shared" si="663"/>
        <v/>
      </c>
      <c r="AW4206" s="1856" t="str">
        <f t="shared" si="664"/>
        <v/>
      </c>
      <c r="AX4206" s="1856" t="str">
        <f t="shared" si="665"/>
        <v/>
      </c>
      <c r="AY4206" s="1856" t="str">
        <f t="shared" si="666"/>
        <v/>
      </c>
    </row>
    <row r="4207" spans="42:51">
      <c r="AP4207" s="1855">
        <f t="shared" si="667"/>
        <v>44957</v>
      </c>
      <c r="AQ4207" s="925" t="str">
        <f t="shared" si="660"/>
        <v/>
      </c>
      <c r="AR4207" s="1856" t="str">
        <f t="shared" si="668"/>
        <v/>
      </c>
      <c r="AT4207" s="1856" t="str">
        <f t="shared" si="661"/>
        <v/>
      </c>
      <c r="AU4207" s="1856" t="str">
        <f t="shared" si="662"/>
        <v/>
      </c>
      <c r="AV4207" s="1856" t="str">
        <f t="shared" si="663"/>
        <v/>
      </c>
      <c r="AW4207" s="1856" t="str">
        <f t="shared" si="664"/>
        <v/>
      </c>
      <c r="AX4207" s="1856" t="str">
        <f t="shared" si="665"/>
        <v/>
      </c>
      <c r="AY4207" s="1856" t="str">
        <f t="shared" si="666"/>
        <v/>
      </c>
    </row>
    <row r="4208" spans="42:51">
      <c r="AP4208" s="1855">
        <f t="shared" si="667"/>
        <v>44957</v>
      </c>
      <c r="AQ4208" s="925" t="str">
        <f t="shared" si="660"/>
        <v/>
      </c>
      <c r="AR4208" s="1856" t="str">
        <f t="shared" si="668"/>
        <v/>
      </c>
      <c r="AT4208" s="1856" t="str">
        <f t="shared" si="661"/>
        <v/>
      </c>
      <c r="AU4208" s="1856" t="str">
        <f t="shared" si="662"/>
        <v/>
      </c>
      <c r="AV4208" s="1856" t="str">
        <f t="shared" si="663"/>
        <v/>
      </c>
      <c r="AW4208" s="1856" t="str">
        <f t="shared" si="664"/>
        <v/>
      </c>
      <c r="AX4208" s="1856" t="str">
        <f t="shared" si="665"/>
        <v/>
      </c>
      <c r="AY4208" s="1856" t="str">
        <f t="shared" si="666"/>
        <v/>
      </c>
    </row>
    <row r="4209" spans="42:51">
      <c r="AP4209" s="1855">
        <f t="shared" si="667"/>
        <v>44957</v>
      </c>
      <c r="AQ4209" s="925" t="str">
        <f t="shared" si="660"/>
        <v/>
      </c>
      <c r="AR4209" s="1856" t="str">
        <f t="shared" si="668"/>
        <v/>
      </c>
      <c r="AT4209" s="1856" t="str">
        <f t="shared" si="661"/>
        <v/>
      </c>
      <c r="AU4209" s="1856" t="str">
        <f t="shared" si="662"/>
        <v/>
      </c>
      <c r="AV4209" s="1856" t="str">
        <f t="shared" si="663"/>
        <v/>
      </c>
      <c r="AW4209" s="1856" t="str">
        <f t="shared" si="664"/>
        <v/>
      </c>
      <c r="AX4209" s="1856" t="str">
        <f t="shared" si="665"/>
        <v/>
      </c>
      <c r="AY4209" s="1856" t="str">
        <f t="shared" si="666"/>
        <v/>
      </c>
    </row>
    <row r="4210" spans="42:51">
      <c r="AP4210" s="1855">
        <f t="shared" si="667"/>
        <v>44957</v>
      </c>
      <c r="AQ4210" s="925" t="str">
        <f t="shared" si="660"/>
        <v/>
      </c>
      <c r="AR4210" s="1856" t="str">
        <f t="shared" si="668"/>
        <v/>
      </c>
      <c r="AT4210" s="1856" t="str">
        <f t="shared" si="661"/>
        <v/>
      </c>
      <c r="AU4210" s="1856" t="str">
        <f t="shared" si="662"/>
        <v/>
      </c>
      <c r="AV4210" s="1856" t="str">
        <f t="shared" si="663"/>
        <v/>
      </c>
      <c r="AW4210" s="1856" t="str">
        <f t="shared" si="664"/>
        <v/>
      </c>
      <c r="AX4210" s="1856" t="str">
        <f t="shared" si="665"/>
        <v/>
      </c>
      <c r="AY4210" s="1856" t="str">
        <f t="shared" si="666"/>
        <v/>
      </c>
    </row>
    <row r="4211" spans="42:51">
      <c r="AP4211" s="1855">
        <f t="shared" si="667"/>
        <v>44957</v>
      </c>
      <c r="AQ4211" s="925" t="str">
        <f t="shared" si="660"/>
        <v/>
      </c>
      <c r="AR4211" s="1856" t="str">
        <f t="shared" si="668"/>
        <v/>
      </c>
      <c r="AT4211" s="1856" t="str">
        <f t="shared" si="661"/>
        <v/>
      </c>
      <c r="AU4211" s="1856" t="str">
        <f t="shared" si="662"/>
        <v/>
      </c>
      <c r="AV4211" s="1856" t="str">
        <f t="shared" si="663"/>
        <v/>
      </c>
      <c r="AW4211" s="1856" t="str">
        <f t="shared" si="664"/>
        <v/>
      </c>
      <c r="AX4211" s="1856" t="str">
        <f t="shared" si="665"/>
        <v/>
      </c>
      <c r="AY4211" s="1856" t="str">
        <f t="shared" si="666"/>
        <v/>
      </c>
    </row>
    <row r="4212" spans="42:51">
      <c r="AP4212" s="1855">
        <f t="shared" si="667"/>
        <v>44957</v>
      </c>
      <c r="AQ4212" s="925" t="str">
        <f t="shared" ref="AQ4212:AQ4275" si="669">IF(NOT(ISNUMBER(FIND(":",AS4212))),"",IF(ISNUMBER(FIND("Sunr",AS4212)),"SR", IF(ISNUMBER(FIND("Suns",AS4212)),"SS",IF(ISNUMBER(FIND("Moonr",AS4212)),"MR",IF(ISNUMBER(FIND("Moons",AS4212)),"MS",IF(ISNUMBER(FIND("Twi",AS4212)),IF(HOUR(AR4212)&lt;12,"BMNT","EENT")))))))</f>
        <v/>
      </c>
      <c r="AR4212" s="1856" t="str">
        <f t="shared" si="668"/>
        <v/>
      </c>
      <c r="AT4212" s="1856" t="str">
        <f t="shared" si="661"/>
        <v/>
      </c>
      <c r="AU4212" s="1856" t="str">
        <f t="shared" si="662"/>
        <v/>
      </c>
      <c r="AV4212" s="1856" t="str">
        <f t="shared" si="663"/>
        <v/>
      </c>
      <c r="AW4212" s="1856" t="str">
        <f t="shared" si="664"/>
        <v/>
      </c>
      <c r="AX4212" s="1856" t="str">
        <f t="shared" si="665"/>
        <v/>
      </c>
      <c r="AY4212" s="1856" t="str">
        <f t="shared" si="666"/>
        <v/>
      </c>
    </row>
    <row r="4213" spans="42:51">
      <c r="AP4213" s="1855">
        <f t="shared" si="667"/>
        <v>44957</v>
      </c>
      <c r="AQ4213" s="925" t="str">
        <f t="shared" si="669"/>
        <v/>
      </c>
      <c r="AR4213" s="1856" t="str">
        <f t="shared" si="668"/>
        <v/>
      </c>
      <c r="AT4213" s="1856" t="str">
        <f t="shared" si="661"/>
        <v/>
      </c>
      <c r="AU4213" s="1856" t="str">
        <f t="shared" si="662"/>
        <v/>
      </c>
      <c r="AV4213" s="1856" t="str">
        <f t="shared" si="663"/>
        <v/>
      </c>
      <c r="AW4213" s="1856" t="str">
        <f t="shared" si="664"/>
        <v/>
      </c>
      <c r="AX4213" s="1856" t="str">
        <f t="shared" si="665"/>
        <v/>
      </c>
      <c r="AY4213" s="1856" t="str">
        <f t="shared" si="666"/>
        <v/>
      </c>
    </row>
    <row r="4214" spans="42:51">
      <c r="AP4214" s="1855">
        <f t="shared" si="667"/>
        <v>44957</v>
      </c>
      <c r="AQ4214" s="925" t="str">
        <f t="shared" si="669"/>
        <v/>
      </c>
      <c r="AR4214" s="1856" t="str">
        <f t="shared" si="668"/>
        <v/>
      </c>
      <c r="AT4214" s="1856" t="str">
        <f t="shared" si="661"/>
        <v/>
      </c>
      <c r="AU4214" s="1856" t="str">
        <f t="shared" si="662"/>
        <v/>
      </c>
      <c r="AV4214" s="1856" t="str">
        <f t="shared" si="663"/>
        <v/>
      </c>
      <c r="AW4214" s="1856" t="str">
        <f t="shared" si="664"/>
        <v/>
      </c>
      <c r="AX4214" s="1856" t="str">
        <f t="shared" si="665"/>
        <v/>
      </c>
      <c r="AY4214" s="1856" t="str">
        <f t="shared" si="666"/>
        <v/>
      </c>
    </row>
    <row r="4215" spans="42:51">
      <c r="AP4215" s="1855">
        <f t="shared" si="667"/>
        <v>44957</v>
      </c>
      <c r="AQ4215" s="925" t="str">
        <f t="shared" si="669"/>
        <v/>
      </c>
      <c r="AR4215" s="1856" t="str">
        <f t="shared" si="668"/>
        <v/>
      </c>
      <c r="AT4215" s="1856" t="str">
        <f t="shared" si="661"/>
        <v/>
      </c>
      <c r="AU4215" s="1856" t="str">
        <f t="shared" si="662"/>
        <v/>
      </c>
      <c r="AV4215" s="1856" t="str">
        <f t="shared" si="663"/>
        <v/>
      </c>
      <c r="AW4215" s="1856" t="str">
        <f t="shared" si="664"/>
        <v/>
      </c>
      <c r="AX4215" s="1856" t="str">
        <f t="shared" si="665"/>
        <v/>
      </c>
      <c r="AY4215" s="1856" t="str">
        <f t="shared" si="666"/>
        <v/>
      </c>
    </row>
    <row r="4216" spans="42:51">
      <c r="AP4216" s="1855">
        <f t="shared" si="667"/>
        <v>44957</v>
      </c>
      <c r="AQ4216" s="925" t="str">
        <f t="shared" si="669"/>
        <v/>
      </c>
      <c r="AR4216" s="1856" t="str">
        <f t="shared" si="668"/>
        <v/>
      </c>
      <c r="AT4216" s="1856" t="str">
        <f t="shared" si="661"/>
        <v/>
      </c>
      <c r="AU4216" s="1856" t="str">
        <f t="shared" si="662"/>
        <v/>
      </c>
      <c r="AV4216" s="1856" t="str">
        <f t="shared" si="663"/>
        <v/>
      </c>
      <c r="AW4216" s="1856" t="str">
        <f t="shared" si="664"/>
        <v/>
      </c>
      <c r="AX4216" s="1856" t="str">
        <f t="shared" si="665"/>
        <v/>
      </c>
      <c r="AY4216" s="1856" t="str">
        <f t="shared" si="666"/>
        <v/>
      </c>
    </row>
    <row r="4217" spans="42:51">
      <c r="AP4217" s="1855">
        <f t="shared" si="667"/>
        <v>44957</v>
      </c>
      <c r="AQ4217" s="925" t="str">
        <f t="shared" si="669"/>
        <v/>
      </c>
      <c r="AR4217" s="1856" t="str">
        <f t="shared" si="668"/>
        <v/>
      </c>
      <c r="AT4217" s="1856" t="str">
        <f t="shared" si="661"/>
        <v/>
      </c>
      <c r="AU4217" s="1856" t="str">
        <f t="shared" si="662"/>
        <v/>
      </c>
      <c r="AV4217" s="1856" t="str">
        <f t="shared" si="663"/>
        <v/>
      </c>
      <c r="AW4217" s="1856" t="str">
        <f t="shared" si="664"/>
        <v/>
      </c>
      <c r="AX4217" s="1856" t="str">
        <f t="shared" si="665"/>
        <v/>
      </c>
      <c r="AY4217" s="1856" t="str">
        <f t="shared" si="666"/>
        <v/>
      </c>
    </row>
    <row r="4218" spans="42:51">
      <c r="AP4218" s="1855">
        <f t="shared" si="667"/>
        <v>44957</v>
      </c>
      <c r="AQ4218" s="925" t="str">
        <f t="shared" si="669"/>
        <v/>
      </c>
      <c r="AR4218" s="1856" t="str">
        <f t="shared" si="668"/>
        <v/>
      </c>
      <c r="AT4218" s="1856" t="str">
        <f t="shared" si="661"/>
        <v/>
      </c>
      <c r="AU4218" s="1856" t="str">
        <f t="shared" si="662"/>
        <v/>
      </c>
      <c r="AV4218" s="1856" t="str">
        <f t="shared" si="663"/>
        <v/>
      </c>
      <c r="AW4218" s="1856" t="str">
        <f t="shared" si="664"/>
        <v/>
      </c>
      <c r="AX4218" s="1856" t="str">
        <f t="shared" si="665"/>
        <v/>
      </c>
      <c r="AY4218" s="1856" t="str">
        <f t="shared" si="666"/>
        <v/>
      </c>
    </row>
    <row r="4219" spans="42:51">
      <c r="AP4219" s="1855">
        <f t="shared" si="667"/>
        <v>44957</v>
      </c>
      <c r="AQ4219" s="925" t="str">
        <f t="shared" si="669"/>
        <v/>
      </c>
      <c r="AR4219" s="1856" t="str">
        <f t="shared" si="668"/>
        <v/>
      </c>
      <c r="AT4219" s="1856" t="str">
        <f t="shared" si="661"/>
        <v/>
      </c>
      <c r="AU4219" s="1856" t="str">
        <f t="shared" si="662"/>
        <v/>
      </c>
      <c r="AV4219" s="1856" t="str">
        <f t="shared" si="663"/>
        <v/>
      </c>
      <c r="AW4219" s="1856" t="str">
        <f t="shared" si="664"/>
        <v/>
      </c>
      <c r="AX4219" s="1856" t="str">
        <f t="shared" si="665"/>
        <v/>
      </c>
      <c r="AY4219" s="1856" t="str">
        <f t="shared" si="666"/>
        <v/>
      </c>
    </row>
    <row r="4220" spans="42:51">
      <c r="AP4220" s="1855">
        <f t="shared" si="667"/>
        <v>44957</v>
      </c>
      <c r="AQ4220" s="925" t="str">
        <f t="shared" si="669"/>
        <v/>
      </c>
      <c r="AR4220" s="1856" t="str">
        <f t="shared" si="668"/>
        <v/>
      </c>
      <c r="AT4220" s="1856" t="str">
        <f t="shared" si="661"/>
        <v/>
      </c>
      <c r="AU4220" s="1856" t="str">
        <f t="shared" si="662"/>
        <v/>
      </c>
      <c r="AV4220" s="1856" t="str">
        <f t="shared" si="663"/>
        <v/>
      </c>
      <c r="AW4220" s="1856" t="str">
        <f t="shared" si="664"/>
        <v/>
      </c>
      <c r="AX4220" s="1856" t="str">
        <f t="shared" si="665"/>
        <v/>
      </c>
      <c r="AY4220" s="1856" t="str">
        <f t="shared" si="666"/>
        <v/>
      </c>
    </row>
    <row r="4221" spans="42:51">
      <c r="AP4221" s="1855">
        <f t="shared" si="667"/>
        <v>44957</v>
      </c>
      <c r="AQ4221" s="925" t="str">
        <f t="shared" si="669"/>
        <v/>
      </c>
      <c r="AR4221" s="1856" t="str">
        <f t="shared" si="668"/>
        <v/>
      </c>
      <c r="AT4221" s="1856" t="str">
        <f t="shared" si="661"/>
        <v/>
      </c>
      <c r="AU4221" s="1856" t="str">
        <f t="shared" si="662"/>
        <v/>
      </c>
      <c r="AV4221" s="1856" t="str">
        <f t="shared" si="663"/>
        <v/>
      </c>
      <c r="AW4221" s="1856" t="str">
        <f t="shared" si="664"/>
        <v/>
      </c>
      <c r="AX4221" s="1856" t="str">
        <f t="shared" si="665"/>
        <v/>
      </c>
      <c r="AY4221" s="1856" t="str">
        <f t="shared" si="666"/>
        <v/>
      </c>
    </row>
    <row r="4222" spans="42:51">
      <c r="AP4222" s="1855">
        <f t="shared" si="667"/>
        <v>44957</v>
      </c>
      <c r="AQ4222" s="925" t="str">
        <f t="shared" si="669"/>
        <v/>
      </c>
      <c r="AR4222" s="1856" t="str">
        <f t="shared" si="668"/>
        <v/>
      </c>
      <c r="AT4222" s="1856" t="str">
        <f t="shared" si="661"/>
        <v/>
      </c>
      <c r="AU4222" s="1856" t="str">
        <f t="shared" si="662"/>
        <v/>
      </c>
      <c r="AV4222" s="1856" t="str">
        <f t="shared" si="663"/>
        <v/>
      </c>
      <c r="AW4222" s="1856" t="str">
        <f t="shared" si="664"/>
        <v/>
      </c>
      <c r="AX4222" s="1856" t="str">
        <f t="shared" si="665"/>
        <v/>
      </c>
      <c r="AY4222" s="1856" t="str">
        <f t="shared" si="666"/>
        <v/>
      </c>
    </row>
    <row r="4223" spans="42:51">
      <c r="AP4223" s="1855">
        <f t="shared" si="667"/>
        <v>44957</v>
      </c>
      <c r="AQ4223" s="925" t="str">
        <f t="shared" si="669"/>
        <v/>
      </c>
      <c r="AR4223" s="1856" t="str">
        <f t="shared" si="668"/>
        <v/>
      </c>
      <c r="AT4223" s="1856" t="str">
        <f t="shared" si="661"/>
        <v/>
      </c>
      <c r="AU4223" s="1856" t="str">
        <f t="shared" si="662"/>
        <v/>
      </c>
      <c r="AV4223" s="1856" t="str">
        <f t="shared" si="663"/>
        <v/>
      </c>
      <c r="AW4223" s="1856" t="str">
        <f t="shared" si="664"/>
        <v/>
      </c>
      <c r="AX4223" s="1856" t="str">
        <f t="shared" si="665"/>
        <v/>
      </c>
      <c r="AY4223" s="1856" t="str">
        <f t="shared" si="666"/>
        <v/>
      </c>
    </row>
    <row r="4224" spans="42:51">
      <c r="AP4224" s="1855">
        <f t="shared" si="667"/>
        <v>44957</v>
      </c>
      <c r="AQ4224" s="925" t="str">
        <f t="shared" si="669"/>
        <v/>
      </c>
      <c r="AR4224" s="1856" t="str">
        <f t="shared" si="668"/>
        <v/>
      </c>
      <c r="AT4224" s="1856" t="str">
        <f t="shared" si="661"/>
        <v/>
      </c>
      <c r="AU4224" s="1856" t="str">
        <f t="shared" si="662"/>
        <v/>
      </c>
      <c r="AV4224" s="1856" t="str">
        <f t="shared" si="663"/>
        <v/>
      </c>
      <c r="AW4224" s="1856" t="str">
        <f t="shared" si="664"/>
        <v/>
      </c>
      <c r="AX4224" s="1856" t="str">
        <f t="shared" si="665"/>
        <v/>
      </c>
      <c r="AY4224" s="1856" t="str">
        <f t="shared" si="666"/>
        <v/>
      </c>
    </row>
    <row r="4225" spans="42:51">
      <c r="AP4225" s="1855">
        <f t="shared" si="667"/>
        <v>44957</v>
      </c>
      <c r="AQ4225" s="925" t="str">
        <f t="shared" si="669"/>
        <v/>
      </c>
      <c r="AR4225" s="1856" t="str">
        <f t="shared" si="668"/>
        <v/>
      </c>
      <c r="AT4225" s="1856" t="str">
        <f t="shared" si="661"/>
        <v/>
      </c>
      <c r="AU4225" s="1856" t="str">
        <f t="shared" si="662"/>
        <v/>
      </c>
      <c r="AV4225" s="1856" t="str">
        <f t="shared" si="663"/>
        <v/>
      </c>
      <c r="AW4225" s="1856" t="str">
        <f t="shared" si="664"/>
        <v/>
      </c>
      <c r="AX4225" s="1856" t="str">
        <f t="shared" si="665"/>
        <v/>
      </c>
      <c r="AY4225" s="1856" t="str">
        <f t="shared" si="666"/>
        <v/>
      </c>
    </row>
    <row r="4226" spans="42:51">
      <c r="AP4226" s="1855">
        <f t="shared" si="667"/>
        <v>44957</v>
      </c>
      <c r="AQ4226" s="925" t="str">
        <f t="shared" si="669"/>
        <v/>
      </c>
      <c r="AR4226" s="1856" t="str">
        <f t="shared" si="668"/>
        <v/>
      </c>
      <c r="AT4226" s="1856" t="str">
        <f t="shared" si="661"/>
        <v/>
      </c>
      <c r="AU4226" s="1856" t="str">
        <f t="shared" si="662"/>
        <v/>
      </c>
      <c r="AV4226" s="1856" t="str">
        <f t="shared" si="663"/>
        <v/>
      </c>
      <c r="AW4226" s="1856" t="str">
        <f t="shared" si="664"/>
        <v/>
      </c>
      <c r="AX4226" s="1856" t="str">
        <f t="shared" si="665"/>
        <v/>
      </c>
      <c r="AY4226" s="1856" t="str">
        <f t="shared" si="666"/>
        <v/>
      </c>
    </row>
    <row r="4227" spans="42:51">
      <c r="AP4227" s="1855">
        <f t="shared" si="667"/>
        <v>44957</v>
      </c>
      <c r="AQ4227" s="925" t="str">
        <f t="shared" si="669"/>
        <v/>
      </c>
      <c r="AR4227" s="1856" t="str">
        <f t="shared" si="668"/>
        <v/>
      </c>
      <c r="AT4227" s="1856" t="str">
        <f t="shared" si="661"/>
        <v/>
      </c>
      <c r="AU4227" s="1856" t="str">
        <f t="shared" si="662"/>
        <v/>
      </c>
      <c r="AV4227" s="1856" t="str">
        <f t="shared" si="663"/>
        <v/>
      </c>
      <c r="AW4227" s="1856" t="str">
        <f t="shared" si="664"/>
        <v/>
      </c>
      <c r="AX4227" s="1856" t="str">
        <f t="shared" si="665"/>
        <v/>
      </c>
      <c r="AY4227" s="1856" t="str">
        <f t="shared" si="666"/>
        <v/>
      </c>
    </row>
    <row r="4228" spans="42:51">
      <c r="AP4228" s="1855">
        <f t="shared" si="667"/>
        <v>44957</v>
      </c>
      <c r="AQ4228" s="925" t="str">
        <f t="shared" si="669"/>
        <v/>
      </c>
      <c r="AR4228" s="1856" t="str">
        <f t="shared" si="668"/>
        <v/>
      </c>
      <c r="AT4228" s="1856" t="str">
        <f t="shared" si="661"/>
        <v/>
      </c>
      <c r="AU4228" s="1856" t="str">
        <f t="shared" si="662"/>
        <v/>
      </c>
      <c r="AV4228" s="1856" t="str">
        <f t="shared" si="663"/>
        <v/>
      </c>
      <c r="AW4228" s="1856" t="str">
        <f t="shared" si="664"/>
        <v/>
      </c>
      <c r="AX4228" s="1856" t="str">
        <f t="shared" si="665"/>
        <v/>
      </c>
      <c r="AY4228" s="1856" t="str">
        <f t="shared" si="666"/>
        <v/>
      </c>
    </row>
    <row r="4229" spans="42:51">
      <c r="AP4229" s="1855">
        <f t="shared" si="667"/>
        <v>44957</v>
      </c>
      <c r="AQ4229" s="925" t="str">
        <f t="shared" si="669"/>
        <v/>
      </c>
      <c r="AR4229" s="1856" t="str">
        <f t="shared" si="668"/>
        <v/>
      </c>
      <c r="AT4229" s="1856" t="str">
        <f t="shared" si="661"/>
        <v/>
      </c>
      <c r="AU4229" s="1856" t="str">
        <f t="shared" si="662"/>
        <v/>
      </c>
      <c r="AV4229" s="1856" t="str">
        <f t="shared" si="663"/>
        <v/>
      </c>
      <c r="AW4229" s="1856" t="str">
        <f t="shared" si="664"/>
        <v/>
      </c>
      <c r="AX4229" s="1856" t="str">
        <f t="shared" si="665"/>
        <v/>
      </c>
      <c r="AY4229" s="1856" t="str">
        <f t="shared" si="666"/>
        <v/>
      </c>
    </row>
    <row r="4230" spans="42:51">
      <c r="AP4230" s="1855">
        <f t="shared" si="667"/>
        <v>44957</v>
      </c>
      <c r="AQ4230" s="925" t="str">
        <f t="shared" si="669"/>
        <v/>
      </c>
      <c r="AR4230" s="1856" t="str">
        <f t="shared" si="668"/>
        <v/>
      </c>
      <c r="AT4230" s="1856" t="str">
        <f t="shared" si="661"/>
        <v/>
      </c>
      <c r="AU4230" s="1856" t="str">
        <f t="shared" si="662"/>
        <v/>
      </c>
      <c r="AV4230" s="1856" t="str">
        <f t="shared" si="663"/>
        <v/>
      </c>
      <c r="AW4230" s="1856" t="str">
        <f t="shared" si="664"/>
        <v/>
      </c>
      <c r="AX4230" s="1856" t="str">
        <f t="shared" si="665"/>
        <v/>
      </c>
      <c r="AY4230" s="1856" t="str">
        <f t="shared" si="666"/>
        <v/>
      </c>
    </row>
    <row r="4231" spans="42:51">
      <c r="AP4231" s="1855">
        <f t="shared" si="667"/>
        <v>44957</v>
      </c>
      <c r="AQ4231" s="925" t="str">
        <f t="shared" si="669"/>
        <v/>
      </c>
      <c r="AR4231" s="1856" t="str">
        <f t="shared" si="668"/>
        <v/>
      </c>
      <c r="AT4231" s="1856" t="str">
        <f t="shared" si="661"/>
        <v/>
      </c>
      <c r="AU4231" s="1856" t="str">
        <f t="shared" si="662"/>
        <v/>
      </c>
      <c r="AV4231" s="1856" t="str">
        <f t="shared" si="663"/>
        <v/>
      </c>
      <c r="AW4231" s="1856" t="str">
        <f t="shared" si="664"/>
        <v/>
      </c>
      <c r="AX4231" s="1856" t="str">
        <f t="shared" si="665"/>
        <v/>
      </c>
      <c r="AY4231" s="1856" t="str">
        <f t="shared" si="666"/>
        <v/>
      </c>
    </row>
    <row r="4232" spans="42:51">
      <c r="AP4232" s="1855">
        <f t="shared" si="667"/>
        <v>44957</v>
      </c>
      <c r="AQ4232" s="925" t="str">
        <f t="shared" si="669"/>
        <v/>
      </c>
      <c r="AR4232" s="1856" t="str">
        <f t="shared" si="668"/>
        <v/>
      </c>
      <c r="AT4232" s="1856" t="str">
        <f t="shared" si="661"/>
        <v/>
      </c>
      <c r="AU4232" s="1856" t="str">
        <f t="shared" si="662"/>
        <v/>
      </c>
      <c r="AV4232" s="1856" t="str">
        <f t="shared" si="663"/>
        <v/>
      </c>
      <c r="AW4232" s="1856" t="str">
        <f t="shared" si="664"/>
        <v/>
      </c>
      <c r="AX4232" s="1856" t="str">
        <f t="shared" si="665"/>
        <v/>
      </c>
      <c r="AY4232" s="1856" t="str">
        <f t="shared" si="666"/>
        <v/>
      </c>
    </row>
    <row r="4233" spans="42:51">
      <c r="AP4233" s="1855">
        <f t="shared" si="667"/>
        <v>44957</v>
      </c>
      <c r="AQ4233" s="925" t="str">
        <f t="shared" si="669"/>
        <v/>
      </c>
      <c r="AR4233" s="1856" t="str">
        <f t="shared" si="668"/>
        <v/>
      </c>
      <c r="AT4233" s="1856" t="str">
        <f t="shared" si="661"/>
        <v/>
      </c>
      <c r="AU4233" s="1856" t="str">
        <f t="shared" si="662"/>
        <v/>
      </c>
      <c r="AV4233" s="1856" t="str">
        <f t="shared" si="663"/>
        <v/>
      </c>
      <c r="AW4233" s="1856" t="str">
        <f t="shared" si="664"/>
        <v/>
      </c>
      <c r="AX4233" s="1856" t="str">
        <f t="shared" si="665"/>
        <v/>
      </c>
      <c r="AY4233" s="1856" t="str">
        <f t="shared" si="666"/>
        <v/>
      </c>
    </row>
    <row r="4234" spans="42:51">
      <c r="AP4234" s="1855">
        <f t="shared" si="667"/>
        <v>44957</v>
      </c>
      <c r="AQ4234" s="925" t="str">
        <f t="shared" si="669"/>
        <v/>
      </c>
      <c r="AR4234" s="1856" t="str">
        <f t="shared" si="668"/>
        <v/>
      </c>
      <c r="AT4234" s="1856" t="str">
        <f t="shared" si="661"/>
        <v/>
      </c>
      <c r="AU4234" s="1856" t="str">
        <f t="shared" si="662"/>
        <v/>
      </c>
      <c r="AV4234" s="1856" t="str">
        <f t="shared" si="663"/>
        <v/>
      </c>
      <c r="AW4234" s="1856" t="str">
        <f t="shared" si="664"/>
        <v/>
      </c>
      <c r="AX4234" s="1856" t="str">
        <f t="shared" si="665"/>
        <v/>
      </c>
      <c r="AY4234" s="1856" t="str">
        <f t="shared" si="666"/>
        <v/>
      </c>
    </row>
    <row r="4235" spans="42:51">
      <c r="AP4235" s="1855">
        <f t="shared" si="667"/>
        <v>44957</v>
      </c>
      <c r="AQ4235" s="925" t="str">
        <f t="shared" si="669"/>
        <v/>
      </c>
      <c r="AR4235" s="1856" t="str">
        <f t="shared" si="668"/>
        <v/>
      </c>
      <c r="AT4235" s="1856" t="str">
        <f t="shared" si="661"/>
        <v/>
      </c>
      <c r="AU4235" s="1856" t="str">
        <f t="shared" si="662"/>
        <v/>
      </c>
      <c r="AV4235" s="1856" t="str">
        <f t="shared" si="663"/>
        <v/>
      </c>
      <c r="AW4235" s="1856" t="str">
        <f t="shared" si="664"/>
        <v/>
      </c>
      <c r="AX4235" s="1856" t="str">
        <f t="shared" si="665"/>
        <v/>
      </c>
      <c r="AY4235" s="1856" t="str">
        <f t="shared" si="666"/>
        <v/>
      </c>
    </row>
    <row r="4236" spans="42:51">
      <c r="AP4236" s="1855">
        <f t="shared" si="667"/>
        <v>44957</v>
      </c>
      <c r="AQ4236" s="925" t="str">
        <f t="shared" si="669"/>
        <v/>
      </c>
      <c r="AR4236" s="1856" t="str">
        <f t="shared" si="668"/>
        <v/>
      </c>
      <c r="AT4236" s="1856" t="str">
        <f t="shared" si="661"/>
        <v/>
      </c>
      <c r="AU4236" s="1856" t="str">
        <f t="shared" si="662"/>
        <v/>
      </c>
      <c r="AV4236" s="1856" t="str">
        <f t="shared" si="663"/>
        <v/>
      </c>
      <c r="AW4236" s="1856" t="str">
        <f t="shared" si="664"/>
        <v/>
      </c>
      <c r="AX4236" s="1856" t="str">
        <f t="shared" si="665"/>
        <v/>
      </c>
      <c r="AY4236" s="1856" t="str">
        <f t="shared" si="666"/>
        <v/>
      </c>
    </row>
    <row r="4237" spans="42:51">
      <c r="AP4237" s="1855">
        <f t="shared" si="667"/>
        <v>44957</v>
      </c>
      <c r="AQ4237" s="925" t="str">
        <f t="shared" si="669"/>
        <v/>
      </c>
      <c r="AR4237" s="1856" t="str">
        <f t="shared" si="668"/>
        <v/>
      </c>
      <c r="AT4237" s="1856" t="str">
        <f t="shared" si="661"/>
        <v/>
      </c>
      <c r="AU4237" s="1856" t="str">
        <f t="shared" si="662"/>
        <v/>
      </c>
      <c r="AV4237" s="1856" t="str">
        <f t="shared" si="663"/>
        <v/>
      </c>
      <c r="AW4237" s="1856" t="str">
        <f t="shared" si="664"/>
        <v/>
      </c>
      <c r="AX4237" s="1856" t="str">
        <f t="shared" si="665"/>
        <v/>
      </c>
      <c r="AY4237" s="1856" t="str">
        <f t="shared" si="666"/>
        <v/>
      </c>
    </row>
    <row r="4238" spans="42:51">
      <c r="AP4238" s="1855">
        <f t="shared" si="667"/>
        <v>44957</v>
      </c>
      <c r="AQ4238" s="925" t="str">
        <f t="shared" si="669"/>
        <v/>
      </c>
      <c r="AR4238" s="1856" t="str">
        <f t="shared" si="668"/>
        <v/>
      </c>
      <c r="AT4238" s="1856" t="str">
        <f t="shared" si="661"/>
        <v/>
      </c>
      <c r="AU4238" s="1856" t="str">
        <f t="shared" si="662"/>
        <v/>
      </c>
      <c r="AV4238" s="1856" t="str">
        <f t="shared" si="663"/>
        <v/>
      </c>
      <c r="AW4238" s="1856" t="str">
        <f t="shared" si="664"/>
        <v/>
      </c>
      <c r="AX4238" s="1856" t="str">
        <f t="shared" si="665"/>
        <v/>
      </c>
      <c r="AY4238" s="1856" t="str">
        <f t="shared" si="666"/>
        <v/>
      </c>
    </row>
    <row r="4239" spans="42:51">
      <c r="AP4239" s="1855">
        <f t="shared" si="667"/>
        <v>44957</v>
      </c>
      <c r="AQ4239" s="925" t="str">
        <f t="shared" si="669"/>
        <v/>
      </c>
      <c r="AR4239" s="1856" t="str">
        <f t="shared" si="668"/>
        <v/>
      </c>
      <c r="AT4239" s="1856" t="str">
        <f t="shared" si="661"/>
        <v/>
      </c>
      <c r="AU4239" s="1856" t="str">
        <f t="shared" si="662"/>
        <v/>
      </c>
      <c r="AV4239" s="1856" t="str">
        <f t="shared" si="663"/>
        <v/>
      </c>
      <c r="AW4239" s="1856" t="str">
        <f t="shared" si="664"/>
        <v/>
      </c>
      <c r="AX4239" s="1856" t="str">
        <f t="shared" si="665"/>
        <v/>
      </c>
      <c r="AY4239" s="1856" t="str">
        <f t="shared" si="666"/>
        <v/>
      </c>
    </row>
    <row r="4240" spans="42:51">
      <c r="AP4240" s="1855">
        <f t="shared" si="667"/>
        <v>44957</v>
      </c>
      <c r="AQ4240" s="925" t="str">
        <f t="shared" si="669"/>
        <v/>
      </c>
      <c r="AR4240" s="1856" t="str">
        <f t="shared" si="668"/>
        <v/>
      </c>
      <c r="AT4240" s="1856" t="str">
        <f t="shared" si="661"/>
        <v/>
      </c>
      <c r="AU4240" s="1856" t="str">
        <f t="shared" si="662"/>
        <v/>
      </c>
      <c r="AV4240" s="1856" t="str">
        <f t="shared" si="663"/>
        <v/>
      </c>
      <c r="AW4240" s="1856" t="str">
        <f t="shared" si="664"/>
        <v/>
      </c>
      <c r="AX4240" s="1856" t="str">
        <f t="shared" si="665"/>
        <v/>
      </c>
      <c r="AY4240" s="1856" t="str">
        <f t="shared" si="666"/>
        <v/>
      </c>
    </row>
    <row r="4241" spans="42:51">
      <c r="AP4241" s="1855">
        <f t="shared" si="667"/>
        <v>44957</v>
      </c>
      <c r="AQ4241" s="925" t="str">
        <f t="shared" si="669"/>
        <v/>
      </c>
      <c r="AR4241" s="1856" t="str">
        <f t="shared" si="668"/>
        <v/>
      </c>
      <c r="AT4241" s="1856" t="str">
        <f t="shared" si="661"/>
        <v/>
      </c>
      <c r="AU4241" s="1856" t="str">
        <f t="shared" si="662"/>
        <v/>
      </c>
      <c r="AV4241" s="1856" t="str">
        <f t="shared" si="663"/>
        <v/>
      </c>
      <c r="AW4241" s="1856" t="str">
        <f t="shared" si="664"/>
        <v/>
      </c>
      <c r="AX4241" s="1856" t="str">
        <f t="shared" si="665"/>
        <v/>
      </c>
      <c r="AY4241" s="1856" t="str">
        <f t="shared" si="666"/>
        <v/>
      </c>
    </row>
    <row r="4242" spans="42:51">
      <c r="AP4242" s="1855">
        <f t="shared" si="667"/>
        <v>44957</v>
      </c>
      <c r="AQ4242" s="925" t="str">
        <f t="shared" si="669"/>
        <v/>
      </c>
      <c r="AR4242" s="1856" t="str">
        <f t="shared" si="668"/>
        <v/>
      </c>
      <c r="AT4242" s="1856" t="str">
        <f t="shared" si="661"/>
        <v/>
      </c>
      <c r="AU4242" s="1856" t="str">
        <f t="shared" si="662"/>
        <v/>
      </c>
      <c r="AV4242" s="1856" t="str">
        <f t="shared" si="663"/>
        <v/>
      </c>
      <c r="AW4242" s="1856" t="str">
        <f t="shared" si="664"/>
        <v/>
      </c>
      <c r="AX4242" s="1856" t="str">
        <f t="shared" si="665"/>
        <v/>
      </c>
      <c r="AY4242" s="1856" t="str">
        <f t="shared" si="666"/>
        <v/>
      </c>
    </row>
    <row r="4243" spans="42:51">
      <c r="AP4243" s="1855">
        <f t="shared" si="667"/>
        <v>44957</v>
      </c>
      <c r="AQ4243" s="925" t="str">
        <f t="shared" si="669"/>
        <v/>
      </c>
      <c r="AR4243" s="1856" t="str">
        <f t="shared" si="668"/>
        <v/>
      </c>
      <c r="AT4243" s="1856" t="str">
        <f t="shared" si="661"/>
        <v/>
      </c>
      <c r="AU4243" s="1856" t="str">
        <f t="shared" si="662"/>
        <v/>
      </c>
      <c r="AV4243" s="1856" t="str">
        <f t="shared" si="663"/>
        <v/>
      </c>
      <c r="AW4243" s="1856" t="str">
        <f t="shared" si="664"/>
        <v/>
      </c>
      <c r="AX4243" s="1856" t="str">
        <f t="shared" si="665"/>
        <v/>
      </c>
      <c r="AY4243" s="1856" t="str">
        <f t="shared" si="666"/>
        <v/>
      </c>
    </row>
    <row r="4244" spans="42:51">
      <c r="AP4244" s="1855">
        <f t="shared" si="667"/>
        <v>44957</v>
      </c>
      <c r="AQ4244" s="925" t="str">
        <f t="shared" si="669"/>
        <v/>
      </c>
      <c r="AR4244" s="1856" t="str">
        <f t="shared" si="668"/>
        <v/>
      </c>
      <c r="AT4244" s="1856" t="str">
        <f t="shared" si="661"/>
        <v/>
      </c>
      <c r="AU4244" s="1856" t="str">
        <f t="shared" si="662"/>
        <v/>
      </c>
      <c r="AV4244" s="1856" t="str">
        <f t="shared" si="663"/>
        <v/>
      </c>
      <c r="AW4244" s="1856" t="str">
        <f t="shared" si="664"/>
        <v/>
      </c>
      <c r="AX4244" s="1856" t="str">
        <f t="shared" si="665"/>
        <v/>
      </c>
      <c r="AY4244" s="1856" t="str">
        <f t="shared" si="666"/>
        <v/>
      </c>
    </row>
    <row r="4245" spans="42:51">
      <c r="AP4245" s="1855">
        <f t="shared" si="667"/>
        <v>44957</v>
      </c>
      <c r="AQ4245" s="925" t="str">
        <f t="shared" si="669"/>
        <v/>
      </c>
      <c r="AR4245" s="1856" t="str">
        <f t="shared" si="668"/>
        <v/>
      </c>
      <c r="AT4245" s="1856" t="str">
        <f t="shared" si="661"/>
        <v/>
      </c>
      <c r="AU4245" s="1856" t="str">
        <f t="shared" si="662"/>
        <v/>
      </c>
      <c r="AV4245" s="1856" t="str">
        <f t="shared" si="663"/>
        <v/>
      </c>
      <c r="AW4245" s="1856" t="str">
        <f t="shared" si="664"/>
        <v/>
      </c>
      <c r="AX4245" s="1856" t="str">
        <f t="shared" si="665"/>
        <v/>
      </c>
      <c r="AY4245" s="1856" t="str">
        <f t="shared" si="666"/>
        <v/>
      </c>
    </row>
    <row r="4246" spans="42:51">
      <c r="AP4246" s="1855">
        <f t="shared" si="667"/>
        <v>44957</v>
      </c>
      <c r="AQ4246" s="925" t="str">
        <f t="shared" si="669"/>
        <v/>
      </c>
      <c r="AR4246" s="1856" t="str">
        <f t="shared" si="668"/>
        <v/>
      </c>
      <c r="AT4246" s="1856" t="str">
        <f t="shared" si="661"/>
        <v/>
      </c>
      <c r="AU4246" s="1856" t="str">
        <f t="shared" si="662"/>
        <v/>
      </c>
      <c r="AV4246" s="1856" t="str">
        <f t="shared" si="663"/>
        <v/>
      </c>
      <c r="AW4246" s="1856" t="str">
        <f t="shared" si="664"/>
        <v/>
      </c>
      <c r="AX4246" s="1856" t="str">
        <f t="shared" si="665"/>
        <v/>
      </c>
      <c r="AY4246" s="1856" t="str">
        <f t="shared" si="666"/>
        <v/>
      </c>
    </row>
    <row r="4247" spans="42:51">
      <c r="AP4247" s="1855">
        <f t="shared" si="667"/>
        <v>44957</v>
      </c>
      <c r="AQ4247" s="925" t="str">
        <f t="shared" si="669"/>
        <v/>
      </c>
      <c r="AR4247" s="1856" t="str">
        <f t="shared" si="668"/>
        <v/>
      </c>
      <c r="AT4247" s="1856" t="str">
        <f t="shared" si="661"/>
        <v/>
      </c>
      <c r="AU4247" s="1856" t="str">
        <f t="shared" si="662"/>
        <v/>
      </c>
      <c r="AV4247" s="1856" t="str">
        <f t="shared" si="663"/>
        <v/>
      </c>
      <c r="AW4247" s="1856" t="str">
        <f t="shared" si="664"/>
        <v/>
      </c>
      <c r="AX4247" s="1856" t="str">
        <f t="shared" si="665"/>
        <v/>
      </c>
      <c r="AY4247" s="1856" t="str">
        <f t="shared" si="666"/>
        <v/>
      </c>
    </row>
    <row r="4248" spans="42:51">
      <c r="AP4248" s="1855">
        <f t="shared" si="667"/>
        <v>44957</v>
      </c>
      <c r="AQ4248" s="925" t="str">
        <f t="shared" si="669"/>
        <v/>
      </c>
      <c r="AR4248" s="1856" t="str">
        <f t="shared" si="668"/>
        <v/>
      </c>
      <c r="AT4248" s="1856" t="str">
        <f t="shared" si="661"/>
        <v/>
      </c>
      <c r="AU4248" s="1856" t="str">
        <f t="shared" si="662"/>
        <v/>
      </c>
      <c r="AV4248" s="1856" t="str">
        <f t="shared" si="663"/>
        <v/>
      </c>
      <c r="AW4248" s="1856" t="str">
        <f t="shared" si="664"/>
        <v/>
      </c>
      <c r="AX4248" s="1856" t="str">
        <f t="shared" si="665"/>
        <v/>
      </c>
      <c r="AY4248" s="1856" t="str">
        <f t="shared" si="666"/>
        <v/>
      </c>
    </row>
    <row r="4249" spans="42:51">
      <c r="AP4249" s="1855">
        <f t="shared" si="667"/>
        <v>44957</v>
      </c>
      <c r="AQ4249" s="925" t="str">
        <f t="shared" si="669"/>
        <v/>
      </c>
      <c r="AR4249" s="1856" t="str">
        <f t="shared" si="668"/>
        <v/>
      </c>
      <c r="AT4249" s="1856" t="str">
        <f t="shared" si="661"/>
        <v/>
      </c>
      <c r="AU4249" s="1856" t="str">
        <f t="shared" si="662"/>
        <v/>
      </c>
      <c r="AV4249" s="1856" t="str">
        <f t="shared" si="663"/>
        <v/>
      </c>
      <c r="AW4249" s="1856" t="str">
        <f t="shared" si="664"/>
        <v/>
      </c>
      <c r="AX4249" s="1856" t="str">
        <f t="shared" si="665"/>
        <v/>
      </c>
      <c r="AY4249" s="1856" t="str">
        <f t="shared" si="666"/>
        <v/>
      </c>
    </row>
    <row r="4250" spans="42:51">
      <c r="AP4250" s="1855">
        <f t="shared" si="667"/>
        <v>44957</v>
      </c>
      <c r="AQ4250" s="925" t="str">
        <f t="shared" si="669"/>
        <v/>
      </c>
      <c r="AR4250" s="1856" t="str">
        <f t="shared" si="668"/>
        <v/>
      </c>
      <c r="AT4250" s="1856" t="str">
        <f t="shared" si="661"/>
        <v/>
      </c>
      <c r="AU4250" s="1856" t="str">
        <f t="shared" si="662"/>
        <v/>
      </c>
      <c r="AV4250" s="1856" t="str">
        <f t="shared" si="663"/>
        <v/>
      </c>
      <c r="AW4250" s="1856" t="str">
        <f t="shared" si="664"/>
        <v/>
      </c>
      <c r="AX4250" s="1856" t="str">
        <f t="shared" si="665"/>
        <v/>
      </c>
      <c r="AY4250" s="1856" t="str">
        <f t="shared" si="666"/>
        <v/>
      </c>
    </row>
    <row r="4251" spans="42:51">
      <c r="AP4251" s="1855">
        <f t="shared" si="667"/>
        <v>44957</v>
      </c>
      <c r="AQ4251" s="925" t="str">
        <f t="shared" si="669"/>
        <v/>
      </c>
      <c r="AR4251" s="1856" t="str">
        <f t="shared" si="668"/>
        <v/>
      </c>
      <c r="AT4251" s="1856" t="str">
        <f t="shared" si="661"/>
        <v/>
      </c>
      <c r="AU4251" s="1856" t="str">
        <f t="shared" si="662"/>
        <v/>
      </c>
      <c r="AV4251" s="1856" t="str">
        <f t="shared" si="663"/>
        <v/>
      </c>
      <c r="AW4251" s="1856" t="str">
        <f t="shared" si="664"/>
        <v/>
      </c>
      <c r="AX4251" s="1856" t="str">
        <f t="shared" si="665"/>
        <v/>
      </c>
      <c r="AY4251" s="1856" t="str">
        <f t="shared" si="666"/>
        <v/>
      </c>
    </row>
    <row r="4252" spans="42:51">
      <c r="AP4252" s="1855">
        <f t="shared" si="667"/>
        <v>44957</v>
      </c>
      <c r="AQ4252" s="925" t="str">
        <f t="shared" si="669"/>
        <v/>
      </c>
      <c r="AR4252" s="1856" t="str">
        <f t="shared" si="668"/>
        <v/>
      </c>
      <c r="AT4252" s="1856" t="str">
        <f t="shared" ref="AT4252:AT4315" si="670">IF(ISNUMBER(AS4252),INDEX(AR4253:AR4263,MATCH($AT$27,AQ4253:AQ4263,0)),"")</f>
        <v/>
      </c>
      <c r="AU4252" s="1856" t="str">
        <f t="shared" ref="AU4252:AU4315" si="671">IF(AT4252="","",INDEX(AR4253:AR4263,MATCH($AU$27,AQ4253:AQ4263,0)))</f>
        <v/>
      </c>
      <c r="AV4252" s="1856" t="str">
        <f t="shared" ref="AV4252:AV4315" si="672">IF(AT4252="","",INDEX(AR4253:AR4263,MATCH($AV$27,AQ4253:AQ4263,0)))</f>
        <v/>
      </c>
      <c r="AW4252" s="1856" t="str">
        <f t="shared" ref="AW4252:AW4315" si="673">IF(AT4252="","",INDEX(AR4253:AR4263,MATCH($AW$27,AQ4253:AQ4263,0)))</f>
        <v/>
      </c>
      <c r="AX4252" s="1856" t="str">
        <f t="shared" ref="AX4252:AX4315" si="674">IF(AT4252="","",INDEX(AR4253:AR4263,MATCH($AX$27,AQ4253:AQ4263,0)))</f>
        <v/>
      </c>
      <c r="AY4252" s="1856" t="str">
        <f t="shared" ref="AY4252:AY4315" si="675">IF(AT4252="","",INDEX(AR4253:AR4263,MATCH($AY$27,AQ4253:AQ4263,0)))</f>
        <v/>
      </c>
    </row>
    <row r="4253" spans="42:51">
      <c r="AP4253" s="1855">
        <f t="shared" si="667"/>
        <v>44957</v>
      </c>
      <c r="AQ4253" s="925" t="str">
        <f t="shared" si="669"/>
        <v/>
      </c>
      <c r="AR4253" s="1856" t="str">
        <f t="shared" si="668"/>
        <v/>
      </c>
      <c r="AT4253" s="1856" t="str">
        <f t="shared" si="670"/>
        <v/>
      </c>
      <c r="AU4253" s="1856" t="str">
        <f t="shared" si="671"/>
        <v/>
      </c>
      <c r="AV4253" s="1856" t="str">
        <f t="shared" si="672"/>
        <v/>
      </c>
      <c r="AW4253" s="1856" t="str">
        <f t="shared" si="673"/>
        <v/>
      </c>
      <c r="AX4253" s="1856" t="str">
        <f t="shared" si="674"/>
        <v/>
      </c>
      <c r="AY4253" s="1856" t="str">
        <f t="shared" si="675"/>
        <v/>
      </c>
    </row>
    <row r="4254" spans="42:51">
      <c r="AP4254" s="1855">
        <f t="shared" si="667"/>
        <v>44957</v>
      </c>
      <c r="AQ4254" s="925" t="str">
        <f t="shared" si="669"/>
        <v/>
      </c>
      <c r="AR4254" s="1856" t="str">
        <f t="shared" si="668"/>
        <v/>
      </c>
      <c r="AT4254" s="1856" t="str">
        <f t="shared" si="670"/>
        <v/>
      </c>
      <c r="AU4254" s="1856" t="str">
        <f t="shared" si="671"/>
        <v/>
      </c>
      <c r="AV4254" s="1856" t="str">
        <f t="shared" si="672"/>
        <v/>
      </c>
      <c r="AW4254" s="1856" t="str">
        <f t="shared" si="673"/>
        <v/>
      </c>
      <c r="AX4254" s="1856" t="str">
        <f t="shared" si="674"/>
        <v/>
      </c>
      <c r="AY4254" s="1856" t="str">
        <f t="shared" si="675"/>
        <v/>
      </c>
    </row>
    <row r="4255" spans="42:51">
      <c r="AP4255" s="1855">
        <f t="shared" si="667"/>
        <v>44957</v>
      </c>
      <c r="AQ4255" s="925" t="str">
        <f t="shared" si="669"/>
        <v/>
      </c>
      <c r="AR4255" s="1856" t="str">
        <f t="shared" si="668"/>
        <v/>
      </c>
      <c r="AT4255" s="1856" t="str">
        <f t="shared" si="670"/>
        <v/>
      </c>
      <c r="AU4255" s="1856" t="str">
        <f t="shared" si="671"/>
        <v/>
      </c>
      <c r="AV4255" s="1856" t="str">
        <f t="shared" si="672"/>
        <v/>
      </c>
      <c r="AW4255" s="1856" t="str">
        <f t="shared" si="673"/>
        <v/>
      </c>
      <c r="AX4255" s="1856" t="str">
        <f t="shared" si="674"/>
        <v/>
      </c>
      <c r="AY4255" s="1856" t="str">
        <f t="shared" si="675"/>
        <v/>
      </c>
    </row>
    <row r="4256" spans="42:51">
      <c r="AP4256" s="1855">
        <f t="shared" si="667"/>
        <v>44957</v>
      </c>
      <c r="AQ4256" s="925" t="str">
        <f t="shared" si="669"/>
        <v/>
      </c>
      <c r="AR4256" s="1856" t="str">
        <f t="shared" si="668"/>
        <v/>
      </c>
      <c r="AT4256" s="1856" t="str">
        <f t="shared" si="670"/>
        <v/>
      </c>
      <c r="AU4256" s="1856" t="str">
        <f t="shared" si="671"/>
        <v/>
      </c>
      <c r="AV4256" s="1856" t="str">
        <f t="shared" si="672"/>
        <v/>
      </c>
      <c r="AW4256" s="1856" t="str">
        <f t="shared" si="673"/>
        <v/>
      </c>
      <c r="AX4256" s="1856" t="str">
        <f t="shared" si="674"/>
        <v/>
      </c>
      <c r="AY4256" s="1856" t="str">
        <f t="shared" si="675"/>
        <v/>
      </c>
    </row>
    <row r="4257" spans="42:51">
      <c r="AP4257" s="1855">
        <f t="shared" si="667"/>
        <v>44957</v>
      </c>
      <c r="AQ4257" s="925" t="str">
        <f t="shared" si="669"/>
        <v/>
      </c>
      <c r="AR4257" s="1856" t="str">
        <f t="shared" si="668"/>
        <v/>
      </c>
      <c r="AT4257" s="1856" t="str">
        <f t="shared" si="670"/>
        <v/>
      </c>
      <c r="AU4257" s="1856" t="str">
        <f t="shared" si="671"/>
        <v/>
      </c>
      <c r="AV4257" s="1856" t="str">
        <f t="shared" si="672"/>
        <v/>
      </c>
      <c r="AW4257" s="1856" t="str">
        <f t="shared" si="673"/>
        <v/>
      </c>
      <c r="AX4257" s="1856" t="str">
        <f t="shared" si="674"/>
        <v/>
      </c>
      <c r="AY4257" s="1856" t="str">
        <f t="shared" si="675"/>
        <v/>
      </c>
    </row>
    <row r="4258" spans="42:51">
      <c r="AP4258" s="1855">
        <f t="shared" si="667"/>
        <v>44957</v>
      </c>
      <c r="AQ4258" s="925" t="str">
        <f t="shared" si="669"/>
        <v/>
      </c>
      <c r="AR4258" s="1856" t="str">
        <f t="shared" si="668"/>
        <v/>
      </c>
      <c r="AT4258" s="1856" t="str">
        <f t="shared" si="670"/>
        <v/>
      </c>
      <c r="AU4258" s="1856" t="str">
        <f t="shared" si="671"/>
        <v/>
      </c>
      <c r="AV4258" s="1856" t="str">
        <f t="shared" si="672"/>
        <v/>
      </c>
      <c r="AW4258" s="1856" t="str">
        <f t="shared" si="673"/>
        <v/>
      </c>
      <c r="AX4258" s="1856" t="str">
        <f t="shared" si="674"/>
        <v/>
      </c>
      <c r="AY4258" s="1856" t="str">
        <f t="shared" si="675"/>
        <v/>
      </c>
    </row>
    <row r="4259" spans="42:51">
      <c r="AP4259" s="1855">
        <f t="shared" si="667"/>
        <v>44957</v>
      </c>
      <c r="AQ4259" s="925" t="str">
        <f t="shared" si="669"/>
        <v/>
      </c>
      <c r="AR4259" s="1856" t="str">
        <f t="shared" si="668"/>
        <v/>
      </c>
      <c r="AT4259" s="1856" t="str">
        <f t="shared" si="670"/>
        <v/>
      </c>
      <c r="AU4259" s="1856" t="str">
        <f t="shared" si="671"/>
        <v/>
      </c>
      <c r="AV4259" s="1856" t="str">
        <f t="shared" si="672"/>
        <v/>
      </c>
      <c r="AW4259" s="1856" t="str">
        <f t="shared" si="673"/>
        <v/>
      </c>
      <c r="AX4259" s="1856" t="str">
        <f t="shared" si="674"/>
        <v/>
      </c>
      <c r="AY4259" s="1856" t="str">
        <f t="shared" si="675"/>
        <v/>
      </c>
    </row>
    <row r="4260" spans="42:51">
      <c r="AP4260" s="1855">
        <f t="shared" si="667"/>
        <v>44957</v>
      </c>
      <c r="AQ4260" s="925" t="str">
        <f t="shared" si="669"/>
        <v/>
      </c>
      <c r="AR4260" s="1856" t="str">
        <f t="shared" si="668"/>
        <v/>
      </c>
      <c r="AT4260" s="1856" t="str">
        <f t="shared" si="670"/>
        <v/>
      </c>
      <c r="AU4260" s="1856" t="str">
        <f t="shared" si="671"/>
        <v/>
      </c>
      <c r="AV4260" s="1856" t="str">
        <f t="shared" si="672"/>
        <v/>
      </c>
      <c r="AW4260" s="1856" t="str">
        <f t="shared" si="673"/>
        <v/>
      </c>
      <c r="AX4260" s="1856" t="str">
        <f t="shared" si="674"/>
        <v/>
      </c>
      <c r="AY4260" s="1856" t="str">
        <f t="shared" si="675"/>
        <v/>
      </c>
    </row>
    <row r="4261" spans="42:51">
      <c r="AP4261" s="1855">
        <f t="shared" ref="AP4261:AP4324" si="676">IF(ISNUMBER(AS4261),AP4260+1,AP4260)</f>
        <v>44957</v>
      </c>
      <c r="AQ4261" s="925" t="str">
        <f t="shared" si="669"/>
        <v/>
      </c>
      <c r="AR4261" s="1856" t="str">
        <f t="shared" si="668"/>
        <v/>
      </c>
      <c r="AT4261" s="1856" t="str">
        <f t="shared" si="670"/>
        <v/>
      </c>
      <c r="AU4261" s="1856" t="str">
        <f t="shared" si="671"/>
        <v/>
      </c>
      <c r="AV4261" s="1856" t="str">
        <f t="shared" si="672"/>
        <v/>
      </c>
      <c r="AW4261" s="1856" t="str">
        <f t="shared" si="673"/>
        <v/>
      </c>
      <c r="AX4261" s="1856" t="str">
        <f t="shared" si="674"/>
        <v/>
      </c>
      <c r="AY4261" s="1856" t="str">
        <f t="shared" si="675"/>
        <v/>
      </c>
    </row>
    <row r="4262" spans="42:51">
      <c r="AP4262" s="1855">
        <f t="shared" si="676"/>
        <v>44957</v>
      </c>
      <c r="AQ4262" s="925" t="str">
        <f t="shared" si="669"/>
        <v/>
      </c>
      <c r="AR4262" s="1856" t="str">
        <f t="shared" si="668"/>
        <v/>
      </c>
      <c r="AT4262" s="1856" t="str">
        <f t="shared" si="670"/>
        <v/>
      </c>
      <c r="AU4262" s="1856" t="str">
        <f t="shared" si="671"/>
        <v/>
      </c>
      <c r="AV4262" s="1856" t="str">
        <f t="shared" si="672"/>
        <v/>
      </c>
      <c r="AW4262" s="1856" t="str">
        <f t="shared" si="673"/>
        <v/>
      </c>
      <c r="AX4262" s="1856" t="str">
        <f t="shared" si="674"/>
        <v/>
      </c>
      <c r="AY4262" s="1856" t="str">
        <f t="shared" si="675"/>
        <v/>
      </c>
    </row>
    <row r="4263" spans="42:51">
      <c r="AP4263" s="1855">
        <f t="shared" si="676"/>
        <v>44957</v>
      </c>
      <c r="AQ4263" s="925" t="str">
        <f t="shared" si="669"/>
        <v/>
      </c>
      <c r="AR4263" s="1856" t="str">
        <f t="shared" si="668"/>
        <v/>
      </c>
      <c r="AT4263" s="1856" t="str">
        <f t="shared" si="670"/>
        <v/>
      </c>
      <c r="AU4263" s="1856" t="str">
        <f t="shared" si="671"/>
        <v/>
      </c>
      <c r="AV4263" s="1856" t="str">
        <f t="shared" si="672"/>
        <v/>
      </c>
      <c r="AW4263" s="1856" t="str">
        <f t="shared" si="673"/>
        <v/>
      </c>
      <c r="AX4263" s="1856" t="str">
        <f t="shared" si="674"/>
        <v/>
      </c>
      <c r="AY4263" s="1856" t="str">
        <f t="shared" si="675"/>
        <v/>
      </c>
    </row>
    <row r="4264" spans="42:51">
      <c r="AP4264" s="1855">
        <f t="shared" si="676"/>
        <v>44957</v>
      </c>
      <c r="AQ4264" s="925" t="str">
        <f t="shared" si="669"/>
        <v/>
      </c>
      <c r="AR4264" s="1856" t="str">
        <f t="shared" si="668"/>
        <v/>
      </c>
      <c r="AT4264" s="1856" t="str">
        <f t="shared" si="670"/>
        <v/>
      </c>
      <c r="AU4264" s="1856" t="str">
        <f t="shared" si="671"/>
        <v/>
      </c>
      <c r="AV4264" s="1856" t="str">
        <f t="shared" si="672"/>
        <v/>
      </c>
      <c r="AW4264" s="1856" t="str">
        <f t="shared" si="673"/>
        <v/>
      </c>
      <c r="AX4264" s="1856" t="str">
        <f t="shared" si="674"/>
        <v/>
      </c>
      <c r="AY4264" s="1856" t="str">
        <f t="shared" si="675"/>
        <v/>
      </c>
    </row>
    <row r="4265" spans="42:51">
      <c r="AP4265" s="1855">
        <f t="shared" si="676"/>
        <v>44957</v>
      </c>
      <c r="AQ4265" s="925" t="str">
        <f t="shared" si="669"/>
        <v/>
      </c>
      <c r="AR4265" s="1856" t="str">
        <f t="shared" ref="AR4265:AR4328" si="677">IF(NOT(ISNUMBER(FIND(":",AS4265))),"",IF(ISNUMBER(FIND(" none",AS4265)),"NONE",AP4265+LEFT(RIGHT(AS4265,5),2)/24+RIGHT(AS4265,2)/1440))</f>
        <v/>
      </c>
      <c r="AT4265" s="1856" t="str">
        <f t="shared" si="670"/>
        <v/>
      </c>
      <c r="AU4265" s="1856" t="str">
        <f t="shared" si="671"/>
        <v/>
      </c>
      <c r="AV4265" s="1856" t="str">
        <f t="shared" si="672"/>
        <v/>
      </c>
      <c r="AW4265" s="1856" t="str">
        <f t="shared" si="673"/>
        <v/>
      </c>
      <c r="AX4265" s="1856" t="str">
        <f t="shared" si="674"/>
        <v/>
      </c>
      <c r="AY4265" s="1856" t="str">
        <f t="shared" si="675"/>
        <v/>
      </c>
    </row>
    <row r="4266" spans="42:51">
      <c r="AP4266" s="1855">
        <f t="shared" si="676"/>
        <v>44957</v>
      </c>
      <c r="AQ4266" s="925" t="str">
        <f t="shared" si="669"/>
        <v/>
      </c>
      <c r="AR4266" s="1856" t="str">
        <f t="shared" si="677"/>
        <v/>
      </c>
      <c r="AT4266" s="1856" t="str">
        <f t="shared" si="670"/>
        <v/>
      </c>
      <c r="AU4266" s="1856" t="str">
        <f t="shared" si="671"/>
        <v/>
      </c>
      <c r="AV4266" s="1856" t="str">
        <f t="shared" si="672"/>
        <v/>
      </c>
      <c r="AW4266" s="1856" t="str">
        <f t="shared" si="673"/>
        <v/>
      </c>
      <c r="AX4266" s="1856" t="str">
        <f t="shared" si="674"/>
        <v/>
      </c>
      <c r="AY4266" s="1856" t="str">
        <f t="shared" si="675"/>
        <v/>
      </c>
    </row>
    <row r="4267" spans="42:51">
      <c r="AP4267" s="1855">
        <f t="shared" si="676"/>
        <v>44957</v>
      </c>
      <c r="AQ4267" s="925" t="str">
        <f t="shared" si="669"/>
        <v/>
      </c>
      <c r="AR4267" s="1856" t="str">
        <f t="shared" si="677"/>
        <v/>
      </c>
      <c r="AT4267" s="1856" t="str">
        <f t="shared" si="670"/>
        <v/>
      </c>
      <c r="AU4267" s="1856" t="str">
        <f t="shared" si="671"/>
        <v/>
      </c>
      <c r="AV4267" s="1856" t="str">
        <f t="shared" si="672"/>
        <v/>
      </c>
      <c r="AW4267" s="1856" t="str">
        <f t="shared" si="673"/>
        <v/>
      </c>
      <c r="AX4267" s="1856" t="str">
        <f t="shared" si="674"/>
        <v/>
      </c>
      <c r="AY4267" s="1856" t="str">
        <f t="shared" si="675"/>
        <v/>
      </c>
    </row>
    <row r="4268" spans="42:51">
      <c r="AP4268" s="1855">
        <f t="shared" si="676"/>
        <v>44957</v>
      </c>
      <c r="AQ4268" s="925" t="str">
        <f t="shared" si="669"/>
        <v/>
      </c>
      <c r="AR4268" s="1856" t="str">
        <f t="shared" si="677"/>
        <v/>
      </c>
      <c r="AT4268" s="1856" t="str">
        <f t="shared" si="670"/>
        <v/>
      </c>
      <c r="AU4268" s="1856" t="str">
        <f t="shared" si="671"/>
        <v/>
      </c>
      <c r="AV4268" s="1856" t="str">
        <f t="shared" si="672"/>
        <v/>
      </c>
      <c r="AW4268" s="1856" t="str">
        <f t="shared" si="673"/>
        <v/>
      </c>
      <c r="AX4268" s="1856" t="str">
        <f t="shared" si="674"/>
        <v/>
      </c>
      <c r="AY4268" s="1856" t="str">
        <f t="shared" si="675"/>
        <v/>
      </c>
    </row>
    <row r="4269" spans="42:51">
      <c r="AP4269" s="1855">
        <f t="shared" si="676"/>
        <v>44957</v>
      </c>
      <c r="AQ4269" s="925" t="str">
        <f t="shared" si="669"/>
        <v/>
      </c>
      <c r="AR4269" s="1856" t="str">
        <f t="shared" si="677"/>
        <v/>
      </c>
      <c r="AT4269" s="1856" t="str">
        <f t="shared" si="670"/>
        <v/>
      </c>
      <c r="AU4269" s="1856" t="str">
        <f t="shared" si="671"/>
        <v/>
      </c>
      <c r="AV4269" s="1856" t="str">
        <f t="shared" si="672"/>
        <v/>
      </c>
      <c r="AW4269" s="1856" t="str">
        <f t="shared" si="673"/>
        <v/>
      </c>
      <c r="AX4269" s="1856" t="str">
        <f t="shared" si="674"/>
        <v/>
      </c>
      <c r="AY4269" s="1856" t="str">
        <f t="shared" si="675"/>
        <v/>
      </c>
    </row>
    <row r="4270" spans="42:51">
      <c r="AP4270" s="1855">
        <f t="shared" si="676"/>
        <v>44957</v>
      </c>
      <c r="AQ4270" s="925" t="str">
        <f t="shared" si="669"/>
        <v/>
      </c>
      <c r="AR4270" s="1856" t="str">
        <f t="shared" si="677"/>
        <v/>
      </c>
      <c r="AT4270" s="1856" t="str">
        <f t="shared" si="670"/>
        <v/>
      </c>
      <c r="AU4270" s="1856" t="str">
        <f t="shared" si="671"/>
        <v/>
      </c>
      <c r="AV4270" s="1856" t="str">
        <f t="shared" si="672"/>
        <v/>
      </c>
      <c r="AW4270" s="1856" t="str">
        <f t="shared" si="673"/>
        <v/>
      </c>
      <c r="AX4270" s="1856" t="str">
        <f t="shared" si="674"/>
        <v/>
      </c>
      <c r="AY4270" s="1856" t="str">
        <f t="shared" si="675"/>
        <v/>
      </c>
    </row>
    <row r="4271" spans="42:51">
      <c r="AP4271" s="1855">
        <f t="shared" si="676"/>
        <v>44957</v>
      </c>
      <c r="AQ4271" s="925" t="str">
        <f t="shared" si="669"/>
        <v/>
      </c>
      <c r="AR4271" s="1856" t="str">
        <f t="shared" si="677"/>
        <v/>
      </c>
      <c r="AT4271" s="1856" t="str">
        <f t="shared" si="670"/>
        <v/>
      </c>
      <c r="AU4271" s="1856" t="str">
        <f t="shared" si="671"/>
        <v/>
      </c>
      <c r="AV4271" s="1856" t="str">
        <f t="shared" si="672"/>
        <v/>
      </c>
      <c r="AW4271" s="1856" t="str">
        <f t="shared" si="673"/>
        <v/>
      </c>
      <c r="AX4271" s="1856" t="str">
        <f t="shared" si="674"/>
        <v/>
      </c>
      <c r="AY4271" s="1856" t="str">
        <f t="shared" si="675"/>
        <v/>
      </c>
    </row>
    <row r="4272" spans="42:51">
      <c r="AP4272" s="1855">
        <f t="shared" si="676"/>
        <v>44957</v>
      </c>
      <c r="AQ4272" s="925" t="str">
        <f t="shared" si="669"/>
        <v/>
      </c>
      <c r="AR4272" s="1856" t="str">
        <f t="shared" si="677"/>
        <v/>
      </c>
      <c r="AT4272" s="1856" t="str">
        <f t="shared" si="670"/>
        <v/>
      </c>
      <c r="AU4272" s="1856" t="str">
        <f t="shared" si="671"/>
        <v/>
      </c>
      <c r="AV4272" s="1856" t="str">
        <f t="shared" si="672"/>
        <v/>
      </c>
      <c r="AW4272" s="1856" t="str">
        <f t="shared" si="673"/>
        <v/>
      </c>
      <c r="AX4272" s="1856" t="str">
        <f t="shared" si="674"/>
        <v/>
      </c>
      <c r="AY4272" s="1856" t="str">
        <f t="shared" si="675"/>
        <v/>
      </c>
    </row>
    <row r="4273" spans="42:51">
      <c r="AP4273" s="1855">
        <f t="shared" si="676"/>
        <v>44957</v>
      </c>
      <c r="AQ4273" s="925" t="str">
        <f t="shared" si="669"/>
        <v/>
      </c>
      <c r="AR4273" s="1856" t="str">
        <f t="shared" si="677"/>
        <v/>
      </c>
      <c r="AT4273" s="1856" t="str">
        <f t="shared" si="670"/>
        <v/>
      </c>
      <c r="AU4273" s="1856" t="str">
        <f t="shared" si="671"/>
        <v/>
      </c>
      <c r="AV4273" s="1856" t="str">
        <f t="shared" si="672"/>
        <v/>
      </c>
      <c r="AW4273" s="1856" t="str">
        <f t="shared" si="673"/>
        <v/>
      </c>
      <c r="AX4273" s="1856" t="str">
        <f t="shared" si="674"/>
        <v/>
      </c>
      <c r="AY4273" s="1856" t="str">
        <f t="shared" si="675"/>
        <v/>
      </c>
    </row>
    <row r="4274" spans="42:51">
      <c r="AP4274" s="1855">
        <f t="shared" si="676"/>
        <v>44957</v>
      </c>
      <c r="AQ4274" s="925" t="str">
        <f t="shared" si="669"/>
        <v/>
      </c>
      <c r="AR4274" s="1856" t="str">
        <f t="shared" si="677"/>
        <v/>
      </c>
      <c r="AT4274" s="1856" t="str">
        <f t="shared" si="670"/>
        <v/>
      </c>
      <c r="AU4274" s="1856" t="str">
        <f t="shared" si="671"/>
        <v/>
      </c>
      <c r="AV4274" s="1856" t="str">
        <f t="shared" si="672"/>
        <v/>
      </c>
      <c r="AW4274" s="1856" t="str">
        <f t="shared" si="673"/>
        <v/>
      </c>
      <c r="AX4274" s="1856" t="str">
        <f t="shared" si="674"/>
        <v/>
      </c>
      <c r="AY4274" s="1856" t="str">
        <f t="shared" si="675"/>
        <v/>
      </c>
    </row>
    <row r="4275" spans="42:51">
      <c r="AP4275" s="1855">
        <f t="shared" si="676"/>
        <v>44957</v>
      </c>
      <c r="AQ4275" s="925" t="str">
        <f t="shared" si="669"/>
        <v/>
      </c>
      <c r="AR4275" s="1856" t="str">
        <f t="shared" si="677"/>
        <v/>
      </c>
      <c r="AT4275" s="1856" t="str">
        <f t="shared" si="670"/>
        <v/>
      </c>
      <c r="AU4275" s="1856" t="str">
        <f t="shared" si="671"/>
        <v/>
      </c>
      <c r="AV4275" s="1856" t="str">
        <f t="shared" si="672"/>
        <v/>
      </c>
      <c r="AW4275" s="1856" t="str">
        <f t="shared" si="673"/>
        <v/>
      </c>
      <c r="AX4275" s="1856" t="str">
        <f t="shared" si="674"/>
        <v/>
      </c>
      <c r="AY4275" s="1856" t="str">
        <f t="shared" si="675"/>
        <v/>
      </c>
    </row>
    <row r="4276" spans="42:51">
      <c r="AP4276" s="1855">
        <f t="shared" si="676"/>
        <v>44957</v>
      </c>
      <c r="AQ4276" s="925" t="str">
        <f t="shared" ref="AQ4276:AQ4339" si="678">IF(NOT(ISNUMBER(FIND(":",AS4276))),"",IF(ISNUMBER(FIND("Sunr",AS4276)),"SR", IF(ISNUMBER(FIND("Suns",AS4276)),"SS",IF(ISNUMBER(FIND("Moonr",AS4276)),"MR",IF(ISNUMBER(FIND("Moons",AS4276)),"MS",IF(ISNUMBER(FIND("Twi",AS4276)),IF(HOUR(AR4276)&lt;12,"BMNT","EENT")))))))</f>
        <v/>
      </c>
      <c r="AR4276" s="1856" t="str">
        <f t="shared" si="677"/>
        <v/>
      </c>
      <c r="AT4276" s="1856" t="str">
        <f t="shared" si="670"/>
        <v/>
      </c>
      <c r="AU4276" s="1856" t="str">
        <f t="shared" si="671"/>
        <v/>
      </c>
      <c r="AV4276" s="1856" t="str">
        <f t="shared" si="672"/>
        <v/>
      </c>
      <c r="AW4276" s="1856" t="str">
        <f t="shared" si="673"/>
        <v/>
      </c>
      <c r="AX4276" s="1856" t="str">
        <f t="shared" si="674"/>
        <v/>
      </c>
      <c r="AY4276" s="1856" t="str">
        <f t="shared" si="675"/>
        <v/>
      </c>
    </row>
    <row r="4277" spans="42:51">
      <c r="AP4277" s="1855">
        <f t="shared" si="676"/>
        <v>44957</v>
      </c>
      <c r="AQ4277" s="925" t="str">
        <f t="shared" si="678"/>
        <v/>
      </c>
      <c r="AR4277" s="1856" t="str">
        <f t="shared" si="677"/>
        <v/>
      </c>
      <c r="AT4277" s="1856" t="str">
        <f t="shared" si="670"/>
        <v/>
      </c>
      <c r="AU4277" s="1856" t="str">
        <f t="shared" si="671"/>
        <v/>
      </c>
      <c r="AV4277" s="1856" t="str">
        <f t="shared" si="672"/>
        <v/>
      </c>
      <c r="AW4277" s="1856" t="str">
        <f t="shared" si="673"/>
        <v/>
      </c>
      <c r="AX4277" s="1856" t="str">
        <f t="shared" si="674"/>
        <v/>
      </c>
      <c r="AY4277" s="1856" t="str">
        <f t="shared" si="675"/>
        <v/>
      </c>
    </row>
    <row r="4278" spans="42:51">
      <c r="AP4278" s="1855">
        <f t="shared" si="676"/>
        <v>44957</v>
      </c>
      <c r="AQ4278" s="925" t="str">
        <f t="shared" si="678"/>
        <v/>
      </c>
      <c r="AR4278" s="1856" t="str">
        <f t="shared" si="677"/>
        <v/>
      </c>
      <c r="AT4278" s="1856" t="str">
        <f t="shared" si="670"/>
        <v/>
      </c>
      <c r="AU4278" s="1856" t="str">
        <f t="shared" si="671"/>
        <v/>
      </c>
      <c r="AV4278" s="1856" t="str">
        <f t="shared" si="672"/>
        <v/>
      </c>
      <c r="AW4278" s="1856" t="str">
        <f t="shared" si="673"/>
        <v/>
      </c>
      <c r="AX4278" s="1856" t="str">
        <f t="shared" si="674"/>
        <v/>
      </c>
      <c r="AY4278" s="1856" t="str">
        <f t="shared" si="675"/>
        <v/>
      </c>
    </row>
    <row r="4279" spans="42:51">
      <c r="AP4279" s="1855">
        <f t="shared" si="676"/>
        <v>44957</v>
      </c>
      <c r="AQ4279" s="925" t="str">
        <f t="shared" si="678"/>
        <v/>
      </c>
      <c r="AR4279" s="1856" t="str">
        <f t="shared" si="677"/>
        <v/>
      </c>
      <c r="AT4279" s="1856" t="str">
        <f t="shared" si="670"/>
        <v/>
      </c>
      <c r="AU4279" s="1856" t="str">
        <f t="shared" si="671"/>
        <v/>
      </c>
      <c r="AV4279" s="1856" t="str">
        <f t="shared" si="672"/>
        <v/>
      </c>
      <c r="AW4279" s="1856" t="str">
        <f t="shared" si="673"/>
        <v/>
      </c>
      <c r="AX4279" s="1856" t="str">
        <f t="shared" si="674"/>
        <v/>
      </c>
      <c r="AY4279" s="1856" t="str">
        <f t="shared" si="675"/>
        <v/>
      </c>
    </row>
    <row r="4280" spans="42:51">
      <c r="AP4280" s="1855">
        <f t="shared" si="676"/>
        <v>44957</v>
      </c>
      <c r="AQ4280" s="925" t="str">
        <f t="shared" si="678"/>
        <v/>
      </c>
      <c r="AR4280" s="1856" t="str">
        <f t="shared" si="677"/>
        <v/>
      </c>
      <c r="AT4280" s="1856" t="str">
        <f t="shared" si="670"/>
        <v/>
      </c>
      <c r="AU4280" s="1856" t="str">
        <f t="shared" si="671"/>
        <v/>
      </c>
      <c r="AV4280" s="1856" t="str">
        <f t="shared" si="672"/>
        <v/>
      </c>
      <c r="AW4280" s="1856" t="str">
        <f t="shared" si="673"/>
        <v/>
      </c>
      <c r="AX4280" s="1856" t="str">
        <f t="shared" si="674"/>
        <v/>
      </c>
      <c r="AY4280" s="1856" t="str">
        <f t="shared" si="675"/>
        <v/>
      </c>
    </row>
    <row r="4281" spans="42:51">
      <c r="AP4281" s="1855">
        <f t="shared" si="676"/>
        <v>44957</v>
      </c>
      <c r="AQ4281" s="925" t="str">
        <f t="shared" si="678"/>
        <v/>
      </c>
      <c r="AR4281" s="1856" t="str">
        <f t="shared" si="677"/>
        <v/>
      </c>
      <c r="AT4281" s="1856" t="str">
        <f t="shared" si="670"/>
        <v/>
      </c>
      <c r="AU4281" s="1856" t="str">
        <f t="shared" si="671"/>
        <v/>
      </c>
      <c r="AV4281" s="1856" t="str">
        <f t="shared" si="672"/>
        <v/>
      </c>
      <c r="AW4281" s="1856" t="str">
        <f t="shared" si="673"/>
        <v/>
      </c>
      <c r="AX4281" s="1856" t="str">
        <f t="shared" si="674"/>
        <v/>
      </c>
      <c r="AY4281" s="1856" t="str">
        <f t="shared" si="675"/>
        <v/>
      </c>
    </row>
    <row r="4282" spans="42:51">
      <c r="AP4282" s="1855">
        <f t="shared" si="676"/>
        <v>44957</v>
      </c>
      <c r="AQ4282" s="925" t="str">
        <f t="shared" si="678"/>
        <v/>
      </c>
      <c r="AR4282" s="1856" t="str">
        <f t="shared" si="677"/>
        <v/>
      </c>
      <c r="AT4282" s="1856" t="str">
        <f t="shared" si="670"/>
        <v/>
      </c>
      <c r="AU4282" s="1856" t="str">
        <f t="shared" si="671"/>
        <v/>
      </c>
      <c r="AV4282" s="1856" t="str">
        <f t="shared" si="672"/>
        <v/>
      </c>
      <c r="AW4282" s="1856" t="str">
        <f t="shared" si="673"/>
        <v/>
      </c>
      <c r="AX4282" s="1856" t="str">
        <f t="shared" si="674"/>
        <v/>
      </c>
      <c r="AY4282" s="1856" t="str">
        <f t="shared" si="675"/>
        <v/>
      </c>
    </row>
    <row r="4283" spans="42:51">
      <c r="AP4283" s="1855">
        <f t="shared" si="676"/>
        <v>44957</v>
      </c>
      <c r="AQ4283" s="925" t="str">
        <f t="shared" si="678"/>
        <v/>
      </c>
      <c r="AR4283" s="1856" t="str">
        <f t="shared" si="677"/>
        <v/>
      </c>
      <c r="AT4283" s="1856" t="str">
        <f t="shared" si="670"/>
        <v/>
      </c>
      <c r="AU4283" s="1856" t="str">
        <f t="shared" si="671"/>
        <v/>
      </c>
      <c r="AV4283" s="1856" t="str">
        <f t="shared" si="672"/>
        <v/>
      </c>
      <c r="AW4283" s="1856" t="str">
        <f t="shared" si="673"/>
        <v/>
      </c>
      <c r="AX4283" s="1856" t="str">
        <f t="shared" si="674"/>
        <v/>
      </c>
      <c r="AY4283" s="1856" t="str">
        <f t="shared" si="675"/>
        <v/>
      </c>
    </row>
    <row r="4284" spans="42:51">
      <c r="AP4284" s="1855">
        <f t="shared" si="676"/>
        <v>44957</v>
      </c>
      <c r="AQ4284" s="925" t="str">
        <f t="shared" si="678"/>
        <v/>
      </c>
      <c r="AR4284" s="1856" t="str">
        <f t="shared" si="677"/>
        <v/>
      </c>
      <c r="AT4284" s="1856" t="str">
        <f t="shared" si="670"/>
        <v/>
      </c>
      <c r="AU4284" s="1856" t="str">
        <f t="shared" si="671"/>
        <v/>
      </c>
      <c r="AV4284" s="1856" t="str">
        <f t="shared" si="672"/>
        <v/>
      </c>
      <c r="AW4284" s="1856" t="str">
        <f t="shared" si="673"/>
        <v/>
      </c>
      <c r="AX4284" s="1856" t="str">
        <f t="shared" si="674"/>
        <v/>
      </c>
      <c r="AY4284" s="1856" t="str">
        <f t="shared" si="675"/>
        <v/>
      </c>
    </row>
    <row r="4285" spans="42:51">
      <c r="AP4285" s="1855">
        <f t="shared" si="676"/>
        <v>44957</v>
      </c>
      <c r="AQ4285" s="925" t="str">
        <f t="shared" si="678"/>
        <v/>
      </c>
      <c r="AR4285" s="1856" t="str">
        <f t="shared" si="677"/>
        <v/>
      </c>
      <c r="AT4285" s="1856" t="str">
        <f t="shared" si="670"/>
        <v/>
      </c>
      <c r="AU4285" s="1856" t="str">
        <f t="shared" si="671"/>
        <v/>
      </c>
      <c r="AV4285" s="1856" t="str">
        <f t="shared" si="672"/>
        <v/>
      </c>
      <c r="AW4285" s="1856" t="str">
        <f t="shared" si="673"/>
        <v/>
      </c>
      <c r="AX4285" s="1856" t="str">
        <f t="shared" si="674"/>
        <v/>
      </c>
      <c r="AY4285" s="1856" t="str">
        <f t="shared" si="675"/>
        <v/>
      </c>
    </row>
    <row r="4286" spans="42:51">
      <c r="AP4286" s="1855">
        <f t="shared" si="676"/>
        <v>44957</v>
      </c>
      <c r="AQ4286" s="925" t="str">
        <f t="shared" si="678"/>
        <v/>
      </c>
      <c r="AR4286" s="1856" t="str">
        <f t="shared" si="677"/>
        <v/>
      </c>
      <c r="AT4286" s="1856" t="str">
        <f t="shared" si="670"/>
        <v/>
      </c>
      <c r="AU4286" s="1856" t="str">
        <f t="shared" si="671"/>
        <v/>
      </c>
      <c r="AV4286" s="1856" t="str">
        <f t="shared" si="672"/>
        <v/>
      </c>
      <c r="AW4286" s="1856" t="str">
        <f t="shared" si="673"/>
        <v/>
      </c>
      <c r="AX4286" s="1856" t="str">
        <f t="shared" si="674"/>
        <v/>
      </c>
      <c r="AY4286" s="1856" t="str">
        <f t="shared" si="675"/>
        <v/>
      </c>
    </row>
    <row r="4287" spans="42:51">
      <c r="AP4287" s="1855">
        <f t="shared" si="676"/>
        <v>44957</v>
      </c>
      <c r="AQ4287" s="925" t="str">
        <f t="shared" si="678"/>
        <v/>
      </c>
      <c r="AR4287" s="1856" t="str">
        <f t="shared" si="677"/>
        <v/>
      </c>
      <c r="AT4287" s="1856" t="str">
        <f t="shared" si="670"/>
        <v/>
      </c>
      <c r="AU4287" s="1856" t="str">
        <f t="shared" si="671"/>
        <v/>
      </c>
      <c r="AV4287" s="1856" t="str">
        <f t="shared" si="672"/>
        <v/>
      </c>
      <c r="AW4287" s="1856" t="str">
        <f t="shared" si="673"/>
        <v/>
      </c>
      <c r="AX4287" s="1856" t="str">
        <f t="shared" si="674"/>
        <v/>
      </c>
      <c r="AY4287" s="1856" t="str">
        <f t="shared" si="675"/>
        <v/>
      </c>
    </row>
    <row r="4288" spans="42:51">
      <c r="AP4288" s="1855">
        <f t="shared" si="676"/>
        <v>44957</v>
      </c>
      <c r="AQ4288" s="925" t="str">
        <f t="shared" si="678"/>
        <v/>
      </c>
      <c r="AR4288" s="1856" t="str">
        <f t="shared" si="677"/>
        <v/>
      </c>
      <c r="AT4288" s="1856" t="str">
        <f t="shared" si="670"/>
        <v/>
      </c>
      <c r="AU4288" s="1856" t="str">
        <f t="shared" si="671"/>
        <v/>
      </c>
      <c r="AV4288" s="1856" t="str">
        <f t="shared" si="672"/>
        <v/>
      </c>
      <c r="AW4288" s="1856" t="str">
        <f t="shared" si="673"/>
        <v/>
      </c>
      <c r="AX4288" s="1856" t="str">
        <f t="shared" si="674"/>
        <v/>
      </c>
      <c r="AY4288" s="1856" t="str">
        <f t="shared" si="675"/>
        <v/>
      </c>
    </row>
    <row r="4289" spans="42:51">
      <c r="AP4289" s="1855">
        <f t="shared" si="676"/>
        <v>44957</v>
      </c>
      <c r="AQ4289" s="925" t="str">
        <f t="shared" si="678"/>
        <v/>
      </c>
      <c r="AR4289" s="1856" t="str">
        <f t="shared" si="677"/>
        <v/>
      </c>
      <c r="AT4289" s="1856" t="str">
        <f t="shared" si="670"/>
        <v/>
      </c>
      <c r="AU4289" s="1856" t="str">
        <f t="shared" si="671"/>
        <v/>
      </c>
      <c r="AV4289" s="1856" t="str">
        <f t="shared" si="672"/>
        <v/>
      </c>
      <c r="AW4289" s="1856" t="str">
        <f t="shared" si="673"/>
        <v/>
      </c>
      <c r="AX4289" s="1856" t="str">
        <f t="shared" si="674"/>
        <v/>
      </c>
      <c r="AY4289" s="1856" t="str">
        <f t="shared" si="675"/>
        <v/>
      </c>
    </row>
    <row r="4290" spans="42:51">
      <c r="AP4290" s="1855">
        <f t="shared" si="676"/>
        <v>44957</v>
      </c>
      <c r="AQ4290" s="925" t="str">
        <f t="shared" si="678"/>
        <v/>
      </c>
      <c r="AR4290" s="1856" t="str">
        <f t="shared" si="677"/>
        <v/>
      </c>
      <c r="AT4290" s="1856" t="str">
        <f t="shared" si="670"/>
        <v/>
      </c>
      <c r="AU4290" s="1856" t="str">
        <f t="shared" si="671"/>
        <v/>
      </c>
      <c r="AV4290" s="1856" t="str">
        <f t="shared" si="672"/>
        <v/>
      </c>
      <c r="AW4290" s="1856" t="str">
        <f t="shared" si="673"/>
        <v/>
      </c>
      <c r="AX4290" s="1856" t="str">
        <f t="shared" si="674"/>
        <v/>
      </c>
      <c r="AY4290" s="1856" t="str">
        <f t="shared" si="675"/>
        <v/>
      </c>
    </row>
    <row r="4291" spans="42:51">
      <c r="AP4291" s="1855">
        <f t="shared" si="676"/>
        <v>44957</v>
      </c>
      <c r="AQ4291" s="925" t="str">
        <f t="shared" si="678"/>
        <v/>
      </c>
      <c r="AR4291" s="1856" t="str">
        <f t="shared" si="677"/>
        <v/>
      </c>
      <c r="AT4291" s="1856" t="str">
        <f t="shared" si="670"/>
        <v/>
      </c>
      <c r="AU4291" s="1856" t="str">
        <f t="shared" si="671"/>
        <v/>
      </c>
      <c r="AV4291" s="1856" t="str">
        <f t="shared" si="672"/>
        <v/>
      </c>
      <c r="AW4291" s="1856" t="str">
        <f t="shared" si="673"/>
        <v/>
      </c>
      <c r="AX4291" s="1856" t="str">
        <f t="shared" si="674"/>
        <v/>
      </c>
      <c r="AY4291" s="1856" t="str">
        <f t="shared" si="675"/>
        <v/>
      </c>
    </row>
    <row r="4292" spans="42:51">
      <c r="AP4292" s="1855">
        <f t="shared" si="676"/>
        <v>44957</v>
      </c>
      <c r="AQ4292" s="925" t="str">
        <f t="shared" si="678"/>
        <v/>
      </c>
      <c r="AR4292" s="1856" t="str">
        <f t="shared" si="677"/>
        <v/>
      </c>
      <c r="AT4292" s="1856" t="str">
        <f t="shared" si="670"/>
        <v/>
      </c>
      <c r="AU4292" s="1856" t="str">
        <f t="shared" si="671"/>
        <v/>
      </c>
      <c r="AV4292" s="1856" t="str">
        <f t="shared" si="672"/>
        <v/>
      </c>
      <c r="AW4292" s="1856" t="str">
        <f t="shared" si="673"/>
        <v/>
      </c>
      <c r="AX4292" s="1856" t="str">
        <f t="shared" si="674"/>
        <v/>
      </c>
      <c r="AY4292" s="1856" t="str">
        <f t="shared" si="675"/>
        <v/>
      </c>
    </row>
    <row r="4293" spans="42:51">
      <c r="AP4293" s="1855">
        <f t="shared" si="676"/>
        <v>44957</v>
      </c>
      <c r="AQ4293" s="925" t="str">
        <f t="shared" si="678"/>
        <v/>
      </c>
      <c r="AR4293" s="1856" t="str">
        <f t="shared" si="677"/>
        <v/>
      </c>
      <c r="AT4293" s="1856" t="str">
        <f t="shared" si="670"/>
        <v/>
      </c>
      <c r="AU4293" s="1856" t="str">
        <f t="shared" si="671"/>
        <v/>
      </c>
      <c r="AV4293" s="1856" t="str">
        <f t="shared" si="672"/>
        <v/>
      </c>
      <c r="AW4293" s="1856" t="str">
        <f t="shared" si="673"/>
        <v/>
      </c>
      <c r="AX4293" s="1856" t="str">
        <f t="shared" si="674"/>
        <v/>
      </c>
      <c r="AY4293" s="1856" t="str">
        <f t="shared" si="675"/>
        <v/>
      </c>
    </row>
    <row r="4294" spans="42:51">
      <c r="AP4294" s="1855">
        <f t="shared" si="676"/>
        <v>44957</v>
      </c>
      <c r="AQ4294" s="925" t="str">
        <f t="shared" si="678"/>
        <v/>
      </c>
      <c r="AR4294" s="1856" t="str">
        <f t="shared" si="677"/>
        <v/>
      </c>
      <c r="AT4294" s="1856" t="str">
        <f t="shared" si="670"/>
        <v/>
      </c>
      <c r="AU4294" s="1856" t="str">
        <f t="shared" si="671"/>
        <v/>
      </c>
      <c r="AV4294" s="1856" t="str">
        <f t="shared" si="672"/>
        <v/>
      </c>
      <c r="AW4294" s="1856" t="str">
        <f t="shared" si="673"/>
        <v/>
      </c>
      <c r="AX4294" s="1856" t="str">
        <f t="shared" si="674"/>
        <v/>
      </c>
      <c r="AY4294" s="1856" t="str">
        <f t="shared" si="675"/>
        <v/>
      </c>
    </row>
    <row r="4295" spans="42:51">
      <c r="AP4295" s="1855">
        <f t="shared" si="676"/>
        <v>44957</v>
      </c>
      <c r="AQ4295" s="925" t="str">
        <f t="shared" si="678"/>
        <v/>
      </c>
      <c r="AR4295" s="1856" t="str">
        <f t="shared" si="677"/>
        <v/>
      </c>
      <c r="AT4295" s="1856" t="str">
        <f t="shared" si="670"/>
        <v/>
      </c>
      <c r="AU4295" s="1856" t="str">
        <f t="shared" si="671"/>
        <v/>
      </c>
      <c r="AV4295" s="1856" t="str">
        <f t="shared" si="672"/>
        <v/>
      </c>
      <c r="AW4295" s="1856" t="str">
        <f t="shared" si="673"/>
        <v/>
      </c>
      <c r="AX4295" s="1856" t="str">
        <f t="shared" si="674"/>
        <v/>
      </c>
      <c r="AY4295" s="1856" t="str">
        <f t="shared" si="675"/>
        <v/>
      </c>
    </row>
    <row r="4296" spans="42:51">
      <c r="AP4296" s="1855">
        <f t="shared" si="676"/>
        <v>44957</v>
      </c>
      <c r="AQ4296" s="925" t="str">
        <f t="shared" si="678"/>
        <v/>
      </c>
      <c r="AR4296" s="1856" t="str">
        <f t="shared" si="677"/>
        <v/>
      </c>
      <c r="AT4296" s="1856" t="str">
        <f t="shared" si="670"/>
        <v/>
      </c>
      <c r="AU4296" s="1856" t="str">
        <f t="shared" si="671"/>
        <v/>
      </c>
      <c r="AV4296" s="1856" t="str">
        <f t="shared" si="672"/>
        <v/>
      </c>
      <c r="AW4296" s="1856" t="str">
        <f t="shared" si="673"/>
        <v/>
      </c>
      <c r="AX4296" s="1856" t="str">
        <f t="shared" si="674"/>
        <v/>
      </c>
      <c r="AY4296" s="1856" t="str">
        <f t="shared" si="675"/>
        <v/>
      </c>
    </row>
    <row r="4297" spans="42:51">
      <c r="AP4297" s="1855">
        <f t="shared" si="676"/>
        <v>44957</v>
      </c>
      <c r="AQ4297" s="925" t="str">
        <f t="shared" si="678"/>
        <v/>
      </c>
      <c r="AR4297" s="1856" t="str">
        <f t="shared" si="677"/>
        <v/>
      </c>
      <c r="AT4297" s="1856" t="str">
        <f t="shared" si="670"/>
        <v/>
      </c>
      <c r="AU4297" s="1856" t="str">
        <f t="shared" si="671"/>
        <v/>
      </c>
      <c r="AV4297" s="1856" t="str">
        <f t="shared" si="672"/>
        <v/>
      </c>
      <c r="AW4297" s="1856" t="str">
        <f t="shared" si="673"/>
        <v/>
      </c>
      <c r="AX4297" s="1856" t="str">
        <f t="shared" si="674"/>
        <v/>
      </c>
      <c r="AY4297" s="1856" t="str">
        <f t="shared" si="675"/>
        <v/>
      </c>
    </row>
    <row r="4298" spans="42:51">
      <c r="AP4298" s="1855">
        <f t="shared" si="676"/>
        <v>44957</v>
      </c>
      <c r="AQ4298" s="925" t="str">
        <f t="shared" si="678"/>
        <v/>
      </c>
      <c r="AR4298" s="1856" t="str">
        <f t="shared" si="677"/>
        <v/>
      </c>
      <c r="AT4298" s="1856" t="str">
        <f t="shared" si="670"/>
        <v/>
      </c>
      <c r="AU4298" s="1856" t="str">
        <f t="shared" si="671"/>
        <v/>
      </c>
      <c r="AV4298" s="1856" t="str">
        <f t="shared" si="672"/>
        <v/>
      </c>
      <c r="AW4298" s="1856" t="str">
        <f t="shared" si="673"/>
        <v/>
      </c>
      <c r="AX4298" s="1856" t="str">
        <f t="shared" si="674"/>
        <v/>
      </c>
      <c r="AY4298" s="1856" t="str">
        <f t="shared" si="675"/>
        <v/>
      </c>
    </row>
    <row r="4299" spans="42:51">
      <c r="AP4299" s="1855">
        <f t="shared" si="676"/>
        <v>44957</v>
      </c>
      <c r="AQ4299" s="925" t="str">
        <f t="shared" si="678"/>
        <v/>
      </c>
      <c r="AR4299" s="1856" t="str">
        <f t="shared" si="677"/>
        <v/>
      </c>
      <c r="AT4299" s="1856" t="str">
        <f t="shared" si="670"/>
        <v/>
      </c>
      <c r="AU4299" s="1856" t="str">
        <f t="shared" si="671"/>
        <v/>
      </c>
      <c r="AV4299" s="1856" t="str">
        <f t="shared" si="672"/>
        <v/>
      </c>
      <c r="AW4299" s="1856" t="str">
        <f t="shared" si="673"/>
        <v/>
      </c>
      <c r="AX4299" s="1856" t="str">
        <f t="shared" si="674"/>
        <v/>
      </c>
      <c r="AY4299" s="1856" t="str">
        <f t="shared" si="675"/>
        <v/>
      </c>
    </row>
    <row r="4300" spans="42:51">
      <c r="AP4300" s="1855">
        <f t="shared" si="676"/>
        <v>44957</v>
      </c>
      <c r="AQ4300" s="925" t="str">
        <f t="shared" si="678"/>
        <v/>
      </c>
      <c r="AR4300" s="1856" t="str">
        <f t="shared" si="677"/>
        <v/>
      </c>
      <c r="AT4300" s="1856" t="str">
        <f t="shared" si="670"/>
        <v/>
      </c>
      <c r="AU4300" s="1856" t="str">
        <f t="shared" si="671"/>
        <v/>
      </c>
      <c r="AV4300" s="1856" t="str">
        <f t="shared" si="672"/>
        <v/>
      </c>
      <c r="AW4300" s="1856" t="str">
        <f t="shared" si="673"/>
        <v/>
      </c>
      <c r="AX4300" s="1856" t="str">
        <f t="shared" si="674"/>
        <v/>
      </c>
      <c r="AY4300" s="1856" t="str">
        <f t="shared" si="675"/>
        <v/>
      </c>
    </row>
    <row r="4301" spans="42:51">
      <c r="AP4301" s="1855">
        <f t="shared" si="676"/>
        <v>44957</v>
      </c>
      <c r="AQ4301" s="925" t="str">
        <f t="shared" si="678"/>
        <v/>
      </c>
      <c r="AR4301" s="1856" t="str">
        <f t="shared" si="677"/>
        <v/>
      </c>
      <c r="AT4301" s="1856" t="str">
        <f t="shared" si="670"/>
        <v/>
      </c>
      <c r="AU4301" s="1856" t="str">
        <f t="shared" si="671"/>
        <v/>
      </c>
      <c r="AV4301" s="1856" t="str">
        <f t="shared" si="672"/>
        <v/>
      </c>
      <c r="AW4301" s="1856" t="str">
        <f t="shared" si="673"/>
        <v/>
      </c>
      <c r="AX4301" s="1856" t="str">
        <f t="shared" si="674"/>
        <v/>
      </c>
      <c r="AY4301" s="1856" t="str">
        <f t="shared" si="675"/>
        <v/>
      </c>
    </row>
    <row r="4302" spans="42:51">
      <c r="AP4302" s="1855">
        <f t="shared" si="676"/>
        <v>44957</v>
      </c>
      <c r="AQ4302" s="925" t="str">
        <f t="shared" si="678"/>
        <v/>
      </c>
      <c r="AR4302" s="1856" t="str">
        <f t="shared" si="677"/>
        <v/>
      </c>
      <c r="AT4302" s="1856" t="str">
        <f t="shared" si="670"/>
        <v/>
      </c>
      <c r="AU4302" s="1856" t="str">
        <f t="shared" si="671"/>
        <v/>
      </c>
      <c r="AV4302" s="1856" t="str">
        <f t="shared" si="672"/>
        <v/>
      </c>
      <c r="AW4302" s="1856" t="str">
        <f t="shared" si="673"/>
        <v/>
      </c>
      <c r="AX4302" s="1856" t="str">
        <f t="shared" si="674"/>
        <v/>
      </c>
      <c r="AY4302" s="1856" t="str">
        <f t="shared" si="675"/>
        <v/>
      </c>
    </row>
    <row r="4303" spans="42:51">
      <c r="AP4303" s="1855">
        <f t="shared" si="676"/>
        <v>44957</v>
      </c>
      <c r="AQ4303" s="925" t="str">
        <f t="shared" si="678"/>
        <v/>
      </c>
      <c r="AR4303" s="1856" t="str">
        <f t="shared" si="677"/>
        <v/>
      </c>
      <c r="AT4303" s="1856" t="str">
        <f t="shared" si="670"/>
        <v/>
      </c>
      <c r="AU4303" s="1856" t="str">
        <f t="shared" si="671"/>
        <v/>
      </c>
      <c r="AV4303" s="1856" t="str">
        <f t="shared" si="672"/>
        <v/>
      </c>
      <c r="AW4303" s="1856" t="str">
        <f t="shared" si="673"/>
        <v/>
      </c>
      <c r="AX4303" s="1856" t="str">
        <f t="shared" si="674"/>
        <v/>
      </c>
      <c r="AY4303" s="1856" t="str">
        <f t="shared" si="675"/>
        <v/>
      </c>
    </row>
    <row r="4304" spans="42:51">
      <c r="AP4304" s="1855">
        <f t="shared" si="676"/>
        <v>44957</v>
      </c>
      <c r="AQ4304" s="925" t="str">
        <f t="shared" si="678"/>
        <v/>
      </c>
      <c r="AR4304" s="1856" t="str">
        <f t="shared" si="677"/>
        <v/>
      </c>
      <c r="AT4304" s="1856" t="str">
        <f t="shared" si="670"/>
        <v/>
      </c>
      <c r="AU4304" s="1856" t="str">
        <f t="shared" si="671"/>
        <v/>
      </c>
      <c r="AV4304" s="1856" t="str">
        <f t="shared" si="672"/>
        <v/>
      </c>
      <c r="AW4304" s="1856" t="str">
        <f t="shared" si="673"/>
        <v/>
      </c>
      <c r="AX4304" s="1856" t="str">
        <f t="shared" si="674"/>
        <v/>
      </c>
      <c r="AY4304" s="1856" t="str">
        <f t="shared" si="675"/>
        <v/>
      </c>
    </row>
    <row r="4305" spans="42:51">
      <c r="AP4305" s="1855">
        <f t="shared" si="676"/>
        <v>44957</v>
      </c>
      <c r="AQ4305" s="925" t="str">
        <f t="shared" si="678"/>
        <v/>
      </c>
      <c r="AR4305" s="1856" t="str">
        <f t="shared" si="677"/>
        <v/>
      </c>
      <c r="AT4305" s="1856" t="str">
        <f t="shared" si="670"/>
        <v/>
      </c>
      <c r="AU4305" s="1856" t="str">
        <f t="shared" si="671"/>
        <v/>
      </c>
      <c r="AV4305" s="1856" t="str">
        <f t="shared" si="672"/>
        <v/>
      </c>
      <c r="AW4305" s="1856" t="str">
        <f t="shared" si="673"/>
        <v/>
      </c>
      <c r="AX4305" s="1856" t="str">
        <f t="shared" si="674"/>
        <v/>
      </c>
      <c r="AY4305" s="1856" t="str">
        <f t="shared" si="675"/>
        <v/>
      </c>
    </row>
    <row r="4306" spans="42:51">
      <c r="AP4306" s="1855">
        <f t="shared" si="676"/>
        <v>44957</v>
      </c>
      <c r="AQ4306" s="925" t="str">
        <f t="shared" si="678"/>
        <v/>
      </c>
      <c r="AR4306" s="1856" t="str">
        <f t="shared" si="677"/>
        <v/>
      </c>
      <c r="AT4306" s="1856" t="str">
        <f t="shared" si="670"/>
        <v/>
      </c>
      <c r="AU4306" s="1856" t="str">
        <f t="shared" si="671"/>
        <v/>
      </c>
      <c r="AV4306" s="1856" t="str">
        <f t="shared" si="672"/>
        <v/>
      </c>
      <c r="AW4306" s="1856" t="str">
        <f t="shared" si="673"/>
        <v/>
      </c>
      <c r="AX4306" s="1856" t="str">
        <f t="shared" si="674"/>
        <v/>
      </c>
      <c r="AY4306" s="1856" t="str">
        <f t="shared" si="675"/>
        <v/>
      </c>
    </row>
    <row r="4307" spans="42:51">
      <c r="AP4307" s="1855">
        <f t="shared" si="676"/>
        <v>44957</v>
      </c>
      <c r="AQ4307" s="925" t="str">
        <f t="shared" si="678"/>
        <v/>
      </c>
      <c r="AR4307" s="1856" t="str">
        <f t="shared" si="677"/>
        <v/>
      </c>
      <c r="AT4307" s="1856" t="str">
        <f t="shared" si="670"/>
        <v/>
      </c>
      <c r="AU4307" s="1856" t="str">
        <f t="shared" si="671"/>
        <v/>
      </c>
      <c r="AV4307" s="1856" t="str">
        <f t="shared" si="672"/>
        <v/>
      </c>
      <c r="AW4307" s="1856" t="str">
        <f t="shared" si="673"/>
        <v/>
      </c>
      <c r="AX4307" s="1856" t="str">
        <f t="shared" si="674"/>
        <v/>
      </c>
      <c r="AY4307" s="1856" t="str">
        <f t="shared" si="675"/>
        <v/>
      </c>
    </row>
    <row r="4308" spans="42:51">
      <c r="AP4308" s="1855">
        <f t="shared" si="676"/>
        <v>44957</v>
      </c>
      <c r="AQ4308" s="925" t="str">
        <f t="shared" si="678"/>
        <v/>
      </c>
      <c r="AR4308" s="1856" t="str">
        <f t="shared" si="677"/>
        <v/>
      </c>
      <c r="AT4308" s="1856" t="str">
        <f t="shared" si="670"/>
        <v/>
      </c>
      <c r="AU4308" s="1856" t="str">
        <f t="shared" si="671"/>
        <v/>
      </c>
      <c r="AV4308" s="1856" t="str">
        <f t="shared" si="672"/>
        <v/>
      </c>
      <c r="AW4308" s="1856" t="str">
        <f t="shared" si="673"/>
        <v/>
      </c>
      <c r="AX4308" s="1856" t="str">
        <f t="shared" si="674"/>
        <v/>
      </c>
      <c r="AY4308" s="1856" t="str">
        <f t="shared" si="675"/>
        <v/>
      </c>
    </row>
    <row r="4309" spans="42:51">
      <c r="AP4309" s="1855">
        <f t="shared" si="676"/>
        <v>44957</v>
      </c>
      <c r="AQ4309" s="925" t="str">
        <f t="shared" si="678"/>
        <v/>
      </c>
      <c r="AR4309" s="1856" t="str">
        <f t="shared" si="677"/>
        <v/>
      </c>
      <c r="AT4309" s="1856" t="str">
        <f t="shared" si="670"/>
        <v/>
      </c>
      <c r="AU4309" s="1856" t="str">
        <f t="shared" si="671"/>
        <v/>
      </c>
      <c r="AV4309" s="1856" t="str">
        <f t="shared" si="672"/>
        <v/>
      </c>
      <c r="AW4309" s="1856" t="str">
        <f t="shared" si="673"/>
        <v/>
      </c>
      <c r="AX4309" s="1856" t="str">
        <f t="shared" si="674"/>
        <v/>
      </c>
      <c r="AY4309" s="1856" t="str">
        <f t="shared" si="675"/>
        <v/>
      </c>
    </row>
    <row r="4310" spans="42:51">
      <c r="AP4310" s="1855">
        <f t="shared" si="676"/>
        <v>44957</v>
      </c>
      <c r="AQ4310" s="925" t="str">
        <f t="shared" si="678"/>
        <v/>
      </c>
      <c r="AR4310" s="1856" t="str">
        <f t="shared" si="677"/>
        <v/>
      </c>
      <c r="AT4310" s="1856" t="str">
        <f t="shared" si="670"/>
        <v/>
      </c>
      <c r="AU4310" s="1856" t="str">
        <f t="shared" si="671"/>
        <v/>
      </c>
      <c r="AV4310" s="1856" t="str">
        <f t="shared" si="672"/>
        <v/>
      </c>
      <c r="AW4310" s="1856" t="str">
        <f t="shared" si="673"/>
        <v/>
      </c>
      <c r="AX4310" s="1856" t="str">
        <f t="shared" si="674"/>
        <v/>
      </c>
      <c r="AY4310" s="1856" t="str">
        <f t="shared" si="675"/>
        <v/>
      </c>
    </row>
    <row r="4311" spans="42:51">
      <c r="AP4311" s="1855">
        <f t="shared" si="676"/>
        <v>44957</v>
      </c>
      <c r="AQ4311" s="925" t="str">
        <f t="shared" si="678"/>
        <v/>
      </c>
      <c r="AR4311" s="1856" t="str">
        <f t="shared" si="677"/>
        <v/>
      </c>
      <c r="AT4311" s="1856" t="str">
        <f t="shared" si="670"/>
        <v/>
      </c>
      <c r="AU4311" s="1856" t="str">
        <f t="shared" si="671"/>
        <v/>
      </c>
      <c r="AV4311" s="1856" t="str">
        <f t="shared" si="672"/>
        <v/>
      </c>
      <c r="AW4311" s="1856" t="str">
        <f t="shared" si="673"/>
        <v/>
      </c>
      <c r="AX4311" s="1856" t="str">
        <f t="shared" si="674"/>
        <v/>
      </c>
      <c r="AY4311" s="1856" t="str">
        <f t="shared" si="675"/>
        <v/>
      </c>
    </row>
    <row r="4312" spans="42:51">
      <c r="AP4312" s="1855">
        <f t="shared" si="676"/>
        <v>44957</v>
      </c>
      <c r="AQ4312" s="925" t="str">
        <f t="shared" si="678"/>
        <v/>
      </c>
      <c r="AR4312" s="1856" t="str">
        <f t="shared" si="677"/>
        <v/>
      </c>
      <c r="AT4312" s="1856" t="str">
        <f t="shared" si="670"/>
        <v/>
      </c>
      <c r="AU4312" s="1856" t="str">
        <f t="shared" si="671"/>
        <v/>
      </c>
      <c r="AV4312" s="1856" t="str">
        <f t="shared" si="672"/>
        <v/>
      </c>
      <c r="AW4312" s="1856" t="str">
        <f t="shared" si="673"/>
        <v/>
      </c>
      <c r="AX4312" s="1856" t="str">
        <f t="shared" si="674"/>
        <v/>
      </c>
      <c r="AY4312" s="1856" t="str">
        <f t="shared" si="675"/>
        <v/>
      </c>
    </row>
    <row r="4313" spans="42:51">
      <c r="AP4313" s="1855">
        <f t="shared" si="676"/>
        <v>44957</v>
      </c>
      <c r="AQ4313" s="925" t="str">
        <f t="shared" si="678"/>
        <v/>
      </c>
      <c r="AR4313" s="1856" t="str">
        <f t="shared" si="677"/>
        <v/>
      </c>
      <c r="AT4313" s="1856" t="str">
        <f t="shared" si="670"/>
        <v/>
      </c>
      <c r="AU4313" s="1856" t="str">
        <f t="shared" si="671"/>
        <v/>
      </c>
      <c r="AV4313" s="1856" t="str">
        <f t="shared" si="672"/>
        <v/>
      </c>
      <c r="AW4313" s="1856" t="str">
        <f t="shared" si="673"/>
        <v/>
      </c>
      <c r="AX4313" s="1856" t="str">
        <f t="shared" si="674"/>
        <v/>
      </c>
      <c r="AY4313" s="1856" t="str">
        <f t="shared" si="675"/>
        <v/>
      </c>
    </row>
    <row r="4314" spans="42:51">
      <c r="AP4314" s="1855">
        <f t="shared" si="676"/>
        <v>44957</v>
      </c>
      <c r="AQ4314" s="925" t="str">
        <f t="shared" si="678"/>
        <v/>
      </c>
      <c r="AR4314" s="1856" t="str">
        <f t="shared" si="677"/>
        <v/>
      </c>
      <c r="AT4314" s="1856" t="str">
        <f t="shared" si="670"/>
        <v/>
      </c>
      <c r="AU4314" s="1856" t="str">
        <f t="shared" si="671"/>
        <v/>
      </c>
      <c r="AV4314" s="1856" t="str">
        <f t="shared" si="672"/>
        <v/>
      </c>
      <c r="AW4314" s="1856" t="str">
        <f t="shared" si="673"/>
        <v/>
      </c>
      <c r="AX4314" s="1856" t="str">
        <f t="shared" si="674"/>
        <v/>
      </c>
      <c r="AY4314" s="1856" t="str">
        <f t="shared" si="675"/>
        <v/>
      </c>
    </row>
    <row r="4315" spans="42:51">
      <c r="AP4315" s="1855">
        <f t="shared" si="676"/>
        <v>44957</v>
      </c>
      <c r="AQ4315" s="925" t="str">
        <f t="shared" si="678"/>
        <v/>
      </c>
      <c r="AR4315" s="1856" t="str">
        <f t="shared" si="677"/>
        <v/>
      </c>
      <c r="AT4315" s="1856" t="str">
        <f t="shared" si="670"/>
        <v/>
      </c>
      <c r="AU4315" s="1856" t="str">
        <f t="shared" si="671"/>
        <v/>
      </c>
      <c r="AV4315" s="1856" t="str">
        <f t="shared" si="672"/>
        <v/>
      </c>
      <c r="AW4315" s="1856" t="str">
        <f t="shared" si="673"/>
        <v/>
      </c>
      <c r="AX4315" s="1856" t="str">
        <f t="shared" si="674"/>
        <v/>
      </c>
      <c r="AY4315" s="1856" t="str">
        <f t="shared" si="675"/>
        <v/>
      </c>
    </row>
    <row r="4316" spans="42:51">
      <c r="AP4316" s="1855">
        <f t="shared" si="676"/>
        <v>44957</v>
      </c>
      <c r="AQ4316" s="925" t="str">
        <f t="shared" si="678"/>
        <v/>
      </c>
      <c r="AR4316" s="1856" t="str">
        <f t="shared" si="677"/>
        <v/>
      </c>
      <c r="AT4316" s="1856" t="str">
        <f t="shared" ref="AT4316:AT4379" si="679">IF(ISNUMBER(AS4316),INDEX(AR4317:AR4327,MATCH($AT$27,AQ4317:AQ4327,0)),"")</f>
        <v/>
      </c>
      <c r="AU4316" s="1856" t="str">
        <f t="shared" ref="AU4316:AU4379" si="680">IF(AT4316="","",INDEX(AR4317:AR4327,MATCH($AU$27,AQ4317:AQ4327,0)))</f>
        <v/>
      </c>
      <c r="AV4316" s="1856" t="str">
        <f t="shared" ref="AV4316:AV4379" si="681">IF(AT4316="","",INDEX(AR4317:AR4327,MATCH($AV$27,AQ4317:AQ4327,0)))</f>
        <v/>
      </c>
      <c r="AW4316" s="1856" t="str">
        <f t="shared" ref="AW4316:AW4379" si="682">IF(AT4316="","",INDEX(AR4317:AR4327,MATCH($AW$27,AQ4317:AQ4327,0)))</f>
        <v/>
      </c>
      <c r="AX4316" s="1856" t="str">
        <f t="shared" ref="AX4316:AX4379" si="683">IF(AT4316="","",INDEX(AR4317:AR4327,MATCH($AX$27,AQ4317:AQ4327,0)))</f>
        <v/>
      </c>
      <c r="AY4316" s="1856" t="str">
        <f t="shared" ref="AY4316:AY4379" si="684">IF(AT4316="","",INDEX(AR4317:AR4327,MATCH($AY$27,AQ4317:AQ4327,0)))</f>
        <v/>
      </c>
    </row>
    <row r="4317" spans="42:51">
      <c r="AP4317" s="1855">
        <f t="shared" si="676"/>
        <v>44957</v>
      </c>
      <c r="AQ4317" s="925" t="str">
        <f t="shared" si="678"/>
        <v/>
      </c>
      <c r="AR4317" s="1856" t="str">
        <f t="shared" si="677"/>
        <v/>
      </c>
      <c r="AT4317" s="1856" t="str">
        <f t="shared" si="679"/>
        <v/>
      </c>
      <c r="AU4317" s="1856" t="str">
        <f t="shared" si="680"/>
        <v/>
      </c>
      <c r="AV4317" s="1856" t="str">
        <f t="shared" si="681"/>
        <v/>
      </c>
      <c r="AW4317" s="1856" t="str">
        <f t="shared" si="682"/>
        <v/>
      </c>
      <c r="AX4317" s="1856" t="str">
        <f t="shared" si="683"/>
        <v/>
      </c>
      <c r="AY4317" s="1856" t="str">
        <f t="shared" si="684"/>
        <v/>
      </c>
    </row>
    <row r="4318" spans="42:51">
      <c r="AP4318" s="1855">
        <f t="shared" si="676"/>
        <v>44957</v>
      </c>
      <c r="AQ4318" s="925" t="str">
        <f t="shared" si="678"/>
        <v/>
      </c>
      <c r="AR4318" s="1856" t="str">
        <f t="shared" si="677"/>
        <v/>
      </c>
      <c r="AT4318" s="1856" t="str">
        <f t="shared" si="679"/>
        <v/>
      </c>
      <c r="AU4318" s="1856" t="str">
        <f t="shared" si="680"/>
        <v/>
      </c>
      <c r="AV4318" s="1856" t="str">
        <f t="shared" si="681"/>
        <v/>
      </c>
      <c r="AW4318" s="1856" t="str">
        <f t="shared" si="682"/>
        <v/>
      </c>
      <c r="AX4318" s="1856" t="str">
        <f t="shared" si="683"/>
        <v/>
      </c>
      <c r="AY4318" s="1856" t="str">
        <f t="shared" si="684"/>
        <v/>
      </c>
    </row>
    <row r="4319" spans="42:51">
      <c r="AP4319" s="1855">
        <f t="shared" si="676"/>
        <v>44957</v>
      </c>
      <c r="AQ4319" s="925" t="str">
        <f t="shared" si="678"/>
        <v/>
      </c>
      <c r="AR4319" s="1856" t="str">
        <f t="shared" si="677"/>
        <v/>
      </c>
      <c r="AT4319" s="1856" t="str">
        <f t="shared" si="679"/>
        <v/>
      </c>
      <c r="AU4319" s="1856" t="str">
        <f t="shared" si="680"/>
        <v/>
      </c>
      <c r="AV4319" s="1856" t="str">
        <f t="shared" si="681"/>
        <v/>
      </c>
      <c r="AW4319" s="1856" t="str">
        <f t="shared" si="682"/>
        <v/>
      </c>
      <c r="AX4319" s="1856" t="str">
        <f t="shared" si="683"/>
        <v/>
      </c>
      <c r="AY4319" s="1856" t="str">
        <f t="shared" si="684"/>
        <v/>
      </c>
    </row>
    <row r="4320" spans="42:51">
      <c r="AP4320" s="1855">
        <f t="shared" si="676"/>
        <v>44957</v>
      </c>
      <c r="AQ4320" s="925" t="str">
        <f t="shared" si="678"/>
        <v/>
      </c>
      <c r="AR4320" s="1856" t="str">
        <f t="shared" si="677"/>
        <v/>
      </c>
      <c r="AT4320" s="1856" t="str">
        <f t="shared" si="679"/>
        <v/>
      </c>
      <c r="AU4320" s="1856" t="str">
        <f t="shared" si="680"/>
        <v/>
      </c>
      <c r="AV4320" s="1856" t="str">
        <f t="shared" si="681"/>
        <v/>
      </c>
      <c r="AW4320" s="1856" t="str">
        <f t="shared" si="682"/>
        <v/>
      </c>
      <c r="AX4320" s="1856" t="str">
        <f t="shared" si="683"/>
        <v/>
      </c>
      <c r="AY4320" s="1856" t="str">
        <f t="shared" si="684"/>
        <v/>
      </c>
    </row>
    <row r="4321" spans="42:51">
      <c r="AP4321" s="1855">
        <f t="shared" si="676"/>
        <v>44957</v>
      </c>
      <c r="AQ4321" s="925" t="str">
        <f t="shared" si="678"/>
        <v/>
      </c>
      <c r="AR4321" s="1856" t="str">
        <f t="shared" si="677"/>
        <v/>
      </c>
      <c r="AT4321" s="1856" t="str">
        <f t="shared" si="679"/>
        <v/>
      </c>
      <c r="AU4321" s="1856" t="str">
        <f t="shared" si="680"/>
        <v/>
      </c>
      <c r="AV4321" s="1856" t="str">
        <f t="shared" si="681"/>
        <v/>
      </c>
      <c r="AW4321" s="1856" t="str">
        <f t="shared" si="682"/>
        <v/>
      </c>
      <c r="AX4321" s="1856" t="str">
        <f t="shared" si="683"/>
        <v/>
      </c>
      <c r="AY4321" s="1856" t="str">
        <f t="shared" si="684"/>
        <v/>
      </c>
    </row>
    <row r="4322" spans="42:51">
      <c r="AP4322" s="1855">
        <f t="shared" si="676"/>
        <v>44957</v>
      </c>
      <c r="AQ4322" s="925" t="str">
        <f t="shared" si="678"/>
        <v/>
      </c>
      <c r="AR4322" s="1856" t="str">
        <f t="shared" si="677"/>
        <v/>
      </c>
      <c r="AT4322" s="1856" t="str">
        <f t="shared" si="679"/>
        <v/>
      </c>
      <c r="AU4322" s="1856" t="str">
        <f t="shared" si="680"/>
        <v/>
      </c>
      <c r="AV4322" s="1856" t="str">
        <f t="shared" si="681"/>
        <v/>
      </c>
      <c r="AW4322" s="1856" t="str">
        <f t="shared" si="682"/>
        <v/>
      </c>
      <c r="AX4322" s="1856" t="str">
        <f t="shared" si="683"/>
        <v/>
      </c>
      <c r="AY4322" s="1856" t="str">
        <f t="shared" si="684"/>
        <v/>
      </c>
    </row>
    <row r="4323" spans="42:51">
      <c r="AP4323" s="1855">
        <f t="shared" si="676"/>
        <v>44957</v>
      </c>
      <c r="AQ4323" s="925" t="str">
        <f t="shared" si="678"/>
        <v/>
      </c>
      <c r="AR4323" s="1856" t="str">
        <f t="shared" si="677"/>
        <v/>
      </c>
      <c r="AT4323" s="1856" t="str">
        <f t="shared" si="679"/>
        <v/>
      </c>
      <c r="AU4323" s="1856" t="str">
        <f t="shared" si="680"/>
        <v/>
      </c>
      <c r="AV4323" s="1856" t="str">
        <f t="shared" si="681"/>
        <v/>
      </c>
      <c r="AW4323" s="1856" t="str">
        <f t="shared" si="682"/>
        <v/>
      </c>
      <c r="AX4323" s="1856" t="str">
        <f t="shared" si="683"/>
        <v/>
      </c>
      <c r="AY4323" s="1856" t="str">
        <f t="shared" si="684"/>
        <v/>
      </c>
    </row>
    <row r="4324" spans="42:51">
      <c r="AP4324" s="1855">
        <f t="shared" si="676"/>
        <v>44957</v>
      </c>
      <c r="AQ4324" s="925" t="str">
        <f t="shared" si="678"/>
        <v/>
      </c>
      <c r="AR4324" s="1856" t="str">
        <f t="shared" si="677"/>
        <v/>
      </c>
      <c r="AT4324" s="1856" t="str">
        <f t="shared" si="679"/>
        <v/>
      </c>
      <c r="AU4324" s="1856" t="str">
        <f t="shared" si="680"/>
        <v/>
      </c>
      <c r="AV4324" s="1856" t="str">
        <f t="shared" si="681"/>
        <v/>
      </c>
      <c r="AW4324" s="1856" t="str">
        <f t="shared" si="682"/>
        <v/>
      </c>
      <c r="AX4324" s="1856" t="str">
        <f t="shared" si="683"/>
        <v/>
      </c>
      <c r="AY4324" s="1856" t="str">
        <f t="shared" si="684"/>
        <v/>
      </c>
    </row>
    <row r="4325" spans="42:51">
      <c r="AP4325" s="1855">
        <f t="shared" ref="AP4325:AP4388" si="685">IF(ISNUMBER(AS4325),AP4324+1,AP4324)</f>
        <v>44957</v>
      </c>
      <c r="AQ4325" s="925" t="str">
        <f t="shared" si="678"/>
        <v/>
      </c>
      <c r="AR4325" s="1856" t="str">
        <f t="shared" si="677"/>
        <v/>
      </c>
      <c r="AT4325" s="1856" t="str">
        <f t="shared" si="679"/>
        <v/>
      </c>
      <c r="AU4325" s="1856" t="str">
        <f t="shared" si="680"/>
        <v/>
      </c>
      <c r="AV4325" s="1856" t="str">
        <f t="shared" si="681"/>
        <v/>
      </c>
      <c r="AW4325" s="1856" t="str">
        <f t="shared" si="682"/>
        <v/>
      </c>
      <c r="AX4325" s="1856" t="str">
        <f t="shared" si="683"/>
        <v/>
      </c>
      <c r="AY4325" s="1856" t="str">
        <f t="shared" si="684"/>
        <v/>
      </c>
    </row>
    <row r="4326" spans="42:51">
      <c r="AP4326" s="1855">
        <f t="shared" si="685"/>
        <v>44957</v>
      </c>
      <c r="AQ4326" s="925" t="str">
        <f t="shared" si="678"/>
        <v/>
      </c>
      <c r="AR4326" s="1856" t="str">
        <f t="shared" si="677"/>
        <v/>
      </c>
      <c r="AT4326" s="1856" t="str">
        <f t="shared" si="679"/>
        <v/>
      </c>
      <c r="AU4326" s="1856" t="str">
        <f t="shared" si="680"/>
        <v/>
      </c>
      <c r="AV4326" s="1856" t="str">
        <f t="shared" si="681"/>
        <v/>
      </c>
      <c r="AW4326" s="1856" t="str">
        <f t="shared" si="682"/>
        <v/>
      </c>
      <c r="AX4326" s="1856" t="str">
        <f t="shared" si="683"/>
        <v/>
      </c>
      <c r="AY4326" s="1856" t="str">
        <f t="shared" si="684"/>
        <v/>
      </c>
    </row>
    <row r="4327" spans="42:51">
      <c r="AP4327" s="1855">
        <f t="shared" si="685"/>
        <v>44957</v>
      </c>
      <c r="AQ4327" s="925" t="str">
        <f t="shared" si="678"/>
        <v/>
      </c>
      <c r="AR4327" s="1856" t="str">
        <f t="shared" si="677"/>
        <v/>
      </c>
      <c r="AT4327" s="1856" t="str">
        <f t="shared" si="679"/>
        <v/>
      </c>
      <c r="AU4327" s="1856" t="str">
        <f t="shared" si="680"/>
        <v/>
      </c>
      <c r="AV4327" s="1856" t="str">
        <f t="shared" si="681"/>
        <v/>
      </c>
      <c r="AW4327" s="1856" t="str">
        <f t="shared" si="682"/>
        <v/>
      </c>
      <c r="AX4327" s="1856" t="str">
        <f t="shared" si="683"/>
        <v/>
      </c>
      <c r="AY4327" s="1856" t="str">
        <f t="shared" si="684"/>
        <v/>
      </c>
    </row>
    <row r="4328" spans="42:51">
      <c r="AP4328" s="1855">
        <f t="shared" si="685"/>
        <v>44957</v>
      </c>
      <c r="AQ4328" s="925" t="str">
        <f t="shared" si="678"/>
        <v/>
      </c>
      <c r="AR4328" s="1856" t="str">
        <f t="shared" si="677"/>
        <v/>
      </c>
      <c r="AT4328" s="1856" t="str">
        <f t="shared" si="679"/>
        <v/>
      </c>
      <c r="AU4328" s="1856" t="str">
        <f t="shared" si="680"/>
        <v/>
      </c>
      <c r="AV4328" s="1856" t="str">
        <f t="shared" si="681"/>
        <v/>
      </c>
      <c r="AW4328" s="1856" t="str">
        <f t="shared" si="682"/>
        <v/>
      </c>
      <c r="AX4328" s="1856" t="str">
        <f t="shared" si="683"/>
        <v/>
      </c>
      <c r="AY4328" s="1856" t="str">
        <f t="shared" si="684"/>
        <v/>
      </c>
    </row>
    <row r="4329" spans="42:51">
      <c r="AP4329" s="1855">
        <f t="shared" si="685"/>
        <v>44957</v>
      </c>
      <c r="AQ4329" s="925" t="str">
        <f t="shared" si="678"/>
        <v/>
      </c>
      <c r="AR4329" s="1856" t="str">
        <f t="shared" ref="AR4329:AR4392" si="686">IF(NOT(ISNUMBER(FIND(":",AS4329))),"",IF(ISNUMBER(FIND(" none",AS4329)),"NONE",AP4329+LEFT(RIGHT(AS4329,5),2)/24+RIGHT(AS4329,2)/1440))</f>
        <v/>
      </c>
      <c r="AT4329" s="1856" t="str">
        <f t="shared" si="679"/>
        <v/>
      </c>
      <c r="AU4329" s="1856" t="str">
        <f t="shared" si="680"/>
        <v/>
      </c>
      <c r="AV4329" s="1856" t="str">
        <f t="shared" si="681"/>
        <v/>
      </c>
      <c r="AW4329" s="1856" t="str">
        <f t="shared" si="682"/>
        <v/>
      </c>
      <c r="AX4329" s="1856" t="str">
        <f t="shared" si="683"/>
        <v/>
      </c>
      <c r="AY4329" s="1856" t="str">
        <f t="shared" si="684"/>
        <v/>
      </c>
    </row>
    <row r="4330" spans="42:51">
      <c r="AP4330" s="1855">
        <f t="shared" si="685"/>
        <v>44957</v>
      </c>
      <c r="AQ4330" s="925" t="str">
        <f t="shared" si="678"/>
        <v/>
      </c>
      <c r="AR4330" s="1856" t="str">
        <f t="shared" si="686"/>
        <v/>
      </c>
      <c r="AT4330" s="1856" t="str">
        <f t="shared" si="679"/>
        <v/>
      </c>
      <c r="AU4330" s="1856" t="str">
        <f t="shared" si="680"/>
        <v/>
      </c>
      <c r="AV4330" s="1856" t="str">
        <f t="shared" si="681"/>
        <v/>
      </c>
      <c r="AW4330" s="1856" t="str">
        <f t="shared" si="682"/>
        <v/>
      </c>
      <c r="AX4330" s="1856" t="str">
        <f t="shared" si="683"/>
        <v/>
      </c>
      <c r="AY4330" s="1856" t="str">
        <f t="shared" si="684"/>
        <v/>
      </c>
    </row>
    <row r="4331" spans="42:51">
      <c r="AP4331" s="1855">
        <f t="shared" si="685"/>
        <v>44957</v>
      </c>
      <c r="AQ4331" s="925" t="str">
        <f t="shared" si="678"/>
        <v/>
      </c>
      <c r="AR4331" s="1856" t="str">
        <f t="shared" si="686"/>
        <v/>
      </c>
      <c r="AT4331" s="1856" t="str">
        <f t="shared" si="679"/>
        <v/>
      </c>
      <c r="AU4331" s="1856" t="str">
        <f t="shared" si="680"/>
        <v/>
      </c>
      <c r="AV4331" s="1856" t="str">
        <f t="shared" si="681"/>
        <v/>
      </c>
      <c r="AW4331" s="1856" t="str">
        <f t="shared" si="682"/>
        <v/>
      </c>
      <c r="AX4331" s="1856" t="str">
        <f t="shared" si="683"/>
        <v/>
      </c>
      <c r="AY4331" s="1856" t="str">
        <f t="shared" si="684"/>
        <v/>
      </c>
    </row>
    <row r="4332" spans="42:51">
      <c r="AP4332" s="1855">
        <f t="shared" si="685"/>
        <v>44957</v>
      </c>
      <c r="AQ4332" s="925" t="str">
        <f t="shared" si="678"/>
        <v/>
      </c>
      <c r="AR4332" s="1856" t="str">
        <f t="shared" si="686"/>
        <v/>
      </c>
      <c r="AT4332" s="1856" t="str">
        <f t="shared" si="679"/>
        <v/>
      </c>
      <c r="AU4332" s="1856" t="str">
        <f t="shared" si="680"/>
        <v/>
      </c>
      <c r="AV4332" s="1856" t="str">
        <f t="shared" si="681"/>
        <v/>
      </c>
      <c r="AW4332" s="1856" t="str">
        <f t="shared" si="682"/>
        <v/>
      </c>
      <c r="AX4332" s="1856" t="str">
        <f t="shared" si="683"/>
        <v/>
      </c>
      <c r="AY4332" s="1856" t="str">
        <f t="shared" si="684"/>
        <v/>
      </c>
    </row>
    <row r="4333" spans="42:51">
      <c r="AP4333" s="1855">
        <f t="shared" si="685"/>
        <v>44957</v>
      </c>
      <c r="AQ4333" s="925" t="str">
        <f t="shared" si="678"/>
        <v/>
      </c>
      <c r="AR4333" s="1856" t="str">
        <f t="shared" si="686"/>
        <v/>
      </c>
      <c r="AT4333" s="1856" t="str">
        <f t="shared" si="679"/>
        <v/>
      </c>
      <c r="AU4333" s="1856" t="str">
        <f t="shared" si="680"/>
        <v/>
      </c>
      <c r="AV4333" s="1856" t="str">
        <f t="shared" si="681"/>
        <v/>
      </c>
      <c r="AW4333" s="1856" t="str">
        <f t="shared" si="682"/>
        <v/>
      </c>
      <c r="AX4333" s="1856" t="str">
        <f t="shared" si="683"/>
        <v/>
      </c>
      <c r="AY4333" s="1856" t="str">
        <f t="shared" si="684"/>
        <v/>
      </c>
    </row>
    <row r="4334" spans="42:51">
      <c r="AP4334" s="1855">
        <f t="shared" si="685"/>
        <v>44957</v>
      </c>
      <c r="AQ4334" s="925" t="str">
        <f t="shared" si="678"/>
        <v/>
      </c>
      <c r="AR4334" s="1856" t="str">
        <f t="shared" si="686"/>
        <v/>
      </c>
      <c r="AT4334" s="1856" t="str">
        <f t="shared" si="679"/>
        <v/>
      </c>
      <c r="AU4334" s="1856" t="str">
        <f t="shared" si="680"/>
        <v/>
      </c>
      <c r="AV4334" s="1856" t="str">
        <f t="shared" si="681"/>
        <v/>
      </c>
      <c r="AW4334" s="1856" t="str">
        <f t="shared" si="682"/>
        <v/>
      </c>
      <c r="AX4334" s="1856" t="str">
        <f t="shared" si="683"/>
        <v/>
      </c>
      <c r="AY4334" s="1856" t="str">
        <f t="shared" si="684"/>
        <v/>
      </c>
    </row>
    <row r="4335" spans="42:51">
      <c r="AP4335" s="1855">
        <f t="shared" si="685"/>
        <v>44957</v>
      </c>
      <c r="AQ4335" s="925" t="str">
        <f t="shared" si="678"/>
        <v/>
      </c>
      <c r="AR4335" s="1856" t="str">
        <f t="shared" si="686"/>
        <v/>
      </c>
      <c r="AT4335" s="1856" t="str">
        <f t="shared" si="679"/>
        <v/>
      </c>
      <c r="AU4335" s="1856" t="str">
        <f t="shared" si="680"/>
        <v/>
      </c>
      <c r="AV4335" s="1856" t="str">
        <f t="shared" si="681"/>
        <v/>
      </c>
      <c r="AW4335" s="1856" t="str">
        <f t="shared" si="682"/>
        <v/>
      </c>
      <c r="AX4335" s="1856" t="str">
        <f t="shared" si="683"/>
        <v/>
      </c>
      <c r="AY4335" s="1856" t="str">
        <f t="shared" si="684"/>
        <v/>
      </c>
    </row>
    <row r="4336" spans="42:51">
      <c r="AP4336" s="1855">
        <f t="shared" si="685"/>
        <v>44957</v>
      </c>
      <c r="AQ4336" s="925" t="str">
        <f t="shared" si="678"/>
        <v/>
      </c>
      <c r="AR4336" s="1856" t="str">
        <f t="shared" si="686"/>
        <v/>
      </c>
      <c r="AT4336" s="1856" t="str">
        <f t="shared" si="679"/>
        <v/>
      </c>
      <c r="AU4336" s="1856" t="str">
        <f t="shared" si="680"/>
        <v/>
      </c>
      <c r="AV4336" s="1856" t="str">
        <f t="shared" si="681"/>
        <v/>
      </c>
      <c r="AW4336" s="1856" t="str">
        <f t="shared" si="682"/>
        <v/>
      </c>
      <c r="AX4336" s="1856" t="str">
        <f t="shared" si="683"/>
        <v/>
      </c>
      <c r="AY4336" s="1856" t="str">
        <f t="shared" si="684"/>
        <v/>
      </c>
    </row>
    <row r="4337" spans="42:51">
      <c r="AP4337" s="1855">
        <f t="shared" si="685"/>
        <v>44957</v>
      </c>
      <c r="AQ4337" s="925" t="str">
        <f t="shared" si="678"/>
        <v/>
      </c>
      <c r="AR4337" s="1856" t="str">
        <f t="shared" si="686"/>
        <v/>
      </c>
      <c r="AT4337" s="1856" t="str">
        <f t="shared" si="679"/>
        <v/>
      </c>
      <c r="AU4337" s="1856" t="str">
        <f t="shared" si="680"/>
        <v/>
      </c>
      <c r="AV4337" s="1856" t="str">
        <f t="shared" si="681"/>
        <v/>
      </c>
      <c r="AW4337" s="1856" t="str">
        <f t="shared" si="682"/>
        <v/>
      </c>
      <c r="AX4337" s="1856" t="str">
        <f t="shared" si="683"/>
        <v/>
      </c>
      <c r="AY4337" s="1856" t="str">
        <f t="shared" si="684"/>
        <v/>
      </c>
    </row>
    <row r="4338" spans="42:51">
      <c r="AP4338" s="1855">
        <f t="shared" si="685"/>
        <v>44957</v>
      </c>
      <c r="AQ4338" s="925" t="str">
        <f t="shared" si="678"/>
        <v/>
      </c>
      <c r="AR4338" s="1856" t="str">
        <f t="shared" si="686"/>
        <v/>
      </c>
      <c r="AT4338" s="1856" t="str">
        <f t="shared" si="679"/>
        <v/>
      </c>
      <c r="AU4338" s="1856" t="str">
        <f t="shared" si="680"/>
        <v/>
      </c>
      <c r="AV4338" s="1856" t="str">
        <f t="shared" si="681"/>
        <v/>
      </c>
      <c r="AW4338" s="1856" t="str">
        <f t="shared" si="682"/>
        <v/>
      </c>
      <c r="AX4338" s="1856" t="str">
        <f t="shared" si="683"/>
        <v/>
      </c>
      <c r="AY4338" s="1856" t="str">
        <f t="shared" si="684"/>
        <v/>
      </c>
    </row>
    <row r="4339" spans="42:51">
      <c r="AP4339" s="1855">
        <f t="shared" si="685"/>
        <v>44957</v>
      </c>
      <c r="AQ4339" s="925" t="str">
        <f t="shared" si="678"/>
        <v/>
      </c>
      <c r="AR4339" s="1856" t="str">
        <f t="shared" si="686"/>
        <v/>
      </c>
      <c r="AT4339" s="1856" t="str">
        <f t="shared" si="679"/>
        <v/>
      </c>
      <c r="AU4339" s="1856" t="str">
        <f t="shared" si="680"/>
        <v/>
      </c>
      <c r="AV4339" s="1856" t="str">
        <f t="shared" si="681"/>
        <v/>
      </c>
      <c r="AW4339" s="1856" t="str">
        <f t="shared" si="682"/>
        <v/>
      </c>
      <c r="AX4339" s="1856" t="str">
        <f t="shared" si="683"/>
        <v/>
      </c>
      <c r="AY4339" s="1856" t="str">
        <f t="shared" si="684"/>
        <v/>
      </c>
    </row>
    <row r="4340" spans="42:51">
      <c r="AP4340" s="1855">
        <f t="shared" si="685"/>
        <v>44957</v>
      </c>
      <c r="AQ4340" s="925" t="str">
        <f t="shared" ref="AQ4340:AQ4403" si="687">IF(NOT(ISNUMBER(FIND(":",AS4340))),"",IF(ISNUMBER(FIND("Sunr",AS4340)),"SR", IF(ISNUMBER(FIND("Suns",AS4340)),"SS",IF(ISNUMBER(FIND("Moonr",AS4340)),"MR",IF(ISNUMBER(FIND("Moons",AS4340)),"MS",IF(ISNUMBER(FIND("Twi",AS4340)),IF(HOUR(AR4340)&lt;12,"BMNT","EENT")))))))</f>
        <v/>
      </c>
      <c r="AR4340" s="1856" t="str">
        <f t="shared" si="686"/>
        <v/>
      </c>
      <c r="AT4340" s="1856" t="str">
        <f t="shared" si="679"/>
        <v/>
      </c>
      <c r="AU4340" s="1856" t="str">
        <f t="shared" si="680"/>
        <v/>
      </c>
      <c r="AV4340" s="1856" t="str">
        <f t="shared" si="681"/>
        <v/>
      </c>
      <c r="AW4340" s="1856" t="str">
        <f t="shared" si="682"/>
        <v/>
      </c>
      <c r="AX4340" s="1856" t="str">
        <f t="shared" si="683"/>
        <v/>
      </c>
      <c r="AY4340" s="1856" t="str">
        <f t="shared" si="684"/>
        <v/>
      </c>
    </row>
    <row r="4341" spans="42:51">
      <c r="AP4341" s="1855">
        <f t="shared" si="685"/>
        <v>44957</v>
      </c>
      <c r="AQ4341" s="925" t="str">
        <f t="shared" si="687"/>
        <v/>
      </c>
      <c r="AR4341" s="1856" t="str">
        <f t="shared" si="686"/>
        <v/>
      </c>
      <c r="AT4341" s="1856" t="str">
        <f t="shared" si="679"/>
        <v/>
      </c>
      <c r="AU4341" s="1856" t="str">
        <f t="shared" si="680"/>
        <v/>
      </c>
      <c r="AV4341" s="1856" t="str">
        <f t="shared" si="681"/>
        <v/>
      </c>
      <c r="AW4341" s="1856" t="str">
        <f t="shared" si="682"/>
        <v/>
      </c>
      <c r="AX4341" s="1856" t="str">
        <f t="shared" si="683"/>
        <v/>
      </c>
      <c r="AY4341" s="1856" t="str">
        <f t="shared" si="684"/>
        <v/>
      </c>
    </row>
    <row r="4342" spans="42:51">
      <c r="AP4342" s="1855">
        <f t="shared" si="685"/>
        <v>44957</v>
      </c>
      <c r="AQ4342" s="925" t="str">
        <f t="shared" si="687"/>
        <v/>
      </c>
      <c r="AR4342" s="1856" t="str">
        <f t="shared" si="686"/>
        <v/>
      </c>
      <c r="AT4342" s="1856" t="str">
        <f t="shared" si="679"/>
        <v/>
      </c>
      <c r="AU4342" s="1856" t="str">
        <f t="shared" si="680"/>
        <v/>
      </c>
      <c r="AV4342" s="1856" t="str">
        <f t="shared" si="681"/>
        <v/>
      </c>
      <c r="AW4342" s="1856" t="str">
        <f t="shared" si="682"/>
        <v/>
      </c>
      <c r="AX4342" s="1856" t="str">
        <f t="shared" si="683"/>
        <v/>
      </c>
      <c r="AY4342" s="1856" t="str">
        <f t="shared" si="684"/>
        <v/>
      </c>
    </row>
    <row r="4343" spans="42:51">
      <c r="AP4343" s="1855">
        <f t="shared" si="685"/>
        <v>44957</v>
      </c>
      <c r="AQ4343" s="925" t="str">
        <f t="shared" si="687"/>
        <v/>
      </c>
      <c r="AR4343" s="1856" t="str">
        <f t="shared" si="686"/>
        <v/>
      </c>
      <c r="AT4343" s="1856" t="str">
        <f t="shared" si="679"/>
        <v/>
      </c>
      <c r="AU4343" s="1856" t="str">
        <f t="shared" si="680"/>
        <v/>
      </c>
      <c r="AV4343" s="1856" t="str">
        <f t="shared" si="681"/>
        <v/>
      </c>
      <c r="AW4343" s="1856" t="str">
        <f t="shared" si="682"/>
        <v/>
      </c>
      <c r="AX4343" s="1856" t="str">
        <f t="shared" si="683"/>
        <v/>
      </c>
      <c r="AY4343" s="1856" t="str">
        <f t="shared" si="684"/>
        <v/>
      </c>
    </row>
    <row r="4344" spans="42:51">
      <c r="AP4344" s="1855">
        <f t="shared" si="685"/>
        <v>44957</v>
      </c>
      <c r="AQ4344" s="925" t="str">
        <f t="shared" si="687"/>
        <v/>
      </c>
      <c r="AR4344" s="1856" t="str">
        <f t="shared" si="686"/>
        <v/>
      </c>
      <c r="AT4344" s="1856" t="str">
        <f t="shared" si="679"/>
        <v/>
      </c>
      <c r="AU4344" s="1856" t="str">
        <f t="shared" si="680"/>
        <v/>
      </c>
      <c r="AV4344" s="1856" t="str">
        <f t="shared" si="681"/>
        <v/>
      </c>
      <c r="AW4344" s="1856" t="str">
        <f t="shared" si="682"/>
        <v/>
      </c>
      <c r="AX4344" s="1856" t="str">
        <f t="shared" si="683"/>
        <v/>
      </c>
      <c r="AY4344" s="1856" t="str">
        <f t="shared" si="684"/>
        <v/>
      </c>
    </row>
    <row r="4345" spans="42:51">
      <c r="AP4345" s="1855">
        <f t="shared" si="685"/>
        <v>44957</v>
      </c>
      <c r="AQ4345" s="925" t="str">
        <f t="shared" si="687"/>
        <v/>
      </c>
      <c r="AR4345" s="1856" t="str">
        <f t="shared" si="686"/>
        <v/>
      </c>
      <c r="AT4345" s="1856" t="str">
        <f t="shared" si="679"/>
        <v/>
      </c>
      <c r="AU4345" s="1856" t="str">
        <f t="shared" si="680"/>
        <v/>
      </c>
      <c r="AV4345" s="1856" t="str">
        <f t="shared" si="681"/>
        <v/>
      </c>
      <c r="AW4345" s="1856" t="str">
        <f t="shared" si="682"/>
        <v/>
      </c>
      <c r="AX4345" s="1856" t="str">
        <f t="shared" si="683"/>
        <v/>
      </c>
      <c r="AY4345" s="1856" t="str">
        <f t="shared" si="684"/>
        <v/>
      </c>
    </row>
    <row r="4346" spans="42:51">
      <c r="AP4346" s="1855">
        <f t="shared" si="685"/>
        <v>44957</v>
      </c>
      <c r="AQ4346" s="925" t="str">
        <f t="shared" si="687"/>
        <v/>
      </c>
      <c r="AR4346" s="1856" t="str">
        <f t="shared" si="686"/>
        <v/>
      </c>
      <c r="AT4346" s="1856" t="str">
        <f t="shared" si="679"/>
        <v/>
      </c>
      <c r="AU4346" s="1856" t="str">
        <f t="shared" si="680"/>
        <v/>
      </c>
      <c r="AV4346" s="1856" t="str">
        <f t="shared" si="681"/>
        <v/>
      </c>
      <c r="AW4346" s="1856" t="str">
        <f t="shared" si="682"/>
        <v/>
      </c>
      <c r="AX4346" s="1856" t="str">
        <f t="shared" si="683"/>
        <v/>
      </c>
      <c r="AY4346" s="1856" t="str">
        <f t="shared" si="684"/>
        <v/>
      </c>
    </row>
    <row r="4347" spans="42:51">
      <c r="AP4347" s="1855">
        <f t="shared" si="685"/>
        <v>44957</v>
      </c>
      <c r="AQ4347" s="925" t="str">
        <f t="shared" si="687"/>
        <v/>
      </c>
      <c r="AR4347" s="1856" t="str">
        <f t="shared" si="686"/>
        <v/>
      </c>
      <c r="AT4347" s="1856" t="str">
        <f t="shared" si="679"/>
        <v/>
      </c>
      <c r="AU4347" s="1856" t="str">
        <f t="shared" si="680"/>
        <v/>
      </c>
      <c r="AV4347" s="1856" t="str">
        <f t="shared" si="681"/>
        <v/>
      </c>
      <c r="AW4347" s="1856" t="str">
        <f t="shared" si="682"/>
        <v/>
      </c>
      <c r="AX4347" s="1856" t="str">
        <f t="shared" si="683"/>
        <v/>
      </c>
      <c r="AY4347" s="1856" t="str">
        <f t="shared" si="684"/>
        <v/>
      </c>
    </row>
    <row r="4348" spans="42:51">
      <c r="AP4348" s="1855">
        <f t="shared" si="685"/>
        <v>44957</v>
      </c>
      <c r="AQ4348" s="925" t="str">
        <f t="shared" si="687"/>
        <v/>
      </c>
      <c r="AR4348" s="1856" t="str">
        <f t="shared" si="686"/>
        <v/>
      </c>
      <c r="AT4348" s="1856" t="str">
        <f t="shared" si="679"/>
        <v/>
      </c>
      <c r="AU4348" s="1856" t="str">
        <f t="shared" si="680"/>
        <v/>
      </c>
      <c r="AV4348" s="1856" t="str">
        <f t="shared" si="681"/>
        <v/>
      </c>
      <c r="AW4348" s="1856" t="str">
        <f t="shared" si="682"/>
        <v/>
      </c>
      <c r="AX4348" s="1856" t="str">
        <f t="shared" si="683"/>
        <v/>
      </c>
      <c r="AY4348" s="1856" t="str">
        <f t="shared" si="684"/>
        <v/>
      </c>
    </row>
    <row r="4349" spans="42:51">
      <c r="AP4349" s="1855">
        <f t="shared" si="685"/>
        <v>44957</v>
      </c>
      <c r="AQ4349" s="925" t="str">
        <f t="shared" si="687"/>
        <v/>
      </c>
      <c r="AR4349" s="1856" t="str">
        <f t="shared" si="686"/>
        <v/>
      </c>
      <c r="AT4349" s="1856" t="str">
        <f t="shared" si="679"/>
        <v/>
      </c>
      <c r="AU4349" s="1856" t="str">
        <f t="shared" si="680"/>
        <v/>
      </c>
      <c r="AV4349" s="1856" t="str">
        <f t="shared" si="681"/>
        <v/>
      </c>
      <c r="AW4349" s="1856" t="str">
        <f t="shared" si="682"/>
        <v/>
      </c>
      <c r="AX4349" s="1856" t="str">
        <f t="shared" si="683"/>
        <v/>
      </c>
      <c r="AY4349" s="1856" t="str">
        <f t="shared" si="684"/>
        <v/>
      </c>
    </row>
    <row r="4350" spans="42:51">
      <c r="AP4350" s="1855">
        <f t="shared" si="685"/>
        <v>44957</v>
      </c>
      <c r="AQ4350" s="925" t="str">
        <f t="shared" si="687"/>
        <v/>
      </c>
      <c r="AR4350" s="1856" t="str">
        <f t="shared" si="686"/>
        <v/>
      </c>
      <c r="AT4350" s="1856" t="str">
        <f t="shared" si="679"/>
        <v/>
      </c>
      <c r="AU4350" s="1856" t="str">
        <f t="shared" si="680"/>
        <v/>
      </c>
      <c r="AV4350" s="1856" t="str">
        <f t="shared" si="681"/>
        <v/>
      </c>
      <c r="AW4350" s="1856" t="str">
        <f t="shared" si="682"/>
        <v/>
      </c>
      <c r="AX4350" s="1856" t="str">
        <f t="shared" si="683"/>
        <v/>
      </c>
      <c r="AY4350" s="1856" t="str">
        <f t="shared" si="684"/>
        <v/>
      </c>
    </row>
    <row r="4351" spans="42:51">
      <c r="AP4351" s="1855">
        <f t="shared" si="685"/>
        <v>44957</v>
      </c>
      <c r="AQ4351" s="925" t="str">
        <f t="shared" si="687"/>
        <v/>
      </c>
      <c r="AR4351" s="1856" t="str">
        <f t="shared" si="686"/>
        <v/>
      </c>
      <c r="AT4351" s="1856" t="str">
        <f t="shared" si="679"/>
        <v/>
      </c>
      <c r="AU4351" s="1856" t="str">
        <f t="shared" si="680"/>
        <v/>
      </c>
      <c r="AV4351" s="1856" t="str">
        <f t="shared" si="681"/>
        <v/>
      </c>
      <c r="AW4351" s="1856" t="str">
        <f t="shared" si="682"/>
        <v/>
      </c>
      <c r="AX4351" s="1856" t="str">
        <f t="shared" si="683"/>
        <v/>
      </c>
      <c r="AY4351" s="1856" t="str">
        <f t="shared" si="684"/>
        <v/>
      </c>
    </row>
    <row r="4352" spans="42:51">
      <c r="AP4352" s="1855">
        <f t="shared" si="685"/>
        <v>44957</v>
      </c>
      <c r="AQ4352" s="925" t="str">
        <f t="shared" si="687"/>
        <v/>
      </c>
      <c r="AR4352" s="1856" t="str">
        <f t="shared" si="686"/>
        <v/>
      </c>
      <c r="AT4352" s="1856" t="str">
        <f t="shared" si="679"/>
        <v/>
      </c>
      <c r="AU4352" s="1856" t="str">
        <f t="shared" si="680"/>
        <v/>
      </c>
      <c r="AV4352" s="1856" t="str">
        <f t="shared" si="681"/>
        <v/>
      </c>
      <c r="AW4352" s="1856" t="str">
        <f t="shared" si="682"/>
        <v/>
      </c>
      <c r="AX4352" s="1856" t="str">
        <f t="shared" si="683"/>
        <v/>
      </c>
      <c r="AY4352" s="1856" t="str">
        <f t="shared" si="684"/>
        <v/>
      </c>
    </row>
    <row r="4353" spans="42:51">
      <c r="AP4353" s="1855">
        <f t="shared" si="685"/>
        <v>44957</v>
      </c>
      <c r="AQ4353" s="925" t="str">
        <f t="shared" si="687"/>
        <v/>
      </c>
      <c r="AR4353" s="1856" t="str">
        <f t="shared" si="686"/>
        <v/>
      </c>
      <c r="AT4353" s="1856" t="str">
        <f t="shared" si="679"/>
        <v/>
      </c>
      <c r="AU4353" s="1856" t="str">
        <f t="shared" si="680"/>
        <v/>
      </c>
      <c r="AV4353" s="1856" t="str">
        <f t="shared" si="681"/>
        <v/>
      </c>
      <c r="AW4353" s="1856" t="str">
        <f t="shared" si="682"/>
        <v/>
      </c>
      <c r="AX4353" s="1856" t="str">
        <f t="shared" si="683"/>
        <v/>
      </c>
      <c r="AY4353" s="1856" t="str">
        <f t="shared" si="684"/>
        <v/>
      </c>
    </row>
    <row r="4354" spans="42:51">
      <c r="AP4354" s="1855">
        <f t="shared" si="685"/>
        <v>44957</v>
      </c>
      <c r="AQ4354" s="925" t="str">
        <f t="shared" si="687"/>
        <v/>
      </c>
      <c r="AR4354" s="1856" t="str">
        <f t="shared" si="686"/>
        <v/>
      </c>
      <c r="AT4354" s="1856" t="str">
        <f t="shared" si="679"/>
        <v/>
      </c>
      <c r="AU4354" s="1856" t="str">
        <f t="shared" si="680"/>
        <v/>
      </c>
      <c r="AV4354" s="1856" t="str">
        <f t="shared" si="681"/>
        <v/>
      </c>
      <c r="AW4354" s="1856" t="str">
        <f t="shared" si="682"/>
        <v/>
      </c>
      <c r="AX4354" s="1856" t="str">
        <f t="shared" si="683"/>
        <v/>
      </c>
      <c r="AY4354" s="1856" t="str">
        <f t="shared" si="684"/>
        <v/>
      </c>
    </row>
    <row r="4355" spans="42:51">
      <c r="AP4355" s="1855">
        <f t="shared" si="685"/>
        <v>44957</v>
      </c>
      <c r="AQ4355" s="925" t="str">
        <f t="shared" si="687"/>
        <v/>
      </c>
      <c r="AR4355" s="1856" t="str">
        <f t="shared" si="686"/>
        <v/>
      </c>
      <c r="AT4355" s="1856" t="str">
        <f t="shared" si="679"/>
        <v/>
      </c>
      <c r="AU4355" s="1856" t="str">
        <f t="shared" si="680"/>
        <v/>
      </c>
      <c r="AV4355" s="1856" t="str">
        <f t="shared" si="681"/>
        <v/>
      </c>
      <c r="AW4355" s="1856" t="str">
        <f t="shared" si="682"/>
        <v/>
      </c>
      <c r="AX4355" s="1856" t="str">
        <f t="shared" si="683"/>
        <v/>
      </c>
      <c r="AY4355" s="1856" t="str">
        <f t="shared" si="684"/>
        <v/>
      </c>
    </row>
    <row r="4356" spans="42:51">
      <c r="AP4356" s="1855">
        <f t="shared" si="685"/>
        <v>44957</v>
      </c>
      <c r="AQ4356" s="925" t="str">
        <f t="shared" si="687"/>
        <v/>
      </c>
      <c r="AR4356" s="1856" t="str">
        <f t="shared" si="686"/>
        <v/>
      </c>
      <c r="AT4356" s="1856" t="str">
        <f t="shared" si="679"/>
        <v/>
      </c>
      <c r="AU4356" s="1856" t="str">
        <f t="shared" si="680"/>
        <v/>
      </c>
      <c r="AV4356" s="1856" t="str">
        <f t="shared" si="681"/>
        <v/>
      </c>
      <c r="AW4356" s="1856" t="str">
        <f t="shared" si="682"/>
        <v/>
      </c>
      <c r="AX4356" s="1856" t="str">
        <f t="shared" si="683"/>
        <v/>
      </c>
      <c r="AY4356" s="1856" t="str">
        <f t="shared" si="684"/>
        <v/>
      </c>
    </row>
    <row r="4357" spans="42:51">
      <c r="AP4357" s="1855">
        <f t="shared" si="685"/>
        <v>44957</v>
      </c>
      <c r="AQ4357" s="925" t="str">
        <f t="shared" si="687"/>
        <v/>
      </c>
      <c r="AR4357" s="1856" t="str">
        <f t="shared" si="686"/>
        <v/>
      </c>
      <c r="AT4357" s="1856" t="str">
        <f t="shared" si="679"/>
        <v/>
      </c>
      <c r="AU4357" s="1856" t="str">
        <f t="shared" si="680"/>
        <v/>
      </c>
      <c r="AV4357" s="1856" t="str">
        <f t="shared" si="681"/>
        <v/>
      </c>
      <c r="AW4357" s="1856" t="str">
        <f t="shared" si="682"/>
        <v/>
      </c>
      <c r="AX4357" s="1856" t="str">
        <f t="shared" si="683"/>
        <v/>
      </c>
      <c r="AY4357" s="1856" t="str">
        <f t="shared" si="684"/>
        <v/>
      </c>
    </row>
    <row r="4358" spans="42:51">
      <c r="AP4358" s="1855">
        <f t="shared" si="685"/>
        <v>44957</v>
      </c>
      <c r="AQ4358" s="925" t="str">
        <f t="shared" si="687"/>
        <v/>
      </c>
      <c r="AR4358" s="1856" t="str">
        <f t="shared" si="686"/>
        <v/>
      </c>
      <c r="AT4358" s="1856" t="str">
        <f t="shared" si="679"/>
        <v/>
      </c>
      <c r="AU4358" s="1856" t="str">
        <f t="shared" si="680"/>
        <v/>
      </c>
      <c r="AV4358" s="1856" t="str">
        <f t="shared" si="681"/>
        <v/>
      </c>
      <c r="AW4358" s="1856" t="str">
        <f t="shared" si="682"/>
        <v/>
      </c>
      <c r="AX4358" s="1856" t="str">
        <f t="shared" si="683"/>
        <v/>
      </c>
      <c r="AY4358" s="1856" t="str">
        <f t="shared" si="684"/>
        <v/>
      </c>
    </row>
    <row r="4359" spans="42:51">
      <c r="AP4359" s="1855">
        <f t="shared" si="685"/>
        <v>44957</v>
      </c>
      <c r="AQ4359" s="925" t="str">
        <f t="shared" si="687"/>
        <v/>
      </c>
      <c r="AR4359" s="1856" t="str">
        <f t="shared" si="686"/>
        <v/>
      </c>
      <c r="AT4359" s="1856" t="str">
        <f t="shared" si="679"/>
        <v/>
      </c>
      <c r="AU4359" s="1856" t="str">
        <f t="shared" si="680"/>
        <v/>
      </c>
      <c r="AV4359" s="1856" t="str">
        <f t="shared" si="681"/>
        <v/>
      </c>
      <c r="AW4359" s="1856" t="str">
        <f t="shared" si="682"/>
        <v/>
      </c>
      <c r="AX4359" s="1856" t="str">
        <f t="shared" si="683"/>
        <v/>
      </c>
      <c r="AY4359" s="1856" t="str">
        <f t="shared" si="684"/>
        <v/>
      </c>
    </row>
    <row r="4360" spans="42:51">
      <c r="AP4360" s="1855">
        <f t="shared" si="685"/>
        <v>44957</v>
      </c>
      <c r="AQ4360" s="925" t="str">
        <f t="shared" si="687"/>
        <v/>
      </c>
      <c r="AR4360" s="1856" t="str">
        <f t="shared" si="686"/>
        <v/>
      </c>
      <c r="AT4360" s="1856" t="str">
        <f t="shared" si="679"/>
        <v/>
      </c>
      <c r="AU4360" s="1856" t="str">
        <f t="shared" si="680"/>
        <v/>
      </c>
      <c r="AV4360" s="1856" t="str">
        <f t="shared" si="681"/>
        <v/>
      </c>
      <c r="AW4360" s="1856" t="str">
        <f t="shared" si="682"/>
        <v/>
      </c>
      <c r="AX4360" s="1856" t="str">
        <f t="shared" si="683"/>
        <v/>
      </c>
      <c r="AY4360" s="1856" t="str">
        <f t="shared" si="684"/>
        <v/>
      </c>
    </row>
    <row r="4361" spans="42:51">
      <c r="AP4361" s="1855">
        <f t="shared" si="685"/>
        <v>44957</v>
      </c>
      <c r="AQ4361" s="925" t="str">
        <f t="shared" si="687"/>
        <v/>
      </c>
      <c r="AR4361" s="1856" t="str">
        <f t="shared" si="686"/>
        <v/>
      </c>
      <c r="AT4361" s="1856" t="str">
        <f t="shared" si="679"/>
        <v/>
      </c>
      <c r="AU4361" s="1856" t="str">
        <f t="shared" si="680"/>
        <v/>
      </c>
      <c r="AV4361" s="1856" t="str">
        <f t="shared" si="681"/>
        <v/>
      </c>
      <c r="AW4361" s="1856" t="str">
        <f t="shared" si="682"/>
        <v/>
      </c>
      <c r="AX4361" s="1856" t="str">
        <f t="shared" si="683"/>
        <v/>
      </c>
      <c r="AY4361" s="1856" t="str">
        <f t="shared" si="684"/>
        <v/>
      </c>
    </row>
    <row r="4362" spans="42:51">
      <c r="AP4362" s="1855">
        <f t="shared" si="685"/>
        <v>44957</v>
      </c>
      <c r="AQ4362" s="925" t="str">
        <f t="shared" si="687"/>
        <v/>
      </c>
      <c r="AR4362" s="1856" t="str">
        <f t="shared" si="686"/>
        <v/>
      </c>
      <c r="AT4362" s="1856" t="str">
        <f t="shared" si="679"/>
        <v/>
      </c>
      <c r="AU4362" s="1856" t="str">
        <f t="shared" si="680"/>
        <v/>
      </c>
      <c r="AV4362" s="1856" t="str">
        <f t="shared" si="681"/>
        <v/>
      </c>
      <c r="AW4362" s="1856" t="str">
        <f t="shared" si="682"/>
        <v/>
      </c>
      <c r="AX4362" s="1856" t="str">
        <f t="shared" si="683"/>
        <v/>
      </c>
      <c r="AY4362" s="1856" t="str">
        <f t="shared" si="684"/>
        <v/>
      </c>
    </row>
    <row r="4363" spans="42:51">
      <c r="AP4363" s="1855">
        <f t="shared" si="685"/>
        <v>44957</v>
      </c>
      <c r="AQ4363" s="925" t="str">
        <f t="shared" si="687"/>
        <v/>
      </c>
      <c r="AR4363" s="1856" t="str">
        <f t="shared" si="686"/>
        <v/>
      </c>
      <c r="AT4363" s="1856" t="str">
        <f t="shared" si="679"/>
        <v/>
      </c>
      <c r="AU4363" s="1856" t="str">
        <f t="shared" si="680"/>
        <v/>
      </c>
      <c r="AV4363" s="1856" t="str">
        <f t="shared" si="681"/>
        <v/>
      </c>
      <c r="AW4363" s="1856" t="str">
        <f t="shared" si="682"/>
        <v/>
      </c>
      <c r="AX4363" s="1856" t="str">
        <f t="shared" si="683"/>
        <v/>
      </c>
      <c r="AY4363" s="1856" t="str">
        <f t="shared" si="684"/>
        <v/>
      </c>
    </row>
    <row r="4364" spans="42:51">
      <c r="AP4364" s="1855">
        <f t="shared" si="685"/>
        <v>44957</v>
      </c>
      <c r="AQ4364" s="925" t="str">
        <f t="shared" si="687"/>
        <v/>
      </c>
      <c r="AR4364" s="1856" t="str">
        <f t="shared" si="686"/>
        <v/>
      </c>
      <c r="AT4364" s="1856" t="str">
        <f t="shared" si="679"/>
        <v/>
      </c>
      <c r="AU4364" s="1856" t="str">
        <f t="shared" si="680"/>
        <v/>
      </c>
      <c r="AV4364" s="1856" t="str">
        <f t="shared" si="681"/>
        <v/>
      </c>
      <c r="AW4364" s="1856" t="str">
        <f t="shared" si="682"/>
        <v/>
      </c>
      <c r="AX4364" s="1856" t="str">
        <f t="shared" si="683"/>
        <v/>
      </c>
      <c r="AY4364" s="1856" t="str">
        <f t="shared" si="684"/>
        <v/>
      </c>
    </row>
    <row r="4365" spans="42:51">
      <c r="AP4365" s="1855">
        <f t="shared" si="685"/>
        <v>44957</v>
      </c>
      <c r="AQ4365" s="925" t="str">
        <f t="shared" si="687"/>
        <v/>
      </c>
      <c r="AR4365" s="1856" t="str">
        <f t="shared" si="686"/>
        <v/>
      </c>
      <c r="AT4365" s="1856" t="str">
        <f t="shared" si="679"/>
        <v/>
      </c>
      <c r="AU4365" s="1856" t="str">
        <f t="shared" si="680"/>
        <v/>
      </c>
      <c r="AV4365" s="1856" t="str">
        <f t="shared" si="681"/>
        <v/>
      </c>
      <c r="AW4365" s="1856" t="str">
        <f t="shared" si="682"/>
        <v/>
      </c>
      <c r="AX4365" s="1856" t="str">
        <f t="shared" si="683"/>
        <v/>
      </c>
      <c r="AY4365" s="1856" t="str">
        <f t="shared" si="684"/>
        <v/>
      </c>
    </row>
    <row r="4366" spans="42:51">
      <c r="AP4366" s="1855">
        <f t="shared" si="685"/>
        <v>44957</v>
      </c>
      <c r="AQ4366" s="925" t="str">
        <f t="shared" si="687"/>
        <v/>
      </c>
      <c r="AR4366" s="1856" t="str">
        <f t="shared" si="686"/>
        <v/>
      </c>
      <c r="AT4366" s="1856" t="str">
        <f t="shared" si="679"/>
        <v/>
      </c>
      <c r="AU4366" s="1856" t="str">
        <f t="shared" si="680"/>
        <v/>
      </c>
      <c r="AV4366" s="1856" t="str">
        <f t="shared" si="681"/>
        <v/>
      </c>
      <c r="AW4366" s="1856" t="str">
        <f t="shared" si="682"/>
        <v/>
      </c>
      <c r="AX4366" s="1856" t="str">
        <f t="shared" si="683"/>
        <v/>
      </c>
      <c r="AY4366" s="1856" t="str">
        <f t="shared" si="684"/>
        <v/>
      </c>
    </row>
    <row r="4367" spans="42:51">
      <c r="AP4367" s="1855">
        <f t="shared" si="685"/>
        <v>44957</v>
      </c>
      <c r="AQ4367" s="925" t="str">
        <f t="shared" si="687"/>
        <v/>
      </c>
      <c r="AR4367" s="1856" t="str">
        <f t="shared" si="686"/>
        <v/>
      </c>
      <c r="AT4367" s="1856" t="str">
        <f t="shared" si="679"/>
        <v/>
      </c>
      <c r="AU4367" s="1856" t="str">
        <f t="shared" si="680"/>
        <v/>
      </c>
      <c r="AV4367" s="1856" t="str">
        <f t="shared" si="681"/>
        <v/>
      </c>
      <c r="AW4367" s="1856" t="str">
        <f t="shared" si="682"/>
        <v/>
      </c>
      <c r="AX4367" s="1856" t="str">
        <f t="shared" si="683"/>
        <v/>
      </c>
      <c r="AY4367" s="1856" t="str">
        <f t="shared" si="684"/>
        <v/>
      </c>
    </row>
    <row r="4368" spans="42:51">
      <c r="AP4368" s="1855">
        <f t="shared" si="685"/>
        <v>44957</v>
      </c>
      <c r="AQ4368" s="925" t="str">
        <f t="shared" si="687"/>
        <v/>
      </c>
      <c r="AR4368" s="1856" t="str">
        <f t="shared" si="686"/>
        <v/>
      </c>
      <c r="AT4368" s="1856" t="str">
        <f t="shared" si="679"/>
        <v/>
      </c>
      <c r="AU4368" s="1856" t="str">
        <f t="shared" si="680"/>
        <v/>
      </c>
      <c r="AV4368" s="1856" t="str">
        <f t="shared" si="681"/>
        <v/>
      </c>
      <c r="AW4368" s="1856" t="str">
        <f t="shared" si="682"/>
        <v/>
      </c>
      <c r="AX4368" s="1856" t="str">
        <f t="shared" si="683"/>
        <v/>
      </c>
      <c r="AY4368" s="1856" t="str">
        <f t="shared" si="684"/>
        <v/>
      </c>
    </row>
    <row r="4369" spans="42:51">
      <c r="AP4369" s="1855">
        <f t="shared" si="685"/>
        <v>44957</v>
      </c>
      <c r="AQ4369" s="925" t="str">
        <f t="shared" si="687"/>
        <v/>
      </c>
      <c r="AR4369" s="1856" t="str">
        <f t="shared" si="686"/>
        <v/>
      </c>
      <c r="AT4369" s="1856" t="str">
        <f t="shared" si="679"/>
        <v/>
      </c>
      <c r="AU4369" s="1856" t="str">
        <f t="shared" si="680"/>
        <v/>
      </c>
      <c r="AV4369" s="1856" t="str">
        <f t="shared" si="681"/>
        <v/>
      </c>
      <c r="AW4369" s="1856" t="str">
        <f t="shared" si="682"/>
        <v/>
      </c>
      <c r="AX4369" s="1856" t="str">
        <f t="shared" si="683"/>
        <v/>
      </c>
      <c r="AY4369" s="1856" t="str">
        <f t="shared" si="684"/>
        <v/>
      </c>
    </row>
    <row r="4370" spans="42:51">
      <c r="AP4370" s="1855">
        <f t="shared" si="685"/>
        <v>44957</v>
      </c>
      <c r="AQ4370" s="925" t="str">
        <f t="shared" si="687"/>
        <v/>
      </c>
      <c r="AR4370" s="1856" t="str">
        <f t="shared" si="686"/>
        <v/>
      </c>
      <c r="AT4370" s="1856" t="str">
        <f t="shared" si="679"/>
        <v/>
      </c>
      <c r="AU4370" s="1856" t="str">
        <f t="shared" si="680"/>
        <v/>
      </c>
      <c r="AV4370" s="1856" t="str">
        <f t="shared" si="681"/>
        <v/>
      </c>
      <c r="AW4370" s="1856" t="str">
        <f t="shared" si="682"/>
        <v/>
      </c>
      <c r="AX4370" s="1856" t="str">
        <f t="shared" si="683"/>
        <v/>
      </c>
      <c r="AY4370" s="1856" t="str">
        <f t="shared" si="684"/>
        <v/>
      </c>
    </row>
    <row r="4371" spans="42:51">
      <c r="AP4371" s="1855">
        <f t="shared" si="685"/>
        <v>44957</v>
      </c>
      <c r="AQ4371" s="925" t="str">
        <f t="shared" si="687"/>
        <v/>
      </c>
      <c r="AR4371" s="1856" t="str">
        <f t="shared" si="686"/>
        <v/>
      </c>
      <c r="AT4371" s="1856" t="str">
        <f t="shared" si="679"/>
        <v/>
      </c>
      <c r="AU4371" s="1856" t="str">
        <f t="shared" si="680"/>
        <v/>
      </c>
      <c r="AV4371" s="1856" t="str">
        <f t="shared" si="681"/>
        <v/>
      </c>
      <c r="AW4371" s="1856" t="str">
        <f t="shared" si="682"/>
        <v/>
      </c>
      <c r="AX4371" s="1856" t="str">
        <f t="shared" si="683"/>
        <v/>
      </c>
      <c r="AY4371" s="1856" t="str">
        <f t="shared" si="684"/>
        <v/>
      </c>
    </row>
    <row r="4372" spans="42:51">
      <c r="AP4372" s="1855">
        <f t="shared" si="685"/>
        <v>44957</v>
      </c>
      <c r="AQ4372" s="925" t="str">
        <f t="shared" si="687"/>
        <v/>
      </c>
      <c r="AR4372" s="1856" t="str">
        <f t="shared" si="686"/>
        <v/>
      </c>
      <c r="AT4372" s="1856" t="str">
        <f t="shared" si="679"/>
        <v/>
      </c>
      <c r="AU4372" s="1856" t="str">
        <f t="shared" si="680"/>
        <v/>
      </c>
      <c r="AV4372" s="1856" t="str">
        <f t="shared" si="681"/>
        <v/>
      </c>
      <c r="AW4372" s="1856" t="str">
        <f t="shared" si="682"/>
        <v/>
      </c>
      <c r="AX4372" s="1856" t="str">
        <f t="shared" si="683"/>
        <v/>
      </c>
      <c r="AY4372" s="1856" t="str">
        <f t="shared" si="684"/>
        <v/>
      </c>
    </row>
    <row r="4373" spans="42:51">
      <c r="AP4373" s="1855">
        <f t="shared" si="685"/>
        <v>44957</v>
      </c>
      <c r="AQ4373" s="925" t="str">
        <f t="shared" si="687"/>
        <v/>
      </c>
      <c r="AR4373" s="1856" t="str">
        <f t="shared" si="686"/>
        <v/>
      </c>
      <c r="AT4373" s="1856" t="str">
        <f t="shared" si="679"/>
        <v/>
      </c>
      <c r="AU4373" s="1856" t="str">
        <f t="shared" si="680"/>
        <v/>
      </c>
      <c r="AV4373" s="1856" t="str">
        <f t="shared" si="681"/>
        <v/>
      </c>
      <c r="AW4373" s="1856" t="str">
        <f t="shared" si="682"/>
        <v/>
      </c>
      <c r="AX4373" s="1856" t="str">
        <f t="shared" si="683"/>
        <v/>
      </c>
      <c r="AY4373" s="1856" t="str">
        <f t="shared" si="684"/>
        <v/>
      </c>
    </row>
    <row r="4374" spans="42:51">
      <c r="AP4374" s="1855">
        <f t="shared" si="685"/>
        <v>44957</v>
      </c>
      <c r="AQ4374" s="925" t="str">
        <f t="shared" si="687"/>
        <v/>
      </c>
      <c r="AR4374" s="1856" t="str">
        <f t="shared" si="686"/>
        <v/>
      </c>
      <c r="AT4374" s="1856" t="str">
        <f t="shared" si="679"/>
        <v/>
      </c>
      <c r="AU4374" s="1856" t="str">
        <f t="shared" si="680"/>
        <v/>
      </c>
      <c r="AV4374" s="1856" t="str">
        <f t="shared" si="681"/>
        <v/>
      </c>
      <c r="AW4374" s="1856" t="str">
        <f t="shared" si="682"/>
        <v/>
      </c>
      <c r="AX4374" s="1856" t="str">
        <f t="shared" si="683"/>
        <v/>
      </c>
      <c r="AY4374" s="1856" t="str">
        <f t="shared" si="684"/>
        <v/>
      </c>
    </row>
    <row r="4375" spans="42:51">
      <c r="AP4375" s="1855">
        <f t="shared" si="685"/>
        <v>44957</v>
      </c>
      <c r="AQ4375" s="925" t="str">
        <f t="shared" si="687"/>
        <v/>
      </c>
      <c r="AR4375" s="1856" t="str">
        <f t="shared" si="686"/>
        <v/>
      </c>
      <c r="AT4375" s="1856" t="str">
        <f t="shared" si="679"/>
        <v/>
      </c>
      <c r="AU4375" s="1856" t="str">
        <f t="shared" si="680"/>
        <v/>
      </c>
      <c r="AV4375" s="1856" t="str">
        <f t="shared" si="681"/>
        <v/>
      </c>
      <c r="AW4375" s="1856" t="str">
        <f t="shared" si="682"/>
        <v/>
      </c>
      <c r="AX4375" s="1856" t="str">
        <f t="shared" si="683"/>
        <v/>
      </c>
      <c r="AY4375" s="1856" t="str">
        <f t="shared" si="684"/>
        <v/>
      </c>
    </row>
    <row r="4376" spans="42:51">
      <c r="AP4376" s="1855">
        <f t="shared" si="685"/>
        <v>44957</v>
      </c>
      <c r="AQ4376" s="925" t="str">
        <f t="shared" si="687"/>
        <v/>
      </c>
      <c r="AR4376" s="1856" t="str">
        <f t="shared" si="686"/>
        <v/>
      </c>
      <c r="AT4376" s="1856" t="str">
        <f t="shared" si="679"/>
        <v/>
      </c>
      <c r="AU4376" s="1856" t="str">
        <f t="shared" si="680"/>
        <v/>
      </c>
      <c r="AV4376" s="1856" t="str">
        <f t="shared" si="681"/>
        <v/>
      </c>
      <c r="AW4376" s="1856" t="str">
        <f t="shared" si="682"/>
        <v/>
      </c>
      <c r="AX4376" s="1856" t="str">
        <f t="shared" si="683"/>
        <v/>
      </c>
      <c r="AY4376" s="1856" t="str">
        <f t="shared" si="684"/>
        <v/>
      </c>
    </row>
    <row r="4377" spans="42:51">
      <c r="AP4377" s="1855">
        <f t="shared" si="685"/>
        <v>44957</v>
      </c>
      <c r="AQ4377" s="925" t="str">
        <f t="shared" si="687"/>
        <v/>
      </c>
      <c r="AR4377" s="1856" t="str">
        <f t="shared" si="686"/>
        <v/>
      </c>
      <c r="AT4377" s="1856" t="str">
        <f t="shared" si="679"/>
        <v/>
      </c>
      <c r="AU4377" s="1856" t="str">
        <f t="shared" si="680"/>
        <v/>
      </c>
      <c r="AV4377" s="1856" t="str">
        <f t="shared" si="681"/>
        <v/>
      </c>
      <c r="AW4377" s="1856" t="str">
        <f t="shared" si="682"/>
        <v/>
      </c>
      <c r="AX4377" s="1856" t="str">
        <f t="shared" si="683"/>
        <v/>
      </c>
      <c r="AY4377" s="1856" t="str">
        <f t="shared" si="684"/>
        <v/>
      </c>
    </row>
    <row r="4378" spans="42:51">
      <c r="AP4378" s="1855">
        <f t="shared" si="685"/>
        <v>44957</v>
      </c>
      <c r="AQ4378" s="925" t="str">
        <f t="shared" si="687"/>
        <v/>
      </c>
      <c r="AR4378" s="1856" t="str">
        <f t="shared" si="686"/>
        <v/>
      </c>
      <c r="AT4378" s="1856" t="str">
        <f t="shared" si="679"/>
        <v/>
      </c>
      <c r="AU4378" s="1856" t="str">
        <f t="shared" si="680"/>
        <v/>
      </c>
      <c r="AV4378" s="1856" t="str">
        <f t="shared" si="681"/>
        <v/>
      </c>
      <c r="AW4378" s="1856" t="str">
        <f t="shared" si="682"/>
        <v/>
      </c>
      <c r="AX4378" s="1856" t="str">
        <f t="shared" si="683"/>
        <v/>
      </c>
      <c r="AY4378" s="1856" t="str">
        <f t="shared" si="684"/>
        <v/>
      </c>
    </row>
    <row r="4379" spans="42:51">
      <c r="AP4379" s="1855">
        <f t="shared" si="685"/>
        <v>44957</v>
      </c>
      <c r="AQ4379" s="925" t="str">
        <f t="shared" si="687"/>
        <v/>
      </c>
      <c r="AR4379" s="1856" t="str">
        <f t="shared" si="686"/>
        <v/>
      </c>
      <c r="AT4379" s="1856" t="str">
        <f t="shared" si="679"/>
        <v/>
      </c>
      <c r="AU4379" s="1856" t="str">
        <f t="shared" si="680"/>
        <v/>
      </c>
      <c r="AV4379" s="1856" t="str">
        <f t="shared" si="681"/>
        <v/>
      </c>
      <c r="AW4379" s="1856" t="str">
        <f t="shared" si="682"/>
        <v/>
      </c>
      <c r="AX4379" s="1856" t="str">
        <f t="shared" si="683"/>
        <v/>
      </c>
      <c r="AY4379" s="1856" t="str">
        <f t="shared" si="684"/>
        <v/>
      </c>
    </row>
    <row r="4380" spans="42:51">
      <c r="AP4380" s="1855">
        <f t="shared" si="685"/>
        <v>44957</v>
      </c>
      <c r="AQ4380" s="925" t="str">
        <f t="shared" si="687"/>
        <v/>
      </c>
      <c r="AR4380" s="1856" t="str">
        <f t="shared" si="686"/>
        <v/>
      </c>
      <c r="AT4380" s="1856" t="str">
        <f t="shared" ref="AT4380:AT4443" si="688">IF(ISNUMBER(AS4380),INDEX(AR4381:AR4391,MATCH($AT$27,AQ4381:AQ4391,0)),"")</f>
        <v/>
      </c>
      <c r="AU4380" s="1856" t="str">
        <f t="shared" ref="AU4380:AU4443" si="689">IF(AT4380="","",INDEX(AR4381:AR4391,MATCH($AU$27,AQ4381:AQ4391,0)))</f>
        <v/>
      </c>
      <c r="AV4380" s="1856" t="str">
        <f t="shared" ref="AV4380:AV4443" si="690">IF(AT4380="","",INDEX(AR4381:AR4391,MATCH($AV$27,AQ4381:AQ4391,0)))</f>
        <v/>
      </c>
      <c r="AW4380" s="1856" t="str">
        <f t="shared" ref="AW4380:AW4443" si="691">IF(AT4380="","",INDEX(AR4381:AR4391,MATCH($AW$27,AQ4381:AQ4391,0)))</f>
        <v/>
      </c>
      <c r="AX4380" s="1856" t="str">
        <f t="shared" ref="AX4380:AX4443" si="692">IF(AT4380="","",INDEX(AR4381:AR4391,MATCH($AX$27,AQ4381:AQ4391,0)))</f>
        <v/>
      </c>
      <c r="AY4380" s="1856" t="str">
        <f t="shared" ref="AY4380:AY4443" si="693">IF(AT4380="","",INDEX(AR4381:AR4391,MATCH($AY$27,AQ4381:AQ4391,0)))</f>
        <v/>
      </c>
    </row>
    <row r="4381" spans="42:51">
      <c r="AP4381" s="1855">
        <f t="shared" si="685"/>
        <v>44957</v>
      </c>
      <c r="AQ4381" s="925" t="str">
        <f t="shared" si="687"/>
        <v/>
      </c>
      <c r="AR4381" s="1856" t="str">
        <f t="shared" si="686"/>
        <v/>
      </c>
      <c r="AT4381" s="1856" t="str">
        <f t="shared" si="688"/>
        <v/>
      </c>
      <c r="AU4381" s="1856" t="str">
        <f t="shared" si="689"/>
        <v/>
      </c>
      <c r="AV4381" s="1856" t="str">
        <f t="shared" si="690"/>
        <v/>
      </c>
      <c r="AW4381" s="1856" t="str">
        <f t="shared" si="691"/>
        <v/>
      </c>
      <c r="AX4381" s="1856" t="str">
        <f t="shared" si="692"/>
        <v/>
      </c>
      <c r="AY4381" s="1856" t="str">
        <f t="shared" si="693"/>
        <v/>
      </c>
    </row>
    <row r="4382" spans="42:51">
      <c r="AP4382" s="1855">
        <f t="shared" si="685"/>
        <v>44957</v>
      </c>
      <c r="AQ4382" s="925" t="str">
        <f t="shared" si="687"/>
        <v/>
      </c>
      <c r="AR4382" s="1856" t="str">
        <f t="shared" si="686"/>
        <v/>
      </c>
      <c r="AT4382" s="1856" t="str">
        <f t="shared" si="688"/>
        <v/>
      </c>
      <c r="AU4382" s="1856" t="str">
        <f t="shared" si="689"/>
        <v/>
      </c>
      <c r="AV4382" s="1856" t="str">
        <f t="shared" si="690"/>
        <v/>
      </c>
      <c r="AW4382" s="1856" t="str">
        <f t="shared" si="691"/>
        <v/>
      </c>
      <c r="AX4382" s="1856" t="str">
        <f t="shared" si="692"/>
        <v/>
      </c>
      <c r="AY4382" s="1856" t="str">
        <f t="shared" si="693"/>
        <v/>
      </c>
    </row>
    <row r="4383" spans="42:51">
      <c r="AP4383" s="1855">
        <f t="shared" si="685"/>
        <v>44957</v>
      </c>
      <c r="AQ4383" s="925" t="str">
        <f t="shared" si="687"/>
        <v/>
      </c>
      <c r="AR4383" s="1856" t="str">
        <f t="shared" si="686"/>
        <v/>
      </c>
      <c r="AT4383" s="1856" t="str">
        <f t="shared" si="688"/>
        <v/>
      </c>
      <c r="AU4383" s="1856" t="str">
        <f t="shared" si="689"/>
        <v/>
      </c>
      <c r="AV4383" s="1856" t="str">
        <f t="shared" si="690"/>
        <v/>
      </c>
      <c r="AW4383" s="1856" t="str">
        <f t="shared" si="691"/>
        <v/>
      </c>
      <c r="AX4383" s="1856" t="str">
        <f t="shared" si="692"/>
        <v/>
      </c>
      <c r="AY4383" s="1856" t="str">
        <f t="shared" si="693"/>
        <v/>
      </c>
    </row>
    <row r="4384" spans="42:51">
      <c r="AP4384" s="1855">
        <f t="shared" si="685"/>
        <v>44957</v>
      </c>
      <c r="AQ4384" s="925" t="str">
        <f t="shared" si="687"/>
        <v/>
      </c>
      <c r="AR4384" s="1856" t="str">
        <f t="shared" si="686"/>
        <v/>
      </c>
      <c r="AT4384" s="1856" t="str">
        <f t="shared" si="688"/>
        <v/>
      </c>
      <c r="AU4384" s="1856" t="str">
        <f t="shared" si="689"/>
        <v/>
      </c>
      <c r="AV4384" s="1856" t="str">
        <f t="shared" si="690"/>
        <v/>
      </c>
      <c r="AW4384" s="1856" t="str">
        <f t="shared" si="691"/>
        <v/>
      </c>
      <c r="AX4384" s="1856" t="str">
        <f t="shared" si="692"/>
        <v/>
      </c>
      <c r="AY4384" s="1856" t="str">
        <f t="shared" si="693"/>
        <v/>
      </c>
    </row>
    <row r="4385" spans="42:51">
      <c r="AP4385" s="1855">
        <f t="shared" si="685"/>
        <v>44957</v>
      </c>
      <c r="AQ4385" s="925" t="str">
        <f t="shared" si="687"/>
        <v/>
      </c>
      <c r="AR4385" s="1856" t="str">
        <f t="shared" si="686"/>
        <v/>
      </c>
      <c r="AT4385" s="1856" t="str">
        <f t="shared" si="688"/>
        <v/>
      </c>
      <c r="AU4385" s="1856" t="str">
        <f t="shared" si="689"/>
        <v/>
      </c>
      <c r="AV4385" s="1856" t="str">
        <f t="shared" si="690"/>
        <v/>
      </c>
      <c r="AW4385" s="1856" t="str">
        <f t="shared" si="691"/>
        <v/>
      </c>
      <c r="AX4385" s="1856" t="str">
        <f t="shared" si="692"/>
        <v/>
      </c>
      <c r="AY4385" s="1856" t="str">
        <f t="shared" si="693"/>
        <v/>
      </c>
    </row>
    <row r="4386" spans="42:51">
      <c r="AP4386" s="1855">
        <f t="shared" si="685"/>
        <v>44957</v>
      </c>
      <c r="AQ4386" s="925" t="str">
        <f t="shared" si="687"/>
        <v/>
      </c>
      <c r="AR4386" s="1856" t="str">
        <f t="shared" si="686"/>
        <v/>
      </c>
      <c r="AT4386" s="1856" t="str">
        <f t="shared" si="688"/>
        <v/>
      </c>
      <c r="AU4386" s="1856" t="str">
        <f t="shared" si="689"/>
        <v/>
      </c>
      <c r="AV4386" s="1856" t="str">
        <f t="shared" si="690"/>
        <v/>
      </c>
      <c r="AW4386" s="1856" t="str">
        <f t="shared" si="691"/>
        <v/>
      </c>
      <c r="AX4386" s="1856" t="str">
        <f t="shared" si="692"/>
        <v/>
      </c>
      <c r="AY4386" s="1856" t="str">
        <f t="shared" si="693"/>
        <v/>
      </c>
    </row>
    <row r="4387" spans="42:51">
      <c r="AP4387" s="1855">
        <f t="shared" si="685"/>
        <v>44957</v>
      </c>
      <c r="AQ4387" s="925" t="str">
        <f t="shared" si="687"/>
        <v/>
      </c>
      <c r="AR4387" s="1856" t="str">
        <f t="shared" si="686"/>
        <v/>
      </c>
      <c r="AT4387" s="1856" t="str">
        <f t="shared" si="688"/>
        <v/>
      </c>
      <c r="AU4387" s="1856" t="str">
        <f t="shared" si="689"/>
        <v/>
      </c>
      <c r="AV4387" s="1856" t="str">
        <f t="shared" si="690"/>
        <v/>
      </c>
      <c r="AW4387" s="1856" t="str">
        <f t="shared" si="691"/>
        <v/>
      </c>
      <c r="AX4387" s="1856" t="str">
        <f t="shared" si="692"/>
        <v/>
      </c>
      <c r="AY4387" s="1856" t="str">
        <f t="shared" si="693"/>
        <v/>
      </c>
    </row>
    <row r="4388" spans="42:51">
      <c r="AP4388" s="1855">
        <f t="shared" si="685"/>
        <v>44957</v>
      </c>
      <c r="AQ4388" s="925" t="str">
        <f t="shared" si="687"/>
        <v/>
      </c>
      <c r="AR4388" s="1856" t="str">
        <f t="shared" si="686"/>
        <v/>
      </c>
      <c r="AT4388" s="1856" t="str">
        <f t="shared" si="688"/>
        <v/>
      </c>
      <c r="AU4388" s="1856" t="str">
        <f t="shared" si="689"/>
        <v/>
      </c>
      <c r="AV4388" s="1856" t="str">
        <f t="shared" si="690"/>
        <v/>
      </c>
      <c r="AW4388" s="1856" t="str">
        <f t="shared" si="691"/>
        <v/>
      </c>
      <c r="AX4388" s="1856" t="str">
        <f t="shared" si="692"/>
        <v/>
      </c>
      <c r="AY4388" s="1856" t="str">
        <f t="shared" si="693"/>
        <v/>
      </c>
    </row>
    <row r="4389" spans="42:51">
      <c r="AP4389" s="1855">
        <f t="shared" ref="AP4389:AP4452" si="694">IF(ISNUMBER(AS4389),AP4388+1,AP4388)</f>
        <v>44957</v>
      </c>
      <c r="AQ4389" s="925" t="str">
        <f t="shared" si="687"/>
        <v/>
      </c>
      <c r="AR4389" s="1856" t="str">
        <f t="shared" si="686"/>
        <v/>
      </c>
      <c r="AT4389" s="1856" t="str">
        <f t="shared" si="688"/>
        <v/>
      </c>
      <c r="AU4389" s="1856" t="str">
        <f t="shared" si="689"/>
        <v/>
      </c>
      <c r="AV4389" s="1856" t="str">
        <f t="shared" si="690"/>
        <v/>
      </c>
      <c r="AW4389" s="1856" t="str">
        <f t="shared" si="691"/>
        <v/>
      </c>
      <c r="AX4389" s="1856" t="str">
        <f t="shared" si="692"/>
        <v/>
      </c>
      <c r="AY4389" s="1856" t="str">
        <f t="shared" si="693"/>
        <v/>
      </c>
    </row>
    <row r="4390" spans="42:51">
      <c r="AP4390" s="1855">
        <f t="shared" si="694"/>
        <v>44957</v>
      </c>
      <c r="AQ4390" s="925" t="str">
        <f t="shared" si="687"/>
        <v/>
      </c>
      <c r="AR4390" s="1856" t="str">
        <f t="shared" si="686"/>
        <v/>
      </c>
      <c r="AT4390" s="1856" t="str">
        <f t="shared" si="688"/>
        <v/>
      </c>
      <c r="AU4390" s="1856" t="str">
        <f t="shared" si="689"/>
        <v/>
      </c>
      <c r="AV4390" s="1856" t="str">
        <f t="shared" si="690"/>
        <v/>
      </c>
      <c r="AW4390" s="1856" t="str">
        <f t="shared" si="691"/>
        <v/>
      </c>
      <c r="AX4390" s="1856" t="str">
        <f t="shared" si="692"/>
        <v/>
      </c>
      <c r="AY4390" s="1856" t="str">
        <f t="shared" si="693"/>
        <v/>
      </c>
    </row>
    <row r="4391" spans="42:51">
      <c r="AP4391" s="1855">
        <f t="shared" si="694"/>
        <v>44957</v>
      </c>
      <c r="AQ4391" s="925" t="str">
        <f t="shared" si="687"/>
        <v/>
      </c>
      <c r="AR4391" s="1856" t="str">
        <f t="shared" si="686"/>
        <v/>
      </c>
      <c r="AT4391" s="1856" t="str">
        <f t="shared" si="688"/>
        <v/>
      </c>
      <c r="AU4391" s="1856" t="str">
        <f t="shared" si="689"/>
        <v/>
      </c>
      <c r="AV4391" s="1856" t="str">
        <f t="shared" si="690"/>
        <v/>
      </c>
      <c r="AW4391" s="1856" t="str">
        <f t="shared" si="691"/>
        <v/>
      </c>
      <c r="AX4391" s="1856" t="str">
        <f t="shared" si="692"/>
        <v/>
      </c>
      <c r="AY4391" s="1856" t="str">
        <f t="shared" si="693"/>
        <v/>
      </c>
    </row>
    <row r="4392" spans="42:51">
      <c r="AP4392" s="1855">
        <f t="shared" si="694"/>
        <v>44957</v>
      </c>
      <c r="AQ4392" s="925" t="str">
        <f t="shared" si="687"/>
        <v/>
      </c>
      <c r="AR4392" s="1856" t="str">
        <f t="shared" si="686"/>
        <v/>
      </c>
      <c r="AT4392" s="1856" t="str">
        <f t="shared" si="688"/>
        <v/>
      </c>
      <c r="AU4392" s="1856" t="str">
        <f t="shared" si="689"/>
        <v/>
      </c>
      <c r="AV4392" s="1856" t="str">
        <f t="shared" si="690"/>
        <v/>
      </c>
      <c r="AW4392" s="1856" t="str">
        <f t="shared" si="691"/>
        <v/>
      </c>
      <c r="AX4392" s="1856" t="str">
        <f t="shared" si="692"/>
        <v/>
      </c>
      <c r="AY4392" s="1856" t="str">
        <f t="shared" si="693"/>
        <v/>
      </c>
    </row>
    <row r="4393" spans="42:51">
      <c r="AP4393" s="1855">
        <f t="shared" si="694"/>
        <v>44957</v>
      </c>
      <c r="AQ4393" s="925" t="str">
        <f t="shared" si="687"/>
        <v/>
      </c>
      <c r="AR4393" s="1856" t="str">
        <f t="shared" ref="AR4393:AR4456" si="695">IF(NOT(ISNUMBER(FIND(":",AS4393))),"",IF(ISNUMBER(FIND(" none",AS4393)),"NONE",AP4393+LEFT(RIGHT(AS4393,5),2)/24+RIGHT(AS4393,2)/1440))</f>
        <v/>
      </c>
      <c r="AT4393" s="1856" t="str">
        <f t="shared" si="688"/>
        <v/>
      </c>
      <c r="AU4393" s="1856" t="str">
        <f t="shared" si="689"/>
        <v/>
      </c>
      <c r="AV4393" s="1856" t="str">
        <f t="shared" si="690"/>
        <v/>
      </c>
      <c r="AW4393" s="1856" t="str">
        <f t="shared" si="691"/>
        <v/>
      </c>
      <c r="AX4393" s="1856" t="str">
        <f t="shared" si="692"/>
        <v/>
      </c>
      <c r="AY4393" s="1856" t="str">
        <f t="shared" si="693"/>
        <v/>
      </c>
    </row>
    <row r="4394" spans="42:51">
      <c r="AP4394" s="1855">
        <f t="shared" si="694"/>
        <v>44957</v>
      </c>
      <c r="AQ4394" s="925" t="str">
        <f t="shared" si="687"/>
        <v/>
      </c>
      <c r="AR4394" s="1856" t="str">
        <f t="shared" si="695"/>
        <v/>
      </c>
      <c r="AT4394" s="1856" t="str">
        <f t="shared" si="688"/>
        <v/>
      </c>
      <c r="AU4394" s="1856" t="str">
        <f t="shared" si="689"/>
        <v/>
      </c>
      <c r="AV4394" s="1856" t="str">
        <f t="shared" si="690"/>
        <v/>
      </c>
      <c r="AW4394" s="1856" t="str">
        <f t="shared" si="691"/>
        <v/>
      </c>
      <c r="AX4394" s="1856" t="str">
        <f t="shared" si="692"/>
        <v/>
      </c>
      <c r="AY4394" s="1856" t="str">
        <f t="shared" si="693"/>
        <v/>
      </c>
    </row>
    <row r="4395" spans="42:51">
      <c r="AP4395" s="1855">
        <f t="shared" si="694"/>
        <v>44957</v>
      </c>
      <c r="AQ4395" s="925" t="str">
        <f t="shared" si="687"/>
        <v/>
      </c>
      <c r="AR4395" s="1856" t="str">
        <f t="shared" si="695"/>
        <v/>
      </c>
      <c r="AT4395" s="1856" t="str">
        <f t="shared" si="688"/>
        <v/>
      </c>
      <c r="AU4395" s="1856" t="str">
        <f t="shared" si="689"/>
        <v/>
      </c>
      <c r="AV4395" s="1856" t="str">
        <f t="shared" si="690"/>
        <v/>
      </c>
      <c r="AW4395" s="1856" t="str">
        <f t="shared" si="691"/>
        <v/>
      </c>
      <c r="AX4395" s="1856" t="str">
        <f t="shared" si="692"/>
        <v/>
      </c>
      <c r="AY4395" s="1856" t="str">
        <f t="shared" si="693"/>
        <v/>
      </c>
    </row>
    <row r="4396" spans="42:51">
      <c r="AP4396" s="1855">
        <f t="shared" si="694"/>
        <v>44957</v>
      </c>
      <c r="AQ4396" s="925" t="str">
        <f t="shared" si="687"/>
        <v/>
      </c>
      <c r="AR4396" s="1856" t="str">
        <f t="shared" si="695"/>
        <v/>
      </c>
      <c r="AT4396" s="1856" t="str">
        <f t="shared" si="688"/>
        <v/>
      </c>
      <c r="AU4396" s="1856" t="str">
        <f t="shared" si="689"/>
        <v/>
      </c>
      <c r="AV4396" s="1856" t="str">
        <f t="shared" si="690"/>
        <v/>
      </c>
      <c r="AW4396" s="1856" t="str">
        <f t="shared" si="691"/>
        <v/>
      </c>
      <c r="AX4396" s="1856" t="str">
        <f t="shared" si="692"/>
        <v/>
      </c>
      <c r="AY4396" s="1856" t="str">
        <f t="shared" si="693"/>
        <v/>
      </c>
    </row>
    <row r="4397" spans="42:51">
      <c r="AP4397" s="1855">
        <f t="shared" si="694"/>
        <v>44957</v>
      </c>
      <c r="AQ4397" s="925" t="str">
        <f t="shared" si="687"/>
        <v/>
      </c>
      <c r="AR4397" s="1856" t="str">
        <f t="shared" si="695"/>
        <v/>
      </c>
      <c r="AT4397" s="1856" t="str">
        <f t="shared" si="688"/>
        <v/>
      </c>
      <c r="AU4397" s="1856" t="str">
        <f t="shared" si="689"/>
        <v/>
      </c>
      <c r="AV4397" s="1856" t="str">
        <f t="shared" si="690"/>
        <v/>
      </c>
      <c r="AW4397" s="1856" t="str">
        <f t="shared" si="691"/>
        <v/>
      </c>
      <c r="AX4397" s="1856" t="str">
        <f t="shared" si="692"/>
        <v/>
      </c>
      <c r="AY4397" s="1856" t="str">
        <f t="shared" si="693"/>
        <v/>
      </c>
    </row>
    <row r="4398" spans="42:51">
      <c r="AP4398" s="1855">
        <f t="shared" si="694"/>
        <v>44957</v>
      </c>
      <c r="AQ4398" s="925" t="str">
        <f t="shared" si="687"/>
        <v/>
      </c>
      <c r="AR4398" s="1856" t="str">
        <f t="shared" si="695"/>
        <v/>
      </c>
      <c r="AT4398" s="1856" t="str">
        <f t="shared" si="688"/>
        <v/>
      </c>
      <c r="AU4398" s="1856" t="str">
        <f t="shared" si="689"/>
        <v/>
      </c>
      <c r="AV4398" s="1856" t="str">
        <f t="shared" si="690"/>
        <v/>
      </c>
      <c r="AW4398" s="1856" t="str">
        <f t="shared" si="691"/>
        <v/>
      </c>
      <c r="AX4398" s="1856" t="str">
        <f t="shared" si="692"/>
        <v/>
      </c>
      <c r="AY4398" s="1856" t="str">
        <f t="shared" si="693"/>
        <v/>
      </c>
    </row>
    <row r="4399" spans="42:51">
      <c r="AP4399" s="1855">
        <f t="shared" si="694"/>
        <v>44957</v>
      </c>
      <c r="AQ4399" s="925" t="str">
        <f t="shared" si="687"/>
        <v/>
      </c>
      <c r="AR4399" s="1856" t="str">
        <f t="shared" si="695"/>
        <v/>
      </c>
      <c r="AT4399" s="1856" t="str">
        <f t="shared" si="688"/>
        <v/>
      </c>
      <c r="AU4399" s="1856" t="str">
        <f t="shared" si="689"/>
        <v/>
      </c>
      <c r="AV4399" s="1856" t="str">
        <f t="shared" si="690"/>
        <v/>
      </c>
      <c r="AW4399" s="1856" t="str">
        <f t="shared" si="691"/>
        <v/>
      </c>
      <c r="AX4399" s="1856" t="str">
        <f t="shared" si="692"/>
        <v/>
      </c>
      <c r="AY4399" s="1856" t="str">
        <f t="shared" si="693"/>
        <v/>
      </c>
    </row>
    <row r="4400" spans="42:51">
      <c r="AP4400" s="1855">
        <f t="shared" si="694"/>
        <v>44957</v>
      </c>
      <c r="AQ4400" s="925" t="str">
        <f t="shared" si="687"/>
        <v/>
      </c>
      <c r="AR4400" s="1856" t="str">
        <f t="shared" si="695"/>
        <v/>
      </c>
      <c r="AT4400" s="1856" t="str">
        <f t="shared" si="688"/>
        <v/>
      </c>
      <c r="AU4400" s="1856" t="str">
        <f t="shared" si="689"/>
        <v/>
      </c>
      <c r="AV4400" s="1856" t="str">
        <f t="shared" si="690"/>
        <v/>
      </c>
      <c r="AW4400" s="1856" t="str">
        <f t="shared" si="691"/>
        <v/>
      </c>
      <c r="AX4400" s="1856" t="str">
        <f t="shared" si="692"/>
        <v/>
      </c>
      <c r="AY4400" s="1856" t="str">
        <f t="shared" si="693"/>
        <v/>
      </c>
    </row>
    <row r="4401" spans="42:51">
      <c r="AP4401" s="1855">
        <f t="shared" si="694"/>
        <v>44957</v>
      </c>
      <c r="AQ4401" s="925" t="str">
        <f t="shared" si="687"/>
        <v/>
      </c>
      <c r="AR4401" s="1856" t="str">
        <f t="shared" si="695"/>
        <v/>
      </c>
      <c r="AT4401" s="1856" t="str">
        <f t="shared" si="688"/>
        <v/>
      </c>
      <c r="AU4401" s="1856" t="str">
        <f t="shared" si="689"/>
        <v/>
      </c>
      <c r="AV4401" s="1856" t="str">
        <f t="shared" si="690"/>
        <v/>
      </c>
      <c r="AW4401" s="1856" t="str">
        <f t="shared" si="691"/>
        <v/>
      </c>
      <c r="AX4401" s="1856" t="str">
        <f t="shared" si="692"/>
        <v/>
      </c>
      <c r="AY4401" s="1856" t="str">
        <f t="shared" si="693"/>
        <v/>
      </c>
    </row>
    <row r="4402" spans="42:51">
      <c r="AP4402" s="1855">
        <f t="shared" si="694"/>
        <v>44957</v>
      </c>
      <c r="AQ4402" s="925" t="str">
        <f t="shared" si="687"/>
        <v/>
      </c>
      <c r="AR4402" s="1856" t="str">
        <f t="shared" si="695"/>
        <v/>
      </c>
      <c r="AT4402" s="1856" t="str">
        <f t="shared" si="688"/>
        <v/>
      </c>
      <c r="AU4402" s="1856" t="str">
        <f t="shared" si="689"/>
        <v/>
      </c>
      <c r="AV4402" s="1856" t="str">
        <f t="shared" si="690"/>
        <v/>
      </c>
      <c r="AW4402" s="1856" t="str">
        <f t="shared" si="691"/>
        <v/>
      </c>
      <c r="AX4402" s="1856" t="str">
        <f t="shared" si="692"/>
        <v/>
      </c>
      <c r="AY4402" s="1856" t="str">
        <f t="shared" si="693"/>
        <v/>
      </c>
    </row>
    <row r="4403" spans="42:51">
      <c r="AP4403" s="1855">
        <f t="shared" si="694"/>
        <v>44957</v>
      </c>
      <c r="AQ4403" s="925" t="str">
        <f t="shared" si="687"/>
        <v/>
      </c>
      <c r="AR4403" s="1856" t="str">
        <f t="shared" si="695"/>
        <v/>
      </c>
      <c r="AT4403" s="1856" t="str">
        <f t="shared" si="688"/>
        <v/>
      </c>
      <c r="AU4403" s="1856" t="str">
        <f t="shared" si="689"/>
        <v/>
      </c>
      <c r="AV4403" s="1856" t="str">
        <f t="shared" si="690"/>
        <v/>
      </c>
      <c r="AW4403" s="1856" t="str">
        <f t="shared" si="691"/>
        <v/>
      </c>
      <c r="AX4403" s="1856" t="str">
        <f t="shared" si="692"/>
        <v/>
      </c>
      <c r="AY4403" s="1856" t="str">
        <f t="shared" si="693"/>
        <v/>
      </c>
    </row>
    <row r="4404" spans="42:51">
      <c r="AP4404" s="1855">
        <f t="shared" si="694"/>
        <v>44957</v>
      </c>
      <c r="AQ4404" s="925" t="str">
        <f t="shared" ref="AQ4404:AQ4467" si="696">IF(NOT(ISNUMBER(FIND(":",AS4404))),"",IF(ISNUMBER(FIND("Sunr",AS4404)),"SR", IF(ISNUMBER(FIND("Suns",AS4404)),"SS",IF(ISNUMBER(FIND("Moonr",AS4404)),"MR",IF(ISNUMBER(FIND("Moons",AS4404)),"MS",IF(ISNUMBER(FIND("Twi",AS4404)),IF(HOUR(AR4404)&lt;12,"BMNT","EENT")))))))</f>
        <v/>
      </c>
      <c r="AR4404" s="1856" t="str">
        <f t="shared" si="695"/>
        <v/>
      </c>
      <c r="AT4404" s="1856" t="str">
        <f t="shared" si="688"/>
        <v/>
      </c>
      <c r="AU4404" s="1856" t="str">
        <f t="shared" si="689"/>
        <v/>
      </c>
      <c r="AV4404" s="1856" t="str">
        <f t="shared" si="690"/>
        <v/>
      </c>
      <c r="AW4404" s="1856" t="str">
        <f t="shared" si="691"/>
        <v/>
      </c>
      <c r="AX4404" s="1856" t="str">
        <f t="shared" si="692"/>
        <v/>
      </c>
      <c r="AY4404" s="1856" t="str">
        <f t="shared" si="693"/>
        <v/>
      </c>
    </row>
    <row r="4405" spans="42:51">
      <c r="AP4405" s="1855">
        <f t="shared" si="694"/>
        <v>44957</v>
      </c>
      <c r="AQ4405" s="925" t="str">
        <f t="shared" si="696"/>
        <v/>
      </c>
      <c r="AR4405" s="1856" t="str">
        <f t="shared" si="695"/>
        <v/>
      </c>
      <c r="AT4405" s="1856" t="str">
        <f t="shared" si="688"/>
        <v/>
      </c>
      <c r="AU4405" s="1856" t="str">
        <f t="shared" si="689"/>
        <v/>
      </c>
      <c r="AV4405" s="1856" t="str">
        <f t="shared" si="690"/>
        <v/>
      </c>
      <c r="AW4405" s="1856" t="str">
        <f t="shared" si="691"/>
        <v/>
      </c>
      <c r="AX4405" s="1856" t="str">
        <f t="shared" si="692"/>
        <v/>
      </c>
      <c r="AY4405" s="1856" t="str">
        <f t="shared" si="693"/>
        <v/>
      </c>
    </row>
    <row r="4406" spans="42:51">
      <c r="AP4406" s="1855">
        <f t="shared" si="694"/>
        <v>44957</v>
      </c>
      <c r="AQ4406" s="925" t="str">
        <f t="shared" si="696"/>
        <v/>
      </c>
      <c r="AR4406" s="1856" t="str">
        <f t="shared" si="695"/>
        <v/>
      </c>
      <c r="AT4406" s="1856" t="str">
        <f t="shared" si="688"/>
        <v/>
      </c>
      <c r="AU4406" s="1856" t="str">
        <f t="shared" si="689"/>
        <v/>
      </c>
      <c r="AV4406" s="1856" t="str">
        <f t="shared" si="690"/>
        <v/>
      </c>
      <c r="AW4406" s="1856" t="str">
        <f t="shared" si="691"/>
        <v/>
      </c>
      <c r="AX4406" s="1856" t="str">
        <f t="shared" si="692"/>
        <v/>
      </c>
      <c r="AY4406" s="1856" t="str">
        <f t="shared" si="693"/>
        <v/>
      </c>
    </row>
    <row r="4407" spans="42:51">
      <c r="AP4407" s="1855">
        <f t="shared" si="694"/>
        <v>44957</v>
      </c>
      <c r="AQ4407" s="925" t="str">
        <f t="shared" si="696"/>
        <v/>
      </c>
      <c r="AR4407" s="1856" t="str">
        <f t="shared" si="695"/>
        <v/>
      </c>
      <c r="AT4407" s="1856" t="str">
        <f t="shared" si="688"/>
        <v/>
      </c>
      <c r="AU4407" s="1856" t="str">
        <f t="shared" si="689"/>
        <v/>
      </c>
      <c r="AV4407" s="1856" t="str">
        <f t="shared" si="690"/>
        <v/>
      </c>
      <c r="AW4407" s="1856" t="str">
        <f t="shared" si="691"/>
        <v/>
      </c>
      <c r="AX4407" s="1856" t="str">
        <f t="shared" si="692"/>
        <v/>
      </c>
      <c r="AY4407" s="1856" t="str">
        <f t="shared" si="693"/>
        <v/>
      </c>
    </row>
    <row r="4408" spans="42:51">
      <c r="AP4408" s="1855">
        <f t="shared" si="694"/>
        <v>44957</v>
      </c>
      <c r="AQ4408" s="925" t="str">
        <f t="shared" si="696"/>
        <v/>
      </c>
      <c r="AR4408" s="1856" t="str">
        <f t="shared" si="695"/>
        <v/>
      </c>
      <c r="AT4408" s="1856" t="str">
        <f t="shared" si="688"/>
        <v/>
      </c>
      <c r="AU4408" s="1856" t="str">
        <f t="shared" si="689"/>
        <v/>
      </c>
      <c r="AV4408" s="1856" t="str">
        <f t="shared" si="690"/>
        <v/>
      </c>
      <c r="AW4408" s="1856" t="str">
        <f t="shared" si="691"/>
        <v/>
      </c>
      <c r="AX4408" s="1856" t="str">
        <f t="shared" si="692"/>
        <v/>
      </c>
      <c r="AY4408" s="1856" t="str">
        <f t="shared" si="693"/>
        <v/>
      </c>
    </row>
    <row r="4409" spans="42:51">
      <c r="AP4409" s="1855">
        <f t="shared" si="694"/>
        <v>44957</v>
      </c>
      <c r="AQ4409" s="925" t="str">
        <f t="shared" si="696"/>
        <v/>
      </c>
      <c r="AR4409" s="1856" t="str">
        <f t="shared" si="695"/>
        <v/>
      </c>
      <c r="AT4409" s="1856" t="str">
        <f t="shared" si="688"/>
        <v/>
      </c>
      <c r="AU4409" s="1856" t="str">
        <f t="shared" si="689"/>
        <v/>
      </c>
      <c r="AV4409" s="1856" t="str">
        <f t="shared" si="690"/>
        <v/>
      </c>
      <c r="AW4409" s="1856" t="str">
        <f t="shared" si="691"/>
        <v/>
      </c>
      <c r="AX4409" s="1856" t="str">
        <f t="shared" si="692"/>
        <v/>
      </c>
      <c r="AY4409" s="1856" t="str">
        <f t="shared" si="693"/>
        <v/>
      </c>
    </row>
    <row r="4410" spans="42:51">
      <c r="AP4410" s="1855">
        <f t="shared" si="694"/>
        <v>44957</v>
      </c>
      <c r="AQ4410" s="925" t="str">
        <f t="shared" si="696"/>
        <v/>
      </c>
      <c r="AR4410" s="1856" t="str">
        <f t="shared" si="695"/>
        <v/>
      </c>
      <c r="AT4410" s="1856" t="str">
        <f t="shared" si="688"/>
        <v/>
      </c>
      <c r="AU4410" s="1856" t="str">
        <f t="shared" si="689"/>
        <v/>
      </c>
      <c r="AV4410" s="1856" t="str">
        <f t="shared" si="690"/>
        <v/>
      </c>
      <c r="AW4410" s="1856" t="str">
        <f t="shared" si="691"/>
        <v/>
      </c>
      <c r="AX4410" s="1856" t="str">
        <f t="shared" si="692"/>
        <v/>
      </c>
      <c r="AY4410" s="1856" t="str">
        <f t="shared" si="693"/>
        <v/>
      </c>
    </row>
    <row r="4411" spans="42:51">
      <c r="AP4411" s="1855">
        <f t="shared" si="694"/>
        <v>44957</v>
      </c>
      <c r="AQ4411" s="925" t="str">
        <f t="shared" si="696"/>
        <v/>
      </c>
      <c r="AR4411" s="1856" t="str">
        <f t="shared" si="695"/>
        <v/>
      </c>
      <c r="AT4411" s="1856" t="str">
        <f t="shared" si="688"/>
        <v/>
      </c>
      <c r="AU4411" s="1856" t="str">
        <f t="shared" si="689"/>
        <v/>
      </c>
      <c r="AV4411" s="1856" t="str">
        <f t="shared" si="690"/>
        <v/>
      </c>
      <c r="AW4411" s="1856" t="str">
        <f t="shared" si="691"/>
        <v/>
      </c>
      <c r="AX4411" s="1856" t="str">
        <f t="shared" si="692"/>
        <v/>
      </c>
      <c r="AY4411" s="1856" t="str">
        <f t="shared" si="693"/>
        <v/>
      </c>
    </row>
    <row r="4412" spans="42:51">
      <c r="AP4412" s="1855">
        <f t="shared" si="694"/>
        <v>44957</v>
      </c>
      <c r="AQ4412" s="925" t="str">
        <f t="shared" si="696"/>
        <v/>
      </c>
      <c r="AR4412" s="1856" t="str">
        <f t="shared" si="695"/>
        <v/>
      </c>
      <c r="AT4412" s="1856" t="str">
        <f t="shared" si="688"/>
        <v/>
      </c>
      <c r="AU4412" s="1856" t="str">
        <f t="shared" si="689"/>
        <v/>
      </c>
      <c r="AV4412" s="1856" t="str">
        <f t="shared" si="690"/>
        <v/>
      </c>
      <c r="AW4412" s="1856" t="str">
        <f t="shared" si="691"/>
        <v/>
      </c>
      <c r="AX4412" s="1856" t="str">
        <f t="shared" si="692"/>
        <v/>
      </c>
      <c r="AY4412" s="1856" t="str">
        <f t="shared" si="693"/>
        <v/>
      </c>
    </row>
    <row r="4413" spans="42:51">
      <c r="AP4413" s="1855">
        <f t="shared" si="694"/>
        <v>44957</v>
      </c>
      <c r="AQ4413" s="925" t="str">
        <f t="shared" si="696"/>
        <v/>
      </c>
      <c r="AR4413" s="1856" t="str">
        <f t="shared" si="695"/>
        <v/>
      </c>
      <c r="AT4413" s="1856" t="str">
        <f t="shared" si="688"/>
        <v/>
      </c>
      <c r="AU4413" s="1856" t="str">
        <f t="shared" si="689"/>
        <v/>
      </c>
      <c r="AV4413" s="1856" t="str">
        <f t="shared" si="690"/>
        <v/>
      </c>
      <c r="AW4413" s="1856" t="str">
        <f t="shared" si="691"/>
        <v/>
      </c>
      <c r="AX4413" s="1856" t="str">
        <f t="shared" si="692"/>
        <v/>
      </c>
      <c r="AY4413" s="1856" t="str">
        <f t="shared" si="693"/>
        <v/>
      </c>
    </row>
    <row r="4414" spans="42:51">
      <c r="AP4414" s="1855">
        <f t="shared" si="694"/>
        <v>44957</v>
      </c>
      <c r="AQ4414" s="925" t="str">
        <f t="shared" si="696"/>
        <v/>
      </c>
      <c r="AR4414" s="1856" t="str">
        <f t="shared" si="695"/>
        <v/>
      </c>
      <c r="AT4414" s="1856" t="str">
        <f t="shared" si="688"/>
        <v/>
      </c>
      <c r="AU4414" s="1856" t="str">
        <f t="shared" si="689"/>
        <v/>
      </c>
      <c r="AV4414" s="1856" t="str">
        <f t="shared" si="690"/>
        <v/>
      </c>
      <c r="AW4414" s="1856" t="str">
        <f t="shared" si="691"/>
        <v/>
      </c>
      <c r="AX4414" s="1856" t="str">
        <f t="shared" si="692"/>
        <v/>
      </c>
      <c r="AY4414" s="1856" t="str">
        <f t="shared" si="693"/>
        <v/>
      </c>
    </row>
    <row r="4415" spans="42:51">
      <c r="AP4415" s="1855">
        <f t="shared" si="694"/>
        <v>44957</v>
      </c>
      <c r="AQ4415" s="925" t="str">
        <f t="shared" si="696"/>
        <v/>
      </c>
      <c r="AR4415" s="1856" t="str">
        <f t="shared" si="695"/>
        <v/>
      </c>
      <c r="AT4415" s="1856" t="str">
        <f t="shared" si="688"/>
        <v/>
      </c>
      <c r="AU4415" s="1856" t="str">
        <f t="shared" si="689"/>
        <v/>
      </c>
      <c r="AV4415" s="1856" t="str">
        <f t="shared" si="690"/>
        <v/>
      </c>
      <c r="AW4415" s="1856" t="str">
        <f t="shared" si="691"/>
        <v/>
      </c>
      <c r="AX4415" s="1856" t="str">
        <f t="shared" si="692"/>
        <v/>
      </c>
      <c r="AY4415" s="1856" t="str">
        <f t="shared" si="693"/>
        <v/>
      </c>
    </row>
    <row r="4416" spans="42:51">
      <c r="AP4416" s="1855">
        <f t="shared" si="694"/>
        <v>44957</v>
      </c>
      <c r="AQ4416" s="925" t="str">
        <f t="shared" si="696"/>
        <v/>
      </c>
      <c r="AR4416" s="1856" t="str">
        <f t="shared" si="695"/>
        <v/>
      </c>
      <c r="AT4416" s="1856" t="str">
        <f t="shared" si="688"/>
        <v/>
      </c>
      <c r="AU4416" s="1856" t="str">
        <f t="shared" si="689"/>
        <v/>
      </c>
      <c r="AV4416" s="1856" t="str">
        <f t="shared" si="690"/>
        <v/>
      </c>
      <c r="AW4416" s="1856" t="str">
        <f t="shared" si="691"/>
        <v/>
      </c>
      <c r="AX4416" s="1856" t="str">
        <f t="shared" si="692"/>
        <v/>
      </c>
      <c r="AY4416" s="1856" t="str">
        <f t="shared" si="693"/>
        <v/>
      </c>
    </row>
    <row r="4417" spans="42:51">
      <c r="AP4417" s="1855">
        <f t="shared" si="694"/>
        <v>44957</v>
      </c>
      <c r="AQ4417" s="925" t="str">
        <f t="shared" si="696"/>
        <v/>
      </c>
      <c r="AR4417" s="1856" t="str">
        <f t="shared" si="695"/>
        <v/>
      </c>
      <c r="AT4417" s="1856" t="str">
        <f t="shared" si="688"/>
        <v/>
      </c>
      <c r="AU4417" s="1856" t="str">
        <f t="shared" si="689"/>
        <v/>
      </c>
      <c r="AV4417" s="1856" t="str">
        <f t="shared" si="690"/>
        <v/>
      </c>
      <c r="AW4417" s="1856" t="str">
        <f t="shared" si="691"/>
        <v/>
      </c>
      <c r="AX4417" s="1856" t="str">
        <f t="shared" si="692"/>
        <v/>
      </c>
      <c r="AY4417" s="1856" t="str">
        <f t="shared" si="693"/>
        <v/>
      </c>
    </row>
    <row r="4418" spans="42:51">
      <c r="AP4418" s="1855">
        <f t="shared" si="694"/>
        <v>44957</v>
      </c>
      <c r="AQ4418" s="925" t="str">
        <f t="shared" si="696"/>
        <v/>
      </c>
      <c r="AR4418" s="1856" t="str">
        <f t="shared" si="695"/>
        <v/>
      </c>
      <c r="AT4418" s="1856" t="str">
        <f t="shared" si="688"/>
        <v/>
      </c>
      <c r="AU4418" s="1856" t="str">
        <f t="shared" si="689"/>
        <v/>
      </c>
      <c r="AV4418" s="1856" t="str">
        <f t="shared" si="690"/>
        <v/>
      </c>
      <c r="AW4418" s="1856" t="str">
        <f t="shared" si="691"/>
        <v/>
      </c>
      <c r="AX4418" s="1856" t="str">
        <f t="shared" si="692"/>
        <v/>
      </c>
      <c r="AY4418" s="1856" t="str">
        <f t="shared" si="693"/>
        <v/>
      </c>
    </row>
    <row r="4419" spans="42:51">
      <c r="AP4419" s="1855">
        <f t="shared" si="694"/>
        <v>44957</v>
      </c>
      <c r="AQ4419" s="925" t="str">
        <f t="shared" si="696"/>
        <v/>
      </c>
      <c r="AR4419" s="1856" t="str">
        <f t="shared" si="695"/>
        <v/>
      </c>
      <c r="AT4419" s="1856" t="str">
        <f t="shared" si="688"/>
        <v/>
      </c>
      <c r="AU4419" s="1856" t="str">
        <f t="shared" si="689"/>
        <v/>
      </c>
      <c r="AV4419" s="1856" t="str">
        <f t="shared" si="690"/>
        <v/>
      </c>
      <c r="AW4419" s="1856" t="str">
        <f t="shared" si="691"/>
        <v/>
      </c>
      <c r="AX4419" s="1856" t="str">
        <f t="shared" si="692"/>
        <v/>
      </c>
      <c r="AY4419" s="1856" t="str">
        <f t="shared" si="693"/>
        <v/>
      </c>
    </row>
    <row r="4420" spans="42:51">
      <c r="AP4420" s="1855">
        <f t="shared" si="694"/>
        <v>44957</v>
      </c>
      <c r="AQ4420" s="925" t="str">
        <f t="shared" si="696"/>
        <v/>
      </c>
      <c r="AR4420" s="1856" t="str">
        <f t="shared" si="695"/>
        <v/>
      </c>
      <c r="AT4420" s="1856" t="str">
        <f t="shared" si="688"/>
        <v/>
      </c>
      <c r="AU4420" s="1856" t="str">
        <f t="shared" si="689"/>
        <v/>
      </c>
      <c r="AV4420" s="1856" t="str">
        <f t="shared" si="690"/>
        <v/>
      </c>
      <c r="AW4420" s="1856" t="str">
        <f t="shared" si="691"/>
        <v/>
      </c>
      <c r="AX4420" s="1856" t="str">
        <f t="shared" si="692"/>
        <v/>
      </c>
      <c r="AY4420" s="1856" t="str">
        <f t="shared" si="693"/>
        <v/>
      </c>
    </row>
    <row r="4421" spans="42:51">
      <c r="AP4421" s="1855">
        <f t="shared" si="694"/>
        <v>44957</v>
      </c>
      <c r="AQ4421" s="925" t="str">
        <f t="shared" si="696"/>
        <v/>
      </c>
      <c r="AR4421" s="1856" t="str">
        <f t="shared" si="695"/>
        <v/>
      </c>
      <c r="AT4421" s="1856" t="str">
        <f t="shared" si="688"/>
        <v/>
      </c>
      <c r="AU4421" s="1856" t="str">
        <f t="shared" si="689"/>
        <v/>
      </c>
      <c r="AV4421" s="1856" t="str">
        <f t="shared" si="690"/>
        <v/>
      </c>
      <c r="AW4421" s="1856" t="str">
        <f t="shared" si="691"/>
        <v/>
      </c>
      <c r="AX4421" s="1856" t="str">
        <f t="shared" si="692"/>
        <v/>
      </c>
      <c r="AY4421" s="1856" t="str">
        <f t="shared" si="693"/>
        <v/>
      </c>
    </row>
    <row r="4422" spans="42:51">
      <c r="AP4422" s="1855">
        <f t="shared" si="694"/>
        <v>44957</v>
      </c>
      <c r="AQ4422" s="925" t="str">
        <f t="shared" si="696"/>
        <v/>
      </c>
      <c r="AR4422" s="1856" t="str">
        <f t="shared" si="695"/>
        <v/>
      </c>
      <c r="AT4422" s="1856" t="str">
        <f t="shared" si="688"/>
        <v/>
      </c>
      <c r="AU4422" s="1856" t="str">
        <f t="shared" si="689"/>
        <v/>
      </c>
      <c r="AV4422" s="1856" t="str">
        <f t="shared" si="690"/>
        <v/>
      </c>
      <c r="AW4422" s="1856" t="str">
        <f t="shared" si="691"/>
        <v/>
      </c>
      <c r="AX4422" s="1856" t="str">
        <f t="shared" si="692"/>
        <v/>
      </c>
      <c r="AY4422" s="1856" t="str">
        <f t="shared" si="693"/>
        <v/>
      </c>
    </row>
    <row r="4423" spans="42:51">
      <c r="AP4423" s="1855">
        <f t="shared" si="694"/>
        <v>44957</v>
      </c>
      <c r="AQ4423" s="925" t="str">
        <f t="shared" si="696"/>
        <v/>
      </c>
      <c r="AR4423" s="1856" t="str">
        <f t="shared" si="695"/>
        <v/>
      </c>
      <c r="AT4423" s="1856" t="str">
        <f t="shared" si="688"/>
        <v/>
      </c>
      <c r="AU4423" s="1856" t="str">
        <f t="shared" si="689"/>
        <v/>
      </c>
      <c r="AV4423" s="1856" t="str">
        <f t="shared" si="690"/>
        <v/>
      </c>
      <c r="AW4423" s="1856" t="str">
        <f t="shared" si="691"/>
        <v/>
      </c>
      <c r="AX4423" s="1856" t="str">
        <f t="shared" si="692"/>
        <v/>
      </c>
      <c r="AY4423" s="1856" t="str">
        <f t="shared" si="693"/>
        <v/>
      </c>
    </row>
    <row r="4424" spans="42:51">
      <c r="AP4424" s="1855">
        <f t="shared" si="694"/>
        <v>44957</v>
      </c>
      <c r="AQ4424" s="925" t="str">
        <f t="shared" si="696"/>
        <v/>
      </c>
      <c r="AR4424" s="1856" t="str">
        <f t="shared" si="695"/>
        <v/>
      </c>
      <c r="AT4424" s="1856" t="str">
        <f t="shared" si="688"/>
        <v/>
      </c>
      <c r="AU4424" s="1856" t="str">
        <f t="shared" si="689"/>
        <v/>
      </c>
      <c r="AV4424" s="1856" t="str">
        <f t="shared" si="690"/>
        <v/>
      </c>
      <c r="AW4424" s="1856" t="str">
        <f t="shared" si="691"/>
        <v/>
      </c>
      <c r="AX4424" s="1856" t="str">
        <f t="shared" si="692"/>
        <v/>
      </c>
      <c r="AY4424" s="1856" t="str">
        <f t="shared" si="693"/>
        <v/>
      </c>
    </row>
    <row r="4425" spans="42:51">
      <c r="AP4425" s="1855">
        <f t="shared" si="694"/>
        <v>44957</v>
      </c>
      <c r="AQ4425" s="925" t="str">
        <f t="shared" si="696"/>
        <v/>
      </c>
      <c r="AR4425" s="1856" t="str">
        <f t="shared" si="695"/>
        <v/>
      </c>
      <c r="AT4425" s="1856" t="str">
        <f t="shared" si="688"/>
        <v/>
      </c>
      <c r="AU4425" s="1856" t="str">
        <f t="shared" si="689"/>
        <v/>
      </c>
      <c r="AV4425" s="1856" t="str">
        <f t="shared" si="690"/>
        <v/>
      </c>
      <c r="AW4425" s="1856" t="str">
        <f t="shared" si="691"/>
        <v/>
      </c>
      <c r="AX4425" s="1856" t="str">
        <f t="shared" si="692"/>
        <v/>
      </c>
      <c r="AY4425" s="1856" t="str">
        <f t="shared" si="693"/>
        <v/>
      </c>
    </row>
    <row r="4426" spans="42:51">
      <c r="AP4426" s="1855">
        <f t="shared" si="694"/>
        <v>44957</v>
      </c>
      <c r="AQ4426" s="925" t="str">
        <f t="shared" si="696"/>
        <v/>
      </c>
      <c r="AR4426" s="1856" t="str">
        <f t="shared" si="695"/>
        <v/>
      </c>
      <c r="AT4426" s="1856" t="str">
        <f t="shared" si="688"/>
        <v/>
      </c>
      <c r="AU4426" s="1856" t="str">
        <f t="shared" si="689"/>
        <v/>
      </c>
      <c r="AV4426" s="1856" t="str">
        <f t="shared" si="690"/>
        <v/>
      </c>
      <c r="AW4426" s="1856" t="str">
        <f t="shared" si="691"/>
        <v/>
      </c>
      <c r="AX4426" s="1856" t="str">
        <f t="shared" si="692"/>
        <v/>
      </c>
      <c r="AY4426" s="1856" t="str">
        <f t="shared" si="693"/>
        <v/>
      </c>
    </row>
    <row r="4427" spans="42:51">
      <c r="AP4427" s="1855">
        <f t="shared" si="694"/>
        <v>44957</v>
      </c>
      <c r="AQ4427" s="925" t="str">
        <f t="shared" si="696"/>
        <v/>
      </c>
      <c r="AR4427" s="1856" t="str">
        <f t="shared" si="695"/>
        <v/>
      </c>
      <c r="AT4427" s="1856" t="str">
        <f t="shared" si="688"/>
        <v/>
      </c>
      <c r="AU4427" s="1856" t="str">
        <f t="shared" si="689"/>
        <v/>
      </c>
      <c r="AV4427" s="1856" t="str">
        <f t="shared" si="690"/>
        <v/>
      </c>
      <c r="AW4427" s="1856" t="str">
        <f t="shared" si="691"/>
        <v/>
      </c>
      <c r="AX4427" s="1856" t="str">
        <f t="shared" si="692"/>
        <v/>
      </c>
      <c r="AY4427" s="1856" t="str">
        <f t="shared" si="693"/>
        <v/>
      </c>
    </row>
    <row r="4428" spans="42:51">
      <c r="AP4428" s="1855">
        <f t="shared" si="694"/>
        <v>44957</v>
      </c>
      <c r="AQ4428" s="925" t="str">
        <f t="shared" si="696"/>
        <v/>
      </c>
      <c r="AR4428" s="1856" t="str">
        <f t="shared" si="695"/>
        <v/>
      </c>
      <c r="AT4428" s="1856" t="str">
        <f t="shared" si="688"/>
        <v/>
      </c>
      <c r="AU4428" s="1856" t="str">
        <f t="shared" si="689"/>
        <v/>
      </c>
      <c r="AV4428" s="1856" t="str">
        <f t="shared" si="690"/>
        <v/>
      </c>
      <c r="AW4428" s="1856" t="str">
        <f t="shared" si="691"/>
        <v/>
      </c>
      <c r="AX4428" s="1856" t="str">
        <f t="shared" si="692"/>
        <v/>
      </c>
      <c r="AY4428" s="1856" t="str">
        <f t="shared" si="693"/>
        <v/>
      </c>
    </row>
    <row r="4429" spans="42:51">
      <c r="AP4429" s="1855">
        <f t="shared" si="694"/>
        <v>44957</v>
      </c>
      <c r="AQ4429" s="925" t="str">
        <f t="shared" si="696"/>
        <v/>
      </c>
      <c r="AR4429" s="1856" t="str">
        <f t="shared" si="695"/>
        <v/>
      </c>
      <c r="AT4429" s="1856" t="str">
        <f t="shared" si="688"/>
        <v/>
      </c>
      <c r="AU4429" s="1856" t="str">
        <f t="shared" si="689"/>
        <v/>
      </c>
      <c r="AV4429" s="1856" t="str">
        <f t="shared" si="690"/>
        <v/>
      </c>
      <c r="AW4429" s="1856" t="str">
        <f t="shared" si="691"/>
        <v/>
      </c>
      <c r="AX4429" s="1856" t="str">
        <f t="shared" si="692"/>
        <v/>
      </c>
      <c r="AY4429" s="1856" t="str">
        <f t="shared" si="693"/>
        <v/>
      </c>
    </row>
    <row r="4430" spans="42:51">
      <c r="AP4430" s="1855">
        <f t="shared" si="694"/>
        <v>44957</v>
      </c>
      <c r="AQ4430" s="925" t="str">
        <f t="shared" si="696"/>
        <v/>
      </c>
      <c r="AR4430" s="1856" t="str">
        <f t="shared" si="695"/>
        <v/>
      </c>
      <c r="AT4430" s="1856" t="str">
        <f t="shared" si="688"/>
        <v/>
      </c>
      <c r="AU4430" s="1856" t="str">
        <f t="shared" si="689"/>
        <v/>
      </c>
      <c r="AV4430" s="1856" t="str">
        <f t="shared" si="690"/>
        <v/>
      </c>
      <c r="AW4430" s="1856" t="str">
        <f t="shared" si="691"/>
        <v/>
      </c>
      <c r="AX4430" s="1856" t="str">
        <f t="shared" si="692"/>
        <v/>
      </c>
      <c r="AY4430" s="1856" t="str">
        <f t="shared" si="693"/>
        <v/>
      </c>
    </row>
    <row r="4431" spans="42:51">
      <c r="AP4431" s="1855">
        <f t="shared" si="694"/>
        <v>44957</v>
      </c>
      <c r="AQ4431" s="925" t="str">
        <f t="shared" si="696"/>
        <v/>
      </c>
      <c r="AR4431" s="1856" t="str">
        <f t="shared" si="695"/>
        <v/>
      </c>
      <c r="AT4431" s="1856" t="str">
        <f t="shared" si="688"/>
        <v/>
      </c>
      <c r="AU4431" s="1856" t="str">
        <f t="shared" si="689"/>
        <v/>
      </c>
      <c r="AV4431" s="1856" t="str">
        <f t="shared" si="690"/>
        <v/>
      </c>
      <c r="AW4431" s="1856" t="str">
        <f t="shared" si="691"/>
        <v/>
      </c>
      <c r="AX4431" s="1856" t="str">
        <f t="shared" si="692"/>
        <v/>
      </c>
      <c r="AY4431" s="1856" t="str">
        <f t="shared" si="693"/>
        <v/>
      </c>
    </row>
    <row r="4432" spans="42:51">
      <c r="AP4432" s="1855">
        <f t="shared" si="694"/>
        <v>44957</v>
      </c>
      <c r="AQ4432" s="925" t="str">
        <f t="shared" si="696"/>
        <v/>
      </c>
      <c r="AR4432" s="1856" t="str">
        <f t="shared" si="695"/>
        <v/>
      </c>
      <c r="AT4432" s="1856" t="str">
        <f t="shared" si="688"/>
        <v/>
      </c>
      <c r="AU4432" s="1856" t="str">
        <f t="shared" si="689"/>
        <v/>
      </c>
      <c r="AV4432" s="1856" t="str">
        <f t="shared" si="690"/>
        <v/>
      </c>
      <c r="AW4432" s="1856" t="str">
        <f t="shared" si="691"/>
        <v/>
      </c>
      <c r="AX4432" s="1856" t="str">
        <f t="shared" si="692"/>
        <v/>
      </c>
      <c r="AY4432" s="1856" t="str">
        <f t="shared" si="693"/>
        <v/>
      </c>
    </row>
    <row r="4433" spans="42:51">
      <c r="AP4433" s="1855">
        <f t="shared" si="694"/>
        <v>44957</v>
      </c>
      <c r="AQ4433" s="925" t="str">
        <f t="shared" si="696"/>
        <v/>
      </c>
      <c r="AR4433" s="1856" t="str">
        <f t="shared" si="695"/>
        <v/>
      </c>
      <c r="AT4433" s="1856" t="str">
        <f t="shared" si="688"/>
        <v/>
      </c>
      <c r="AU4433" s="1856" t="str">
        <f t="shared" si="689"/>
        <v/>
      </c>
      <c r="AV4433" s="1856" t="str">
        <f t="shared" si="690"/>
        <v/>
      </c>
      <c r="AW4433" s="1856" t="str">
        <f t="shared" si="691"/>
        <v/>
      </c>
      <c r="AX4433" s="1856" t="str">
        <f t="shared" si="692"/>
        <v/>
      </c>
      <c r="AY4433" s="1856" t="str">
        <f t="shared" si="693"/>
        <v/>
      </c>
    </row>
    <row r="4434" spans="42:51">
      <c r="AP4434" s="1855">
        <f t="shared" si="694"/>
        <v>44957</v>
      </c>
      <c r="AQ4434" s="925" t="str">
        <f t="shared" si="696"/>
        <v/>
      </c>
      <c r="AR4434" s="1856" t="str">
        <f t="shared" si="695"/>
        <v/>
      </c>
      <c r="AT4434" s="1856" t="str">
        <f t="shared" si="688"/>
        <v/>
      </c>
      <c r="AU4434" s="1856" t="str">
        <f t="shared" si="689"/>
        <v/>
      </c>
      <c r="AV4434" s="1856" t="str">
        <f t="shared" si="690"/>
        <v/>
      </c>
      <c r="AW4434" s="1856" t="str">
        <f t="shared" si="691"/>
        <v/>
      </c>
      <c r="AX4434" s="1856" t="str">
        <f t="shared" si="692"/>
        <v/>
      </c>
      <c r="AY4434" s="1856" t="str">
        <f t="shared" si="693"/>
        <v/>
      </c>
    </row>
    <row r="4435" spans="42:51">
      <c r="AP4435" s="1855">
        <f t="shared" si="694"/>
        <v>44957</v>
      </c>
      <c r="AQ4435" s="925" t="str">
        <f t="shared" si="696"/>
        <v/>
      </c>
      <c r="AR4435" s="1856" t="str">
        <f t="shared" si="695"/>
        <v/>
      </c>
      <c r="AT4435" s="1856" t="str">
        <f t="shared" si="688"/>
        <v/>
      </c>
      <c r="AU4435" s="1856" t="str">
        <f t="shared" si="689"/>
        <v/>
      </c>
      <c r="AV4435" s="1856" t="str">
        <f t="shared" si="690"/>
        <v/>
      </c>
      <c r="AW4435" s="1856" t="str">
        <f t="shared" si="691"/>
        <v/>
      </c>
      <c r="AX4435" s="1856" t="str">
        <f t="shared" si="692"/>
        <v/>
      </c>
      <c r="AY4435" s="1856" t="str">
        <f t="shared" si="693"/>
        <v/>
      </c>
    </row>
    <row r="4436" spans="42:51">
      <c r="AP4436" s="1855">
        <f t="shared" si="694"/>
        <v>44957</v>
      </c>
      <c r="AQ4436" s="925" t="str">
        <f t="shared" si="696"/>
        <v/>
      </c>
      <c r="AR4436" s="1856" t="str">
        <f t="shared" si="695"/>
        <v/>
      </c>
      <c r="AT4436" s="1856" t="str">
        <f t="shared" si="688"/>
        <v/>
      </c>
      <c r="AU4436" s="1856" t="str">
        <f t="shared" si="689"/>
        <v/>
      </c>
      <c r="AV4436" s="1856" t="str">
        <f t="shared" si="690"/>
        <v/>
      </c>
      <c r="AW4436" s="1856" t="str">
        <f t="shared" si="691"/>
        <v/>
      </c>
      <c r="AX4436" s="1856" t="str">
        <f t="shared" si="692"/>
        <v/>
      </c>
      <c r="AY4436" s="1856" t="str">
        <f t="shared" si="693"/>
        <v/>
      </c>
    </row>
    <row r="4437" spans="42:51">
      <c r="AP4437" s="1855">
        <f t="shared" si="694"/>
        <v>44957</v>
      </c>
      <c r="AQ4437" s="925" t="str">
        <f t="shared" si="696"/>
        <v/>
      </c>
      <c r="AR4437" s="1856" t="str">
        <f t="shared" si="695"/>
        <v/>
      </c>
      <c r="AT4437" s="1856" t="str">
        <f t="shared" si="688"/>
        <v/>
      </c>
      <c r="AU4437" s="1856" t="str">
        <f t="shared" si="689"/>
        <v/>
      </c>
      <c r="AV4437" s="1856" t="str">
        <f t="shared" si="690"/>
        <v/>
      </c>
      <c r="AW4437" s="1856" t="str">
        <f t="shared" si="691"/>
        <v/>
      </c>
      <c r="AX4437" s="1856" t="str">
        <f t="shared" si="692"/>
        <v/>
      </c>
      <c r="AY4437" s="1856" t="str">
        <f t="shared" si="693"/>
        <v/>
      </c>
    </row>
    <row r="4438" spans="42:51">
      <c r="AP4438" s="1855">
        <f t="shared" si="694"/>
        <v>44957</v>
      </c>
      <c r="AQ4438" s="925" t="str">
        <f t="shared" si="696"/>
        <v/>
      </c>
      <c r="AR4438" s="1856" t="str">
        <f t="shared" si="695"/>
        <v/>
      </c>
      <c r="AT4438" s="1856" t="str">
        <f t="shared" si="688"/>
        <v/>
      </c>
      <c r="AU4438" s="1856" t="str">
        <f t="shared" si="689"/>
        <v/>
      </c>
      <c r="AV4438" s="1856" t="str">
        <f t="shared" si="690"/>
        <v/>
      </c>
      <c r="AW4438" s="1856" t="str">
        <f t="shared" si="691"/>
        <v/>
      </c>
      <c r="AX4438" s="1856" t="str">
        <f t="shared" si="692"/>
        <v/>
      </c>
      <c r="AY4438" s="1856" t="str">
        <f t="shared" si="693"/>
        <v/>
      </c>
    </row>
    <row r="4439" spans="42:51">
      <c r="AP4439" s="1855">
        <f t="shared" si="694"/>
        <v>44957</v>
      </c>
      <c r="AQ4439" s="925" t="str">
        <f t="shared" si="696"/>
        <v/>
      </c>
      <c r="AR4439" s="1856" t="str">
        <f t="shared" si="695"/>
        <v/>
      </c>
      <c r="AT4439" s="1856" t="str">
        <f t="shared" si="688"/>
        <v/>
      </c>
      <c r="AU4439" s="1856" t="str">
        <f t="shared" si="689"/>
        <v/>
      </c>
      <c r="AV4439" s="1856" t="str">
        <f t="shared" si="690"/>
        <v/>
      </c>
      <c r="AW4439" s="1856" t="str">
        <f t="shared" si="691"/>
        <v/>
      </c>
      <c r="AX4439" s="1856" t="str">
        <f t="shared" si="692"/>
        <v/>
      </c>
      <c r="AY4439" s="1856" t="str">
        <f t="shared" si="693"/>
        <v/>
      </c>
    </row>
    <row r="4440" spans="42:51">
      <c r="AP4440" s="1855">
        <f t="shared" si="694"/>
        <v>44957</v>
      </c>
      <c r="AQ4440" s="925" t="str">
        <f t="shared" si="696"/>
        <v/>
      </c>
      <c r="AR4440" s="1856" t="str">
        <f t="shared" si="695"/>
        <v/>
      </c>
      <c r="AT4440" s="1856" t="str">
        <f t="shared" si="688"/>
        <v/>
      </c>
      <c r="AU4440" s="1856" t="str">
        <f t="shared" si="689"/>
        <v/>
      </c>
      <c r="AV4440" s="1856" t="str">
        <f t="shared" si="690"/>
        <v/>
      </c>
      <c r="AW4440" s="1856" t="str">
        <f t="shared" si="691"/>
        <v/>
      </c>
      <c r="AX4440" s="1856" t="str">
        <f t="shared" si="692"/>
        <v/>
      </c>
      <c r="AY4440" s="1856" t="str">
        <f t="shared" si="693"/>
        <v/>
      </c>
    </row>
    <row r="4441" spans="42:51">
      <c r="AP4441" s="1855">
        <f t="shared" si="694"/>
        <v>44957</v>
      </c>
      <c r="AQ4441" s="925" t="str">
        <f t="shared" si="696"/>
        <v/>
      </c>
      <c r="AR4441" s="1856" t="str">
        <f t="shared" si="695"/>
        <v/>
      </c>
      <c r="AT4441" s="1856" t="str">
        <f t="shared" si="688"/>
        <v/>
      </c>
      <c r="AU4441" s="1856" t="str">
        <f t="shared" si="689"/>
        <v/>
      </c>
      <c r="AV4441" s="1856" t="str">
        <f t="shared" si="690"/>
        <v/>
      </c>
      <c r="AW4441" s="1856" t="str">
        <f t="shared" si="691"/>
        <v/>
      </c>
      <c r="AX4441" s="1856" t="str">
        <f t="shared" si="692"/>
        <v/>
      </c>
      <c r="AY4441" s="1856" t="str">
        <f t="shared" si="693"/>
        <v/>
      </c>
    </row>
    <row r="4442" spans="42:51">
      <c r="AP4442" s="1855">
        <f t="shared" si="694"/>
        <v>44957</v>
      </c>
      <c r="AQ4442" s="925" t="str">
        <f t="shared" si="696"/>
        <v/>
      </c>
      <c r="AR4442" s="1856" t="str">
        <f t="shared" si="695"/>
        <v/>
      </c>
      <c r="AT4442" s="1856" t="str">
        <f t="shared" si="688"/>
        <v/>
      </c>
      <c r="AU4442" s="1856" t="str">
        <f t="shared" si="689"/>
        <v/>
      </c>
      <c r="AV4442" s="1856" t="str">
        <f t="shared" si="690"/>
        <v/>
      </c>
      <c r="AW4442" s="1856" t="str">
        <f t="shared" si="691"/>
        <v/>
      </c>
      <c r="AX4442" s="1856" t="str">
        <f t="shared" si="692"/>
        <v/>
      </c>
      <c r="AY4442" s="1856" t="str">
        <f t="shared" si="693"/>
        <v/>
      </c>
    </row>
    <row r="4443" spans="42:51">
      <c r="AP4443" s="1855">
        <f t="shared" si="694"/>
        <v>44957</v>
      </c>
      <c r="AQ4443" s="925" t="str">
        <f t="shared" si="696"/>
        <v/>
      </c>
      <c r="AR4443" s="1856" t="str">
        <f t="shared" si="695"/>
        <v/>
      </c>
      <c r="AT4443" s="1856" t="str">
        <f t="shared" si="688"/>
        <v/>
      </c>
      <c r="AU4443" s="1856" t="str">
        <f t="shared" si="689"/>
        <v/>
      </c>
      <c r="AV4443" s="1856" t="str">
        <f t="shared" si="690"/>
        <v/>
      </c>
      <c r="AW4443" s="1856" t="str">
        <f t="shared" si="691"/>
        <v/>
      </c>
      <c r="AX4443" s="1856" t="str">
        <f t="shared" si="692"/>
        <v/>
      </c>
      <c r="AY4443" s="1856" t="str">
        <f t="shared" si="693"/>
        <v/>
      </c>
    </row>
    <row r="4444" spans="42:51">
      <c r="AP4444" s="1855">
        <f t="shared" si="694"/>
        <v>44957</v>
      </c>
      <c r="AQ4444" s="925" t="str">
        <f t="shared" si="696"/>
        <v/>
      </c>
      <c r="AR4444" s="1856" t="str">
        <f t="shared" si="695"/>
        <v/>
      </c>
      <c r="AT4444" s="1856" t="str">
        <f t="shared" ref="AT4444:AT4507" si="697">IF(ISNUMBER(AS4444),INDEX(AR4445:AR4455,MATCH($AT$27,AQ4445:AQ4455,0)),"")</f>
        <v/>
      </c>
      <c r="AU4444" s="1856" t="str">
        <f t="shared" ref="AU4444:AU4507" si="698">IF(AT4444="","",INDEX(AR4445:AR4455,MATCH($AU$27,AQ4445:AQ4455,0)))</f>
        <v/>
      </c>
      <c r="AV4444" s="1856" t="str">
        <f t="shared" ref="AV4444:AV4507" si="699">IF(AT4444="","",INDEX(AR4445:AR4455,MATCH($AV$27,AQ4445:AQ4455,0)))</f>
        <v/>
      </c>
      <c r="AW4444" s="1856" t="str">
        <f t="shared" ref="AW4444:AW4507" si="700">IF(AT4444="","",INDEX(AR4445:AR4455,MATCH($AW$27,AQ4445:AQ4455,0)))</f>
        <v/>
      </c>
      <c r="AX4444" s="1856" t="str">
        <f t="shared" ref="AX4444:AX4507" si="701">IF(AT4444="","",INDEX(AR4445:AR4455,MATCH($AX$27,AQ4445:AQ4455,0)))</f>
        <v/>
      </c>
      <c r="AY4444" s="1856" t="str">
        <f t="shared" ref="AY4444:AY4507" si="702">IF(AT4444="","",INDEX(AR4445:AR4455,MATCH($AY$27,AQ4445:AQ4455,0)))</f>
        <v/>
      </c>
    </row>
    <row r="4445" spans="42:51">
      <c r="AP4445" s="1855">
        <f t="shared" si="694"/>
        <v>44957</v>
      </c>
      <c r="AQ4445" s="925" t="str">
        <f t="shared" si="696"/>
        <v/>
      </c>
      <c r="AR4445" s="1856" t="str">
        <f t="shared" si="695"/>
        <v/>
      </c>
      <c r="AT4445" s="1856" t="str">
        <f t="shared" si="697"/>
        <v/>
      </c>
      <c r="AU4445" s="1856" t="str">
        <f t="shared" si="698"/>
        <v/>
      </c>
      <c r="AV4445" s="1856" t="str">
        <f t="shared" si="699"/>
        <v/>
      </c>
      <c r="AW4445" s="1856" t="str">
        <f t="shared" si="700"/>
        <v/>
      </c>
      <c r="AX4445" s="1856" t="str">
        <f t="shared" si="701"/>
        <v/>
      </c>
      <c r="AY4445" s="1856" t="str">
        <f t="shared" si="702"/>
        <v/>
      </c>
    </row>
    <row r="4446" spans="42:51">
      <c r="AP4446" s="1855">
        <f t="shared" si="694"/>
        <v>44957</v>
      </c>
      <c r="AQ4446" s="925" t="str">
        <f t="shared" si="696"/>
        <v/>
      </c>
      <c r="AR4446" s="1856" t="str">
        <f t="shared" si="695"/>
        <v/>
      </c>
      <c r="AT4446" s="1856" t="str">
        <f t="shared" si="697"/>
        <v/>
      </c>
      <c r="AU4446" s="1856" t="str">
        <f t="shared" si="698"/>
        <v/>
      </c>
      <c r="AV4446" s="1856" t="str">
        <f t="shared" si="699"/>
        <v/>
      </c>
      <c r="AW4446" s="1856" t="str">
        <f t="shared" si="700"/>
        <v/>
      </c>
      <c r="AX4446" s="1856" t="str">
        <f t="shared" si="701"/>
        <v/>
      </c>
      <c r="AY4446" s="1856" t="str">
        <f t="shared" si="702"/>
        <v/>
      </c>
    </row>
    <row r="4447" spans="42:51">
      <c r="AP4447" s="1855">
        <f t="shared" si="694"/>
        <v>44957</v>
      </c>
      <c r="AQ4447" s="925" t="str">
        <f t="shared" si="696"/>
        <v/>
      </c>
      <c r="AR4447" s="1856" t="str">
        <f t="shared" si="695"/>
        <v/>
      </c>
      <c r="AT4447" s="1856" t="str">
        <f t="shared" si="697"/>
        <v/>
      </c>
      <c r="AU4447" s="1856" t="str">
        <f t="shared" si="698"/>
        <v/>
      </c>
      <c r="AV4447" s="1856" t="str">
        <f t="shared" si="699"/>
        <v/>
      </c>
      <c r="AW4447" s="1856" t="str">
        <f t="shared" si="700"/>
        <v/>
      </c>
      <c r="AX4447" s="1856" t="str">
        <f t="shared" si="701"/>
        <v/>
      </c>
      <c r="AY4447" s="1856" t="str">
        <f t="shared" si="702"/>
        <v/>
      </c>
    </row>
    <row r="4448" spans="42:51">
      <c r="AP4448" s="1855">
        <f t="shared" si="694"/>
        <v>44957</v>
      </c>
      <c r="AQ4448" s="925" t="str">
        <f t="shared" si="696"/>
        <v/>
      </c>
      <c r="AR4448" s="1856" t="str">
        <f t="shared" si="695"/>
        <v/>
      </c>
      <c r="AT4448" s="1856" t="str">
        <f t="shared" si="697"/>
        <v/>
      </c>
      <c r="AU4448" s="1856" t="str">
        <f t="shared" si="698"/>
        <v/>
      </c>
      <c r="AV4448" s="1856" t="str">
        <f t="shared" si="699"/>
        <v/>
      </c>
      <c r="AW4448" s="1856" t="str">
        <f t="shared" si="700"/>
        <v/>
      </c>
      <c r="AX4448" s="1856" t="str">
        <f t="shared" si="701"/>
        <v/>
      </c>
      <c r="AY4448" s="1856" t="str">
        <f t="shared" si="702"/>
        <v/>
      </c>
    </row>
    <row r="4449" spans="42:51">
      <c r="AP4449" s="1855">
        <f t="shared" si="694"/>
        <v>44957</v>
      </c>
      <c r="AQ4449" s="925" t="str">
        <f t="shared" si="696"/>
        <v/>
      </c>
      <c r="AR4449" s="1856" t="str">
        <f t="shared" si="695"/>
        <v/>
      </c>
      <c r="AT4449" s="1856" t="str">
        <f t="shared" si="697"/>
        <v/>
      </c>
      <c r="AU4449" s="1856" t="str">
        <f t="shared" si="698"/>
        <v/>
      </c>
      <c r="AV4449" s="1856" t="str">
        <f t="shared" si="699"/>
        <v/>
      </c>
      <c r="AW4449" s="1856" t="str">
        <f t="shared" si="700"/>
        <v/>
      </c>
      <c r="AX4449" s="1856" t="str">
        <f t="shared" si="701"/>
        <v/>
      </c>
      <c r="AY4449" s="1856" t="str">
        <f t="shared" si="702"/>
        <v/>
      </c>
    </row>
    <row r="4450" spans="42:51">
      <c r="AP4450" s="1855">
        <f t="shared" si="694"/>
        <v>44957</v>
      </c>
      <c r="AQ4450" s="925" t="str">
        <f t="shared" si="696"/>
        <v/>
      </c>
      <c r="AR4450" s="1856" t="str">
        <f t="shared" si="695"/>
        <v/>
      </c>
      <c r="AT4450" s="1856" t="str">
        <f t="shared" si="697"/>
        <v/>
      </c>
      <c r="AU4450" s="1856" t="str">
        <f t="shared" si="698"/>
        <v/>
      </c>
      <c r="AV4450" s="1856" t="str">
        <f t="shared" si="699"/>
        <v/>
      </c>
      <c r="AW4450" s="1856" t="str">
        <f t="shared" si="700"/>
        <v/>
      </c>
      <c r="AX4450" s="1856" t="str">
        <f t="shared" si="701"/>
        <v/>
      </c>
      <c r="AY4450" s="1856" t="str">
        <f t="shared" si="702"/>
        <v/>
      </c>
    </row>
    <row r="4451" spans="42:51">
      <c r="AP4451" s="1855">
        <f t="shared" si="694"/>
        <v>44957</v>
      </c>
      <c r="AQ4451" s="925" t="str">
        <f t="shared" si="696"/>
        <v/>
      </c>
      <c r="AR4451" s="1856" t="str">
        <f t="shared" si="695"/>
        <v/>
      </c>
      <c r="AT4451" s="1856" t="str">
        <f t="shared" si="697"/>
        <v/>
      </c>
      <c r="AU4451" s="1856" t="str">
        <f t="shared" si="698"/>
        <v/>
      </c>
      <c r="AV4451" s="1856" t="str">
        <f t="shared" si="699"/>
        <v/>
      </c>
      <c r="AW4451" s="1856" t="str">
        <f t="shared" si="700"/>
        <v/>
      </c>
      <c r="AX4451" s="1856" t="str">
        <f t="shared" si="701"/>
        <v/>
      </c>
      <c r="AY4451" s="1856" t="str">
        <f t="shared" si="702"/>
        <v/>
      </c>
    </row>
    <row r="4452" spans="42:51">
      <c r="AP4452" s="1855">
        <f t="shared" si="694"/>
        <v>44957</v>
      </c>
      <c r="AQ4452" s="925" t="str">
        <f t="shared" si="696"/>
        <v/>
      </c>
      <c r="AR4452" s="1856" t="str">
        <f t="shared" si="695"/>
        <v/>
      </c>
      <c r="AT4452" s="1856" t="str">
        <f t="shared" si="697"/>
        <v/>
      </c>
      <c r="AU4452" s="1856" t="str">
        <f t="shared" si="698"/>
        <v/>
      </c>
      <c r="AV4452" s="1856" t="str">
        <f t="shared" si="699"/>
        <v/>
      </c>
      <c r="AW4452" s="1856" t="str">
        <f t="shared" si="700"/>
        <v/>
      </c>
      <c r="AX4452" s="1856" t="str">
        <f t="shared" si="701"/>
        <v/>
      </c>
      <c r="AY4452" s="1856" t="str">
        <f t="shared" si="702"/>
        <v/>
      </c>
    </row>
    <row r="4453" spans="42:51">
      <c r="AP4453" s="1855">
        <f t="shared" ref="AP4453:AP4516" si="703">IF(ISNUMBER(AS4453),AP4452+1,AP4452)</f>
        <v>44957</v>
      </c>
      <c r="AQ4453" s="925" t="str">
        <f t="shared" si="696"/>
        <v/>
      </c>
      <c r="AR4453" s="1856" t="str">
        <f t="shared" si="695"/>
        <v/>
      </c>
      <c r="AT4453" s="1856" t="str">
        <f t="shared" si="697"/>
        <v/>
      </c>
      <c r="AU4453" s="1856" t="str">
        <f t="shared" si="698"/>
        <v/>
      </c>
      <c r="AV4453" s="1856" t="str">
        <f t="shared" si="699"/>
        <v/>
      </c>
      <c r="AW4453" s="1856" t="str">
        <f t="shared" si="700"/>
        <v/>
      </c>
      <c r="AX4453" s="1856" t="str">
        <f t="shared" si="701"/>
        <v/>
      </c>
      <c r="AY4453" s="1856" t="str">
        <f t="shared" si="702"/>
        <v/>
      </c>
    </row>
    <row r="4454" spans="42:51">
      <c r="AP4454" s="1855">
        <f t="shared" si="703"/>
        <v>44957</v>
      </c>
      <c r="AQ4454" s="925" t="str">
        <f t="shared" si="696"/>
        <v/>
      </c>
      <c r="AR4454" s="1856" t="str">
        <f t="shared" si="695"/>
        <v/>
      </c>
      <c r="AT4454" s="1856" t="str">
        <f t="shared" si="697"/>
        <v/>
      </c>
      <c r="AU4454" s="1856" t="str">
        <f t="shared" si="698"/>
        <v/>
      </c>
      <c r="AV4454" s="1856" t="str">
        <f t="shared" si="699"/>
        <v/>
      </c>
      <c r="AW4454" s="1856" t="str">
        <f t="shared" si="700"/>
        <v/>
      </c>
      <c r="AX4454" s="1856" t="str">
        <f t="shared" si="701"/>
        <v/>
      </c>
      <c r="AY4454" s="1856" t="str">
        <f t="shared" si="702"/>
        <v/>
      </c>
    </row>
    <row r="4455" spans="42:51">
      <c r="AP4455" s="1855">
        <f t="shared" si="703"/>
        <v>44957</v>
      </c>
      <c r="AQ4455" s="925" t="str">
        <f t="shared" si="696"/>
        <v/>
      </c>
      <c r="AR4455" s="1856" t="str">
        <f t="shared" si="695"/>
        <v/>
      </c>
      <c r="AT4455" s="1856" t="str">
        <f t="shared" si="697"/>
        <v/>
      </c>
      <c r="AU4455" s="1856" t="str">
        <f t="shared" si="698"/>
        <v/>
      </c>
      <c r="AV4455" s="1856" t="str">
        <f t="shared" si="699"/>
        <v/>
      </c>
      <c r="AW4455" s="1856" t="str">
        <f t="shared" si="700"/>
        <v/>
      </c>
      <c r="AX4455" s="1856" t="str">
        <f t="shared" si="701"/>
        <v/>
      </c>
      <c r="AY4455" s="1856" t="str">
        <f t="shared" si="702"/>
        <v/>
      </c>
    </row>
    <row r="4456" spans="42:51">
      <c r="AP4456" s="1855">
        <f t="shared" si="703"/>
        <v>44957</v>
      </c>
      <c r="AQ4456" s="925" t="str">
        <f t="shared" si="696"/>
        <v/>
      </c>
      <c r="AR4456" s="1856" t="str">
        <f t="shared" si="695"/>
        <v/>
      </c>
      <c r="AT4456" s="1856" t="str">
        <f t="shared" si="697"/>
        <v/>
      </c>
      <c r="AU4456" s="1856" t="str">
        <f t="shared" si="698"/>
        <v/>
      </c>
      <c r="AV4456" s="1856" t="str">
        <f t="shared" si="699"/>
        <v/>
      </c>
      <c r="AW4456" s="1856" t="str">
        <f t="shared" si="700"/>
        <v/>
      </c>
      <c r="AX4456" s="1856" t="str">
        <f t="shared" si="701"/>
        <v/>
      </c>
      <c r="AY4456" s="1856" t="str">
        <f t="shared" si="702"/>
        <v/>
      </c>
    </row>
    <row r="4457" spans="42:51">
      <c r="AP4457" s="1855">
        <f t="shared" si="703"/>
        <v>44957</v>
      </c>
      <c r="AQ4457" s="925" t="str">
        <f t="shared" si="696"/>
        <v/>
      </c>
      <c r="AR4457" s="1856" t="str">
        <f t="shared" ref="AR4457:AR4520" si="704">IF(NOT(ISNUMBER(FIND(":",AS4457))),"",IF(ISNUMBER(FIND(" none",AS4457)),"NONE",AP4457+LEFT(RIGHT(AS4457,5),2)/24+RIGHT(AS4457,2)/1440))</f>
        <v/>
      </c>
      <c r="AT4457" s="1856" t="str">
        <f t="shared" si="697"/>
        <v/>
      </c>
      <c r="AU4457" s="1856" t="str">
        <f t="shared" si="698"/>
        <v/>
      </c>
      <c r="AV4457" s="1856" t="str">
        <f t="shared" si="699"/>
        <v/>
      </c>
      <c r="AW4457" s="1856" t="str">
        <f t="shared" si="700"/>
        <v/>
      </c>
      <c r="AX4457" s="1856" t="str">
        <f t="shared" si="701"/>
        <v/>
      </c>
      <c r="AY4457" s="1856" t="str">
        <f t="shared" si="702"/>
        <v/>
      </c>
    </row>
    <row r="4458" spans="42:51">
      <c r="AP4458" s="1855">
        <f t="shared" si="703"/>
        <v>44957</v>
      </c>
      <c r="AQ4458" s="925" t="str">
        <f t="shared" si="696"/>
        <v/>
      </c>
      <c r="AR4458" s="1856" t="str">
        <f t="shared" si="704"/>
        <v/>
      </c>
      <c r="AT4458" s="1856" t="str">
        <f t="shared" si="697"/>
        <v/>
      </c>
      <c r="AU4458" s="1856" t="str">
        <f t="shared" si="698"/>
        <v/>
      </c>
      <c r="AV4458" s="1856" t="str">
        <f t="shared" si="699"/>
        <v/>
      </c>
      <c r="AW4458" s="1856" t="str">
        <f t="shared" si="700"/>
        <v/>
      </c>
      <c r="AX4458" s="1856" t="str">
        <f t="shared" si="701"/>
        <v/>
      </c>
      <c r="AY4458" s="1856" t="str">
        <f t="shared" si="702"/>
        <v/>
      </c>
    </row>
    <row r="4459" spans="42:51">
      <c r="AP4459" s="1855">
        <f t="shared" si="703"/>
        <v>44957</v>
      </c>
      <c r="AQ4459" s="925" t="str">
        <f t="shared" si="696"/>
        <v/>
      </c>
      <c r="AR4459" s="1856" t="str">
        <f t="shared" si="704"/>
        <v/>
      </c>
      <c r="AT4459" s="1856" t="str">
        <f t="shared" si="697"/>
        <v/>
      </c>
      <c r="AU4459" s="1856" t="str">
        <f t="shared" si="698"/>
        <v/>
      </c>
      <c r="AV4459" s="1856" t="str">
        <f t="shared" si="699"/>
        <v/>
      </c>
      <c r="AW4459" s="1856" t="str">
        <f t="shared" si="700"/>
        <v/>
      </c>
      <c r="AX4459" s="1856" t="str">
        <f t="shared" si="701"/>
        <v/>
      </c>
      <c r="AY4459" s="1856" t="str">
        <f t="shared" si="702"/>
        <v/>
      </c>
    </row>
    <row r="4460" spans="42:51">
      <c r="AP4460" s="1855">
        <f t="shared" si="703"/>
        <v>44957</v>
      </c>
      <c r="AQ4460" s="925" t="str">
        <f t="shared" si="696"/>
        <v/>
      </c>
      <c r="AR4460" s="1856" t="str">
        <f t="shared" si="704"/>
        <v/>
      </c>
      <c r="AT4460" s="1856" t="str">
        <f t="shared" si="697"/>
        <v/>
      </c>
      <c r="AU4460" s="1856" t="str">
        <f t="shared" si="698"/>
        <v/>
      </c>
      <c r="AV4460" s="1856" t="str">
        <f t="shared" si="699"/>
        <v/>
      </c>
      <c r="AW4460" s="1856" t="str">
        <f t="shared" si="700"/>
        <v/>
      </c>
      <c r="AX4460" s="1856" t="str">
        <f t="shared" si="701"/>
        <v/>
      </c>
      <c r="AY4460" s="1856" t="str">
        <f t="shared" si="702"/>
        <v/>
      </c>
    </row>
    <row r="4461" spans="42:51">
      <c r="AP4461" s="1855">
        <f t="shared" si="703"/>
        <v>44957</v>
      </c>
      <c r="AQ4461" s="925" t="str">
        <f t="shared" si="696"/>
        <v/>
      </c>
      <c r="AR4461" s="1856" t="str">
        <f t="shared" si="704"/>
        <v/>
      </c>
      <c r="AT4461" s="1856" t="str">
        <f t="shared" si="697"/>
        <v/>
      </c>
      <c r="AU4461" s="1856" t="str">
        <f t="shared" si="698"/>
        <v/>
      </c>
      <c r="AV4461" s="1856" t="str">
        <f t="shared" si="699"/>
        <v/>
      </c>
      <c r="AW4461" s="1856" t="str">
        <f t="shared" si="700"/>
        <v/>
      </c>
      <c r="AX4461" s="1856" t="str">
        <f t="shared" si="701"/>
        <v/>
      </c>
      <c r="AY4461" s="1856" t="str">
        <f t="shared" si="702"/>
        <v/>
      </c>
    </row>
    <row r="4462" spans="42:51">
      <c r="AP4462" s="1855">
        <f t="shared" si="703"/>
        <v>44957</v>
      </c>
      <c r="AQ4462" s="925" t="str">
        <f t="shared" si="696"/>
        <v/>
      </c>
      <c r="AR4462" s="1856" t="str">
        <f t="shared" si="704"/>
        <v/>
      </c>
      <c r="AT4462" s="1856" t="str">
        <f t="shared" si="697"/>
        <v/>
      </c>
      <c r="AU4462" s="1856" t="str">
        <f t="shared" si="698"/>
        <v/>
      </c>
      <c r="AV4462" s="1856" t="str">
        <f t="shared" si="699"/>
        <v/>
      </c>
      <c r="AW4462" s="1856" t="str">
        <f t="shared" si="700"/>
        <v/>
      </c>
      <c r="AX4462" s="1856" t="str">
        <f t="shared" si="701"/>
        <v/>
      </c>
      <c r="AY4462" s="1856" t="str">
        <f t="shared" si="702"/>
        <v/>
      </c>
    </row>
    <row r="4463" spans="42:51">
      <c r="AP4463" s="1855">
        <f t="shared" si="703"/>
        <v>44957</v>
      </c>
      <c r="AQ4463" s="925" t="str">
        <f t="shared" si="696"/>
        <v/>
      </c>
      <c r="AR4463" s="1856" t="str">
        <f t="shared" si="704"/>
        <v/>
      </c>
      <c r="AT4463" s="1856" t="str">
        <f t="shared" si="697"/>
        <v/>
      </c>
      <c r="AU4463" s="1856" t="str">
        <f t="shared" si="698"/>
        <v/>
      </c>
      <c r="AV4463" s="1856" t="str">
        <f t="shared" si="699"/>
        <v/>
      </c>
      <c r="AW4463" s="1856" t="str">
        <f t="shared" si="700"/>
        <v/>
      </c>
      <c r="AX4463" s="1856" t="str">
        <f t="shared" si="701"/>
        <v/>
      </c>
      <c r="AY4463" s="1856" t="str">
        <f t="shared" si="702"/>
        <v/>
      </c>
    </row>
    <row r="4464" spans="42:51">
      <c r="AP4464" s="1855">
        <f t="shared" si="703"/>
        <v>44957</v>
      </c>
      <c r="AQ4464" s="925" t="str">
        <f t="shared" si="696"/>
        <v/>
      </c>
      <c r="AR4464" s="1856" t="str">
        <f t="shared" si="704"/>
        <v/>
      </c>
      <c r="AT4464" s="1856" t="str">
        <f t="shared" si="697"/>
        <v/>
      </c>
      <c r="AU4464" s="1856" t="str">
        <f t="shared" si="698"/>
        <v/>
      </c>
      <c r="AV4464" s="1856" t="str">
        <f t="shared" si="699"/>
        <v/>
      </c>
      <c r="AW4464" s="1856" t="str">
        <f t="shared" si="700"/>
        <v/>
      </c>
      <c r="AX4464" s="1856" t="str">
        <f t="shared" si="701"/>
        <v/>
      </c>
      <c r="AY4464" s="1856" t="str">
        <f t="shared" si="702"/>
        <v/>
      </c>
    </row>
    <row r="4465" spans="42:51">
      <c r="AP4465" s="1855">
        <f t="shared" si="703"/>
        <v>44957</v>
      </c>
      <c r="AQ4465" s="925" t="str">
        <f t="shared" si="696"/>
        <v/>
      </c>
      <c r="AR4465" s="1856" t="str">
        <f t="shared" si="704"/>
        <v/>
      </c>
      <c r="AT4465" s="1856" t="str">
        <f t="shared" si="697"/>
        <v/>
      </c>
      <c r="AU4465" s="1856" t="str">
        <f t="shared" si="698"/>
        <v/>
      </c>
      <c r="AV4465" s="1856" t="str">
        <f t="shared" si="699"/>
        <v/>
      </c>
      <c r="AW4465" s="1856" t="str">
        <f t="shared" si="700"/>
        <v/>
      </c>
      <c r="AX4465" s="1856" t="str">
        <f t="shared" si="701"/>
        <v/>
      </c>
      <c r="AY4465" s="1856" t="str">
        <f t="shared" si="702"/>
        <v/>
      </c>
    </row>
    <row r="4466" spans="42:51">
      <c r="AP4466" s="1855">
        <f t="shared" si="703"/>
        <v>44957</v>
      </c>
      <c r="AQ4466" s="925" t="str">
        <f t="shared" si="696"/>
        <v/>
      </c>
      <c r="AR4466" s="1856" t="str">
        <f t="shared" si="704"/>
        <v/>
      </c>
      <c r="AT4466" s="1856" t="str">
        <f t="shared" si="697"/>
        <v/>
      </c>
      <c r="AU4466" s="1856" t="str">
        <f t="shared" si="698"/>
        <v/>
      </c>
      <c r="AV4466" s="1856" t="str">
        <f t="shared" si="699"/>
        <v/>
      </c>
      <c r="AW4466" s="1856" t="str">
        <f t="shared" si="700"/>
        <v/>
      </c>
      <c r="AX4466" s="1856" t="str">
        <f t="shared" si="701"/>
        <v/>
      </c>
      <c r="AY4466" s="1856" t="str">
        <f t="shared" si="702"/>
        <v/>
      </c>
    </row>
    <row r="4467" spans="42:51">
      <c r="AP4467" s="1855">
        <f t="shared" si="703"/>
        <v>44957</v>
      </c>
      <c r="AQ4467" s="925" t="str">
        <f t="shared" si="696"/>
        <v/>
      </c>
      <c r="AR4467" s="1856" t="str">
        <f t="shared" si="704"/>
        <v/>
      </c>
      <c r="AT4467" s="1856" t="str">
        <f t="shared" si="697"/>
        <v/>
      </c>
      <c r="AU4467" s="1856" t="str">
        <f t="shared" si="698"/>
        <v/>
      </c>
      <c r="AV4467" s="1856" t="str">
        <f t="shared" si="699"/>
        <v/>
      </c>
      <c r="AW4467" s="1856" t="str">
        <f t="shared" si="700"/>
        <v/>
      </c>
      <c r="AX4467" s="1856" t="str">
        <f t="shared" si="701"/>
        <v/>
      </c>
      <c r="AY4467" s="1856" t="str">
        <f t="shared" si="702"/>
        <v/>
      </c>
    </row>
    <row r="4468" spans="42:51">
      <c r="AP4468" s="1855">
        <f t="shared" si="703"/>
        <v>44957</v>
      </c>
      <c r="AQ4468" s="925" t="str">
        <f t="shared" ref="AQ4468:AQ4531" si="705">IF(NOT(ISNUMBER(FIND(":",AS4468))),"",IF(ISNUMBER(FIND("Sunr",AS4468)),"SR", IF(ISNUMBER(FIND("Suns",AS4468)),"SS",IF(ISNUMBER(FIND("Moonr",AS4468)),"MR",IF(ISNUMBER(FIND("Moons",AS4468)),"MS",IF(ISNUMBER(FIND("Twi",AS4468)),IF(HOUR(AR4468)&lt;12,"BMNT","EENT")))))))</f>
        <v/>
      </c>
      <c r="AR4468" s="1856" t="str">
        <f t="shared" si="704"/>
        <v/>
      </c>
      <c r="AT4468" s="1856" t="str">
        <f t="shared" si="697"/>
        <v/>
      </c>
      <c r="AU4468" s="1856" t="str">
        <f t="shared" si="698"/>
        <v/>
      </c>
      <c r="AV4468" s="1856" t="str">
        <f t="shared" si="699"/>
        <v/>
      </c>
      <c r="AW4468" s="1856" t="str">
        <f t="shared" si="700"/>
        <v/>
      </c>
      <c r="AX4468" s="1856" t="str">
        <f t="shared" si="701"/>
        <v/>
      </c>
      <c r="AY4468" s="1856" t="str">
        <f t="shared" si="702"/>
        <v/>
      </c>
    </row>
    <row r="4469" spans="42:51">
      <c r="AP4469" s="1855">
        <f t="shared" si="703"/>
        <v>44957</v>
      </c>
      <c r="AQ4469" s="925" t="str">
        <f t="shared" si="705"/>
        <v/>
      </c>
      <c r="AR4469" s="1856" t="str">
        <f t="shared" si="704"/>
        <v/>
      </c>
      <c r="AT4469" s="1856" t="str">
        <f t="shared" si="697"/>
        <v/>
      </c>
      <c r="AU4469" s="1856" t="str">
        <f t="shared" si="698"/>
        <v/>
      </c>
      <c r="AV4469" s="1856" t="str">
        <f t="shared" si="699"/>
        <v/>
      </c>
      <c r="AW4469" s="1856" t="str">
        <f t="shared" si="700"/>
        <v/>
      </c>
      <c r="AX4469" s="1856" t="str">
        <f t="shared" si="701"/>
        <v/>
      </c>
      <c r="AY4469" s="1856" t="str">
        <f t="shared" si="702"/>
        <v/>
      </c>
    </row>
    <row r="4470" spans="42:51">
      <c r="AP4470" s="1855">
        <f t="shared" si="703"/>
        <v>44957</v>
      </c>
      <c r="AQ4470" s="925" t="str">
        <f t="shared" si="705"/>
        <v/>
      </c>
      <c r="AR4470" s="1856" t="str">
        <f t="shared" si="704"/>
        <v/>
      </c>
      <c r="AT4470" s="1856" t="str">
        <f t="shared" si="697"/>
        <v/>
      </c>
      <c r="AU4470" s="1856" t="str">
        <f t="shared" si="698"/>
        <v/>
      </c>
      <c r="AV4470" s="1856" t="str">
        <f t="shared" si="699"/>
        <v/>
      </c>
      <c r="AW4470" s="1856" t="str">
        <f t="shared" si="700"/>
        <v/>
      </c>
      <c r="AX4470" s="1856" t="str">
        <f t="shared" si="701"/>
        <v/>
      </c>
      <c r="AY4470" s="1856" t="str">
        <f t="shared" si="702"/>
        <v/>
      </c>
    </row>
    <row r="4471" spans="42:51">
      <c r="AP4471" s="1855">
        <f t="shared" si="703"/>
        <v>44957</v>
      </c>
      <c r="AQ4471" s="925" t="str">
        <f t="shared" si="705"/>
        <v/>
      </c>
      <c r="AR4471" s="1856" t="str">
        <f t="shared" si="704"/>
        <v/>
      </c>
      <c r="AT4471" s="1856" t="str">
        <f t="shared" si="697"/>
        <v/>
      </c>
      <c r="AU4471" s="1856" t="str">
        <f t="shared" si="698"/>
        <v/>
      </c>
      <c r="AV4471" s="1856" t="str">
        <f t="shared" si="699"/>
        <v/>
      </c>
      <c r="AW4471" s="1856" t="str">
        <f t="shared" si="700"/>
        <v/>
      </c>
      <c r="AX4471" s="1856" t="str">
        <f t="shared" si="701"/>
        <v/>
      </c>
      <c r="AY4471" s="1856" t="str">
        <f t="shared" si="702"/>
        <v/>
      </c>
    </row>
    <row r="4472" spans="42:51">
      <c r="AP4472" s="1855">
        <f t="shared" si="703"/>
        <v>44957</v>
      </c>
      <c r="AQ4472" s="925" t="str">
        <f t="shared" si="705"/>
        <v/>
      </c>
      <c r="AR4472" s="1856" t="str">
        <f t="shared" si="704"/>
        <v/>
      </c>
      <c r="AT4472" s="1856" t="str">
        <f t="shared" si="697"/>
        <v/>
      </c>
      <c r="AU4472" s="1856" t="str">
        <f t="shared" si="698"/>
        <v/>
      </c>
      <c r="AV4472" s="1856" t="str">
        <f t="shared" si="699"/>
        <v/>
      </c>
      <c r="AW4472" s="1856" t="str">
        <f t="shared" si="700"/>
        <v/>
      </c>
      <c r="AX4472" s="1856" t="str">
        <f t="shared" si="701"/>
        <v/>
      </c>
      <c r="AY4472" s="1856" t="str">
        <f t="shared" si="702"/>
        <v/>
      </c>
    </row>
    <row r="4473" spans="42:51">
      <c r="AP4473" s="1855">
        <f t="shared" si="703"/>
        <v>44957</v>
      </c>
      <c r="AQ4473" s="925" t="str">
        <f t="shared" si="705"/>
        <v/>
      </c>
      <c r="AR4473" s="1856" t="str">
        <f t="shared" si="704"/>
        <v/>
      </c>
      <c r="AT4473" s="1856" t="str">
        <f t="shared" si="697"/>
        <v/>
      </c>
      <c r="AU4473" s="1856" t="str">
        <f t="shared" si="698"/>
        <v/>
      </c>
      <c r="AV4473" s="1856" t="str">
        <f t="shared" si="699"/>
        <v/>
      </c>
      <c r="AW4473" s="1856" t="str">
        <f t="shared" si="700"/>
        <v/>
      </c>
      <c r="AX4473" s="1856" t="str">
        <f t="shared" si="701"/>
        <v/>
      </c>
      <c r="AY4473" s="1856" t="str">
        <f t="shared" si="702"/>
        <v/>
      </c>
    </row>
    <row r="4474" spans="42:51">
      <c r="AP4474" s="1855">
        <f t="shared" si="703"/>
        <v>44957</v>
      </c>
      <c r="AQ4474" s="925" t="str">
        <f t="shared" si="705"/>
        <v/>
      </c>
      <c r="AR4474" s="1856" t="str">
        <f t="shared" si="704"/>
        <v/>
      </c>
      <c r="AT4474" s="1856" t="str">
        <f t="shared" si="697"/>
        <v/>
      </c>
      <c r="AU4474" s="1856" t="str">
        <f t="shared" si="698"/>
        <v/>
      </c>
      <c r="AV4474" s="1856" t="str">
        <f t="shared" si="699"/>
        <v/>
      </c>
      <c r="AW4474" s="1856" t="str">
        <f t="shared" si="700"/>
        <v/>
      </c>
      <c r="AX4474" s="1856" t="str">
        <f t="shared" si="701"/>
        <v/>
      </c>
      <c r="AY4474" s="1856" t="str">
        <f t="shared" si="702"/>
        <v/>
      </c>
    </row>
    <row r="4475" spans="42:51">
      <c r="AP4475" s="1855">
        <f t="shared" si="703"/>
        <v>44957</v>
      </c>
      <c r="AQ4475" s="925" t="str">
        <f t="shared" si="705"/>
        <v/>
      </c>
      <c r="AR4475" s="1856" t="str">
        <f t="shared" si="704"/>
        <v/>
      </c>
      <c r="AT4475" s="1856" t="str">
        <f t="shared" si="697"/>
        <v/>
      </c>
      <c r="AU4475" s="1856" t="str">
        <f t="shared" si="698"/>
        <v/>
      </c>
      <c r="AV4475" s="1856" t="str">
        <f t="shared" si="699"/>
        <v/>
      </c>
      <c r="AW4475" s="1856" t="str">
        <f t="shared" si="700"/>
        <v/>
      </c>
      <c r="AX4475" s="1856" t="str">
        <f t="shared" si="701"/>
        <v/>
      </c>
      <c r="AY4475" s="1856" t="str">
        <f t="shared" si="702"/>
        <v/>
      </c>
    </row>
    <row r="4476" spans="42:51">
      <c r="AP4476" s="1855">
        <f t="shared" si="703"/>
        <v>44957</v>
      </c>
      <c r="AQ4476" s="925" t="str">
        <f t="shared" si="705"/>
        <v/>
      </c>
      <c r="AR4476" s="1856" t="str">
        <f t="shared" si="704"/>
        <v/>
      </c>
      <c r="AT4476" s="1856" t="str">
        <f t="shared" si="697"/>
        <v/>
      </c>
      <c r="AU4476" s="1856" t="str">
        <f t="shared" si="698"/>
        <v/>
      </c>
      <c r="AV4476" s="1856" t="str">
        <f t="shared" si="699"/>
        <v/>
      </c>
      <c r="AW4476" s="1856" t="str">
        <f t="shared" si="700"/>
        <v/>
      </c>
      <c r="AX4476" s="1856" t="str">
        <f t="shared" si="701"/>
        <v/>
      </c>
      <c r="AY4476" s="1856" t="str">
        <f t="shared" si="702"/>
        <v/>
      </c>
    </row>
    <row r="4477" spans="42:51">
      <c r="AP4477" s="1855">
        <f t="shared" si="703"/>
        <v>44957</v>
      </c>
      <c r="AQ4477" s="925" t="str">
        <f t="shared" si="705"/>
        <v/>
      </c>
      <c r="AR4477" s="1856" t="str">
        <f t="shared" si="704"/>
        <v/>
      </c>
      <c r="AT4477" s="1856" t="str">
        <f t="shared" si="697"/>
        <v/>
      </c>
      <c r="AU4477" s="1856" t="str">
        <f t="shared" si="698"/>
        <v/>
      </c>
      <c r="AV4477" s="1856" t="str">
        <f t="shared" si="699"/>
        <v/>
      </c>
      <c r="AW4477" s="1856" t="str">
        <f t="shared" si="700"/>
        <v/>
      </c>
      <c r="AX4477" s="1856" t="str">
        <f t="shared" si="701"/>
        <v/>
      </c>
      <c r="AY4477" s="1856" t="str">
        <f t="shared" si="702"/>
        <v/>
      </c>
    </row>
    <row r="4478" spans="42:51">
      <c r="AP4478" s="1855">
        <f t="shared" si="703"/>
        <v>44957</v>
      </c>
      <c r="AQ4478" s="925" t="str">
        <f t="shared" si="705"/>
        <v/>
      </c>
      <c r="AR4478" s="1856" t="str">
        <f t="shared" si="704"/>
        <v/>
      </c>
      <c r="AT4478" s="1856" t="str">
        <f t="shared" si="697"/>
        <v/>
      </c>
      <c r="AU4478" s="1856" t="str">
        <f t="shared" si="698"/>
        <v/>
      </c>
      <c r="AV4478" s="1856" t="str">
        <f t="shared" si="699"/>
        <v/>
      </c>
      <c r="AW4478" s="1856" t="str">
        <f t="shared" si="700"/>
        <v/>
      </c>
      <c r="AX4478" s="1856" t="str">
        <f t="shared" si="701"/>
        <v/>
      </c>
      <c r="AY4478" s="1856" t="str">
        <f t="shared" si="702"/>
        <v/>
      </c>
    </row>
    <row r="4479" spans="42:51">
      <c r="AP4479" s="1855">
        <f t="shared" si="703"/>
        <v>44957</v>
      </c>
      <c r="AQ4479" s="925" t="str">
        <f t="shared" si="705"/>
        <v/>
      </c>
      <c r="AR4479" s="1856" t="str">
        <f t="shared" si="704"/>
        <v/>
      </c>
      <c r="AT4479" s="1856" t="str">
        <f t="shared" si="697"/>
        <v/>
      </c>
      <c r="AU4479" s="1856" t="str">
        <f t="shared" si="698"/>
        <v/>
      </c>
      <c r="AV4479" s="1856" t="str">
        <f t="shared" si="699"/>
        <v/>
      </c>
      <c r="AW4479" s="1856" t="str">
        <f t="shared" si="700"/>
        <v/>
      </c>
      <c r="AX4479" s="1856" t="str">
        <f t="shared" si="701"/>
        <v/>
      </c>
      <c r="AY4479" s="1856" t="str">
        <f t="shared" si="702"/>
        <v/>
      </c>
    </row>
    <row r="4480" spans="42:51">
      <c r="AP4480" s="1855">
        <f t="shared" si="703"/>
        <v>44957</v>
      </c>
      <c r="AQ4480" s="925" t="str">
        <f t="shared" si="705"/>
        <v/>
      </c>
      <c r="AR4480" s="1856" t="str">
        <f t="shared" si="704"/>
        <v/>
      </c>
      <c r="AT4480" s="1856" t="str">
        <f t="shared" si="697"/>
        <v/>
      </c>
      <c r="AU4480" s="1856" t="str">
        <f t="shared" si="698"/>
        <v/>
      </c>
      <c r="AV4480" s="1856" t="str">
        <f t="shared" si="699"/>
        <v/>
      </c>
      <c r="AW4480" s="1856" t="str">
        <f t="shared" si="700"/>
        <v/>
      </c>
      <c r="AX4480" s="1856" t="str">
        <f t="shared" si="701"/>
        <v/>
      </c>
      <c r="AY4480" s="1856" t="str">
        <f t="shared" si="702"/>
        <v/>
      </c>
    </row>
    <row r="4481" spans="42:51">
      <c r="AP4481" s="1855">
        <f t="shared" si="703"/>
        <v>44957</v>
      </c>
      <c r="AQ4481" s="925" t="str">
        <f t="shared" si="705"/>
        <v/>
      </c>
      <c r="AR4481" s="1856" t="str">
        <f t="shared" si="704"/>
        <v/>
      </c>
      <c r="AT4481" s="1856" t="str">
        <f t="shared" si="697"/>
        <v/>
      </c>
      <c r="AU4481" s="1856" t="str">
        <f t="shared" si="698"/>
        <v/>
      </c>
      <c r="AV4481" s="1856" t="str">
        <f t="shared" si="699"/>
        <v/>
      </c>
      <c r="AW4481" s="1856" t="str">
        <f t="shared" si="700"/>
        <v/>
      </c>
      <c r="AX4481" s="1856" t="str">
        <f t="shared" si="701"/>
        <v/>
      </c>
      <c r="AY4481" s="1856" t="str">
        <f t="shared" si="702"/>
        <v/>
      </c>
    </row>
    <row r="4482" spans="42:51">
      <c r="AP4482" s="1855">
        <f t="shared" si="703"/>
        <v>44957</v>
      </c>
      <c r="AQ4482" s="925" t="str">
        <f t="shared" si="705"/>
        <v/>
      </c>
      <c r="AR4482" s="1856" t="str">
        <f t="shared" si="704"/>
        <v/>
      </c>
      <c r="AT4482" s="1856" t="str">
        <f t="shared" si="697"/>
        <v/>
      </c>
      <c r="AU4482" s="1856" t="str">
        <f t="shared" si="698"/>
        <v/>
      </c>
      <c r="AV4482" s="1856" t="str">
        <f t="shared" si="699"/>
        <v/>
      </c>
      <c r="AW4482" s="1856" t="str">
        <f t="shared" si="700"/>
        <v/>
      </c>
      <c r="AX4482" s="1856" t="str">
        <f t="shared" si="701"/>
        <v/>
      </c>
      <c r="AY4482" s="1856" t="str">
        <f t="shared" si="702"/>
        <v/>
      </c>
    </row>
    <row r="4483" spans="42:51">
      <c r="AP4483" s="1855">
        <f t="shared" si="703"/>
        <v>44957</v>
      </c>
      <c r="AQ4483" s="925" t="str">
        <f t="shared" si="705"/>
        <v/>
      </c>
      <c r="AR4483" s="1856" t="str">
        <f t="shared" si="704"/>
        <v/>
      </c>
      <c r="AT4483" s="1856" t="str">
        <f t="shared" si="697"/>
        <v/>
      </c>
      <c r="AU4483" s="1856" t="str">
        <f t="shared" si="698"/>
        <v/>
      </c>
      <c r="AV4483" s="1856" t="str">
        <f t="shared" si="699"/>
        <v/>
      </c>
      <c r="AW4483" s="1856" t="str">
        <f t="shared" si="700"/>
        <v/>
      </c>
      <c r="AX4483" s="1856" t="str">
        <f t="shared" si="701"/>
        <v/>
      </c>
      <c r="AY4483" s="1856" t="str">
        <f t="shared" si="702"/>
        <v/>
      </c>
    </row>
    <row r="4484" spans="42:51">
      <c r="AP4484" s="1855">
        <f t="shared" si="703"/>
        <v>44957</v>
      </c>
      <c r="AQ4484" s="925" t="str">
        <f t="shared" si="705"/>
        <v/>
      </c>
      <c r="AR4484" s="1856" t="str">
        <f t="shared" si="704"/>
        <v/>
      </c>
      <c r="AT4484" s="1856" t="str">
        <f t="shared" si="697"/>
        <v/>
      </c>
      <c r="AU4484" s="1856" t="str">
        <f t="shared" si="698"/>
        <v/>
      </c>
      <c r="AV4484" s="1856" t="str">
        <f t="shared" si="699"/>
        <v/>
      </c>
      <c r="AW4484" s="1856" t="str">
        <f t="shared" si="700"/>
        <v/>
      </c>
      <c r="AX4484" s="1856" t="str">
        <f t="shared" si="701"/>
        <v/>
      </c>
      <c r="AY4484" s="1856" t="str">
        <f t="shared" si="702"/>
        <v/>
      </c>
    </row>
    <row r="4485" spans="42:51">
      <c r="AP4485" s="1855">
        <f t="shared" si="703"/>
        <v>44957</v>
      </c>
      <c r="AQ4485" s="925" t="str">
        <f t="shared" si="705"/>
        <v/>
      </c>
      <c r="AR4485" s="1856" t="str">
        <f t="shared" si="704"/>
        <v/>
      </c>
      <c r="AT4485" s="1856" t="str">
        <f t="shared" si="697"/>
        <v/>
      </c>
      <c r="AU4485" s="1856" t="str">
        <f t="shared" si="698"/>
        <v/>
      </c>
      <c r="AV4485" s="1856" t="str">
        <f t="shared" si="699"/>
        <v/>
      </c>
      <c r="AW4485" s="1856" t="str">
        <f t="shared" si="700"/>
        <v/>
      </c>
      <c r="AX4485" s="1856" t="str">
        <f t="shared" si="701"/>
        <v/>
      </c>
      <c r="AY4485" s="1856" t="str">
        <f t="shared" si="702"/>
        <v/>
      </c>
    </row>
    <row r="4486" spans="42:51">
      <c r="AP4486" s="1855">
        <f t="shared" si="703"/>
        <v>44957</v>
      </c>
      <c r="AQ4486" s="925" t="str">
        <f t="shared" si="705"/>
        <v/>
      </c>
      <c r="AR4486" s="1856" t="str">
        <f t="shared" si="704"/>
        <v/>
      </c>
      <c r="AT4486" s="1856" t="str">
        <f t="shared" si="697"/>
        <v/>
      </c>
      <c r="AU4486" s="1856" t="str">
        <f t="shared" si="698"/>
        <v/>
      </c>
      <c r="AV4486" s="1856" t="str">
        <f t="shared" si="699"/>
        <v/>
      </c>
      <c r="AW4486" s="1856" t="str">
        <f t="shared" si="700"/>
        <v/>
      </c>
      <c r="AX4486" s="1856" t="str">
        <f t="shared" si="701"/>
        <v/>
      </c>
      <c r="AY4486" s="1856" t="str">
        <f t="shared" si="702"/>
        <v/>
      </c>
    </row>
    <row r="4487" spans="42:51">
      <c r="AP4487" s="1855">
        <f t="shared" si="703"/>
        <v>44957</v>
      </c>
      <c r="AQ4487" s="925" t="str">
        <f t="shared" si="705"/>
        <v/>
      </c>
      <c r="AR4487" s="1856" t="str">
        <f t="shared" si="704"/>
        <v/>
      </c>
      <c r="AT4487" s="1856" t="str">
        <f t="shared" si="697"/>
        <v/>
      </c>
      <c r="AU4487" s="1856" t="str">
        <f t="shared" si="698"/>
        <v/>
      </c>
      <c r="AV4487" s="1856" t="str">
        <f t="shared" si="699"/>
        <v/>
      </c>
      <c r="AW4487" s="1856" t="str">
        <f t="shared" si="700"/>
        <v/>
      </c>
      <c r="AX4487" s="1856" t="str">
        <f t="shared" si="701"/>
        <v/>
      </c>
      <c r="AY4487" s="1856" t="str">
        <f t="shared" si="702"/>
        <v/>
      </c>
    </row>
    <row r="4488" spans="42:51">
      <c r="AP4488" s="1855">
        <f t="shared" si="703"/>
        <v>44957</v>
      </c>
      <c r="AQ4488" s="925" t="str">
        <f t="shared" si="705"/>
        <v/>
      </c>
      <c r="AR4488" s="1856" t="str">
        <f t="shared" si="704"/>
        <v/>
      </c>
      <c r="AT4488" s="1856" t="str">
        <f t="shared" si="697"/>
        <v/>
      </c>
      <c r="AU4488" s="1856" t="str">
        <f t="shared" si="698"/>
        <v/>
      </c>
      <c r="AV4488" s="1856" t="str">
        <f t="shared" si="699"/>
        <v/>
      </c>
      <c r="AW4488" s="1856" t="str">
        <f t="shared" si="700"/>
        <v/>
      </c>
      <c r="AX4488" s="1856" t="str">
        <f t="shared" si="701"/>
        <v/>
      </c>
      <c r="AY4488" s="1856" t="str">
        <f t="shared" si="702"/>
        <v/>
      </c>
    </row>
    <row r="4489" spans="42:51">
      <c r="AP4489" s="1855">
        <f t="shared" si="703"/>
        <v>44957</v>
      </c>
      <c r="AQ4489" s="925" t="str">
        <f t="shared" si="705"/>
        <v/>
      </c>
      <c r="AR4489" s="1856" t="str">
        <f t="shared" si="704"/>
        <v/>
      </c>
      <c r="AT4489" s="1856" t="str">
        <f t="shared" si="697"/>
        <v/>
      </c>
      <c r="AU4489" s="1856" t="str">
        <f t="shared" si="698"/>
        <v/>
      </c>
      <c r="AV4489" s="1856" t="str">
        <f t="shared" si="699"/>
        <v/>
      </c>
      <c r="AW4489" s="1856" t="str">
        <f t="shared" si="700"/>
        <v/>
      </c>
      <c r="AX4489" s="1856" t="str">
        <f t="shared" si="701"/>
        <v/>
      </c>
      <c r="AY4489" s="1856" t="str">
        <f t="shared" si="702"/>
        <v/>
      </c>
    </row>
    <row r="4490" spans="42:51">
      <c r="AP4490" s="1855">
        <f t="shared" si="703"/>
        <v>44957</v>
      </c>
      <c r="AQ4490" s="925" t="str">
        <f t="shared" si="705"/>
        <v/>
      </c>
      <c r="AR4490" s="1856" t="str">
        <f t="shared" si="704"/>
        <v/>
      </c>
      <c r="AT4490" s="1856" t="str">
        <f t="shared" si="697"/>
        <v/>
      </c>
      <c r="AU4490" s="1856" t="str">
        <f t="shared" si="698"/>
        <v/>
      </c>
      <c r="AV4490" s="1856" t="str">
        <f t="shared" si="699"/>
        <v/>
      </c>
      <c r="AW4490" s="1856" t="str">
        <f t="shared" si="700"/>
        <v/>
      </c>
      <c r="AX4490" s="1856" t="str">
        <f t="shared" si="701"/>
        <v/>
      </c>
      <c r="AY4490" s="1856" t="str">
        <f t="shared" si="702"/>
        <v/>
      </c>
    </row>
    <row r="4491" spans="42:51">
      <c r="AP4491" s="1855">
        <f t="shared" si="703"/>
        <v>44957</v>
      </c>
      <c r="AQ4491" s="925" t="str">
        <f t="shared" si="705"/>
        <v/>
      </c>
      <c r="AR4491" s="1856" t="str">
        <f t="shared" si="704"/>
        <v/>
      </c>
      <c r="AT4491" s="1856" t="str">
        <f t="shared" si="697"/>
        <v/>
      </c>
      <c r="AU4491" s="1856" t="str">
        <f t="shared" si="698"/>
        <v/>
      </c>
      <c r="AV4491" s="1856" t="str">
        <f t="shared" si="699"/>
        <v/>
      </c>
      <c r="AW4491" s="1856" t="str">
        <f t="shared" si="700"/>
        <v/>
      </c>
      <c r="AX4491" s="1856" t="str">
        <f t="shared" si="701"/>
        <v/>
      </c>
      <c r="AY4491" s="1856" t="str">
        <f t="shared" si="702"/>
        <v/>
      </c>
    </row>
    <row r="4492" spans="42:51">
      <c r="AP4492" s="1855">
        <f t="shared" si="703"/>
        <v>44957</v>
      </c>
      <c r="AQ4492" s="925" t="str">
        <f t="shared" si="705"/>
        <v/>
      </c>
      <c r="AR4492" s="1856" t="str">
        <f t="shared" si="704"/>
        <v/>
      </c>
      <c r="AT4492" s="1856" t="str">
        <f t="shared" si="697"/>
        <v/>
      </c>
      <c r="AU4492" s="1856" t="str">
        <f t="shared" si="698"/>
        <v/>
      </c>
      <c r="AV4492" s="1856" t="str">
        <f t="shared" si="699"/>
        <v/>
      </c>
      <c r="AW4492" s="1856" t="str">
        <f t="shared" si="700"/>
        <v/>
      </c>
      <c r="AX4492" s="1856" t="str">
        <f t="shared" si="701"/>
        <v/>
      </c>
      <c r="AY4492" s="1856" t="str">
        <f t="shared" si="702"/>
        <v/>
      </c>
    </row>
    <row r="4493" spans="42:51">
      <c r="AP4493" s="1855">
        <f t="shared" si="703"/>
        <v>44957</v>
      </c>
      <c r="AQ4493" s="925" t="str">
        <f t="shared" si="705"/>
        <v/>
      </c>
      <c r="AR4493" s="1856" t="str">
        <f t="shared" si="704"/>
        <v/>
      </c>
      <c r="AT4493" s="1856" t="str">
        <f t="shared" si="697"/>
        <v/>
      </c>
      <c r="AU4493" s="1856" t="str">
        <f t="shared" si="698"/>
        <v/>
      </c>
      <c r="AV4493" s="1856" t="str">
        <f t="shared" si="699"/>
        <v/>
      </c>
      <c r="AW4493" s="1856" t="str">
        <f t="shared" si="700"/>
        <v/>
      </c>
      <c r="AX4493" s="1856" t="str">
        <f t="shared" si="701"/>
        <v/>
      </c>
      <c r="AY4493" s="1856" t="str">
        <f t="shared" si="702"/>
        <v/>
      </c>
    </row>
    <row r="4494" spans="42:51">
      <c r="AP4494" s="1855">
        <f t="shared" si="703"/>
        <v>44957</v>
      </c>
      <c r="AQ4494" s="925" t="str">
        <f t="shared" si="705"/>
        <v/>
      </c>
      <c r="AR4494" s="1856" t="str">
        <f t="shared" si="704"/>
        <v/>
      </c>
      <c r="AT4494" s="1856" t="str">
        <f t="shared" si="697"/>
        <v/>
      </c>
      <c r="AU4494" s="1856" t="str">
        <f t="shared" si="698"/>
        <v/>
      </c>
      <c r="AV4494" s="1856" t="str">
        <f t="shared" si="699"/>
        <v/>
      </c>
      <c r="AW4494" s="1856" t="str">
        <f t="shared" si="700"/>
        <v/>
      </c>
      <c r="AX4494" s="1856" t="str">
        <f t="shared" si="701"/>
        <v/>
      </c>
      <c r="AY4494" s="1856" t="str">
        <f t="shared" si="702"/>
        <v/>
      </c>
    </row>
    <row r="4495" spans="42:51">
      <c r="AP4495" s="1855">
        <f t="shared" si="703"/>
        <v>44957</v>
      </c>
      <c r="AQ4495" s="925" t="str">
        <f t="shared" si="705"/>
        <v/>
      </c>
      <c r="AR4495" s="1856" t="str">
        <f t="shared" si="704"/>
        <v/>
      </c>
      <c r="AT4495" s="1856" t="str">
        <f t="shared" si="697"/>
        <v/>
      </c>
      <c r="AU4495" s="1856" t="str">
        <f t="shared" si="698"/>
        <v/>
      </c>
      <c r="AV4495" s="1856" t="str">
        <f t="shared" si="699"/>
        <v/>
      </c>
      <c r="AW4495" s="1856" t="str">
        <f t="shared" si="700"/>
        <v/>
      </c>
      <c r="AX4495" s="1856" t="str">
        <f t="shared" si="701"/>
        <v/>
      </c>
      <c r="AY4495" s="1856" t="str">
        <f t="shared" si="702"/>
        <v/>
      </c>
    </row>
    <row r="4496" spans="42:51">
      <c r="AP4496" s="1855">
        <f t="shared" si="703"/>
        <v>44957</v>
      </c>
      <c r="AQ4496" s="925" t="str">
        <f t="shared" si="705"/>
        <v/>
      </c>
      <c r="AR4496" s="1856" t="str">
        <f t="shared" si="704"/>
        <v/>
      </c>
      <c r="AT4496" s="1856" t="str">
        <f t="shared" si="697"/>
        <v/>
      </c>
      <c r="AU4496" s="1856" t="str">
        <f t="shared" si="698"/>
        <v/>
      </c>
      <c r="AV4496" s="1856" t="str">
        <f t="shared" si="699"/>
        <v/>
      </c>
      <c r="AW4496" s="1856" t="str">
        <f t="shared" si="700"/>
        <v/>
      </c>
      <c r="AX4496" s="1856" t="str">
        <f t="shared" si="701"/>
        <v/>
      </c>
      <c r="AY4496" s="1856" t="str">
        <f t="shared" si="702"/>
        <v/>
      </c>
    </row>
    <row r="4497" spans="42:51">
      <c r="AP4497" s="1855">
        <f t="shared" si="703"/>
        <v>44957</v>
      </c>
      <c r="AQ4497" s="925" t="str">
        <f t="shared" si="705"/>
        <v/>
      </c>
      <c r="AR4497" s="1856" t="str">
        <f t="shared" si="704"/>
        <v/>
      </c>
      <c r="AT4497" s="1856" t="str">
        <f t="shared" si="697"/>
        <v/>
      </c>
      <c r="AU4497" s="1856" t="str">
        <f t="shared" si="698"/>
        <v/>
      </c>
      <c r="AV4497" s="1856" t="str">
        <f t="shared" si="699"/>
        <v/>
      </c>
      <c r="AW4497" s="1856" t="str">
        <f t="shared" si="700"/>
        <v/>
      </c>
      <c r="AX4497" s="1856" t="str">
        <f t="shared" si="701"/>
        <v/>
      </c>
      <c r="AY4497" s="1856" t="str">
        <f t="shared" si="702"/>
        <v/>
      </c>
    </row>
    <row r="4498" spans="42:51">
      <c r="AP4498" s="1855">
        <f t="shared" si="703"/>
        <v>44957</v>
      </c>
      <c r="AQ4498" s="925" t="str">
        <f t="shared" si="705"/>
        <v/>
      </c>
      <c r="AR4498" s="1856" t="str">
        <f t="shared" si="704"/>
        <v/>
      </c>
      <c r="AT4498" s="1856" t="str">
        <f t="shared" si="697"/>
        <v/>
      </c>
      <c r="AU4498" s="1856" t="str">
        <f t="shared" si="698"/>
        <v/>
      </c>
      <c r="AV4498" s="1856" t="str">
        <f t="shared" si="699"/>
        <v/>
      </c>
      <c r="AW4498" s="1856" t="str">
        <f t="shared" si="700"/>
        <v/>
      </c>
      <c r="AX4498" s="1856" t="str">
        <f t="shared" si="701"/>
        <v/>
      </c>
      <c r="AY4498" s="1856" t="str">
        <f t="shared" si="702"/>
        <v/>
      </c>
    </row>
    <row r="4499" spans="42:51">
      <c r="AP4499" s="1855">
        <f t="shared" si="703"/>
        <v>44957</v>
      </c>
      <c r="AQ4499" s="925" t="str">
        <f t="shared" si="705"/>
        <v/>
      </c>
      <c r="AR4499" s="1856" t="str">
        <f t="shared" si="704"/>
        <v/>
      </c>
      <c r="AT4499" s="1856" t="str">
        <f t="shared" si="697"/>
        <v/>
      </c>
      <c r="AU4499" s="1856" t="str">
        <f t="shared" si="698"/>
        <v/>
      </c>
      <c r="AV4499" s="1856" t="str">
        <f t="shared" si="699"/>
        <v/>
      </c>
      <c r="AW4499" s="1856" t="str">
        <f t="shared" si="700"/>
        <v/>
      </c>
      <c r="AX4499" s="1856" t="str">
        <f t="shared" si="701"/>
        <v/>
      </c>
      <c r="AY4499" s="1856" t="str">
        <f t="shared" si="702"/>
        <v/>
      </c>
    </row>
    <row r="4500" spans="42:51">
      <c r="AP4500" s="1855">
        <f t="shared" si="703"/>
        <v>44957</v>
      </c>
      <c r="AQ4500" s="925" t="str">
        <f t="shared" si="705"/>
        <v/>
      </c>
      <c r="AR4500" s="1856" t="str">
        <f t="shared" si="704"/>
        <v/>
      </c>
      <c r="AT4500" s="1856" t="str">
        <f t="shared" si="697"/>
        <v/>
      </c>
      <c r="AU4500" s="1856" t="str">
        <f t="shared" si="698"/>
        <v/>
      </c>
      <c r="AV4500" s="1856" t="str">
        <f t="shared" si="699"/>
        <v/>
      </c>
      <c r="AW4500" s="1856" t="str">
        <f t="shared" si="700"/>
        <v/>
      </c>
      <c r="AX4500" s="1856" t="str">
        <f t="shared" si="701"/>
        <v/>
      </c>
      <c r="AY4500" s="1856" t="str">
        <f t="shared" si="702"/>
        <v/>
      </c>
    </row>
    <row r="4501" spans="42:51">
      <c r="AP4501" s="1855">
        <f t="shared" si="703"/>
        <v>44957</v>
      </c>
      <c r="AQ4501" s="925" t="str">
        <f t="shared" si="705"/>
        <v/>
      </c>
      <c r="AR4501" s="1856" t="str">
        <f t="shared" si="704"/>
        <v/>
      </c>
      <c r="AT4501" s="1856" t="str">
        <f t="shared" si="697"/>
        <v/>
      </c>
      <c r="AU4501" s="1856" t="str">
        <f t="shared" si="698"/>
        <v/>
      </c>
      <c r="AV4501" s="1856" t="str">
        <f t="shared" si="699"/>
        <v/>
      </c>
      <c r="AW4501" s="1856" t="str">
        <f t="shared" si="700"/>
        <v/>
      </c>
      <c r="AX4501" s="1856" t="str">
        <f t="shared" si="701"/>
        <v/>
      </c>
      <c r="AY4501" s="1856" t="str">
        <f t="shared" si="702"/>
        <v/>
      </c>
    </row>
    <row r="4502" spans="42:51">
      <c r="AP4502" s="1855">
        <f t="shared" si="703"/>
        <v>44957</v>
      </c>
      <c r="AQ4502" s="925" t="str">
        <f t="shared" si="705"/>
        <v/>
      </c>
      <c r="AR4502" s="1856" t="str">
        <f t="shared" si="704"/>
        <v/>
      </c>
      <c r="AT4502" s="1856" t="str">
        <f t="shared" si="697"/>
        <v/>
      </c>
      <c r="AU4502" s="1856" t="str">
        <f t="shared" si="698"/>
        <v/>
      </c>
      <c r="AV4502" s="1856" t="str">
        <f t="shared" si="699"/>
        <v/>
      </c>
      <c r="AW4502" s="1856" t="str">
        <f t="shared" si="700"/>
        <v/>
      </c>
      <c r="AX4502" s="1856" t="str">
        <f t="shared" si="701"/>
        <v/>
      </c>
      <c r="AY4502" s="1856" t="str">
        <f t="shared" si="702"/>
        <v/>
      </c>
    </row>
    <row r="4503" spans="42:51">
      <c r="AP4503" s="1855">
        <f t="shared" si="703"/>
        <v>44957</v>
      </c>
      <c r="AQ4503" s="925" t="str">
        <f t="shared" si="705"/>
        <v/>
      </c>
      <c r="AR4503" s="1856" t="str">
        <f t="shared" si="704"/>
        <v/>
      </c>
      <c r="AT4503" s="1856" t="str">
        <f t="shared" si="697"/>
        <v/>
      </c>
      <c r="AU4503" s="1856" t="str">
        <f t="shared" si="698"/>
        <v/>
      </c>
      <c r="AV4503" s="1856" t="str">
        <f t="shared" si="699"/>
        <v/>
      </c>
      <c r="AW4503" s="1856" t="str">
        <f t="shared" si="700"/>
        <v/>
      </c>
      <c r="AX4503" s="1856" t="str">
        <f t="shared" si="701"/>
        <v/>
      </c>
      <c r="AY4503" s="1856" t="str">
        <f t="shared" si="702"/>
        <v/>
      </c>
    </row>
    <row r="4504" spans="42:51">
      <c r="AP4504" s="1855">
        <f t="shared" si="703"/>
        <v>44957</v>
      </c>
      <c r="AQ4504" s="925" t="str">
        <f t="shared" si="705"/>
        <v/>
      </c>
      <c r="AR4504" s="1856" t="str">
        <f t="shared" si="704"/>
        <v/>
      </c>
      <c r="AT4504" s="1856" t="str">
        <f t="shared" si="697"/>
        <v/>
      </c>
      <c r="AU4504" s="1856" t="str">
        <f t="shared" si="698"/>
        <v/>
      </c>
      <c r="AV4504" s="1856" t="str">
        <f t="shared" si="699"/>
        <v/>
      </c>
      <c r="AW4504" s="1856" t="str">
        <f t="shared" si="700"/>
        <v/>
      </c>
      <c r="AX4504" s="1856" t="str">
        <f t="shared" si="701"/>
        <v/>
      </c>
      <c r="AY4504" s="1856" t="str">
        <f t="shared" si="702"/>
        <v/>
      </c>
    </row>
    <row r="4505" spans="42:51">
      <c r="AP4505" s="1855">
        <f t="shared" si="703"/>
        <v>44957</v>
      </c>
      <c r="AQ4505" s="925" t="str">
        <f t="shared" si="705"/>
        <v/>
      </c>
      <c r="AR4505" s="1856" t="str">
        <f t="shared" si="704"/>
        <v/>
      </c>
      <c r="AT4505" s="1856" t="str">
        <f t="shared" si="697"/>
        <v/>
      </c>
      <c r="AU4505" s="1856" t="str">
        <f t="shared" si="698"/>
        <v/>
      </c>
      <c r="AV4505" s="1856" t="str">
        <f t="shared" si="699"/>
        <v/>
      </c>
      <c r="AW4505" s="1856" t="str">
        <f t="shared" si="700"/>
        <v/>
      </c>
      <c r="AX4505" s="1856" t="str">
        <f t="shared" si="701"/>
        <v/>
      </c>
      <c r="AY4505" s="1856" t="str">
        <f t="shared" si="702"/>
        <v/>
      </c>
    </row>
    <row r="4506" spans="42:51">
      <c r="AP4506" s="1855">
        <f t="shared" si="703"/>
        <v>44957</v>
      </c>
      <c r="AQ4506" s="925" t="str">
        <f t="shared" si="705"/>
        <v/>
      </c>
      <c r="AR4506" s="1856" t="str">
        <f t="shared" si="704"/>
        <v/>
      </c>
      <c r="AT4506" s="1856" t="str">
        <f t="shared" si="697"/>
        <v/>
      </c>
      <c r="AU4506" s="1856" t="str">
        <f t="shared" si="698"/>
        <v/>
      </c>
      <c r="AV4506" s="1856" t="str">
        <f t="shared" si="699"/>
        <v/>
      </c>
      <c r="AW4506" s="1856" t="str">
        <f t="shared" si="700"/>
        <v/>
      </c>
      <c r="AX4506" s="1856" t="str">
        <f t="shared" si="701"/>
        <v/>
      </c>
      <c r="AY4506" s="1856" t="str">
        <f t="shared" si="702"/>
        <v/>
      </c>
    </row>
    <row r="4507" spans="42:51">
      <c r="AP4507" s="1855">
        <f t="shared" si="703"/>
        <v>44957</v>
      </c>
      <c r="AQ4507" s="925" t="str">
        <f t="shared" si="705"/>
        <v/>
      </c>
      <c r="AR4507" s="1856" t="str">
        <f t="shared" si="704"/>
        <v/>
      </c>
      <c r="AT4507" s="1856" t="str">
        <f t="shared" si="697"/>
        <v/>
      </c>
      <c r="AU4507" s="1856" t="str">
        <f t="shared" si="698"/>
        <v/>
      </c>
      <c r="AV4507" s="1856" t="str">
        <f t="shared" si="699"/>
        <v/>
      </c>
      <c r="AW4507" s="1856" t="str">
        <f t="shared" si="700"/>
        <v/>
      </c>
      <c r="AX4507" s="1856" t="str">
        <f t="shared" si="701"/>
        <v/>
      </c>
      <c r="AY4507" s="1856" t="str">
        <f t="shared" si="702"/>
        <v/>
      </c>
    </row>
    <row r="4508" spans="42:51">
      <c r="AP4508" s="1855">
        <f t="shared" si="703"/>
        <v>44957</v>
      </c>
      <c r="AQ4508" s="925" t="str">
        <f t="shared" si="705"/>
        <v/>
      </c>
      <c r="AR4508" s="1856" t="str">
        <f t="shared" si="704"/>
        <v/>
      </c>
      <c r="AT4508" s="1856" t="str">
        <f t="shared" ref="AT4508:AT4571" si="706">IF(ISNUMBER(AS4508),INDEX(AR4509:AR4519,MATCH($AT$27,AQ4509:AQ4519,0)),"")</f>
        <v/>
      </c>
      <c r="AU4508" s="1856" t="str">
        <f t="shared" ref="AU4508:AU4571" si="707">IF(AT4508="","",INDEX(AR4509:AR4519,MATCH($AU$27,AQ4509:AQ4519,0)))</f>
        <v/>
      </c>
      <c r="AV4508" s="1856" t="str">
        <f t="shared" ref="AV4508:AV4571" si="708">IF(AT4508="","",INDEX(AR4509:AR4519,MATCH($AV$27,AQ4509:AQ4519,0)))</f>
        <v/>
      </c>
      <c r="AW4508" s="1856" t="str">
        <f t="shared" ref="AW4508:AW4571" si="709">IF(AT4508="","",INDEX(AR4509:AR4519,MATCH($AW$27,AQ4509:AQ4519,0)))</f>
        <v/>
      </c>
      <c r="AX4508" s="1856" t="str">
        <f t="shared" ref="AX4508:AX4571" si="710">IF(AT4508="","",INDEX(AR4509:AR4519,MATCH($AX$27,AQ4509:AQ4519,0)))</f>
        <v/>
      </c>
      <c r="AY4508" s="1856" t="str">
        <f t="shared" ref="AY4508:AY4571" si="711">IF(AT4508="","",INDEX(AR4509:AR4519,MATCH($AY$27,AQ4509:AQ4519,0)))</f>
        <v/>
      </c>
    </row>
    <row r="4509" spans="42:51">
      <c r="AP4509" s="1855">
        <f t="shared" si="703"/>
        <v>44957</v>
      </c>
      <c r="AQ4509" s="925" t="str">
        <f t="shared" si="705"/>
        <v/>
      </c>
      <c r="AR4509" s="1856" t="str">
        <f t="shared" si="704"/>
        <v/>
      </c>
      <c r="AT4509" s="1856" t="str">
        <f t="shared" si="706"/>
        <v/>
      </c>
      <c r="AU4509" s="1856" t="str">
        <f t="shared" si="707"/>
        <v/>
      </c>
      <c r="AV4509" s="1856" t="str">
        <f t="shared" si="708"/>
        <v/>
      </c>
      <c r="AW4509" s="1856" t="str">
        <f t="shared" si="709"/>
        <v/>
      </c>
      <c r="AX4509" s="1856" t="str">
        <f t="shared" si="710"/>
        <v/>
      </c>
      <c r="AY4509" s="1856" t="str">
        <f t="shared" si="711"/>
        <v/>
      </c>
    </row>
    <row r="4510" spans="42:51">
      <c r="AP4510" s="1855">
        <f t="shared" si="703"/>
        <v>44957</v>
      </c>
      <c r="AQ4510" s="925" t="str">
        <f t="shared" si="705"/>
        <v/>
      </c>
      <c r="AR4510" s="1856" t="str">
        <f t="shared" si="704"/>
        <v/>
      </c>
      <c r="AT4510" s="1856" t="str">
        <f t="shared" si="706"/>
        <v/>
      </c>
      <c r="AU4510" s="1856" t="str">
        <f t="shared" si="707"/>
        <v/>
      </c>
      <c r="AV4510" s="1856" t="str">
        <f t="shared" si="708"/>
        <v/>
      </c>
      <c r="AW4510" s="1856" t="str">
        <f t="shared" si="709"/>
        <v/>
      </c>
      <c r="AX4510" s="1856" t="str">
        <f t="shared" si="710"/>
        <v/>
      </c>
      <c r="AY4510" s="1856" t="str">
        <f t="shared" si="711"/>
        <v/>
      </c>
    </row>
    <row r="4511" spans="42:51">
      <c r="AP4511" s="1855">
        <f t="shared" si="703"/>
        <v>44957</v>
      </c>
      <c r="AQ4511" s="925" t="str">
        <f t="shared" si="705"/>
        <v/>
      </c>
      <c r="AR4511" s="1856" t="str">
        <f t="shared" si="704"/>
        <v/>
      </c>
      <c r="AT4511" s="1856" t="str">
        <f t="shared" si="706"/>
        <v/>
      </c>
      <c r="AU4511" s="1856" t="str">
        <f t="shared" si="707"/>
        <v/>
      </c>
      <c r="AV4511" s="1856" t="str">
        <f t="shared" si="708"/>
        <v/>
      </c>
      <c r="AW4511" s="1856" t="str">
        <f t="shared" si="709"/>
        <v/>
      </c>
      <c r="AX4511" s="1856" t="str">
        <f t="shared" si="710"/>
        <v/>
      </c>
      <c r="AY4511" s="1856" t="str">
        <f t="shared" si="711"/>
        <v/>
      </c>
    </row>
    <row r="4512" spans="42:51">
      <c r="AP4512" s="1855">
        <f t="shared" si="703"/>
        <v>44957</v>
      </c>
      <c r="AQ4512" s="925" t="str">
        <f t="shared" si="705"/>
        <v/>
      </c>
      <c r="AR4512" s="1856" t="str">
        <f t="shared" si="704"/>
        <v/>
      </c>
      <c r="AT4512" s="1856" t="str">
        <f t="shared" si="706"/>
        <v/>
      </c>
      <c r="AU4512" s="1856" t="str">
        <f t="shared" si="707"/>
        <v/>
      </c>
      <c r="AV4512" s="1856" t="str">
        <f t="shared" si="708"/>
        <v/>
      </c>
      <c r="AW4512" s="1856" t="str">
        <f t="shared" si="709"/>
        <v/>
      </c>
      <c r="AX4512" s="1856" t="str">
        <f t="shared" si="710"/>
        <v/>
      </c>
      <c r="AY4512" s="1856" t="str">
        <f t="shared" si="711"/>
        <v/>
      </c>
    </row>
    <row r="4513" spans="42:51">
      <c r="AP4513" s="1855">
        <f t="shared" si="703"/>
        <v>44957</v>
      </c>
      <c r="AQ4513" s="925" t="str">
        <f t="shared" si="705"/>
        <v/>
      </c>
      <c r="AR4513" s="1856" t="str">
        <f t="shared" si="704"/>
        <v/>
      </c>
      <c r="AT4513" s="1856" t="str">
        <f t="shared" si="706"/>
        <v/>
      </c>
      <c r="AU4513" s="1856" t="str">
        <f t="shared" si="707"/>
        <v/>
      </c>
      <c r="AV4513" s="1856" t="str">
        <f t="shared" si="708"/>
        <v/>
      </c>
      <c r="AW4513" s="1856" t="str">
        <f t="shared" si="709"/>
        <v/>
      </c>
      <c r="AX4513" s="1856" t="str">
        <f t="shared" si="710"/>
        <v/>
      </c>
      <c r="AY4513" s="1856" t="str">
        <f t="shared" si="711"/>
        <v/>
      </c>
    </row>
    <row r="4514" spans="42:51">
      <c r="AP4514" s="1855">
        <f t="shared" si="703"/>
        <v>44957</v>
      </c>
      <c r="AQ4514" s="925" t="str">
        <f t="shared" si="705"/>
        <v/>
      </c>
      <c r="AR4514" s="1856" t="str">
        <f t="shared" si="704"/>
        <v/>
      </c>
      <c r="AT4514" s="1856" t="str">
        <f t="shared" si="706"/>
        <v/>
      </c>
      <c r="AU4514" s="1856" t="str">
        <f t="shared" si="707"/>
        <v/>
      </c>
      <c r="AV4514" s="1856" t="str">
        <f t="shared" si="708"/>
        <v/>
      </c>
      <c r="AW4514" s="1856" t="str">
        <f t="shared" si="709"/>
        <v/>
      </c>
      <c r="AX4514" s="1856" t="str">
        <f t="shared" si="710"/>
        <v/>
      </c>
      <c r="AY4514" s="1856" t="str">
        <f t="shared" si="711"/>
        <v/>
      </c>
    </row>
    <row r="4515" spans="42:51">
      <c r="AP4515" s="1855">
        <f t="shared" si="703"/>
        <v>44957</v>
      </c>
      <c r="AQ4515" s="925" t="str">
        <f t="shared" si="705"/>
        <v/>
      </c>
      <c r="AR4515" s="1856" t="str">
        <f t="shared" si="704"/>
        <v/>
      </c>
      <c r="AT4515" s="1856" t="str">
        <f t="shared" si="706"/>
        <v/>
      </c>
      <c r="AU4515" s="1856" t="str">
        <f t="shared" si="707"/>
        <v/>
      </c>
      <c r="AV4515" s="1856" t="str">
        <f t="shared" si="708"/>
        <v/>
      </c>
      <c r="AW4515" s="1856" t="str">
        <f t="shared" si="709"/>
        <v/>
      </c>
      <c r="AX4515" s="1856" t="str">
        <f t="shared" si="710"/>
        <v/>
      </c>
      <c r="AY4515" s="1856" t="str">
        <f t="shared" si="711"/>
        <v/>
      </c>
    </row>
    <row r="4516" spans="42:51">
      <c r="AP4516" s="1855">
        <f t="shared" si="703"/>
        <v>44957</v>
      </c>
      <c r="AQ4516" s="925" t="str">
        <f t="shared" si="705"/>
        <v/>
      </c>
      <c r="AR4516" s="1856" t="str">
        <f t="shared" si="704"/>
        <v/>
      </c>
      <c r="AT4516" s="1856" t="str">
        <f t="shared" si="706"/>
        <v/>
      </c>
      <c r="AU4516" s="1856" t="str">
        <f t="shared" si="707"/>
        <v/>
      </c>
      <c r="AV4516" s="1856" t="str">
        <f t="shared" si="708"/>
        <v/>
      </c>
      <c r="AW4516" s="1856" t="str">
        <f t="shared" si="709"/>
        <v/>
      </c>
      <c r="AX4516" s="1856" t="str">
        <f t="shared" si="710"/>
        <v/>
      </c>
      <c r="AY4516" s="1856" t="str">
        <f t="shared" si="711"/>
        <v/>
      </c>
    </row>
    <row r="4517" spans="42:51">
      <c r="AP4517" s="1855">
        <f t="shared" ref="AP4517:AP4574" si="712">IF(ISNUMBER(AS4517),AP4516+1,AP4516)</f>
        <v>44957</v>
      </c>
      <c r="AQ4517" s="925" t="str">
        <f t="shared" si="705"/>
        <v/>
      </c>
      <c r="AR4517" s="1856" t="str">
        <f t="shared" si="704"/>
        <v/>
      </c>
      <c r="AT4517" s="1856" t="str">
        <f t="shared" si="706"/>
        <v/>
      </c>
      <c r="AU4517" s="1856" t="str">
        <f t="shared" si="707"/>
        <v/>
      </c>
      <c r="AV4517" s="1856" t="str">
        <f t="shared" si="708"/>
        <v/>
      </c>
      <c r="AW4517" s="1856" t="str">
        <f t="shared" si="709"/>
        <v/>
      </c>
      <c r="AX4517" s="1856" t="str">
        <f t="shared" si="710"/>
        <v/>
      </c>
      <c r="AY4517" s="1856" t="str">
        <f t="shared" si="711"/>
        <v/>
      </c>
    </row>
    <row r="4518" spans="42:51">
      <c r="AP4518" s="1855">
        <f t="shared" si="712"/>
        <v>44957</v>
      </c>
      <c r="AQ4518" s="925" t="str">
        <f t="shared" si="705"/>
        <v/>
      </c>
      <c r="AR4518" s="1856" t="str">
        <f t="shared" si="704"/>
        <v/>
      </c>
      <c r="AT4518" s="1856" t="str">
        <f t="shared" si="706"/>
        <v/>
      </c>
      <c r="AU4518" s="1856" t="str">
        <f t="shared" si="707"/>
        <v/>
      </c>
      <c r="AV4518" s="1856" t="str">
        <f t="shared" si="708"/>
        <v/>
      </c>
      <c r="AW4518" s="1856" t="str">
        <f t="shared" si="709"/>
        <v/>
      </c>
      <c r="AX4518" s="1856" t="str">
        <f t="shared" si="710"/>
        <v/>
      </c>
      <c r="AY4518" s="1856" t="str">
        <f t="shared" si="711"/>
        <v/>
      </c>
    </row>
    <row r="4519" spans="42:51">
      <c r="AP4519" s="1855">
        <f t="shared" si="712"/>
        <v>44957</v>
      </c>
      <c r="AQ4519" s="925" t="str">
        <f t="shared" si="705"/>
        <v/>
      </c>
      <c r="AR4519" s="1856" t="str">
        <f t="shared" si="704"/>
        <v/>
      </c>
      <c r="AT4519" s="1856" t="str">
        <f t="shared" si="706"/>
        <v/>
      </c>
      <c r="AU4519" s="1856" t="str">
        <f t="shared" si="707"/>
        <v/>
      </c>
      <c r="AV4519" s="1856" t="str">
        <f t="shared" si="708"/>
        <v/>
      </c>
      <c r="AW4519" s="1856" t="str">
        <f t="shared" si="709"/>
        <v/>
      </c>
      <c r="AX4519" s="1856" t="str">
        <f t="shared" si="710"/>
        <v/>
      </c>
      <c r="AY4519" s="1856" t="str">
        <f t="shared" si="711"/>
        <v/>
      </c>
    </row>
    <row r="4520" spans="42:51">
      <c r="AP4520" s="1855">
        <f t="shared" si="712"/>
        <v>44957</v>
      </c>
      <c r="AQ4520" s="925" t="str">
        <f t="shared" si="705"/>
        <v/>
      </c>
      <c r="AR4520" s="1856" t="str">
        <f t="shared" si="704"/>
        <v/>
      </c>
      <c r="AT4520" s="1856" t="str">
        <f t="shared" si="706"/>
        <v/>
      </c>
      <c r="AU4520" s="1856" t="str">
        <f t="shared" si="707"/>
        <v/>
      </c>
      <c r="AV4520" s="1856" t="str">
        <f t="shared" si="708"/>
        <v/>
      </c>
      <c r="AW4520" s="1856" t="str">
        <f t="shared" si="709"/>
        <v/>
      </c>
      <c r="AX4520" s="1856" t="str">
        <f t="shared" si="710"/>
        <v/>
      </c>
      <c r="AY4520" s="1856" t="str">
        <f t="shared" si="711"/>
        <v/>
      </c>
    </row>
    <row r="4521" spans="42:51">
      <c r="AP4521" s="1855">
        <f t="shared" si="712"/>
        <v>44957</v>
      </c>
      <c r="AQ4521" s="925" t="str">
        <f t="shared" si="705"/>
        <v/>
      </c>
      <c r="AR4521" s="1856" t="str">
        <f t="shared" ref="AR4521:AR4574" si="713">IF(NOT(ISNUMBER(FIND(":",AS4521))),"",IF(ISNUMBER(FIND(" none",AS4521)),"NONE",AP4521+LEFT(RIGHT(AS4521,5),2)/24+RIGHT(AS4521,2)/1440))</f>
        <v/>
      </c>
      <c r="AT4521" s="1856" t="str">
        <f t="shared" si="706"/>
        <v/>
      </c>
      <c r="AU4521" s="1856" t="str">
        <f t="shared" si="707"/>
        <v/>
      </c>
      <c r="AV4521" s="1856" t="str">
        <f t="shared" si="708"/>
        <v/>
      </c>
      <c r="AW4521" s="1856" t="str">
        <f t="shared" si="709"/>
        <v/>
      </c>
      <c r="AX4521" s="1856" t="str">
        <f t="shared" si="710"/>
        <v/>
      </c>
      <c r="AY4521" s="1856" t="str">
        <f t="shared" si="711"/>
        <v/>
      </c>
    </row>
    <row r="4522" spans="42:51">
      <c r="AP4522" s="1855">
        <f t="shared" si="712"/>
        <v>44957</v>
      </c>
      <c r="AQ4522" s="925" t="str">
        <f t="shared" si="705"/>
        <v/>
      </c>
      <c r="AR4522" s="1856" t="str">
        <f t="shared" si="713"/>
        <v/>
      </c>
      <c r="AT4522" s="1856" t="str">
        <f t="shared" si="706"/>
        <v/>
      </c>
      <c r="AU4522" s="1856" t="str">
        <f t="shared" si="707"/>
        <v/>
      </c>
      <c r="AV4522" s="1856" t="str">
        <f t="shared" si="708"/>
        <v/>
      </c>
      <c r="AW4522" s="1856" t="str">
        <f t="shared" si="709"/>
        <v/>
      </c>
      <c r="AX4522" s="1856" t="str">
        <f t="shared" si="710"/>
        <v/>
      </c>
      <c r="AY4522" s="1856" t="str">
        <f t="shared" si="711"/>
        <v/>
      </c>
    </row>
    <row r="4523" spans="42:51">
      <c r="AP4523" s="1855">
        <f t="shared" si="712"/>
        <v>44957</v>
      </c>
      <c r="AQ4523" s="925" t="str">
        <f t="shared" si="705"/>
        <v/>
      </c>
      <c r="AR4523" s="1856" t="str">
        <f t="shared" si="713"/>
        <v/>
      </c>
      <c r="AT4523" s="1856" t="str">
        <f t="shared" si="706"/>
        <v/>
      </c>
      <c r="AU4523" s="1856" t="str">
        <f t="shared" si="707"/>
        <v/>
      </c>
      <c r="AV4523" s="1856" t="str">
        <f t="shared" si="708"/>
        <v/>
      </c>
      <c r="AW4523" s="1856" t="str">
        <f t="shared" si="709"/>
        <v/>
      </c>
      <c r="AX4523" s="1856" t="str">
        <f t="shared" si="710"/>
        <v/>
      </c>
      <c r="AY4523" s="1856" t="str">
        <f t="shared" si="711"/>
        <v/>
      </c>
    </row>
    <row r="4524" spans="42:51">
      <c r="AP4524" s="1855">
        <f t="shared" si="712"/>
        <v>44957</v>
      </c>
      <c r="AQ4524" s="925" t="str">
        <f t="shared" si="705"/>
        <v/>
      </c>
      <c r="AR4524" s="1856" t="str">
        <f t="shared" si="713"/>
        <v/>
      </c>
      <c r="AT4524" s="1856" t="str">
        <f t="shared" si="706"/>
        <v/>
      </c>
      <c r="AU4524" s="1856" t="str">
        <f t="shared" si="707"/>
        <v/>
      </c>
      <c r="AV4524" s="1856" t="str">
        <f t="shared" si="708"/>
        <v/>
      </c>
      <c r="AW4524" s="1856" t="str">
        <f t="shared" si="709"/>
        <v/>
      </c>
      <c r="AX4524" s="1856" t="str">
        <f t="shared" si="710"/>
        <v/>
      </c>
      <c r="AY4524" s="1856" t="str">
        <f t="shared" si="711"/>
        <v/>
      </c>
    </row>
    <row r="4525" spans="42:51">
      <c r="AP4525" s="1855">
        <f t="shared" si="712"/>
        <v>44957</v>
      </c>
      <c r="AQ4525" s="925" t="str">
        <f t="shared" si="705"/>
        <v/>
      </c>
      <c r="AR4525" s="1856" t="str">
        <f t="shared" si="713"/>
        <v/>
      </c>
      <c r="AT4525" s="1856" t="str">
        <f t="shared" si="706"/>
        <v/>
      </c>
      <c r="AU4525" s="1856" t="str">
        <f t="shared" si="707"/>
        <v/>
      </c>
      <c r="AV4525" s="1856" t="str">
        <f t="shared" si="708"/>
        <v/>
      </c>
      <c r="AW4525" s="1856" t="str">
        <f t="shared" si="709"/>
        <v/>
      </c>
      <c r="AX4525" s="1856" t="str">
        <f t="shared" si="710"/>
        <v/>
      </c>
      <c r="AY4525" s="1856" t="str">
        <f t="shared" si="711"/>
        <v/>
      </c>
    </row>
    <row r="4526" spans="42:51">
      <c r="AP4526" s="1855">
        <f t="shared" si="712"/>
        <v>44957</v>
      </c>
      <c r="AQ4526" s="925" t="str">
        <f t="shared" si="705"/>
        <v/>
      </c>
      <c r="AR4526" s="1856" t="str">
        <f t="shared" si="713"/>
        <v/>
      </c>
      <c r="AT4526" s="1856" t="str">
        <f t="shared" si="706"/>
        <v/>
      </c>
      <c r="AU4526" s="1856" t="str">
        <f t="shared" si="707"/>
        <v/>
      </c>
      <c r="AV4526" s="1856" t="str">
        <f t="shared" si="708"/>
        <v/>
      </c>
      <c r="AW4526" s="1856" t="str">
        <f t="shared" si="709"/>
        <v/>
      </c>
      <c r="AX4526" s="1856" t="str">
        <f t="shared" si="710"/>
        <v/>
      </c>
      <c r="AY4526" s="1856" t="str">
        <f t="shared" si="711"/>
        <v/>
      </c>
    </row>
    <row r="4527" spans="42:51">
      <c r="AP4527" s="1855">
        <f t="shared" si="712"/>
        <v>44957</v>
      </c>
      <c r="AQ4527" s="925" t="str">
        <f t="shared" si="705"/>
        <v/>
      </c>
      <c r="AR4527" s="1856" t="str">
        <f t="shared" si="713"/>
        <v/>
      </c>
      <c r="AT4527" s="1856" t="str">
        <f t="shared" si="706"/>
        <v/>
      </c>
      <c r="AU4527" s="1856" t="str">
        <f t="shared" si="707"/>
        <v/>
      </c>
      <c r="AV4527" s="1856" t="str">
        <f t="shared" si="708"/>
        <v/>
      </c>
      <c r="AW4527" s="1856" t="str">
        <f t="shared" si="709"/>
        <v/>
      </c>
      <c r="AX4527" s="1856" t="str">
        <f t="shared" si="710"/>
        <v/>
      </c>
      <c r="AY4527" s="1856" t="str">
        <f t="shared" si="711"/>
        <v/>
      </c>
    </row>
    <row r="4528" spans="42:51">
      <c r="AP4528" s="1855">
        <f t="shared" si="712"/>
        <v>44957</v>
      </c>
      <c r="AQ4528" s="925" t="str">
        <f t="shared" si="705"/>
        <v/>
      </c>
      <c r="AR4528" s="1856" t="str">
        <f t="shared" si="713"/>
        <v/>
      </c>
      <c r="AT4528" s="1856" t="str">
        <f t="shared" si="706"/>
        <v/>
      </c>
      <c r="AU4528" s="1856" t="str">
        <f t="shared" si="707"/>
        <v/>
      </c>
      <c r="AV4528" s="1856" t="str">
        <f t="shared" si="708"/>
        <v/>
      </c>
      <c r="AW4528" s="1856" t="str">
        <f t="shared" si="709"/>
        <v/>
      </c>
      <c r="AX4528" s="1856" t="str">
        <f t="shared" si="710"/>
        <v/>
      </c>
      <c r="AY4528" s="1856" t="str">
        <f t="shared" si="711"/>
        <v/>
      </c>
    </row>
    <row r="4529" spans="42:51">
      <c r="AP4529" s="1855">
        <f t="shared" si="712"/>
        <v>44957</v>
      </c>
      <c r="AQ4529" s="925" t="str">
        <f t="shared" si="705"/>
        <v/>
      </c>
      <c r="AR4529" s="1856" t="str">
        <f t="shared" si="713"/>
        <v/>
      </c>
      <c r="AT4529" s="1856" t="str">
        <f t="shared" si="706"/>
        <v/>
      </c>
      <c r="AU4529" s="1856" t="str">
        <f t="shared" si="707"/>
        <v/>
      </c>
      <c r="AV4529" s="1856" t="str">
        <f t="shared" si="708"/>
        <v/>
      </c>
      <c r="AW4529" s="1856" t="str">
        <f t="shared" si="709"/>
        <v/>
      </c>
      <c r="AX4529" s="1856" t="str">
        <f t="shared" si="710"/>
        <v/>
      </c>
      <c r="AY4529" s="1856" t="str">
        <f t="shared" si="711"/>
        <v/>
      </c>
    </row>
    <row r="4530" spans="42:51">
      <c r="AP4530" s="1855">
        <f t="shared" si="712"/>
        <v>44957</v>
      </c>
      <c r="AQ4530" s="925" t="str">
        <f t="shared" si="705"/>
        <v/>
      </c>
      <c r="AR4530" s="1856" t="str">
        <f t="shared" si="713"/>
        <v/>
      </c>
      <c r="AT4530" s="1856" t="str">
        <f t="shared" si="706"/>
        <v/>
      </c>
      <c r="AU4530" s="1856" t="str">
        <f t="shared" si="707"/>
        <v/>
      </c>
      <c r="AV4530" s="1856" t="str">
        <f t="shared" si="708"/>
        <v/>
      </c>
      <c r="AW4530" s="1856" t="str">
        <f t="shared" si="709"/>
        <v/>
      </c>
      <c r="AX4530" s="1856" t="str">
        <f t="shared" si="710"/>
        <v/>
      </c>
      <c r="AY4530" s="1856" t="str">
        <f t="shared" si="711"/>
        <v/>
      </c>
    </row>
    <row r="4531" spans="42:51">
      <c r="AP4531" s="1855">
        <f t="shared" si="712"/>
        <v>44957</v>
      </c>
      <c r="AQ4531" s="925" t="str">
        <f t="shared" si="705"/>
        <v/>
      </c>
      <c r="AR4531" s="1856" t="str">
        <f t="shared" si="713"/>
        <v/>
      </c>
      <c r="AT4531" s="1856" t="str">
        <f t="shared" si="706"/>
        <v/>
      </c>
      <c r="AU4531" s="1856" t="str">
        <f t="shared" si="707"/>
        <v/>
      </c>
      <c r="AV4531" s="1856" t="str">
        <f t="shared" si="708"/>
        <v/>
      </c>
      <c r="AW4531" s="1856" t="str">
        <f t="shared" si="709"/>
        <v/>
      </c>
      <c r="AX4531" s="1856" t="str">
        <f t="shared" si="710"/>
        <v/>
      </c>
      <c r="AY4531" s="1856" t="str">
        <f t="shared" si="711"/>
        <v/>
      </c>
    </row>
    <row r="4532" spans="42:51">
      <c r="AP4532" s="1855">
        <f t="shared" si="712"/>
        <v>44957</v>
      </c>
      <c r="AQ4532" s="925" t="str">
        <f t="shared" ref="AQ4532:AQ4574" si="714">IF(NOT(ISNUMBER(FIND(":",AS4532))),"",IF(ISNUMBER(FIND("Sunr",AS4532)),"SR", IF(ISNUMBER(FIND("Suns",AS4532)),"SS",IF(ISNUMBER(FIND("Moonr",AS4532)),"MR",IF(ISNUMBER(FIND("Moons",AS4532)),"MS",IF(ISNUMBER(FIND("Twi",AS4532)),IF(HOUR(AR4532)&lt;12,"BMNT","EENT")))))))</f>
        <v/>
      </c>
      <c r="AR4532" s="1856" t="str">
        <f t="shared" si="713"/>
        <v/>
      </c>
      <c r="AT4532" s="1856" t="str">
        <f t="shared" si="706"/>
        <v/>
      </c>
      <c r="AU4532" s="1856" t="str">
        <f t="shared" si="707"/>
        <v/>
      </c>
      <c r="AV4532" s="1856" t="str">
        <f t="shared" si="708"/>
        <v/>
      </c>
      <c r="AW4532" s="1856" t="str">
        <f t="shared" si="709"/>
        <v/>
      </c>
      <c r="AX4532" s="1856" t="str">
        <f t="shared" si="710"/>
        <v/>
      </c>
      <c r="AY4532" s="1856" t="str">
        <f t="shared" si="711"/>
        <v/>
      </c>
    </row>
    <row r="4533" spans="42:51">
      <c r="AP4533" s="1855">
        <f t="shared" si="712"/>
        <v>44957</v>
      </c>
      <c r="AQ4533" s="925" t="str">
        <f t="shared" si="714"/>
        <v/>
      </c>
      <c r="AR4533" s="1856" t="str">
        <f t="shared" si="713"/>
        <v/>
      </c>
      <c r="AT4533" s="1856" t="str">
        <f t="shared" si="706"/>
        <v/>
      </c>
      <c r="AU4533" s="1856" t="str">
        <f t="shared" si="707"/>
        <v/>
      </c>
      <c r="AV4533" s="1856" t="str">
        <f t="shared" si="708"/>
        <v/>
      </c>
      <c r="AW4533" s="1856" t="str">
        <f t="shared" si="709"/>
        <v/>
      </c>
      <c r="AX4533" s="1856" t="str">
        <f t="shared" si="710"/>
        <v/>
      </c>
      <c r="AY4533" s="1856" t="str">
        <f t="shared" si="711"/>
        <v/>
      </c>
    </row>
    <row r="4534" spans="42:51">
      <c r="AP4534" s="1855">
        <f t="shared" si="712"/>
        <v>44957</v>
      </c>
      <c r="AQ4534" s="925" t="str">
        <f t="shared" si="714"/>
        <v/>
      </c>
      <c r="AR4534" s="1856" t="str">
        <f t="shared" si="713"/>
        <v/>
      </c>
      <c r="AT4534" s="1856" t="str">
        <f t="shared" si="706"/>
        <v/>
      </c>
      <c r="AU4534" s="1856" t="str">
        <f t="shared" si="707"/>
        <v/>
      </c>
      <c r="AV4534" s="1856" t="str">
        <f t="shared" si="708"/>
        <v/>
      </c>
      <c r="AW4534" s="1856" t="str">
        <f t="shared" si="709"/>
        <v/>
      </c>
      <c r="AX4534" s="1856" t="str">
        <f t="shared" si="710"/>
        <v/>
      </c>
      <c r="AY4534" s="1856" t="str">
        <f t="shared" si="711"/>
        <v/>
      </c>
    </row>
    <row r="4535" spans="42:51">
      <c r="AP4535" s="1855">
        <f t="shared" si="712"/>
        <v>44957</v>
      </c>
      <c r="AQ4535" s="925" t="str">
        <f t="shared" si="714"/>
        <v/>
      </c>
      <c r="AR4535" s="1856" t="str">
        <f t="shared" si="713"/>
        <v/>
      </c>
      <c r="AT4535" s="1856" t="str">
        <f t="shared" si="706"/>
        <v/>
      </c>
      <c r="AU4535" s="1856" t="str">
        <f t="shared" si="707"/>
        <v/>
      </c>
      <c r="AV4535" s="1856" t="str">
        <f t="shared" si="708"/>
        <v/>
      </c>
      <c r="AW4535" s="1856" t="str">
        <f t="shared" si="709"/>
        <v/>
      </c>
      <c r="AX4535" s="1856" t="str">
        <f t="shared" si="710"/>
        <v/>
      </c>
      <c r="AY4535" s="1856" t="str">
        <f t="shared" si="711"/>
        <v/>
      </c>
    </row>
    <row r="4536" spans="42:51">
      <c r="AP4536" s="1855">
        <f t="shared" si="712"/>
        <v>44957</v>
      </c>
      <c r="AQ4536" s="925" t="str">
        <f t="shared" si="714"/>
        <v/>
      </c>
      <c r="AR4536" s="1856" t="str">
        <f t="shared" si="713"/>
        <v/>
      </c>
      <c r="AT4536" s="1856" t="str">
        <f t="shared" si="706"/>
        <v/>
      </c>
      <c r="AU4536" s="1856" t="str">
        <f t="shared" si="707"/>
        <v/>
      </c>
      <c r="AV4536" s="1856" t="str">
        <f t="shared" si="708"/>
        <v/>
      </c>
      <c r="AW4536" s="1856" t="str">
        <f t="shared" si="709"/>
        <v/>
      </c>
      <c r="AX4536" s="1856" t="str">
        <f t="shared" si="710"/>
        <v/>
      </c>
      <c r="AY4536" s="1856" t="str">
        <f t="shared" si="711"/>
        <v/>
      </c>
    </row>
    <row r="4537" spans="42:51">
      <c r="AP4537" s="1855">
        <f t="shared" si="712"/>
        <v>44957</v>
      </c>
      <c r="AQ4537" s="925" t="str">
        <f t="shared" si="714"/>
        <v/>
      </c>
      <c r="AR4537" s="1856" t="str">
        <f t="shared" si="713"/>
        <v/>
      </c>
      <c r="AT4537" s="1856" t="str">
        <f t="shared" si="706"/>
        <v/>
      </c>
      <c r="AU4537" s="1856" t="str">
        <f t="shared" si="707"/>
        <v/>
      </c>
      <c r="AV4537" s="1856" t="str">
        <f t="shared" si="708"/>
        <v/>
      </c>
      <c r="AW4537" s="1856" t="str">
        <f t="shared" si="709"/>
        <v/>
      </c>
      <c r="AX4537" s="1856" t="str">
        <f t="shared" si="710"/>
        <v/>
      </c>
      <c r="AY4537" s="1856" t="str">
        <f t="shared" si="711"/>
        <v/>
      </c>
    </row>
    <row r="4538" spans="42:51">
      <c r="AP4538" s="1855">
        <f t="shared" si="712"/>
        <v>44957</v>
      </c>
      <c r="AQ4538" s="925" t="str">
        <f t="shared" si="714"/>
        <v/>
      </c>
      <c r="AR4538" s="1856" t="str">
        <f t="shared" si="713"/>
        <v/>
      </c>
      <c r="AT4538" s="1856" t="str">
        <f t="shared" si="706"/>
        <v/>
      </c>
      <c r="AU4538" s="1856" t="str">
        <f t="shared" si="707"/>
        <v/>
      </c>
      <c r="AV4538" s="1856" t="str">
        <f t="shared" si="708"/>
        <v/>
      </c>
      <c r="AW4538" s="1856" t="str">
        <f t="shared" si="709"/>
        <v/>
      </c>
      <c r="AX4538" s="1856" t="str">
        <f t="shared" si="710"/>
        <v/>
      </c>
      <c r="AY4538" s="1856" t="str">
        <f t="shared" si="711"/>
        <v/>
      </c>
    </row>
    <row r="4539" spans="42:51">
      <c r="AP4539" s="1855">
        <f t="shared" si="712"/>
        <v>44957</v>
      </c>
      <c r="AQ4539" s="925" t="str">
        <f t="shared" si="714"/>
        <v/>
      </c>
      <c r="AR4539" s="1856" t="str">
        <f t="shared" si="713"/>
        <v/>
      </c>
      <c r="AT4539" s="1856" t="str">
        <f t="shared" si="706"/>
        <v/>
      </c>
      <c r="AU4539" s="1856" t="str">
        <f t="shared" si="707"/>
        <v/>
      </c>
      <c r="AV4539" s="1856" t="str">
        <f t="shared" si="708"/>
        <v/>
      </c>
      <c r="AW4539" s="1856" t="str">
        <f t="shared" si="709"/>
        <v/>
      </c>
      <c r="AX4539" s="1856" t="str">
        <f t="shared" si="710"/>
        <v/>
      </c>
      <c r="AY4539" s="1856" t="str">
        <f t="shared" si="711"/>
        <v/>
      </c>
    </row>
    <row r="4540" spans="42:51">
      <c r="AP4540" s="1855">
        <f t="shared" si="712"/>
        <v>44957</v>
      </c>
      <c r="AQ4540" s="925" t="str">
        <f t="shared" si="714"/>
        <v/>
      </c>
      <c r="AR4540" s="1856" t="str">
        <f t="shared" si="713"/>
        <v/>
      </c>
      <c r="AT4540" s="1856" t="str">
        <f t="shared" si="706"/>
        <v/>
      </c>
      <c r="AU4540" s="1856" t="str">
        <f t="shared" si="707"/>
        <v/>
      </c>
      <c r="AV4540" s="1856" t="str">
        <f t="shared" si="708"/>
        <v/>
      </c>
      <c r="AW4540" s="1856" t="str">
        <f t="shared" si="709"/>
        <v/>
      </c>
      <c r="AX4540" s="1856" t="str">
        <f t="shared" si="710"/>
        <v/>
      </c>
      <c r="AY4540" s="1856" t="str">
        <f t="shared" si="711"/>
        <v/>
      </c>
    </row>
    <row r="4541" spans="42:51">
      <c r="AP4541" s="1855">
        <f t="shared" si="712"/>
        <v>44957</v>
      </c>
      <c r="AQ4541" s="925" t="str">
        <f t="shared" si="714"/>
        <v/>
      </c>
      <c r="AR4541" s="1856" t="str">
        <f t="shared" si="713"/>
        <v/>
      </c>
      <c r="AT4541" s="1856" t="str">
        <f t="shared" si="706"/>
        <v/>
      </c>
      <c r="AU4541" s="1856" t="str">
        <f t="shared" si="707"/>
        <v/>
      </c>
      <c r="AV4541" s="1856" t="str">
        <f t="shared" si="708"/>
        <v/>
      </c>
      <c r="AW4541" s="1856" t="str">
        <f t="shared" si="709"/>
        <v/>
      </c>
      <c r="AX4541" s="1856" t="str">
        <f t="shared" si="710"/>
        <v/>
      </c>
      <c r="AY4541" s="1856" t="str">
        <f t="shared" si="711"/>
        <v/>
      </c>
    </row>
    <row r="4542" spans="42:51">
      <c r="AP4542" s="1855">
        <f t="shared" si="712"/>
        <v>44957</v>
      </c>
      <c r="AQ4542" s="925" t="str">
        <f t="shared" si="714"/>
        <v/>
      </c>
      <c r="AR4542" s="1856" t="str">
        <f t="shared" si="713"/>
        <v/>
      </c>
      <c r="AT4542" s="1856" t="str">
        <f t="shared" si="706"/>
        <v/>
      </c>
      <c r="AU4542" s="1856" t="str">
        <f t="shared" si="707"/>
        <v/>
      </c>
      <c r="AV4542" s="1856" t="str">
        <f t="shared" si="708"/>
        <v/>
      </c>
      <c r="AW4542" s="1856" t="str">
        <f t="shared" si="709"/>
        <v/>
      </c>
      <c r="AX4542" s="1856" t="str">
        <f t="shared" si="710"/>
        <v/>
      </c>
      <c r="AY4542" s="1856" t="str">
        <f t="shared" si="711"/>
        <v/>
      </c>
    </row>
    <row r="4543" spans="42:51">
      <c r="AP4543" s="1855">
        <f t="shared" si="712"/>
        <v>44957</v>
      </c>
      <c r="AQ4543" s="925" t="str">
        <f t="shared" si="714"/>
        <v/>
      </c>
      <c r="AR4543" s="1856" t="str">
        <f t="shared" si="713"/>
        <v/>
      </c>
      <c r="AT4543" s="1856" t="str">
        <f t="shared" si="706"/>
        <v/>
      </c>
      <c r="AU4543" s="1856" t="str">
        <f t="shared" si="707"/>
        <v/>
      </c>
      <c r="AV4543" s="1856" t="str">
        <f t="shared" si="708"/>
        <v/>
      </c>
      <c r="AW4543" s="1856" t="str">
        <f t="shared" si="709"/>
        <v/>
      </c>
      <c r="AX4543" s="1856" t="str">
        <f t="shared" si="710"/>
        <v/>
      </c>
      <c r="AY4543" s="1856" t="str">
        <f t="shared" si="711"/>
        <v/>
      </c>
    </row>
    <row r="4544" spans="42:51">
      <c r="AP4544" s="1855">
        <f t="shared" si="712"/>
        <v>44957</v>
      </c>
      <c r="AQ4544" s="925" t="str">
        <f t="shared" si="714"/>
        <v/>
      </c>
      <c r="AR4544" s="1856" t="str">
        <f t="shared" si="713"/>
        <v/>
      </c>
      <c r="AT4544" s="1856" t="str">
        <f t="shared" si="706"/>
        <v/>
      </c>
      <c r="AU4544" s="1856" t="str">
        <f t="shared" si="707"/>
        <v/>
      </c>
      <c r="AV4544" s="1856" t="str">
        <f t="shared" si="708"/>
        <v/>
      </c>
      <c r="AW4544" s="1856" t="str">
        <f t="shared" si="709"/>
        <v/>
      </c>
      <c r="AX4544" s="1856" t="str">
        <f t="shared" si="710"/>
        <v/>
      </c>
      <c r="AY4544" s="1856" t="str">
        <f t="shared" si="711"/>
        <v/>
      </c>
    </row>
    <row r="4545" spans="42:51">
      <c r="AP4545" s="1855">
        <f t="shared" si="712"/>
        <v>44957</v>
      </c>
      <c r="AQ4545" s="925" t="str">
        <f t="shared" si="714"/>
        <v/>
      </c>
      <c r="AR4545" s="1856" t="str">
        <f t="shared" si="713"/>
        <v/>
      </c>
      <c r="AT4545" s="1856" t="str">
        <f t="shared" si="706"/>
        <v/>
      </c>
      <c r="AU4545" s="1856" t="str">
        <f t="shared" si="707"/>
        <v/>
      </c>
      <c r="AV4545" s="1856" t="str">
        <f t="shared" si="708"/>
        <v/>
      </c>
      <c r="AW4545" s="1856" t="str">
        <f t="shared" si="709"/>
        <v/>
      </c>
      <c r="AX4545" s="1856" t="str">
        <f t="shared" si="710"/>
        <v/>
      </c>
      <c r="AY4545" s="1856" t="str">
        <f t="shared" si="711"/>
        <v/>
      </c>
    </row>
    <row r="4546" spans="42:51">
      <c r="AP4546" s="1855">
        <f t="shared" si="712"/>
        <v>44957</v>
      </c>
      <c r="AQ4546" s="925" t="str">
        <f t="shared" si="714"/>
        <v/>
      </c>
      <c r="AR4546" s="1856" t="str">
        <f t="shared" si="713"/>
        <v/>
      </c>
      <c r="AT4546" s="1856" t="str">
        <f t="shared" si="706"/>
        <v/>
      </c>
      <c r="AU4546" s="1856" t="str">
        <f t="shared" si="707"/>
        <v/>
      </c>
      <c r="AV4546" s="1856" t="str">
        <f t="shared" si="708"/>
        <v/>
      </c>
      <c r="AW4546" s="1856" t="str">
        <f t="shared" si="709"/>
        <v/>
      </c>
      <c r="AX4546" s="1856" t="str">
        <f t="shared" si="710"/>
        <v/>
      </c>
      <c r="AY4546" s="1856" t="str">
        <f t="shared" si="711"/>
        <v/>
      </c>
    </row>
    <row r="4547" spans="42:51">
      <c r="AP4547" s="1855">
        <f t="shared" si="712"/>
        <v>44957</v>
      </c>
      <c r="AQ4547" s="925" t="str">
        <f t="shared" si="714"/>
        <v/>
      </c>
      <c r="AR4547" s="1856" t="str">
        <f t="shared" si="713"/>
        <v/>
      </c>
      <c r="AT4547" s="1856" t="str">
        <f t="shared" si="706"/>
        <v/>
      </c>
      <c r="AU4547" s="1856" t="str">
        <f t="shared" si="707"/>
        <v/>
      </c>
      <c r="AV4547" s="1856" t="str">
        <f t="shared" si="708"/>
        <v/>
      </c>
      <c r="AW4547" s="1856" t="str">
        <f t="shared" si="709"/>
        <v/>
      </c>
      <c r="AX4547" s="1856" t="str">
        <f t="shared" si="710"/>
        <v/>
      </c>
      <c r="AY4547" s="1856" t="str">
        <f t="shared" si="711"/>
        <v/>
      </c>
    </row>
    <row r="4548" spans="42:51">
      <c r="AP4548" s="1855">
        <f t="shared" si="712"/>
        <v>44957</v>
      </c>
      <c r="AQ4548" s="925" t="str">
        <f t="shared" si="714"/>
        <v/>
      </c>
      <c r="AR4548" s="1856" t="str">
        <f t="shared" si="713"/>
        <v/>
      </c>
      <c r="AT4548" s="1856" t="str">
        <f t="shared" si="706"/>
        <v/>
      </c>
      <c r="AU4548" s="1856" t="str">
        <f t="shared" si="707"/>
        <v/>
      </c>
      <c r="AV4548" s="1856" t="str">
        <f t="shared" si="708"/>
        <v/>
      </c>
      <c r="AW4548" s="1856" t="str">
        <f t="shared" si="709"/>
        <v/>
      </c>
      <c r="AX4548" s="1856" t="str">
        <f t="shared" si="710"/>
        <v/>
      </c>
      <c r="AY4548" s="1856" t="str">
        <f t="shared" si="711"/>
        <v/>
      </c>
    </row>
    <row r="4549" spans="42:51">
      <c r="AP4549" s="1855">
        <f t="shared" si="712"/>
        <v>44957</v>
      </c>
      <c r="AQ4549" s="925" t="str">
        <f t="shared" si="714"/>
        <v/>
      </c>
      <c r="AR4549" s="1856" t="str">
        <f t="shared" si="713"/>
        <v/>
      </c>
      <c r="AT4549" s="1856" t="str">
        <f t="shared" si="706"/>
        <v/>
      </c>
      <c r="AU4549" s="1856" t="str">
        <f t="shared" si="707"/>
        <v/>
      </c>
      <c r="AV4549" s="1856" t="str">
        <f t="shared" si="708"/>
        <v/>
      </c>
      <c r="AW4549" s="1856" t="str">
        <f t="shared" si="709"/>
        <v/>
      </c>
      <c r="AX4549" s="1856" t="str">
        <f t="shared" si="710"/>
        <v/>
      </c>
      <c r="AY4549" s="1856" t="str">
        <f t="shared" si="711"/>
        <v/>
      </c>
    </row>
    <row r="4550" spans="42:51">
      <c r="AP4550" s="1855">
        <f t="shared" si="712"/>
        <v>44957</v>
      </c>
      <c r="AQ4550" s="925" t="str">
        <f t="shared" si="714"/>
        <v/>
      </c>
      <c r="AR4550" s="1856" t="str">
        <f t="shared" si="713"/>
        <v/>
      </c>
      <c r="AT4550" s="1856" t="str">
        <f t="shared" si="706"/>
        <v/>
      </c>
      <c r="AU4550" s="1856" t="str">
        <f t="shared" si="707"/>
        <v/>
      </c>
      <c r="AV4550" s="1856" t="str">
        <f t="shared" si="708"/>
        <v/>
      </c>
      <c r="AW4550" s="1856" t="str">
        <f t="shared" si="709"/>
        <v/>
      </c>
      <c r="AX4550" s="1856" t="str">
        <f t="shared" si="710"/>
        <v/>
      </c>
      <c r="AY4550" s="1856" t="str">
        <f t="shared" si="711"/>
        <v/>
      </c>
    </row>
    <row r="4551" spans="42:51">
      <c r="AP4551" s="1855">
        <f t="shared" si="712"/>
        <v>44957</v>
      </c>
      <c r="AQ4551" s="925" t="str">
        <f t="shared" si="714"/>
        <v/>
      </c>
      <c r="AR4551" s="1856" t="str">
        <f t="shared" si="713"/>
        <v/>
      </c>
      <c r="AT4551" s="1856" t="str">
        <f t="shared" si="706"/>
        <v/>
      </c>
      <c r="AU4551" s="1856" t="str">
        <f t="shared" si="707"/>
        <v/>
      </c>
      <c r="AV4551" s="1856" t="str">
        <f t="shared" si="708"/>
        <v/>
      </c>
      <c r="AW4551" s="1856" t="str">
        <f t="shared" si="709"/>
        <v/>
      </c>
      <c r="AX4551" s="1856" t="str">
        <f t="shared" si="710"/>
        <v/>
      </c>
      <c r="AY4551" s="1856" t="str">
        <f t="shared" si="711"/>
        <v/>
      </c>
    </row>
    <row r="4552" spans="42:51">
      <c r="AP4552" s="1855">
        <f t="shared" si="712"/>
        <v>44957</v>
      </c>
      <c r="AQ4552" s="925" t="str">
        <f t="shared" si="714"/>
        <v/>
      </c>
      <c r="AR4552" s="1856" t="str">
        <f t="shared" si="713"/>
        <v/>
      </c>
      <c r="AT4552" s="1856" t="str">
        <f t="shared" si="706"/>
        <v/>
      </c>
      <c r="AU4552" s="1856" t="str">
        <f t="shared" si="707"/>
        <v/>
      </c>
      <c r="AV4552" s="1856" t="str">
        <f t="shared" si="708"/>
        <v/>
      </c>
      <c r="AW4552" s="1856" t="str">
        <f t="shared" si="709"/>
        <v/>
      </c>
      <c r="AX4552" s="1856" t="str">
        <f t="shared" si="710"/>
        <v/>
      </c>
      <c r="AY4552" s="1856" t="str">
        <f t="shared" si="711"/>
        <v/>
      </c>
    </row>
    <row r="4553" spans="42:51">
      <c r="AP4553" s="1855">
        <f t="shared" si="712"/>
        <v>44957</v>
      </c>
      <c r="AQ4553" s="925" t="str">
        <f t="shared" si="714"/>
        <v/>
      </c>
      <c r="AR4553" s="1856" t="str">
        <f t="shared" si="713"/>
        <v/>
      </c>
      <c r="AT4553" s="1856" t="str">
        <f t="shared" si="706"/>
        <v/>
      </c>
      <c r="AU4553" s="1856" t="str">
        <f t="shared" si="707"/>
        <v/>
      </c>
      <c r="AV4553" s="1856" t="str">
        <f t="shared" si="708"/>
        <v/>
      </c>
      <c r="AW4553" s="1856" t="str">
        <f t="shared" si="709"/>
        <v/>
      </c>
      <c r="AX4553" s="1856" t="str">
        <f t="shared" si="710"/>
        <v/>
      </c>
      <c r="AY4553" s="1856" t="str">
        <f t="shared" si="711"/>
        <v/>
      </c>
    </row>
    <row r="4554" spans="42:51">
      <c r="AP4554" s="1855">
        <f t="shared" si="712"/>
        <v>44957</v>
      </c>
      <c r="AQ4554" s="925" t="str">
        <f t="shared" si="714"/>
        <v/>
      </c>
      <c r="AR4554" s="1856" t="str">
        <f t="shared" si="713"/>
        <v/>
      </c>
      <c r="AT4554" s="1856" t="str">
        <f t="shared" si="706"/>
        <v/>
      </c>
      <c r="AU4554" s="1856" t="str">
        <f t="shared" si="707"/>
        <v/>
      </c>
      <c r="AV4554" s="1856" t="str">
        <f t="shared" si="708"/>
        <v/>
      </c>
      <c r="AW4554" s="1856" t="str">
        <f t="shared" si="709"/>
        <v/>
      </c>
      <c r="AX4554" s="1856" t="str">
        <f t="shared" si="710"/>
        <v/>
      </c>
      <c r="AY4554" s="1856" t="str">
        <f t="shared" si="711"/>
        <v/>
      </c>
    </row>
    <row r="4555" spans="42:51">
      <c r="AP4555" s="1855">
        <f t="shared" si="712"/>
        <v>44957</v>
      </c>
      <c r="AQ4555" s="925" t="str">
        <f t="shared" si="714"/>
        <v/>
      </c>
      <c r="AR4555" s="1856" t="str">
        <f t="shared" si="713"/>
        <v/>
      </c>
      <c r="AT4555" s="1856" t="str">
        <f t="shared" si="706"/>
        <v/>
      </c>
      <c r="AU4555" s="1856" t="str">
        <f t="shared" si="707"/>
        <v/>
      </c>
      <c r="AV4555" s="1856" t="str">
        <f t="shared" si="708"/>
        <v/>
      </c>
      <c r="AW4555" s="1856" t="str">
        <f t="shared" si="709"/>
        <v/>
      </c>
      <c r="AX4555" s="1856" t="str">
        <f t="shared" si="710"/>
        <v/>
      </c>
      <c r="AY4555" s="1856" t="str">
        <f t="shared" si="711"/>
        <v/>
      </c>
    </row>
    <row r="4556" spans="42:51">
      <c r="AP4556" s="1855">
        <f t="shared" si="712"/>
        <v>44957</v>
      </c>
      <c r="AQ4556" s="925" t="str">
        <f t="shared" si="714"/>
        <v/>
      </c>
      <c r="AR4556" s="1856" t="str">
        <f t="shared" si="713"/>
        <v/>
      </c>
      <c r="AT4556" s="1856" t="str">
        <f t="shared" si="706"/>
        <v/>
      </c>
      <c r="AU4556" s="1856" t="str">
        <f t="shared" si="707"/>
        <v/>
      </c>
      <c r="AV4556" s="1856" t="str">
        <f t="shared" si="708"/>
        <v/>
      </c>
      <c r="AW4556" s="1856" t="str">
        <f t="shared" si="709"/>
        <v/>
      </c>
      <c r="AX4556" s="1856" t="str">
        <f t="shared" si="710"/>
        <v/>
      </c>
      <c r="AY4556" s="1856" t="str">
        <f t="shared" si="711"/>
        <v/>
      </c>
    </row>
    <row r="4557" spans="42:51">
      <c r="AP4557" s="1855">
        <f t="shared" si="712"/>
        <v>44957</v>
      </c>
      <c r="AQ4557" s="925" t="str">
        <f t="shared" si="714"/>
        <v/>
      </c>
      <c r="AR4557" s="1856" t="str">
        <f t="shared" si="713"/>
        <v/>
      </c>
      <c r="AT4557" s="1856" t="str">
        <f t="shared" si="706"/>
        <v/>
      </c>
      <c r="AU4557" s="1856" t="str">
        <f t="shared" si="707"/>
        <v/>
      </c>
      <c r="AV4557" s="1856" t="str">
        <f t="shared" si="708"/>
        <v/>
      </c>
      <c r="AW4557" s="1856" t="str">
        <f t="shared" si="709"/>
        <v/>
      </c>
      <c r="AX4557" s="1856" t="str">
        <f t="shared" si="710"/>
        <v/>
      </c>
      <c r="AY4557" s="1856" t="str">
        <f t="shared" si="711"/>
        <v/>
      </c>
    </row>
    <row r="4558" spans="42:51">
      <c r="AP4558" s="1855">
        <f t="shared" si="712"/>
        <v>44957</v>
      </c>
      <c r="AQ4558" s="925" t="str">
        <f t="shared" si="714"/>
        <v/>
      </c>
      <c r="AR4558" s="1856" t="str">
        <f t="shared" si="713"/>
        <v/>
      </c>
      <c r="AT4558" s="1856" t="str">
        <f t="shared" si="706"/>
        <v/>
      </c>
      <c r="AU4558" s="1856" t="str">
        <f t="shared" si="707"/>
        <v/>
      </c>
      <c r="AV4558" s="1856" t="str">
        <f t="shared" si="708"/>
        <v/>
      </c>
      <c r="AW4558" s="1856" t="str">
        <f t="shared" si="709"/>
        <v/>
      </c>
      <c r="AX4558" s="1856" t="str">
        <f t="shared" si="710"/>
        <v/>
      </c>
      <c r="AY4558" s="1856" t="str">
        <f t="shared" si="711"/>
        <v/>
      </c>
    </row>
    <row r="4559" spans="42:51">
      <c r="AP4559" s="1855">
        <f t="shared" si="712"/>
        <v>44957</v>
      </c>
      <c r="AQ4559" s="925" t="str">
        <f t="shared" si="714"/>
        <v/>
      </c>
      <c r="AR4559" s="1856" t="str">
        <f t="shared" si="713"/>
        <v/>
      </c>
      <c r="AT4559" s="1856" t="str">
        <f t="shared" si="706"/>
        <v/>
      </c>
      <c r="AU4559" s="1856" t="str">
        <f t="shared" si="707"/>
        <v/>
      </c>
      <c r="AV4559" s="1856" t="str">
        <f t="shared" si="708"/>
        <v/>
      </c>
      <c r="AW4559" s="1856" t="str">
        <f t="shared" si="709"/>
        <v/>
      </c>
      <c r="AX4559" s="1856" t="str">
        <f t="shared" si="710"/>
        <v/>
      </c>
      <c r="AY4559" s="1856" t="str">
        <f t="shared" si="711"/>
        <v/>
      </c>
    </row>
    <row r="4560" spans="42:51">
      <c r="AP4560" s="1855">
        <f t="shared" si="712"/>
        <v>44957</v>
      </c>
      <c r="AQ4560" s="925" t="str">
        <f t="shared" si="714"/>
        <v/>
      </c>
      <c r="AR4560" s="1856" t="str">
        <f t="shared" si="713"/>
        <v/>
      </c>
      <c r="AT4560" s="1856" t="str">
        <f t="shared" si="706"/>
        <v/>
      </c>
      <c r="AU4560" s="1856" t="str">
        <f t="shared" si="707"/>
        <v/>
      </c>
      <c r="AV4560" s="1856" t="str">
        <f t="shared" si="708"/>
        <v/>
      </c>
      <c r="AW4560" s="1856" t="str">
        <f t="shared" si="709"/>
        <v/>
      </c>
      <c r="AX4560" s="1856" t="str">
        <f t="shared" si="710"/>
        <v/>
      </c>
      <c r="AY4560" s="1856" t="str">
        <f t="shared" si="711"/>
        <v/>
      </c>
    </row>
    <row r="4561" spans="42:51">
      <c r="AP4561" s="1855">
        <f t="shared" si="712"/>
        <v>44957</v>
      </c>
      <c r="AQ4561" s="925" t="str">
        <f t="shared" si="714"/>
        <v/>
      </c>
      <c r="AR4561" s="1856" t="str">
        <f t="shared" si="713"/>
        <v/>
      </c>
      <c r="AT4561" s="1856" t="str">
        <f t="shared" si="706"/>
        <v/>
      </c>
      <c r="AU4561" s="1856" t="str">
        <f t="shared" si="707"/>
        <v/>
      </c>
      <c r="AV4561" s="1856" t="str">
        <f t="shared" si="708"/>
        <v/>
      </c>
      <c r="AW4561" s="1856" t="str">
        <f t="shared" si="709"/>
        <v/>
      </c>
      <c r="AX4561" s="1856" t="str">
        <f t="shared" si="710"/>
        <v/>
      </c>
      <c r="AY4561" s="1856" t="str">
        <f t="shared" si="711"/>
        <v/>
      </c>
    </row>
    <row r="4562" spans="42:51">
      <c r="AP4562" s="1855">
        <f t="shared" si="712"/>
        <v>44957</v>
      </c>
      <c r="AQ4562" s="925" t="str">
        <f t="shared" si="714"/>
        <v/>
      </c>
      <c r="AR4562" s="1856" t="str">
        <f t="shared" si="713"/>
        <v/>
      </c>
      <c r="AT4562" s="1856" t="str">
        <f t="shared" si="706"/>
        <v/>
      </c>
      <c r="AU4562" s="1856" t="str">
        <f t="shared" si="707"/>
        <v/>
      </c>
      <c r="AV4562" s="1856" t="str">
        <f t="shared" si="708"/>
        <v/>
      </c>
      <c r="AW4562" s="1856" t="str">
        <f t="shared" si="709"/>
        <v/>
      </c>
      <c r="AX4562" s="1856" t="str">
        <f t="shared" si="710"/>
        <v/>
      </c>
      <c r="AY4562" s="1856" t="str">
        <f t="shared" si="711"/>
        <v/>
      </c>
    </row>
    <row r="4563" spans="42:51">
      <c r="AP4563" s="1855">
        <f t="shared" si="712"/>
        <v>44957</v>
      </c>
      <c r="AQ4563" s="925" t="str">
        <f t="shared" si="714"/>
        <v/>
      </c>
      <c r="AR4563" s="1856" t="str">
        <f t="shared" si="713"/>
        <v/>
      </c>
      <c r="AT4563" s="1856" t="str">
        <f t="shared" si="706"/>
        <v/>
      </c>
      <c r="AU4563" s="1856" t="str">
        <f t="shared" si="707"/>
        <v/>
      </c>
      <c r="AV4563" s="1856" t="str">
        <f t="shared" si="708"/>
        <v/>
      </c>
      <c r="AW4563" s="1856" t="str">
        <f t="shared" si="709"/>
        <v/>
      </c>
      <c r="AX4563" s="1856" t="str">
        <f t="shared" si="710"/>
        <v/>
      </c>
      <c r="AY4563" s="1856" t="str">
        <f t="shared" si="711"/>
        <v/>
      </c>
    </row>
    <row r="4564" spans="42:51">
      <c r="AP4564" s="1855">
        <f t="shared" si="712"/>
        <v>44957</v>
      </c>
      <c r="AQ4564" s="925" t="str">
        <f t="shared" si="714"/>
        <v/>
      </c>
      <c r="AR4564" s="1856" t="str">
        <f t="shared" si="713"/>
        <v/>
      </c>
      <c r="AT4564" s="1856" t="str">
        <f t="shared" si="706"/>
        <v/>
      </c>
      <c r="AU4564" s="1856" t="str">
        <f t="shared" si="707"/>
        <v/>
      </c>
      <c r="AV4564" s="1856" t="str">
        <f t="shared" si="708"/>
        <v/>
      </c>
      <c r="AW4564" s="1856" t="str">
        <f t="shared" si="709"/>
        <v/>
      </c>
      <c r="AX4564" s="1856" t="str">
        <f t="shared" si="710"/>
        <v/>
      </c>
      <c r="AY4564" s="1856" t="str">
        <f t="shared" si="711"/>
        <v/>
      </c>
    </row>
    <row r="4565" spans="42:51">
      <c r="AP4565" s="1855">
        <f t="shared" si="712"/>
        <v>44957</v>
      </c>
      <c r="AQ4565" s="925" t="str">
        <f t="shared" si="714"/>
        <v/>
      </c>
      <c r="AR4565" s="1856" t="str">
        <f t="shared" si="713"/>
        <v/>
      </c>
      <c r="AT4565" s="1856" t="str">
        <f t="shared" si="706"/>
        <v/>
      </c>
      <c r="AU4565" s="1856" t="str">
        <f t="shared" si="707"/>
        <v/>
      </c>
      <c r="AV4565" s="1856" t="str">
        <f t="shared" si="708"/>
        <v/>
      </c>
      <c r="AW4565" s="1856" t="str">
        <f t="shared" si="709"/>
        <v/>
      </c>
      <c r="AX4565" s="1856" t="str">
        <f t="shared" si="710"/>
        <v/>
      </c>
      <c r="AY4565" s="1856" t="str">
        <f t="shared" si="711"/>
        <v/>
      </c>
    </row>
    <row r="4566" spans="42:51">
      <c r="AP4566" s="1855">
        <f t="shared" si="712"/>
        <v>44957</v>
      </c>
      <c r="AQ4566" s="925" t="str">
        <f t="shared" si="714"/>
        <v/>
      </c>
      <c r="AR4566" s="1856" t="str">
        <f t="shared" si="713"/>
        <v/>
      </c>
      <c r="AT4566" s="1856" t="str">
        <f t="shared" si="706"/>
        <v/>
      </c>
      <c r="AU4566" s="1856" t="str">
        <f t="shared" si="707"/>
        <v/>
      </c>
      <c r="AV4566" s="1856" t="str">
        <f t="shared" si="708"/>
        <v/>
      </c>
      <c r="AW4566" s="1856" t="str">
        <f t="shared" si="709"/>
        <v/>
      </c>
      <c r="AX4566" s="1856" t="str">
        <f t="shared" si="710"/>
        <v/>
      </c>
      <c r="AY4566" s="1856" t="str">
        <f t="shared" si="711"/>
        <v/>
      </c>
    </row>
    <row r="4567" spans="42:51">
      <c r="AP4567" s="1855">
        <f t="shared" si="712"/>
        <v>44957</v>
      </c>
      <c r="AQ4567" s="925" t="str">
        <f t="shared" si="714"/>
        <v/>
      </c>
      <c r="AR4567" s="1856" t="str">
        <f t="shared" si="713"/>
        <v/>
      </c>
      <c r="AT4567" s="1856" t="str">
        <f t="shared" si="706"/>
        <v/>
      </c>
      <c r="AU4567" s="1856" t="str">
        <f t="shared" si="707"/>
        <v/>
      </c>
      <c r="AV4567" s="1856" t="str">
        <f t="shared" si="708"/>
        <v/>
      </c>
      <c r="AW4567" s="1856" t="str">
        <f t="shared" si="709"/>
        <v/>
      </c>
      <c r="AX4567" s="1856" t="str">
        <f t="shared" si="710"/>
        <v/>
      </c>
      <c r="AY4567" s="1856" t="str">
        <f t="shared" si="711"/>
        <v/>
      </c>
    </row>
    <row r="4568" spans="42:51">
      <c r="AP4568" s="1855">
        <f t="shared" si="712"/>
        <v>44957</v>
      </c>
      <c r="AQ4568" s="925" t="str">
        <f t="shared" si="714"/>
        <v/>
      </c>
      <c r="AR4568" s="1856" t="str">
        <f t="shared" si="713"/>
        <v/>
      </c>
      <c r="AT4568" s="1856" t="str">
        <f t="shared" si="706"/>
        <v/>
      </c>
      <c r="AU4568" s="1856" t="str">
        <f t="shared" si="707"/>
        <v/>
      </c>
      <c r="AV4568" s="1856" t="str">
        <f t="shared" si="708"/>
        <v/>
      </c>
      <c r="AW4568" s="1856" t="str">
        <f t="shared" si="709"/>
        <v/>
      </c>
      <c r="AX4568" s="1856" t="str">
        <f t="shared" si="710"/>
        <v/>
      </c>
      <c r="AY4568" s="1856" t="str">
        <f t="shared" si="711"/>
        <v/>
      </c>
    </row>
    <row r="4569" spans="42:51">
      <c r="AP4569" s="1855">
        <f t="shared" si="712"/>
        <v>44957</v>
      </c>
      <c r="AQ4569" s="925" t="str">
        <f t="shared" si="714"/>
        <v/>
      </c>
      <c r="AR4569" s="1856" t="str">
        <f t="shared" si="713"/>
        <v/>
      </c>
      <c r="AT4569" s="1856" t="str">
        <f t="shared" si="706"/>
        <v/>
      </c>
      <c r="AU4569" s="1856" t="str">
        <f t="shared" si="707"/>
        <v/>
      </c>
      <c r="AV4569" s="1856" t="str">
        <f t="shared" si="708"/>
        <v/>
      </c>
      <c r="AW4569" s="1856" t="str">
        <f t="shared" si="709"/>
        <v/>
      </c>
      <c r="AX4569" s="1856" t="str">
        <f t="shared" si="710"/>
        <v/>
      </c>
      <c r="AY4569" s="1856" t="str">
        <f t="shared" si="711"/>
        <v/>
      </c>
    </row>
    <row r="4570" spans="42:51">
      <c r="AP4570" s="1855">
        <f t="shared" si="712"/>
        <v>44957</v>
      </c>
      <c r="AQ4570" s="925" t="str">
        <f t="shared" si="714"/>
        <v/>
      </c>
      <c r="AR4570" s="1856" t="str">
        <f t="shared" si="713"/>
        <v/>
      </c>
      <c r="AT4570" s="1856" t="str">
        <f t="shared" si="706"/>
        <v/>
      </c>
      <c r="AU4570" s="1856" t="str">
        <f t="shared" si="707"/>
        <v/>
      </c>
      <c r="AV4570" s="1856" t="str">
        <f t="shared" si="708"/>
        <v/>
      </c>
      <c r="AW4570" s="1856" t="str">
        <f t="shared" si="709"/>
        <v/>
      </c>
      <c r="AX4570" s="1856" t="str">
        <f t="shared" si="710"/>
        <v/>
      </c>
      <c r="AY4570" s="1856" t="str">
        <f t="shared" si="711"/>
        <v/>
      </c>
    </row>
    <row r="4571" spans="42:51">
      <c r="AP4571" s="1855">
        <f t="shared" si="712"/>
        <v>44957</v>
      </c>
      <c r="AQ4571" s="925" t="str">
        <f t="shared" si="714"/>
        <v/>
      </c>
      <c r="AR4571" s="1856" t="str">
        <f t="shared" si="713"/>
        <v/>
      </c>
      <c r="AT4571" s="1856" t="str">
        <f t="shared" si="706"/>
        <v/>
      </c>
      <c r="AU4571" s="1856" t="str">
        <f t="shared" si="707"/>
        <v/>
      </c>
      <c r="AV4571" s="1856" t="str">
        <f t="shared" si="708"/>
        <v/>
      </c>
      <c r="AW4571" s="1856" t="str">
        <f t="shared" si="709"/>
        <v/>
      </c>
      <c r="AX4571" s="1856" t="str">
        <f t="shared" si="710"/>
        <v/>
      </c>
      <c r="AY4571" s="1856" t="str">
        <f t="shared" si="711"/>
        <v/>
      </c>
    </row>
    <row r="4572" spans="42:51">
      <c r="AP4572" s="1855">
        <f t="shared" si="712"/>
        <v>44957</v>
      </c>
      <c r="AQ4572" s="925" t="str">
        <f t="shared" si="714"/>
        <v/>
      </c>
      <c r="AR4572" s="1856" t="str">
        <f t="shared" si="713"/>
        <v/>
      </c>
      <c r="AT4572" s="1856" t="str">
        <f t="shared" ref="AT4572:AT4574" si="715">IF(ISNUMBER(AS4572),INDEX(AR4573:AR4583,MATCH($AT$27,AQ4573:AQ4583,0)),"")</f>
        <v/>
      </c>
      <c r="AU4572" s="1856" t="str">
        <f t="shared" ref="AU4572:AU4574" si="716">IF(AT4572="","",INDEX(AR4573:AR4583,MATCH($AU$27,AQ4573:AQ4583,0)))</f>
        <v/>
      </c>
      <c r="AV4572" s="1856" t="str">
        <f t="shared" ref="AV4572:AV4574" si="717">IF(AT4572="","",INDEX(AR4573:AR4583,MATCH($AV$27,AQ4573:AQ4583,0)))</f>
        <v/>
      </c>
      <c r="AW4572" s="1856" t="str">
        <f t="shared" ref="AW4572:AW4574" si="718">IF(AT4572="","",INDEX(AR4573:AR4583,MATCH($AW$27,AQ4573:AQ4583,0)))</f>
        <v/>
      </c>
      <c r="AX4572" s="1856" t="str">
        <f t="shared" ref="AX4572:AX4574" si="719">IF(AT4572="","",INDEX(AR4573:AR4583,MATCH($AX$27,AQ4573:AQ4583,0)))</f>
        <v/>
      </c>
      <c r="AY4572" s="1856" t="str">
        <f t="shared" ref="AY4572:AY4574" si="720">IF(AT4572="","",INDEX(AR4573:AR4583,MATCH($AY$27,AQ4573:AQ4583,0)))</f>
        <v/>
      </c>
    </row>
    <row r="4573" spans="42:51">
      <c r="AP4573" s="1855">
        <f t="shared" si="712"/>
        <v>44957</v>
      </c>
      <c r="AQ4573" s="925" t="str">
        <f t="shared" si="714"/>
        <v/>
      </c>
      <c r="AR4573" s="1856" t="str">
        <f t="shared" si="713"/>
        <v/>
      </c>
      <c r="AT4573" s="1856" t="str">
        <f t="shared" si="715"/>
        <v/>
      </c>
      <c r="AU4573" s="1856" t="str">
        <f t="shared" si="716"/>
        <v/>
      </c>
      <c r="AV4573" s="1856" t="str">
        <f t="shared" si="717"/>
        <v/>
      </c>
      <c r="AW4573" s="1856" t="str">
        <f t="shared" si="718"/>
        <v/>
      </c>
      <c r="AX4573" s="1856" t="str">
        <f t="shared" si="719"/>
        <v/>
      </c>
      <c r="AY4573" s="1856" t="str">
        <f t="shared" si="720"/>
        <v/>
      </c>
    </row>
    <row r="4574" spans="42:51">
      <c r="AP4574" s="1855">
        <f t="shared" si="712"/>
        <v>44957</v>
      </c>
      <c r="AQ4574" s="925" t="str">
        <f t="shared" si="714"/>
        <v/>
      </c>
      <c r="AR4574" s="1856" t="str">
        <f t="shared" si="713"/>
        <v/>
      </c>
      <c r="AT4574" s="1856" t="str">
        <f t="shared" si="715"/>
        <v/>
      </c>
      <c r="AU4574" s="1856" t="str">
        <f t="shared" si="716"/>
        <v/>
      </c>
      <c r="AV4574" s="1856" t="str">
        <f t="shared" si="717"/>
        <v/>
      </c>
      <c r="AW4574" s="1856" t="str">
        <f t="shared" si="718"/>
        <v/>
      </c>
      <c r="AX4574" s="1856" t="str">
        <f t="shared" si="719"/>
        <v/>
      </c>
      <c r="AY4574" s="1856" t="str">
        <f t="shared" si="720"/>
        <v/>
      </c>
    </row>
  </sheetData>
  <sheetProtection algorithmName="SHA-512" hashValue="vbTfsQcdIlbT4PoS6YuXT3LqX6AxcPFCvJWeNXvEexyYsNn6cXmu8Qu7U6bzI6fki7Nh/qB+aEJ7r479P2GFEw==" saltValue="sDywkpaw/Wvx1z36MVZIqQ==" spinCount="100000" sheet="1" objects="1" scenarios="1" selectLockedCells="1"/>
  <mergeCells count="3">
    <mergeCell ref="L7:P7"/>
    <mergeCell ref="L8:M8"/>
    <mergeCell ref="N8:O8"/>
  </mergeCells>
  <conditionalFormatting sqref="A3:J369 B3:J373">
    <cfRule type="expression" dxfId="935" priority="13">
      <formula>ISEVEN(ROW())</formula>
    </cfRule>
  </conditionalFormatting>
  <conditionalFormatting sqref="A7:A373">
    <cfRule type="expression" dxfId="934" priority="7">
      <formula>ISEVEN(ROW())</formula>
    </cfRule>
  </conditionalFormatting>
  <conditionalFormatting sqref="A5:J6">
    <cfRule type="expression" dxfId="933" priority="6">
      <formula>ISEVEN(ROW())</formula>
    </cfRule>
  </conditionalFormatting>
  <conditionalFormatting sqref="A3:J4">
    <cfRule type="expression" dxfId="932" priority="5">
      <formula>ISEVEN(ROW())</formula>
    </cfRule>
  </conditionalFormatting>
  <conditionalFormatting sqref="J375:J381">
    <cfRule type="expression" dxfId="931" priority="1">
      <formula>ISEVEN(ROW())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AA564"/>
  <sheetViews>
    <sheetView topLeftCell="D1" workbookViewId="0">
      <pane ySplit="2" topLeftCell="A6" activePane="bottomLeft" state="frozen"/>
      <selection pane="bottomLeft" activeCell="C2" sqref="C2"/>
    </sheetView>
  </sheetViews>
  <sheetFormatPr defaultColWidth="9" defaultRowHeight="12.5"/>
  <cols>
    <col min="1" max="1" width="2" style="52" customWidth="1"/>
    <col min="2" max="2" width="28" style="52" customWidth="1"/>
    <col min="3" max="3" width="76" style="52" customWidth="1"/>
    <col min="4" max="4" width="2" style="48" customWidth="1"/>
    <col min="5" max="5" width="5.54296875" style="36" customWidth="1"/>
    <col min="6" max="7" width="4" style="36" customWidth="1"/>
    <col min="8" max="8" width="5.54296875" style="36" customWidth="1"/>
    <col min="9" max="11" width="4" style="37" customWidth="1"/>
    <col min="12" max="13" width="3.54296875" style="52" customWidth="1"/>
    <col min="14" max="14" width="15" style="52" customWidth="1"/>
    <col min="15" max="15" width="7.54296875" style="403" customWidth="1"/>
    <col min="16" max="22" width="7.54296875" style="52" customWidth="1"/>
    <col min="23" max="23" width="9" style="52"/>
    <col min="24" max="24" width="9.54296875" style="52" customWidth="1"/>
    <col min="25" max="16384" width="9" style="52"/>
  </cols>
  <sheetData>
    <row r="1" spans="2:24" ht="6" customHeight="1">
      <c r="B1" s="403"/>
      <c r="C1" s="403"/>
      <c r="L1" s="403"/>
      <c r="M1" s="403"/>
      <c r="N1" s="403"/>
      <c r="P1" s="403"/>
      <c r="Q1" s="403"/>
      <c r="R1" s="403"/>
      <c r="S1" s="403"/>
      <c r="T1" s="403"/>
      <c r="U1" s="403"/>
      <c r="V1" s="403"/>
      <c r="W1" s="403"/>
      <c r="X1" s="403"/>
    </row>
    <row r="2" spans="2:24" ht="25">
      <c r="B2" s="3" t="s">
        <v>2487</v>
      </c>
      <c r="C2" s="403"/>
      <c r="E2" s="3619" t="s">
        <v>2488</v>
      </c>
      <c r="F2" s="3619"/>
      <c r="G2" s="3619"/>
      <c r="H2" s="3617" t="s">
        <v>2489</v>
      </c>
      <c r="I2" s="3617"/>
      <c r="J2" s="3617"/>
      <c r="K2" s="3617"/>
      <c r="L2" s="403"/>
      <c r="M2" s="403"/>
      <c r="N2" s="403"/>
      <c r="O2" s="3615" t="s">
        <v>2490</v>
      </c>
      <c r="P2" s="3616"/>
      <c r="Q2" s="3620" t="s">
        <v>2491</v>
      </c>
      <c r="R2" s="3620"/>
      <c r="S2" s="3615" t="s">
        <v>2492</v>
      </c>
      <c r="T2" s="3616"/>
      <c r="U2" s="3615" t="s">
        <v>2493</v>
      </c>
      <c r="V2" s="3616"/>
      <c r="W2" s="403"/>
      <c r="X2" s="403"/>
    </row>
    <row r="3" spans="2:24" ht="7.5" customHeight="1" thickBot="1">
      <c r="B3" s="403"/>
      <c r="C3" s="403"/>
      <c r="L3" s="403"/>
      <c r="M3" s="403"/>
      <c r="N3" s="403"/>
      <c r="O3" s="1202"/>
      <c r="P3" s="1201"/>
      <c r="Q3" s="403"/>
      <c r="R3" s="403"/>
      <c r="S3" s="1202"/>
      <c r="T3" s="1201"/>
      <c r="U3" s="1202"/>
      <c r="V3" s="1201"/>
      <c r="W3" s="403"/>
      <c r="X3" s="403"/>
    </row>
    <row r="4" spans="2:24" ht="17.25" customHeight="1" thickBot="1">
      <c r="B4" s="19" t="s">
        <v>95</v>
      </c>
      <c r="C4" s="1525" t="s">
        <v>2494</v>
      </c>
      <c r="D4" s="49"/>
      <c r="E4" s="46"/>
      <c r="F4" s="47"/>
      <c r="G4" s="47"/>
      <c r="H4" s="47"/>
      <c r="I4" s="47"/>
      <c r="J4" s="47"/>
      <c r="K4" s="47"/>
      <c r="L4" s="45"/>
      <c r="M4" s="403"/>
      <c r="N4" s="1186"/>
      <c r="O4" s="1199"/>
      <c r="P4" s="1200"/>
      <c r="Q4" s="1202"/>
      <c r="R4" s="1201"/>
      <c r="S4" s="1200"/>
      <c r="T4" s="1200"/>
      <c r="U4" s="1202"/>
      <c r="V4" s="1201"/>
      <c r="W4" s="1200"/>
      <c r="X4" s="1281"/>
    </row>
    <row r="5" spans="2:24" ht="15.5">
      <c r="B5" s="20" t="s">
        <v>2495</v>
      </c>
      <c r="C5" s="21" t="s">
        <v>2496</v>
      </c>
      <c r="E5" s="36">
        <v>50</v>
      </c>
      <c r="H5" s="36">
        <v>25</v>
      </c>
      <c r="L5" s="403"/>
      <c r="M5" s="403"/>
      <c r="N5" s="1186"/>
      <c r="O5" s="1199"/>
      <c r="P5" s="1200"/>
      <c r="Q5" s="1202"/>
      <c r="R5" s="1201"/>
      <c r="S5" s="1200"/>
      <c r="T5" s="1200"/>
      <c r="U5" s="1202"/>
      <c r="V5" s="1201"/>
      <c r="W5" s="1200"/>
      <c r="X5" s="1200"/>
    </row>
    <row r="6" spans="2:24" ht="15.5">
      <c r="B6" s="20" t="s">
        <v>2497</v>
      </c>
      <c r="C6" s="21" t="s">
        <v>2498</v>
      </c>
      <c r="E6" s="36">
        <v>4</v>
      </c>
      <c r="H6" s="36">
        <v>1</v>
      </c>
      <c r="I6" s="36">
        <v>2</v>
      </c>
      <c r="J6" s="36">
        <v>3</v>
      </c>
      <c r="L6" s="403"/>
      <c r="M6" s="403"/>
      <c r="N6" s="1186"/>
      <c r="O6" s="1199"/>
      <c r="P6" s="1200"/>
      <c r="Q6" s="1202"/>
      <c r="R6" s="1201"/>
      <c r="S6" s="1200"/>
      <c r="T6" s="1200"/>
      <c r="U6" s="1202"/>
      <c r="V6" s="1201"/>
      <c r="W6" s="1200"/>
      <c r="X6" s="1200"/>
    </row>
    <row r="7" spans="2:24" ht="15.5">
      <c r="B7" s="20" t="s">
        <v>2499</v>
      </c>
      <c r="C7" s="21" t="s">
        <v>2500</v>
      </c>
      <c r="E7" s="36">
        <v>7</v>
      </c>
      <c r="F7" s="36">
        <v>9</v>
      </c>
      <c r="H7" s="36">
        <v>3</v>
      </c>
      <c r="I7" s="38">
        <v>5</v>
      </c>
      <c r="J7" s="38">
        <v>6</v>
      </c>
      <c r="K7" s="38">
        <v>8</v>
      </c>
      <c r="L7" s="403"/>
      <c r="M7" s="403"/>
      <c r="N7" s="403"/>
      <c r="O7" s="1202"/>
      <c r="P7" s="1200"/>
      <c r="Q7" s="1202"/>
      <c r="R7" s="1201"/>
      <c r="S7" s="1200"/>
      <c r="T7" s="1200"/>
      <c r="U7" s="1202"/>
      <c r="V7" s="1201"/>
      <c r="W7" s="1200"/>
      <c r="X7" s="1200"/>
    </row>
    <row r="8" spans="2:24" ht="15.5">
      <c r="B8" s="20" t="s">
        <v>2501</v>
      </c>
      <c r="C8" s="21" t="s">
        <v>2502</v>
      </c>
      <c r="E8" s="39">
        <v>0.75</v>
      </c>
      <c r="H8" s="36">
        <v>3</v>
      </c>
      <c r="L8" s="403"/>
      <c r="M8" s="403"/>
      <c r="N8" s="403"/>
      <c r="O8" s="1202"/>
      <c r="P8" s="1200"/>
      <c r="Q8" s="1202"/>
      <c r="R8" s="1201"/>
      <c r="S8" s="1200"/>
      <c r="T8" s="1200"/>
      <c r="U8" s="1202"/>
      <c r="V8" s="1201"/>
      <c r="W8" s="1200"/>
      <c r="X8" s="1200"/>
    </row>
    <row r="9" spans="2:24" ht="15.5">
      <c r="B9" s="20" t="s">
        <v>2503</v>
      </c>
      <c r="C9" s="21" t="s">
        <v>2504</v>
      </c>
      <c r="E9" s="36">
        <v>5</v>
      </c>
      <c r="H9" s="51">
        <v>10</v>
      </c>
      <c r="I9" s="51"/>
      <c r="L9" s="403"/>
      <c r="M9" s="403"/>
      <c r="N9" s="403"/>
      <c r="O9" s="1202"/>
      <c r="P9" s="1200"/>
      <c r="Q9" s="1202"/>
      <c r="R9" s="1201"/>
      <c r="S9" s="1200"/>
      <c r="T9" s="1200"/>
      <c r="U9" s="1202"/>
      <c r="V9" s="1201"/>
      <c r="W9" s="1200"/>
      <c r="X9" s="1200"/>
    </row>
    <row r="10" spans="2:24" ht="16" thickBot="1">
      <c r="B10" s="22" t="s">
        <v>2505</v>
      </c>
      <c r="C10" s="23" t="s">
        <v>2506</v>
      </c>
      <c r="E10" s="1921" t="s">
        <v>395</v>
      </c>
      <c r="H10" s="50" t="s">
        <v>2507</v>
      </c>
      <c r="L10" s="403"/>
      <c r="M10" s="403"/>
      <c r="N10" s="403"/>
      <c r="O10" s="1202"/>
      <c r="P10" s="1200"/>
      <c r="Q10" s="1202"/>
      <c r="R10" s="1201"/>
      <c r="S10" s="1200"/>
      <c r="T10" s="1200"/>
      <c r="U10" s="1202"/>
      <c r="V10" s="1201"/>
      <c r="W10" s="1200"/>
      <c r="X10" s="1200"/>
    </row>
    <row r="11" spans="2:24" ht="13" thickBot="1">
      <c r="B11" s="403"/>
      <c r="C11" s="403"/>
      <c r="L11" s="403"/>
      <c r="M11" s="403"/>
      <c r="N11" s="403"/>
      <c r="O11" s="1927" t="s">
        <v>2508</v>
      </c>
      <c r="P11" s="1928" t="s">
        <v>2509</v>
      </c>
      <c r="Q11" s="1927" t="s">
        <v>2508</v>
      </c>
      <c r="R11" s="1203" t="s">
        <v>2509</v>
      </c>
      <c r="S11" s="1928" t="s">
        <v>2508</v>
      </c>
      <c r="T11" s="1928" t="s">
        <v>2509</v>
      </c>
      <c r="U11" s="1927" t="s">
        <v>2508</v>
      </c>
      <c r="V11" s="1203" t="s">
        <v>2509</v>
      </c>
      <c r="W11" s="1200"/>
      <c r="X11" s="1200"/>
    </row>
    <row r="12" spans="2:24" ht="17.25" customHeight="1" thickBot="1">
      <c r="B12" s="4" t="s">
        <v>113</v>
      </c>
      <c r="C12" s="1526" t="s">
        <v>2494</v>
      </c>
      <c r="L12" s="403"/>
      <c r="M12" s="403"/>
      <c r="N12" s="1186" t="s">
        <v>2510</v>
      </c>
      <c r="O12" s="1237" t="str">
        <f>IF(OR(Worksheet!AG319&gt;($E$13-1),Worksheet!AK319&lt;$E$16,Worksheet!AP319&lt;$E$18,Worksheet!AU319="YES",AND(Worksheet!AC320="MDT",Worksheet!AE320&lt;30),AND(Worksheet!AC320="MDT-SVR",Worksheet!AE320&lt;30),AND(Worksheet!AC320="SVR",Worksheet!AE320&lt;30),AND(Worksheet!AM320="SVR",Worksheet!AO320&lt;30)),"R",IF(OR(Worksheet!AG319&gt;($H$13-1),Worksheet!AI319&gt;($H$13-1),Worksheet!AK319&lt;$H$16,Worksheet!AL319&lt;$H$16,Worksheet!AP319&lt;$H$18,Worksheet!AR319&lt;$H$18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Y</v>
      </c>
      <c r="P12" s="1238" t="str">
        <f>IF(OR(Worksheet!AG319&gt;($E$13-1),Worksheet!AK319&lt;$E$17,Worksheet!AP319&lt;$E$19,Worksheet!AU319="YES",AND(Worksheet!AC320="MDT",AY282&lt;30),AND(Worksheet!AC320="MDT-SVR",Worksheet!AE320&lt;30),AND(Worksheet!AC320="SVR",Worksheet!AE320&lt;30),AND(Worksheet!AM320="SVR",Worksheet!AO320&lt;30)),"R",IF(OR(Worksheet!AG319&gt;($H$13-1),Worksheet!AI319&gt;($H$13-1),Worksheet!AK319&lt;$H$17,Worksheet!AL319&lt;$H$17,Worksheet!AP319&lt;$H$19,Worksheet!AR319&lt;$H$19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Y</v>
      </c>
      <c r="Q12" s="1222" t="str">
        <f>IF(OR(Worksheet!BG319&gt;($E$13-1),Worksheet!BK319&lt;$E$16,Worksheet!BP319&lt;$E$18,Worksheet!BU319="YES",AND(Worksheet!BC320="MDT",Worksheet!BE320&lt;30),AND(Worksheet!BC320="MDT-SVR",Worksheet!BE320&lt;30),AND(Worksheet!BC320="SVR",Worksheet!BE320&lt;30),AND(Worksheet!BM320="SVR",Worksheet!BO320&lt;30)),"R",IF(OR(Worksheet!BG319&gt;($H$13-1),Worksheet!BI319&gt;($H$13-1),Worksheet!BK319&lt;$H$16,Worksheet!BL319&lt;$H$16,Worksheet!BP319&lt;$H$18,Worksheet!BR319&lt;$H$18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R</v>
      </c>
      <c r="R12" s="1223" t="str">
        <f>IF(OR(Worksheet!BG319&gt;($E$13-1),Worksheet!BK319&lt;$E$17,Worksheet!BP319&lt;$E$19,Worksheet!BU319="YES",AND(Worksheet!BC320="MDT",AY282&lt;30),AND(Worksheet!BC320="MDT-SVR",Worksheet!BE320&lt;30),AND(Worksheet!BC320="SVR",Worksheet!BE320&lt;30),AND(Worksheet!BM320="SVR",Worksheet!BO320&lt;30)),"R",IF(OR(Worksheet!BG319&gt;($H$13-1),Worksheet!BI319&gt;($H$13-1),Worksheet!BK319&lt;$H$17,Worksheet!BL319&lt;$H$17,Worksheet!BP319&lt;$H$19,Worksheet!BR319&lt;$H$19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R</v>
      </c>
      <c r="S12" s="1238" t="str">
        <f>IF(OR(Worksheet!CG319&gt;($E$13-1),Worksheet!CK319&lt;$E$16,Worksheet!CP319&lt;$E$18,Worksheet!CU319="YES",AND(Worksheet!CC320="MDT",Worksheet!CE320&lt;30),AND(Worksheet!CC320="MDT-SVR",Worksheet!CE320&lt;30),AND(Worksheet!CC320="SVR",Worksheet!CE320&lt;30),AND(Worksheet!CM320="SVR",Worksheet!CO320&lt;30)),"R",IF(OR(Worksheet!CG319&gt;($H$13-1),Worksheet!CI319&gt;($H$13-1),Worksheet!CK319&lt;$H$16,Worksheet!CL319&lt;$H$16,Worksheet!CP319&lt;$H$18,Worksheet!CR319&lt;$H$18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12" s="1238" t="str">
        <f>IF(OR(Worksheet!CG319&gt;($E$13-1),Worksheet!CK319&lt;$E$17,Worksheet!CP319&lt;$E$19,Worksheet!CU319="YES",AND(Worksheet!CC320="MDT",AY282&lt;30),AND(Worksheet!CC320="MDT-SVR",Worksheet!CE320&lt;30),AND(Worksheet!CC320="SVR",Worksheet!CE320&lt;30),AND(Worksheet!CM320="SVR",Worksheet!CO320&lt;30)),"R",IF(OR(Worksheet!CG319&gt;($H$13-1),Worksheet!CI319&gt;($H$13-1),Worksheet!CK319&lt;$H$17,Worksheet!CL319&lt;$H$17,Worksheet!CP319&lt;$H$19,Worksheet!CR319&lt;$H$19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U12" s="1222" t="str">
        <f>IF(OR(Worksheet!DG319&gt;($E$13-1),Worksheet!DK319&lt;$E$16,Worksheet!DP319&lt;$E$18,Worksheet!DU319="YES",AND(Worksheet!DC320="MDT",Worksheet!DE320&lt;30),AND(Worksheet!DC320="MDT-SVR",Worksheet!DE320&lt;30),AND(Worksheet!DC320="SVR",Worksheet!DE320&lt;30),AND(Worksheet!DM320="SVR",Worksheet!DO320&lt;30)),"R",IF(OR(Worksheet!DG319&gt;($H$13-1),Worksheet!DI319&gt;($H$13-1),Worksheet!DK319&lt;$H$16,Worksheet!DL319&lt;$H$16,Worksheet!DP319&lt;$H$18,Worksheet!DR319&lt;$H$18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12" s="1223" t="str">
        <f>IF(OR(Worksheet!DG319&gt;($E$13-1),Worksheet!DK319&lt;$E$17,Worksheet!DP319&lt;$E$19,Worksheet!DU319="YES",AND(Worksheet!DC320="MDT",AY282&lt;30),AND(Worksheet!DC320="MDT-SVR",Worksheet!DE320&lt;30),AND(Worksheet!DC320="SVR",Worksheet!DE320&lt;30),AND(Worksheet!DM320="SVR",Worksheet!DO320&lt;30)),"R",IF(OR(Worksheet!DG319&gt;($H$13-1),Worksheet!DI319&gt;($H$13-1),Worksheet!DK319&lt;$H$17,Worksheet!DL319&lt;$H$17,Worksheet!DP319&lt;$H$19,Worksheet!DR319&lt;$H$19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W12" s="1200"/>
      <c r="X12" s="1281"/>
    </row>
    <row r="13" spans="2:24" ht="15.5">
      <c r="B13" s="5" t="s">
        <v>2495</v>
      </c>
      <c r="C13" s="6" t="s">
        <v>2511</v>
      </c>
      <c r="E13" s="36">
        <v>45</v>
      </c>
      <c r="H13" s="36">
        <v>35</v>
      </c>
      <c r="L13" s="403"/>
      <c r="M13" s="403"/>
      <c r="N13" s="1186" t="s">
        <v>2512</v>
      </c>
      <c r="O13" s="1237" t="s">
        <v>2513</v>
      </c>
      <c r="P13" s="1238" t="s">
        <v>2513</v>
      </c>
      <c r="Q13" s="1222" t="s">
        <v>2513</v>
      </c>
      <c r="R13" s="1223" t="s">
        <v>2513</v>
      </c>
      <c r="S13" s="1238" t="s">
        <v>2513</v>
      </c>
      <c r="T13" s="1238" t="s">
        <v>2513</v>
      </c>
      <c r="U13" s="1222" t="s">
        <v>2513</v>
      </c>
      <c r="V13" s="1223" t="s">
        <v>2513</v>
      </c>
      <c r="W13" s="1200"/>
      <c r="X13" s="1200"/>
    </row>
    <row r="14" spans="2:24" ht="15.5">
      <c r="B14" s="5" t="s">
        <v>2497</v>
      </c>
      <c r="C14" s="6" t="s">
        <v>2498</v>
      </c>
      <c r="E14" s="36">
        <v>4</v>
      </c>
      <c r="H14" s="36">
        <v>1</v>
      </c>
      <c r="I14" s="36">
        <v>2</v>
      </c>
      <c r="J14" s="36">
        <v>3</v>
      </c>
      <c r="L14" s="403"/>
      <c r="M14" s="403"/>
      <c r="N14" s="1186" t="s">
        <v>2514</v>
      </c>
      <c r="O14" s="1239" t="str">
        <f t="shared" ref="O14:V14" si="0">IF(ISERROR(O13),O12,IF(OR(O12="R",O13="R"),"R",IF(OR(O12="Y",O13="Y"),"Y","G")))</f>
        <v>Y</v>
      </c>
      <c r="P14" s="1240" t="str">
        <f t="shared" si="0"/>
        <v>Y</v>
      </c>
      <c r="Q14" s="1224" t="str">
        <f t="shared" si="0"/>
        <v>R</v>
      </c>
      <c r="R14" s="1236" t="str">
        <f t="shared" si="0"/>
        <v>R</v>
      </c>
      <c r="S14" s="1239" t="str">
        <f t="shared" si="0"/>
        <v>R</v>
      </c>
      <c r="T14" s="1240" t="str">
        <f t="shared" si="0"/>
        <v>R</v>
      </c>
      <c r="U14" s="1224" t="str">
        <f t="shared" si="0"/>
        <v>R</v>
      </c>
      <c r="V14" s="1225" t="str">
        <f t="shared" si="0"/>
        <v>R</v>
      </c>
      <c r="W14" s="1200"/>
      <c r="X14" s="1200"/>
    </row>
    <row r="15" spans="2:24" ht="15.5">
      <c r="B15" s="5" t="s">
        <v>2499</v>
      </c>
      <c r="C15" s="6" t="s">
        <v>2500</v>
      </c>
      <c r="E15" s="36">
        <v>7</v>
      </c>
      <c r="F15" s="36">
        <v>9</v>
      </c>
      <c r="H15" s="36">
        <v>2</v>
      </c>
      <c r="I15" s="38">
        <v>3</v>
      </c>
      <c r="J15" s="38">
        <v>4</v>
      </c>
      <c r="K15" s="38">
        <v>5</v>
      </c>
      <c r="L15" s="38">
        <v>6</v>
      </c>
      <c r="M15" s="38">
        <v>8</v>
      </c>
      <c r="N15" s="403"/>
      <c r="O15" s="1202"/>
      <c r="P15" s="1200"/>
      <c r="Q15" s="1202"/>
      <c r="R15" s="1201"/>
      <c r="S15" s="1200"/>
      <c r="T15" s="1200"/>
      <c r="U15" s="1202"/>
      <c r="V15" s="1201"/>
      <c r="W15" s="1200"/>
      <c r="X15" s="1200"/>
    </row>
    <row r="16" spans="2:24" ht="15.5">
      <c r="B16" s="5" t="s">
        <v>2501</v>
      </c>
      <c r="C16" s="6" t="s">
        <v>2515</v>
      </c>
      <c r="E16" s="36">
        <v>2</v>
      </c>
      <c r="H16" s="36">
        <v>3</v>
      </c>
      <c r="L16" s="403"/>
      <c r="M16" s="403"/>
      <c r="N16" s="403"/>
      <c r="O16" s="1202"/>
      <c r="P16" s="1200"/>
      <c r="Q16" s="1202"/>
      <c r="R16" s="1201"/>
      <c r="S16" s="1200"/>
      <c r="T16" s="1200"/>
      <c r="U16" s="1202"/>
      <c r="V16" s="1201"/>
      <c r="W16" s="1200"/>
      <c r="X16" s="1200"/>
    </row>
    <row r="17" spans="2:27" ht="15.5">
      <c r="B17" s="5"/>
      <c r="C17" s="6" t="s">
        <v>2516</v>
      </c>
      <c r="E17" s="36">
        <v>3</v>
      </c>
      <c r="H17" s="36">
        <v>5</v>
      </c>
      <c r="L17" s="403"/>
      <c r="M17" s="403"/>
      <c r="N17" s="403"/>
      <c r="O17" s="1202"/>
      <c r="P17" s="1200"/>
      <c r="Q17" s="1202"/>
      <c r="R17" s="1201"/>
      <c r="S17" s="1200"/>
      <c r="T17" s="1200"/>
      <c r="U17" s="1202"/>
      <c r="V17" s="1201"/>
      <c r="W17" s="1200"/>
      <c r="X17" s="1200"/>
      <c r="Y17" s="403"/>
      <c r="Z17" s="403"/>
      <c r="AA17" s="403"/>
    </row>
    <row r="18" spans="2:27" ht="15.5">
      <c r="B18" s="5" t="s">
        <v>2503</v>
      </c>
      <c r="C18" s="6" t="s">
        <v>2517</v>
      </c>
      <c r="E18" s="36">
        <v>8</v>
      </c>
      <c r="H18" s="36">
        <v>15</v>
      </c>
      <c r="L18" s="403"/>
      <c r="M18" s="403"/>
      <c r="N18" s="403"/>
      <c r="O18" s="1202"/>
      <c r="P18" s="1200"/>
      <c r="Q18" s="1202"/>
      <c r="R18" s="1201"/>
      <c r="S18" s="1200"/>
      <c r="T18" s="1200"/>
      <c r="U18" s="1202"/>
      <c r="V18" s="1201"/>
      <c r="W18" s="1200"/>
      <c r="X18" s="1280"/>
      <c r="Y18" s="403"/>
      <c r="Z18" s="403"/>
      <c r="AA18" s="403"/>
    </row>
    <row r="19" spans="2:27" ht="15.5">
      <c r="B19" s="5"/>
      <c r="C19" s="6" t="s">
        <v>2518</v>
      </c>
      <c r="E19" s="36">
        <v>10</v>
      </c>
      <c r="H19" s="36">
        <v>30</v>
      </c>
      <c r="L19" s="403"/>
      <c r="M19" s="403"/>
      <c r="N19" s="403"/>
      <c r="O19" s="1202"/>
      <c r="P19" s="1200"/>
      <c r="Q19" s="1202"/>
      <c r="R19" s="1201"/>
      <c r="S19" s="1200"/>
      <c r="T19" s="1200"/>
      <c r="U19" s="1202"/>
      <c r="V19" s="1201"/>
      <c r="W19" s="1200"/>
      <c r="X19" s="1200"/>
      <c r="Y19" s="403"/>
      <c r="Z19" s="403"/>
      <c r="AA19" s="403"/>
    </row>
    <row r="20" spans="2:27" ht="16" thickBot="1">
      <c r="B20" s="7" t="s">
        <v>2505</v>
      </c>
      <c r="C20" s="8" t="s">
        <v>2519</v>
      </c>
      <c r="E20" s="1921" t="s">
        <v>395</v>
      </c>
      <c r="H20" s="36" t="s">
        <v>2507</v>
      </c>
      <c r="L20" s="403"/>
      <c r="M20" s="403"/>
      <c r="N20" s="403"/>
      <c r="O20" s="1202"/>
      <c r="P20" s="1200"/>
      <c r="Q20" s="1202"/>
      <c r="R20" s="1201"/>
      <c r="S20" s="1200"/>
      <c r="T20" s="1200"/>
      <c r="U20" s="1202"/>
      <c r="V20" s="1201"/>
      <c r="W20" s="1200"/>
      <c r="X20" s="1200"/>
      <c r="Y20" s="403"/>
      <c r="Z20" s="403"/>
      <c r="AA20" s="403"/>
    </row>
    <row r="21" spans="2:27" ht="16" thickBot="1">
      <c r="B21" s="32"/>
      <c r="C21" s="32"/>
      <c r="E21" s="382"/>
      <c r="F21" s="383"/>
      <c r="G21" s="1615" t="s">
        <v>2520</v>
      </c>
      <c r="H21" s="1614"/>
      <c r="I21" s="1616" t="s">
        <v>2520</v>
      </c>
      <c r="L21" s="403"/>
      <c r="M21" s="403"/>
      <c r="N21" s="403"/>
      <c r="O21" s="1202"/>
      <c r="P21" s="1617" t="s">
        <v>2520</v>
      </c>
      <c r="Q21" s="1202"/>
      <c r="R21" s="1618" t="s">
        <v>2520</v>
      </c>
      <c r="S21" s="1200"/>
      <c r="T21" s="1617" t="s">
        <v>2520</v>
      </c>
      <c r="U21" s="1202"/>
      <c r="V21" s="1618" t="s">
        <v>2520</v>
      </c>
      <c r="W21" s="1200"/>
      <c r="X21" s="1200"/>
      <c r="Y21" s="403"/>
      <c r="Z21" s="403"/>
      <c r="AA21" s="403"/>
    </row>
    <row r="22" spans="2:27" ht="17.25" customHeight="1" thickBot="1">
      <c r="B22" s="33" t="s">
        <v>86</v>
      </c>
      <c r="C22" s="1611" t="s">
        <v>2494</v>
      </c>
      <c r="L22" s="403"/>
      <c r="M22" s="403"/>
      <c r="N22" s="1186" t="s">
        <v>2510</v>
      </c>
      <c r="O22" s="1232" t="str">
        <f>IF(OR(Worksheet!AG319&gt;IF(MEF!AP14="Hoist",($F$23-1),($E$23-1)),AND(VALUE(Worksheet!AV290)&gt;MEF!$Z$11,Worksheet!AK319&lt;E26),AND(VALUE(Worksheet!AV290)&lt;MEF!$E$53,Worksheet!AK319&lt;$E$26),Worksheet!AK319&lt;$E$27,AND(VALUE(Worksheet!AV290)&gt;MEF!$Z$11,Worksheet!AP319&lt;$E$28),AND(VALUE(Worksheet!AV290)&lt;MEF!$E$53,Worksheet!AP319&lt;$E$28),Worksheet!AP319&lt;$E$29,Worksheet!AU319="YES",AND(Worksheet!AC320="MDT",Worksheet!AE320&lt;30),AND(Worksheet!AC320="MDT-SVR",Worksheet!AE320&lt;30),AND(Worksheet!AC320="SVR",Worksheet!AE320&lt;30),AND(Worksheet!AM320="SVR",Worksheet!AO320&lt;30)),"R",IF(OR(Worksheet!AG319&gt;($H$23-1),Worksheet!AI319&gt;($H$23-1),AND(VALUE(Worksheet!AV290)&gt;MEF!$Z$11,Worksheet!AK319&lt;$H$26),AND(VALUE(Worksheet!AV290)&lt;MEF!$E$53,Worksheet!AK319&lt;$H$26),AND(VALUE(Worksheet!AV290)&gt;MEF!$Z$11,Worksheet!AL319&lt;$H$26),AND(VALUE(Worksheet!AV290)&lt;MEF!$E$53,Worksheet!AL319&lt;$H$26),Worksheet!AK319&lt;$H$27,Worksheet!AL319&lt;$H$27,AND(VALUE(Worksheet!AV290)&gt;MEF!$Z$11,Worksheet!AP319&lt;$H$28),AND(VALUE(Worksheet!AV290)&lt;MEF!$E$53,Worksheet!AP319&lt;$H$28),AND(VALUE(Worksheet!AV290)&gt;MEF!$Z$11,Worksheet!AR319&lt;$H$28),AND(VALUE(Worksheet!AV290)&lt;MEF!$E$53,Worksheet!AR319&lt;$H$28),Worksheet!AP319&lt;$H$29,Worksheet!AR319&lt;$H$29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Y</v>
      </c>
      <c r="P22" s="1233" t="str">
        <f>IF(OR(Worksheet!AG319&gt;($E$23-1),AND(VALUE(Worksheet!AV290)&gt;MEF!$Z$11,Worksheet!AK319&lt;F26),AND(VALUE(Worksheet!AV290)&lt;MEF!$E$53,Worksheet!AK319&lt;$F$26),Worksheet!AK319&lt;$F$27,AND(VALUE(Worksheet!AV290)&gt;MEF!$Z$11,Worksheet!AP319&lt;$F$28),AND(VALUE(Worksheet!AV290)&lt;MEF!$E$53,Worksheet!AP319&lt;$F$28),Worksheet!AP319&lt;$F$29,Worksheet!AU319="YES",AND(Worksheet!AC320="MDT",Worksheet!AE320&lt;30),AND(Worksheet!AC320="MDT-SVR",Worksheet!AE320&lt;30),AND(Worksheet!AC320="SVR",Worksheet!AE320&lt;30),AND(Worksheet!AM320="SVR",Worksheet!AO320&lt;30)),"R",IF(OR(Worksheet!AG319&gt;($I$23-1),Worksheet!AI319&gt;($I$23-1),AND(VALUE(Worksheet!AV290)&gt;MEF!$Z$11,Worksheet!AK319&lt;$I$26),AND(VALUE(Worksheet!AV290)&lt;MEF!$E$53,Worksheet!AK319&lt;$I$26),AND(VALUE(Worksheet!AV290)&gt;MEF!$Z$11,Worksheet!AL319&lt;$I$26),AND(VALUE(Worksheet!AV290)&lt;MEF!$E$53,Worksheet!AL319&lt;$I$26),Worksheet!AK319&lt;$I$27,Worksheet!AL319&lt;$I$27,AND(VALUE(Worksheet!AV290)&gt;MEF!$Z$11,Worksheet!AP319&lt;$I$28),AND(VALUE(Worksheet!AV290)&lt;MEF!$E$53,Worksheet!AP319&lt;$I$28),AND(VALUE(Worksheet!AV290)&gt;MEF!$Z$11,Worksheet!AR319&lt;$I$28),AND(VALUE(Worksheet!AV290)&lt;MEF!$E$53,Worksheet!AR319&lt;$I$28),Worksheet!AP319&lt;$I$29,Worksheet!AR319&lt;$I$29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Y</v>
      </c>
      <c r="Q22" s="1228" t="str">
        <f>IF(OR(Worksheet!BG319&gt;IF(MEF!AP14="Hoist",($F$23-1),($E$23-1)),AND(VALUE(Worksheet!BV290)&gt;MEF!$Z$11,Worksheet!BK319&lt;E26),AND(VALUE(Worksheet!BV290)&lt;MEF!$E$53,Worksheet!BK319&lt;$E$26),Worksheet!BK319&lt;$E$27,AND(VALUE(Worksheet!BV290)&gt;MEF!$Z$11,Worksheet!BP319&lt;$E$28),AND(VALUE(Worksheet!BV290)&lt;MEF!$E$53,Worksheet!BP319&lt;$E$28),Worksheet!BP319&lt;$E$29,Worksheet!BU319="YES",AND(Worksheet!BC320="MDT",Worksheet!BE320&lt;30),AND(Worksheet!BC320="MDT-SVR",Worksheet!BE320&lt;30),AND(Worksheet!BC320="SVR",Worksheet!BE320&lt;30),AND(Worksheet!BM320="SVR",Worksheet!BO320&lt;30)),"R",IF(OR(Worksheet!BG319&gt;($H$23-1),Worksheet!BI319&gt;($H$23-1),AND(VALUE(Worksheet!BV290)&gt;MEF!$Z$11,Worksheet!BK319&lt;$H$26),AND(VALUE(Worksheet!BV290)&lt;MEF!$E$53,Worksheet!BK319&lt;$H$26),AND(VALUE(Worksheet!BV290)&gt;MEF!$Z$11,Worksheet!BL319&lt;$H$26),AND(VALUE(Worksheet!BV290)&lt;MEF!$E$53,Worksheet!BL319&lt;$H$26),Worksheet!BK319&lt;$H$27,Worksheet!BL319&lt;$H$27,AND(VALUE(Worksheet!BV290)&gt;MEF!$Z$11,Worksheet!BP319&lt;$H$28),AND(VALUE(Worksheet!BV290)&lt;MEF!$E$53,Worksheet!BP319&lt;$H$28),AND(VALUE(Worksheet!BV290)&gt;MEF!$Z$11,Worksheet!BR319&lt;$H$28),AND(VALUE(Worksheet!BV290)&lt;MEF!$E$53,Worksheet!BR319&lt;$H$28),Worksheet!BP319&lt;$H$29,Worksheet!BR319&lt;$H$29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R</v>
      </c>
      <c r="R22" s="1229" t="str">
        <f>IF(OR(Worksheet!BG319&gt;($E$23-1),AND(VALUE(Worksheet!BV290)&gt;MEF!$Z$11,Worksheet!BK319&lt;F26),AND(VALUE(Worksheet!BV290)&lt;MEF!$E$53,Worksheet!BK319&lt;$F$26),Worksheet!BK319&lt;$F$27,AND(VALUE(Worksheet!BV290)&gt;MEF!$Z$11,Worksheet!BP319&lt;$F$28),AND(VALUE(Worksheet!BV290)&lt;MEF!$E$53,Worksheet!BP319&lt;$F$28),Worksheet!BP319&lt;$F$29,Worksheet!BU319="YES",AND(Worksheet!BC320="MDT",Worksheet!BE320&lt;30),AND(Worksheet!BC320="MDT-SVR",Worksheet!BE320&lt;30),AND(Worksheet!BC320="SVR",Worksheet!BE320&lt;30),AND(Worksheet!BM320="SVR",Worksheet!BO320&lt;30)),"R",IF(OR(Worksheet!BG319&gt;($I$23-1),Worksheet!BI319&gt;($I$23-1),AND(VALUE(Worksheet!BV290)&gt;MEF!$Z$11,Worksheet!BK319&lt;$I$26),AND(VALUE(Worksheet!BV290)&lt;MEF!$E$53,Worksheet!BK319&lt;$I$26),AND(VALUE(Worksheet!BV290)&gt;MEF!$Z$11,Worksheet!BL319&lt;$I$26),AND(VALUE(Worksheet!BV290)&lt;MEF!$E$53,Worksheet!BL319&lt;$I$26),Worksheet!BK319&lt;$I$27,Worksheet!BL319&lt;$I$27,AND(VALUE(Worksheet!BV290)&gt;MEF!$Z$11,Worksheet!BP319&lt;$I$28),AND(VALUE(Worksheet!BV290)&lt;MEF!$E$53,Worksheet!BP319&lt;$I$28),AND(VALUE(Worksheet!BV290)&gt;MEF!$Z$11,Worksheet!BR319&lt;$I$28),AND(VALUE(Worksheet!BV290)&lt;MEF!$E$53,Worksheet!BR319&lt;$I$28),Worksheet!BP319&lt;$I$29,Worksheet!BR319&lt;$I$29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R</v>
      </c>
      <c r="S22" s="1233" t="str">
        <f>IF(OR(Worksheet!CG319&gt;IF(MEF!AP14="Hoist",($F$23-1),($E$23-1)),AND(VALUE(Worksheet!CV290)&gt;MEF!$Z$11,Worksheet!CK319&lt;E26),AND(VALUE(Worksheet!CV290)&lt;MEF!$E$53,Worksheet!CK319&lt;$E$26),Worksheet!CK319&lt;$E$27,AND(VALUE(Worksheet!CV290)&gt;MEF!$Z$11,Worksheet!CP319&lt;$E$28),AND(VALUE(Worksheet!CV290)&lt;MEF!$E$53,Worksheet!CP319&lt;$E$28),Worksheet!CP319&lt;$E$29,Worksheet!CU319="YES",AND(Worksheet!CC320="MDT",Worksheet!CE320&lt;30),AND(Worksheet!CC320="MDT-SVR",Worksheet!CE320&lt;30),AND(Worksheet!CC320="SVR",Worksheet!CE320&lt;30),AND(Worksheet!CM320="SVR",Worksheet!CO320&lt;30)),"R",IF(OR(Worksheet!CG319&gt;($H$23-1),Worksheet!CI319&gt;($H$23-1),AND(VALUE(Worksheet!CV290)&gt;MEF!$Z$11,Worksheet!CK319&lt;$H$26),AND(VALUE(Worksheet!CV290)&lt;MEF!$E$53,Worksheet!CK319&lt;$H$26),AND(VALUE(Worksheet!CV290)&gt;MEF!$Z$11,Worksheet!CL319&lt;$H$26),AND(VALUE(Worksheet!CV290)&lt;MEF!$E$53,Worksheet!CL319&lt;$H$26),Worksheet!CK319&lt;$H$27,Worksheet!CL319&lt;$H$27,AND(VALUE(Worksheet!CV290)&gt;MEF!$Z$11,Worksheet!CP319&lt;$H$28),AND(VALUE(Worksheet!CV290)&lt;MEF!$E$53,Worksheet!CP319&lt;$H$28),AND(VALUE(Worksheet!CV290)&gt;MEF!$Z$11,Worksheet!CR319&lt;$H$28),AND(VALUE(Worksheet!CV290)&lt;MEF!$E$53,Worksheet!CR319&lt;$H$28),Worksheet!CP319&lt;$H$29,Worksheet!CR319&lt;$H$29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22" s="1233" t="str">
        <f>IF(OR(Worksheet!CG319&gt;($E$23-1),AND(VALUE(Worksheet!CV290)&gt;MEF!$Z$11,Worksheet!CK319&lt;F26),AND(VALUE(Worksheet!CV290)&lt;MEF!$E$53,Worksheet!CK319&lt;$F$26),Worksheet!CK319&lt;$F$27,AND(VALUE(Worksheet!CV290)&gt;MEF!$Z$11,Worksheet!CP319&lt;$F$28),AND(VALUE(Worksheet!CV290)&lt;MEF!$E$53,Worksheet!CP319&lt;$F$28),Worksheet!CP319&lt;$F$29,Worksheet!CU319="YES",AND(Worksheet!CC320="MDT",Worksheet!CE320&lt;30),AND(Worksheet!CC320="MDT-SVR",Worksheet!CE320&lt;30),AND(Worksheet!CC320="SVR",Worksheet!CE320&lt;30),AND(Worksheet!CM320="SVR",Worksheet!CO320&lt;30)),"R",IF(OR(Worksheet!CG319&gt;($I$23-1),Worksheet!CI319&gt;($I$23-1),AND(VALUE(Worksheet!CV290)&gt;MEF!$Z$11,Worksheet!CK319&lt;$I$26),AND(VALUE(Worksheet!CV290)&lt;MEF!$E$53,Worksheet!CK319&lt;$I$26),AND(VALUE(Worksheet!CV290)&gt;MEF!$Z$11,Worksheet!CL319&lt;$I$26),AND(VALUE(Worksheet!CV290)&lt;MEF!$E$53,Worksheet!CL319&lt;$I$26),Worksheet!CK319&lt;$I$27,Worksheet!CL319&lt;$I$27,AND(VALUE(Worksheet!CV290)&gt;MEF!$Z$11,Worksheet!CP319&lt;$I$28),AND(VALUE(Worksheet!CV290)&lt;MEF!$E$53,Worksheet!CP319&lt;$I$28),AND(VALUE(Worksheet!CV290)&gt;MEF!$Z$11,Worksheet!CR319&lt;$I$28),AND(VALUE(Worksheet!CV290)&lt;MEF!$E$53,Worksheet!CR319&lt;$I$28),Worksheet!CP319&lt;$I$29,Worksheet!CR319&lt;$I$29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U22" s="1228" t="str">
        <f>IF(OR(Worksheet!DG319&gt;IF(MEF!AP14="Hoist",($F$23-1),($E$23-1)),AND(VALUE(Worksheet!DV290)&gt;MEF!$Z$11,Worksheet!DK319&lt;E26),AND(VALUE(Worksheet!DV290)&lt;MEF!$E$53,Worksheet!DK319&lt;$E$26),Worksheet!DK319&lt;$E$27,AND(VALUE(Worksheet!DV290)&gt;MEF!$Z$11,Worksheet!DP319&lt;$E$28),AND(VALUE(Worksheet!DV290)&lt;MEF!$E$53,Worksheet!DP319&lt;$E$28),Worksheet!DP319&lt;$E$29,Worksheet!DU319="YES",AND(Worksheet!DC320="MDT",Worksheet!DE320&lt;30),AND(Worksheet!DC320="MDT-SVR",Worksheet!DE320&lt;30),AND(Worksheet!DC320="SVR",Worksheet!DE320&lt;30),AND(Worksheet!DM320="SVR",Worksheet!DO320&lt;30)),"R",IF(OR(Worksheet!DG319&gt;($H$23-1),Worksheet!DI319&gt;($H$23-1),AND(VALUE(Worksheet!DV290)&gt;MEF!$Z$11,Worksheet!DK319&lt;$H$26),AND(VALUE(Worksheet!DV290)&lt;MEF!$E$53,Worksheet!DK319&lt;$H$26),AND(VALUE(Worksheet!DV290)&gt;MEF!$Z$11,Worksheet!DL319&lt;$H$26),AND(VALUE(Worksheet!DV290)&lt;MEF!$E$53,Worksheet!DL319&lt;$H$26),Worksheet!DK319&lt;$H$27,Worksheet!DL319&lt;$H$27,AND(VALUE(Worksheet!DV290)&gt;MEF!$Z$11,Worksheet!DP319&lt;$H$28),AND(VALUE(Worksheet!DV290)&lt;MEF!$E$53,Worksheet!DP319&lt;$H$28),AND(VALUE(Worksheet!DV290)&gt;MEF!$Z$11,Worksheet!DR319&lt;$H$28),AND(VALUE(Worksheet!DV290)&lt;MEF!$E$53,Worksheet!DR319&lt;$H$28),Worksheet!DP319&lt;$H$29,Worksheet!DR319&lt;$H$29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22" s="1229" t="str">
        <f>IF(OR(Worksheet!DG319&gt;($E$23-1),AND(VALUE(Worksheet!DV290)&gt;MEF!$Z$11,Worksheet!DK319&lt;F26),AND(VALUE(Worksheet!DV290)&lt;MEF!$E$53,Worksheet!DK319&lt;$F$26),Worksheet!DK319&lt;$F$27,AND(VALUE(Worksheet!DV290)&gt;MEF!$Z$11,Worksheet!DP319&lt;$F$28),AND(VALUE(Worksheet!DV290)&lt;MEF!$E$53,Worksheet!DP319&lt;$F$28),Worksheet!DP319&lt;$F$29,Worksheet!DU319="YES",AND(Worksheet!DC320="MDT",Worksheet!DE320&lt;30),AND(Worksheet!DC320="MDT-SVR",Worksheet!DE320&lt;30),AND(Worksheet!DC320="SVR",Worksheet!DE320&lt;30),AND(Worksheet!DM320="SVR",Worksheet!DO320&lt;30)),"R",IF(OR(Worksheet!DG319&gt;($I$23-1),Worksheet!DI319&gt;($I$23-1),AND(VALUE(Worksheet!DV290)&gt;MEF!$Z$11,Worksheet!DK319&lt;$I$26),AND(VALUE(Worksheet!DV290)&lt;MEF!$E$53,Worksheet!DK319&lt;$I$26),AND(VALUE(Worksheet!DV290)&gt;MEF!$Z$11,Worksheet!DL319&lt;$I$26),AND(VALUE(Worksheet!DV290)&lt;MEF!$E$53,Worksheet!DL319&lt;$I$26),Worksheet!DK319&lt;$I$27,Worksheet!DL319&lt;$I$27,AND(VALUE(Worksheet!DV290)&gt;MEF!$Z$11,Worksheet!DP319&lt;$I$28),AND(VALUE(Worksheet!DV290)&lt;MEF!$E$53,Worksheet!DP319&lt;$I$28),AND(VALUE(Worksheet!DV290)&gt;MEF!$Z$11,Worksheet!DR319&lt;$I$28),AND(VALUE(Worksheet!DV290)&lt;MEF!$E$53,Worksheet!DR319&lt;$I$28),Worksheet!DP319&lt;$I$29,Worksheet!DR319&lt;$I$29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W22" s="1200"/>
      <c r="X22" s="1281"/>
      <c r="Y22" s="1282"/>
      <c r="Z22" s="1282"/>
      <c r="AA22" s="1282"/>
    </row>
    <row r="23" spans="2:27" ht="18" customHeight="1">
      <c r="B23" s="34" t="s">
        <v>2495</v>
      </c>
      <c r="C23" s="1612" t="s">
        <v>2521</v>
      </c>
      <c r="E23" s="36">
        <v>45</v>
      </c>
      <c r="F23" s="36">
        <v>20</v>
      </c>
      <c r="H23" s="36">
        <v>15</v>
      </c>
      <c r="I23" s="36">
        <v>35</v>
      </c>
      <c r="L23" s="403"/>
      <c r="M23" s="403"/>
      <c r="N23" s="1186" t="s">
        <v>2512</v>
      </c>
      <c r="O23" s="1232" t="str">
        <f>IF(OR(INDEX(calc!U8:U20,MATCH(HOUR(Worksheet!AT291),calc!A8:A20,0))&gt;$H$30,INDEX(calc!U8:U20,MATCH(HOUR(Worksheet!AT291),calc!A8:A20,0))&lt;$I$30),"Y","G")</f>
        <v>Y</v>
      </c>
      <c r="P23" s="1233" t="str">
        <f>IF(OR(INDEX(calc!U8:U20,MATCH(HOUR(Worksheet!AT291),calc!A8:A20,0))&gt;$J$30,INDEX(calc!U8:U20,MATCH(HOUR(Worksheet!AT291),calc!A8:A20,0))&lt;$I$30,INDEX(calc!CJ8:CJ20,MATCH(HOUR(Worksheet!AT291),calc!A8:A20,0))&lt;$H$31,INDEX(calc!CE8:CE20,MATCH(HOUR(Worksheet!AT291),calc!A8:A20,0))&lt;$I$31),"Y","G")</f>
        <v>Y</v>
      </c>
      <c r="Q23" s="1228" t="e">
        <f>IF(OR(INDEX(calc!U8:U20,MATCH(HOUR(Worksheet!BT291),calc!A8:A20,0))&gt;$H$30,INDEX(calc!U8:U20,MATCH(HOUR(Worksheet!BT291),calc!A8:A20,0))&lt;$I$30),"Y","G")</f>
        <v>#N/A</v>
      </c>
      <c r="R23" s="1229" t="e">
        <f>IF(OR(INDEX(calc!U8:U20,MATCH(HOUR(Worksheet!BT291),calc!A8:A20,0))&gt;$J$30,INDEX(calc!U8:U20,MATCH(HOUR(Worksheet!BT291),calc!A8:A20,0))&lt;$I$30,INDEX(calc!CJ8:CJ20,MATCH(HOUR(Worksheet!BT291),calc!A8:A20,0))&lt;$H$31,INDEX(calc!CE8:CE20,MATCH(HOUR(Worksheet!BT291),calc!A8:A20,0))&lt;$I$31),"Y","G")</f>
        <v>#N/A</v>
      </c>
      <c r="S23" s="1233" t="e">
        <f>IF(OR(INDEX(calc!U8:U20,MATCH(HOUR(Worksheet!CT291),calc!A8:A20,0))&gt;$H$30,INDEX(calc!U8:U20,MATCH(HOUR(Worksheet!CT291),calc!A8:A20,0))&lt;$I$30),"Y","G")</f>
        <v>#N/A</v>
      </c>
      <c r="T23" s="1233" t="e">
        <f>IF(OR(INDEX(calc!U8:U20,MATCH(HOUR(Worksheet!CT291),calc!A8:A20,0))&gt;$J$30,INDEX(calc!U8:U20,MATCH(HOUR(Worksheet!CT291),calc!A8:A20,0))&lt;$I$30,INDEX(calc!CJ8:CJ20,MATCH(HOUR(Worksheet!CT291),calc!A8:A20,0))&lt;$H$31,INDEX(calc!CE8:CE20,MATCH(HOUR(Worksheet!CT291),calc!A8:A20,0))&lt;$I$31),"Y","G")</f>
        <v>#N/A</v>
      </c>
      <c r="U23" s="1228" t="e">
        <f>IF(OR(INDEX(calc!U8:U20,MATCH(HOUR(Worksheet!DT291),calc!A8:A20,0))&gt;$H$30,INDEX(calc!U8:U20,MATCH(HOUR(Worksheet!DT291),calc!A8:A20,0))&lt;$I$30),"Y","G")</f>
        <v>#N/A</v>
      </c>
      <c r="V23" s="1229" t="e">
        <f>IF(OR(INDEX(calc!U8:U20,MATCH(HOUR(Worksheet!DT291),calc!A8:A20,0))&gt;$J$30,INDEX(calc!U8:U20,MATCH(HOUR(Worksheet!DT291),calc!A8:A20,0))&lt;$I$30,INDEX(calc!CJ8:CJ20,MATCH(HOUR(Worksheet!DT291),calc!A8:A20,0))&lt;$H$31,INDEX(calc!CE8:CE20,MATCH(HOUR(Worksheet!DT291),calc!A8:A20,0))&lt;$I$31),"Y","G")</f>
        <v>#N/A</v>
      </c>
      <c r="W23" s="1200"/>
      <c r="X23" s="1200"/>
      <c r="Y23" s="403"/>
      <c r="Z23" s="403"/>
      <c r="AA23" s="403"/>
    </row>
    <row r="24" spans="2:27" ht="18" customHeight="1">
      <c r="B24" s="34" t="s">
        <v>2497</v>
      </c>
      <c r="C24" s="1612" t="s">
        <v>2498</v>
      </c>
      <c r="E24" s="36">
        <v>4</v>
      </c>
      <c r="H24" s="36">
        <v>1</v>
      </c>
      <c r="I24" s="36">
        <v>2</v>
      </c>
      <c r="J24" s="36">
        <v>3</v>
      </c>
      <c r="L24" s="403"/>
      <c r="M24" s="403"/>
      <c r="N24" s="1186" t="s">
        <v>2514</v>
      </c>
      <c r="O24" s="1234" t="str">
        <f t="shared" ref="O24:V24" si="1">IF(ISERROR(O23),O22,IF(OR(O22="R",O23="R"),"R",IF(OR(O22="Y",O23="Y"),"Y","G")))</f>
        <v>Y</v>
      </c>
      <c r="P24" s="1235" t="str">
        <f t="shared" si="1"/>
        <v>Y</v>
      </c>
      <c r="Q24" s="1230" t="str">
        <f t="shared" si="1"/>
        <v>R</v>
      </c>
      <c r="R24" s="1231" t="str">
        <f t="shared" si="1"/>
        <v>R</v>
      </c>
      <c r="S24" s="1234" t="str">
        <f t="shared" si="1"/>
        <v>R</v>
      </c>
      <c r="T24" s="1235" t="str">
        <f t="shared" si="1"/>
        <v>R</v>
      </c>
      <c r="U24" s="1230" t="str">
        <f t="shared" si="1"/>
        <v>R</v>
      </c>
      <c r="V24" s="1231" t="str">
        <f t="shared" si="1"/>
        <v>R</v>
      </c>
      <c r="W24" s="1200"/>
      <c r="X24" s="1200"/>
      <c r="Y24" s="403"/>
      <c r="Z24" s="403"/>
      <c r="AA24" s="403"/>
    </row>
    <row r="25" spans="2:27" ht="18" customHeight="1">
      <c r="B25" s="34" t="s">
        <v>2499</v>
      </c>
      <c r="C25" s="1612" t="s">
        <v>2500</v>
      </c>
      <c r="E25" s="36">
        <v>7</v>
      </c>
      <c r="F25" s="36">
        <v>9</v>
      </c>
      <c r="H25" s="36">
        <v>2</v>
      </c>
      <c r="I25" s="38">
        <v>3</v>
      </c>
      <c r="J25" s="38">
        <v>4</v>
      </c>
      <c r="K25" s="38">
        <v>5</v>
      </c>
      <c r="L25" s="38">
        <v>6</v>
      </c>
      <c r="M25" s="38">
        <v>8</v>
      </c>
      <c r="N25" s="403"/>
      <c r="O25" s="1202"/>
      <c r="P25" s="1200"/>
      <c r="Q25" s="1202"/>
      <c r="R25" s="1201"/>
      <c r="S25" s="1200"/>
      <c r="T25" s="1200"/>
      <c r="U25" s="1202"/>
      <c r="V25" s="1201"/>
      <c r="W25" s="1200"/>
      <c r="X25" s="1200"/>
      <c r="Y25" s="403"/>
      <c r="Z25" s="403"/>
      <c r="AA25" s="403"/>
    </row>
    <row r="26" spans="2:27" ht="18" customHeight="1">
      <c r="B26" s="34" t="s">
        <v>2501</v>
      </c>
      <c r="C26" s="1612" t="s">
        <v>2522</v>
      </c>
      <c r="E26" s="36">
        <v>3</v>
      </c>
      <c r="F26" s="36">
        <v>2</v>
      </c>
      <c r="H26" s="36">
        <v>5</v>
      </c>
      <c r="I26" s="36">
        <v>3</v>
      </c>
      <c r="L26" s="403"/>
      <c r="M26" s="403"/>
      <c r="N26" s="403"/>
      <c r="O26" s="1202"/>
      <c r="P26" s="1200"/>
      <c r="Q26" s="1202"/>
      <c r="R26" s="1201"/>
      <c r="S26" s="1200"/>
      <c r="T26" s="1200"/>
      <c r="U26" s="1202"/>
      <c r="V26" s="1201"/>
      <c r="W26" s="1200"/>
      <c r="X26" s="1200"/>
      <c r="Y26" s="403"/>
      <c r="Z26" s="403"/>
      <c r="AA26" s="403"/>
    </row>
    <row r="27" spans="2:27" ht="18" customHeight="1">
      <c r="B27" s="34"/>
      <c r="C27" s="1612" t="s">
        <v>2523</v>
      </c>
      <c r="E27" s="36">
        <v>2</v>
      </c>
      <c r="F27" s="36">
        <v>1</v>
      </c>
      <c r="H27" s="36">
        <v>3</v>
      </c>
      <c r="I27" s="36">
        <v>2</v>
      </c>
      <c r="L27" s="403"/>
      <c r="M27" s="403"/>
      <c r="N27" s="403"/>
      <c r="O27" s="1202"/>
      <c r="P27" s="1200"/>
      <c r="Q27" s="1202"/>
      <c r="R27" s="1201"/>
      <c r="S27" s="1200"/>
      <c r="T27" s="1200"/>
      <c r="U27" s="1202"/>
      <c r="V27" s="1201"/>
      <c r="W27" s="1200"/>
      <c r="X27" s="1200"/>
      <c r="Y27" s="403"/>
      <c r="Z27" s="403"/>
      <c r="AA27" s="403"/>
    </row>
    <row r="28" spans="2:27" ht="18" customHeight="1">
      <c r="B28" s="34" t="s">
        <v>2503</v>
      </c>
      <c r="C28" s="1612" t="s">
        <v>2524</v>
      </c>
      <c r="E28" s="36">
        <v>10</v>
      </c>
      <c r="F28" s="36">
        <v>7</v>
      </c>
      <c r="H28" s="36">
        <v>30</v>
      </c>
      <c r="I28" s="36">
        <v>10</v>
      </c>
      <c r="L28" s="403"/>
      <c r="M28" s="403"/>
      <c r="N28" s="403"/>
      <c r="O28" s="1202"/>
      <c r="P28" s="1200"/>
      <c r="Q28" s="1202"/>
      <c r="R28" s="1201"/>
      <c r="S28" s="1200"/>
      <c r="T28" s="1200"/>
      <c r="U28" s="1202"/>
      <c r="V28" s="1201"/>
      <c r="W28" s="1200"/>
      <c r="X28" s="1200"/>
      <c r="Y28" s="403"/>
      <c r="Z28" s="403"/>
      <c r="AA28" s="403"/>
    </row>
    <row r="29" spans="2:27" ht="18" customHeight="1">
      <c r="B29" s="34"/>
      <c r="C29" s="1612" t="s">
        <v>2525</v>
      </c>
      <c r="E29" s="36">
        <v>8</v>
      </c>
      <c r="F29" s="36">
        <v>5</v>
      </c>
      <c r="H29" s="36">
        <v>15</v>
      </c>
      <c r="I29" s="36">
        <v>7</v>
      </c>
      <c r="L29" s="403"/>
      <c r="M29" s="403"/>
      <c r="N29" s="403"/>
      <c r="O29" s="1202"/>
      <c r="P29" s="1200"/>
      <c r="Q29" s="1202"/>
      <c r="R29" s="1201"/>
      <c r="S29" s="1200"/>
      <c r="T29" s="1200"/>
      <c r="U29" s="1202"/>
      <c r="V29" s="1201"/>
      <c r="W29" s="1200"/>
      <c r="X29" s="1200"/>
      <c r="Y29" s="403"/>
      <c r="Z29" s="403"/>
      <c r="AA29" s="403"/>
    </row>
    <row r="30" spans="2:27" ht="18" customHeight="1">
      <c r="B30" s="34" t="s">
        <v>2526</v>
      </c>
      <c r="C30" s="1612" t="s">
        <v>2527</v>
      </c>
      <c r="H30" s="36">
        <v>90</v>
      </c>
      <c r="I30" s="36">
        <f>0-29</f>
        <v>-29</v>
      </c>
      <c r="J30" s="36">
        <v>95</v>
      </c>
      <c r="L30" s="403"/>
      <c r="M30" s="403"/>
      <c r="N30" s="403"/>
      <c r="O30" s="1202"/>
      <c r="P30" s="1200"/>
      <c r="Q30" s="1202"/>
      <c r="R30" s="1201"/>
      <c r="S30" s="1200"/>
      <c r="T30" s="1200"/>
      <c r="U30" s="1202"/>
      <c r="V30" s="1201"/>
      <c r="W30" s="1200"/>
      <c r="X30" s="1200"/>
      <c r="Y30" s="403"/>
      <c r="Z30" s="403"/>
      <c r="AA30" s="403"/>
    </row>
    <row r="31" spans="2:27" s="403" customFormat="1" ht="18" customHeight="1">
      <c r="B31" s="34" t="s">
        <v>2528</v>
      </c>
      <c r="C31" s="1612" t="s">
        <v>2529</v>
      </c>
      <c r="D31" s="48"/>
      <c r="E31" s="36"/>
      <c r="F31" s="36"/>
      <c r="G31" s="36"/>
      <c r="H31" s="36">
        <v>25</v>
      </c>
      <c r="I31" s="36">
        <v>30</v>
      </c>
      <c r="J31" s="36"/>
      <c r="K31" s="37"/>
      <c r="O31" s="1202"/>
      <c r="P31" s="1200"/>
      <c r="Q31" s="1202"/>
      <c r="R31" s="1201"/>
      <c r="S31" s="1200"/>
      <c r="T31" s="1200"/>
      <c r="U31" s="1202"/>
      <c r="V31" s="1201"/>
      <c r="W31" s="1200"/>
      <c r="X31" s="1200"/>
    </row>
    <row r="32" spans="2:27" ht="18" customHeight="1" thickBot="1">
      <c r="B32" s="35" t="s">
        <v>2505</v>
      </c>
      <c r="C32" s="1613" t="s">
        <v>2519</v>
      </c>
      <c r="E32" s="1921" t="s">
        <v>395</v>
      </c>
      <c r="H32" s="1921" t="s">
        <v>2507</v>
      </c>
      <c r="L32" s="403"/>
      <c r="M32" s="403"/>
      <c r="N32" s="403"/>
      <c r="O32" s="1202"/>
      <c r="P32" s="1200"/>
      <c r="Q32" s="1202"/>
      <c r="R32" s="1201"/>
      <c r="S32" s="1200"/>
      <c r="T32" s="1200"/>
      <c r="U32" s="1202"/>
      <c r="V32" s="1201"/>
      <c r="W32" s="1200"/>
      <c r="X32" s="1200"/>
      <c r="Y32" s="403"/>
      <c r="Z32" s="403"/>
      <c r="AA32" s="403"/>
    </row>
    <row r="33" spans="2:24" ht="13" thickBot="1">
      <c r="B33" s="403"/>
      <c r="C33" s="403"/>
      <c r="E33" s="382" t="s">
        <v>2488</v>
      </c>
      <c r="F33" s="383"/>
      <c r="G33" s="383"/>
      <c r="H33" s="384" t="s">
        <v>2489</v>
      </c>
      <c r="L33" s="403"/>
      <c r="M33" s="403"/>
      <c r="N33" s="403"/>
      <c r="O33" s="1202"/>
      <c r="P33" s="1200"/>
      <c r="Q33" s="1202"/>
      <c r="R33" s="1201"/>
      <c r="S33" s="1200"/>
      <c r="T33" s="1200"/>
      <c r="U33" s="1202"/>
      <c r="V33" s="1201"/>
      <c r="W33" s="1200"/>
      <c r="X33" s="1200"/>
    </row>
    <row r="34" spans="2:24" ht="17.25" customHeight="1" thickBot="1">
      <c r="B34" s="9" t="s">
        <v>121</v>
      </c>
      <c r="C34" s="1527" t="s">
        <v>2530</v>
      </c>
      <c r="L34" s="403"/>
      <c r="M34" s="403"/>
      <c r="N34" s="1186" t="s">
        <v>2510</v>
      </c>
      <c r="O34" s="1204" t="str">
        <f>IF(OR(Worksheet!AF319&gt;($F$35-1),Worksheet!AG319&gt;($E$35-1),Worksheet!AK319&lt;$E$38,Worksheet!AM319="PR",Worksheet!AP319&lt;$E$39,Worksheet!AU319="YES",Worksheet!AC320&lt;&gt;"",Worksheet!AM320="LGT-MDT",Worksheet!AM320="MDT",Worksheet!AM320="MDT-SVR",Worksheet!AM320="SVR"),"R",IF(OR(Worksheet!AF319&gt;($I$35-1),Worksheet!AG319&gt;($H$35-1),Worksheet!AH319&gt;($I$35-1),Worksheet!AI319&gt;($H$35-1),Worksheet!AK319&lt;$H$38,Worksheet!AL319&lt;$H$38,Worksheet!AM319&lt;&gt;"",Worksheet!AN319&lt;&gt;"",Worksheet!AP319&lt;$H$39,Worksheet!AR319&lt;$H$39,Worksheet!AU319="ISOLD",Worksheet!AW319&lt;&gt;"",Worksheet!AG320&lt;&gt;"",Worksheet!AM320&lt;&gt;"",Worksheet!AQ320&lt;&gt;"",Worksheet!AW320="LLWS",Worksheet!AY320="LLWS"),"Y","G"))</f>
        <v>Y</v>
      </c>
      <c r="P34" s="1205"/>
      <c r="Q34" s="1212" t="str">
        <f>IF(OR(Worksheet!BF319&gt;($F$35-1),Worksheet!BG319&gt;($E$35-1),Worksheet!BK319&lt;$E$38,Worksheet!BM319="PR",Worksheet!BP319&lt;$E$39,Worksheet!BU319="YES",Worksheet!BC320&lt;&gt;"",Worksheet!BM320="LGT-MDT",Worksheet!BM320="MDT",Worksheet!BM320="MDT-SVR",Worksheet!BM320="SVR"),"R",IF(OR(Worksheet!BF319&gt;($I$35-1),Worksheet!BG319&gt;($H$35-1),Worksheet!BH319&gt;($I$35-1),Worksheet!BI319&gt;($H$35-1),Worksheet!BK319&lt;$H$38,Worksheet!BL319&lt;$H$38,Worksheet!BM319&lt;&gt;"",Worksheet!BN319&lt;&gt;"",Worksheet!BP319&lt;$H$39,Worksheet!BR319&lt;$H$39,Worksheet!BU319="ISOLD",Worksheet!BW319&lt;&gt;"",Worksheet!BG320&lt;&gt;"",Worksheet!BM320&lt;&gt;"",Worksheet!BQ320&lt;&gt;"",Worksheet!BW320="LLWS",Worksheet!BY320="LLWS"),"Y","G"))</f>
        <v>R</v>
      </c>
      <c r="R34" s="1213"/>
      <c r="S34" s="1205" t="str">
        <f>IF(OR(Worksheet!CF319&gt;($F$35-1),Worksheet!CG319&gt;($E$35-1),Worksheet!CK319&lt;$E$38,Worksheet!CM319="PR",Worksheet!CP319&lt;$E$39,Worksheet!CU319="YES",Worksheet!CC320&lt;&gt;"",Worksheet!CM320="LGT-MDT",Worksheet!CM320="MDT",Worksheet!CM320="MDT-SVR",Worksheet!CM320="SVR"),"R",IF(OR(Worksheet!CF319&gt;($I$35-1),Worksheet!CG319&gt;($H$35-1),Worksheet!CH319&gt;($I$35-1),Worksheet!CI319&gt;($H$35-1),Worksheet!CK319&lt;$H$38,Worksheet!CL319&lt;$H$38,Worksheet!CM319&lt;&gt;"",Worksheet!CN319&lt;&gt;"",Worksheet!CP319&lt;$H$39,Worksheet!CR319&lt;$H$39,Worksheet!CU319="ISOLD",Worksheet!CW319&lt;&gt;"",Worksheet!CG320&lt;&gt;"",Worksheet!CM320&lt;&gt;"",Worksheet!CQ320&lt;&gt;"",Worksheet!CW320="LLWS",Worksheet!CY320="LLWS"),"Y","G"))</f>
        <v>R</v>
      </c>
      <c r="T34" s="1205"/>
      <c r="U34" s="1212" t="str">
        <f>IF(OR(Worksheet!DF319&gt;($F$35-1),Worksheet!DG319&gt;($E$35-1),Worksheet!DK319&lt;$E$38,Worksheet!DM319="PR",Worksheet!DP319&lt;$E$39,Worksheet!DU319="YES",Worksheet!DC320&lt;&gt;"",Worksheet!DM320="LGT-MDT",Worksheet!DM320="MDT",Worksheet!DM320="MDT-SVR",Worksheet!DM320="SVR"),"R",IF(OR(Worksheet!DF319&gt;($I$35-1),Worksheet!DG319&gt;($H$35-1),Worksheet!DH319&gt;($I$35-1),Worksheet!DI319&gt;($H$35-1),Worksheet!DK319&lt;$H$38,Worksheet!DL319&lt;$H$38,Worksheet!DM319&lt;&gt;"",Worksheet!DN319&lt;&gt;"",Worksheet!DP319&lt;$H$39,Worksheet!DR319&lt;$H$39,Worksheet!DU319="ISOLD",Worksheet!DW319&lt;&gt;"",Worksheet!DG320&lt;&gt;"",Worksheet!DM320&lt;&gt;"",Worksheet!DQ320&lt;&gt;"",Worksheet!DW320="LLWS",Worksheet!DY320="LLWS"),"Y","G"))</f>
        <v>R</v>
      </c>
      <c r="V34" s="1213"/>
      <c r="W34" s="1200"/>
      <c r="X34" s="1281"/>
    </row>
    <row r="35" spans="2:24" ht="15.5">
      <c r="B35" s="10" t="s">
        <v>2495</v>
      </c>
      <c r="C35" s="11" t="s">
        <v>2531</v>
      </c>
      <c r="E35" s="36">
        <v>25</v>
      </c>
      <c r="F35" s="36">
        <v>15</v>
      </c>
      <c r="H35" s="36">
        <v>20</v>
      </c>
      <c r="I35" s="36">
        <v>13</v>
      </c>
      <c r="L35" s="403"/>
      <c r="M35" s="403"/>
      <c r="N35" s="1186" t="s">
        <v>2512</v>
      </c>
      <c r="O35" s="1204" t="str">
        <f>IF(OR(INDEX(calc!$W8:$W20,MATCH(HOUR(Worksheet!AT291),calc!$A8:$A20,0))&gt;0.9449,INDEX(calc!$AA8:$AA20,MATCH(HOUR(Worksheet!AT291),calc!$A8:$A20,0))&gt;8999,INDEX(calc!$T8:$T20,MATCH(HOUR(Worksheet!AT291),calc!$A8:$A20,0))&gt;50.49,INDEX(calc!$T8:$T20,MATCH(HOUR(Worksheet!AT291),calc!$A8:$A20,0))&lt;-20.5),"R",IF(OR(INDEX(calc!$W8:$W20,MATCH(HOUR(Worksheet!AT291),calc!$A8:$A20,0))&gt;0.8449,INDEX(calc!$AA8:$AA20,MATCH(HOUR(Worksheet!AT291),calc!$A8:$A20,0))&gt;6999,INDEX(calc!$T8:$T20,MATCH(HOUR(Worksheet!AT291),calc!$A8:$A20,0))&gt;45.49,INDEX(calc!$T8:$T20,MATCH(HOUR(Worksheet!AT291),calc!$A8:$A20,0))&lt;-10.5),"Y","G"))</f>
        <v>G</v>
      </c>
      <c r="P35" s="1205"/>
      <c r="Q35" s="1212" t="e">
        <f>IF(OR(INDEX(calc!$W8:$W20,MATCH(HOUR(Worksheet!BT291),calc!$A8:$A20,0))&gt;0.9449,INDEX(calc!$AA8:$AA20,MATCH(HOUR(Worksheet!BT291),calc!$A8:$A20,0))&gt;8999,INDEX(calc!$T8:$T20,MATCH(HOUR(Worksheet!BT291),calc!$A8:$A20,0))&gt;50.49,INDEX(calc!$T8:$T20,MATCH(HOUR(Worksheet!BT291),calc!$A8:$A20,0))&lt;-20.5),"R",IF(OR(INDEX(calc!$W8:$W20,MATCH(HOUR(Worksheet!BT291),calc!$A8:$A20,0))&gt;0.8449,INDEX(calc!$AA8:$AA20,MATCH(HOUR(Worksheet!BT291),calc!$A8:$A20,0))&gt;6999,INDEX(calc!$T8:$T20,MATCH(HOUR(Worksheet!BT291),calc!$A8:$A20,0))&gt;45.49,INDEX(calc!$T8:$T20,MATCH(HOUR(Worksheet!BT291),calc!$A8:$A20,0))&lt;-10.5),"Y","G"))</f>
        <v>#N/A</v>
      </c>
      <c r="R35" s="1213"/>
      <c r="S35" s="1205" t="e">
        <f>IF(OR(INDEX(calc!$W8:$W20,MATCH(HOUR(Worksheet!CT291),calc!$A8:$A20,0))&gt;0.9449,INDEX(calc!$AA8:$AA20,MATCH(HOUR(Worksheet!CT291),calc!$A8:$A20,0))&gt;8999,INDEX(calc!$T8:$T20,MATCH(HOUR(Worksheet!CT291),calc!$A8:$A20,0))&gt;50.49,INDEX(calc!$T8:$T20,MATCH(HOUR(Worksheet!CT291),calc!$A8:$A20,0))&lt;-20.5),"R",IF(OR(INDEX(calc!$W8:$W20,MATCH(HOUR(Worksheet!CT291),calc!$A8:$A20,0))&gt;0.8449,INDEX(calc!$AA8:$AA20,MATCH(HOUR(Worksheet!CT291),calc!$A8:$A20,0))&gt;6999,INDEX(calc!$T8:$T20,MATCH(HOUR(Worksheet!CT291),calc!$A8:$A20,0))&gt;45.49,INDEX(calc!$T8:$T20,MATCH(HOUR(Worksheet!CT291),calc!$A8:$A20,0))&lt;-10.5),"Y","G"))</f>
        <v>#N/A</v>
      </c>
      <c r="T35" s="1205"/>
      <c r="U35" s="1212" t="e">
        <f>IF(OR(INDEX(calc!$W8:$W20,MATCH(HOUR(Worksheet!DT291),calc!$A8:$A20,0))&gt;0.9449,INDEX(calc!$AA8:$AA20,MATCH(HOUR(Worksheet!DT291),calc!$A8:$A20,0))&gt;8999,INDEX(calc!$T8:$T20,MATCH(HOUR(Worksheet!DT291),calc!$A8:$A20,0))&gt;50.49,INDEX(calc!$T8:$T20,MATCH(HOUR(Worksheet!DT291),calc!$A8:$A20,0))&lt;-20.5),"R",IF(OR(INDEX(calc!$W8:$W20,MATCH(HOUR(Worksheet!DT291),calc!$A8:$A20,0))&gt;0.8449,INDEX(calc!$AA8:$AA20,MATCH(HOUR(Worksheet!DT291),calc!$A8:$A20,0))&gt;6999,INDEX(calc!$T8:$T20,MATCH(HOUR(Worksheet!DT291),calc!$A8:$A20,0))&gt;45.49,INDEX(calc!$T8:$T20,MATCH(HOUR(Worksheet!DT291),calc!$A8:$A20,0))&lt;-10.5),"Y","G"))</f>
        <v>#N/A</v>
      </c>
      <c r="V35" s="1213"/>
      <c r="W35" s="1200"/>
      <c r="X35" s="1200"/>
    </row>
    <row r="36" spans="2:24" ht="15.5">
      <c r="B36" s="10" t="s">
        <v>2497</v>
      </c>
      <c r="C36" s="11" t="s">
        <v>2532</v>
      </c>
      <c r="E36" s="36">
        <v>1</v>
      </c>
      <c r="H36" s="36">
        <v>0</v>
      </c>
      <c r="L36" s="403"/>
      <c r="M36" s="403"/>
      <c r="N36" s="1186" t="s">
        <v>2514</v>
      </c>
      <c r="O36" s="1206" t="str">
        <f>IF(ISERROR(O35),O34,IF(OR(O34="R",O35="R"),"R",IF(OR(O34="Y",O35="Y"),"Y","G")))</f>
        <v>Y</v>
      </c>
      <c r="P36" s="1207"/>
      <c r="Q36" s="1214" t="str">
        <f>IF(ISERROR(Q35),Q34,IF(OR(Q34="R",Q35="R"),"R",IF(OR(Q34="Y",Q35="Y"),"Y","G")))</f>
        <v>R</v>
      </c>
      <c r="R36" s="1215"/>
      <c r="S36" s="1206" t="str">
        <f>IF(ISERROR(S35),S34,IF(OR(S34="R",S35="R"),"R",IF(OR(S34="Y",S35="Y"),"Y","G")))</f>
        <v>R</v>
      </c>
      <c r="T36" s="1207"/>
      <c r="U36" s="1214" t="str">
        <f>IF(ISERROR(U35),U34,IF(OR(U34="R",U35="R"),"R",IF(OR(U34="Y",U35="Y"),"Y","G")))</f>
        <v>R</v>
      </c>
      <c r="V36" s="1215"/>
      <c r="W36" s="1200"/>
      <c r="X36" s="1200"/>
    </row>
    <row r="37" spans="2:24" ht="15.5">
      <c r="B37" s="10" t="s">
        <v>2499</v>
      </c>
      <c r="C37" s="11" t="s">
        <v>2533</v>
      </c>
      <c r="E37" s="36">
        <v>2</v>
      </c>
      <c r="H37" s="36">
        <v>1</v>
      </c>
      <c r="L37" s="403"/>
      <c r="M37" s="403"/>
      <c r="N37" s="403"/>
      <c r="O37" s="1202"/>
      <c r="P37" s="1200"/>
      <c r="Q37" s="1202"/>
      <c r="R37" s="1201"/>
      <c r="S37" s="1200"/>
      <c r="T37" s="1200"/>
      <c r="U37" s="1202"/>
      <c r="V37" s="1201"/>
      <c r="W37" s="1200"/>
      <c r="X37" s="1200"/>
    </row>
    <row r="38" spans="2:24" ht="15.5">
      <c r="B38" s="10" t="s">
        <v>2501</v>
      </c>
      <c r="C38" s="11" t="s">
        <v>2534</v>
      </c>
      <c r="E38" s="36">
        <v>3</v>
      </c>
      <c r="H38" s="36">
        <v>5</v>
      </c>
      <c r="L38" s="403"/>
      <c r="M38" s="403"/>
      <c r="N38" s="403"/>
      <c r="O38" s="1202"/>
      <c r="P38" s="1200"/>
      <c r="Q38" s="1202"/>
      <c r="R38" s="1201"/>
      <c r="S38" s="1200"/>
      <c r="T38" s="1200"/>
      <c r="U38" s="1202"/>
      <c r="V38" s="1201"/>
      <c r="W38" s="1200"/>
      <c r="X38" s="1200"/>
    </row>
    <row r="39" spans="2:24" ht="15.5">
      <c r="B39" s="10" t="s">
        <v>2535</v>
      </c>
      <c r="C39" s="11" t="s">
        <v>2536</v>
      </c>
      <c r="E39" s="36">
        <v>40</v>
      </c>
      <c r="H39" s="36">
        <v>60</v>
      </c>
      <c r="L39" s="403"/>
      <c r="M39" s="403"/>
      <c r="N39" s="403"/>
      <c r="O39" s="1202"/>
      <c r="P39" s="1200"/>
      <c r="Q39" s="1202"/>
      <c r="R39" s="1201"/>
      <c r="S39" s="1200"/>
      <c r="T39" s="1200"/>
      <c r="U39" s="1202"/>
      <c r="V39" s="1201"/>
      <c r="W39" s="1200"/>
      <c r="X39" s="1200"/>
    </row>
    <row r="40" spans="2:24" s="403" customFormat="1" ht="15.5">
      <c r="B40" s="10"/>
      <c r="C40" s="11" t="s">
        <v>2537</v>
      </c>
      <c r="D40" s="48"/>
      <c r="E40" s="36"/>
      <c r="F40" s="36"/>
      <c r="G40" s="36"/>
      <c r="H40" s="36"/>
      <c r="I40" s="37"/>
      <c r="J40" s="37"/>
      <c r="K40" s="37"/>
      <c r="O40" s="1202"/>
      <c r="P40" s="1200"/>
      <c r="Q40" s="1202"/>
      <c r="R40" s="1201"/>
      <c r="S40" s="1200"/>
      <c r="T40" s="1200"/>
      <c r="U40" s="1202"/>
      <c r="V40" s="1201"/>
      <c r="W40" s="1200"/>
      <c r="X40" s="1200"/>
    </row>
    <row r="41" spans="2:24" ht="15.5">
      <c r="B41" s="10" t="s">
        <v>2538</v>
      </c>
      <c r="C41" s="11" t="s">
        <v>2539</v>
      </c>
      <c r="E41" s="39">
        <v>0.95</v>
      </c>
      <c r="F41" s="39"/>
      <c r="G41" s="39"/>
      <c r="H41" s="39">
        <v>0.85</v>
      </c>
      <c r="L41" s="403"/>
      <c r="M41" s="403"/>
      <c r="N41" s="403"/>
      <c r="O41" s="1202"/>
      <c r="P41" s="1200"/>
      <c r="Q41" s="1202"/>
      <c r="R41" s="1201"/>
      <c r="S41" s="1200"/>
      <c r="T41" s="1200"/>
      <c r="U41" s="1202"/>
      <c r="V41" s="1201"/>
      <c r="W41" s="1200"/>
      <c r="X41" s="1200"/>
    </row>
    <row r="42" spans="2:24" ht="15.5">
      <c r="B42" s="10" t="s">
        <v>2526</v>
      </c>
      <c r="C42" s="11" t="s">
        <v>2540</v>
      </c>
      <c r="E42" s="36">
        <v>50</v>
      </c>
      <c r="F42" s="36">
        <v>-20</v>
      </c>
      <c r="H42" s="36">
        <v>45</v>
      </c>
      <c r="I42" s="36">
        <v>-15</v>
      </c>
      <c r="L42" s="403"/>
      <c r="M42" s="403"/>
      <c r="N42" s="403"/>
      <c r="O42" s="1202"/>
      <c r="P42" s="1200"/>
      <c r="Q42" s="1202"/>
      <c r="R42" s="1201"/>
      <c r="S42" s="1200"/>
      <c r="T42" s="1200"/>
      <c r="U42" s="1202"/>
      <c r="V42" s="1201"/>
      <c r="W42" s="1200"/>
      <c r="X42" s="1200"/>
    </row>
    <row r="43" spans="2:24" ht="15.5">
      <c r="B43" s="10" t="s">
        <v>2541</v>
      </c>
      <c r="C43" s="11" t="s">
        <v>2542</v>
      </c>
      <c r="E43" s="3618">
        <v>9000</v>
      </c>
      <c r="F43" s="3618"/>
      <c r="G43" s="1921"/>
      <c r="H43" s="3618">
        <v>7000</v>
      </c>
      <c r="I43" s="3618"/>
      <c r="L43" s="403"/>
      <c r="M43" s="403"/>
      <c r="N43" s="403"/>
      <c r="O43" s="1202"/>
      <c r="P43" s="1200"/>
      <c r="Q43" s="1202"/>
      <c r="R43" s="1201"/>
      <c r="S43" s="1200"/>
      <c r="T43" s="1200"/>
      <c r="U43" s="1202"/>
      <c r="V43" s="1201"/>
      <c r="W43" s="1200"/>
      <c r="X43" s="1200"/>
    </row>
    <row r="44" spans="2:24" s="403" customFormat="1" ht="15.5">
      <c r="B44" s="10" t="s">
        <v>2543</v>
      </c>
      <c r="C44" s="11" t="s">
        <v>2544</v>
      </c>
      <c r="D44" s="48"/>
      <c r="E44" s="1921" t="s">
        <v>2545</v>
      </c>
      <c r="F44" s="1921"/>
      <c r="G44" s="1921"/>
      <c r="H44" s="1921" t="s">
        <v>2546</v>
      </c>
      <c r="I44" s="1921"/>
      <c r="J44" s="37"/>
      <c r="K44" s="37"/>
      <c r="O44" s="1202"/>
      <c r="P44" s="1200"/>
      <c r="Q44" s="1202"/>
      <c r="R44" s="1201"/>
      <c r="S44" s="1200"/>
      <c r="T44" s="1200"/>
      <c r="U44" s="1202"/>
      <c r="V44" s="1201"/>
      <c r="W44" s="1200"/>
      <c r="X44" s="1200"/>
    </row>
    <row r="45" spans="2:24" ht="16" thickBot="1">
      <c r="B45" s="12" t="s">
        <v>2505</v>
      </c>
      <c r="C45" s="13" t="s">
        <v>2519</v>
      </c>
      <c r="E45" s="1921" t="s">
        <v>395</v>
      </c>
      <c r="F45" s="36" t="s">
        <v>2507</v>
      </c>
      <c r="I45" s="1921"/>
      <c r="L45" s="403"/>
      <c r="M45" s="403"/>
      <c r="N45" s="403"/>
      <c r="O45" s="1202"/>
      <c r="P45" s="1200"/>
      <c r="Q45" s="1202"/>
      <c r="R45" s="1201"/>
      <c r="S45" s="1200"/>
      <c r="T45" s="1200"/>
      <c r="U45" s="1202"/>
      <c r="V45" s="1201"/>
      <c r="W45" s="1200"/>
      <c r="X45" s="1200"/>
    </row>
    <row r="46" spans="2:24" ht="13" thickBot="1">
      <c r="B46" s="403"/>
      <c r="C46" s="403"/>
      <c r="L46" s="403"/>
      <c r="M46" s="403"/>
      <c r="N46" s="403"/>
      <c r="O46" s="1202"/>
      <c r="P46" s="1200"/>
      <c r="Q46" s="1202"/>
      <c r="R46" s="1201"/>
      <c r="S46" s="1200"/>
      <c r="T46" s="1200"/>
      <c r="U46" s="1202"/>
      <c r="V46" s="1201"/>
      <c r="W46" s="1200"/>
      <c r="X46" s="1200"/>
    </row>
    <row r="47" spans="2:24" ht="17.25" customHeight="1" thickBot="1">
      <c r="B47" s="14" t="s">
        <v>97</v>
      </c>
      <c r="C47" s="1528" t="s">
        <v>2547</v>
      </c>
      <c r="L47" s="403"/>
      <c r="M47" s="403"/>
      <c r="N47" s="1186" t="s">
        <v>2510</v>
      </c>
      <c r="O47" s="1216" t="str">
        <f>IF(OR(Worksheet!AG319&gt;(E48-1),Worksheet!AI319&gt;(E48-1),Worksheet!AK319&lt;0.26,Worksheet!AU319="YES"),"R",IF(OR(Worksheet!AG319&gt;(H48-1),Worksheet!AI319&gt;(H48-1),Worksheet!AK319&lt;1,Worksheet!AM319&lt;&gt;"",Worksheet!AN319&lt;&gt;"",Worksheet!AU319="ISOLD",Worksheet!AW319&lt;&gt;""),"Y","G"))</f>
        <v>Y</v>
      </c>
      <c r="P47" s="1226"/>
      <c r="Q47" s="1208" t="str">
        <f>IF(OR(Worksheet!BG319&gt;(E48-1),Worksheet!BI319&gt;(E48-1),Worksheet!BK319&lt;0.26,Worksheet!BU319="YES"),"R",IF(OR(Worksheet!BG319&gt;(H48-1),Worksheet!BI319&gt;(H48-1),Worksheet!BK319&lt;1,Worksheet!BM319&lt;&gt;"",Worksheet!BN319&lt;&gt;"",Worksheet!BU319="ISOLD",Worksheet!BW319&lt;&gt;""),"Y","G"))</f>
        <v>R</v>
      </c>
      <c r="R47" s="1209"/>
      <c r="S47" s="1226" t="str">
        <f>IF(OR(Worksheet!CG319&gt;(E48-1),Worksheet!CI319&gt;(E48-1),Worksheet!CK319&lt;0.26,Worksheet!CU319="YES"),"R",IF(OR(Worksheet!CG319&gt;(H48-1),Worksheet!CI319&gt;(H48-1),Worksheet!CK319&lt;1,Worksheet!CM319&lt;&gt;"",Worksheet!CN319&lt;&gt;"",Worksheet!CU319="ISOLD",Worksheet!CW319&lt;&gt;""),"Y","G"))</f>
        <v>R</v>
      </c>
      <c r="T47" s="1226"/>
      <c r="U47" s="1208" t="str">
        <f>IF(OR(Worksheet!DG319&gt;(E48-1),Worksheet!DI319&gt;(E48-1),Worksheet!DK319&lt;0.26,Worksheet!DU319="YES"),"R",IF(OR(Worksheet!DG319&gt;(H48-1),Worksheet!DI319&gt;(H48-1),Worksheet!DK319&lt;1,Worksheet!DM319&lt;&gt;"",Worksheet!DN319&lt;&gt;"",Worksheet!DU319="ISOLD",Worksheet!DW319&lt;&gt;""),"Y","G"))</f>
        <v>R</v>
      </c>
      <c r="V47" s="1209"/>
      <c r="W47" s="1200"/>
      <c r="X47" s="1281"/>
    </row>
    <row r="48" spans="2:24" ht="15.5">
      <c r="B48" s="15" t="s">
        <v>2495</v>
      </c>
      <c r="C48" s="16" t="s">
        <v>2548</v>
      </c>
      <c r="E48" s="36">
        <v>50</v>
      </c>
      <c r="H48" s="36">
        <v>25</v>
      </c>
      <c r="L48" s="403"/>
      <c r="M48" s="403"/>
      <c r="N48" s="1186" t="s">
        <v>2512</v>
      </c>
      <c r="O48" s="1216" t="str">
        <f>IF(OR(INDEX(calc!U8:U20,MATCH(HOUR(Worksheet!AT291),calc!A8:A20,0))&lt;$E$49,AND(Worksheet!$AM$6=Worksheet!$AG$552,INDEX(calc!X8:X20,MATCH(HOUR(Worksheet!AT291),calc!A8:A20,0))&lt;$E$50),AND(Worksheet!$AM$6=Worksheet!$AG$551,INDEX(calc!X8:X20,MATCH(HOUR(Worksheet!AT291),calc!A8:A20,0))&gt;($E$51-0.51))),"R",IF(OR(INDEX(calc!U8:U20,MATCH(HOUR(Worksheet!AT291),calc!A8:A20,0))&lt;$H$49,AND(Worksheet!$AM$6=Worksheet!$AG$552,INDEX(calc!X8:X20,MATCH(HOUR(Worksheet!AT291),calc!A8:A20,0))&lt;$H$50),AND(Worksheet!$AM$6=Worksheet!$AG$551,INDEX(calc!X8:X20,MATCH(HOUR(Worksheet!AT291),calc!A8:A20,0))&gt;($H$51-0.51))),"Y","G"))</f>
        <v>R</v>
      </c>
      <c r="P48" s="1226"/>
      <c r="Q48" s="1208" t="e">
        <f>IF(OR(INDEX(calc!U8:U20,MATCH(HOUR(Worksheet!BT291),calc!A8:A20,0))&lt;$E$49,AND(Worksheet!$AM$6=Worksheet!$AG$552,INDEX(calc!X8:X20,MATCH(HOUR(Worksheet!BT291),calc!A8:A20,0))&lt;$E$50),AND(Worksheet!$AM$6=Worksheet!$AG$551,INDEX(calc!X8:X20,MATCH(HOUR(Worksheet!BT291),calc!A8:A20,0))&gt;($E$51-0.51))),"R",IF(OR(INDEX(calc!U8:U20,MATCH(HOUR(Worksheet!BT291),calc!A8:A20,0))&lt;$H$49,AND(Worksheet!$AM$6=Worksheet!$AG$552,INDEX(calc!X8:X20,MATCH(HOUR(Worksheet!BT291),calc!A8:A20,0))&lt;$H$50),AND(Worksheet!$AM$6=Worksheet!$AG$551,INDEX(calc!X8:X20,MATCH(HOUR(Worksheet!BT291),calc!A8:A20,0))&gt;($H$51-0.51))),"Y","G"))</f>
        <v>#N/A</v>
      </c>
      <c r="R48" s="1209"/>
      <c r="S48" s="1226" t="e">
        <f>IF(OR(INDEX(calc!U8:U20,MATCH(HOUR(Worksheet!CT291),calc!A8:A20,0))&lt;$E$49,AND(Worksheet!$AM$6=Worksheet!$AG$552,INDEX(calc!X8:X20,MATCH(HOUR(Worksheet!CT291),calc!A8:A20,0))&lt;$E$50),AND(Worksheet!$AM$6=Worksheet!$AG$551,INDEX(calc!X8:X20,MATCH(HOUR(Worksheet!CT291),calc!A8:A20,0))&gt;($E$51-0.51))),"R",IF(OR(INDEX(calc!U8:U20,MATCH(HOUR(Worksheet!CT291),calc!A8:A20,0))&lt;$H$49,AND(Worksheet!$AM$6=Worksheet!$AG$552,INDEX(calc!X8:X20,MATCH(HOUR(Worksheet!CT291),calc!A8:A20,0))&lt;$H$50),AND(Worksheet!$AM$6=Worksheet!$AG$551,INDEX(calc!X8:X20,MATCH(HOUR(Worksheet!CT291),calc!A8:A20,0))&gt;($H$51-0.51))),"Y","G"))</f>
        <v>#N/A</v>
      </c>
      <c r="T48" s="1226"/>
      <c r="U48" s="1208" t="e">
        <f>IF(OR(INDEX(calc!U8:U20,MATCH(HOUR(Worksheet!DT291),calc!A8:A20,0))&lt;$E$49,AND(Worksheet!$AM$6=Worksheet!$AG$552,INDEX(calc!X8:X20,MATCH(HOUR(Worksheet!DT291),calc!A8:A20,0))&lt;$E$50),AND(Worksheet!$AM$6=Worksheet!$AG$551,INDEX(calc!X8:X20,MATCH(HOUR(Worksheet!DT291),calc!A8:A20,0))&gt;($E$51-0.51))),"R",IF(OR(INDEX(calc!U8:U20,MATCH(HOUR(Worksheet!DT291),calc!A8:A20,0))&lt;$H$49,AND(Worksheet!$AM$6=Worksheet!$AG$552,INDEX(calc!X8:X20,MATCH(HOUR(Worksheet!DT291),calc!A8:A20,0))&lt;$H$50),AND(Worksheet!$AM$6=Worksheet!$AG$551,INDEX(calc!X8:X20,MATCH(HOUR(Worksheet!DT291),calc!A8:A20,0))&gt;($H$51-0.51))),"Y","G"))</f>
        <v>#N/A</v>
      </c>
      <c r="V48" s="1209"/>
      <c r="W48" s="1200"/>
      <c r="X48" s="1200"/>
    </row>
    <row r="49" spans="2:24" ht="15.5">
      <c r="B49" s="15" t="s">
        <v>2526</v>
      </c>
      <c r="C49" s="16" t="s">
        <v>2549</v>
      </c>
      <c r="E49" s="36">
        <v>15</v>
      </c>
      <c r="H49" s="36">
        <v>32</v>
      </c>
      <c r="L49" s="403"/>
      <c r="M49" s="403"/>
      <c r="N49" s="1186" t="s">
        <v>2514</v>
      </c>
      <c r="O49" s="1217" t="str">
        <f>IF(ISERROR(O48),O47,IF(OR(O47="R",O48="R"),"R",IF(OR(O47="Y",O48="Y"),"Y","G")))</f>
        <v>R</v>
      </c>
      <c r="P49" s="1227"/>
      <c r="Q49" s="1210" t="str">
        <f>IF(ISERROR(Q48),Q47,IF(OR(Q47="R",Q48="R"),"R",IF(OR(Q47="Y",Q48="Y"),"Y","G")))</f>
        <v>R</v>
      </c>
      <c r="R49" s="1211"/>
      <c r="S49" s="1217" t="str">
        <f>IF(ISERROR(S48),S47,IF(OR(S47="R",S48="R"),"R",IF(OR(S47="Y",S48="Y"),"Y","G")))</f>
        <v>R</v>
      </c>
      <c r="T49" s="1227"/>
      <c r="U49" s="1210" t="str">
        <f>IF(ISERROR(U48),U47,IF(OR(U47="R",U48="R"),"R",IF(OR(U47="Y",U48="Y"),"Y","G")))</f>
        <v>R</v>
      </c>
      <c r="V49" s="1211"/>
      <c r="W49" s="1200"/>
      <c r="X49" s="1200"/>
    </row>
    <row r="50" spans="2:24" ht="15.5">
      <c r="B50" s="15" t="s">
        <v>2550</v>
      </c>
      <c r="C50" s="16" t="s">
        <v>2551</v>
      </c>
      <c r="E50" s="36">
        <v>0</v>
      </c>
      <c r="H50" s="36">
        <v>15</v>
      </c>
      <c r="L50" s="403"/>
      <c r="M50" s="403"/>
      <c r="N50" s="403"/>
      <c r="O50" s="1202"/>
      <c r="P50" s="1200"/>
      <c r="Q50" s="1202"/>
      <c r="R50" s="1201"/>
      <c r="S50" s="1200"/>
      <c r="T50" s="1200"/>
      <c r="U50" s="1202"/>
      <c r="V50" s="1201"/>
      <c r="W50" s="1200"/>
      <c r="X50" s="1200"/>
    </row>
    <row r="51" spans="2:24" ht="15.5">
      <c r="B51" s="15" t="s">
        <v>2552</v>
      </c>
      <c r="C51" s="16" t="s">
        <v>2553</v>
      </c>
      <c r="E51" s="36">
        <v>90</v>
      </c>
      <c r="H51" s="36">
        <v>78</v>
      </c>
      <c r="L51" s="403"/>
      <c r="M51" s="403"/>
      <c r="N51" s="403"/>
      <c r="O51" s="1202"/>
      <c r="P51" s="1200"/>
      <c r="Q51" s="1202"/>
      <c r="R51" s="1201"/>
      <c r="S51" s="1200"/>
      <c r="T51" s="1200"/>
      <c r="U51" s="1202"/>
      <c r="V51" s="1201"/>
      <c r="W51" s="1200"/>
      <c r="X51" s="1200"/>
    </row>
    <row r="52" spans="2:24" ht="15.5">
      <c r="B52" s="15" t="s">
        <v>2554</v>
      </c>
      <c r="C52" s="16" t="s">
        <v>2555</v>
      </c>
      <c r="E52" s="36" t="s">
        <v>395</v>
      </c>
      <c r="F52" s="36" t="s">
        <v>2507</v>
      </c>
      <c r="L52" s="403"/>
      <c r="M52" s="403"/>
      <c r="N52" s="403"/>
      <c r="O52" s="1202"/>
      <c r="P52" s="1200"/>
      <c r="Q52" s="1202"/>
      <c r="R52" s="1201"/>
      <c r="S52" s="1200"/>
      <c r="T52" s="1200"/>
      <c r="U52" s="1202"/>
      <c r="V52" s="1201"/>
      <c r="W52" s="1200"/>
      <c r="X52" s="1200"/>
    </row>
    <row r="53" spans="2:24" ht="16" thickBot="1">
      <c r="B53" s="17" t="s">
        <v>2501</v>
      </c>
      <c r="C53" s="18" t="s">
        <v>2556</v>
      </c>
      <c r="E53" s="39">
        <v>0.25</v>
      </c>
      <c r="F53" s="39"/>
      <c r="G53" s="39"/>
      <c r="H53" s="39">
        <v>0.5</v>
      </c>
      <c r="L53" s="403"/>
      <c r="M53" s="403"/>
      <c r="N53" s="403"/>
      <c r="O53" s="1202"/>
      <c r="P53" s="1200"/>
      <c r="Q53" s="1202"/>
      <c r="R53" s="1201"/>
      <c r="S53" s="1200"/>
      <c r="T53" s="1200"/>
      <c r="U53" s="1202"/>
      <c r="V53" s="1201"/>
      <c r="W53" s="1200"/>
      <c r="X53" s="1200"/>
    </row>
    <row r="54" spans="2:24" ht="13" thickBot="1">
      <c r="B54" s="403"/>
      <c r="C54" s="403"/>
      <c r="L54" s="403"/>
      <c r="M54" s="403"/>
      <c r="N54" s="403"/>
      <c r="O54" s="1202"/>
      <c r="P54" s="1200"/>
      <c r="Q54" s="1202"/>
      <c r="R54" s="1201"/>
      <c r="S54" s="1200"/>
      <c r="T54" s="1200"/>
      <c r="U54" s="1202"/>
      <c r="V54" s="1201"/>
      <c r="W54" s="1200"/>
      <c r="X54" s="1200"/>
    </row>
    <row r="55" spans="2:24" ht="17.25" customHeight="1" thickBot="1">
      <c r="B55" s="1187" t="s">
        <v>96</v>
      </c>
      <c r="C55" s="1529" t="s">
        <v>2530</v>
      </c>
      <c r="L55" s="403"/>
      <c r="M55" s="403"/>
      <c r="N55" s="1186" t="s">
        <v>2510</v>
      </c>
      <c r="O55" s="1245" t="str">
        <f>IF(OR(Worksheet!AG319&gt;(E56-1),Worksheet!AK319&lt;E59,Worksheet!AP319&lt;E60,Worksheet!AU319="YES",Worksheet!AE320&lt;30,Worksheet!AO320&lt;30),"R",IF(OR(Worksheet!AG319&gt;(H56-1),Worksheet!AI319&gt;(H56-1),Worksheet!AK319&lt;H59,Worksheet!AL319&lt;H59,Worksheet!AP319&lt;H60,Worksheet!AR319&lt;H60,Worksheet!AU319="ISOLD",Worksheet!AW319&lt;&gt;"",Worksheet!AI320&lt;30,Worksheet!AS320&lt;30,Worksheet!AW320="LLWS",Worksheet!AY320="LLWS"),"Y","G"))</f>
        <v>Y</v>
      </c>
      <c r="P55" s="1246"/>
      <c r="Q55" s="1249" t="str">
        <f>IF(OR(Worksheet!BG319&gt;(E56-1),Worksheet!BK319&lt;E59,Worksheet!BP319&lt;E60,Worksheet!BU319="YES",Worksheet!BE320&lt;30,Worksheet!BO320&lt;30),"R",IF(OR(Worksheet!BG319&gt;(H56-1),Worksheet!BI319&gt;(H56-1),Worksheet!BK319&lt;H59,Worksheet!BL319&lt;H59,Worksheet!BP319&lt;H60,Worksheet!BR319&lt;H60,Worksheet!BU319="ISOLD",Worksheet!BW319&lt;&gt;"",Worksheet!BI320&lt;30,Worksheet!BS320&lt;30,Worksheet!BW320="LLWS",Worksheet!BY320="LLWS"),"Y","G"))</f>
        <v>R</v>
      </c>
      <c r="R55" s="1250"/>
      <c r="S55" s="1246" t="str">
        <f>IF(OR(Worksheet!CG319&gt;(E56-1),Worksheet!CK319&lt;E59,Worksheet!CP319&lt;E60,Worksheet!CU319="YES",Worksheet!CE320&lt;30,Worksheet!CO320&lt;30),"R",IF(OR(Worksheet!CG319&gt;(H56-1),Worksheet!CI319&gt;(H56-1),Worksheet!CK319&lt;H59,Worksheet!CL319&lt;H59,Worksheet!CP319&lt;H60,Worksheet!CR319&lt;H60,Worksheet!CU319="ISOLD",Worksheet!CW319&lt;&gt;"",Worksheet!CI320&lt;30,Worksheet!CS320&lt;30,Worksheet!CW320="LLWS",Worksheet!CY320="LLWS"),"Y","G"))</f>
        <v>R</v>
      </c>
      <c r="T55" s="1246"/>
      <c r="U55" s="1249" t="str">
        <f>IF(OR(Worksheet!DG319&gt;(E56-1),Worksheet!DK319&lt;E59,Worksheet!DP319&lt;E60,Worksheet!DU319="YES",Worksheet!DE320&lt;30,Worksheet!DO320&lt;30),"R",IF(OR(Worksheet!DG319&gt;(H56-1),Worksheet!DI319&gt;(H56-1),Worksheet!DK319&lt;H59,Worksheet!DL319&lt;H59,Worksheet!DP319&lt;H60,Worksheet!DR319&lt;H60,Worksheet!DU319="ISOLD",Worksheet!DW319&lt;&gt;"",Worksheet!DI320&lt;30,Worksheet!DS320&lt;30,Worksheet!DW320="LLWS",Worksheet!DY320="LLWS"),"Y","G"))</f>
        <v>R</v>
      </c>
      <c r="V55" s="1250"/>
      <c r="W55" s="1200"/>
      <c r="X55" s="1281"/>
    </row>
    <row r="56" spans="2:24" ht="15.5">
      <c r="B56" s="1188" t="s">
        <v>2495</v>
      </c>
      <c r="C56" s="1189" t="s">
        <v>2557</v>
      </c>
      <c r="E56" s="36">
        <v>20</v>
      </c>
      <c r="H56" s="36">
        <v>15</v>
      </c>
      <c r="L56" s="403"/>
      <c r="M56" s="403"/>
      <c r="N56" s="1186" t="s">
        <v>2512</v>
      </c>
      <c r="O56" s="1245" t="s">
        <v>2513</v>
      </c>
      <c r="P56" s="1246"/>
      <c r="Q56" s="1249" t="s">
        <v>2513</v>
      </c>
      <c r="R56" s="1250"/>
      <c r="S56" s="1246" t="s">
        <v>2513</v>
      </c>
      <c r="T56" s="1246"/>
      <c r="U56" s="1249" t="s">
        <v>2513</v>
      </c>
      <c r="V56" s="1250"/>
      <c r="W56" s="1200"/>
      <c r="X56" s="1200"/>
    </row>
    <row r="57" spans="2:24" ht="15.5">
      <c r="B57" s="1188" t="s">
        <v>2497</v>
      </c>
      <c r="C57" s="1189" t="s">
        <v>2558</v>
      </c>
      <c r="E57" s="36">
        <v>1</v>
      </c>
      <c r="H57" s="36">
        <v>0</v>
      </c>
      <c r="L57" s="403"/>
      <c r="M57" s="403"/>
      <c r="N57" s="1186" t="s">
        <v>2514</v>
      </c>
      <c r="O57" s="1247" t="str">
        <f>IF(ISERROR(O56),O55,IF(OR(O55="R",O56="R"),"R",IF(OR(O55="Y",O56="Y"),"Y","G")))</f>
        <v>Y</v>
      </c>
      <c r="P57" s="1248"/>
      <c r="Q57" s="1251" t="str">
        <f>IF(ISERROR(Q56),Q55,IF(OR(Q55="R",Q56="R"),"R",IF(OR(Q55="Y",Q56="Y"),"Y","G")))</f>
        <v>R</v>
      </c>
      <c r="R57" s="1252"/>
      <c r="S57" s="1247" t="str">
        <f>IF(ISERROR(S56),S55,IF(OR(S55="R",S56="R"),"R",IF(OR(S55="Y",S56="Y"),"Y","G")))</f>
        <v>R</v>
      </c>
      <c r="T57" s="1248"/>
      <c r="U57" s="1251" t="str">
        <f>IF(ISERROR(U56),U55,IF(OR(U55="R",U56="R"),"R",IF(OR(U55="Y",U56="Y"),"Y","G")))</f>
        <v>R</v>
      </c>
      <c r="V57" s="1252"/>
      <c r="W57" s="1200"/>
      <c r="X57" s="1200"/>
    </row>
    <row r="58" spans="2:24" ht="15.5">
      <c r="B58" s="1188" t="s">
        <v>2499</v>
      </c>
      <c r="C58" s="1189" t="s">
        <v>2559</v>
      </c>
      <c r="E58" s="36">
        <v>1</v>
      </c>
      <c r="L58" s="403"/>
      <c r="M58" s="403"/>
      <c r="N58" s="403"/>
      <c r="O58" s="1202"/>
      <c r="P58" s="1200"/>
      <c r="Q58" s="1202"/>
      <c r="R58" s="1201"/>
      <c r="S58" s="1200"/>
      <c r="T58" s="1200"/>
      <c r="U58" s="1202"/>
      <c r="V58" s="1201"/>
      <c r="W58" s="1200"/>
      <c r="X58" s="1200"/>
    </row>
    <row r="59" spans="2:24" ht="15.5">
      <c r="B59" s="1188" t="s">
        <v>2501</v>
      </c>
      <c r="C59" s="1189" t="s">
        <v>2560</v>
      </c>
      <c r="E59" s="39">
        <v>2.25</v>
      </c>
      <c r="H59" s="36">
        <v>3</v>
      </c>
      <c r="L59" s="403"/>
      <c r="M59" s="403"/>
      <c r="N59" s="403"/>
      <c r="O59" s="1202"/>
      <c r="P59" s="1200"/>
      <c r="Q59" s="1202"/>
      <c r="R59" s="1201"/>
      <c r="S59" s="1200"/>
      <c r="T59" s="1200"/>
      <c r="U59" s="1202"/>
      <c r="V59" s="1201"/>
      <c r="W59" s="1200"/>
      <c r="X59" s="1200"/>
    </row>
    <row r="60" spans="2:24" ht="15.5">
      <c r="B60" s="1188" t="s">
        <v>2503</v>
      </c>
      <c r="C60" s="1189" t="s">
        <v>2504</v>
      </c>
      <c r="E60" s="36">
        <v>5</v>
      </c>
      <c r="H60" s="36">
        <v>10</v>
      </c>
      <c r="L60" s="403"/>
      <c r="M60" s="403"/>
      <c r="N60" s="403"/>
      <c r="O60" s="1202"/>
      <c r="P60" s="1200"/>
      <c r="Q60" s="1202"/>
      <c r="R60" s="1201"/>
      <c r="S60" s="1200"/>
      <c r="T60" s="1200"/>
      <c r="U60" s="1202"/>
      <c r="V60" s="1201"/>
      <c r="W60" s="1200"/>
      <c r="X60" s="1200"/>
    </row>
    <row r="61" spans="2:24" ht="16" thickBot="1">
      <c r="B61" s="1190" t="s">
        <v>2505</v>
      </c>
      <c r="C61" s="1191" t="s">
        <v>2519</v>
      </c>
      <c r="E61" s="1921" t="s">
        <v>395</v>
      </c>
      <c r="H61" s="1921" t="s">
        <v>2507</v>
      </c>
      <c r="L61" s="403"/>
      <c r="M61" s="403"/>
      <c r="N61" s="403"/>
      <c r="O61" s="1202"/>
      <c r="P61" s="1200"/>
      <c r="Q61" s="1202"/>
      <c r="R61" s="1201"/>
      <c r="S61" s="1200"/>
      <c r="T61" s="1200"/>
      <c r="U61" s="1202"/>
      <c r="V61" s="1201"/>
      <c r="W61" s="1200"/>
      <c r="X61" s="1200"/>
    </row>
    <row r="62" spans="2:24" ht="13" thickBot="1">
      <c r="B62" s="403"/>
      <c r="C62" s="403"/>
      <c r="E62" s="382" t="s">
        <v>2488</v>
      </c>
      <c r="F62" s="383"/>
      <c r="G62" s="383"/>
      <c r="H62" s="384" t="s">
        <v>2489</v>
      </c>
      <c r="L62" s="403"/>
      <c r="M62" s="403"/>
      <c r="N62" s="403"/>
      <c r="O62" s="1202"/>
      <c r="P62" s="1200"/>
      <c r="Q62" s="1202"/>
      <c r="R62" s="1201"/>
      <c r="S62" s="1200"/>
      <c r="T62" s="1200"/>
      <c r="U62" s="1202"/>
      <c r="V62" s="1201"/>
      <c r="W62" s="1200"/>
      <c r="X62" s="1200"/>
    </row>
    <row r="63" spans="2:24" ht="17.25" customHeight="1" thickBot="1">
      <c r="B63" s="19" t="s">
        <v>116</v>
      </c>
      <c r="C63" s="1525" t="s">
        <v>2494</v>
      </c>
      <c r="L63" s="403"/>
      <c r="M63" s="403"/>
      <c r="N63" s="1186" t="s">
        <v>2510</v>
      </c>
      <c r="O63" s="1241" t="str">
        <f>IF(OR(Worksheet!AG319&gt;E64,Worksheet!AU319="YES",AND(Worksheet!AC320="MDT",Worksheet!AE320&lt;30),AND(Worksheet!AC320="MDT-SVR",Worksheet!AE320&lt;30),AND(Worksheet!AC320="SVR",Worksheet!AE320&lt;30),AND(Worksheet!AM320="SVR",Worksheet!AO320&lt;30)),"R",IF(OR(Worksheet!AG319&gt;H64,Worksheet!AI319&gt;H64,Worksheet!AK319&lt;H67,Worksheet!AL319&lt;H67,Worksheet!AP319&lt;H68,Worksheet!AR319&lt;H68,Worksheet!AU319="ISOLD",Worksheet!AW319,AND(Worksheet!AG320="MDT",Worksheet!AI320&lt;30),AND(Worksheet!AG320="MDT-SVR",Worksheet!AI320&lt;30),AND(Worksheet!AG320="SVR",Worksheet!AA320&lt;30),AND(Worksheet!AQ320="SVR",Worksheet!AS320&lt;30),Worksheet!AW320="LLWS",Worksheet!AY320="LLWS"),"Y","G"))</f>
        <v>Y</v>
      </c>
      <c r="P63" s="1242"/>
      <c r="Q63" s="1218" t="str">
        <f>IF(OR(Worksheet!BG319&gt;E64,Worksheet!BU319="YES",AND(Worksheet!BC320="MDT",Worksheet!BE320&lt;30),AND(Worksheet!BC320="MDT-SVR",Worksheet!BE320&lt;30),AND(Worksheet!BC320="SVR",Worksheet!BE320&lt;30),AND(Worksheet!BM320="SVR",Worksheet!BO320&lt;30)),"R",IF(OR(Worksheet!BG319&gt;H64,Worksheet!BI319&gt;H64,Worksheet!BK319&lt;H67,Worksheet!BL319&lt;H67,Worksheet!BP319&lt;H68,Worksheet!BR319&lt;H68,Worksheet!BU319="ISOLD",Worksheet!BW319,AND(Worksheet!BG320="MDT",Worksheet!BI320&lt;30),AND(Worksheet!BG320="MDT-SVR",Worksheet!BI320&lt;30),AND(Worksheet!BG320="SVR",Worksheet!BA320&lt;30),AND(Worksheet!BQ320="SVR",Worksheet!BS320&lt;30),Worksheet!BW320="LLWS",Worksheet!BY320="LLWS"),"Y","G"))</f>
        <v>Y</v>
      </c>
      <c r="R63" s="1219"/>
      <c r="S63" s="1242" t="str">
        <f>IF(OR(Worksheet!CG319&gt;E64,Worksheet!CU319="YES",AND(Worksheet!CC320="MDT",Worksheet!CE320&lt;30),AND(Worksheet!CC320="MDT-SVR",Worksheet!CE320&lt;30),AND(Worksheet!CC320="SVR",Worksheet!CE320&lt;30),AND(Worksheet!CM320="SVR",Worksheet!CO320&lt;30)),"R",IF(OR(Worksheet!CG319&gt;H64,Worksheet!CI319&gt;H64,Worksheet!CK319&lt;H67,Worksheet!CL319&lt;H67,Worksheet!CP319&lt;H68,Worksheet!CR319&lt;H68,Worksheet!CU319="ISOLD",Worksheet!CW319,AND(Worksheet!CG320="MDT",Worksheet!CI320&lt;30),AND(Worksheet!CG320="MDT-SVR",Worksheet!CI320&lt;30),AND(Worksheet!CG320="SVR",Worksheet!CA320&lt;30),AND(Worksheet!CQ320="SVR",Worksheet!CS320&lt;30),Worksheet!CW320="LLWS",Worksheet!CY320="LLWS"),"Y","G"))</f>
        <v>Y</v>
      </c>
      <c r="T63" s="1242"/>
      <c r="U63" s="1218" t="str">
        <f>IF(OR(Worksheet!DG319&gt;E64,Worksheet!DU319="YES",AND(Worksheet!DC320="MDT",Worksheet!DE320&lt;30),AND(Worksheet!DC320="MDT-SVR",Worksheet!DE320&lt;30),AND(Worksheet!DC320="SVR",Worksheet!DE320&lt;30),AND(Worksheet!DM320="SVR",Worksheet!DO320&lt;30)),"R",IF(OR(Worksheet!DG319&gt;H64,Worksheet!DI319&gt;H64,Worksheet!DK319&lt;H67,Worksheet!DL319&lt;H67,Worksheet!DP319&lt;H68,Worksheet!DR319&lt;H68,Worksheet!DU319="ISOLD",Worksheet!DW319,AND(Worksheet!DG320="MDT",Worksheet!DI320&lt;30),AND(Worksheet!DG320="MDT-SVR",Worksheet!DI320&lt;30),AND(Worksheet!DG320="SVR",Worksheet!DA320&lt;30),AND(Worksheet!DQ320="SVR",Worksheet!DS320&lt;30),Worksheet!DW320="LLWS",Worksheet!DY320="LLWS"),"Y","G"))</f>
        <v>Y</v>
      </c>
      <c r="V63" s="1219"/>
      <c r="W63" s="1200"/>
      <c r="X63" s="1281"/>
    </row>
    <row r="64" spans="2:24" ht="15.5">
      <c r="B64" s="20" t="s">
        <v>2495</v>
      </c>
      <c r="C64" s="21" t="s">
        <v>2561</v>
      </c>
      <c r="E64" s="36">
        <v>45</v>
      </c>
      <c r="H64" s="36">
        <v>10</v>
      </c>
      <c r="L64" s="403"/>
      <c r="M64" s="403"/>
      <c r="N64" s="1186" t="s">
        <v>2512</v>
      </c>
      <c r="O64" s="1241" t="str">
        <f>IF(OR(INDEX(calc!U8:U20,MATCH(HOUR(Worksheet!AT291),calc!A8:A20,0))&gt;H69,INDEX(calc!U8:U20,MATCH(HOUR(Worksheet!AT291),calc!A8:A20,0))&lt;I69),"Y","G")</f>
        <v>Y</v>
      </c>
      <c r="P64" s="1242"/>
      <c r="Q64" s="1218" t="e">
        <f>IF(OR(INDEX(calc!U8:U20,MATCH(HOUR(Worksheet!BT291),calc!A8:A20,0))&gt;H69,INDEX(calc!U8:U20,MATCH(HOUR(Worksheet!BT291),calc!A8:A20,0))&lt;I69),"Y","G")</f>
        <v>#N/A</v>
      </c>
      <c r="R64" s="1219"/>
      <c r="S64" s="1242" t="e">
        <f>IF(OR(INDEX(calc!U8:U20,MATCH(HOUR(Worksheet!CT291),calc!A8:A20,0))&gt;H69,INDEX(calc!U8:U20,MATCH(HOUR(Worksheet!CT291),calc!A8:A20,0))&lt;I69),"Y","G")</f>
        <v>#N/A</v>
      </c>
      <c r="T64" s="1242"/>
      <c r="U64" s="1218" t="e">
        <f>IF(OR(INDEX(calc!U8:U20,MATCH(HOUR(Worksheet!DT291),calc!A8:A20,0))&gt;H69,INDEX(calc!U8:U20,MATCH(HOUR(Worksheet!DT291),calc!A8:A20,0))&lt;I69),"Y","G")</f>
        <v>#N/A</v>
      </c>
      <c r="V64" s="1219"/>
      <c r="W64" s="1200"/>
      <c r="X64" s="1200"/>
    </row>
    <row r="65" spans="2:24" ht="15.5">
      <c r="B65" s="20" t="s">
        <v>2497</v>
      </c>
      <c r="C65" s="21" t="s">
        <v>2498</v>
      </c>
      <c r="E65" s="36">
        <v>4</v>
      </c>
      <c r="H65" s="36">
        <v>1</v>
      </c>
      <c r="I65" s="36">
        <v>2</v>
      </c>
      <c r="J65" s="36">
        <v>3</v>
      </c>
      <c r="L65" s="403"/>
      <c r="M65" s="403"/>
      <c r="N65" s="1186" t="s">
        <v>2514</v>
      </c>
      <c r="O65" s="1243" t="str">
        <f>IF(ISERROR(O64),O63,IF(OR(O63="R",O64="R"),"R",IF(OR(O63="Y",O64="Y"),"Y","G")))</f>
        <v>Y</v>
      </c>
      <c r="P65" s="1244"/>
      <c r="Q65" s="1220" t="str">
        <f>IF(ISERROR(Q64),Q63,IF(OR(Q63="R",Q64="R"),"R",IF(OR(Q63="Y",Q64="Y"),"Y","G")))</f>
        <v>Y</v>
      </c>
      <c r="R65" s="1221"/>
      <c r="S65" s="1243" t="str">
        <f>IF(ISERROR(S64),S63,IF(OR(S63="R",S64="R"),"R",IF(OR(S63="Y",S64="Y"),"Y","G")))</f>
        <v>Y</v>
      </c>
      <c r="T65" s="1244"/>
      <c r="U65" s="1220" t="str">
        <f>IF(ISERROR(U64),U63,IF(OR(U63="R",U64="R"),"R",IF(OR(U63="Y",U64="Y"),"Y","G")))</f>
        <v>Y</v>
      </c>
      <c r="V65" s="1221"/>
      <c r="W65" s="1200"/>
      <c r="X65" s="1200"/>
    </row>
    <row r="66" spans="2:24" ht="15.5">
      <c r="B66" s="20" t="s">
        <v>2499</v>
      </c>
      <c r="C66" s="21" t="s">
        <v>2562</v>
      </c>
      <c r="E66" s="36">
        <v>7</v>
      </c>
      <c r="F66" s="36">
        <v>9</v>
      </c>
      <c r="H66" s="36">
        <v>2</v>
      </c>
      <c r="I66" s="38">
        <v>3</v>
      </c>
      <c r="J66" s="38">
        <v>4</v>
      </c>
      <c r="K66" s="38">
        <v>5</v>
      </c>
      <c r="L66" s="38">
        <v>6</v>
      </c>
      <c r="M66" s="38">
        <v>8</v>
      </c>
      <c r="N66" s="403"/>
      <c r="O66" s="1202"/>
      <c r="P66" s="1200"/>
      <c r="Q66" s="1202"/>
      <c r="R66" s="1201"/>
      <c r="S66" s="1200"/>
      <c r="T66" s="1200"/>
      <c r="U66" s="1202"/>
      <c r="V66" s="1201"/>
      <c r="W66" s="1200"/>
      <c r="X66" s="1200"/>
    </row>
    <row r="67" spans="2:24" ht="15.5">
      <c r="B67" s="20" t="s">
        <v>2501</v>
      </c>
      <c r="C67" s="21" t="s">
        <v>2563</v>
      </c>
      <c r="H67" s="36">
        <v>3</v>
      </c>
      <c r="L67" s="403"/>
      <c r="M67" s="403"/>
      <c r="N67" s="403"/>
      <c r="O67" s="1202"/>
      <c r="P67" s="1200"/>
      <c r="Q67" s="1202"/>
      <c r="R67" s="1201"/>
      <c r="S67" s="1200"/>
      <c r="T67" s="1200"/>
      <c r="U67" s="1202"/>
      <c r="V67" s="1201"/>
      <c r="W67" s="1200"/>
      <c r="X67" s="1200"/>
    </row>
    <row r="68" spans="2:24" ht="15.5">
      <c r="B68" s="20" t="s">
        <v>2503</v>
      </c>
      <c r="C68" s="21" t="s">
        <v>2564</v>
      </c>
      <c r="H68" s="36">
        <v>10</v>
      </c>
      <c r="L68" s="403"/>
      <c r="M68" s="403"/>
      <c r="N68" s="403"/>
      <c r="O68" s="1202"/>
      <c r="P68" s="1200"/>
      <c r="Q68" s="1202"/>
      <c r="R68" s="1201"/>
      <c r="S68" s="1200"/>
      <c r="T68" s="1200"/>
      <c r="U68" s="1202"/>
      <c r="V68" s="1201"/>
      <c r="W68" s="1200"/>
      <c r="X68" s="1200"/>
    </row>
    <row r="69" spans="2:24" ht="15.5">
      <c r="B69" s="20" t="s">
        <v>2526</v>
      </c>
      <c r="C69" s="21" t="s">
        <v>2565</v>
      </c>
      <c r="H69" s="36">
        <v>90</v>
      </c>
      <c r="I69" s="36">
        <f>0-29</f>
        <v>-29</v>
      </c>
      <c r="L69" s="403"/>
      <c r="M69" s="403"/>
      <c r="N69" s="403"/>
      <c r="O69" s="1202"/>
      <c r="P69" s="1200"/>
      <c r="Q69" s="1202"/>
      <c r="R69" s="1201"/>
      <c r="S69" s="1200"/>
      <c r="T69" s="1200"/>
      <c r="U69" s="1202"/>
      <c r="V69" s="1201"/>
      <c r="W69" s="1200"/>
      <c r="X69" s="1200"/>
    </row>
    <row r="70" spans="2:24" ht="16" thickBot="1">
      <c r="B70" s="22" t="s">
        <v>2505</v>
      </c>
      <c r="C70" s="23" t="s">
        <v>2519</v>
      </c>
      <c r="E70" s="1921" t="s">
        <v>395</v>
      </c>
      <c r="H70" s="1921" t="s">
        <v>2507</v>
      </c>
      <c r="L70" s="403"/>
      <c r="M70" s="403"/>
      <c r="N70" s="403"/>
      <c r="O70" s="1202"/>
      <c r="P70" s="1200"/>
      <c r="Q70" s="1202"/>
      <c r="R70" s="1201"/>
      <c r="S70" s="1200"/>
      <c r="T70" s="1200"/>
      <c r="U70" s="1202"/>
      <c r="V70" s="1201"/>
      <c r="W70" s="1200"/>
      <c r="X70" s="1200"/>
    </row>
    <row r="71" spans="2:24" ht="13" thickBot="1">
      <c r="B71" s="403"/>
      <c r="C71" s="403"/>
      <c r="L71" s="403"/>
      <c r="M71" s="403"/>
      <c r="N71" s="403"/>
      <c r="O71" s="1202"/>
      <c r="P71" s="1200"/>
      <c r="Q71" s="1202"/>
      <c r="R71" s="1201"/>
      <c r="S71" s="1200"/>
      <c r="T71" s="1200"/>
      <c r="U71" s="1202"/>
      <c r="V71" s="1201"/>
      <c r="W71" s="1200"/>
      <c r="X71" s="1200"/>
    </row>
    <row r="72" spans="2:24" ht="17.25" customHeight="1" thickBot="1">
      <c r="B72" s="1253" t="s">
        <v>119</v>
      </c>
      <c r="C72" s="1530" t="s">
        <v>2530</v>
      </c>
      <c r="L72" s="403"/>
      <c r="M72" s="403"/>
      <c r="N72" s="1186" t="s">
        <v>2510</v>
      </c>
      <c r="O72" s="1237" t="str">
        <f>IF(OR(Worksheet!AG319&gt;E73,Worksheet!AU319="YES",Worksheet!AE320&lt;30,AND(Worksheet!AM320="MDT",Worksheet!AO320&lt;30),AND(Worksheet!AM320="MDT-SVR",Worksheet!AO320&lt;30),AND(Worksheet!AM320="SVR",Worksheet!AO320&lt;30)),"R",IF(OR(Worksheet!AG319&gt;H73,Worksheet!AI319&gt;H73,Worksheet!AK319&lt;H76,Worksheet!AL319&lt;H76,Worksheet!AP319&lt;H77,Worksheet!AR319&lt;H77,Worksheet!AU319="ISOLD",Worksheet!AW319&lt;&gt;"",Worksheet!AG320&lt;30,AND(Worksheet!AQ320="MDT",Worksheet!AS320&lt;30),AND(Worksheet!AQ320="MDT-SVR",Worksheet!AS320&lt;30),AND(Worksheet!AQ320="SVR",Worksheet!AS320&lt;30),Worksheet!AW320="LLWS",Worksheet!AY320="LLWS"),"Y","G"))</f>
        <v>Y</v>
      </c>
      <c r="P72" s="1238"/>
      <c r="Q72" s="1222" t="str">
        <f>IF(OR(Worksheet!BG319&gt;E73,Worksheet!BU319="YES",Worksheet!BE320&lt;30,AND(Worksheet!BM320="MDT",Worksheet!BO320&lt;30),AND(Worksheet!BM320="MDT-SVR",Worksheet!BO320&lt;30),AND(Worksheet!BM320="SVR",Worksheet!BO320&lt;30)),"R",IF(OR(Worksheet!BG319&gt;H73,Worksheet!BI319&gt;H73,Worksheet!BK319&lt;H76,Worksheet!BL319&lt;H76,Worksheet!BP319&lt;H77,Worksheet!BR319&lt;H77,Worksheet!BU319="ISOLD",Worksheet!BW319&lt;&gt;"",Worksheet!BG320&lt;30,AND(Worksheet!BQ320="MDT",Worksheet!BS320&lt;30),AND(Worksheet!BQ320="MDT-SVR",Worksheet!BS320&lt;30),AND(Worksheet!BQ320="SVR",Worksheet!BS320&lt;30),Worksheet!BW320="LLWS",Worksheet!BY320="LLWS"),"Y","G"))</f>
        <v>Y</v>
      </c>
      <c r="R72" s="1223"/>
      <c r="S72" s="1238" t="str">
        <f>IF(OR(Worksheet!CG319&gt;E73,Worksheet!CU319="YES",Worksheet!CE320&lt;30,AND(Worksheet!CM320="MDT",Worksheet!CO320&lt;30),AND(Worksheet!CM320="MDT-SVR",Worksheet!CO320&lt;30),AND(Worksheet!CM320="SVR",Worksheet!CO320&lt;30)),"R",IF(OR(Worksheet!CG319&gt;H73,Worksheet!CI319&gt;H73,Worksheet!CK319&lt;H76,Worksheet!CL319&lt;H76,Worksheet!CP319&lt;H77,Worksheet!CR319&lt;H77,Worksheet!CU319="ISOLD",Worksheet!CW319&lt;&gt;"",Worksheet!CG320&lt;30,AND(Worksheet!CQ320="MDT",Worksheet!CS320&lt;30),AND(Worksheet!CQ320="MDT-SVR",Worksheet!CS320&lt;30),AND(Worksheet!CQ320="SVR",Worksheet!CS320&lt;30),Worksheet!CW320="LLWS",Worksheet!CY320="LLWS"),"Y","G"))</f>
        <v>Y</v>
      </c>
      <c r="T72" s="1238"/>
      <c r="U72" s="1222" t="str">
        <f>IF(OR(Worksheet!DG319&gt;E73,Worksheet!DU319="YES",Worksheet!DE320&lt;30,AND(Worksheet!DM320="MDT",Worksheet!DO320&lt;30),AND(Worksheet!DM320="MDT-SVR",Worksheet!DO320&lt;30),AND(Worksheet!DM320="SVR",Worksheet!DO320&lt;30)),"R",IF(OR(Worksheet!DG319&gt;H73,Worksheet!DI319&gt;H73,Worksheet!DK319&lt;H76,Worksheet!DL319&lt;H76,Worksheet!DP319&lt;H77,Worksheet!DR319&lt;H77,Worksheet!DU319="ISOLD",Worksheet!DW319&lt;&gt;"",Worksheet!DG320&lt;30,AND(Worksheet!DQ320="MDT",Worksheet!DS320&lt;30),AND(Worksheet!DQ320="MDT-SVR",Worksheet!DS320&lt;30),AND(Worksheet!DQ320="SVR",Worksheet!DS320&lt;30),Worksheet!DW320="LLWS",Worksheet!DY320="LLWS"),"Y","G"))</f>
        <v>Y</v>
      </c>
      <c r="V72" s="1223"/>
      <c r="W72" s="1200"/>
      <c r="X72" s="1281"/>
    </row>
    <row r="73" spans="2:24" ht="15.5">
      <c r="B73" s="1254" t="s">
        <v>2495</v>
      </c>
      <c r="C73" s="1255" t="s">
        <v>2566</v>
      </c>
      <c r="E73" s="36">
        <v>35</v>
      </c>
      <c r="H73" s="36">
        <v>20</v>
      </c>
      <c r="L73" s="403"/>
      <c r="M73" s="403"/>
      <c r="N73" s="1186" t="s">
        <v>2512</v>
      </c>
      <c r="O73" s="1237" t="s">
        <v>2513</v>
      </c>
      <c r="P73" s="1238"/>
      <c r="Q73" s="1222" t="s">
        <v>2513</v>
      </c>
      <c r="R73" s="1223"/>
      <c r="S73" s="1238" t="s">
        <v>2513</v>
      </c>
      <c r="T73" s="1238"/>
      <c r="U73" s="1222" t="s">
        <v>2513</v>
      </c>
      <c r="V73" s="1223"/>
      <c r="W73" s="1200"/>
      <c r="X73" s="1200"/>
    </row>
    <row r="74" spans="2:24" ht="15.5">
      <c r="B74" s="1254" t="s">
        <v>2497</v>
      </c>
      <c r="C74" s="1255" t="s">
        <v>2532</v>
      </c>
      <c r="E74" s="36">
        <v>1</v>
      </c>
      <c r="H74" s="36">
        <v>0</v>
      </c>
      <c r="L74" s="403"/>
      <c r="M74" s="403"/>
      <c r="N74" s="1186" t="s">
        <v>2514</v>
      </c>
      <c r="O74" s="1239" t="str">
        <f>IF(ISERROR(O73),O72,IF(OR(O72="R",O73="R"),"R",IF(OR(O72="Y",O73="Y"),"Y","G")))</f>
        <v>Y</v>
      </c>
      <c r="P74" s="1240"/>
      <c r="Q74" s="1224" t="str">
        <f>IF(ISERROR(Q73),Q72,IF(OR(Q72="R",Q73="R"),"R",IF(OR(Q72="Y",Q73="Y"),"Y","G")))</f>
        <v>Y</v>
      </c>
      <c r="R74" s="1225"/>
      <c r="S74" s="1239" t="str">
        <f>IF(ISERROR(S73),S72,IF(OR(S72="R",S73="R"),"R",IF(OR(S72="Y",S73="Y"),"Y","G")))</f>
        <v>Y</v>
      </c>
      <c r="T74" s="1240"/>
      <c r="U74" s="1224" t="str">
        <f>IF(ISERROR(U73),U72,IF(OR(U72="R",U73="R"),"R",IF(OR(U72="Y",U73="Y"),"Y","G")))</f>
        <v>Y</v>
      </c>
      <c r="V74" s="1225"/>
      <c r="W74" s="1200"/>
      <c r="X74" s="1200"/>
    </row>
    <row r="75" spans="2:24" ht="15.5">
      <c r="B75" s="1254" t="s">
        <v>2499</v>
      </c>
      <c r="C75" s="1255" t="s">
        <v>2567</v>
      </c>
      <c r="E75" s="36">
        <v>3</v>
      </c>
      <c r="F75" s="36">
        <v>4</v>
      </c>
      <c r="H75" s="36">
        <v>1</v>
      </c>
      <c r="I75" s="36">
        <v>2</v>
      </c>
      <c r="J75" s="36">
        <v>4</v>
      </c>
      <c r="K75" s="36"/>
      <c r="L75" s="403"/>
      <c r="M75" s="403"/>
      <c r="N75" s="403"/>
      <c r="O75" s="1202"/>
      <c r="P75" s="1200"/>
      <c r="Q75" s="1202"/>
      <c r="R75" s="1201"/>
      <c r="S75" s="1200"/>
      <c r="T75" s="1200"/>
      <c r="U75" s="1202"/>
      <c r="V75" s="1201"/>
      <c r="W75" s="1200"/>
      <c r="X75" s="1200"/>
    </row>
    <row r="76" spans="2:24" ht="15.5">
      <c r="B76" s="1254" t="s">
        <v>2501</v>
      </c>
      <c r="C76" s="1255" t="s">
        <v>2563</v>
      </c>
      <c r="H76" s="36">
        <v>3</v>
      </c>
      <c r="L76" s="403"/>
      <c r="M76" s="403"/>
      <c r="N76" s="403"/>
      <c r="O76" s="1202"/>
      <c r="P76" s="1200"/>
      <c r="Q76" s="1202"/>
      <c r="R76" s="1201"/>
      <c r="S76" s="1200"/>
      <c r="T76" s="1200"/>
      <c r="U76" s="1202"/>
      <c r="V76" s="1201"/>
      <c r="W76" s="1200"/>
      <c r="X76" s="1200"/>
    </row>
    <row r="77" spans="2:24" ht="15.5">
      <c r="B77" s="1254" t="s">
        <v>2503</v>
      </c>
      <c r="C77" s="1255" t="s">
        <v>2564</v>
      </c>
      <c r="H77" s="36">
        <v>10</v>
      </c>
      <c r="L77" s="403"/>
      <c r="M77" s="403"/>
      <c r="N77" s="403"/>
      <c r="O77" s="1202"/>
      <c r="P77" s="1200"/>
      <c r="Q77" s="1202"/>
      <c r="R77" s="1201"/>
      <c r="S77" s="1200"/>
      <c r="T77" s="1200"/>
      <c r="U77" s="1202"/>
      <c r="V77" s="1201"/>
      <c r="W77" s="1200"/>
      <c r="X77" s="1200"/>
    </row>
    <row r="78" spans="2:24" ht="16" thickBot="1">
      <c r="B78" s="1256" t="s">
        <v>2505</v>
      </c>
      <c r="C78" s="1257" t="s">
        <v>2519</v>
      </c>
      <c r="E78" s="36" t="s">
        <v>395</v>
      </c>
      <c r="H78" s="36" t="s">
        <v>2507</v>
      </c>
      <c r="L78" s="403"/>
      <c r="M78" s="403"/>
      <c r="N78" s="403"/>
      <c r="O78" s="1202"/>
      <c r="P78" s="1200"/>
      <c r="Q78" s="1202"/>
      <c r="R78" s="1201"/>
      <c r="S78" s="1200"/>
      <c r="T78" s="1200"/>
      <c r="U78" s="1202"/>
      <c r="V78" s="1201"/>
      <c r="W78" s="1200"/>
      <c r="X78" s="1200"/>
    </row>
    <row r="79" spans="2:24" ht="13" thickBot="1">
      <c r="B79" s="403"/>
      <c r="C79" s="403"/>
      <c r="L79" s="403"/>
      <c r="M79" s="403"/>
      <c r="N79" s="403"/>
      <c r="O79" s="1202"/>
      <c r="P79" s="1200"/>
      <c r="Q79" s="1202"/>
      <c r="R79" s="1201"/>
      <c r="S79" s="1200"/>
      <c r="T79" s="1200"/>
      <c r="U79" s="1202"/>
      <c r="V79" s="1201"/>
      <c r="W79" s="1200"/>
      <c r="X79" s="1200"/>
    </row>
    <row r="80" spans="2:24" ht="17.25" customHeight="1" thickBot="1">
      <c r="B80" s="1263" t="s">
        <v>111</v>
      </c>
      <c r="C80" s="1264" t="s">
        <v>2568</v>
      </c>
      <c r="I80" s="36"/>
      <c r="J80" s="36"/>
      <c r="K80" s="36"/>
      <c r="L80" s="377"/>
      <c r="M80" s="377"/>
      <c r="N80" s="1186" t="s">
        <v>2510</v>
      </c>
      <c r="O80" s="1232" t="str">
        <f>IF(OR(Worksheet!AG319&gt;(E81-1),(MAX(Worksheet!AF319,Worksheet!AG319)-MIN(Worksheet!AF319,Worksheet!AG319))&gt;(E83-1),Worksheet!AK319&lt;E86,Worksheet!AP319&lt;E87,Worksheet!AU319="YES",AND(Worksheet!AC320="MDT",Worksheet!AE320&lt;100),AND(Worksheet!AC320="MDT-SVR",Worksheet!AE320&lt;100),AND(Worksheet!AC320="SVR",Worksheet!AE320&lt;100),AND(Worksheet!AM320="SVR",Worksheet!AO320&lt;100),Worksheet!AW320="LLWS"),"R",IF(OR(Worksheet!AG319&gt;(H81-1),Worksheet!AI319&gt;(H81-1),Worksheet!AK319&lt;H86,Worksheet!AL319&lt;H86,Worksheet!AP319&lt;H87,Worksheet!AR319&lt;H87,Worksheet!AU319="ISOLD",Worksheet!AW319&lt;&gt;"",Worksheet!AC320&lt;&gt;"",Worksheet!AG320&lt;&gt;"",Worksheet!AM320="MDT",Worksheet!AM320="MDT-SVR",Worksheet!AM320="SVR",Worksheet!AQ320="MDT",Worksheet!AQ320="MDT-SVR",Worksheet!AQ320="SVR",Worksheet!AY320="LLWS"),"Y","G"))</f>
        <v>Y</v>
      </c>
      <c r="P80" s="1233"/>
      <c r="Q80" s="1228" t="str">
        <f>IF(OR(Worksheet!BG319&gt;(E81-1),(MAX(Worksheet!BF319,Worksheet!BG319)-MIN(Worksheet!BF319,Worksheet!BG319))&gt;(E83-1),Worksheet!BK319&lt;E86,Worksheet!BP319&lt;E87,Worksheet!BU319="YES",AND(Worksheet!BC320="MDT",Worksheet!BE320&lt;100),AND(Worksheet!BC320="MDT-SVR",Worksheet!BE320&lt;100),AND(Worksheet!BC320="SVR",Worksheet!BE320&lt;100),AND(Worksheet!BM320="SVR",Worksheet!BO320&lt;100),Worksheet!BW320="LLWS"),"R",IF(OR(Worksheet!BG319&gt;(H81-1),Worksheet!BI319&gt;(H81-1),Worksheet!BK319&lt;H86,Worksheet!BL319&lt;H86,Worksheet!BP319&lt;H87,Worksheet!BR319&lt;H87,Worksheet!BU319="ISOLD",Worksheet!BW319&lt;&gt;"",Worksheet!BC320&lt;&gt;"",Worksheet!BG320&lt;&gt;"",Worksheet!BM320="MDT",Worksheet!BM320="MDT-SVR",Worksheet!BM320="SVR",Worksheet!BQ320="MDT",Worksheet!BQ320="MDT-SVR",Worksheet!BQ320="SVR",Worksheet!BY320="LLWS"),"Y","G"))</f>
        <v>R</v>
      </c>
      <c r="R80" s="1229"/>
      <c r="S80" s="1233" t="str">
        <f>IF(OR(Worksheet!CG319&gt;(E81-1),(MAX(Worksheet!CF319,Worksheet!CG319)-MIN(Worksheet!CF319,Worksheet!CG319))&gt;(E83-1),Worksheet!CK319&lt;E86,Worksheet!CP319&lt;E87,Worksheet!CU319="YES",AND(Worksheet!CC320="MDT",Worksheet!CE320&lt;100),AND(Worksheet!CC320="MDT-SVR",Worksheet!CE320&lt;100),AND(Worksheet!CC320="SVR",Worksheet!CE320&lt;100),AND(Worksheet!CM320="SVR",Worksheet!CO320&lt;100),Worksheet!CW320="LLWS"),"R",IF(OR(Worksheet!CG319&gt;(H81-1),Worksheet!CI319&gt;(H81-1),Worksheet!CK319&lt;H86,Worksheet!CL319&lt;H86,Worksheet!CP319&lt;H87,Worksheet!CR319&lt;H87,Worksheet!CU319="ISOLD",Worksheet!CW319&lt;&gt;"",Worksheet!CC320&lt;&gt;"",Worksheet!CG320&lt;&gt;"",Worksheet!CM320="MDT",Worksheet!CM320="MDT-SVR",Worksheet!CM320="SVR",Worksheet!CQ320="MDT",Worksheet!CQ320="MDT-SVR",Worksheet!CQ320="SVR",Worksheet!CY320="LLWS"),"Y","G"))</f>
        <v>R</v>
      </c>
      <c r="T80" s="1233"/>
      <c r="U80" s="1228" t="str">
        <f>IF(OR(Worksheet!DG319&gt;(E81-1),(MAX(Worksheet!DF319,Worksheet!DG319)-MIN(Worksheet!DF319,Worksheet!DG319))&gt;(E83-1),Worksheet!DK319&lt;E86,Worksheet!DP319&lt;E87,Worksheet!DU319="YES",AND(Worksheet!DC320="MDT",Worksheet!DE320&lt;100),AND(Worksheet!DC320="MDT-SVR",Worksheet!DE320&lt;100),AND(Worksheet!DC320="SVR",Worksheet!DE320&lt;100),AND(Worksheet!DM320="SVR",Worksheet!DO320&lt;100),Worksheet!DW320="LLWS"),"R",IF(OR(Worksheet!DG319&gt;(H81-1),Worksheet!DI319&gt;(H81-1),Worksheet!DK319&lt;H86,Worksheet!DL319&lt;H86,Worksheet!DP319&lt;H87,Worksheet!DR319&lt;H87,Worksheet!DU319="ISOLD",Worksheet!DW319&lt;&gt;"",Worksheet!DC320&lt;&gt;"",Worksheet!DG320&lt;&gt;"",Worksheet!DM320="MDT",Worksheet!DM320="MDT-SVR",Worksheet!DM320="SVR",Worksheet!DQ320="MDT",Worksheet!DQ320="MDT-SVR",Worksheet!DQ320="SVR",Worksheet!DY320="LLWS"),"Y","G"))</f>
        <v>R</v>
      </c>
      <c r="V80" s="1229"/>
      <c r="W80" s="1200"/>
      <c r="X80" s="1281"/>
    </row>
    <row r="81" spans="2:24" ht="15.5">
      <c r="B81" s="1265" t="s">
        <v>2495</v>
      </c>
      <c r="C81" s="1266" t="s">
        <v>2569</v>
      </c>
      <c r="E81" s="36">
        <v>29</v>
      </c>
      <c r="H81" s="36">
        <v>15</v>
      </c>
      <c r="I81" s="36"/>
      <c r="J81" s="36"/>
      <c r="K81" s="36"/>
      <c r="L81" s="377"/>
      <c r="M81" s="377"/>
      <c r="N81" s="1186" t="s">
        <v>2512</v>
      </c>
      <c r="O81" s="1232" t="str">
        <f>IF(INDEX(calc!U8:U20,MATCH(HOUR(Worksheet!AT291),calc!A8:A20,0))&gt;E88,"R",IF(INDEX(calc!U8:U20,MATCH(HOUR(Worksheet!AT291),calc!A8:A20,0))&gt;H88,"Y","G"))</f>
        <v>R</v>
      </c>
      <c r="P81" s="1233"/>
      <c r="Q81" s="1228" t="e">
        <f>IF(INDEX(calc!U8:U20,MATCH(HOUR(Worksheet!BT291),calc!A8:A20,0))&gt;E88,"R",IF(INDEX(calc!U8:U20,MATCH(HOUR(Worksheet!BT291),calc!A8:A20,0))&gt;H88,"Y","G"))</f>
        <v>#N/A</v>
      </c>
      <c r="R81" s="1229"/>
      <c r="S81" s="1233" t="e">
        <f>IF(INDEX(calc!U8:U20,MATCH(HOUR(Worksheet!CT291),calc!A8:A20,0))&gt;E88,"R",IF(INDEX(calc!U8:U20,MATCH(HOUR(Worksheet!CT291),calc!A8:A20,0))&gt;H88,"Y","G"))</f>
        <v>#N/A</v>
      </c>
      <c r="T81" s="1233"/>
      <c r="U81" s="1228" t="e">
        <f>IF(INDEX(calc!U8:U20,MATCH(HOUR(Worksheet!DT291),calc!A8:A20,0))&gt;E88,"R",IF(INDEX(calc!U8:U20,MATCH(HOUR(Worksheet!DT291),calc!A8:A20,0))&gt;H88,"Y","G"))</f>
        <v>#N/A</v>
      </c>
      <c r="V81" s="1229"/>
      <c r="W81" s="1200"/>
      <c r="X81" s="1200"/>
    </row>
    <row r="82" spans="2:24" ht="15.5">
      <c r="B82" s="1265" t="s">
        <v>2570</v>
      </c>
      <c r="C82" s="1266" t="s">
        <v>2571</v>
      </c>
      <c r="E82" s="36">
        <v>14</v>
      </c>
      <c r="H82" s="36">
        <v>12</v>
      </c>
      <c r="I82" s="36"/>
      <c r="J82" s="36"/>
      <c r="K82" s="36"/>
      <c r="L82" s="377"/>
      <c r="M82" s="377"/>
      <c r="N82" s="1186" t="s">
        <v>2514</v>
      </c>
      <c r="O82" s="1234" t="str">
        <f>IF(ISERROR(O81),O80,IF(OR(O80="R",O81="R"),"R",IF(OR(O80="Y",O81="Y"),"Y","G")))</f>
        <v>R</v>
      </c>
      <c r="P82" s="1235"/>
      <c r="Q82" s="1230" t="str">
        <f>IF(ISERROR(Q81),Q80,IF(OR(Q80="R",Q81="R"),"R",IF(OR(Q80="Y",Q81="Y"),"Y","G")))</f>
        <v>R</v>
      </c>
      <c r="R82" s="1231"/>
      <c r="S82" s="1234" t="str">
        <f>IF(ISERROR(S81),S80,IF(OR(S80="R",S81="R"),"R",IF(OR(S80="Y",S81="Y"),"Y","G")))</f>
        <v>R</v>
      </c>
      <c r="T82" s="1235"/>
      <c r="U82" s="1230" t="str">
        <f>IF(ISERROR(U81),U80,IF(OR(U80="R",U81="R"),"R",IF(OR(U80="Y",U81="Y"),"Y","G")))</f>
        <v>R</v>
      </c>
      <c r="V82" s="1231"/>
      <c r="W82" s="1200"/>
      <c r="X82" s="1200"/>
    </row>
    <row r="83" spans="2:24" ht="15.5">
      <c r="B83" s="1265" t="s">
        <v>2572</v>
      </c>
      <c r="C83" s="1266" t="s">
        <v>2573</v>
      </c>
      <c r="E83" s="36">
        <v>20</v>
      </c>
      <c r="H83" s="36">
        <v>15</v>
      </c>
      <c r="I83" s="36"/>
      <c r="J83" s="36"/>
      <c r="K83" s="36"/>
      <c r="L83" s="377"/>
      <c r="M83" s="377"/>
      <c r="N83" s="403"/>
      <c r="O83" s="1202"/>
      <c r="P83" s="1200"/>
      <c r="Q83" s="1202"/>
      <c r="R83" s="1201"/>
      <c r="S83" s="1200"/>
      <c r="T83" s="1200"/>
      <c r="U83" s="1202"/>
      <c r="V83" s="1201"/>
      <c r="W83" s="1200"/>
      <c r="X83" s="1200"/>
    </row>
    <row r="84" spans="2:24" s="403" customFormat="1" ht="15.5">
      <c r="B84" s="1265" t="s">
        <v>2497</v>
      </c>
      <c r="C84" s="1266" t="s">
        <v>2498</v>
      </c>
      <c r="D84" s="48"/>
      <c r="E84" s="36">
        <v>4</v>
      </c>
      <c r="F84" s="36"/>
      <c r="G84" s="36"/>
      <c r="H84" s="36">
        <v>1</v>
      </c>
      <c r="I84" s="36">
        <v>2</v>
      </c>
      <c r="J84" s="36">
        <v>3</v>
      </c>
      <c r="K84" s="36"/>
      <c r="L84" s="377"/>
      <c r="M84" s="377"/>
      <c r="O84" s="1202"/>
      <c r="P84" s="1200"/>
      <c r="Q84" s="1202"/>
      <c r="R84" s="1201"/>
      <c r="S84" s="1200"/>
      <c r="T84" s="1200"/>
      <c r="U84" s="1202"/>
      <c r="V84" s="1201"/>
      <c r="W84" s="1200"/>
      <c r="X84" s="1200"/>
    </row>
    <row r="85" spans="2:24" s="403" customFormat="1" ht="15.5">
      <c r="B85" s="1265" t="s">
        <v>2499</v>
      </c>
      <c r="C85" s="1266" t="s">
        <v>2574</v>
      </c>
      <c r="D85" s="48"/>
      <c r="E85" s="36">
        <v>7</v>
      </c>
      <c r="F85" s="36">
        <v>9</v>
      </c>
      <c r="G85" s="36"/>
      <c r="H85" s="36">
        <v>3</v>
      </c>
      <c r="I85" s="36">
        <v>5</v>
      </c>
      <c r="J85" s="36">
        <v>6</v>
      </c>
      <c r="K85" s="36">
        <v>8</v>
      </c>
      <c r="L85" s="377"/>
      <c r="M85" s="377"/>
      <c r="O85" s="1202"/>
      <c r="P85" s="1200"/>
      <c r="Q85" s="1202"/>
      <c r="R85" s="1201"/>
      <c r="S85" s="1200"/>
      <c r="T85" s="1200"/>
      <c r="U85" s="1202"/>
      <c r="V85" s="1201"/>
      <c r="W85" s="1200"/>
      <c r="X85" s="1200"/>
    </row>
    <row r="86" spans="2:24" ht="15.5">
      <c r="B86" s="1265" t="s">
        <v>2501</v>
      </c>
      <c r="C86" s="1266" t="s">
        <v>2575</v>
      </c>
      <c r="E86" s="36">
        <v>3</v>
      </c>
      <c r="H86" s="36">
        <v>5</v>
      </c>
      <c r="I86" s="36"/>
      <c r="J86" s="36"/>
      <c r="K86" s="36"/>
      <c r="L86" s="377"/>
      <c r="M86" s="377"/>
      <c r="N86" s="403"/>
      <c r="O86" s="1202"/>
      <c r="P86" s="1200"/>
      <c r="Q86" s="1202"/>
      <c r="R86" s="1201"/>
      <c r="S86" s="1200"/>
      <c r="T86" s="1200"/>
      <c r="U86" s="1202"/>
      <c r="V86" s="1201"/>
      <c r="W86" s="1200"/>
      <c r="X86" s="1200"/>
    </row>
    <row r="87" spans="2:24" ht="15.5">
      <c r="B87" s="1265" t="s">
        <v>2503</v>
      </c>
      <c r="C87" s="1266" t="s">
        <v>2576</v>
      </c>
      <c r="E87" s="36">
        <v>25</v>
      </c>
      <c r="H87" s="36">
        <v>30</v>
      </c>
      <c r="I87" s="36"/>
      <c r="J87" s="36"/>
      <c r="K87" s="36"/>
      <c r="L87" s="377"/>
      <c r="M87" s="377"/>
      <c r="N87" s="403"/>
      <c r="O87" s="1202"/>
      <c r="P87" s="1200"/>
      <c r="Q87" s="1202"/>
      <c r="R87" s="1201"/>
      <c r="S87" s="1200"/>
      <c r="T87" s="1200"/>
      <c r="U87" s="1202"/>
      <c r="V87" s="1201"/>
      <c r="W87" s="1200"/>
      <c r="X87" s="1200"/>
    </row>
    <row r="88" spans="2:24" ht="15.5">
      <c r="B88" s="1265" t="s">
        <v>2526</v>
      </c>
      <c r="C88" s="1266" t="s">
        <v>2577</v>
      </c>
      <c r="E88" s="36">
        <v>95</v>
      </c>
      <c r="H88" s="36">
        <v>89</v>
      </c>
      <c r="I88" s="36"/>
      <c r="J88" s="36"/>
      <c r="K88" s="36"/>
      <c r="L88" s="377"/>
      <c r="M88" s="377"/>
      <c r="N88" s="403"/>
      <c r="O88" s="1202"/>
      <c r="P88" s="1200"/>
      <c r="Q88" s="1202"/>
      <c r="R88" s="1201"/>
      <c r="S88" s="1200"/>
      <c r="T88" s="1200"/>
      <c r="U88" s="1202"/>
      <c r="V88" s="1201"/>
      <c r="W88" s="1200"/>
      <c r="X88" s="1200"/>
    </row>
    <row r="89" spans="2:24" ht="16" thickBot="1">
      <c r="B89" s="1267" t="s">
        <v>2505</v>
      </c>
      <c r="C89" s="1268" t="s">
        <v>2519</v>
      </c>
      <c r="E89" s="36" t="s">
        <v>395</v>
      </c>
      <c r="H89" s="36" t="s">
        <v>2507</v>
      </c>
      <c r="I89" s="36"/>
      <c r="J89" s="36"/>
      <c r="K89" s="36"/>
      <c r="L89" s="377"/>
      <c r="M89" s="377"/>
      <c r="N89" s="403"/>
      <c r="O89" s="1202"/>
      <c r="P89" s="1200"/>
      <c r="Q89" s="1202"/>
      <c r="R89" s="1201"/>
      <c r="S89" s="1200"/>
      <c r="T89" s="1200"/>
      <c r="U89" s="1202"/>
      <c r="V89" s="1201"/>
      <c r="W89" s="1200"/>
      <c r="X89" s="1200"/>
    </row>
    <row r="90" spans="2:24" ht="13" thickBot="1">
      <c r="B90" s="403"/>
      <c r="C90" s="403"/>
      <c r="L90" s="403"/>
      <c r="M90" s="403"/>
      <c r="N90" s="403"/>
      <c r="O90" s="1202"/>
      <c r="P90" s="1200"/>
      <c r="Q90" s="1202"/>
      <c r="R90" s="1201"/>
      <c r="S90" s="1200"/>
      <c r="T90" s="1200"/>
      <c r="U90" s="1202"/>
      <c r="V90" s="1201"/>
      <c r="W90" s="1200"/>
      <c r="X90" s="1200"/>
    </row>
    <row r="91" spans="2:24" s="403" customFormat="1" ht="17.25" customHeight="1" thickBot="1">
      <c r="B91" s="9" t="s">
        <v>2799</v>
      </c>
      <c r="C91" s="1527" t="s">
        <v>2568</v>
      </c>
      <c r="D91" s="48"/>
      <c r="E91" s="36"/>
      <c r="F91" s="36"/>
      <c r="G91" s="36"/>
      <c r="H91" s="36"/>
      <c r="I91" s="37"/>
      <c r="J91" s="37"/>
      <c r="K91" s="37"/>
      <c r="N91" s="1186" t="s">
        <v>2510</v>
      </c>
      <c r="O91" s="1204" t="str">
        <f>IF(OR(Worksheet!AG319&gt;(E92-1),Worksheet!AK319&lt;E95,Worksheet!AP319&lt;E96,Worksheet!AU319="YES",AND(Worksheet!AC320="MDT",Worksheet!AE320&lt;100),AND(Worksheet!AC320="MDT-SVR",Worksheet!AE320&lt;100),AND(Worksheet!AC320="SVR",Worksheet!AE320&lt;100),AND(Worksheet!AM320="SVR",Worksheet!AO320&lt;100)),"R",IF(OR(Worksheet!AG319&gt;(H92-1),Worksheet!AI319&gt;(H92-1),Worksheet!AK319&lt;H95,Worksheet!AL319&lt;H95,Worksheet!AP319&lt;H96,Worksheet!AR319&lt;H96,Worksheet!AU319="ISOLD",Worksheet!AW319&lt;&gt;"",Worksheet!AC320&lt;&gt;"",Worksheet!AG320&lt;&gt;"",Worksheet!AM320="MDT",Worksheet!AM320="MDT-SVR",Worksheet!AM320="SVR",Worksheet!AQ320="MDT",Worksheet!AQ320="MDT-SVR",Worksheet!AQ320="SVR",Worksheet!AW320="LLWS",Worksheet!AY320="LLWS"),"Y","G"))</f>
        <v>Y</v>
      </c>
      <c r="P91" s="1205"/>
      <c r="Q91" s="1212" t="str">
        <f>IF(OR(Worksheet!BG319&gt;(E92-1),Worksheet!BK319&lt;E95,Worksheet!BP319&lt;E96,Worksheet!BU319="YES",AND(Worksheet!BC320="MDT",Worksheet!BE320&lt;100),AND(Worksheet!BC320="MDT-SVR",Worksheet!BE320&lt;100),AND(Worksheet!BC320="SVR",Worksheet!BE320&lt;100),AND(Worksheet!BM320="SVR",Worksheet!BO320&lt;100)),"R",IF(OR(Worksheet!BG319&gt;(H92-1),Worksheet!BI319&gt;(H92-1),Worksheet!BK319&lt;H95,Worksheet!BL319&lt;H95,Worksheet!BP319&lt;H96,Worksheet!BR319&lt;H96,Worksheet!BU319="ISOLD",Worksheet!BW319&lt;&gt;"",Worksheet!BC320&lt;&gt;"",Worksheet!BG320&lt;&gt;"",Worksheet!BM320="MDT",Worksheet!BM320="MDT-SVR",Worksheet!BM320="SVR",Worksheet!BQ320="MDT",Worksheet!BQ320="MDT-SVR",Worksheet!BQ320="SVR",Worksheet!BW320="LLWS",Worksheet!BY320="LLWS"),"Y","G"))</f>
        <v>R</v>
      </c>
      <c r="R91" s="1213"/>
      <c r="S91" s="1205" t="str">
        <f>IF(OR(Worksheet!CG319&gt;(E92-1),Worksheet!CK319&lt;E95,Worksheet!CP319&lt;E96,Worksheet!CU319="YES",AND(Worksheet!CC320="MDT",Worksheet!CE320&lt;100),AND(Worksheet!CC320="MDT-SVR",Worksheet!CE320&lt;100),AND(Worksheet!CC320="SVR",Worksheet!CE320&lt;100),AND(Worksheet!CM320="SVR",Worksheet!CO320&lt;100)),"R",IF(OR(Worksheet!CG319&gt;(H92-1),Worksheet!CI319&gt;(H92-1),Worksheet!CK319&lt;H95,Worksheet!CL319&lt;H95,Worksheet!CP319&lt;H96,Worksheet!CR319&lt;H96,Worksheet!CU319="ISOLD",Worksheet!CW319&lt;&gt;"",Worksheet!CC320&lt;&gt;"",Worksheet!CG320&lt;&gt;"",Worksheet!CM320="MDT",Worksheet!CM320="MDT-SVR",Worksheet!CM320="SVR",Worksheet!CQ320="MDT",Worksheet!CQ320="MDT-SVR",Worksheet!CQ320="SVR",Worksheet!CW320="LLWS",Worksheet!CY320="LLWS"),"Y","G"))</f>
        <v>R</v>
      </c>
      <c r="T91" s="1205"/>
      <c r="U91" s="1212" t="str">
        <f>IF(OR(Worksheet!DG319&gt;(E92-1),Worksheet!DK319&lt;E95,Worksheet!DP319&lt;E96,Worksheet!DU319="YES",AND(Worksheet!DC320="MDT",Worksheet!DE320&lt;100),AND(Worksheet!DC320="MDT-SVR",Worksheet!DE320&lt;100),AND(Worksheet!DC320="SVR",Worksheet!DE320&lt;100),AND(Worksheet!DM320="SVR",Worksheet!DO320&lt;100)),"R",IF(OR(Worksheet!DG319&gt;(H92-1),Worksheet!DI319&gt;(H92-1),Worksheet!DK319&lt;H95,Worksheet!DL319&lt;H95,Worksheet!DP319&lt;H96,Worksheet!DR319&lt;H96,Worksheet!DU319="ISOLD",Worksheet!DW319&lt;&gt;"",Worksheet!DC320&lt;&gt;"",Worksheet!DG320&lt;&gt;"",Worksheet!DM320="MDT",Worksheet!DM320="MDT-SVR",Worksheet!DM320="SVR",Worksheet!DQ320="MDT",Worksheet!DQ320="MDT-SVR",Worksheet!DQ320="SVR",Worksheet!DW320="LLWS",Worksheet!DY320="LLWS"),"Y","G"))</f>
        <v>R</v>
      </c>
      <c r="V91" s="1213"/>
      <c r="W91" s="1200"/>
      <c r="X91" s="1281"/>
    </row>
    <row r="92" spans="2:24" s="403" customFormat="1" ht="15.5">
      <c r="B92" s="10" t="s">
        <v>2495</v>
      </c>
      <c r="C92" s="11" t="s">
        <v>2800</v>
      </c>
      <c r="D92" s="48"/>
      <c r="E92" s="36">
        <v>49</v>
      </c>
      <c r="F92" s="36"/>
      <c r="G92" s="36"/>
      <c r="H92" s="36">
        <v>15</v>
      </c>
      <c r="I92" s="36"/>
      <c r="J92" s="36"/>
      <c r="K92" s="36"/>
      <c r="N92" s="1186" t="s">
        <v>2512</v>
      </c>
      <c r="O92" s="1204" t="s">
        <v>2513</v>
      </c>
      <c r="P92" s="1205"/>
      <c r="Q92" s="1212" t="s">
        <v>2513</v>
      </c>
      <c r="R92" s="1213"/>
      <c r="S92" s="1205" t="s">
        <v>2513</v>
      </c>
      <c r="T92" s="1205"/>
      <c r="U92" s="1212" t="s">
        <v>2513</v>
      </c>
      <c r="V92" s="1213"/>
      <c r="W92" s="1200"/>
      <c r="X92" s="1200"/>
    </row>
    <row r="93" spans="2:24" s="403" customFormat="1" ht="15.5">
      <c r="B93" s="10" t="s">
        <v>2497</v>
      </c>
      <c r="C93" s="11" t="s">
        <v>2804</v>
      </c>
      <c r="D93" s="48"/>
      <c r="E93" s="36">
        <v>4</v>
      </c>
      <c r="F93" s="36"/>
      <c r="G93" s="36"/>
      <c r="H93" s="36">
        <v>1</v>
      </c>
      <c r="I93" s="36">
        <v>2</v>
      </c>
      <c r="J93" s="36">
        <v>3</v>
      </c>
      <c r="K93" s="36"/>
      <c r="L93" s="36"/>
      <c r="M93" s="36"/>
      <c r="N93" s="1186" t="s">
        <v>2514</v>
      </c>
      <c r="O93" s="1206" t="str">
        <f>IF(ISERROR(O92),O91,IF(OR(O91="R",O92="R"),"R",IF(OR(O91="Y",O92="Y"),"Y","G")))</f>
        <v>Y</v>
      </c>
      <c r="P93" s="1207"/>
      <c r="Q93" s="1214" t="str">
        <f>IF(ISERROR(Q92),Q91,IF(OR(Q91="R",Q92="R"),"R",IF(OR(Q91="Y",Q92="Y"),"Y","G")))</f>
        <v>R</v>
      </c>
      <c r="R93" s="1215"/>
      <c r="S93" s="1206" t="str">
        <f>IF(ISERROR(S92),S91,IF(OR(S91="R",S92="R"),"R",IF(OR(S91="Y",S92="Y"),"Y","G")))</f>
        <v>R</v>
      </c>
      <c r="T93" s="1207"/>
      <c r="U93" s="1214" t="str">
        <f>IF(ISERROR(U92),U91,IF(OR(U91="R",U92="R"),"R",IF(OR(U91="Y",U92="Y"),"Y","G")))</f>
        <v>R</v>
      </c>
      <c r="V93" s="1215"/>
      <c r="W93" s="1200"/>
      <c r="X93" s="1200"/>
    </row>
    <row r="94" spans="2:24" s="403" customFormat="1" ht="15.5">
      <c r="B94" s="10" t="s">
        <v>2499</v>
      </c>
      <c r="C94" s="11" t="s">
        <v>2500</v>
      </c>
      <c r="D94" s="48"/>
      <c r="E94" s="36">
        <v>7</v>
      </c>
      <c r="F94" s="36">
        <v>9</v>
      </c>
      <c r="G94" s="36"/>
      <c r="H94" s="36">
        <v>3</v>
      </c>
      <c r="I94" s="36">
        <v>5</v>
      </c>
      <c r="J94" s="36">
        <v>6</v>
      </c>
      <c r="K94" s="36">
        <v>8</v>
      </c>
      <c r="O94" s="1202"/>
      <c r="P94" s="1200"/>
      <c r="Q94" s="1202"/>
      <c r="R94" s="1201"/>
      <c r="S94" s="1200"/>
      <c r="T94" s="1200"/>
      <c r="U94" s="1202"/>
      <c r="V94" s="1201"/>
      <c r="W94" s="1200"/>
      <c r="X94" s="1200"/>
    </row>
    <row r="95" spans="2:24" s="403" customFormat="1" ht="15.5">
      <c r="B95" s="10" t="s">
        <v>2501</v>
      </c>
      <c r="C95" s="11" t="s">
        <v>2801</v>
      </c>
      <c r="D95" s="48"/>
      <c r="E95" s="36">
        <v>3</v>
      </c>
      <c r="F95" s="36"/>
      <c r="G95" s="36"/>
      <c r="H95" s="36">
        <v>5</v>
      </c>
      <c r="I95" s="36"/>
      <c r="J95" s="36"/>
      <c r="K95" s="36"/>
      <c r="O95" s="1202"/>
      <c r="P95" s="1200"/>
      <c r="Q95" s="1202"/>
      <c r="R95" s="1201"/>
      <c r="S95" s="1200"/>
      <c r="T95" s="1200"/>
      <c r="U95" s="1202"/>
      <c r="V95" s="1201"/>
      <c r="W95" s="1200"/>
      <c r="X95" s="1200"/>
    </row>
    <row r="96" spans="2:24" s="403" customFormat="1" ht="15.5">
      <c r="B96" s="10" t="s">
        <v>2503</v>
      </c>
      <c r="C96" s="11" t="s">
        <v>2802</v>
      </c>
      <c r="D96" s="48"/>
      <c r="E96" s="36">
        <v>15</v>
      </c>
      <c r="F96" s="36"/>
      <c r="G96" s="36"/>
      <c r="H96" s="36">
        <v>30</v>
      </c>
      <c r="I96" s="36"/>
      <c r="J96" s="36"/>
      <c r="K96" s="36"/>
      <c r="O96" s="1202"/>
      <c r="P96" s="1200"/>
      <c r="Q96" s="1202"/>
      <c r="R96" s="1201"/>
      <c r="S96" s="1200"/>
      <c r="T96" s="1200"/>
      <c r="U96" s="1202"/>
      <c r="V96" s="1201"/>
      <c r="W96" s="1200"/>
      <c r="X96" s="1200"/>
    </row>
    <row r="97" spans="2:24" s="403" customFormat="1" ht="15.5">
      <c r="B97" s="10" t="s">
        <v>2505</v>
      </c>
      <c r="C97" s="11" t="s">
        <v>2506</v>
      </c>
      <c r="D97" s="48"/>
      <c r="E97" s="36" t="s">
        <v>395</v>
      </c>
      <c r="F97" s="36"/>
      <c r="G97" s="36"/>
      <c r="H97" s="36" t="s">
        <v>2507</v>
      </c>
      <c r="I97" s="36"/>
      <c r="J97" s="36"/>
      <c r="K97" s="36"/>
      <c r="O97" s="1202"/>
      <c r="P97" s="1200"/>
      <c r="Q97" s="1202"/>
      <c r="R97" s="1201"/>
      <c r="S97" s="1200"/>
      <c r="T97" s="1200"/>
      <c r="U97" s="1202"/>
      <c r="V97" s="1201"/>
      <c r="W97" s="1200"/>
      <c r="X97" s="1200"/>
    </row>
    <row r="98" spans="2:24">
      <c r="O98" s="1202"/>
      <c r="P98" s="1200"/>
      <c r="Q98" s="1202"/>
      <c r="R98" s="1201"/>
      <c r="S98" s="1200"/>
      <c r="T98" s="1200"/>
      <c r="U98" s="1202"/>
      <c r="V98" s="1201"/>
      <c r="W98" s="1200"/>
      <c r="X98" s="1200"/>
    </row>
    <row r="99" spans="2:24">
      <c r="O99" s="1202"/>
      <c r="P99" s="1200"/>
      <c r="Q99" s="1202"/>
      <c r="R99" s="1201"/>
      <c r="S99" s="1200"/>
      <c r="T99" s="1200"/>
      <c r="U99" s="1202"/>
      <c r="V99" s="1201"/>
      <c r="W99" s="1200"/>
      <c r="X99" s="1200"/>
    </row>
    <row r="100" spans="2:24">
      <c r="O100" s="1202"/>
      <c r="P100" s="1200"/>
      <c r="Q100" s="1202"/>
      <c r="R100" s="1201"/>
      <c r="S100" s="1200"/>
      <c r="T100" s="1200"/>
      <c r="U100" s="1202"/>
      <c r="V100" s="1201"/>
      <c r="W100" s="1200"/>
      <c r="X100" s="1200"/>
    </row>
    <row r="101" spans="2:24">
      <c r="O101" s="1202"/>
      <c r="P101" s="1200"/>
      <c r="Q101" s="1202"/>
      <c r="R101" s="1201"/>
      <c r="S101" s="1200"/>
      <c r="T101" s="1200"/>
      <c r="U101" s="1202"/>
      <c r="V101" s="1201"/>
      <c r="W101" s="1200"/>
      <c r="X101" s="1200"/>
    </row>
    <row r="102" spans="2:24">
      <c r="O102" s="1202"/>
      <c r="P102" s="1200"/>
      <c r="Q102" s="1202"/>
      <c r="R102" s="1201"/>
      <c r="S102" s="1200"/>
      <c r="T102" s="1200"/>
      <c r="U102" s="1202"/>
      <c r="V102" s="1201"/>
      <c r="W102" s="1200"/>
      <c r="X102" s="1200"/>
    </row>
    <row r="103" spans="2:24">
      <c r="O103" s="1202"/>
      <c r="P103" s="1200"/>
      <c r="Q103" s="1202"/>
      <c r="R103" s="1201"/>
      <c r="S103" s="1200"/>
      <c r="T103" s="1200"/>
      <c r="U103" s="1202"/>
      <c r="V103" s="1201"/>
      <c r="W103" s="1200"/>
      <c r="X103" s="1200"/>
    </row>
    <row r="104" spans="2:24">
      <c r="O104" s="1202"/>
      <c r="P104" s="1200"/>
      <c r="Q104" s="1202"/>
      <c r="R104" s="1201"/>
      <c r="S104" s="1200"/>
      <c r="T104" s="1200"/>
      <c r="U104" s="1202"/>
      <c r="V104" s="1201"/>
      <c r="W104" s="1200"/>
      <c r="X104" s="1200"/>
    </row>
    <row r="105" spans="2:24">
      <c r="O105" s="1202"/>
      <c r="P105" s="1200"/>
      <c r="Q105" s="1202"/>
      <c r="R105" s="1201"/>
      <c r="S105" s="1200"/>
      <c r="T105" s="1200"/>
      <c r="U105" s="1202"/>
      <c r="V105" s="1201"/>
      <c r="W105" s="1200"/>
      <c r="X105" s="1200"/>
    </row>
    <row r="106" spans="2:24">
      <c r="O106" s="1202"/>
      <c r="P106" s="1200"/>
      <c r="Q106" s="1202"/>
      <c r="R106" s="1201"/>
      <c r="S106" s="1200"/>
      <c r="T106" s="1200"/>
      <c r="U106" s="1202"/>
      <c r="V106" s="1201"/>
      <c r="W106" s="1200"/>
      <c r="X106" s="1200"/>
    </row>
    <row r="107" spans="2:24">
      <c r="O107" s="1202"/>
      <c r="P107" s="1200"/>
      <c r="Q107" s="1202"/>
      <c r="R107" s="1201"/>
      <c r="S107" s="1200"/>
      <c r="T107" s="1200"/>
      <c r="U107" s="1202"/>
      <c r="V107" s="1201"/>
      <c r="W107" s="1200"/>
      <c r="X107" s="1200"/>
    </row>
    <row r="108" spans="2:24">
      <c r="O108" s="1202"/>
      <c r="P108" s="1200"/>
      <c r="Q108" s="1202"/>
      <c r="R108" s="1201"/>
      <c r="S108" s="1200"/>
      <c r="T108" s="1200"/>
      <c r="U108" s="1202"/>
      <c r="V108" s="1201"/>
      <c r="W108" s="1200"/>
      <c r="X108" s="1200"/>
    </row>
    <row r="109" spans="2:24">
      <c r="O109" s="1202"/>
      <c r="P109" s="1200"/>
      <c r="Q109" s="1202"/>
      <c r="R109" s="1201"/>
      <c r="S109" s="1200"/>
      <c r="T109" s="1200"/>
      <c r="U109" s="1202"/>
      <c r="V109" s="1201"/>
      <c r="W109" s="1200"/>
      <c r="X109" s="1200"/>
    </row>
    <row r="110" spans="2:24">
      <c r="O110" s="1202"/>
      <c r="P110" s="1200"/>
      <c r="Q110" s="1202"/>
      <c r="R110" s="1201"/>
      <c r="S110" s="1200"/>
      <c r="T110" s="1200"/>
      <c r="U110" s="1202"/>
      <c r="V110" s="1201"/>
      <c r="W110" s="1200"/>
      <c r="X110" s="1200"/>
    </row>
    <row r="111" spans="2:24">
      <c r="O111" s="1202"/>
      <c r="P111" s="1200"/>
      <c r="Q111" s="1202"/>
      <c r="R111" s="1201"/>
      <c r="S111" s="1200"/>
      <c r="T111" s="1200"/>
      <c r="U111" s="1202"/>
      <c r="V111" s="1201"/>
      <c r="W111" s="1200"/>
      <c r="X111" s="1200"/>
    </row>
    <row r="112" spans="2:24">
      <c r="O112" s="1202"/>
      <c r="P112" s="1200"/>
      <c r="Q112" s="1202"/>
      <c r="R112" s="1201"/>
      <c r="S112" s="1200"/>
      <c r="T112" s="1200"/>
      <c r="U112" s="1202"/>
      <c r="V112" s="1201"/>
      <c r="W112" s="1200"/>
      <c r="X112" s="1200"/>
    </row>
    <row r="113" spans="15:24">
      <c r="O113" s="1202"/>
      <c r="P113" s="1200"/>
      <c r="Q113" s="1202"/>
      <c r="R113" s="1201"/>
      <c r="S113" s="1200"/>
      <c r="T113" s="1200"/>
      <c r="U113" s="1202"/>
      <c r="V113" s="1201"/>
      <c r="W113" s="1200"/>
      <c r="X113" s="1200"/>
    </row>
    <row r="114" spans="15:24">
      <c r="O114" s="1202"/>
      <c r="P114" s="1200"/>
      <c r="Q114" s="1202"/>
      <c r="R114" s="1201"/>
      <c r="S114" s="1200"/>
      <c r="T114" s="1200"/>
      <c r="U114" s="1202"/>
      <c r="V114" s="1201"/>
      <c r="W114" s="1200"/>
      <c r="X114" s="1200"/>
    </row>
    <row r="115" spans="15:24">
      <c r="O115" s="1202"/>
      <c r="P115" s="1200"/>
      <c r="Q115" s="1202"/>
      <c r="R115" s="1201"/>
      <c r="S115" s="1200"/>
      <c r="T115" s="1200"/>
      <c r="U115" s="1202"/>
      <c r="V115" s="1201"/>
      <c r="W115" s="1200"/>
      <c r="X115" s="1200"/>
    </row>
    <row r="116" spans="15:24">
      <c r="O116" s="1202"/>
      <c r="P116" s="1200"/>
      <c r="Q116" s="1202"/>
      <c r="R116" s="1201"/>
      <c r="S116" s="1200"/>
      <c r="T116" s="1200"/>
      <c r="U116" s="1202"/>
      <c r="V116" s="1201"/>
      <c r="W116" s="1200"/>
      <c r="X116" s="1200"/>
    </row>
    <row r="117" spans="15:24">
      <c r="O117" s="1202"/>
      <c r="P117" s="1200"/>
      <c r="Q117" s="1202"/>
      <c r="R117" s="1201"/>
      <c r="S117" s="1200"/>
      <c r="T117" s="1200"/>
      <c r="U117" s="1202"/>
      <c r="V117" s="1201"/>
      <c r="W117" s="1200"/>
      <c r="X117" s="1200"/>
    </row>
    <row r="118" spans="15:24">
      <c r="O118" s="1202"/>
      <c r="P118" s="1200"/>
      <c r="Q118" s="1202"/>
      <c r="R118" s="1201"/>
      <c r="S118" s="1200"/>
      <c r="T118" s="1200"/>
      <c r="U118" s="1202"/>
      <c r="V118" s="1201"/>
      <c r="W118" s="1200"/>
      <c r="X118" s="1200"/>
    </row>
    <row r="119" spans="15:24">
      <c r="O119" s="1202"/>
      <c r="P119" s="1200"/>
      <c r="Q119" s="1202"/>
      <c r="R119" s="1201"/>
      <c r="S119" s="1200"/>
      <c r="T119" s="1200"/>
      <c r="U119" s="1202"/>
      <c r="V119" s="1201"/>
      <c r="W119" s="1200"/>
      <c r="X119" s="1200"/>
    </row>
    <row r="120" spans="15:24">
      <c r="O120" s="1202"/>
      <c r="P120" s="1200"/>
      <c r="Q120" s="1202"/>
      <c r="R120" s="1201"/>
      <c r="S120" s="1200"/>
      <c r="T120" s="1200"/>
      <c r="U120" s="1202"/>
      <c r="V120" s="1201"/>
      <c r="W120" s="1200"/>
      <c r="X120" s="1200"/>
    </row>
    <row r="121" spans="15:24">
      <c r="O121" s="1202"/>
      <c r="P121" s="1200"/>
      <c r="Q121" s="1202"/>
      <c r="R121" s="1201"/>
      <c r="S121" s="1200"/>
      <c r="T121" s="1200"/>
      <c r="U121" s="1202"/>
      <c r="V121" s="1201"/>
      <c r="W121" s="1200"/>
      <c r="X121" s="1200"/>
    </row>
    <row r="122" spans="15:24">
      <c r="O122" s="1202"/>
      <c r="P122" s="1200"/>
      <c r="Q122" s="1202"/>
      <c r="R122" s="1201"/>
      <c r="S122" s="1200"/>
      <c r="T122" s="1200"/>
      <c r="U122" s="1202"/>
      <c r="V122" s="1201"/>
      <c r="W122" s="1200"/>
      <c r="X122" s="1200"/>
    </row>
    <row r="123" spans="15:24">
      <c r="O123" s="1202"/>
      <c r="P123" s="1200"/>
      <c r="Q123" s="1202"/>
      <c r="R123" s="1201"/>
      <c r="S123" s="1200"/>
      <c r="T123" s="1200"/>
      <c r="U123" s="1202"/>
      <c r="V123" s="1201"/>
      <c r="W123" s="1200"/>
      <c r="X123" s="1200"/>
    </row>
    <row r="124" spans="15:24">
      <c r="O124" s="1202"/>
      <c r="P124" s="1200"/>
      <c r="Q124" s="1202"/>
      <c r="R124" s="1201"/>
      <c r="S124" s="1200"/>
      <c r="T124" s="1200"/>
      <c r="U124" s="1202"/>
      <c r="V124" s="1201"/>
      <c r="W124" s="1200"/>
      <c r="X124" s="1200"/>
    </row>
    <row r="125" spans="15:24">
      <c r="O125" s="1202"/>
      <c r="P125" s="1200"/>
      <c r="Q125" s="1202"/>
      <c r="R125" s="1201"/>
      <c r="S125" s="1200"/>
      <c r="T125" s="1200"/>
      <c r="U125" s="1202"/>
      <c r="V125" s="1201"/>
      <c r="W125" s="1200"/>
      <c r="X125" s="1200"/>
    </row>
    <row r="126" spans="15:24">
      <c r="O126" s="1202"/>
      <c r="P126" s="1200"/>
      <c r="Q126" s="1202"/>
      <c r="R126" s="1201"/>
      <c r="S126" s="1200"/>
      <c r="T126" s="1200"/>
      <c r="U126" s="1202"/>
      <c r="V126" s="1201"/>
      <c r="W126" s="1200"/>
      <c r="X126" s="1200"/>
    </row>
    <row r="127" spans="15:24">
      <c r="O127" s="1202"/>
      <c r="P127" s="1200"/>
      <c r="Q127" s="1202"/>
      <c r="R127" s="1201"/>
      <c r="S127" s="1200"/>
      <c r="T127" s="1200"/>
      <c r="U127" s="1202"/>
      <c r="V127" s="1201"/>
      <c r="W127" s="1200"/>
      <c r="X127" s="1200"/>
    </row>
    <row r="128" spans="15:24">
      <c r="O128" s="1202"/>
      <c r="P128" s="1200"/>
      <c r="Q128" s="1202"/>
      <c r="R128" s="1201"/>
      <c r="S128" s="1200"/>
      <c r="T128" s="1200"/>
      <c r="U128" s="1202"/>
      <c r="V128" s="1201"/>
      <c r="W128" s="1200"/>
      <c r="X128" s="1200"/>
    </row>
    <row r="129" spans="15:24">
      <c r="O129" s="1202"/>
      <c r="P129" s="1200"/>
      <c r="Q129" s="1202"/>
      <c r="R129" s="1201"/>
      <c r="S129" s="1200"/>
      <c r="T129" s="1200"/>
      <c r="U129" s="1202"/>
      <c r="V129" s="1201"/>
      <c r="W129" s="1200"/>
      <c r="X129" s="1200"/>
    </row>
    <row r="130" spans="15:24">
      <c r="O130" s="1202"/>
      <c r="P130" s="1200"/>
      <c r="Q130" s="1202"/>
      <c r="R130" s="1201"/>
      <c r="S130" s="1200"/>
      <c r="T130" s="1200"/>
      <c r="U130" s="1202"/>
      <c r="V130" s="1201"/>
      <c r="W130" s="1200"/>
      <c r="X130" s="1200"/>
    </row>
    <row r="131" spans="15:24">
      <c r="O131" s="1202"/>
      <c r="P131" s="1200"/>
      <c r="Q131" s="1202"/>
      <c r="R131" s="1201"/>
      <c r="S131" s="1200"/>
      <c r="T131" s="1200"/>
      <c r="U131" s="1202"/>
      <c r="V131" s="1201"/>
      <c r="W131" s="1200"/>
      <c r="X131" s="1200"/>
    </row>
    <row r="132" spans="15:24">
      <c r="O132" s="1202"/>
      <c r="P132" s="1200"/>
      <c r="Q132" s="1202"/>
      <c r="R132" s="1201"/>
      <c r="S132" s="1200"/>
      <c r="T132" s="1200"/>
      <c r="U132" s="1202"/>
      <c r="V132" s="1201"/>
      <c r="W132" s="1200"/>
      <c r="X132" s="1200"/>
    </row>
    <row r="133" spans="15:24">
      <c r="O133" s="1202"/>
      <c r="P133" s="1200"/>
      <c r="Q133" s="1202"/>
      <c r="R133" s="1201"/>
      <c r="S133" s="1200"/>
      <c r="T133" s="1200"/>
      <c r="U133" s="1202"/>
      <c r="V133" s="1201"/>
      <c r="W133" s="1200"/>
      <c r="X133" s="1200"/>
    </row>
    <row r="134" spans="15:24">
      <c r="O134" s="1202"/>
      <c r="P134" s="1200"/>
      <c r="Q134" s="1202"/>
      <c r="R134" s="1201"/>
      <c r="S134" s="1200"/>
      <c r="T134" s="1200"/>
      <c r="U134" s="1202"/>
      <c r="V134" s="1201"/>
      <c r="W134" s="1200"/>
      <c r="X134" s="1200"/>
    </row>
    <row r="135" spans="15:24">
      <c r="O135" s="1202"/>
      <c r="P135" s="1200"/>
      <c r="Q135" s="1202"/>
      <c r="R135" s="1201"/>
      <c r="S135" s="1200"/>
      <c r="T135" s="1200"/>
      <c r="U135" s="1202"/>
      <c r="V135" s="1201"/>
      <c r="W135" s="1200"/>
      <c r="X135" s="1200"/>
    </row>
    <row r="136" spans="15:24">
      <c r="O136" s="1202"/>
      <c r="P136" s="1200"/>
      <c r="Q136" s="1202"/>
      <c r="R136" s="1201"/>
      <c r="S136" s="1200"/>
      <c r="T136" s="1200"/>
      <c r="U136" s="1202"/>
      <c r="V136" s="1201"/>
      <c r="W136" s="1200"/>
      <c r="X136" s="1200"/>
    </row>
    <row r="137" spans="15:24">
      <c r="O137" s="1202"/>
      <c r="P137" s="1200"/>
      <c r="Q137" s="1202"/>
      <c r="R137" s="1201"/>
      <c r="S137" s="1200"/>
      <c r="T137" s="1200"/>
      <c r="U137" s="1202"/>
      <c r="V137" s="1201"/>
      <c r="W137" s="1200"/>
      <c r="X137" s="1200"/>
    </row>
    <row r="138" spans="15:24">
      <c r="O138" s="1202"/>
      <c r="P138" s="1200"/>
      <c r="Q138" s="1202"/>
      <c r="R138" s="1201"/>
      <c r="S138" s="1200"/>
      <c r="T138" s="1200"/>
      <c r="U138" s="1202"/>
      <c r="V138" s="1201"/>
      <c r="W138" s="1200"/>
      <c r="X138" s="1200"/>
    </row>
    <row r="139" spans="15:24">
      <c r="O139" s="1202"/>
      <c r="P139" s="1200"/>
      <c r="Q139" s="1202"/>
      <c r="R139" s="1201"/>
      <c r="S139" s="1200"/>
      <c r="T139" s="1200"/>
      <c r="U139" s="1202"/>
      <c r="V139" s="1201"/>
      <c r="W139" s="1200"/>
      <c r="X139" s="1200"/>
    </row>
    <row r="140" spans="15:24">
      <c r="O140" s="1202"/>
      <c r="P140" s="1200"/>
      <c r="Q140" s="1202"/>
      <c r="R140" s="1201"/>
      <c r="S140" s="1200"/>
      <c r="T140" s="1200"/>
      <c r="U140" s="1202"/>
      <c r="V140" s="1201"/>
      <c r="W140" s="1200"/>
      <c r="X140" s="1200"/>
    </row>
    <row r="141" spans="15:24">
      <c r="O141" s="1202"/>
      <c r="P141" s="1200"/>
      <c r="Q141" s="1202"/>
      <c r="R141" s="1201"/>
      <c r="S141" s="1200"/>
      <c r="T141" s="1200"/>
      <c r="U141" s="1202"/>
      <c r="V141" s="1201"/>
      <c r="W141" s="1200"/>
      <c r="X141" s="1200"/>
    </row>
    <row r="142" spans="15:24">
      <c r="O142" s="1202"/>
      <c r="P142" s="1200"/>
      <c r="Q142" s="1202"/>
      <c r="R142" s="1201"/>
      <c r="S142" s="1200"/>
      <c r="T142" s="1200"/>
      <c r="U142" s="1202"/>
      <c r="V142" s="1201"/>
      <c r="W142" s="1200"/>
      <c r="X142" s="1200"/>
    </row>
    <row r="143" spans="15:24">
      <c r="O143" s="1202"/>
      <c r="P143" s="1200"/>
      <c r="Q143" s="1202"/>
      <c r="R143" s="1201"/>
      <c r="S143" s="1200"/>
      <c r="T143" s="1200"/>
      <c r="U143" s="1202"/>
      <c r="V143" s="1201"/>
      <c r="W143" s="1200"/>
      <c r="X143" s="1200"/>
    </row>
    <row r="144" spans="15:24">
      <c r="O144" s="1202"/>
      <c r="P144" s="1200"/>
      <c r="Q144" s="1202"/>
      <c r="R144" s="1201"/>
      <c r="S144" s="1200"/>
      <c r="T144" s="1200"/>
      <c r="U144" s="1202"/>
      <c r="V144" s="1201"/>
      <c r="W144" s="1200"/>
      <c r="X144" s="1200"/>
    </row>
    <row r="145" spans="15:24">
      <c r="O145" s="1202"/>
      <c r="P145" s="1200"/>
      <c r="Q145" s="1202"/>
      <c r="R145" s="1201"/>
      <c r="S145" s="1200"/>
      <c r="T145" s="1200"/>
      <c r="U145" s="1202"/>
      <c r="V145" s="1201"/>
      <c r="W145" s="1200"/>
      <c r="X145" s="1200"/>
    </row>
    <row r="146" spans="15:24">
      <c r="O146" s="1202"/>
      <c r="P146" s="1200"/>
      <c r="Q146" s="1202"/>
      <c r="R146" s="1201"/>
      <c r="S146" s="1200"/>
      <c r="T146" s="1200"/>
      <c r="U146" s="1202"/>
      <c r="V146" s="1201"/>
      <c r="W146" s="1200"/>
      <c r="X146" s="1200"/>
    </row>
    <row r="147" spans="15:24">
      <c r="O147" s="1202"/>
      <c r="P147" s="1200"/>
      <c r="Q147" s="1202"/>
      <c r="R147" s="1201"/>
      <c r="S147" s="1200"/>
      <c r="T147" s="1200"/>
      <c r="U147" s="1202"/>
      <c r="V147" s="1201"/>
      <c r="W147" s="1200"/>
      <c r="X147" s="1200"/>
    </row>
    <row r="148" spans="15:24">
      <c r="O148" s="1202"/>
      <c r="P148" s="1200"/>
      <c r="Q148" s="1202"/>
      <c r="R148" s="1201"/>
      <c r="S148" s="1200"/>
      <c r="T148" s="1200"/>
      <c r="U148" s="1202"/>
      <c r="V148" s="1201"/>
      <c r="W148" s="1200"/>
      <c r="X148" s="1200"/>
    </row>
    <row r="149" spans="15:24">
      <c r="O149" s="1202"/>
      <c r="P149" s="1200"/>
      <c r="Q149" s="1202"/>
      <c r="R149" s="1201"/>
      <c r="S149" s="1200"/>
      <c r="T149" s="1200"/>
      <c r="U149" s="1202"/>
      <c r="V149" s="1201"/>
      <c r="W149" s="1200"/>
      <c r="X149" s="1200"/>
    </row>
    <row r="150" spans="15:24">
      <c r="O150" s="1202"/>
      <c r="P150" s="1200"/>
      <c r="Q150" s="1202"/>
      <c r="R150" s="1201"/>
      <c r="S150" s="1200"/>
      <c r="T150" s="1200"/>
      <c r="U150" s="1202"/>
      <c r="V150" s="1201"/>
      <c r="W150" s="1200"/>
      <c r="X150" s="1200"/>
    </row>
    <row r="151" spans="15:24">
      <c r="O151" s="1202"/>
      <c r="P151" s="1200"/>
      <c r="Q151" s="1202"/>
      <c r="R151" s="1201"/>
      <c r="S151" s="1200"/>
      <c r="T151" s="1200"/>
      <c r="U151" s="1202"/>
      <c r="V151" s="1201"/>
      <c r="W151" s="1200"/>
      <c r="X151" s="1200"/>
    </row>
    <row r="152" spans="15:24">
      <c r="O152" s="1202"/>
      <c r="P152" s="1200"/>
      <c r="Q152" s="1202"/>
      <c r="R152" s="1201"/>
      <c r="S152" s="1200"/>
      <c r="T152" s="1200"/>
      <c r="U152" s="1202"/>
      <c r="V152" s="1201"/>
      <c r="W152" s="1200"/>
      <c r="X152" s="1200"/>
    </row>
    <row r="153" spans="15:24">
      <c r="O153" s="1202"/>
      <c r="P153" s="1200"/>
      <c r="Q153" s="1202"/>
      <c r="R153" s="1201"/>
      <c r="S153" s="1200"/>
      <c r="T153" s="1200"/>
      <c r="U153" s="1202"/>
      <c r="V153" s="1201"/>
      <c r="W153" s="1200"/>
      <c r="X153" s="1200"/>
    </row>
    <row r="154" spans="15:24">
      <c r="O154" s="1202"/>
      <c r="P154" s="1200"/>
      <c r="Q154" s="1202"/>
      <c r="R154" s="1201"/>
      <c r="S154" s="1200"/>
      <c r="T154" s="1200"/>
      <c r="U154" s="1202"/>
      <c r="V154" s="1201"/>
      <c r="W154" s="1200"/>
      <c r="X154" s="1200"/>
    </row>
    <row r="155" spans="15:24">
      <c r="O155" s="1202"/>
      <c r="P155" s="1200"/>
      <c r="Q155" s="1202"/>
      <c r="R155" s="1201"/>
      <c r="S155" s="1200"/>
      <c r="T155" s="1200"/>
      <c r="U155" s="1202"/>
      <c r="V155" s="1201"/>
      <c r="W155" s="1200"/>
      <c r="X155" s="1200"/>
    </row>
    <row r="156" spans="15:24">
      <c r="O156" s="1202"/>
      <c r="P156" s="1200"/>
      <c r="Q156" s="1202"/>
      <c r="R156" s="1201"/>
      <c r="S156" s="1200"/>
      <c r="T156" s="1200"/>
      <c r="U156" s="1202"/>
      <c r="V156" s="1201"/>
      <c r="W156" s="1200"/>
      <c r="X156" s="1200"/>
    </row>
    <row r="157" spans="15:24">
      <c r="O157" s="1202"/>
      <c r="P157" s="1200"/>
      <c r="Q157" s="1202"/>
      <c r="R157" s="1201"/>
      <c r="S157" s="1200"/>
      <c r="T157" s="1200"/>
      <c r="U157" s="1202"/>
      <c r="V157" s="1201"/>
      <c r="W157" s="1200"/>
      <c r="X157" s="1200"/>
    </row>
    <row r="158" spans="15:24">
      <c r="O158" s="1202"/>
      <c r="P158" s="1200"/>
      <c r="Q158" s="1202"/>
      <c r="R158" s="1201"/>
      <c r="S158" s="1200"/>
      <c r="T158" s="1200"/>
      <c r="U158" s="1202"/>
      <c r="V158" s="1201"/>
      <c r="W158" s="1200"/>
      <c r="X158" s="1200"/>
    </row>
    <row r="159" spans="15:24">
      <c r="O159" s="1202"/>
      <c r="P159" s="1200"/>
      <c r="Q159" s="1202"/>
      <c r="R159" s="1201"/>
      <c r="S159" s="1200"/>
      <c r="T159" s="1200"/>
      <c r="U159" s="1202"/>
      <c r="V159" s="1201"/>
      <c r="W159" s="1200"/>
      <c r="X159" s="1200"/>
    </row>
    <row r="160" spans="15:24">
      <c r="O160" s="1202"/>
      <c r="P160" s="1200"/>
      <c r="Q160" s="1202"/>
      <c r="R160" s="1201"/>
      <c r="S160" s="1200"/>
      <c r="T160" s="1200"/>
      <c r="U160" s="1202"/>
      <c r="V160" s="1201"/>
      <c r="W160" s="1200"/>
      <c r="X160" s="1200"/>
    </row>
    <row r="161" spans="15:24">
      <c r="O161" s="1202"/>
      <c r="P161" s="1200"/>
      <c r="Q161" s="1202"/>
      <c r="R161" s="1201"/>
      <c r="S161" s="1200"/>
      <c r="T161" s="1200"/>
      <c r="U161" s="1202"/>
      <c r="V161" s="1201"/>
      <c r="W161" s="1200"/>
      <c r="X161" s="1200"/>
    </row>
    <row r="162" spans="15:24">
      <c r="O162" s="1202"/>
      <c r="P162" s="1200"/>
      <c r="Q162" s="1202"/>
      <c r="R162" s="1201"/>
      <c r="S162" s="1200"/>
      <c r="T162" s="1200"/>
      <c r="U162" s="1202"/>
      <c r="V162" s="1201"/>
      <c r="W162" s="1200"/>
      <c r="X162" s="1200"/>
    </row>
    <row r="163" spans="15:24">
      <c r="O163" s="1202"/>
      <c r="P163" s="1200"/>
      <c r="Q163" s="1202"/>
      <c r="R163" s="1201"/>
      <c r="S163" s="1200"/>
      <c r="T163" s="1200"/>
      <c r="U163" s="1202"/>
      <c r="V163" s="1201"/>
      <c r="W163" s="1200"/>
      <c r="X163" s="1200"/>
    </row>
    <row r="164" spans="15:24">
      <c r="O164" s="1202"/>
      <c r="P164" s="1200"/>
      <c r="Q164" s="1202"/>
      <c r="R164" s="1201"/>
      <c r="S164" s="1200"/>
      <c r="T164" s="1200"/>
      <c r="U164" s="1202"/>
      <c r="V164" s="1201"/>
      <c r="W164" s="1200"/>
      <c r="X164" s="1200"/>
    </row>
    <row r="165" spans="15:24">
      <c r="O165" s="1202"/>
      <c r="P165" s="1200"/>
      <c r="Q165" s="1202"/>
      <c r="R165" s="1201"/>
      <c r="S165" s="1200"/>
      <c r="T165" s="1200"/>
      <c r="U165" s="1202"/>
      <c r="V165" s="1201"/>
      <c r="W165" s="1200"/>
      <c r="X165" s="1200"/>
    </row>
    <row r="166" spans="15:24">
      <c r="O166" s="1202"/>
      <c r="P166" s="1200"/>
      <c r="Q166" s="1202"/>
      <c r="R166" s="1201"/>
      <c r="S166" s="1200"/>
      <c r="T166" s="1200"/>
      <c r="U166" s="1202"/>
      <c r="V166" s="1201"/>
      <c r="W166" s="1200"/>
      <c r="X166" s="1200"/>
    </row>
    <row r="167" spans="15:24">
      <c r="O167" s="1202"/>
      <c r="P167" s="1200"/>
      <c r="Q167" s="1202"/>
      <c r="R167" s="1201"/>
      <c r="S167" s="1200"/>
      <c r="T167" s="1200"/>
      <c r="U167" s="1202"/>
      <c r="V167" s="1201"/>
      <c r="W167" s="1200"/>
      <c r="X167" s="1200"/>
    </row>
    <row r="168" spans="15:24">
      <c r="O168" s="1202"/>
      <c r="P168" s="1200"/>
      <c r="Q168" s="1202"/>
      <c r="R168" s="1201"/>
      <c r="S168" s="1200"/>
      <c r="T168" s="1200"/>
      <c r="U168" s="1202"/>
      <c r="V168" s="1201"/>
      <c r="W168" s="1200"/>
      <c r="X168" s="1200"/>
    </row>
    <row r="169" spans="15:24">
      <c r="O169" s="1202"/>
      <c r="P169" s="1200"/>
      <c r="Q169" s="1202"/>
      <c r="R169" s="1201"/>
      <c r="S169" s="1200"/>
      <c r="T169" s="1200"/>
      <c r="U169" s="1202"/>
      <c r="V169" s="1201"/>
      <c r="W169" s="1200"/>
      <c r="X169" s="1200"/>
    </row>
    <row r="170" spans="15:24">
      <c r="O170" s="1202"/>
      <c r="P170" s="1200"/>
      <c r="Q170" s="1202"/>
      <c r="R170" s="1201"/>
      <c r="S170" s="1200"/>
      <c r="T170" s="1200"/>
      <c r="U170" s="1202"/>
      <c r="V170" s="1201"/>
      <c r="W170" s="1200"/>
      <c r="X170" s="1200"/>
    </row>
    <row r="171" spans="15:24">
      <c r="O171" s="1202"/>
      <c r="P171" s="1200"/>
      <c r="Q171" s="1202"/>
      <c r="R171" s="1201"/>
      <c r="S171" s="1200"/>
      <c r="T171" s="1200"/>
      <c r="U171" s="1202"/>
      <c r="V171" s="1201"/>
      <c r="W171" s="1200"/>
      <c r="X171" s="1200"/>
    </row>
    <row r="172" spans="15:24">
      <c r="O172" s="1202"/>
      <c r="P172" s="1200"/>
      <c r="Q172" s="1202"/>
      <c r="R172" s="1201"/>
      <c r="S172" s="1200"/>
      <c r="T172" s="1200"/>
      <c r="U172" s="1202"/>
      <c r="V172" s="1201"/>
      <c r="W172" s="1200"/>
      <c r="X172" s="1200"/>
    </row>
    <row r="173" spans="15:24">
      <c r="O173" s="1202"/>
      <c r="P173" s="1200"/>
      <c r="Q173" s="1202"/>
      <c r="R173" s="1201"/>
      <c r="S173" s="1200"/>
      <c r="T173" s="1200"/>
      <c r="U173" s="1202"/>
      <c r="V173" s="1201"/>
      <c r="W173" s="1200"/>
      <c r="X173" s="1200"/>
    </row>
    <row r="174" spans="15:24">
      <c r="O174" s="1202"/>
      <c r="P174" s="1200"/>
      <c r="Q174" s="1202"/>
      <c r="R174" s="1201"/>
      <c r="S174" s="1200"/>
      <c r="T174" s="1200"/>
      <c r="U174" s="1202"/>
      <c r="V174" s="1201"/>
      <c r="W174" s="1200"/>
      <c r="X174" s="1200"/>
    </row>
    <row r="175" spans="15:24">
      <c r="O175" s="1202"/>
      <c r="P175" s="1200"/>
      <c r="Q175" s="1202"/>
      <c r="R175" s="1201"/>
      <c r="S175" s="1200"/>
      <c r="T175" s="1200"/>
      <c r="U175" s="1202"/>
      <c r="V175" s="1201"/>
      <c r="W175" s="1200"/>
      <c r="X175" s="1200"/>
    </row>
    <row r="176" spans="15:24">
      <c r="O176" s="1202"/>
      <c r="P176" s="1200"/>
      <c r="Q176" s="1202"/>
      <c r="R176" s="1201"/>
      <c r="S176" s="1200"/>
      <c r="T176" s="1200"/>
      <c r="U176" s="1202"/>
      <c r="V176" s="1201"/>
      <c r="W176" s="1200"/>
      <c r="X176" s="1200"/>
    </row>
    <row r="177" spans="15:24">
      <c r="O177" s="1202"/>
      <c r="P177" s="1200"/>
      <c r="Q177" s="1202"/>
      <c r="R177" s="1201"/>
      <c r="S177" s="1200"/>
      <c r="T177" s="1200"/>
      <c r="U177" s="1202"/>
      <c r="V177" s="1201"/>
      <c r="W177" s="1200"/>
      <c r="X177" s="1200"/>
    </row>
    <row r="178" spans="15:24">
      <c r="O178" s="1202"/>
      <c r="P178" s="1200"/>
      <c r="Q178" s="1202"/>
      <c r="R178" s="1201"/>
      <c r="S178" s="1200"/>
      <c r="T178" s="1200"/>
      <c r="U178" s="1202"/>
      <c r="V178" s="1201"/>
      <c r="W178" s="1200"/>
      <c r="X178" s="1200"/>
    </row>
    <row r="179" spans="15:24">
      <c r="O179" s="1202"/>
      <c r="P179" s="1200"/>
      <c r="Q179" s="1202"/>
      <c r="R179" s="1201"/>
      <c r="S179" s="1200"/>
      <c r="T179" s="1200"/>
      <c r="U179" s="1202"/>
      <c r="V179" s="1201"/>
      <c r="W179" s="1200"/>
      <c r="X179" s="1200"/>
    </row>
    <row r="180" spans="15:24">
      <c r="O180" s="1202"/>
      <c r="P180" s="1200"/>
      <c r="Q180" s="1202"/>
      <c r="R180" s="1201"/>
      <c r="S180" s="1200"/>
      <c r="T180" s="1200"/>
      <c r="U180" s="1202"/>
      <c r="V180" s="1201"/>
      <c r="W180" s="1200"/>
      <c r="X180" s="1200"/>
    </row>
    <row r="181" spans="15:24">
      <c r="O181" s="1202"/>
      <c r="P181" s="1200"/>
      <c r="Q181" s="1202"/>
      <c r="R181" s="1201"/>
      <c r="S181" s="1200"/>
      <c r="T181" s="1200"/>
      <c r="U181" s="1202"/>
      <c r="V181" s="1201"/>
      <c r="W181" s="1200"/>
      <c r="X181" s="1200"/>
    </row>
    <row r="182" spans="15:24">
      <c r="O182" s="1202"/>
      <c r="P182" s="1200"/>
      <c r="Q182" s="1202"/>
      <c r="R182" s="1201"/>
      <c r="S182" s="1200"/>
      <c r="T182" s="1200"/>
      <c r="U182" s="1202"/>
      <c r="V182" s="1201"/>
      <c r="W182" s="1200"/>
      <c r="X182" s="1200"/>
    </row>
    <row r="183" spans="15:24">
      <c r="O183" s="1202"/>
      <c r="P183" s="1200"/>
      <c r="Q183" s="1202"/>
      <c r="R183" s="1201"/>
      <c r="S183" s="1200"/>
      <c r="T183" s="1200"/>
      <c r="U183" s="1202"/>
      <c r="V183" s="1201"/>
      <c r="W183" s="1200"/>
      <c r="X183" s="1200"/>
    </row>
    <row r="184" spans="15:24">
      <c r="O184" s="1202"/>
      <c r="P184" s="1200"/>
      <c r="Q184" s="1202"/>
      <c r="R184" s="1201"/>
      <c r="S184" s="1200"/>
      <c r="T184" s="1200"/>
      <c r="U184" s="1202"/>
      <c r="V184" s="1201"/>
      <c r="W184" s="1200"/>
      <c r="X184" s="1200"/>
    </row>
    <row r="185" spans="15:24">
      <c r="O185" s="1202"/>
      <c r="P185" s="1200"/>
      <c r="Q185" s="1202"/>
      <c r="R185" s="1201"/>
      <c r="S185" s="1200"/>
      <c r="T185" s="1200"/>
      <c r="U185" s="1202"/>
      <c r="V185" s="1201"/>
      <c r="W185" s="1200"/>
      <c r="X185" s="1200"/>
    </row>
    <row r="186" spans="15:24">
      <c r="O186" s="1202"/>
      <c r="P186" s="1200"/>
      <c r="Q186" s="1202"/>
      <c r="R186" s="1201"/>
      <c r="S186" s="1200"/>
      <c r="T186" s="1200"/>
      <c r="U186" s="1202"/>
      <c r="V186" s="1201"/>
      <c r="W186" s="1200"/>
      <c r="X186" s="1200"/>
    </row>
    <row r="187" spans="15:24">
      <c r="O187" s="1202"/>
      <c r="P187" s="1200"/>
      <c r="Q187" s="1202"/>
      <c r="R187" s="1201"/>
      <c r="S187" s="1200"/>
      <c r="T187" s="1200"/>
      <c r="U187" s="1202"/>
      <c r="V187" s="1201"/>
      <c r="W187" s="1200"/>
      <c r="X187" s="1200"/>
    </row>
    <row r="188" spans="15:24">
      <c r="O188" s="1202"/>
      <c r="P188" s="1200"/>
      <c r="Q188" s="1202"/>
      <c r="R188" s="1201"/>
      <c r="S188" s="1200"/>
      <c r="T188" s="1200"/>
      <c r="U188" s="1202"/>
      <c r="V188" s="1201"/>
      <c r="W188" s="1200"/>
      <c r="X188" s="1200"/>
    </row>
    <row r="189" spans="15:24">
      <c r="O189" s="1202"/>
      <c r="P189" s="1200"/>
      <c r="Q189" s="1202"/>
      <c r="R189" s="1201"/>
      <c r="S189" s="1200"/>
      <c r="T189" s="1200"/>
      <c r="U189" s="1202"/>
      <c r="V189" s="1201"/>
      <c r="W189" s="1200"/>
      <c r="X189" s="1200"/>
    </row>
    <row r="190" spans="15:24">
      <c r="O190" s="1202"/>
      <c r="P190" s="1200"/>
      <c r="Q190" s="1202"/>
      <c r="R190" s="1201"/>
      <c r="S190" s="1200"/>
      <c r="T190" s="1200"/>
      <c r="U190" s="1202"/>
      <c r="V190" s="1201"/>
      <c r="W190" s="1200"/>
      <c r="X190" s="1200"/>
    </row>
    <row r="191" spans="15:24">
      <c r="O191" s="1202"/>
      <c r="P191" s="1200"/>
      <c r="Q191" s="1202"/>
      <c r="R191" s="1201"/>
      <c r="S191" s="1200"/>
      <c r="T191" s="1200"/>
      <c r="U191" s="1202"/>
      <c r="V191" s="1201"/>
      <c r="W191" s="1200"/>
      <c r="X191" s="1200"/>
    </row>
    <row r="192" spans="15:24">
      <c r="O192" s="1202"/>
      <c r="P192" s="1200"/>
      <c r="Q192" s="1202"/>
      <c r="R192" s="1201"/>
      <c r="S192" s="1200"/>
      <c r="T192" s="1200"/>
      <c r="U192" s="1202"/>
      <c r="V192" s="1201"/>
      <c r="W192" s="1200"/>
      <c r="X192" s="1200"/>
    </row>
    <row r="193" spans="15:24">
      <c r="O193" s="1202"/>
      <c r="P193" s="1200"/>
      <c r="Q193" s="1202"/>
      <c r="R193" s="1201"/>
      <c r="S193" s="1200"/>
      <c r="T193" s="1200"/>
      <c r="U193" s="1202"/>
      <c r="V193" s="1201"/>
      <c r="W193" s="1200"/>
      <c r="X193" s="1200"/>
    </row>
    <row r="194" spans="15:24">
      <c r="O194" s="1202"/>
      <c r="P194" s="1200"/>
      <c r="Q194" s="1202"/>
      <c r="R194" s="1201"/>
      <c r="S194" s="1200"/>
      <c r="T194" s="1200"/>
      <c r="U194" s="1202"/>
      <c r="V194" s="1201"/>
      <c r="W194" s="1200"/>
      <c r="X194" s="1200"/>
    </row>
    <row r="195" spans="15:24">
      <c r="O195" s="1202"/>
      <c r="P195" s="1200"/>
      <c r="Q195" s="1202"/>
      <c r="R195" s="1201"/>
      <c r="S195" s="1200"/>
      <c r="T195" s="1200"/>
      <c r="U195" s="1202"/>
      <c r="V195" s="1201"/>
      <c r="W195" s="1200"/>
      <c r="X195" s="1200"/>
    </row>
    <row r="196" spans="15:24">
      <c r="O196" s="1202"/>
      <c r="P196" s="1200"/>
      <c r="Q196" s="1202"/>
      <c r="R196" s="1201"/>
      <c r="S196" s="1200"/>
      <c r="T196" s="1200"/>
      <c r="U196" s="1202"/>
      <c r="V196" s="1201"/>
      <c r="W196" s="1200"/>
      <c r="X196" s="1200"/>
    </row>
    <row r="197" spans="15:24">
      <c r="O197" s="1202"/>
      <c r="P197" s="1200"/>
      <c r="Q197" s="1202"/>
      <c r="R197" s="1201"/>
      <c r="S197" s="1200"/>
      <c r="T197" s="1200"/>
      <c r="U197" s="1202"/>
      <c r="V197" s="1201"/>
      <c r="W197" s="1200"/>
      <c r="X197" s="1200"/>
    </row>
    <row r="198" spans="15:24">
      <c r="O198" s="1202"/>
      <c r="P198" s="1200"/>
      <c r="Q198" s="1202"/>
      <c r="R198" s="1201"/>
      <c r="S198" s="1200"/>
      <c r="T198" s="1200"/>
      <c r="U198" s="1202"/>
      <c r="V198" s="1201"/>
      <c r="W198" s="1200"/>
      <c r="X198" s="1200"/>
    </row>
    <row r="199" spans="15:24">
      <c r="O199" s="1202"/>
      <c r="P199" s="1200"/>
      <c r="Q199" s="1202"/>
      <c r="R199" s="1201"/>
      <c r="S199" s="1200"/>
      <c r="T199" s="1200"/>
      <c r="U199" s="1202"/>
      <c r="V199" s="1201"/>
      <c r="W199" s="1200"/>
      <c r="X199" s="1200"/>
    </row>
    <row r="200" spans="15:24">
      <c r="O200" s="1202"/>
      <c r="P200" s="1200"/>
      <c r="Q200" s="1202"/>
      <c r="R200" s="1201"/>
      <c r="S200" s="1200"/>
      <c r="T200" s="1200"/>
      <c r="U200" s="1202"/>
      <c r="V200" s="1201"/>
      <c r="W200" s="1200"/>
      <c r="X200" s="1200"/>
    </row>
    <row r="201" spans="15:24">
      <c r="O201" s="1202"/>
      <c r="P201" s="1200"/>
      <c r="Q201" s="1202"/>
      <c r="R201" s="1201"/>
      <c r="S201" s="1200"/>
      <c r="T201" s="1200"/>
      <c r="U201" s="1202"/>
      <c r="V201" s="1201"/>
      <c r="W201" s="1200"/>
      <c r="X201" s="1200"/>
    </row>
    <row r="202" spans="15:24">
      <c r="O202" s="1202"/>
      <c r="P202" s="1200"/>
      <c r="Q202" s="1202"/>
      <c r="R202" s="1201"/>
      <c r="S202" s="1200"/>
      <c r="T202" s="1200"/>
      <c r="U202" s="1202"/>
      <c r="V202" s="1201"/>
      <c r="W202" s="1200"/>
      <c r="X202" s="1200"/>
    </row>
    <row r="203" spans="15:24">
      <c r="O203" s="1202"/>
      <c r="P203" s="1200"/>
      <c r="Q203" s="1202"/>
      <c r="R203" s="1201"/>
      <c r="S203" s="1200"/>
      <c r="T203" s="1200"/>
      <c r="U203" s="1202"/>
      <c r="V203" s="1201"/>
      <c r="W203" s="1200"/>
      <c r="X203" s="1200"/>
    </row>
    <row r="204" spans="15:24">
      <c r="O204" s="1202"/>
      <c r="P204" s="1200"/>
      <c r="Q204" s="1202"/>
      <c r="R204" s="1201"/>
      <c r="S204" s="1200"/>
      <c r="T204" s="1200"/>
      <c r="U204" s="1202"/>
      <c r="V204" s="1201"/>
      <c r="W204" s="1200"/>
      <c r="X204" s="1200"/>
    </row>
    <row r="205" spans="15:24">
      <c r="O205" s="1202"/>
      <c r="P205" s="1200"/>
      <c r="Q205" s="1202"/>
      <c r="R205" s="1201"/>
      <c r="S205" s="1200"/>
      <c r="T205" s="1200"/>
      <c r="U205" s="1202"/>
      <c r="V205" s="1201"/>
      <c r="W205" s="1200"/>
      <c r="X205" s="1200"/>
    </row>
    <row r="206" spans="15:24">
      <c r="O206" s="1202"/>
      <c r="P206" s="1200"/>
      <c r="Q206" s="1202"/>
      <c r="R206" s="1201"/>
      <c r="S206" s="1200"/>
      <c r="T206" s="1200"/>
      <c r="U206" s="1202"/>
      <c r="V206" s="1201"/>
      <c r="W206" s="1200"/>
      <c r="X206" s="1200"/>
    </row>
    <row r="207" spans="15:24">
      <c r="O207" s="1202"/>
      <c r="P207" s="1200"/>
      <c r="Q207" s="1202"/>
      <c r="R207" s="1201"/>
      <c r="S207" s="1200"/>
      <c r="T207" s="1200"/>
      <c r="U207" s="1202"/>
      <c r="V207" s="1201"/>
      <c r="W207" s="1200"/>
      <c r="X207" s="1200"/>
    </row>
    <row r="208" spans="15:24">
      <c r="O208" s="1202"/>
      <c r="P208" s="1200"/>
      <c r="Q208" s="1202"/>
      <c r="R208" s="1201"/>
      <c r="S208" s="1200"/>
      <c r="T208" s="1200"/>
      <c r="U208" s="1202"/>
      <c r="V208" s="1201"/>
      <c r="W208" s="1200"/>
      <c r="X208" s="1200"/>
    </row>
    <row r="209" spans="15:24">
      <c r="O209" s="1202"/>
      <c r="P209" s="1200"/>
      <c r="Q209" s="1202"/>
      <c r="R209" s="1201"/>
      <c r="S209" s="1200"/>
      <c r="T209" s="1200"/>
      <c r="U209" s="1202"/>
      <c r="V209" s="1201"/>
      <c r="W209" s="1200"/>
      <c r="X209" s="1200"/>
    </row>
    <row r="210" spans="15:24">
      <c r="O210" s="1202"/>
      <c r="P210" s="1200"/>
      <c r="Q210" s="1202"/>
      <c r="R210" s="1201"/>
      <c r="S210" s="1200"/>
      <c r="T210" s="1200"/>
      <c r="U210" s="1202"/>
      <c r="V210" s="1201"/>
      <c r="W210" s="1200"/>
      <c r="X210" s="1200"/>
    </row>
    <row r="211" spans="15:24">
      <c r="O211" s="1202"/>
      <c r="P211" s="1200"/>
      <c r="Q211" s="1202"/>
      <c r="R211" s="1201"/>
      <c r="S211" s="1200"/>
      <c r="T211" s="1200"/>
      <c r="U211" s="1202"/>
      <c r="V211" s="1201"/>
      <c r="W211" s="1200"/>
      <c r="X211" s="1200"/>
    </row>
    <row r="212" spans="15:24">
      <c r="O212" s="1202"/>
      <c r="P212" s="1200"/>
      <c r="Q212" s="1202"/>
      <c r="R212" s="1201"/>
      <c r="S212" s="1200"/>
      <c r="T212" s="1200"/>
      <c r="U212" s="1202"/>
      <c r="V212" s="1201"/>
      <c r="W212" s="1200"/>
      <c r="X212" s="1200"/>
    </row>
    <row r="213" spans="15:24">
      <c r="O213" s="1202"/>
      <c r="P213" s="1200"/>
      <c r="Q213" s="1202"/>
      <c r="R213" s="1201"/>
      <c r="S213" s="1200"/>
      <c r="T213" s="1200"/>
      <c r="U213" s="1202"/>
      <c r="V213" s="1201"/>
      <c r="W213" s="1200"/>
      <c r="X213" s="1200"/>
    </row>
    <row r="214" spans="15:24">
      <c r="O214" s="1202"/>
      <c r="P214" s="1200"/>
      <c r="Q214" s="1202"/>
      <c r="R214" s="1201"/>
      <c r="S214" s="1200"/>
      <c r="T214" s="1200"/>
      <c r="U214" s="1202"/>
      <c r="V214" s="1201"/>
      <c r="W214" s="1200"/>
      <c r="X214" s="1200"/>
    </row>
    <row r="215" spans="15:24">
      <c r="O215" s="1202"/>
      <c r="P215" s="1200"/>
      <c r="Q215" s="1202"/>
      <c r="R215" s="1201"/>
      <c r="S215" s="1200"/>
      <c r="T215" s="1200"/>
      <c r="U215" s="1202"/>
      <c r="V215" s="1201"/>
      <c r="W215" s="1200"/>
      <c r="X215" s="1200"/>
    </row>
    <row r="216" spans="15:24">
      <c r="O216" s="1202"/>
      <c r="P216" s="1200"/>
      <c r="Q216" s="1202"/>
      <c r="R216" s="1201"/>
      <c r="S216" s="1200"/>
      <c r="T216" s="1200"/>
      <c r="U216" s="1202"/>
      <c r="V216" s="1201"/>
      <c r="W216" s="1200"/>
      <c r="X216" s="1200"/>
    </row>
    <row r="217" spans="15:24">
      <c r="O217" s="1202"/>
      <c r="P217" s="1200"/>
      <c r="Q217" s="1202"/>
      <c r="R217" s="1201"/>
      <c r="S217" s="1200"/>
      <c r="T217" s="1200"/>
      <c r="U217" s="1202"/>
      <c r="V217" s="1201"/>
      <c r="W217" s="1200"/>
      <c r="X217" s="1200"/>
    </row>
    <row r="218" spans="15:24">
      <c r="O218" s="1202"/>
      <c r="P218" s="1200"/>
      <c r="Q218" s="1202"/>
      <c r="R218" s="1201"/>
      <c r="S218" s="1200"/>
      <c r="T218" s="1200"/>
      <c r="U218" s="1202"/>
      <c r="V218" s="1201"/>
      <c r="W218" s="1200"/>
      <c r="X218" s="1200"/>
    </row>
    <row r="219" spans="15:24">
      <c r="O219" s="1202"/>
      <c r="P219" s="1200"/>
      <c r="Q219" s="1202"/>
      <c r="R219" s="1201"/>
      <c r="S219" s="1200"/>
      <c r="T219" s="1200"/>
      <c r="U219" s="1202"/>
      <c r="V219" s="1201"/>
      <c r="W219" s="1200"/>
      <c r="X219" s="1200"/>
    </row>
    <row r="220" spans="15:24">
      <c r="O220" s="1202"/>
      <c r="P220" s="1200"/>
      <c r="Q220" s="1202"/>
      <c r="R220" s="1201"/>
      <c r="S220" s="1200"/>
      <c r="T220" s="1200"/>
      <c r="U220" s="1202"/>
      <c r="V220" s="1201"/>
      <c r="W220" s="1200"/>
      <c r="X220" s="1200"/>
    </row>
    <row r="221" spans="15:24">
      <c r="O221" s="1202"/>
      <c r="P221" s="1200"/>
      <c r="Q221" s="1202"/>
      <c r="R221" s="1201"/>
      <c r="S221" s="1200"/>
      <c r="T221" s="1200"/>
      <c r="U221" s="1202"/>
      <c r="V221" s="1201"/>
      <c r="W221" s="1200"/>
      <c r="X221" s="1200"/>
    </row>
    <row r="222" spans="15:24">
      <c r="O222" s="1202"/>
      <c r="P222" s="1200"/>
      <c r="Q222" s="1202"/>
      <c r="R222" s="1201"/>
      <c r="S222" s="1200"/>
      <c r="T222" s="1200"/>
      <c r="U222" s="1202"/>
      <c r="V222" s="1201"/>
      <c r="W222" s="1200"/>
      <c r="X222" s="1200"/>
    </row>
    <row r="223" spans="15:24">
      <c r="O223" s="1202"/>
      <c r="P223" s="1200"/>
      <c r="Q223" s="1202"/>
      <c r="R223" s="1201"/>
      <c r="S223" s="1200"/>
      <c r="T223" s="1200"/>
      <c r="U223" s="1202"/>
      <c r="V223" s="1201"/>
      <c r="W223" s="1200"/>
      <c r="X223" s="1200"/>
    </row>
    <row r="224" spans="15:24">
      <c r="O224" s="1202"/>
      <c r="P224" s="1200"/>
      <c r="Q224" s="1202"/>
      <c r="R224" s="1201"/>
      <c r="S224" s="1200"/>
      <c r="T224" s="1200"/>
      <c r="U224" s="1202"/>
      <c r="V224" s="1201"/>
      <c r="W224" s="1200"/>
      <c r="X224" s="1200"/>
    </row>
    <row r="225" spans="15:24">
      <c r="O225" s="1202"/>
      <c r="P225" s="1200"/>
      <c r="Q225" s="1202"/>
      <c r="R225" s="1201"/>
      <c r="S225" s="1200"/>
      <c r="T225" s="1200"/>
      <c r="U225" s="1202"/>
      <c r="V225" s="1201"/>
      <c r="W225" s="1200"/>
      <c r="X225" s="1200"/>
    </row>
    <row r="226" spans="15:24">
      <c r="O226" s="1202"/>
      <c r="P226" s="1200"/>
      <c r="Q226" s="1202"/>
      <c r="R226" s="1201"/>
      <c r="S226" s="1200"/>
      <c r="T226" s="1200"/>
      <c r="U226" s="1202"/>
      <c r="V226" s="1201"/>
      <c r="W226" s="1200"/>
      <c r="X226" s="1200"/>
    </row>
    <row r="227" spans="15:24">
      <c r="O227" s="1202"/>
      <c r="P227" s="1200"/>
      <c r="Q227" s="1202"/>
      <c r="R227" s="1201"/>
      <c r="S227" s="1200"/>
      <c r="T227" s="1200"/>
      <c r="U227" s="1202"/>
      <c r="V227" s="1201"/>
      <c r="W227" s="1200"/>
      <c r="X227" s="1200"/>
    </row>
    <row r="228" spans="15:24">
      <c r="O228" s="1202"/>
      <c r="P228" s="1200"/>
      <c r="Q228" s="1202"/>
      <c r="R228" s="1201"/>
      <c r="S228" s="1200"/>
      <c r="T228" s="1200"/>
      <c r="U228" s="1202"/>
      <c r="V228" s="1201"/>
      <c r="W228" s="1200"/>
      <c r="X228" s="1200"/>
    </row>
    <row r="229" spans="15:24">
      <c r="O229" s="1202"/>
      <c r="P229" s="1200"/>
      <c r="Q229" s="1202"/>
      <c r="R229" s="1201"/>
      <c r="S229" s="1200"/>
      <c r="T229" s="1200"/>
      <c r="U229" s="1202"/>
      <c r="V229" s="1201"/>
      <c r="W229" s="1200"/>
      <c r="X229" s="1200"/>
    </row>
    <row r="230" spans="15:24">
      <c r="O230" s="1202"/>
      <c r="P230" s="1200"/>
      <c r="Q230" s="1202"/>
      <c r="R230" s="1201"/>
      <c r="S230" s="1200"/>
      <c r="T230" s="1200"/>
      <c r="U230" s="1202"/>
      <c r="V230" s="1201"/>
      <c r="W230" s="1200"/>
      <c r="X230" s="1200"/>
    </row>
    <row r="231" spans="15:24">
      <c r="O231" s="1202"/>
      <c r="P231" s="1200"/>
      <c r="Q231" s="1202"/>
      <c r="R231" s="1201"/>
      <c r="S231" s="1200"/>
      <c r="T231" s="1200"/>
      <c r="U231" s="1202"/>
      <c r="V231" s="1201"/>
      <c r="W231" s="1200"/>
      <c r="X231" s="1200"/>
    </row>
    <row r="232" spans="15:24">
      <c r="O232" s="1202"/>
      <c r="P232" s="1200"/>
      <c r="Q232" s="1202"/>
      <c r="R232" s="1201"/>
      <c r="S232" s="1200"/>
      <c r="T232" s="1200"/>
      <c r="U232" s="1202"/>
      <c r="V232" s="1201"/>
      <c r="W232" s="1200"/>
      <c r="X232" s="1200"/>
    </row>
    <row r="233" spans="15:24">
      <c r="O233" s="1202"/>
      <c r="P233" s="1200"/>
      <c r="Q233" s="1202"/>
      <c r="R233" s="1201"/>
      <c r="S233" s="1200"/>
      <c r="T233" s="1200"/>
      <c r="U233" s="1202"/>
      <c r="V233" s="1201"/>
      <c r="W233" s="1200"/>
      <c r="X233" s="1200"/>
    </row>
    <row r="234" spans="15:24">
      <c r="O234" s="1202"/>
      <c r="P234" s="1200"/>
      <c r="Q234" s="1202"/>
      <c r="R234" s="1201"/>
      <c r="S234" s="1200"/>
      <c r="T234" s="1200"/>
      <c r="U234" s="1202"/>
      <c r="V234" s="1201"/>
      <c r="W234" s="1200"/>
      <c r="X234" s="1200"/>
    </row>
    <row r="235" spans="15:24">
      <c r="O235" s="1202"/>
      <c r="P235" s="1200"/>
      <c r="Q235" s="1202"/>
      <c r="R235" s="1201"/>
      <c r="S235" s="1200"/>
      <c r="T235" s="1200"/>
      <c r="U235" s="1202"/>
      <c r="V235" s="1201"/>
      <c r="W235" s="1200"/>
      <c r="X235" s="1200"/>
    </row>
    <row r="236" spans="15:24">
      <c r="O236" s="1202"/>
      <c r="P236" s="1200"/>
      <c r="Q236" s="1202"/>
      <c r="R236" s="1201"/>
      <c r="S236" s="1200"/>
      <c r="T236" s="1200"/>
      <c r="U236" s="1202"/>
      <c r="V236" s="1201"/>
      <c r="W236" s="1200"/>
      <c r="X236" s="1200"/>
    </row>
    <row r="237" spans="15:24">
      <c r="O237" s="1202"/>
      <c r="P237" s="1200"/>
      <c r="Q237" s="1202"/>
      <c r="R237" s="1201"/>
      <c r="S237" s="1200"/>
      <c r="T237" s="1200"/>
      <c r="U237" s="1202"/>
      <c r="V237" s="1201"/>
      <c r="W237" s="1200"/>
      <c r="X237" s="1200"/>
    </row>
    <row r="238" spans="15:24">
      <c r="O238" s="1202"/>
      <c r="P238" s="1200"/>
      <c r="Q238" s="1202"/>
      <c r="R238" s="1201"/>
      <c r="S238" s="1200"/>
      <c r="T238" s="1200"/>
      <c r="U238" s="1202"/>
      <c r="V238" s="1201"/>
      <c r="W238" s="1200"/>
      <c r="X238" s="1200"/>
    </row>
    <row r="239" spans="15:24">
      <c r="O239" s="1202"/>
      <c r="P239" s="1200"/>
      <c r="Q239" s="1202"/>
      <c r="R239" s="1201"/>
      <c r="S239" s="1200"/>
      <c r="T239" s="1200"/>
      <c r="U239" s="1202"/>
      <c r="V239" s="1201"/>
      <c r="W239" s="1200"/>
      <c r="X239" s="1200"/>
    </row>
    <row r="240" spans="15:24">
      <c r="O240" s="1202"/>
      <c r="P240" s="1200"/>
      <c r="Q240" s="1202"/>
      <c r="R240" s="1201"/>
      <c r="S240" s="1200"/>
      <c r="T240" s="1200"/>
      <c r="U240" s="1202"/>
      <c r="V240" s="1201"/>
      <c r="W240" s="1200"/>
      <c r="X240" s="1200"/>
    </row>
    <row r="241" spans="15:24">
      <c r="O241" s="1202"/>
      <c r="P241" s="1200"/>
      <c r="Q241" s="1202"/>
      <c r="R241" s="1201"/>
      <c r="S241" s="1200"/>
      <c r="T241" s="1200"/>
      <c r="U241" s="1202"/>
      <c r="V241" s="1201"/>
      <c r="W241" s="1200"/>
      <c r="X241" s="1200"/>
    </row>
    <row r="242" spans="15:24">
      <c r="O242" s="1202"/>
      <c r="P242" s="1200"/>
      <c r="Q242" s="1202"/>
      <c r="R242" s="1201"/>
      <c r="S242" s="1200"/>
      <c r="T242" s="1200"/>
      <c r="U242" s="1202"/>
      <c r="V242" s="1201"/>
      <c r="W242" s="1200"/>
      <c r="X242" s="1200"/>
    </row>
    <row r="243" spans="15:24">
      <c r="O243" s="1202"/>
      <c r="P243" s="1200"/>
      <c r="Q243" s="1202"/>
      <c r="R243" s="1201"/>
      <c r="S243" s="1200"/>
      <c r="T243" s="1200"/>
      <c r="U243" s="1202"/>
      <c r="V243" s="1201"/>
      <c r="W243" s="1200"/>
      <c r="X243" s="1200"/>
    </row>
    <row r="244" spans="15:24">
      <c r="O244" s="1202"/>
      <c r="P244" s="1200"/>
      <c r="Q244" s="1202"/>
      <c r="R244" s="1201"/>
      <c r="S244" s="1200"/>
      <c r="T244" s="1200"/>
      <c r="U244" s="1202"/>
      <c r="V244" s="1201"/>
      <c r="W244" s="1200"/>
      <c r="X244" s="1200"/>
    </row>
    <row r="245" spans="15:24">
      <c r="O245" s="1202"/>
      <c r="P245" s="1200"/>
      <c r="Q245" s="1202"/>
      <c r="R245" s="1201"/>
      <c r="S245" s="1200"/>
      <c r="T245" s="1200"/>
      <c r="U245" s="1202"/>
      <c r="V245" s="1201"/>
      <c r="W245" s="1200"/>
      <c r="X245" s="1200"/>
    </row>
    <row r="246" spans="15:24">
      <c r="O246" s="1202"/>
      <c r="P246" s="1200"/>
      <c r="Q246" s="1202"/>
      <c r="R246" s="1201"/>
      <c r="S246" s="1200"/>
      <c r="T246" s="1200"/>
      <c r="U246" s="1202"/>
      <c r="V246" s="1201"/>
      <c r="W246" s="1200"/>
      <c r="X246" s="1200"/>
    </row>
    <row r="247" spans="15:24">
      <c r="O247" s="1202"/>
      <c r="P247" s="1200"/>
      <c r="Q247" s="1202"/>
      <c r="R247" s="1201"/>
      <c r="S247" s="1200"/>
      <c r="T247" s="1200"/>
      <c r="U247" s="1202"/>
      <c r="V247" s="1201"/>
      <c r="W247" s="1200"/>
      <c r="X247" s="1200"/>
    </row>
    <row r="248" spans="15:24">
      <c r="O248" s="1202"/>
      <c r="P248" s="1200"/>
      <c r="Q248" s="1202"/>
      <c r="R248" s="1201"/>
      <c r="S248" s="1200"/>
      <c r="T248" s="1200"/>
      <c r="U248" s="1202"/>
      <c r="V248" s="1201"/>
      <c r="W248" s="1200"/>
      <c r="X248" s="1200"/>
    </row>
    <row r="249" spans="15:24">
      <c r="O249" s="1202"/>
      <c r="P249" s="1200"/>
      <c r="Q249" s="1202"/>
      <c r="R249" s="1201"/>
      <c r="S249" s="1200"/>
      <c r="T249" s="1200"/>
      <c r="U249" s="1202"/>
      <c r="V249" s="1201"/>
      <c r="W249" s="1200"/>
      <c r="X249" s="1200"/>
    </row>
    <row r="250" spans="15:24">
      <c r="O250" s="1202"/>
      <c r="P250" s="1200"/>
      <c r="Q250" s="1202"/>
      <c r="R250" s="1201"/>
      <c r="S250" s="1200"/>
      <c r="T250" s="1200"/>
      <c r="U250" s="1202"/>
      <c r="V250" s="1201"/>
      <c r="W250" s="1200"/>
      <c r="X250" s="1200"/>
    </row>
    <row r="251" spans="15:24">
      <c r="O251" s="1202"/>
      <c r="P251" s="1200"/>
      <c r="Q251" s="1202"/>
      <c r="R251" s="1201"/>
      <c r="S251" s="1200"/>
      <c r="T251" s="1200"/>
      <c r="U251" s="1202"/>
      <c r="V251" s="1201"/>
      <c r="W251" s="1200"/>
      <c r="X251" s="1200"/>
    </row>
    <row r="252" spans="15:24">
      <c r="O252" s="1202"/>
      <c r="P252" s="1200"/>
      <c r="Q252" s="1202"/>
      <c r="R252" s="1201"/>
      <c r="S252" s="1200"/>
      <c r="T252" s="1200"/>
      <c r="U252" s="1202"/>
      <c r="V252" s="1201"/>
      <c r="W252" s="1200"/>
      <c r="X252" s="1200"/>
    </row>
    <row r="253" spans="15:24">
      <c r="O253" s="1202"/>
      <c r="P253" s="1200"/>
      <c r="Q253" s="1202"/>
      <c r="R253" s="1201"/>
      <c r="S253" s="1200"/>
      <c r="T253" s="1200"/>
      <c r="U253" s="1202"/>
      <c r="V253" s="1201"/>
      <c r="W253" s="1200"/>
      <c r="X253" s="1200"/>
    </row>
    <row r="254" spans="15:24">
      <c r="O254" s="1202"/>
      <c r="P254" s="1200"/>
      <c r="Q254" s="1202"/>
      <c r="R254" s="1201"/>
      <c r="S254" s="1200"/>
      <c r="T254" s="1200"/>
      <c r="U254" s="1202"/>
      <c r="V254" s="1201"/>
      <c r="W254" s="1200"/>
      <c r="X254" s="1200"/>
    </row>
    <row r="255" spans="15:24">
      <c r="O255" s="1202"/>
      <c r="P255" s="1200"/>
      <c r="Q255" s="1202"/>
      <c r="R255" s="1201"/>
      <c r="S255" s="1200"/>
      <c r="T255" s="1200"/>
      <c r="U255" s="1202"/>
      <c r="V255" s="1201"/>
      <c r="W255" s="1200"/>
      <c r="X255" s="1200"/>
    </row>
    <row r="256" spans="15:24">
      <c r="O256" s="1202"/>
      <c r="P256" s="1200"/>
      <c r="Q256" s="1202"/>
      <c r="R256" s="1201"/>
      <c r="S256" s="1200"/>
      <c r="T256" s="1200"/>
      <c r="U256" s="1202"/>
      <c r="V256" s="1201"/>
      <c r="W256" s="1200"/>
      <c r="X256" s="1200"/>
    </row>
    <row r="257" spans="15:24">
      <c r="O257" s="1202"/>
      <c r="P257" s="1200"/>
      <c r="Q257" s="1202"/>
      <c r="R257" s="1201"/>
      <c r="S257" s="1200"/>
      <c r="T257" s="1200"/>
      <c r="U257" s="1202"/>
      <c r="V257" s="1201"/>
      <c r="W257" s="1200"/>
      <c r="X257" s="1200"/>
    </row>
    <row r="258" spans="15:24">
      <c r="O258" s="1202"/>
      <c r="P258" s="1200"/>
      <c r="Q258" s="1202"/>
      <c r="R258" s="1201"/>
      <c r="S258" s="1200"/>
      <c r="T258" s="1200"/>
      <c r="U258" s="1202"/>
      <c r="V258" s="1201"/>
      <c r="W258" s="1200"/>
      <c r="X258" s="1200"/>
    </row>
    <row r="259" spans="15:24">
      <c r="O259" s="1202"/>
      <c r="P259" s="1200"/>
      <c r="Q259" s="1202"/>
      <c r="R259" s="1201"/>
      <c r="S259" s="1200"/>
      <c r="T259" s="1200"/>
      <c r="U259" s="1202"/>
      <c r="V259" s="1201"/>
      <c r="W259" s="1200"/>
      <c r="X259" s="1200"/>
    </row>
    <row r="260" spans="15:24">
      <c r="O260" s="1202"/>
      <c r="P260" s="1200"/>
      <c r="Q260" s="1202"/>
      <c r="R260" s="1201"/>
      <c r="S260" s="1200"/>
      <c r="T260" s="1200"/>
      <c r="U260" s="1202"/>
      <c r="V260" s="1201"/>
      <c r="W260" s="1200"/>
      <c r="X260" s="1200"/>
    </row>
    <row r="261" spans="15:24">
      <c r="O261" s="1202"/>
      <c r="P261" s="1200"/>
      <c r="Q261" s="1202"/>
      <c r="R261" s="1201"/>
      <c r="S261" s="1200"/>
      <c r="T261" s="1200"/>
      <c r="U261" s="1202"/>
      <c r="V261" s="1201"/>
      <c r="W261" s="1200"/>
      <c r="X261" s="1200"/>
    </row>
    <row r="262" spans="15:24">
      <c r="O262" s="1202"/>
      <c r="P262" s="1200"/>
      <c r="Q262" s="1202"/>
      <c r="R262" s="1201"/>
      <c r="S262" s="1200"/>
      <c r="T262" s="1200"/>
      <c r="U262" s="1202"/>
      <c r="V262" s="1201"/>
      <c r="W262" s="1200"/>
      <c r="X262" s="1200"/>
    </row>
    <row r="263" spans="15:24">
      <c r="O263" s="1202"/>
      <c r="P263" s="1200"/>
      <c r="Q263" s="1202"/>
      <c r="R263" s="1201"/>
      <c r="S263" s="1200"/>
      <c r="T263" s="1200"/>
      <c r="U263" s="1202"/>
      <c r="V263" s="1201"/>
      <c r="W263" s="1200"/>
      <c r="X263" s="1200"/>
    </row>
    <row r="264" spans="15:24">
      <c r="O264" s="1202"/>
      <c r="P264" s="1200"/>
      <c r="Q264" s="1202"/>
      <c r="R264" s="1201"/>
      <c r="S264" s="1200"/>
      <c r="T264" s="1200"/>
      <c r="U264" s="1202"/>
      <c r="V264" s="1201"/>
      <c r="W264" s="1200"/>
      <c r="X264" s="1200"/>
    </row>
    <row r="265" spans="15:24">
      <c r="O265" s="1202"/>
      <c r="P265" s="1200"/>
      <c r="Q265" s="1202"/>
      <c r="R265" s="1201"/>
      <c r="S265" s="1200"/>
      <c r="T265" s="1200"/>
      <c r="U265" s="1202"/>
      <c r="V265" s="1201"/>
      <c r="W265" s="1200"/>
      <c r="X265" s="1200"/>
    </row>
    <row r="266" spans="15:24">
      <c r="O266" s="1202"/>
      <c r="P266" s="1200"/>
      <c r="Q266" s="1202"/>
      <c r="R266" s="1201"/>
      <c r="S266" s="1200"/>
      <c r="T266" s="1200"/>
      <c r="U266" s="1202"/>
      <c r="V266" s="1201"/>
      <c r="W266" s="1200"/>
      <c r="X266" s="1200"/>
    </row>
    <row r="267" spans="15:24">
      <c r="O267" s="1202"/>
      <c r="P267" s="1200"/>
      <c r="Q267" s="1202"/>
      <c r="R267" s="1201"/>
      <c r="S267" s="1200"/>
      <c r="T267" s="1200"/>
      <c r="U267" s="1202"/>
      <c r="V267" s="1201"/>
      <c r="W267" s="1200"/>
      <c r="X267" s="1200"/>
    </row>
    <row r="268" spans="15:24">
      <c r="O268" s="1202"/>
      <c r="P268" s="1200"/>
      <c r="Q268" s="1202"/>
      <c r="R268" s="1201"/>
      <c r="S268" s="1200"/>
      <c r="T268" s="1200"/>
      <c r="U268" s="1202"/>
      <c r="V268" s="1201"/>
      <c r="W268" s="1200"/>
      <c r="X268" s="1200"/>
    </row>
    <row r="269" spans="15:24">
      <c r="O269" s="1202"/>
      <c r="P269" s="1200"/>
      <c r="Q269" s="1202"/>
      <c r="R269" s="1201"/>
      <c r="S269" s="1200"/>
      <c r="T269" s="1200"/>
      <c r="U269" s="1202"/>
      <c r="V269" s="1201"/>
      <c r="W269" s="1200"/>
      <c r="X269" s="1200"/>
    </row>
    <row r="270" spans="15:24">
      <c r="O270" s="1202"/>
      <c r="P270" s="1200"/>
      <c r="Q270" s="1202"/>
      <c r="R270" s="1201"/>
      <c r="S270" s="1200"/>
      <c r="T270" s="1200"/>
      <c r="U270" s="1202"/>
      <c r="V270" s="1201"/>
      <c r="W270" s="1200"/>
      <c r="X270" s="1200"/>
    </row>
    <row r="271" spans="15:24">
      <c r="O271" s="1202"/>
      <c r="P271" s="1200"/>
      <c r="Q271" s="1202"/>
      <c r="R271" s="1201"/>
      <c r="S271" s="1200"/>
      <c r="T271" s="1200"/>
      <c r="U271" s="1202"/>
      <c r="V271" s="1201"/>
      <c r="W271" s="1200"/>
      <c r="X271" s="1200"/>
    </row>
    <row r="272" spans="15:24">
      <c r="O272" s="1202"/>
      <c r="P272" s="1200"/>
      <c r="Q272" s="1202"/>
      <c r="R272" s="1201"/>
      <c r="S272" s="1200"/>
      <c r="T272" s="1200"/>
      <c r="U272" s="1202"/>
      <c r="V272" s="1201"/>
      <c r="W272" s="1200"/>
      <c r="X272" s="1200"/>
    </row>
    <row r="273" spans="15:24">
      <c r="O273" s="1202"/>
      <c r="P273" s="1200"/>
      <c r="Q273" s="1202"/>
      <c r="R273" s="1201"/>
      <c r="S273" s="1200"/>
      <c r="T273" s="1200"/>
      <c r="U273" s="1202"/>
      <c r="V273" s="1201"/>
      <c r="W273" s="1200"/>
      <c r="X273" s="1200"/>
    </row>
    <row r="274" spans="15:24">
      <c r="O274" s="1202"/>
      <c r="P274" s="1200"/>
      <c r="Q274" s="1202"/>
      <c r="R274" s="1201"/>
      <c r="S274" s="1200"/>
      <c r="T274" s="1200"/>
      <c r="U274" s="1202"/>
      <c r="V274" s="1201"/>
      <c r="W274" s="1200"/>
      <c r="X274" s="1200"/>
    </row>
    <row r="275" spans="15:24">
      <c r="O275" s="1202"/>
      <c r="P275" s="1200"/>
      <c r="Q275" s="1202"/>
      <c r="R275" s="1201"/>
      <c r="S275" s="1200"/>
      <c r="T275" s="1200"/>
      <c r="U275" s="1202"/>
      <c r="V275" s="1201"/>
      <c r="W275" s="1200"/>
      <c r="X275" s="1200"/>
    </row>
    <row r="276" spans="15:24">
      <c r="O276" s="1202"/>
      <c r="P276" s="1200"/>
      <c r="Q276" s="1202"/>
      <c r="R276" s="1201"/>
      <c r="S276" s="1200"/>
      <c r="T276" s="1200"/>
      <c r="U276" s="1202"/>
      <c r="V276" s="1201"/>
      <c r="W276" s="1200"/>
      <c r="X276" s="1200"/>
    </row>
    <row r="277" spans="15:24">
      <c r="O277" s="1202"/>
      <c r="P277" s="1200"/>
      <c r="Q277" s="1202"/>
      <c r="R277" s="1201"/>
      <c r="S277" s="1200"/>
      <c r="T277" s="1200"/>
      <c r="U277" s="1202"/>
      <c r="V277" s="1201"/>
      <c r="W277" s="1200"/>
      <c r="X277" s="1200"/>
    </row>
    <row r="278" spans="15:24">
      <c r="O278" s="1202"/>
      <c r="P278" s="1200"/>
      <c r="Q278" s="1202"/>
      <c r="R278" s="1201"/>
      <c r="S278" s="1200"/>
      <c r="T278" s="1200"/>
      <c r="U278" s="1202"/>
      <c r="V278" s="1201"/>
      <c r="W278" s="1200"/>
      <c r="X278" s="1200"/>
    </row>
    <row r="279" spans="15:24">
      <c r="O279" s="1202"/>
      <c r="P279" s="1200"/>
      <c r="Q279" s="1202"/>
      <c r="R279" s="1201"/>
      <c r="S279" s="1200"/>
      <c r="T279" s="1200"/>
      <c r="U279" s="1202"/>
      <c r="V279" s="1201"/>
      <c r="W279" s="1200"/>
      <c r="X279" s="1200"/>
    </row>
    <row r="280" spans="15:24">
      <c r="O280" s="1202"/>
      <c r="P280" s="1200"/>
      <c r="Q280" s="1202"/>
      <c r="R280" s="1201"/>
      <c r="S280" s="1200"/>
      <c r="T280" s="1200"/>
      <c r="U280" s="1202"/>
      <c r="V280" s="1201"/>
      <c r="W280" s="1200"/>
      <c r="X280" s="1200"/>
    </row>
    <row r="281" spans="15:24">
      <c r="O281" s="1202"/>
      <c r="P281" s="1200"/>
      <c r="Q281" s="1202"/>
      <c r="R281" s="1201"/>
      <c r="S281" s="1200"/>
      <c r="T281" s="1200"/>
      <c r="U281" s="1202"/>
      <c r="V281" s="1201"/>
      <c r="W281" s="1200"/>
      <c r="X281" s="1200"/>
    </row>
    <row r="282" spans="15:24">
      <c r="O282" s="1202"/>
      <c r="P282" s="1200"/>
      <c r="Q282" s="1202"/>
      <c r="R282" s="1201"/>
      <c r="S282" s="1200"/>
      <c r="T282" s="1200"/>
      <c r="U282" s="1202"/>
      <c r="V282" s="1201"/>
      <c r="W282" s="1200"/>
      <c r="X282" s="1200"/>
    </row>
    <row r="283" spans="15:24">
      <c r="O283" s="1202"/>
      <c r="P283" s="1200"/>
      <c r="Q283" s="1202"/>
      <c r="R283" s="1201"/>
      <c r="S283" s="1200"/>
      <c r="T283" s="1200"/>
      <c r="U283" s="1202"/>
      <c r="V283" s="1201"/>
      <c r="W283" s="1200"/>
      <c r="X283" s="1200"/>
    </row>
    <row r="284" spans="15:24">
      <c r="O284" s="1202"/>
      <c r="P284" s="1200"/>
      <c r="Q284" s="1202"/>
      <c r="R284" s="1201"/>
      <c r="S284" s="1200"/>
      <c r="T284" s="1200"/>
      <c r="U284" s="1202"/>
      <c r="V284" s="1201"/>
      <c r="W284" s="1200"/>
      <c r="X284" s="1200"/>
    </row>
    <row r="285" spans="15:24">
      <c r="O285" s="1202"/>
      <c r="P285" s="1200"/>
      <c r="Q285" s="1202"/>
      <c r="R285" s="1201"/>
      <c r="S285" s="1200"/>
      <c r="T285" s="1200"/>
      <c r="U285" s="1202"/>
      <c r="V285" s="1201"/>
      <c r="W285" s="1200"/>
      <c r="X285" s="1200"/>
    </row>
    <row r="286" spans="15:24">
      <c r="O286" s="1202"/>
      <c r="P286" s="1200"/>
      <c r="Q286" s="1202"/>
      <c r="R286" s="1201"/>
      <c r="S286" s="1200"/>
      <c r="T286" s="1200"/>
      <c r="U286" s="1202"/>
      <c r="V286" s="1201"/>
      <c r="W286" s="1200"/>
      <c r="X286" s="1200"/>
    </row>
    <row r="287" spans="15:24">
      <c r="O287" s="1202"/>
      <c r="P287" s="1200"/>
      <c r="Q287" s="1202"/>
      <c r="R287" s="1201"/>
      <c r="S287" s="1200"/>
      <c r="T287" s="1200"/>
      <c r="U287" s="1202"/>
      <c r="V287" s="1201"/>
      <c r="W287" s="1200"/>
      <c r="X287" s="1200"/>
    </row>
    <row r="288" spans="15:24">
      <c r="O288" s="1202"/>
      <c r="P288" s="1200"/>
      <c r="Q288" s="1202"/>
      <c r="R288" s="1201"/>
      <c r="S288" s="1200"/>
      <c r="T288" s="1200"/>
      <c r="U288" s="1202"/>
      <c r="V288" s="1201"/>
      <c r="W288" s="1200"/>
      <c r="X288" s="1200"/>
    </row>
    <row r="289" spans="15:24">
      <c r="O289" s="1202"/>
      <c r="P289" s="1200"/>
      <c r="Q289" s="1202"/>
      <c r="R289" s="1201"/>
      <c r="S289" s="1200"/>
      <c r="T289" s="1200"/>
      <c r="U289" s="1202"/>
      <c r="V289" s="1201"/>
      <c r="W289" s="1200"/>
      <c r="X289" s="1200"/>
    </row>
    <row r="290" spans="15:24">
      <c r="O290" s="1202"/>
      <c r="P290" s="1200"/>
      <c r="Q290" s="1202"/>
      <c r="R290" s="1201"/>
      <c r="S290" s="1200"/>
      <c r="T290" s="1200"/>
      <c r="U290" s="1202"/>
      <c r="V290" s="1201"/>
      <c r="W290" s="1200"/>
      <c r="X290" s="1200"/>
    </row>
    <row r="291" spans="15:24">
      <c r="O291" s="1202"/>
      <c r="P291" s="1200"/>
      <c r="Q291" s="1202"/>
      <c r="R291" s="1201"/>
      <c r="S291" s="1200"/>
      <c r="T291" s="1200"/>
      <c r="U291" s="1202"/>
      <c r="V291" s="1201"/>
      <c r="W291" s="1200"/>
      <c r="X291" s="1200"/>
    </row>
    <row r="292" spans="15:24">
      <c r="O292" s="1202"/>
      <c r="P292" s="1200"/>
      <c r="Q292" s="1202"/>
      <c r="R292" s="1201"/>
      <c r="S292" s="1200"/>
      <c r="T292" s="1200"/>
      <c r="U292" s="1202"/>
      <c r="V292" s="1201"/>
      <c r="W292" s="1200"/>
      <c r="X292" s="1200"/>
    </row>
    <row r="293" spans="15:24">
      <c r="O293" s="1202"/>
      <c r="P293" s="1200"/>
      <c r="Q293" s="1202"/>
      <c r="R293" s="1201"/>
      <c r="S293" s="1200"/>
      <c r="T293" s="1200"/>
      <c r="U293" s="1202"/>
      <c r="V293" s="1201"/>
      <c r="W293" s="1200"/>
      <c r="X293" s="1200"/>
    </row>
    <row r="294" spans="15:24">
      <c r="O294" s="1202"/>
      <c r="P294" s="1200"/>
      <c r="Q294" s="1202"/>
      <c r="R294" s="1201"/>
      <c r="S294" s="1200"/>
      <c r="T294" s="1200"/>
      <c r="U294" s="1202"/>
      <c r="V294" s="1201"/>
      <c r="W294" s="1200"/>
      <c r="X294" s="1200"/>
    </row>
    <row r="295" spans="15:24">
      <c r="O295" s="1202"/>
      <c r="P295" s="1200"/>
      <c r="Q295" s="1202"/>
      <c r="R295" s="1201"/>
      <c r="S295" s="1200"/>
      <c r="T295" s="1200"/>
      <c r="U295" s="1202"/>
      <c r="V295" s="1201"/>
      <c r="W295" s="1200"/>
      <c r="X295" s="1200"/>
    </row>
    <row r="296" spans="15:24">
      <c r="O296" s="1202"/>
      <c r="P296" s="1200"/>
      <c r="Q296" s="1202"/>
      <c r="R296" s="1201"/>
      <c r="S296" s="1200"/>
      <c r="T296" s="1200"/>
      <c r="U296" s="1202"/>
      <c r="V296" s="1201"/>
      <c r="W296" s="1200"/>
      <c r="X296" s="1200"/>
    </row>
    <row r="297" spans="15:24">
      <c r="O297" s="1202"/>
      <c r="P297" s="1200"/>
      <c r="Q297" s="1202"/>
      <c r="R297" s="1201"/>
      <c r="S297" s="1200"/>
      <c r="T297" s="1200"/>
      <c r="U297" s="1202"/>
      <c r="V297" s="1201"/>
      <c r="W297" s="1200"/>
      <c r="X297" s="1200"/>
    </row>
    <row r="298" spans="15:24">
      <c r="O298" s="1202"/>
      <c r="P298" s="1200"/>
      <c r="Q298" s="1202"/>
      <c r="R298" s="1201"/>
      <c r="S298" s="1200"/>
      <c r="T298" s="1200"/>
      <c r="U298" s="1202"/>
      <c r="V298" s="1201"/>
      <c r="W298" s="1200"/>
      <c r="X298" s="1200"/>
    </row>
    <row r="299" spans="15:24">
      <c r="O299" s="1202"/>
      <c r="P299" s="1200"/>
      <c r="Q299" s="1202"/>
      <c r="R299" s="1201"/>
      <c r="S299" s="1200"/>
      <c r="T299" s="1200"/>
      <c r="U299" s="1202"/>
      <c r="V299" s="1201"/>
      <c r="W299" s="1200"/>
      <c r="X299" s="1200"/>
    </row>
    <row r="300" spans="15:24">
      <c r="O300" s="1202"/>
      <c r="P300" s="1200"/>
      <c r="Q300" s="1202"/>
      <c r="R300" s="1201"/>
      <c r="S300" s="1200"/>
      <c r="T300" s="1200"/>
      <c r="U300" s="1202"/>
      <c r="V300" s="1201"/>
      <c r="W300" s="1200"/>
      <c r="X300" s="1200"/>
    </row>
    <row r="301" spans="15:24">
      <c r="O301" s="1202"/>
      <c r="P301" s="1200"/>
      <c r="Q301" s="1202"/>
      <c r="R301" s="1201"/>
      <c r="S301" s="1200"/>
      <c r="T301" s="1200"/>
      <c r="U301" s="1202"/>
      <c r="V301" s="1201"/>
      <c r="W301" s="1200"/>
      <c r="X301" s="1200"/>
    </row>
    <row r="302" spans="15:24">
      <c r="O302" s="1202"/>
      <c r="P302" s="1200"/>
      <c r="Q302" s="1202"/>
      <c r="R302" s="1201"/>
      <c r="S302" s="1200"/>
      <c r="T302" s="1200"/>
      <c r="U302" s="1202"/>
      <c r="V302" s="1201"/>
      <c r="W302" s="1200"/>
      <c r="X302" s="1200"/>
    </row>
    <row r="303" spans="15:24">
      <c r="O303" s="1202"/>
      <c r="P303" s="1200"/>
      <c r="Q303" s="1202"/>
      <c r="R303" s="1201"/>
      <c r="S303" s="1200"/>
      <c r="T303" s="1200"/>
      <c r="U303" s="1202"/>
      <c r="V303" s="1201"/>
      <c r="W303" s="1200"/>
      <c r="X303" s="1200"/>
    </row>
    <row r="304" spans="15:24">
      <c r="O304" s="1202"/>
      <c r="P304" s="1200"/>
      <c r="Q304" s="1202"/>
      <c r="R304" s="1201"/>
      <c r="S304" s="1200"/>
      <c r="T304" s="1200"/>
      <c r="U304" s="1202"/>
      <c r="V304" s="1201"/>
      <c r="W304" s="1200"/>
      <c r="X304" s="1200"/>
    </row>
    <row r="305" spans="15:24">
      <c r="O305" s="1202"/>
      <c r="P305" s="1200"/>
      <c r="Q305" s="1202"/>
      <c r="R305" s="1201"/>
      <c r="S305" s="1200"/>
      <c r="T305" s="1200"/>
      <c r="U305" s="1202"/>
      <c r="V305" s="1201"/>
      <c r="W305" s="1200"/>
      <c r="X305" s="1200"/>
    </row>
    <row r="306" spans="15:24">
      <c r="O306" s="1202"/>
      <c r="P306" s="1200"/>
      <c r="Q306" s="1202"/>
      <c r="R306" s="1201"/>
      <c r="S306" s="1200"/>
      <c r="T306" s="1200"/>
      <c r="U306" s="1202"/>
      <c r="V306" s="1201"/>
      <c r="W306" s="1200"/>
      <c r="X306" s="1200"/>
    </row>
    <row r="307" spans="15:24">
      <c r="O307" s="1202"/>
      <c r="P307" s="1200"/>
      <c r="Q307" s="1202"/>
      <c r="R307" s="1201"/>
      <c r="S307" s="1200"/>
      <c r="T307" s="1200"/>
      <c r="U307" s="1202"/>
      <c r="V307" s="1201"/>
      <c r="W307" s="1200"/>
      <c r="X307" s="1200"/>
    </row>
    <row r="308" spans="15:24">
      <c r="O308" s="1202"/>
      <c r="P308" s="1200"/>
      <c r="Q308" s="1202"/>
      <c r="R308" s="1201"/>
      <c r="S308" s="1200"/>
      <c r="T308" s="1200"/>
      <c r="U308" s="1202"/>
      <c r="V308" s="1201"/>
      <c r="W308" s="1200"/>
      <c r="X308" s="1200"/>
    </row>
    <row r="309" spans="15:24">
      <c r="O309" s="1202"/>
      <c r="P309" s="1200"/>
      <c r="Q309" s="1202"/>
      <c r="R309" s="1201"/>
      <c r="S309" s="1200"/>
      <c r="T309" s="1200"/>
      <c r="U309" s="1202"/>
      <c r="V309" s="1201"/>
      <c r="W309" s="1200"/>
      <c r="X309" s="1200"/>
    </row>
    <row r="310" spans="15:24">
      <c r="O310" s="1202"/>
      <c r="P310" s="1200"/>
      <c r="Q310" s="1202"/>
      <c r="R310" s="1201"/>
      <c r="S310" s="1200"/>
      <c r="T310" s="1200"/>
      <c r="U310" s="1202"/>
      <c r="V310" s="1201"/>
      <c r="W310" s="1200"/>
      <c r="X310" s="1200"/>
    </row>
    <row r="311" spans="15:24">
      <c r="O311" s="1202"/>
      <c r="P311" s="1200"/>
      <c r="Q311" s="1202"/>
      <c r="R311" s="1201"/>
      <c r="S311" s="1200"/>
      <c r="T311" s="1200"/>
      <c r="U311" s="1202"/>
      <c r="V311" s="1201"/>
      <c r="W311" s="1200"/>
      <c r="X311" s="1200"/>
    </row>
    <row r="312" spans="15:24">
      <c r="O312" s="1202"/>
      <c r="P312" s="1200"/>
      <c r="Q312" s="1202"/>
      <c r="R312" s="1201"/>
      <c r="S312" s="1200"/>
      <c r="T312" s="1200"/>
      <c r="U312" s="1202"/>
      <c r="V312" s="1201"/>
      <c r="W312" s="1200"/>
      <c r="X312" s="1200"/>
    </row>
    <row r="313" spans="15:24">
      <c r="O313" s="1202"/>
      <c r="P313" s="1200"/>
      <c r="Q313" s="1202"/>
      <c r="R313" s="1201"/>
      <c r="S313" s="1200"/>
      <c r="T313" s="1200"/>
      <c r="U313" s="1202"/>
      <c r="V313" s="1201"/>
      <c r="W313" s="1200"/>
      <c r="X313" s="1200"/>
    </row>
    <row r="314" spans="15:24">
      <c r="O314" s="1202"/>
      <c r="P314" s="1200"/>
      <c r="Q314" s="1202"/>
      <c r="R314" s="1201"/>
      <c r="S314" s="1200"/>
      <c r="T314" s="1200"/>
      <c r="U314" s="1202"/>
      <c r="V314" s="1201"/>
      <c r="W314" s="1200"/>
      <c r="X314" s="1200"/>
    </row>
    <row r="315" spans="15:24">
      <c r="O315" s="1202"/>
      <c r="P315" s="1200"/>
      <c r="Q315" s="1202"/>
      <c r="R315" s="1201"/>
      <c r="S315" s="1200"/>
      <c r="T315" s="1200"/>
      <c r="U315" s="1202"/>
      <c r="V315" s="1201"/>
      <c r="W315" s="1200"/>
      <c r="X315" s="1200"/>
    </row>
    <row r="316" spans="15:24">
      <c r="O316" s="1202"/>
      <c r="P316" s="1200"/>
      <c r="Q316" s="1202"/>
      <c r="R316" s="1201"/>
      <c r="S316" s="1200"/>
      <c r="T316" s="1200"/>
      <c r="U316" s="1202"/>
      <c r="V316" s="1201"/>
      <c r="W316" s="1200"/>
      <c r="X316" s="1200"/>
    </row>
    <row r="317" spans="15:24">
      <c r="O317" s="1202"/>
      <c r="P317" s="1200"/>
      <c r="Q317" s="1202"/>
      <c r="R317" s="1201"/>
      <c r="S317" s="1200"/>
      <c r="T317" s="1200"/>
      <c r="U317" s="1202"/>
      <c r="V317" s="1201"/>
      <c r="W317" s="1200"/>
      <c r="X317" s="1200"/>
    </row>
    <row r="318" spans="15:24">
      <c r="O318" s="1202"/>
      <c r="P318" s="1200"/>
      <c r="Q318" s="1202"/>
      <c r="R318" s="1201"/>
      <c r="S318" s="1200"/>
      <c r="T318" s="1200"/>
      <c r="U318" s="1202"/>
      <c r="V318" s="1201"/>
      <c r="W318" s="1200"/>
      <c r="X318" s="1200"/>
    </row>
    <row r="319" spans="15:24">
      <c r="O319" s="1202"/>
      <c r="P319" s="1200"/>
      <c r="Q319" s="1202"/>
      <c r="R319" s="1201"/>
      <c r="S319" s="1200"/>
      <c r="T319" s="1200"/>
      <c r="U319" s="1202"/>
      <c r="V319" s="1201"/>
      <c r="W319" s="1200"/>
      <c r="X319" s="1200"/>
    </row>
    <row r="320" spans="15:24">
      <c r="O320" s="1202"/>
      <c r="P320" s="1200"/>
      <c r="Q320" s="1202"/>
      <c r="R320" s="1201"/>
      <c r="S320" s="1200"/>
      <c r="T320" s="1200"/>
      <c r="U320" s="1202"/>
      <c r="V320" s="1201"/>
      <c r="W320" s="1200"/>
      <c r="X320" s="1200"/>
    </row>
    <row r="321" spans="15:24">
      <c r="O321" s="1202"/>
      <c r="P321" s="1200"/>
      <c r="Q321" s="1202"/>
      <c r="R321" s="1201"/>
      <c r="S321" s="1200"/>
      <c r="T321" s="1200"/>
      <c r="U321" s="1202"/>
      <c r="V321" s="1201"/>
      <c r="W321" s="1200"/>
      <c r="X321" s="1200"/>
    </row>
    <row r="322" spans="15:24">
      <c r="O322" s="1202"/>
      <c r="P322" s="1200"/>
      <c r="Q322" s="1202"/>
      <c r="R322" s="1201"/>
      <c r="S322" s="1200"/>
      <c r="T322" s="1200"/>
      <c r="U322" s="1202"/>
      <c r="V322" s="1201"/>
      <c r="W322" s="1200"/>
      <c r="X322" s="1200"/>
    </row>
    <row r="323" spans="15:24">
      <c r="O323" s="1202"/>
      <c r="P323" s="1200"/>
      <c r="Q323" s="1202"/>
      <c r="R323" s="1201"/>
      <c r="S323" s="1200"/>
      <c r="T323" s="1200"/>
      <c r="U323" s="1202"/>
      <c r="V323" s="1201"/>
      <c r="W323" s="1200"/>
      <c r="X323" s="1200"/>
    </row>
    <row r="324" spans="15:24">
      <c r="O324" s="1202"/>
      <c r="P324" s="1200"/>
      <c r="Q324" s="1202"/>
      <c r="R324" s="1201"/>
      <c r="S324" s="1200"/>
      <c r="T324" s="1200"/>
      <c r="U324" s="1202"/>
      <c r="V324" s="1201"/>
      <c r="W324" s="1200"/>
      <c r="X324" s="1200"/>
    </row>
    <row r="325" spans="15:24">
      <c r="O325" s="1202"/>
      <c r="P325" s="1200"/>
      <c r="Q325" s="1202"/>
      <c r="R325" s="1201"/>
      <c r="S325" s="1200"/>
      <c r="T325" s="1200"/>
      <c r="U325" s="1202"/>
      <c r="V325" s="1201"/>
      <c r="W325" s="1200"/>
      <c r="X325" s="1200"/>
    </row>
    <row r="326" spans="15:24">
      <c r="O326" s="1202"/>
      <c r="P326" s="1200"/>
      <c r="Q326" s="1202"/>
      <c r="R326" s="1201"/>
      <c r="S326" s="1200"/>
      <c r="T326" s="1200"/>
      <c r="U326" s="1202"/>
      <c r="V326" s="1201"/>
      <c r="W326" s="1200"/>
      <c r="X326" s="1200"/>
    </row>
    <row r="327" spans="15:24">
      <c r="O327" s="1202"/>
      <c r="P327" s="1200"/>
      <c r="Q327" s="1202"/>
      <c r="R327" s="1201"/>
      <c r="S327" s="1200"/>
      <c r="T327" s="1200"/>
      <c r="U327" s="1202"/>
      <c r="V327" s="1201"/>
      <c r="W327" s="1200"/>
      <c r="X327" s="1200"/>
    </row>
    <row r="328" spans="15:24">
      <c r="O328" s="1202"/>
      <c r="P328" s="1200"/>
      <c r="Q328" s="1202"/>
      <c r="R328" s="1201"/>
      <c r="S328" s="1200"/>
      <c r="T328" s="1200"/>
      <c r="U328" s="1202"/>
      <c r="V328" s="1201"/>
      <c r="W328" s="1200"/>
      <c r="X328" s="1200"/>
    </row>
    <row r="329" spans="15:24">
      <c r="O329" s="1202"/>
      <c r="P329" s="1200"/>
      <c r="Q329" s="1202"/>
      <c r="R329" s="1201"/>
      <c r="S329" s="1200"/>
      <c r="T329" s="1200"/>
      <c r="U329" s="1202"/>
      <c r="V329" s="1201"/>
      <c r="W329" s="1200"/>
      <c r="X329" s="1200"/>
    </row>
    <row r="330" spans="15:24">
      <c r="O330" s="1202"/>
      <c r="P330" s="1200"/>
      <c r="Q330" s="1202"/>
      <c r="R330" s="1201"/>
      <c r="S330" s="1200"/>
      <c r="T330" s="1200"/>
      <c r="U330" s="1202"/>
      <c r="V330" s="1201"/>
      <c r="W330" s="1200"/>
      <c r="X330" s="1200"/>
    </row>
    <row r="331" spans="15:24">
      <c r="O331" s="1202"/>
      <c r="P331" s="1200"/>
      <c r="Q331" s="1202"/>
      <c r="R331" s="1201"/>
      <c r="S331" s="1200"/>
      <c r="T331" s="1200"/>
      <c r="U331" s="1202"/>
      <c r="V331" s="1201"/>
      <c r="W331" s="1200"/>
      <c r="X331" s="1200"/>
    </row>
    <row r="332" spans="15:24">
      <c r="O332" s="1202"/>
      <c r="P332" s="1200"/>
      <c r="Q332" s="1202"/>
      <c r="R332" s="1201"/>
      <c r="S332" s="1200"/>
      <c r="T332" s="1200"/>
      <c r="U332" s="1202"/>
      <c r="V332" s="1201"/>
      <c r="W332" s="1200"/>
      <c r="X332" s="1200"/>
    </row>
    <row r="333" spans="15:24">
      <c r="O333" s="1202"/>
      <c r="P333" s="1200"/>
      <c r="Q333" s="1202"/>
      <c r="R333" s="1201"/>
      <c r="S333" s="1200"/>
      <c r="T333" s="1200"/>
      <c r="U333" s="1202"/>
      <c r="V333" s="1201"/>
      <c r="W333" s="1200"/>
      <c r="X333" s="1200"/>
    </row>
    <row r="334" spans="15:24">
      <c r="O334" s="1202"/>
      <c r="P334" s="1200"/>
      <c r="Q334" s="1202"/>
      <c r="R334" s="1201"/>
      <c r="S334" s="1200"/>
      <c r="T334" s="1200"/>
      <c r="U334" s="1202"/>
      <c r="V334" s="1201"/>
      <c r="W334" s="1200"/>
      <c r="X334" s="1200"/>
    </row>
    <row r="335" spans="15:24">
      <c r="O335" s="1202"/>
      <c r="P335" s="1200"/>
      <c r="Q335" s="1202"/>
      <c r="R335" s="1201"/>
      <c r="S335" s="1200"/>
      <c r="T335" s="1200"/>
      <c r="U335" s="1202"/>
      <c r="V335" s="1201"/>
      <c r="W335" s="1200"/>
      <c r="X335" s="1200"/>
    </row>
    <row r="336" spans="15:24">
      <c r="O336" s="1202"/>
      <c r="P336" s="1200"/>
      <c r="Q336" s="1202"/>
      <c r="R336" s="1201"/>
      <c r="S336" s="1200"/>
      <c r="T336" s="1200"/>
      <c r="U336" s="1202"/>
      <c r="V336" s="1201"/>
      <c r="W336" s="1200"/>
      <c r="X336" s="1200"/>
    </row>
    <row r="337" spans="15:24">
      <c r="O337" s="1202"/>
      <c r="P337" s="1200"/>
      <c r="Q337" s="1202"/>
      <c r="R337" s="1201"/>
      <c r="S337" s="1200"/>
      <c r="T337" s="1200"/>
      <c r="U337" s="1202"/>
      <c r="V337" s="1201"/>
      <c r="W337" s="1200"/>
      <c r="X337" s="1200"/>
    </row>
    <row r="338" spans="15:24">
      <c r="O338" s="1202"/>
      <c r="P338" s="1200"/>
      <c r="Q338" s="1202"/>
      <c r="R338" s="1201"/>
      <c r="S338" s="1200"/>
      <c r="T338" s="1200"/>
      <c r="U338" s="1202"/>
      <c r="V338" s="1201"/>
      <c r="W338" s="1200"/>
      <c r="X338" s="1200"/>
    </row>
    <row r="339" spans="15:24">
      <c r="O339" s="1202"/>
      <c r="P339" s="1200"/>
      <c r="Q339" s="1202"/>
      <c r="R339" s="1201"/>
      <c r="S339" s="1200"/>
      <c r="T339" s="1200"/>
      <c r="U339" s="1202"/>
      <c r="V339" s="1201"/>
      <c r="W339" s="1200"/>
      <c r="X339" s="1200"/>
    </row>
    <row r="340" spans="15:24">
      <c r="O340" s="1202"/>
      <c r="P340" s="1200"/>
      <c r="Q340" s="1202"/>
      <c r="R340" s="1201"/>
      <c r="S340" s="1200"/>
      <c r="T340" s="1200"/>
      <c r="U340" s="1202"/>
      <c r="V340" s="1201"/>
      <c r="W340" s="1200"/>
      <c r="X340" s="1200"/>
    </row>
    <row r="341" spans="15:24">
      <c r="O341" s="1202"/>
      <c r="P341" s="1200"/>
      <c r="Q341" s="1202"/>
      <c r="R341" s="1201"/>
      <c r="S341" s="1200"/>
      <c r="T341" s="1200"/>
      <c r="U341" s="1202"/>
      <c r="V341" s="1201"/>
      <c r="W341" s="1200"/>
      <c r="X341" s="1200"/>
    </row>
    <row r="342" spans="15:24">
      <c r="O342" s="1202"/>
      <c r="P342" s="1200"/>
      <c r="Q342" s="1202"/>
      <c r="R342" s="1201"/>
      <c r="S342" s="1200"/>
      <c r="T342" s="1200"/>
      <c r="U342" s="1202"/>
      <c r="V342" s="1201"/>
      <c r="W342" s="1200"/>
      <c r="X342" s="1200"/>
    </row>
    <row r="343" spans="15:24">
      <c r="O343" s="1202"/>
      <c r="P343" s="1200"/>
      <c r="Q343" s="1202"/>
      <c r="R343" s="1201"/>
      <c r="S343" s="1200"/>
      <c r="T343" s="1200"/>
      <c r="U343" s="1202"/>
      <c r="V343" s="1201"/>
      <c r="W343" s="1200"/>
      <c r="X343" s="1200"/>
    </row>
    <row r="344" spans="15:24">
      <c r="O344" s="1202"/>
      <c r="P344" s="1200"/>
      <c r="Q344" s="1202"/>
      <c r="R344" s="1201"/>
      <c r="S344" s="1200"/>
      <c r="T344" s="1200"/>
      <c r="U344" s="1202"/>
      <c r="V344" s="1201"/>
      <c r="W344" s="1200"/>
      <c r="X344" s="1200"/>
    </row>
    <row r="345" spans="15:24">
      <c r="O345" s="1202"/>
      <c r="P345" s="1200"/>
      <c r="Q345" s="1202"/>
      <c r="R345" s="1201"/>
      <c r="S345" s="1200"/>
      <c r="T345" s="1200"/>
      <c r="U345" s="1202"/>
      <c r="V345" s="1201"/>
      <c r="W345" s="1200"/>
      <c r="X345" s="1200"/>
    </row>
    <row r="346" spans="15:24">
      <c r="O346" s="1202"/>
      <c r="P346" s="1200"/>
      <c r="Q346" s="1202"/>
      <c r="R346" s="1201"/>
      <c r="S346" s="1200"/>
      <c r="T346" s="1200"/>
      <c r="U346" s="1202"/>
      <c r="V346" s="1201"/>
      <c r="W346" s="1200"/>
      <c r="X346" s="1200"/>
    </row>
    <row r="347" spans="15:24">
      <c r="O347" s="1202"/>
      <c r="P347" s="1200"/>
      <c r="Q347" s="1202"/>
      <c r="R347" s="1201"/>
      <c r="S347" s="1200"/>
      <c r="T347" s="1200"/>
      <c r="U347" s="1202"/>
      <c r="V347" s="1201"/>
      <c r="W347" s="1200"/>
      <c r="X347" s="1200"/>
    </row>
    <row r="348" spans="15:24">
      <c r="O348" s="1202"/>
      <c r="P348" s="1200"/>
      <c r="Q348" s="1202"/>
      <c r="R348" s="1201"/>
      <c r="S348" s="1200"/>
      <c r="T348" s="1200"/>
      <c r="U348" s="1202"/>
      <c r="V348" s="1201"/>
      <c r="W348" s="1200"/>
      <c r="X348" s="1200"/>
    </row>
    <row r="349" spans="15:24">
      <c r="O349" s="1202"/>
      <c r="P349" s="1200"/>
      <c r="Q349" s="1202"/>
      <c r="R349" s="1201"/>
      <c r="S349" s="1200"/>
      <c r="T349" s="1200"/>
      <c r="U349" s="1202"/>
      <c r="V349" s="1201"/>
      <c r="W349" s="1200"/>
      <c r="X349" s="1200"/>
    </row>
    <row r="350" spans="15:24">
      <c r="O350" s="1202"/>
      <c r="P350" s="1200"/>
      <c r="Q350" s="1202"/>
      <c r="R350" s="1201"/>
      <c r="S350" s="1200"/>
      <c r="T350" s="1200"/>
      <c r="U350" s="1202"/>
      <c r="V350" s="1201"/>
      <c r="W350" s="1200"/>
      <c r="X350" s="1200"/>
    </row>
    <row r="351" spans="15:24">
      <c r="O351" s="1202"/>
      <c r="P351" s="1200"/>
      <c r="Q351" s="1202"/>
      <c r="R351" s="1201"/>
      <c r="S351" s="1200"/>
      <c r="T351" s="1200"/>
      <c r="U351" s="1202"/>
      <c r="V351" s="1201"/>
      <c r="W351" s="1200"/>
      <c r="X351" s="1200"/>
    </row>
    <row r="352" spans="15:24">
      <c r="O352" s="1202"/>
      <c r="P352" s="1200"/>
      <c r="Q352" s="1202"/>
      <c r="R352" s="1201"/>
      <c r="S352" s="1200"/>
      <c r="T352" s="1200"/>
      <c r="U352" s="1202"/>
      <c r="V352" s="1201"/>
      <c r="W352" s="1200"/>
      <c r="X352" s="1200"/>
    </row>
    <row r="353" spans="15:24">
      <c r="O353" s="1202"/>
      <c r="P353" s="1200"/>
      <c r="Q353" s="1202"/>
      <c r="R353" s="1201"/>
      <c r="S353" s="1200"/>
      <c r="T353" s="1200"/>
      <c r="U353" s="1202"/>
      <c r="V353" s="1201"/>
      <c r="W353" s="1200"/>
      <c r="X353" s="1200"/>
    </row>
    <row r="354" spans="15:24">
      <c r="O354" s="1202"/>
      <c r="P354" s="1200"/>
      <c r="Q354" s="1202"/>
      <c r="R354" s="1201"/>
      <c r="S354" s="1200"/>
      <c r="T354" s="1200"/>
      <c r="U354" s="1202"/>
      <c r="V354" s="1201"/>
      <c r="W354" s="1200"/>
      <c r="X354" s="1200"/>
    </row>
    <row r="355" spans="15:24">
      <c r="O355" s="1202"/>
      <c r="P355" s="1200"/>
      <c r="Q355" s="1202"/>
      <c r="R355" s="1201"/>
      <c r="S355" s="1200"/>
      <c r="T355" s="1200"/>
      <c r="U355" s="1202"/>
      <c r="V355" s="1201"/>
      <c r="W355" s="1200"/>
      <c r="X355" s="1200"/>
    </row>
    <row r="356" spans="15:24">
      <c r="O356" s="1202"/>
      <c r="P356" s="1200"/>
      <c r="Q356" s="1202"/>
      <c r="R356" s="1201"/>
      <c r="S356" s="1200"/>
      <c r="T356" s="1200"/>
      <c r="U356" s="1202"/>
      <c r="V356" s="1201"/>
      <c r="W356" s="1200"/>
      <c r="X356" s="1200"/>
    </row>
    <row r="357" spans="15:24">
      <c r="O357" s="1202"/>
      <c r="P357" s="1200"/>
      <c r="Q357" s="1202"/>
      <c r="R357" s="1201"/>
      <c r="S357" s="1200"/>
      <c r="T357" s="1200"/>
      <c r="U357" s="1202"/>
      <c r="V357" s="1201"/>
      <c r="W357" s="1200"/>
      <c r="X357" s="1200"/>
    </row>
    <row r="358" spans="15:24">
      <c r="O358" s="1202"/>
      <c r="P358" s="1200"/>
      <c r="Q358" s="1202"/>
      <c r="R358" s="1201"/>
      <c r="S358" s="1200"/>
      <c r="T358" s="1200"/>
      <c r="U358" s="1202"/>
      <c r="V358" s="1201"/>
      <c r="W358" s="1200"/>
      <c r="X358" s="1200"/>
    </row>
    <row r="359" spans="15:24">
      <c r="O359" s="1202"/>
      <c r="P359" s="1200"/>
      <c r="Q359" s="1202"/>
      <c r="R359" s="1201"/>
      <c r="S359" s="1200"/>
      <c r="T359" s="1200"/>
      <c r="U359" s="1202"/>
      <c r="V359" s="1201"/>
      <c r="W359" s="1200"/>
      <c r="X359" s="1200"/>
    </row>
    <row r="360" spans="15:24">
      <c r="O360" s="1202"/>
      <c r="P360" s="1200"/>
      <c r="Q360" s="1202"/>
      <c r="R360" s="1201"/>
      <c r="S360" s="1200"/>
      <c r="T360" s="1200"/>
      <c r="U360" s="1202"/>
      <c r="V360" s="1201"/>
      <c r="W360" s="1200"/>
      <c r="X360" s="1200"/>
    </row>
    <row r="361" spans="15:24">
      <c r="O361" s="1202"/>
      <c r="P361" s="1200"/>
      <c r="Q361" s="1202"/>
      <c r="R361" s="1201"/>
      <c r="S361" s="1200"/>
      <c r="T361" s="1200"/>
      <c r="U361" s="1202"/>
      <c r="V361" s="1201"/>
      <c r="W361" s="1200"/>
      <c r="X361" s="1200"/>
    </row>
    <row r="362" spans="15:24">
      <c r="O362" s="1202"/>
      <c r="P362" s="1200"/>
      <c r="Q362" s="1202"/>
      <c r="R362" s="1201"/>
      <c r="S362" s="1200"/>
      <c r="T362" s="1200"/>
      <c r="U362" s="1202"/>
      <c r="V362" s="1201"/>
      <c r="W362" s="1200"/>
      <c r="X362" s="1200"/>
    </row>
    <row r="363" spans="15:24">
      <c r="O363" s="1202"/>
      <c r="P363" s="1200"/>
      <c r="Q363" s="1202"/>
      <c r="R363" s="1201"/>
      <c r="S363" s="1200"/>
      <c r="T363" s="1200"/>
      <c r="U363" s="1202"/>
      <c r="V363" s="1201"/>
      <c r="W363" s="1200"/>
      <c r="X363" s="1200"/>
    </row>
    <row r="364" spans="15:24">
      <c r="O364" s="1202"/>
      <c r="P364" s="1200"/>
      <c r="Q364" s="1202"/>
      <c r="R364" s="1201"/>
      <c r="S364" s="1200"/>
      <c r="T364" s="1200"/>
      <c r="U364" s="1202"/>
      <c r="V364" s="1201"/>
      <c r="W364" s="1200"/>
      <c r="X364" s="1200"/>
    </row>
    <row r="365" spans="15:24">
      <c r="O365" s="1202"/>
      <c r="P365" s="1200"/>
      <c r="Q365" s="1202"/>
      <c r="R365" s="1201"/>
      <c r="S365" s="1200"/>
      <c r="T365" s="1200"/>
      <c r="U365" s="1202"/>
      <c r="V365" s="1201"/>
      <c r="W365" s="1200"/>
      <c r="X365" s="1200"/>
    </row>
    <row r="366" spans="15:24">
      <c r="O366" s="1202"/>
      <c r="P366" s="1200"/>
      <c r="Q366" s="1202"/>
      <c r="R366" s="1201"/>
      <c r="S366" s="1200"/>
      <c r="T366" s="1200"/>
      <c r="U366" s="1202"/>
      <c r="V366" s="1201"/>
      <c r="W366" s="1200"/>
      <c r="X366" s="1200"/>
    </row>
    <row r="367" spans="15:24">
      <c r="O367" s="1202"/>
      <c r="P367" s="1200"/>
      <c r="Q367" s="1202"/>
      <c r="R367" s="1201"/>
      <c r="S367" s="1200"/>
      <c r="T367" s="1200"/>
      <c r="U367" s="1202"/>
      <c r="V367" s="1201"/>
      <c r="W367" s="1200"/>
      <c r="X367" s="1200"/>
    </row>
    <row r="368" spans="15:24">
      <c r="O368" s="1202"/>
      <c r="P368" s="1200"/>
      <c r="Q368" s="1202"/>
      <c r="R368" s="1201"/>
      <c r="S368" s="1200"/>
      <c r="T368" s="1200"/>
      <c r="U368" s="1202"/>
      <c r="V368" s="1201"/>
      <c r="W368" s="1200"/>
      <c r="X368" s="1200"/>
    </row>
    <row r="369" spans="15:24">
      <c r="O369" s="1202"/>
      <c r="P369" s="1200"/>
      <c r="Q369" s="1202"/>
      <c r="R369" s="1201"/>
      <c r="S369" s="1200"/>
      <c r="T369" s="1200"/>
      <c r="U369" s="1202"/>
      <c r="V369" s="1201"/>
      <c r="W369" s="1200"/>
      <c r="X369" s="1200"/>
    </row>
    <row r="370" spans="15:24">
      <c r="O370" s="1202"/>
      <c r="P370" s="1200"/>
      <c r="Q370" s="1202"/>
      <c r="R370" s="1201"/>
      <c r="S370" s="1200"/>
      <c r="T370" s="1200"/>
      <c r="U370" s="1202"/>
      <c r="V370" s="1201"/>
      <c r="W370" s="1200"/>
      <c r="X370" s="1200"/>
    </row>
    <row r="371" spans="15:24">
      <c r="O371" s="1202"/>
      <c r="P371" s="1200"/>
      <c r="Q371" s="1202"/>
      <c r="R371" s="1201"/>
      <c r="S371" s="1200"/>
      <c r="T371" s="1200"/>
      <c r="U371" s="1202"/>
      <c r="V371" s="1201"/>
      <c r="W371" s="1200"/>
      <c r="X371" s="1200"/>
    </row>
    <row r="372" spans="15:24">
      <c r="O372" s="1202"/>
      <c r="P372" s="1200"/>
      <c r="Q372" s="1202"/>
      <c r="R372" s="1201"/>
      <c r="S372" s="1200"/>
      <c r="T372" s="1200"/>
      <c r="U372" s="1202"/>
      <c r="V372" s="1201"/>
      <c r="W372" s="1200"/>
      <c r="X372" s="1200"/>
    </row>
    <row r="373" spans="15:24">
      <c r="O373" s="1202"/>
      <c r="P373" s="1200"/>
      <c r="Q373" s="1202"/>
      <c r="R373" s="1201"/>
      <c r="S373" s="1200"/>
      <c r="T373" s="1200"/>
      <c r="U373" s="1202"/>
      <c r="V373" s="1201"/>
      <c r="W373" s="1200"/>
      <c r="X373" s="1200"/>
    </row>
    <row r="374" spans="15:24">
      <c r="O374" s="1202"/>
      <c r="P374" s="1200"/>
      <c r="Q374" s="1202"/>
      <c r="R374" s="1201"/>
      <c r="S374" s="1200"/>
      <c r="T374" s="1200"/>
      <c r="U374" s="1202"/>
      <c r="V374" s="1201"/>
      <c r="W374" s="1200"/>
      <c r="X374" s="1200"/>
    </row>
    <row r="375" spans="15:24">
      <c r="O375" s="1202"/>
      <c r="P375" s="1200"/>
      <c r="Q375" s="1202"/>
      <c r="R375" s="1201"/>
      <c r="S375" s="1200"/>
      <c r="T375" s="1200"/>
      <c r="U375" s="1202"/>
      <c r="V375" s="1201"/>
      <c r="W375" s="1200"/>
      <c r="X375" s="1200"/>
    </row>
    <row r="376" spans="15:24">
      <c r="O376" s="1202"/>
      <c r="P376" s="1200"/>
      <c r="Q376" s="1202"/>
      <c r="R376" s="1201"/>
      <c r="S376" s="1200"/>
      <c r="T376" s="1200"/>
      <c r="U376" s="1202"/>
      <c r="V376" s="1201"/>
      <c r="W376" s="1200"/>
      <c r="X376" s="1200"/>
    </row>
    <row r="377" spans="15:24">
      <c r="O377" s="1202"/>
      <c r="P377" s="1200"/>
      <c r="Q377" s="1202"/>
      <c r="R377" s="1201"/>
      <c r="S377" s="1200"/>
      <c r="T377" s="1200"/>
      <c r="U377" s="1202"/>
      <c r="V377" s="1201"/>
      <c r="W377" s="1200"/>
      <c r="X377" s="1200"/>
    </row>
    <row r="378" spans="15:24">
      <c r="O378" s="1202"/>
      <c r="P378" s="1200"/>
      <c r="Q378" s="1202"/>
      <c r="R378" s="1201"/>
      <c r="S378" s="1200"/>
      <c r="T378" s="1200"/>
      <c r="U378" s="1202"/>
      <c r="V378" s="1201"/>
      <c r="W378" s="1200"/>
      <c r="X378" s="1200"/>
    </row>
    <row r="379" spans="15:24">
      <c r="O379" s="1202"/>
      <c r="P379" s="1200"/>
      <c r="Q379" s="1202"/>
      <c r="R379" s="1201"/>
      <c r="S379" s="1200"/>
      <c r="T379" s="1200"/>
      <c r="U379" s="1202"/>
      <c r="V379" s="1201"/>
      <c r="W379" s="1200"/>
      <c r="X379" s="1200"/>
    </row>
    <row r="380" spans="15:24">
      <c r="O380" s="1202"/>
      <c r="P380" s="1200"/>
      <c r="Q380" s="1202"/>
      <c r="R380" s="1201"/>
      <c r="S380" s="1200"/>
      <c r="T380" s="1200"/>
      <c r="U380" s="1202"/>
      <c r="V380" s="1201"/>
      <c r="W380" s="1200"/>
      <c r="X380" s="1200"/>
    </row>
    <row r="381" spans="15:24">
      <c r="O381" s="1202"/>
      <c r="P381" s="1200"/>
      <c r="Q381" s="1202"/>
      <c r="R381" s="1201"/>
      <c r="S381" s="1200"/>
      <c r="T381" s="1200"/>
      <c r="U381" s="1202"/>
      <c r="V381" s="1201"/>
      <c r="W381" s="1200"/>
      <c r="X381" s="1200"/>
    </row>
    <row r="382" spans="15:24">
      <c r="O382" s="1202"/>
      <c r="P382" s="1200"/>
      <c r="Q382" s="1202"/>
      <c r="R382" s="1201"/>
      <c r="S382" s="1200"/>
      <c r="T382" s="1200"/>
      <c r="U382" s="1202"/>
      <c r="V382" s="1201"/>
      <c r="W382" s="1200"/>
      <c r="X382" s="1200"/>
    </row>
    <row r="383" spans="15:24">
      <c r="O383" s="1202"/>
      <c r="P383" s="1200"/>
      <c r="Q383" s="1202"/>
      <c r="R383" s="1201"/>
      <c r="S383" s="1200"/>
      <c r="T383" s="1200"/>
      <c r="U383" s="1202"/>
      <c r="V383" s="1201"/>
      <c r="W383" s="1200"/>
      <c r="X383" s="1200"/>
    </row>
    <row r="384" spans="15:24">
      <c r="O384" s="1202"/>
      <c r="P384" s="1200"/>
      <c r="Q384" s="1202"/>
      <c r="R384" s="1201"/>
      <c r="S384" s="1200"/>
      <c r="T384" s="1200"/>
      <c r="U384" s="1202"/>
      <c r="V384" s="1201"/>
      <c r="W384" s="1200"/>
      <c r="X384" s="1200"/>
    </row>
    <row r="385" spans="15:24">
      <c r="O385" s="1202"/>
      <c r="P385" s="1200"/>
      <c r="Q385" s="1202"/>
      <c r="R385" s="1201"/>
      <c r="S385" s="1200"/>
      <c r="T385" s="1200"/>
      <c r="U385" s="1202"/>
      <c r="V385" s="1201"/>
      <c r="W385" s="1200"/>
      <c r="X385" s="1200"/>
    </row>
    <row r="386" spans="15:24">
      <c r="O386" s="1202"/>
      <c r="P386" s="1200"/>
      <c r="Q386" s="1202"/>
      <c r="R386" s="1201"/>
      <c r="S386" s="1200"/>
      <c r="T386" s="1200"/>
      <c r="U386" s="1202"/>
      <c r="V386" s="1201"/>
      <c r="W386" s="1200"/>
      <c r="X386" s="1200"/>
    </row>
    <row r="387" spans="15:24">
      <c r="O387" s="1202"/>
      <c r="P387" s="1200"/>
      <c r="Q387" s="1202"/>
      <c r="R387" s="1201"/>
      <c r="S387" s="1200"/>
      <c r="T387" s="1200"/>
      <c r="U387" s="1202"/>
      <c r="V387" s="1201"/>
      <c r="W387" s="1200"/>
      <c r="X387" s="1200"/>
    </row>
    <row r="388" spans="15:24">
      <c r="O388" s="1202"/>
      <c r="P388" s="1200"/>
      <c r="Q388" s="1202"/>
      <c r="R388" s="1201"/>
      <c r="S388" s="1200"/>
      <c r="T388" s="1200"/>
      <c r="U388" s="1202"/>
      <c r="V388" s="1201"/>
      <c r="W388" s="1200"/>
      <c r="X388" s="1200"/>
    </row>
    <row r="389" spans="15:24">
      <c r="O389" s="1202"/>
      <c r="P389" s="1200"/>
      <c r="Q389" s="1202"/>
      <c r="R389" s="1201"/>
      <c r="S389" s="1200"/>
      <c r="T389" s="1200"/>
      <c r="U389" s="1202"/>
      <c r="V389" s="1201"/>
      <c r="W389" s="1200"/>
      <c r="X389" s="1200"/>
    </row>
    <row r="390" spans="15:24">
      <c r="O390" s="1202"/>
      <c r="P390" s="1200"/>
      <c r="Q390" s="1202"/>
      <c r="R390" s="1201"/>
      <c r="S390" s="1200"/>
      <c r="T390" s="1200"/>
      <c r="U390" s="1202"/>
      <c r="V390" s="1201"/>
      <c r="W390" s="1200"/>
      <c r="X390" s="1200"/>
    </row>
    <row r="391" spans="15:24">
      <c r="O391" s="1202"/>
      <c r="P391" s="1200"/>
      <c r="Q391" s="1202"/>
      <c r="R391" s="1201"/>
      <c r="S391" s="1200"/>
      <c r="T391" s="1200"/>
      <c r="U391" s="1202"/>
      <c r="V391" s="1201"/>
      <c r="W391" s="1200"/>
      <c r="X391" s="1200"/>
    </row>
    <row r="392" spans="15:24">
      <c r="O392" s="1202"/>
      <c r="P392" s="1200"/>
      <c r="Q392" s="1202"/>
      <c r="R392" s="1201"/>
      <c r="S392" s="1200"/>
      <c r="T392" s="1200"/>
      <c r="U392" s="1202"/>
      <c r="V392" s="1201"/>
      <c r="W392" s="1200"/>
      <c r="X392" s="1200"/>
    </row>
    <row r="393" spans="15:24">
      <c r="O393" s="1202"/>
      <c r="P393" s="1200"/>
      <c r="Q393" s="1202"/>
      <c r="R393" s="1201"/>
      <c r="S393" s="1200"/>
      <c r="T393" s="1200"/>
      <c r="U393" s="1202"/>
      <c r="V393" s="1201"/>
      <c r="W393" s="1200"/>
      <c r="X393" s="1200"/>
    </row>
    <row r="394" spans="15:24">
      <c r="O394" s="1202"/>
      <c r="P394" s="1200"/>
      <c r="Q394" s="1202"/>
      <c r="R394" s="1201"/>
      <c r="S394" s="1200"/>
      <c r="T394" s="1200"/>
      <c r="U394" s="1202"/>
      <c r="V394" s="1201"/>
      <c r="W394" s="1200"/>
      <c r="X394" s="1200"/>
    </row>
    <row r="395" spans="15:24">
      <c r="O395" s="1202"/>
      <c r="P395" s="1200"/>
      <c r="Q395" s="1202"/>
      <c r="R395" s="1201"/>
      <c r="S395" s="1200"/>
      <c r="T395" s="1200"/>
      <c r="U395" s="1202"/>
      <c r="V395" s="1201"/>
      <c r="W395" s="1200"/>
      <c r="X395" s="1200"/>
    </row>
    <row r="396" spans="15:24">
      <c r="O396" s="1202"/>
      <c r="P396" s="1200"/>
      <c r="Q396" s="1202"/>
      <c r="R396" s="1201"/>
      <c r="S396" s="1200"/>
      <c r="T396" s="1200"/>
      <c r="U396" s="1202"/>
      <c r="V396" s="1201"/>
      <c r="W396" s="1200"/>
      <c r="X396" s="1200"/>
    </row>
    <row r="397" spans="15:24">
      <c r="O397" s="1202"/>
      <c r="P397" s="1200"/>
      <c r="Q397" s="1202"/>
      <c r="R397" s="1201"/>
      <c r="S397" s="1200"/>
      <c r="T397" s="1200"/>
      <c r="U397" s="1202"/>
      <c r="V397" s="1201"/>
      <c r="W397" s="1200"/>
      <c r="X397" s="1200"/>
    </row>
    <row r="398" spans="15:24">
      <c r="O398" s="1202"/>
      <c r="P398" s="1200"/>
      <c r="Q398" s="1202"/>
      <c r="R398" s="1201"/>
      <c r="S398" s="1200"/>
      <c r="T398" s="1200"/>
      <c r="U398" s="1202"/>
      <c r="V398" s="1201"/>
      <c r="W398" s="1200"/>
      <c r="X398" s="1200"/>
    </row>
    <row r="399" spans="15:24">
      <c r="O399" s="1202"/>
      <c r="P399" s="1200"/>
      <c r="Q399" s="1202"/>
      <c r="R399" s="1201"/>
      <c r="S399" s="1200"/>
      <c r="T399" s="1200"/>
      <c r="U399" s="1202"/>
      <c r="V399" s="1201"/>
      <c r="W399" s="1200"/>
      <c r="X399" s="1200"/>
    </row>
    <row r="400" spans="15:24">
      <c r="O400" s="1202"/>
      <c r="P400" s="1200"/>
      <c r="Q400" s="1202"/>
      <c r="R400" s="1201"/>
      <c r="S400" s="1200"/>
      <c r="T400" s="1200"/>
      <c r="U400" s="1202"/>
      <c r="V400" s="1201"/>
      <c r="W400" s="1200"/>
      <c r="X400" s="1200"/>
    </row>
    <row r="401" spans="15:24">
      <c r="O401" s="1202"/>
      <c r="P401" s="1200"/>
      <c r="Q401" s="1202"/>
      <c r="R401" s="1201"/>
      <c r="S401" s="1200"/>
      <c r="T401" s="1200"/>
      <c r="U401" s="1202"/>
      <c r="V401" s="1201"/>
      <c r="W401" s="1200"/>
      <c r="X401" s="1200"/>
    </row>
    <row r="402" spans="15:24">
      <c r="O402" s="1202"/>
      <c r="P402" s="1200"/>
      <c r="Q402" s="1202"/>
      <c r="R402" s="1201"/>
      <c r="S402" s="1200"/>
      <c r="T402" s="1200"/>
      <c r="U402" s="1202"/>
      <c r="V402" s="1201"/>
      <c r="W402" s="1200"/>
      <c r="X402" s="1200"/>
    </row>
    <row r="403" spans="15:24">
      <c r="O403" s="1202"/>
      <c r="P403" s="1200"/>
      <c r="Q403" s="1202"/>
      <c r="R403" s="1201"/>
      <c r="S403" s="1200"/>
      <c r="T403" s="1200"/>
      <c r="U403" s="1202"/>
      <c r="V403" s="1201"/>
      <c r="W403" s="1200"/>
      <c r="X403" s="1200"/>
    </row>
    <row r="404" spans="15:24">
      <c r="O404" s="1202"/>
      <c r="P404" s="1200"/>
      <c r="Q404" s="1202"/>
      <c r="R404" s="1201"/>
      <c r="S404" s="1200"/>
      <c r="T404" s="1200"/>
      <c r="U404" s="1202"/>
      <c r="V404" s="1201"/>
      <c r="W404" s="1200"/>
      <c r="X404" s="1200"/>
    </row>
    <row r="405" spans="15:24">
      <c r="O405" s="1202"/>
      <c r="P405" s="1200"/>
      <c r="Q405" s="1202"/>
      <c r="R405" s="1201"/>
      <c r="S405" s="1200"/>
      <c r="T405" s="1200"/>
      <c r="U405" s="1202"/>
      <c r="V405" s="1201"/>
      <c r="W405" s="1200"/>
      <c r="X405" s="1200"/>
    </row>
    <row r="406" spans="15:24">
      <c r="O406" s="1202"/>
      <c r="P406" s="1200"/>
      <c r="Q406" s="1202"/>
      <c r="R406" s="1201"/>
      <c r="S406" s="1200"/>
      <c r="T406" s="1200"/>
      <c r="U406" s="1202"/>
      <c r="V406" s="1201"/>
      <c r="W406" s="1200"/>
      <c r="X406" s="1200"/>
    </row>
    <row r="407" spans="15:24">
      <c r="O407" s="1202"/>
      <c r="P407" s="1200"/>
      <c r="Q407" s="1202"/>
      <c r="R407" s="1201"/>
      <c r="S407" s="1200"/>
      <c r="T407" s="1200"/>
      <c r="U407" s="1202"/>
      <c r="V407" s="1201"/>
      <c r="W407" s="1200"/>
      <c r="X407" s="1200"/>
    </row>
    <row r="408" spans="15:24">
      <c r="O408" s="1202"/>
      <c r="P408" s="1200"/>
      <c r="Q408" s="1202"/>
      <c r="R408" s="1201"/>
      <c r="S408" s="1200"/>
      <c r="T408" s="1200"/>
      <c r="U408" s="1202"/>
      <c r="V408" s="1201"/>
      <c r="W408" s="1200"/>
      <c r="X408" s="1200"/>
    </row>
    <row r="409" spans="15:24">
      <c r="O409" s="1202"/>
      <c r="P409" s="1200"/>
      <c r="Q409" s="1202"/>
      <c r="R409" s="1201"/>
      <c r="S409" s="1200"/>
      <c r="T409" s="1200"/>
      <c r="U409" s="1202"/>
      <c r="V409" s="1201"/>
      <c r="W409" s="1200"/>
      <c r="X409" s="1200"/>
    </row>
    <row r="410" spans="15:24">
      <c r="O410" s="1202"/>
      <c r="P410" s="1200"/>
      <c r="Q410" s="1202"/>
      <c r="R410" s="1201"/>
      <c r="S410" s="1200"/>
      <c r="T410" s="1200"/>
      <c r="U410" s="1202"/>
      <c r="V410" s="1201"/>
      <c r="W410" s="1200"/>
      <c r="X410" s="1200"/>
    </row>
    <row r="411" spans="15:24">
      <c r="O411" s="1202"/>
      <c r="P411" s="1200"/>
      <c r="Q411" s="1202"/>
      <c r="R411" s="1201"/>
      <c r="S411" s="1200"/>
      <c r="T411" s="1200"/>
      <c r="U411" s="1202"/>
      <c r="V411" s="1201"/>
      <c r="W411" s="1200"/>
      <c r="X411" s="1200"/>
    </row>
    <row r="412" spans="15:24">
      <c r="O412" s="1202"/>
      <c r="P412" s="1200"/>
      <c r="Q412" s="1202"/>
      <c r="R412" s="1201"/>
      <c r="S412" s="1200"/>
      <c r="T412" s="1200"/>
      <c r="U412" s="1202"/>
      <c r="V412" s="1201"/>
      <c r="W412" s="1200"/>
      <c r="X412" s="1200"/>
    </row>
    <row r="413" spans="15:24">
      <c r="O413" s="1202"/>
      <c r="P413" s="1200"/>
      <c r="Q413" s="1202"/>
      <c r="R413" s="1201"/>
      <c r="S413" s="1200"/>
      <c r="T413" s="1200"/>
      <c r="U413" s="1202"/>
      <c r="V413" s="1201"/>
      <c r="W413" s="1200"/>
      <c r="X413" s="1200"/>
    </row>
    <row r="414" spans="15:24">
      <c r="O414" s="1202"/>
      <c r="P414" s="1200"/>
      <c r="Q414" s="1202"/>
      <c r="R414" s="1201"/>
      <c r="S414" s="1200"/>
      <c r="T414" s="1200"/>
      <c r="U414" s="1202"/>
      <c r="V414" s="1201"/>
      <c r="W414" s="1200"/>
      <c r="X414" s="1200"/>
    </row>
    <row r="415" spans="15:24">
      <c r="O415" s="1202"/>
      <c r="P415" s="1200"/>
      <c r="Q415" s="1202"/>
      <c r="R415" s="1201"/>
      <c r="S415" s="1200"/>
      <c r="T415" s="1200"/>
      <c r="U415" s="1202"/>
      <c r="V415" s="1201"/>
      <c r="W415" s="1200"/>
      <c r="X415" s="1200"/>
    </row>
    <row r="416" spans="15:24">
      <c r="O416" s="1202"/>
      <c r="P416" s="1200"/>
      <c r="Q416" s="1202"/>
      <c r="R416" s="1201"/>
      <c r="S416" s="1200"/>
      <c r="T416" s="1200"/>
      <c r="U416" s="1202"/>
      <c r="V416" s="1201"/>
      <c r="W416" s="1200"/>
      <c r="X416" s="1200"/>
    </row>
    <row r="417" spans="15:24">
      <c r="O417" s="1202"/>
      <c r="P417" s="1200"/>
      <c r="Q417" s="1202"/>
      <c r="R417" s="1201"/>
      <c r="S417" s="1200"/>
      <c r="T417" s="1200"/>
      <c r="U417" s="1202"/>
      <c r="V417" s="1201"/>
      <c r="W417" s="1200"/>
      <c r="X417" s="1200"/>
    </row>
    <row r="418" spans="15:24">
      <c r="O418" s="1202"/>
      <c r="P418" s="1200"/>
      <c r="Q418" s="1202"/>
      <c r="R418" s="1201"/>
      <c r="S418" s="1200"/>
      <c r="T418" s="1200"/>
      <c r="U418" s="1202"/>
      <c r="V418" s="1201"/>
      <c r="W418" s="1200"/>
      <c r="X418" s="1200"/>
    </row>
    <row r="419" spans="15:24">
      <c r="O419" s="1202"/>
      <c r="P419" s="1200"/>
      <c r="Q419" s="1202"/>
      <c r="R419" s="1201"/>
      <c r="S419" s="1200"/>
      <c r="T419" s="1200"/>
      <c r="U419" s="1202"/>
      <c r="V419" s="1201"/>
      <c r="W419" s="1200"/>
      <c r="X419" s="1200"/>
    </row>
    <row r="420" spans="15:24">
      <c r="O420" s="1202"/>
      <c r="P420" s="1200"/>
      <c r="Q420" s="1202"/>
      <c r="R420" s="1201"/>
      <c r="S420" s="1200"/>
      <c r="T420" s="1200"/>
      <c r="U420" s="1202"/>
      <c r="V420" s="1201"/>
      <c r="W420" s="1200"/>
      <c r="X420" s="1200"/>
    </row>
    <row r="421" spans="15:24">
      <c r="O421" s="1202"/>
      <c r="P421" s="1200"/>
      <c r="Q421" s="1202"/>
      <c r="R421" s="1201"/>
      <c r="S421" s="1200"/>
      <c r="T421" s="1200"/>
      <c r="U421" s="1202"/>
      <c r="V421" s="1201"/>
      <c r="W421" s="1200"/>
      <c r="X421" s="1200"/>
    </row>
    <row r="422" spans="15:24">
      <c r="O422" s="1202"/>
      <c r="P422" s="1200"/>
      <c r="Q422" s="1202"/>
      <c r="R422" s="1201"/>
      <c r="S422" s="1200"/>
      <c r="T422" s="1200"/>
      <c r="U422" s="1202"/>
      <c r="V422" s="1201"/>
      <c r="W422" s="1200"/>
      <c r="X422" s="1200"/>
    </row>
    <row r="423" spans="15:24">
      <c r="O423" s="1202"/>
      <c r="P423" s="1200"/>
      <c r="Q423" s="1202"/>
      <c r="R423" s="1201"/>
      <c r="S423" s="1200"/>
      <c r="T423" s="1200"/>
      <c r="U423" s="1202"/>
      <c r="V423" s="1201"/>
      <c r="W423" s="1200"/>
      <c r="X423" s="1200"/>
    </row>
    <row r="424" spans="15:24">
      <c r="O424" s="1202"/>
      <c r="P424" s="1200"/>
      <c r="Q424" s="1202"/>
      <c r="R424" s="1201"/>
      <c r="S424" s="1200"/>
      <c r="T424" s="1200"/>
      <c r="U424" s="1202"/>
      <c r="V424" s="1201"/>
      <c r="W424" s="1200"/>
      <c r="X424" s="1200"/>
    </row>
    <row r="425" spans="15:24">
      <c r="O425" s="1202"/>
      <c r="P425" s="1200"/>
      <c r="Q425" s="1202"/>
      <c r="R425" s="1201"/>
      <c r="S425" s="1200"/>
      <c r="T425" s="1200"/>
      <c r="U425" s="1202"/>
      <c r="V425" s="1201"/>
      <c r="W425" s="1200"/>
      <c r="X425" s="1200"/>
    </row>
    <row r="426" spans="15:24">
      <c r="O426" s="1202"/>
      <c r="P426" s="1200"/>
      <c r="Q426" s="1202"/>
      <c r="R426" s="1201"/>
      <c r="S426" s="1200"/>
      <c r="T426" s="1200"/>
      <c r="U426" s="1202"/>
      <c r="V426" s="1201"/>
      <c r="W426" s="1200"/>
      <c r="X426" s="1200"/>
    </row>
    <row r="427" spans="15:24">
      <c r="O427" s="1202"/>
      <c r="P427" s="1200"/>
      <c r="Q427" s="1202"/>
      <c r="R427" s="1201"/>
      <c r="S427" s="1200"/>
      <c r="T427" s="1200"/>
      <c r="U427" s="1202"/>
      <c r="V427" s="1201"/>
      <c r="W427" s="1200"/>
      <c r="X427" s="1200"/>
    </row>
    <row r="428" spans="15:24">
      <c r="O428" s="1202"/>
      <c r="P428" s="1200"/>
      <c r="Q428" s="1202"/>
      <c r="R428" s="1201"/>
      <c r="S428" s="1200"/>
      <c r="T428" s="1200"/>
      <c r="U428" s="1202"/>
      <c r="V428" s="1201"/>
      <c r="W428" s="1200"/>
      <c r="X428" s="1200"/>
    </row>
    <row r="429" spans="15:24">
      <c r="O429" s="1202"/>
      <c r="P429" s="1200"/>
      <c r="Q429" s="1202"/>
      <c r="R429" s="1201"/>
      <c r="S429" s="1200"/>
      <c r="T429" s="1200"/>
      <c r="U429" s="1202"/>
      <c r="V429" s="1201"/>
      <c r="W429" s="1200"/>
      <c r="X429" s="1200"/>
    </row>
    <row r="430" spans="15:24">
      <c r="O430" s="1202"/>
      <c r="P430" s="1200"/>
      <c r="Q430" s="1202"/>
      <c r="R430" s="1201"/>
      <c r="S430" s="1200"/>
      <c r="T430" s="1200"/>
      <c r="U430" s="1202"/>
      <c r="V430" s="1201"/>
      <c r="W430" s="1200"/>
      <c r="X430" s="1200"/>
    </row>
    <row r="431" spans="15:24">
      <c r="O431" s="1202"/>
      <c r="P431" s="1200"/>
      <c r="Q431" s="1202"/>
      <c r="R431" s="1201"/>
      <c r="S431" s="1200"/>
      <c r="T431" s="1200"/>
      <c r="U431" s="1202"/>
      <c r="V431" s="1201"/>
      <c r="W431" s="1200"/>
      <c r="X431" s="1200"/>
    </row>
    <row r="432" spans="15:24">
      <c r="O432" s="1202"/>
      <c r="P432" s="1200"/>
      <c r="Q432" s="1202"/>
      <c r="R432" s="1201"/>
      <c r="S432" s="1200"/>
      <c r="T432" s="1200"/>
      <c r="U432" s="1202"/>
      <c r="V432" s="1201"/>
      <c r="W432" s="1200"/>
      <c r="X432" s="1200"/>
    </row>
    <row r="433" spans="15:24">
      <c r="O433" s="1202"/>
      <c r="P433" s="1200"/>
      <c r="Q433" s="1202"/>
      <c r="R433" s="1201"/>
      <c r="S433" s="1200"/>
      <c r="T433" s="1200"/>
      <c r="U433" s="1202"/>
      <c r="V433" s="1201"/>
      <c r="W433" s="1200"/>
      <c r="X433" s="1200"/>
    </row>
    <row r="434" spans="15:24">
      <c r="O434" s="1202"/>
      <c r="P434" s="1200"/>
      <c r="Q434" s="1202"/>
      <c r="R434" s="1201"/>
      <c r="S434" s="1200"/>
      <c r="T434" s="1200"/>
      <c r="U434" s="1202"/>
      <c r="V434" s="1201"/>
      <c r="W434" s="1200"/>
      <c r="X434" s="1200"/>
    </row>
    <row r="435" spans="15:24">
      <c r="O435" s="1202"/>
      <c r="P435" s="1200"/>
      <c r="Q435" s="1202"/>
      <c r="R435" s="1201"/>
      <c r="S435" s="1200"/>
      <c r="T435" s="1200"/>
      <c r="U435" s="1202"/>
      <c r="V435" s="1201"/>
      <c r="W435" s="1200"/>
      <c r="X435" s="1200"/>
    </row>
    <row r="436" spans="15:24">
      <c r="O436" s="1202"/>
      <c r="P436" s="1200"/>
      <c r="Q436" s="1202"/>
      <c r="R436" s="1201"/>
      <c r="S436" s="1200"/>
      <c r="T436" s="1200"/>
      <c r="U436" s="1202"/>
      <c r="V436" s="1201"/>
      <c r="W436" s="1200"/>
      <c r="X436" s="1200"/>
    </row>
    <row r="437" spans="15:24">
      <c r="O437" s="1202"/>
      <c r="P437" s="1200"/>
      <c r="Q437" s="1202"/>
      <c r="R437" s="1201"/>
      <c r="S437" s="1200"/>
      <c r="T437" s="1200"/>
      <c r="U437" s="1202"/>
      <c r="V437" s="1201"/>
      <c r="W437" s="1200"/>
      <c r="X437" s="1200"/>
    </row>
    <row r="438" spans="15:24">
      <c r="O438" s="1202"/>
      <c r="P438" s="1200"/>
      <c r="Q438" s="1202"/>
      <c r="R438" s="1201"/>
      <c r="S438" s="1200"/>
      <c r="T438" s="1200"/>
      <c r="U438" s="1202"/>
      <c r="V438" s="1201"/>
      <c r="W438" s="1200"/>
      <c r="X438" s="1200"/>
    </row>
    <row r="439" spans="15:24">
      <c r="O439" s="1202"/>
      <c r="P439" s="1200"/>
      <c r="Q439" s="1202"/>
      <c r="R439" s="1201"/>
      <c r="S439" s="1200"/>
      <c r="T439" s="1200"/>
      <c r="U439" s="1202"/>
      <c r="V439" s="1201"/>
      <c r="W439" s="1200"/>
      <c r="X439" s="1200"/>
    </row>
    <row r="440" spans="15:24">
      <c r="O440" s="1202"/>
      <c r="P440" s="1200"/>
      <c r="Q440" s="1202"/>
      <c r="R440" s="1201"/>
      <c r="S440" s="1200"/>
      <c r="T440" s="1200"/>
      <c r="U440" s="1202"/>
      <c r="V440" s="1201"/>
      <c r="W440" s="1200"/>
      <c r="X440" s="1200"/>
    </row>
    <row r="441" spans="15:24">
      <c r="O441" s="1202"/>
      <c r="P441" s="1200"/>
      <c r="Q441" s="1202"/>
      <c r="R441" s="1201"/>
      <c r="S441" s="1200"/>
      <c r="T441" s="1200"/>
      <c r="U441" s="1202"/>
      <c r="V441" s="1201"/>
      <c r="W441" s="1200"/>
      <c r="X441" s="1200"/>
    </row>
    <row r="442" spans="15:24">
      <c r="O442" s="1202"/>
      <c r="P442" s="1200"/>
      <c r="Q442" s="1202"/>
      <c r="R442" s="1201"/>
      <c r="S442" s="1200"/>
      <c r="T442" s="1200"/>
      <c r="U442" s="1202"/>
      <c r="V442" s="1201"/>
      <c r="W442" s="1200"/>
      <c r="X442" s="1200"/>
    </row>
    <row r="443" spans="15:24">
      <c r="O443" s="1202"/>
      <c r="P443" s="1200"/>
      <c r="Q443" s="1202"/>
      <c r="R443" s="1201"/>
      <c r="S443" s="1200"/>
      <c r="T443" s="1200"/>
      <c r="U443" s="1202"/>
      <c r="V443" s="1201"/>
      <c r="W443" s="1200"/>
      <c r="X443" s="1200"/>
    </row>
    <row r="444" spans="15:24">
      <c r="O444" s="1202"/>
      <c r="P444" s="1200"/>
      <c r="Q444" s="1202"/>
      <c r="R444" s="1201"/>
      <c r="S444" s="1200"/>
      <c r="T444" s="1200"/>
      <c r="U444" s="1202"/>
      <c r="V444" s="1201"/>
      <c r="W444" s="1200"/>
      <c r="X444" s="1200"/>
    </row>
    <row r="445" spans="15:24">
      <c r="O445" s="1202"/>
      <c r="P445" s="1200"/>
      <c r="Q445" s="1202"/>
      <c r="R445" s="1201"/>
      <c r="S445" s="1200"/>
      <c r="T445" s="1200"/>
      <c r="U445" s="1202"/>
      <c r="V445" s="1201"/>
      <c r="W445" s="1200"/>
      <c r="X445" s="1200"/>
    </row>
    <row r="446" spans="15:24">
      <c r="O446" s="1202"/>
      <c r="P446" s="1200"/>
      <c r="Q446" s="1202"/>
      <c r="R446" s="1201"/>
      <c r="S446" s="1200"/>
      <c r="T446" s="1200"/>
      <c r="U446" s="1202"/>
      <c r="V446" s="1201"/>
      <c r="W446" s="1200"/>
      <c r="X446" s="1200"/>
    </row>
    <row r="447" spans="15:24">
      <c r="O447" s="1202"/>
      <c r="P447" s="1200"/>
      <c r="Q447" s="1202"/>
      <c r="R447" s="1201"/>
      <c r="S447" s="1200"/>
      <c r="T447" s="1200"/>
      <c r="U447" s="1202"/>
      <c r="V447" s="1201"/>
      <c r="W447" s="1200"/>
      <c r="X447" s="1200"/>
    </row>
    <row r="448" spans="15:24">
      <c r="O448" s="1202"/>
      <c r="P448" s="1200"/>
      <c r="Q448" s="1202"/>
      <c r="R448" s="1201"/>
      <c r="S448" s="1200"/>
      <c r="T448" s="1200"/>
      <c r="U448" s="1202"/>
      <c r="V448" s="1201"/>
      <c r="W448" s="1200"/>
      <c r="X448" s="1200"/>
    </row>
    <row r="449" spans="15:24">
      <c r="O449" s="1202"/>
      <c r="P449" s="1200"/>
      <c r="Q449" s="1202"/>
      <c r="R449" s="1201"/>
      <c r="S449" s="1200"/>
      <c r="T449" s="1200"/>
      <c r="U449" s="1202"/>
      <c r="V449" s="1201"/>
      <c r="W449" s="1200"/>
      <c r="X449" s="1200"/>
    </row>
    <row r="450" spans="15:24">
      <c r="O450" s="1202"/>
      <c r="P450" s="1200"/>
      <c r="Q450" s="1202"/>
      <c r="R450" s="1201"/>
      <c r="S450" s="1200"/>
      <c r="T450" s="1200"/>
      <c r="U450" s="1202"/>
      <c r="V450" s="1201"/>
      <c r="W450" s="1200"/>
      <c r="X450" s="1200"/>
    </row>
    <row r="451" spans="15:24">
      <c r="O451" s="1202"/>
      <c r="P451" s="1200"/>
      <c r="Q451" s="1202"/>
      <c r="R451" s="1201"/>
      <c r="S451" s="1200"/>
      <c r="T451" s="1200"/>
      <c r="U451" s="1202"/>
      <c r="V451" s="1201"/>
      <c r="W451" s="1200"/>
      <c r="X451" s="1200"/>
    </row>
    <row r="452" spans="15:24">
      <c r="O452" s="1202"/>
      <c r="P452" s="1200"/>
      <c r="Q452" s="1202"/>
      <c r="R452" s="1201"/>
      <c r="S452" s="1200"/>
      <c r="T452" s="1200"/>
      <c r="U452" s="1202"/>
      <c r="V452" s="1201"/>
      <c r="W452" s="1200"/>
      <c r="X452" s="1200"/>
    </row>
    <row r="453" spans="15:24">
      <c r="O453" s="1202"/>
      <c r="P453" s="1200"/>
      <c r="Q453" s="1202"/>
      <c r="R453" s="1201"/>
      <c r="S453" s="1200"/>
      <c r="T453" s="1200"/>
      <c r="U453" s="1202"/>
      <c r="V453" s="1201"/>
      <c r="W453" s="1200"/>
      <c r="X453" s="1200"/>
    </row>
    <row r="454" spans="15:24">
      <c r="O454" s="1202"/>
      <c r="P454" s="1200"/>
      <c r="Q454" s="1202"/>
      <c r="R454" s="1201"/>
      <c r="S454" s="1200"/>
      <c r="T454" s="1200"/>
      <c r="U454" s="1202"/>
      <c r="V454" s="1201"/>
      <c r="W454" s="1200"/>
      <c r="X454" s="1200"/>
    </row>
    <row r="455" spans="15:24">
      <c r="O455" s="1202"/>
      <c r="P455" s="1200"/>
      <c r="Q455" s="1202"/>
      <c r="R455" s="1201"/>
      <c r="S455" s="1200"/>
      <c r="T455" s="1200"/>
      <c r="U455" s="1202"/>
      <c r="V455" s="1201"/>
      <c r="W455" s="1200"/>
      <c r="X455" s="1200"/>
    </row>
    <row r="456" spans="15:24">
      <c r="O456" s="1202"/>
      <c r="P456" s="1200"/>
      <c r="Q456" s="1202"/>
      <c r="R456" s="1201"/>
      <c r="S456" s="1200"/>
      <c r="T456" s="1200"/>
      <c r="U456" s="1202"/>
      <c r="V456" s="1201"/>
      <c r="W456" s="1200"/>
      <c r="X456" s="1200"/>
    </row>
    <row r="457" spans="15:24">
      <c r="O457" s="1202"/>
      <c r="P457" s="1200"/>
      <c r="Q457" s="1202"/>
      <c r="R457" s="1201"/>
      <c r="S457" s="1200"/>
      <c r="T457" s="1200"/>
      <c r="U457" s="1202"/>
      <c r="V457" s="1201"/>
      <c r="W457" s="1200"/>
      <c r="X457" s="1200"/>
    </row>
    <row r="458" spans="15:24">
      <c r="O458" s="1202"/>
      <c r="P458" s="1200"/>
      <c r="Q458" s="1202"/>
      <c r="R458" s="1201"/>
      <c r="S458" s="1200"/>
      <c r="T458" s="1200"/>
      <c r="U458" s="1202"/>
      <c r="V458" s="1201"/>
      <c r="W458" s="1200"/>
      <c r="X458" s="1200"/>
    </row>
    <row r="459" spans="15:24">
      <c r="O459" s="1202"/>
      <c r="P459" s="1200"/>
      <c r="Q459" s="1202"/>
      <c r="R459" s="1201"/>
      <c r="S459" s="1200"/>
      <c r="T459" s="1200"/>
      <c r="U459" s="1202"/>
      <c r="V459" s="1201"/>
      <c r="W459" s="1200"/>
      <c r="X459" s="1200"/>
    </row>
    <row r="460" spans="15:24">
      <c r="O460" s="1202"/>
      <c r="P460" s="1200"/>
      <c r="Q460" s="1202"/>
      <c r="R460" s="1201"/>
      <c r="S460" s="1200"/>
      <c r="T460" s="1200"/>
      <c r="U460" s="1202"/>
      <c r="V460" s="1201"/>
      <c r="W460" s="1200"/>
      <c r="X460" s="1200"/>
    </row>
    <row r="461" spans="15:24">
      <c r="O461" s="1202"/>
      <c r="P461" s="1200"/>
      <c r="Q461" s="1202"/>
      <c r="R461" s="1201"/>
      <c r="S461" s="1200"/>
      <c r="T461" s="1200"/>
      <c r="U461" s="1202"/>
      <c r="V461" s="1201"/>
      <c r="W461" s="1200"/>
      <c r="X461" s="1200"/>
    </row>
    <row r="462" spans="15:24">
      <c r="O462" s="1202"/>
      <c r="P462" s="1200"/>
      <c r="Q462" s="1202"/>
      <c r="R462" s="1201"/>
      <c r="S462" s="1200"/>
      <c r="T462" s="1200"/>
      <c r="U462" s="1202"/>
      <c r="V462" s="1201"/>
      <c r="W462" s="1200"/>
      <c r="X462" s="1200"/>
    </row>
    <row r="463" spans="15:24">
      <c r="O463" s="1202"/>
      <c r="P463" s="1200"/>
      <c r="Q463" s="1202"/>
      <c r="R463" s="1201"/>
      <c r="S463" s="1200"/>
      <c r="T463" s="1200"/>
      <c r="U463" s="1202"/>
      <c r="V463" s="1201"/>
      <c r="W463" s="1200"/>
      <c r="X463" s="1200"/>
    </row>
    <row r="464" spans="15:24">
      <c r="O464" s="1202"/>
      <c r="P464" s="1200"/>
      <c r="Q464" s="1202"/>
      <c r="R464" s="1201"/>
      <c r="S464" s="1200"/>
      <c r="T464" s="1200"/>
      <c r="U464" s="1202"/>
      <c r="V464" s="1201"/>
      <c r="W464" s="1200"/>
      <c r="X464" s="1200"/>
    </row>
    <row r="465" spans="15:24">
      <c r="O465" s="1202"/>
      <c r="P465" s="1200"/>
      <c r="Q465" s="1202"/>
      <c r="R465" s="1201"/>
      <c r="S465" s="1200"/>
      <c r="T465" s="1200"/>
      <c r="U465" s="1202"/>
      <c r="V465" s="1201"/>
      <c r="W465" s="1200"/>
      <c r="X465" s="1200"/>
    </row>
    <row r="466" spans="15:24">
      <c r="O466" s="1202"/>
      <c r="P466" s="1200"/>
      <c r="Q466" s="1202"/>
      <c r="R466" s="1201"/>
      <c r="S466" s="1200"/>
      <c r="T466" s="1200"/>
      <c r="U466" s="1202"/>
      <c r="V466" s="1201"/>
      <c r="W466" s="1200"/>
      <c r="X466" s="1200"/>
    </row>
    <row r="467" spans="15:24">
      <c r="O467" s="1202"/>
      <c r="P467" s="1200"/>
      <c r="Q467" s="1202"/>
      <c r="R467" s="1201"/>
      <c r="S467" s="1200"/>
      <c r="T467" s="1200"/>
      <c r="U467" s="1202"/>
      <c r="V467" s="1201"/>
      <c r="W467" s="1200"/>
      <c r="X467" s="1200"/>
    </row>
    <row r="468" spans="15:24">
      <c r="O468" s="1202"/>
      <c r="P468" s="1200"/>
      <c r="Q468" s="1202"/>
      <c r="R468" s="1201"/>
      <c r="S468" s="1200"/>
      <c r="T468" s="1200"/>
      <c r="U468" s="1202"/>
      <c r="V468" s="1201"/>
      <c r="W468" s="1200"/>
      <c r="X468" s="1200"/>
    </row>
    <row r="469" spans="15:24">
      <c r="O469" s="1202"/>
      <c r="P469" s="1200"/>
      <c r="Q469" s="1202"/>
      <c r="R469" s="1201"/>
      <c r="S469" s="1200"/>
      <c r="T469" s="1200"/>
      <c r="U469" s="1202"/>
      <c r="V469" s="1201"/>
      <c r="W469" s="1200"/>
      <c r="X469" s="1200"/>
    </row>
    <row r="470" spans="15:24">
      <c r="O470" s="1202"/>
      <c r="P470" s="1200"/>
      <c r="Q470" s="1202"/>
      <c r="R470" s="1201"/>
      <c r="S470" s="1200"/>
      <c r="T470" s="1200"/>
      <c r="U470" s="1202"/>
      <c r="V470" s="1201"/>
      <c r="W470" s="1200"/>
      <c r="X470" s="1200"/>
    </row>
    <row r="471" spans="15:24">
      <c r="O471" s="1202"/>
      <c r="P471" s="1200"/>
      <c r="Q471" s="1202"/>
      <c r="R471" s="1201"/>
      <c r="S471" s="1200"/>
      <c r="T471" s="1200"/>
      <c r="U471" s="1202"/>
      <c r="V471" s="1201"/>
      <c r="W471" s="1200"/>
      <c r="X471" s="1200"/>
    </row>
    <row r="472" spans="15:24">
      <c r="O472" s="1202"/>
      <c r="P472" s="1200"/>
      <c r="Q472" s="1202"/>
      <c r="R472" s="1201"/>
      <c r="S472" s="1200"/>
      <c r="T472" s="1200"/>
      <c r="U472" s="1202"/>
      <c r="V472" s="1201"/>
      <c r="W472" s="1200"/>
      <c r="X472" s="1200"/>
    </row>
    <row r="473" spans="15:24">
      <c r="O473" s="1202"/>
      <c r="P473" s="1200"/>
      <c r="Q473" s="1202"/>
      <c r="R473" s="1201"/>
      <c r="S473" s="1200"/>
      <c r="T473" s="1200"/>
      <c r="U473" s="1202"/>
      <c r="V473" s="1201"/>
      <c r="W473" s="1200"/>
      <c r="X473" s="1200"/>
    </row>
    <row r="474" spans="15:24">
      <c r="O474" s="1202"/>
      <c r="P474" s="1200"/>
      <c r="Q474" s="1202"/>
      <c r="R474" s="1201"/>
      <c r="S474" s="1200"/>
      <c r="T474" s="1200"/>
      <c r="U474" s="1202"/>
      <c r="V474" s="1201"/>
      <c r="W474" s="1200"/>
      <c r="X474" s="1200"/>
    </row>
    <row r="475" spans="15:24">
      <c r="O475" s="1202"/>
      <c r="P475" s="1200"/>
      <c r="Q475" s="1202"/>
      <c r="R475" s="1201"/>
      <c r="S475" s="1200"/>
      <c r="T475" s="1200"/>
      <c r="U475" s="1202"/>
      <c r="V475" s="1201"/>
      <c r="W475" s="1200"/>
      <c r="X475" s="1200"/>
    </row>
    <row r="476" spans="15:24">
      <c r="O476" s="1202"/>
      <c r="P476" s="1200"/>
      <c r="Q476" s="1202"/>
      <c r="R476" s="1201"/>
      <c r="S476" s="1200"/>
      <c r="T476" s="1200"/>
      <c r="U476" s="1202"/>
      <c r="V476" s="1201"/>
      <c r="W476" s="1200"/>
      <c r="X476" s="1200"/>
    </row>
    <row r="477" spans="15:24">
      <c r="O477" s="1202"/>
      <c r="P477" s="1200"/>
      <c r="Q477" s="1202"/>
      <c r="R477" s="1201"/>
      <c r="S477" s="1200"/>
      <c r="T477" s="1200"/>
      <c r="U477" s="1202"/>
      <c r="V477" s="1201"/>
      <c r="W477" s="1200"/>
      <c r="X477" s="1200"/>
    </row>
    <row r="478" spans="15:24">
      <c r="O478" s="1202"/>
      <c r="P478" s="1200"/>
      <c r="Q478" s="1202"/>
      <c r="R478" s="1201"/>
      <c r="S478" s="1200"/>
      <c r="T478" s="1200"/>
      <c r="U478" s="1202"/>
      <c r="V478" s="1201"/>
      <c r="W478" s="1200"/>
      <c r="X478" s="1200"/>
    </row>
    <row r="479" spans="15:24">
      <c r="O479" s="1202"/>
      <c r="P479" s="1200"/>
      <c r="Q479" s="1202"/>
      <c r="R479" s="1201"/>
      <c r="S479" s="1200"/>
      <c r="T479" s="1200"/>
      <c r="U479" s="1202"/>
      <c r="V479" s="1201"/>
      <c r="W479" s="1200"/>
      <c r="X479" s="1200"/>
    </row>
    <row r="480" spans="15:24">
      <c r="O480" s="1202"/>
      <c r="P480" s="1200"/>
      <c r="Q480" s="1202"/>
      <c r="R480" s="1201"/>
      <c r="S480" s="1200"/>
      <c r="T480" s="1200"/>
      <c r="U480" s="1202"/>
      <c r="V480" s="1201"/>
      <c r="W480" s="1200"/>
      <c r="X480" s="1200"/>
    </row>
    <row r="481" spans="15:24">
      <c r="O481" s="1202"/>
      <c r="P481" s="1200"/>
      <c r="Q481" s="1202"/>
      <c r="R481" s="1201"/>
      <c r="S481" s="1200"/>
      <c r="T481" s="1200"/>
      <c r="U481" s="1202"/>
      <c r="V481" s="1201"/>
      <c r="W481" s="1200"/>
      <c r="X481" s="1200"/>
    </row>
    <row r="482" spans="15:24">
      <c r="O482" s="1202"/>
      <c r="P482" s="1200"/>
      <c r="Q482" s="1202"/>
      <c r="R482" s="1201"/>
      <c r="S482" s="1200"/>
      <c r="T482" s="1200"/>
      <c r="U482" s="1202"/>
      <c r="V482" s="1201"/>
      <c r="W482" s="1200"/>
      <c r="X482" s="1200"/>
    </row>
    <row r="483" spans="15:24">
      <c r="O483" s="1202"/>
      <c r="P483" s="1200"/>
      <c r="Q483" s="1202"/>
      <c r="R483" s="1201"/>
      <c r="S483" s="1200"/>
      <c r="T483" s="1200"/>
      <c r="U483" s="1202"/>
      <c r="V483" s="1201"/>
      <c r="W483" s="1200"/>
      <c r="X483" s="1200"/>
    </row>
    <row r="484" spans="15:24">
      <c r="O484" s="1202"/>
      <c r="P484" s="1200"/>
      <c r="Q484" s="1202"/>
      <c r="R484" s="1201"/>
      <c r="S484" s="1200"/>
      <c r="T484" s="1200"/>
      <c r="U484" s="1202"/>
      <c r="V484" s="1201"/>
      <c r="W484" s="1200"/>
      <c r="X484" s="1200"/>
    </row>
    <row r="485" spans="15:24">
      <c r="O485" s="1202"/>
      <c r="P485" s="1200"/>
      <c r="Q485" s="1202"/>
      <c r="R485" s="1201"/>
      <c r="S485" s="1200"/>
      <c r="T485" s="1200"/>
      <c r="U485" s="1202"/>
      <c r="V485" s="1201"/>
      <c r="W485" s="1200"/>
      <c r="X485" s="1200"/>
    </row>
    <row r="486" spans="15:24">
      <c r="O486" s="1202"/>
      <c r="P486" s="1200"/>
      <c r="Q486" s="1202"/>
      <c r="R486" s="1201"/>
      <c r="S486" s="1200"/>
      <c r="T486" s="1200"/>
      <c r="U486" s="1202"/>
      <c r="V486" s="1201"/>
      <c r="W486" s="1200"/>
      <c r="X486" s="1200"/>
    </row>
    <row r="487" spans="15:24">
      <c r="O487" s="1202"/>
      <c r="P487" s="1200"/>
      <c r="Q487" s="1202"/>
      <c r="R487" s="1201"/>
      <c r="S487" s="1200"/>
      <c r="T487" s="1200"/>
      <c r="U487" s="1202"/>
      <c r="V487" s="1201"/>
      <c r="W487" s="1200"/>
      <c r="X487" s="1200"/>
    </row>
    <row r="488" spans="15:24">
      <c r="O488" s="1202"/>
      <c r="P488" s="1200"/>
      <c r="Q488" s="1202"/>
      <c r="R488" s="1201"/>
      <c r="S488" s="1200"/>
      <c r="T488" s="1200"/>
      <c r="U488" s="1202"/>
      <c r="V488" s="1201"/>
      <c r="W488" s="1200"/>
      <c r="X488" s="1200"/>
    </row>
    <row r="489" spans="15:24">
      <c r="O489" s="1202"/>
      <c r="P489" s="1200"/>
      <c r="Q489" s="1202"/>
      <c r="R489" s="1201"/>
      <c r="S489" s="1200"/>
      <c r="T489" s="1200"/>
      <c r="U489" s="1202"/>
      <c r="V489" s="1201"/>
      <c r="W489" s="1200"/>
      <c r="X489" s="1200"/>
    </row>
    <row r="490" spans="15:24">
      <c r="O490" s="1202"/>
      <c r="P490" s="1200"/>
      <c r="Q490" s="1202"/>
      <c r="R490" s="1201"/>
      <c r="S490" s="1200"/>
      <c r="T490" s="1200"/>
      <c r="U490" s="1202"/>
      <c r="V490" s="1201"/>
      <c r="W490" s="1200"/>
      <c r="X490" s="1200"/>
    </row>
    <row r="491" spans="15:24">
      <c r="O491" s="1202"/>
      <c r="P491" s="1200"/>
      <c r="Q491" s="1202"/>
      <c r="R491" s="1201"/>
      <c r="S491" s="1200"/>
      <c r="T491" s="1200"/>
      <c r="U491" s="1202"/>
      <c r="V491" s="1201"/>
      <c r="W491" s="1200"/>
      <c r="X491" s="1200"/>
    </row>
    <row r="492" spans="15:24">
      <c r="O492" s="1202"/>
      <c r="P492" s="1200"/>
      <c r="Q492" s="1202"/>
      <c r="R492" s="1201"/>
      <c r="S492" s="1200"/>
      <c r="T492" s="1200"/>
      <c r="U492" s="1202"/>
      <c r="V492" s="1201"/>
      <c r="W492" s="1200"/>
      <c r="X492" s="1200"/>
    </row>
    <row r="493" spans="15:24">
      <c r="O493" s="1202"/>
      <c r="P493" s="1200"/>
      <c r="Q493" s="1202"/>
      <c r="R493" s="1201"/>
      <c r="S493" s="1200"/>
      <c r="T493" s="1200"/>
      <c r="U493" s="1202"/>
      <c r="V493" s="1201"/>
      <c r="W493" s="1200"/>
      <c r="X493" s="1200"/>
    </row>
    <row r="494" spans="15:24">
      <c r="O494" s="1202"/>
      <c r="P494" s="1200"/>
      <c r="Q494" s="1202"/>
      <c r="R494" s="1201"/>
      <c r="S494" s="1200"/>
      <c r="T494" s="1200"/>
      <c r="U494" s="1202"/>
      <c r="V494" s="1201"/>
      <c r="W494" s="1200"/>
      <c r="X494" s="1200"/>
    </row>
    <row r="495" spans="15:24">
      <c r="O495" s="1202"/>
      <c r="P495" s="1200"/>
      <c r="Q495" s="1202"/>
      <c r="R495" s="1201"/>
      <c r="S495" s="1200"/>
      <c r="T495" s="1200"/>
      <c r="U495" s="1202"/>
      <c r="V495" s="1201"/>
      <c r="W495" s="1200"/>
      <c r="X495" s="1200"/>
    </row>
    <row r="496" spans="15:24">
      <c r="O496" s="1202"/>
      <c r="P496" s="1200"/>
      <c r="Q496" s="1202"/>
      <c r="R496" s="1201"/>
      <c r="S496" s="1200"/>
      <c r="T496" s="1200"/>
      <c r="U496" s="1202"/>
      <c r="V496" s="1201"/>
      <c r="W496" s="1200"/>
      <c r="X496" s="1200"/>
    </row>
    <row r="497" spans="15:24">
      <c r="O497" s="1202"/>
      <c r="P497" s="1200"/>
      <c r="Q497" s="1202"/>
      <c r="R497" s="1201"/>
      <c r="S497" s="1200"/>
      <c r="T497" s="1200"/>
      <c r="U497" s="1202"/>
      <c r="V497" s="1201"/>
      <c r="W497" s="1200"/>
      <c r="X497" s="1200"/>
    </row>
    <row r="498" spans="15:24">
      <c r="O498" s="1202"/>
      <c r="P498" s="1200"/>
      <c r="Q498" s="1202"/>
      <c r="R498" s="1201"/>
      <c r="S498" s="1200"/>
      <c r="T498" s="1200"/>
      <c r="U498" s="1202"/>
      <c r="V498" s="1201"/>
      <c r="W498" s="1200"/>
      <c r="X498" s="1200"/>
    </row>
    <row r="499" spans="15:24">
      <c r="O499" s="1202"/>
      <c r="P499" s="1200"/>
      <c r="Q499" s="1202"/>
      <c r="R499" s="1201"/>
      <c r="S499" s="1200"/>
      <c r="T499" s="1200"/>
      <c r="U499" s="1202"/>
      <c r="V499" s="1201"/>
      <c r="W499" s="1200"/>
      <c r="X499" s="1200"/>
    </row>
    <row r="500" spans="15:24">
      <c r="O500" s="1202"/>
      <c r="P500" s="1200"/>
      <c r="Q500" s="1202"/>
      <c r="R500" s="1201"/>
      <c r="S500" s="1200"/>
      <c r="T500" s="1200"/>
      <c r="U500" s="1202"/>
      <c r="V500" s="1201"/>
      <c r="W500" s="1200"/>
      <c r="X500" s="1200"/>
    </row>
    <row r="501" spans="15:24">
      <c r="O501" s="1202"/>
      <c r="P501" s="1200"/>
      <c r="Q501" s="1202"/>
      <c r="R501" s="1201"/>
      <c r="S501" s="1200"/>
      <c r="T501" s="1200"/>
      <c r="U501" s="1202"/>
      <c r="V501" s="1201"/>
      <c r="W501" s="1200"/>
      <c r="X501" s="1200"/>
    </row>
    <row r="502" spans="15:24">
      <c r="O502" s="1202"/>
      <c r="P502" s="1200"/>
      <c r="Q502" s="1202"/>
      <c r="R502" s="1201"/>
      <c r="S502" s="1200"/>
      <c r="T502" s="1200"/>
      <c r="U502" s="1202"/>
      <c r="V502" s="1201"/>
      <c r="W502" s="1200"/>
      <c r="X502" s="1200"/>
    </row>
    <row r="503" spans="15:24">
      <c r="O503" s="1202"/>
      <c r="P503" s="1200"/>
      <c r="Q503" s="1202"/>
      <c r="R503" s="1201"/>
      <c r="S503" s="1200"/>
      <c r="T503" s="1200"/>
      <c r="U503" s="1202"/>
      <c r="V503" s="1201"/>
      <c r="W503" s="1200"/>
      <c r="X503" s="1200"/>
    </row>
    <row r="504" spans="15:24">
      <c r="O504" s="1202"/>
      <c r="P504" s="1200"/>
      <c r="Q504" s="1202"/>
      <c r="R504" s="1201"/>
      <c r="S504" s="1200"/>
      <c r="T504" s="1200"/>
      <c r="U504" s="1202"/>
      <c r="V504" s="1201"/>
      <c r="W504" s="1200"/>
      <c r="X504" s="1200"/>
    </row>
    <row r="505" spans="15:24">
      <c r="O505" s="1202"/>
      <c r="P505" s="1200"/>
      <c r="Q505" s="1202"/>
      <c r="R505" s="1201"/>
      <c r="S505" s="1200"/>
      <c r="T505" s="1200"/>
      <c r="U505" s="1202"/>
      <c r="V505" s="1201"/>
      <c r="W505" s="1200"/>
      <c r="X505" s="1200"/>
    </row>
    <row r="506" spans="15:24">
      <c r="O506" s="1202"/>
      <c r="P506" s="1200"/>
      <c r="Q506" s="1202"/>
      <c r="R506" s="1201"/>
      <c r="S506" s="1200"/>
      <c r="T506" s="1200"/>
      <c r="U506" s="1202"/>
      <c r="V506" s="1201"/>
      <c r="W506" s="1200"/>
      <c r="X506" s="1200"/>
    </row>
    <row r="507" spans="15:24">
      <c r="O507" s="1202"/>
      <c r="P507" s="1200"/>
      <c r="Q507" s="1202"/>
      <c r="R507" s="1201"/>
      <c r="S507" s="1200"/>
      <c r="T507" s="1200"/>
      <c r="U507" s="1202"/>
      <c r="V507" s="1201"/>
      <c r="W507" s="1200"/>
      <c r="X507" s="1200"/>
    </row>
    <row r="508" spans="15:24">
      <c r="O508" s="1202"/>
      <c r="P508" s="1200"/>
      <c r="Q508" s="1202"/>
      <c r="R508" s="1201"/>
      <c r="S508" s="1200"/>
      <c r="T508" s="1200"/>
      <c r="U508" s="1202"/>
      <c r="V508" s="1201"/>
      <c r="W508" s="1200"/>
      <c r="X508" s="1200"/>
    </row>
    <row r="509" spans="15:24">
      <c r="O509" s="1202"/>
      <c r="P509" s="1200"/>
      <c r="Q509" s="1202"/>
      <c r="R509" s="1201"/>
      <c r="S509" s="1200"/>
      <c r="T509" s="1200"/>
      <c r="U509" s="1202"/>
      <c r="V509" s="1201"/>
      <c r="W509" s="1200"/>
      <c r="X509" s="1200"/>
    </row>
    <row r="510" spans="15:24">
      <c r="O510" s="1202"/>
      <c r="P510" s="1200"/>
      <c r="Q510" s="1202"/>
      <c r="R510" s="1201"/>
      <c r="S510" s="1200"/>
      <c r="T510" s="1200"/>
      <c r="U510" s="1202"/>
      <c r="V510" s="1201"/>
      <c r="W510" s="1200"/>
      <c r="X510" s="1200"/>
    </row>
    <row r="511" spans="15:24">
      <c r="O511" s="1202"/>
      <c r="P511" s="1200"/>
      <c r="Q511" s="1202"/>
      <c r="R511" s="1201"/>
      <c r="S511" s="1200"/>
      <c r="T511" s="1200"/>
      <c r="U511" s="1202"/>
      <c r="V511" s="1201"/>
      <c r="W511" s="1200"/>
      <c r="X511" s="1200"/>
    </row>
    <row r="512" spans="15:24">
      <c r="O512" s="1202"/>
      <c r="P512" s="1200"/>
      <c r="Q512" s="1202"/>
      <c r="R512" s="1201"/>
      <c r="S512" s="1200"/>
      <c r="T512" s="1200"/>
      <c r="U512" s="1202"/>
      <c r="V512" s="1201"/>
      <c r="W512" s="1200"/>
      <c r="X512" s="1200"/>
    </row>
    <row r="513" spans="15:24">
      <c r="O513" s="1202"/>
      <c r="P513" s="1200"/>
      <c r="Q513" s="1202"/>
      <c r="R513" s="1201"/>
      <c r="S513" s="1200"/>
      <c r="T513" s="1200"/>
      <c r="U513" s="1202"/>
      <c r="V513" s="1201"/>
      <c r="W513" s="1200"/>
      <c r="X513" s="1200"/>
    </row>
    <row r="514" spans="15:24">
      <c r="O514" s="1202"/>
      <c r="P514" s="1200"/>
      <c r="Q514" s="1202"/>
      <c r="R514" s="1201"/>
      <c r="S514" s="1200"/>
      <c r="T514" s="1200"/>
      <c r="U514" s="1202"/>
      <c r="V514" s="1201"/>
      <c r="W514" s="1200"/>
      <c r="X514" s="1200"/>
    </row>
    <row r="515" spans="15:24">
      <c r="O515" s="1202"/>
      <c r="P515" s="1200"/>
      <c r="Q515" s="1202"/>
      <c r="R515" s="1201"/>
      <c r="S515" s="1200"/>
      <c r="T515" s="1200"/>
      <c r="U515" s="1202"/>
      <c r="V515" s="1201"/>
      <c r="W515" s="1200"/>
      <c r="X515" s="1200"/>
    </row>
    <row r="516" spans="15:24">
      <c r="O516" s="1202"/>
      <c r="P516" s="1200"/>
      <c r="Q516" s="1202"/>
      <c r="R516" s="1201"/>
      <c r="S516" s="1200"/>
      <c r="T516" s="1200"/>
      <c r="U516" s="1202"/>
      <c r="V516" s="1201"/>
      <c r="W516" s="1200"/>
      <c r="X516" s="1200"/>
    </row>
    <row r="517" spans="15:24">
      <c r="O517" s="1202"/>
      <c r="P517" s="1200"/>
      <c r="Q517" s="1202"/>
      <c r="R517" s="1201"/>
      <c r="S517" s="1200"/>
      <c r="T517" s="1200"/>
      <c r="U517" s="1202"/>
      <c r="V517" s="1201"/>
      <c r="W517" s="1200"/>
      <c r="X517" s="1200"/>
    </row>
    <row r="518" spans="15:24">
      <c r="O518" s="1202"/>
      <c r="P518" s="1200"/>
      <c r="Q518" s="1202"/>
      <c r="R518" s="1201"/>
      <c r="S518" s="1200"/>
      <c r="T518" s="1200"/>
      <c r="U518" s="1202"/>
      <c r="V518" s="1201"/>
      <c r="W518" s="1200"/>
      <c r="X518" s="1200"/>
    </row>
    <row r="519" spans="15:24">
      <c r="O519" s="1202"/>
      <c r="P519" s="1200"/>
      <c r="Q519" s="1202"/>
      <c r="R519" s="1201"/>
      <c r="S519" s="1200"/>
      <c r="T519" s="1200"/>
      <c r="U519" s="1202"/>
      <c r="V519" s="1201"/>
      <c r="W519" s="1200"/>
      <c r="X519" s="1200"/>
    </row>
    <row r="520" spans="15:24">
      <c r="O520" s="1202"/>
      <c r="P520" s="1200"/>
      <c r="Q520" s="1202"/>
      <c r="R520" s="1201"/>
      <c r="S520" s="1200"/>
      <c r="T520" s="1200"/>
      <c r="U520" s="1202"/>
      <c r="V520" s="1201"/>
      <c r="W520" s="1200"/>
      <c r="X520" s="1200"/>
    </row>
    <row r="521" spans="15:24">
      <c r="O521" s="1202"/>
      <c r="P521" s="1200"/>
      <c r="Q521" s="1202"/>
      <c r="R521" s="1201"/>
      <c r="S521" s="1200"/>
      <c r="T521" s="1200"/>
      <c r="U521" s="1202"/>
      <c r="V521" s="1201"/>
      <c r="W521" s="1200"/>
      <c r="X521" s="1200"/>
    </row>
    <row r="522" spans="15:24">
      <c r="O522" s="1202"/>
      <c r="P522" s="1200"/>
      <c r="Q522" s="1202"/>
      <c r="R522" s="1201"/>
      <c r="S522" s="1200"/>
      <c r="T522" s="1200"/>
      <c r="U522" s="1202"/>
      <c r="V522" s="1201"/>
      <c r="W522" s="1200"/>
      <c r="X522" s="1200"/>
    </row>
    <row r="523" spans="15:24">
      <c r="O523" s="1202"/>
      <c r="P523" s="1200"/>
      <c r="Q523" s="1202"/>
      <c r="R523" s="1201"/>
      <c r="S523" s="1200"/>
      <c r="T523" s="1200"/>
      <c r="U523" s="1202"/>
      <c r="V523" s="1201"/>
      <c r="W523" s="1200"/>
      <c r="X523" s="1200"/>
    </row>
    <row r="524" spans="15:24">
      <c r="O524" s="1202"/>
      <c r="P524" s="1200"/>
      <c r="Q524" s="1202"/>
      <c r="R524" s="1201"/>
      <c r="S524" s="1200"/>
      <c r="T524" s="1200"/>
      <c r="U524" s="1202"/>
      <c r="V524" s="1201"/>
      <c r="W524" s="1200"/>
      <c r="X524" s="1200"/>
    </row>
    <row r="525" spans="15:24">
      <c r="O525" s="1202"/>
      <c r="P525" s="1200"/>
      <c r="Q525" s="1202"/>
      <c r="R525" s="1201"/>
      <c r="S525" s="1200"/>
      <c r="T525" s="1200"/>
      <c r="U525" s="1202"/>
      <c r="V525" s="1201"/>
      <c r="W525" s="1200"/>
      <c r="X525" s="1200"/>
    </row>
    <row r="526" spans="15:24">
      <c r="O526" s="1202"/>
      <c r="P526" s="1200"/>
      <c r="Q526" s="1202"/>
      <c r="R526" s="1201"/>
      <c r="S526" s="1200"/>
      <c r="T526" s="1200"/>
      <c r="U526" s="1202"/>
      <c r="V526" s="1201"/>
      <c r="W526" s="1200"/>
      <c r="X526" s="1200"/>
    </row>
    <row r="527" spans="15:24">
      <c r="O527" s="1202"/>
      <c r="P527" s="1200"/>
      <c r="Q527" s="1202"/>
      <c r="R527" s="1201"/>
      <c r="S527" s="1200"/>
      <c r="T527" s="1200"/>
      <c r="U527" s="1202"/>
      <c r="V527" s="1201"/>
      <c r="W527" s="1200"/>
      <c r="X527" s="1200"/>
    </row>
    <row r="528" spans="15:24">
      <c r="O528" s="1202"/>
      <c r="P528" s="1200"/>
      <c r="Q528" s="1202"/>
      <c r="R528" s="1201"/>
      <c r="S528" s="1200"/>
      <c r="T528" s="1200"/>
      <c r="U528" s="1202"/>
      <c r="V528" s="1201"/>
      <c r="W528" s="1200"/>
      <c r="X528" s="1200"/>
    </row>
    <row r="529" spans="15:24">
      <c r="O529" s="1202"/>
      <c r="P529" s="1200"/>
      <c r="Q529" s="1202"/>
      <c r="R529" s="1201"/>
      <c r="S529" s="1200"/>
      <c r="T529" s="1200"/>
      <c r="U529" s="1202"/>
      <c r="V529" s="1201"/>
      <c r="W529" s="1200"/>
      <c r="X529" s="1200"/>
    </row>
    <row r="530" spans="15:24">
      <c r="O530" s="1202"/>
      <c r="P530" s="1200"/>
      <c r="Q530" s="1202"/>
      <c r="R530" s="1201"/>
      <c r="S530" s="1200"/>
      <c r="T530" s="1200"/>
      <c r="U530" s="1202"/>
      <c r="V530" s="1201"/>
      <c r="W530" s="1200"/>
      <c r="X530" s="1200"/>
    </row>
    <row r="531" spans="15:24">
      <c r="O531" s="1202"/>
      <c r="P531" s="1200"/>
      <c r="Q531" s="1202"/>
      <c r="R531" s="1201"/>
      <c r="S531" s="1200"/>
      <c r="T531" s="1200"/>
      <c r="U531" s="1202"/>
      <c r="V531" s="1201"/>
      <c r="W531" s="1200"/>
      <c r="X531" s="1200"/>
    </row>
    <row r="532" spans="15:24">
      <c r="O532" s="1202"/>
      <c r="P532" s="1200"/>
      <c r="Q532" s="1202"/>
      <c r="R532" s="1201"/>
      <c r="S532" s="1200"/>
      <c r="T532" s="1200"/>
      <c r="U532" s="1202"/>
      <c r="V532" s="1201"/>
      <c r="W532" s="1200"/>
      <c r="X532" s="1200"/>
    </row>
    <row r="533" spans="15:24">
      <c r="O533" s="1202"/>
      <c r="P533" s="1200"/>
      <c r="Q533" s="1202"/>
      <c r="R533" s="1201"/>
      <c r="S533" s="1200"/>
      <c r="T533" s="1200"/>
      <c r="U533" s="1202"/>
      <c r="V533" s="1201"/>
      <c r="W533" s="1200"/>
      <c r="X533" s="1200"/>
    </row>
    <row r="534" spans="15:24">
      <c r="O534" s="1202"/>
      <c r="P534" s="1200"/>
      <c r="Q534" s="1202"/>
      <c r="R534" s="1201"/>
      <c r="S534" s="1200"/>
      <c r="T534" s="1200"/>
      <c r="U534" s="1202"/>
      <c r="V534" s="1201"/>
      <c r="W534" s="1200"/>
      <c r="X534" s="1200"/>
    </row>
    <row r="535" spans="15:24">
      <c r="O535" s="1202"/>
      <c r="P535" s="1200"/>
      <c r="Q535" s="1202"/>
      <c r="R535" s="1201"/>
      <c r="S535" s="1200"/>
      <c r="T535" s="1200"/>
      <c r="U535" s="1202"/>
      <c r="V535" s="1201"/>
      <c r="W535" s="1200"/>
      <c r="X535" s="1200"/>
    </row>
    <row r="536" spans="15:24">
      <c r="O536" s="1202"/>
      <c r="P536" s="1200"/>
      <c r="Q536" s="1202"/>
      <c r="R536" s="1201"/>
      <c r="S536" s="1200"/>
      <c r="T536" s="1200"/>
      <c r="U536" s="1202"/>
      <c r="V536" s="1201"/>
      <c r="W536" s="1200"/>
      <c r="X536" s="1200"/>
    </row>
    <row r="537" spans="15:24">
      <c r="O537" s="1202"/>
      <c r="P537" s="1200"/>
      <c r="Q537" s="1202"/>
      <c r="R537" s="1201"/>
      <c r="S537" s="1200"/>
      <c r="T537" s="1200"/>
      <c r="U537" s="1202"/>
      <c r="V537" s="1201"/>
      <c r="W537" s="1200"/>
      <c r="X537" s="1200"/>
    </row>
    <row r="538" spans="15:24">
      <c r="O538" s="1202"/>
      <c r="P538" s="1200"/>
      <c r="Q538" s="1202"/>
      <c r="R538" s="1201"/>
      <c r="S538" s="1200"/>
      <c r="T538" s="1200"/>
      <c r="U538" s="1202"/>
      <c r="V538" s="1201"/>
      <c r="W538" s="1200"/>
      <c r="X538" s="1200"/>
    </row>
    <row r="539" spans="15:24">
      <c r="O539" s="1202"/>
      <c r="P539" s="1200"/>
      <c r="Q539" s="1202"/>
      <c r="R539" s="1201"/>
      <c r="S539" s="1200"/>
      <c r="T539" s="1200"/>
      <c r="U539" s="1202"/>
      <c r="V539" s="1201"/>
      <c r="W539" s="1200"/>
      <c r="X539" s="1200"/>
    </row>
    <row r="540" spans="15:24">
      <c r="O540" s="1202"/>
      <c r="P540" s="1200"/>
      <c r="Q540" s="1202"/>
      <c r="R540" s="1201"/>
      <c r="S540" s="1200"/>
      <c r="T540" s="1200"/>
      <c r="U540" s="1202"/>
      <c r="V540" s="1201"/>
      <c r="W540" s="1200"/>
      <c r="X540" s="1200"/>
    </row>
    <row r="541" spans="15:24">
      <c r="O541" s="1202"/>
      <c r="P541" s="1200"/>
      <c r="Q541" s="1202"/>
      <c r="R541" s="1201"/>
      <c r="S541" s="1200"/>
      <c r="T541" s="1200"/>
      <c r="U541" s="1202"/>
      <c r="V541" s="1201"/>
      <c r="W541" s="1200"/>
      <c r="X541" s="1200"/>
    </row>
    <row r="542" spans="15:24">
      <c r="O542" s="1202"/>
      <c r="P542" s="1200"/>
      <c r="Q542" s="1202"/>
      <c r="R542" s="1201"/>
      <c r="S542" s="1200"/>
      <c r="T542" s="1200"/>
      <c r="U542" s="1202"/>
      <c r="V542" s="1201"/>
      <c r="W542" s="1200"/>
      <c r="X542" s="1200"/>
    </row>
    <row r="543" spans="15:24">
      <c r="O543" s="1202"/>
      <c r="P543" s="1200"/>
      <c r="Q543" s="1202"/>
      <c r="R543" s="1201"/>
      <c r="S543" s="1200"/>
      <c r="T543" s="1200"/>
      <c r="U543" s="1202"/>
      <c r="V543" s="1201"/>
      <c r="W543" s="1200"/>
      <c r="X543" s="1200"/>
    </row>
    <row r="544" spans="15:24">
      <c r="O544" s="1202"/>
      <c r="P544" s="1200"/>
      <c r="Q544" s="1202"/>
      <c r="R544" s="1201"/>
      <c r="S544" s="1200"/>
      <c r="T544" s="1200"/>
      <c r="U544" s="1202"/>
      <c r="V544" s="1201"/>
      <c r="W544" s="1200"/>
      <c r="X544" s="1200"/>
    </row>
    <row r="545" spans="15:24">
      <c r="O545" s="1202"/>
      <c r="P545" s="1200"/>
      <c r="Q545" s="1202"/>
      <c r="R545" s="1201"/>
      <c r="S545" s="1200"/>
      <c r="T545" s="1200"/>
      <c r="U545" s="1202"/>
      <c r="V545" s="1201"/>
      <c r="W545" s="1200"/>
      <c r="X545" s="1200"/>
    </row>
    <row r="546" spans="15:24">
      <c r="O546" s="1202"/>
      <c r="P546" s="1200"/>
      <c r="Q546" s="1202"/>
      <c r="R546" s="1201"/>
      <c r="S546" s="1200"/>
      <c r="T546" s="1200"/>
      <c r="U546" s="1202"/>
      <c r="V546" s="1201"/>
      <c r="W546" s="1200"/>
      <c r="X546" s="1200"/>
    </row>
    <row r="547" spans="15:24">
      <c r="O547" s="1202"/>
      <c r="P547" s="1200"/>
      <c r="Q547" s="1202"/>
      <c r="R547" s="1201"/>
      <c r="S547" s="1200"/>
      <c r="T547" s="1200"/>
      <c r="U547" s="1202"/>
      <c r="V547" s="1201"/>
      <c r="W547" s="1200"/>
      <c r="X547" s="1200"/>
    </row>
    <row r="548" spans="15:24">
      <c r="O548" s="1202"/>
      <c r="P548" s="1200"/>
      <c r="Q548" s="1202"/>
      <c r="R548" s="1201"/>
      <c r="S548" s="1200"/>
      <c r="T548" s="1200"/>
      <c r="U548" s="1202"/>
      <c r="V548" s="1201"/>
      <c r="W548" s="1200"/>
      <c r="X548" s="1200"/>
    </row>
    <row r="549" spans="15:24">
      <c r="O549" s="1202"/>
      <c r="P549" s="1200"/>
      <c r="Q549" s="1202"/>
      <c r="R549" s="1201"/>
      <c r="S549" s="1200"/>
      <c r="T549" s="1200"/>
      <c r="U549" s="1202"/>
      <c r="V549" s="1201"/>
      <c r="W549" s="1200"/>
      <c r="X549" s="1200"/>
    </row>
    <row r="550" spans="15:24">
      <c r="O550" s="1202"/>
      <c r="P550" s="1200"/>
      <c r="Q550" s="1202"/>
      <c r="R550" s="1201"/>
      <c r="S550" s="1200"/>
      <c r="T550" s="1200"/>
      <c r="U550" s="1202"/>
      <c r="V550" s="1201"/>
      <c r="W550" s="1200"/>
      <c r="X550" s="1200"/>
    </row>
    <row r="551" spans="15:24">
      <c r="O551" s="1202"/>
      <c r="P551" s="1200"/>
      <c r="Q551" s="1202"/>
      <c r="R551" s="1201"/>
      <c r="S551" s="1200"/>
      <c r="T551" s="1200"/>
      <c r="U551" s="1202"/>
      <c r="V551" s="1201"/>
      <c r="W551" s="1200"/>
      <c r="X551" s="1200"/>
    </row>
    <row r="552" spans="15:24">
      <c r="O552" s="1202"/>
      <c r="P552" s="1200"/>
      <c r="Q552" s="1202"/>
      <c r="R552" s="1201"/>
      <c r="S552" s="1200"/>
      <c r="T552" s="1200"/>
      <c r="U552" s="1202"/>
      <c r="V552" s="1201"/>
      <c r="W552" s="1200"/>
      <c r="X552" s="1200"/>
    </row>
    <row r="553" spans="15:24">
      <c r="O553" s="1202"/>
      <c r="P553" s="1200"/>
      <c r="Q553" s="1202"/>
      <c r="R553" s="1201"/>
      <c r="S553" s="1200"/>
      <c r="T553" s="1200"/>
      <c r="U553" s="1202"/>
      <c r="V553" s="1201"/>
      <c r="W553" s="1200"/>
      <c r="X553" s="1200"/>
    </row>
    <row r="554" spans="15:24">
      <c r="O554" s="1202"/>
      <c r="P554" s="1200"/>
      <c r="Q554" s="1202"/>
      <c r="R554" s="1201"/>
      <c r="S554" s="1200"/>
      <c r="T554" s="1200"/>
      <c r="U554" s="1202"/>
      <c r="V554" s="1201"/>
      <c r="W554" s="1200"/>
      <c r="X554" s="1200"/>
    </row>
    <row r="555" spans="15:24">
      <c r="O555" s="1202"/>
      <c r="P555" s="1200"/>
      <c r="Q555" s="1202"/>
      <c r="R555" s="1201"/>
      <c r="S555" s="1200"/>
      <c r="T555" s="1200"/>
      <c r="U555" s="1202"/>
      <c r="V555" s="1201"/>
      <c r="W555" s="1200"/>
      <c r="X555" s="1200"/>
    </row>
    <row r="556" spans="15:24">
      <c r="O556" s="1202"/>
      <c r="P556" s="1200"/>
      <c r="Q556" s="1202"/>
      <c r="R556" s="1201"/>
      <c r="S556" s="1200"/>
      <c r="T556" s="1200"/>
      <c r="U556" s="1202"/>
      <c r="V556" s="1201"/>
      <c r="W556" s="1200"/>
      <c r="X556" s="1200"/>
    </row>
    <row r="557" spans="15:24">
      <c r="O557" s="1202"/>
      <c r="P557" s="1200"/>
      <c r="Q557" s="1202"/>
      <c r="R557" s="1201"/>
      <c r="S557" s="1200"/>
      <c r="T557" s="1200"/>
      <c r="U557" s="1202"/>
      <c r="V557" s="1201"/>
      <c r="W557" s="1200"/>
      <c r="X557" s="1200"/>
    </row>
    <row r="558" spans="15:24">
      <c r="O558" s="1202"/>
      <c r="P558" s="1200"/>
      <c r="Q558" s="1202"/>
      <c r="R558" s="1201"/>
      <c r="S558" s="1200"/>
      <c r="T558" s="1200"/>
      <c r="U558" s="1202"/>
      <c r="V558" s="1201"/>
      <c r="W558" s="1200"/>
      <c r="X558" s="1200"/>
    </row>
    <row r="559" spans="15:24">
      <c r="O559" s="1202"/>
      <c r="P559" s="1200"/>
      <c r="Q559" s="1202"/>
      <c r="R559" s="1201"/>
      <c r="S559" s="1200"/>
      <c r="T559" s="1200"/>
      <c r="U559" s="1202"/>
      <c r="V559" s="1201"/>
      <c r="W559" s="1200"/>
      <c r="X559" s="1200"/>
    </row>
    <row r="560" spans="15:24">
      <c r="O560" s="1202"/>
      <c r="P560" s="1200"/>
      <c r="Q560" s="1202"/>
      <c r="R560" s="1201"/>
      <c r="S560" s="1200"/>
      <c r="T560" s="1200"/>
      <c r="U560" s="1202"/>
      <c r="V560" s="1201"/>
      <c r="W560" s="1200"/>
      <c r="X560" s="1200"/>
    </row>
    <row r="561" spans="15:24">
      <c r="O561" s="1202"/>
      <c r="P561" s="1200"/>
      <c r="Q561" s="1202"/>
      <c r="R561" s="1201"/>
      <c r="S561" s="1200"/>
      <c r="T561" s="1200"/>
      <c r="U561" s="1202"/>
      <c r="V561" s="1201"/>
      <c r="W561" s="1200"/>
      <c r="X561" s="1200"/>
    </row>
    <row r="562" spans="15:24">
      <c r="O562" s="1202"/>
      <c r="P562" s="1200"/>
      <c r="Q562" s="1202"/>
      <c r="R562" s="1201"/>
      <c r="S562" s="1200"/>
      <c r="T562" s="1200"/>
      <c r="U562" s="1202"/>
      <c r="V562" s="1201"/>
      <c r="W562" s="1200"/>
      <c r="X562" s="1200"/>
    </row>
    <row r="563" spans="15:24">
      <c r="O563" s="1202"/>
      <c r="P563" s="1200"/>
      <c r="Q563" s="1202"/>
      <c r="R563" s="1201"/>
      <c r="S563" s="1200"/>
      <c r="T563" s="1200"/>
      <c r="U563" s="1202"/>
      <c r="V563" s="1201"/>
      <c r="W563" s="1200"/>
      <c r="X563" s="1200"/>
    </row>
    <row r="564" spans="15:24">
      <c r="O564" s="1202"/>
      <c r="P564" s="1200"/>
      <c r="Q564" s="1202"/>
      <c r="R564" s="1201"/>
      <c r="S564" s="1200"/>
      <c r="T564" s="1200"/>
      <c r="U564" s="1202"/>
      <c r="V564" s="1201"/>
      <c r="W564" s="1200"/>
      <c r="X564" s="1200"/>
    </row>
  </sheetData>
  <sheetProtection algorithmName="SHA-512" hashValue="GhDrKDdQIrEgOO5Itx5A/5Ymlksrqbvn7Gj271BNpu/VxvVg+U2kUdclkuZPCP5cbcTS4G09XqXxgi4nAzKrrA==" saltValue="SU1MnWP/cnXNbg3K2m0zIg==" spinCount="100000" sheet="1" objects="1" scenarios="1" selectLockedCells="1"/>
  <mergeCells count="8">
    <mergeCell ref="S2:T2"/>
    <mergeCell ref="U2:V2"/>
    <mergeCell ref="H2:K2"/>
    <mergeCell ref="E43:F43"/>
    <mergeCell ref="H43:I43"/>
    <mergeCell ref="O2:P2"/>
    <mergeCell ref="E2:G2"/>
    <mergeCell ref="Q2:R2"/>
  </mergeCells>
  <conditionalFormatting sqref="P14">
    <cfRule type="cellIs" dxfId="930" priority="243" operator="equal">
      <formula>"Y"</formula>
    </cfRule>
    <cfRule type="cellIs" dxfId="929" priority="244" operator="equal">
      <formula>"R"</formula>
    </cfRule>
  </conditionalFormatting>
  <conditionalFormatting sqref="O14">
    <cfRule type="cellIs" dxfId="928" priority="239" operator="equal">
      <formula>"Y"</formula>
    </cfRule>
    <cfRule type="cellIs" dxfId="927" priority="240" operator="equal">
      <formula>"R"</formula>
    </cfRule>
  </conditionalFormatting>
  <conditionalFormatting sqref="P36">
    <cfRule type="cellIs" dxfId="926" priority="177" operator="equal">
      <formula>"Y"</formula>
    </cfRule>
    <cfRule type="cellIs" dxfId="925" priority="178" operator="equal">
      <formula>"R"</formula>
    </cfRule>
  </conditionalFormatting>
  <conditionalFormatting sqref="S14">
    <cfRule type="cellIs" dxfId="924" priority="133" operator="equal">
      <formula>"Y"</formula>
    </cfRule>
    <cfRule type="cellIs" dxfId="923" priority="134" operator="equal">
      <formula>"R"</formula>
    </cfRule>
  </conditionalFormatting>
  <conditionalFormatting sqref="V14">
    <cfRule type="cellIs" dxfId="922" priority="131" operator="equal">
      <formula>"Y"</formula>
    </cfRule>
    <cfRule type="cellIs" dxfId="921" priority="132" operator="equal">
      <formula>"R"</formula>
    </cfRule>
  </conditionalFormatting>
  <conditionalFormatting sqref="U14">
    <cfRule type="cellIs" dxfId="920" priority="129" operator="equal">
      <formula>"Y"</formula>
    </cfRule>
    <cfRule type="cellIs" dxfId="919" priority="130" operator="equal">
      <formula>"R"</formula>
    </cfRule>
  </conditionalFormatting>
  <conditionalFormatting sqref="P49">
    <cfRule type="cellIs" dxfId="918" priority="127" operator="equal">
      <formula>"Y"</formula>
    </cfRule>
    <cfRule type="cellIs" dxfId="917" priority="128" operator="equal">
      <formula>"R"</formula>
    </cfRule>
  </conditionalFormatting>
  <conditionalFormatting sqref="R49">
    <cfRule type="cellIs" dxfId="916" priority="125" operator="equal">
      <formula>"Y"</formula>
    </cfRule>
    <cfRule type="cellIs" dxfId="915" priority="126" operator="equal">
      <formula>"R"</formula>
    </cfRule>
  </conditionalFormatting>
  <conditionalFormatting sqref="T49">
    <cfRule type="cellIs" dxfId="914" priority="123" operator="equal">
      <formula>"Y"</formula>
    </cfRule>
    <cfRule type="cellIs" dxfId="913" priority="124" operator="equal">
      <formula>"R"</formula>
    </cfRule>
  </conditionalFormatting>
  <conditionalFormatting sqref="U49">
    <cfRule type="cellIs" dxfId="912" priority="121" operator="equal">
      <formula>"Y"</formula>
    </cfRule>
    <cfRule type="cellIs" dxfId="911" priority="122" operator="equal">
      <formula>"R"</formula>
    </cfRule>
  </conditionalFormatting>
  <conditionalFormatting sqref="V49">
    <cfRule type="cellIs" dxfId="910" priority="119" operator="equal">
      <formula>"Y"</formula>
    </cfRule>
    <cfRule type="cellIs" dxfId="909" priority="120" operator="equal">
      <formula>"R"</formula>
    </cfRule>
  </conditionalFormatting>
  <conditionalFormatting sqref="P65">
    <cfRule type="cellIs" dxfId="908" priority="95" operator="equal">
      <formula>"Y"</formula>
    </cfRule>
    <cfRule type="cellIs" dxfId="907" priority="96" operator="equal">
      <formula>"R"</formula>
    </cfRule>
  </conditionalFormatting>
  <conditionalFormatting sqref="R65">
    <cfRule type="cellIs" dxfId="906" priority="93" operator="equal">
      <formula>"Y"</formula>
    </cfRule>
    <cfRule type="cellIs" dxfId="905" priority="94" operator="equal">
      <formula>"R"</formula>
    </cfRule>
  </conditionalFormatting>
  <conditionalFormatting sqref="T65">
    <cfRule type="cellIs" dxfId="904" priority="91" operator="equal">
      <formula>"Y"</formula>
    </cfRule>
    <cfRule type="cellIs" dxfId="903" priority="92" operator="equal">
      <formula>"R"</formula>
    </cfRule>
  </conditionalFormatting>
  <conditionalFormatting sqref="U65">
    <cfRule type="cellIs" dxfId="902" priority="89" operator="equal">
      <formula>"Y"</formula>
    </cfRule>
    <cfRule type="cellIs" dxfId="901" priority="90" operator="equal">
      <formula>"R"</formula>
    </cfRule>
  </conditionalFormatting>
  <conditionalFormatting sqref="V65">
    <cfRule type="cellIs" dxfId="900" priority="87" operator="equal">
      <formula>"Y"</formula>
    </cfRule>
    <cfRule type="cellIs" dxfId="899" priority="88" operator="equal">
      <formula>"R"</formula>
    </cfRule>
  </conditionalFormatting>
  <conditionalFormatting sqref="S65">
    <cfRule type="cellIs" dxfId="898" priority="85" operator="equal">
      <formula>"Y"</formula>
    </cfRule>
    <cfRule type="cellIs" dxfId="897" priority="86" operator="equal">
      <formula>"R"</formula>
    </cfRule>
  </conditionalFormatting>
  <conditionalFormatting sqref="Q65">
    <cfRule type="cellIs" dxfId="896" priority="83" operator="equal">
      <formula>"Y"</formula>
    </cfRule>
    <cfRule type="cellIs" dxfId="895" priority="84" operator="equal">
      <formula>"R"</formula>
    </cfRule>
  </conditionalFormatting>
  <conditionalFormatting sqref="O65">
    <cfRule type="cellIs" dxfId="894" priority="81" operator="equal">
      <formula>"Y"</formula>
    </cfRule>
    <cfRule type="cellIs" dxfId="893" priority="82" operator="equal">
      <formula>"R"</formula>
    </cfRule>
  </conditionalFormatting>
  <conditionalFormatting sqref="O57">
    <cfRule type="cellIs" dxfId="892" priority="97" operator="equal">
      <formula>"Y"</formula>
    </cfRule>
    <cfRule type="cellIs" dxfId="891" priority="98" operator="equal">
      <formula>"R"</formula>
    </cfRule>
  </conditionalFormatting>
  <conditionalFormatting sqref="R36">
    <cfRule type="cellIs" dxfId="890" priority="171" operator="equal">
      <formula>"Y"</formula>
    </cfRule>
    <cfRule type="cellIs" dxfId="889" priority="172" operator="equal">
      <formula>"R"</formula>
    </cfRule>
  </conditionalFormatting>
  <conditionalFormatting sqref="T36">
    <cfRule type="cellIs" dxfId="888" priority="167" operator="equal">
      <formula>"Y"</formula>
    </cfRule>
    <cfRule type="cellIs" dxfId="887" priority="168" operator="equal">
      <formula>"R"</formula>
    </cfRule>
  </conditionalFormatting>
  <conditionalFormatting sqref="U36">
    <cfRule type="cellIs" dxfId="886" priority="165" operator="equal">
      <formula>"Y"</formula>
    </cfRule>
    <cfRule type="cellIs" dxfId="885" priority="166" operator="equal">
      <formula>"R"</formula>
    </cfRule>
  </conditionalFormatting>
  <conditionalFormatting sqref="V36">
    <cfRule type="cellIs" dxfId="884" priority="163" operator="equal">
      <formula>"Y"</formula>
    </cfRule>
    <cfRule type="cellIs" dxfId="883" priority="164" operator="equal">
      <formula>"R"</formula>
    </cfRule>
  </conditionalFormatting>
  <conditionalFormatting sqref="S36">
    <cfRule type="cellIs" dxfId="882" priority="161" operator="equal">
      <formula>"Y"</formula>
    </cfRule>
    <cfRule type="cellIs" dxfId="881" priority="162" operator="equal">
      <formula>"R"</formula>
    </cfRule>
  </conditionalFormatting>
  <conditionalFormatting sqref="Q36">
    <cfRule type="cellIs" dxfId="880" priority="159" operator="equal">
      <formula>"Y"</formula>
    </cfRule>
    <cfRule type="cellIs" dxfId="879" priority="160" operator="equal">
      <formula>"R"</formula>
    </cfRule>
  </conditionalFormatting>
  <conditionalFormatting sqref="O36">
    <cfRule type="cellIs" dxfId="878" priority="157" operator="equal">
      <formula>"Y"</formula>
    </cfRule>
    <cfRule type="cellIs" dxfId="877" priority="158" operator="equal">
      <formula>"R"</formula>
    </cfRule>
  </conditionalFormatting>
  <conditionalFormatting sqref="P24">
    <cfRule type="cellIs" dxfId="876" priority="155" operator="equal">
      <formula>"Y"</formula>
    </cfRule>
    <cfRule type="cellIs" dxfId="875" priority="156" operator="equal">
      <formula>"R"</formula>
    </cfRule>
  </conditionalFormatting>
  <conditionalFormatting sqref="R24">
    <cfRule type="cellIs" dxfId="874" priority="153" operator="equal">
      <formula>"Y"</formula>
    </cfRule>
    <cfRule type="cellIs" dxfId="873" priority="154" operator="equal">
      <formula>"R"</formula>
    </cfRule>
  </conditionalFormatting>
  <conditionalFormatting sqref="T24">
    <cfRule type="cellIs" dxfId="872" priority="151" operator="equal">
      <formula>"Y"</formula>
    </cfRule>
    <cfRule type="cellIs" dxfId="871" priority="152" operator="equal">
      <formula>"R"</formula>
    </cfRule>
  </conditionalFormatting>
  <conditionalFormatting sqref="U24">
    <cfRule type="cellIs" dxfId="870" priority="149" operator="equal">
      <formula>"Y"</formula>
    </cfRule>
    <cfRule type="cellIs" dxfId="869" priority="150" operator="equal">
      <formula>"R"</formula>
    </cfRule>
  </conditionalFormatting>
  <conditionalFormatting sqref="V24">
    <cfRule type="cellIs" dxfId="868" priority="147" operator="equal">
      <formula>"Y"</formula>
    </cfRule>
    <cfRule type="cellIs" dxfId="867" priority="148" operator="equal">
      <formula>"R"</formula>
    </cfRule>
  </conditionalFormatting>
  <conditionalFormatting sqref="S24">
    <cfRule type="cellIs" dxfId="866" priority="145" operator="equal">
      <formula>"Y"</formula>
    </cfRule>
    <cfRule type="cellIs" dxfId="865" priority="146" operator="equal">
      <formula>"R"</formula>
    </cfRule>
  </conditionalFormatting>
  <conditionalFormatting sqref="Q24">
    <cfRule type="cellIs" dxfId="864" priority="143" operator="equal">
      <formula>"Y"</formula>
    </cfRule>
    <cfRule type="cellIs" dxfId="863" priority="144" operator="equal">
      <formula>"R"</formula>
    </cfRule>
  </conditionalFormatting>
  <conditionalFormatting sqref="O24">
    <cfRule type="cellIs" dxfId="862" priority="141" operator="equal">
      <formula>"Y"</formula>
    </cfRule>
    <cfRule type="cellIs" dxfId="861" priority="142" operator="equal">
      <formula>"R"</formula>
    </cfRule>
  </conditionalFormatting>
  <conditionalFormatting sqref="R14">
    <cfRule type="cellIs" dxfId="860" priority="139" operator="equal">
      <formula>"Y"</formula>
    </cfRule>
    <cfRule type="cellIs" dxfId="859" priority="140" operator="equal">
      <formula>"R"</formula>
    </cfRule>
  </conditionalFormatting>
  <conditionalFormatting sqref="Q14">
    <cfRule type="cellIs" dxfId="858" priority="137" operator="equal">
      <formula>"Y"</formula>
    </cfRule>
    <cfRule type="cellIs" dxfId="857" priority="138" operator="equal">
      <formula>"R"</formula>
    </cfRule>
  </conditionalFormatting>
  <conditionalFormatting sqref="T14">
    <cfRule type="cellIs" dxfId="856" priority="135" operator="equal">
      <formula>"Y"</formula>
    </cfRule>
    <cfRule type="cellIs" dxfId="855" priority="136" operator="equal">
      <formula>"R"</formula>
    </cfRule>
  </conditionalFormatting>
  <conditionalFormatting sqref="S49">
    <cfRule type="cellIs" dxfId="854" priority="117" operator="equal">
      <formula>"Y"</formula>
    </cfRule>
    <cfRule type="cellIs" dxfId="853" priority="118" operator="equal">
      <formula>"R"</formula>
    </cfRule>
  </conditionalFormatting>
  <conditionalFormatting sqref="Q49">
    <cfRule type="cellIs" dxfId="852" priority="115" operator="equal">
      <formula>"Y"</formula>
    </cfRule>
    <cfRule type="cellIs" dxfId="851" priority="116" operator="equal">
      <formula>"R"</formula>
    </cfRule>
  </conditionalFormatting>
  <conditionalFormatting sqref="O49">
    <cfRule type="cellIs" dxfId="850" priority="113" operator="equal">
      <formula>"Y"</formula>
    </cfRule>
    <cfRule type="cellIs" dxfId="849" priority="114" operator="equal">
      <formula>"R"</formula>
    </cfRule>
  </conditionalFormatting>
  <conditionalFormatting sqref="P57">
    <cfRule type="cellIs" dxfId="848" priority="111" operator="equal">
      <formula>"Y"</formula>
    </cfRule>
    <cfRule type="cellIs" dxfId="847" priority="112" operator="equal">
      <formula>"R"</formula>
    </cfRule>
  </conditionalFormatting>
  <conditionalFormatting sqref="R57">
    <cfRule type="cellIs" dxfId="846" priority="109" operator="equal">
      <formula>"Y"</formula>
    </cfRule>
    <cfRule type="cellIs" dxfId="845" priority="110" operator="equal">
      <formula>"R"</formula>
    </cfRule>
  </conditionalFormatting>
  <conditionalFormatting sqref="T57">
    <cfRule type="cellIs" dxfId="844" priority="107" operator="equal">
      <formula>"Y"</formula>
    </cfRule>
    <cfRule type="cellIs" dxfId="843" priority="108" operator="equal">
      <formula>"R"</formula>
    </cfRule>
  </conditionalFormatting>
  <conditionalFormatting sqref="U57">
    <cfRule type="cellIs" dxfId="842" priority="105" operator="equal">
      <formula>"Y"</formula>
    </cfRule>
    <cfRule type="cellIs" dxfId="841" priority="106" operator="equal">
      <formula>"R"</formula>
    </cfRule>
  </conditionalFormatting>
  <conditionalFormatting sqref="V57">
    <cfRule type="cellIs" dxfId="840" priority="103" operator="equal">
      <formula>"Y"</formula>
    </cfRule>
    <cfRule type="cellIs" dxfId="839" priority="104" operator="equal">
      <formula>"R"</formula>
    </cfRule>
  </conditionalFormatting>
  <conditionalFormatting sqref="S57">
    <cfRule type="cellIs" dxfId="838" priority="101" operator="equal">
      <formula>"Y"</formula>
    </cfRule>
    <cfRule type="cellIs" dxfId="837" priority="102" operator="equal">
      <formula>"R"</formula>
    </cfRule>
  </conditionalFormatting>
  <conditionalFormatting sqref="Q57">
    <cfRule type="cellIs" dxfId="836" priority="99" operator="equal">
      <formula>"Y"</formula>
    </cfRule>
    <cfRule type="cellIs" dxfId="835" priority="100" operator="equal">
      <formula>"R"</formula>
    </cfRule>
  </conditionalFormatting>
  <conditionalFormatting sqref="P74">
    <cfRule type="cellIs" dxfId="834" priority="63" operator="equal">
      <formula>"Y"</formula>
    </cfRule>
    <cfRule type="cellIs" dxfId="833" priority="64" operator="equal">
      <formula>"R"</formula>
    </cfRule>
  </conditionalFormatting>
  <conditionalFormatting sqref="R74">
    <cfRule type="cellIs" dxfId="832" priority="61" operator="equal">
      <formula>"Y"</formula>
    </cfRule>
    <cfRule type="cellIs" dxfId="831" priority="62" operator="equal">
      <formula>"R"</formula>
    </cfRule>
  </conditionalFormatting>
  <conditionalFormatting sqref="T74">
    <cfRule type="cellIs" dxfId="830" priority="59" operator="equal">
      <formula>"Y"</formula>
    </cfRule>
    <cfRule type="cellIs" dxfId="829" priority="60" operator="equal">
      <formula>"R"</formula>
    </cfRule>
  </conditionalFormatting>
  <conditionalFormatting sqref="U74">
    <cfRule type="cellIs" dxfId="828" priority="57" operator="equal">
      <formula>"Y"</formula>
    </cfRule>
    <cfRule type="cellIs" dxfId="827" priority="58" operator="equal">
      <formula>"R"</formula>
    </cfRule>
  </conditionalFormatting>
  <conditionalFormatting sqref="V74">
    <cfRule type="cellIs" dxfId="826" priority="55" operator="equal">
      <formula>"Y"</formula>
    </cfRule>
    <cfRule type="cellIs" dxfId="825" priority="56" operator="equal">
      <formula>"R"</formula>
    </cfRule>
  </conditionalFormatting>
  <conditionalFormatting sqref="S74">
    <cfRule type="cellIs" dxfId="824" priority="53" operator="equal">
      <formula>"Y"</formula>
    </cfRule>
    <cfRule type="cellIs" dxfId="823" priority="54" operator="equal">
      <formula>"R"</formula>
    </cfRule>
  </conditionalFormatting>
  <conditionalFormatting sqref="Q74">
    <cfRule type="cellIs" dxfId="822" priority="51" operator="equal">
      <formula>"Y"</formula>
    </cfRule>
    <cfRule type="cellIs" dxfId="821" priority="52" operator="equal">
      <formula>"R"</formula>
    </cfRule>
  </conditionalFormatting>
  <conditionalFormatting sqref="O74">
    <cfRule type="cellIs" dxfId="820" priority="49" operator="equal">
      <formula>"Y"</formula>
    </cfRule>
    <cfRule type="cellIs" dxfId="819" priority="50" operator="equal">
      <formula>"R"</formula>
    </cfRule>
  </conditionalFormatting>
  <conditionalFormatting sqref="P82">
    <cfRule type="cellIs" dxfId="818" priority="31" operator="equal">
      <formula>"Y"</formula>
    </cfRule>
    <cfRule type="cellIs" dxfId="817" priority="32" operator="equal">
      <formula>"R"</formula>
    </cfRule>
  </conditionalFormatting>
  <conditionalFormatting sqref="R82">
    <cfRule type="cellIs" dxfId="816" priority="29" operator="equal">
      <formula>"Y"</formula>
    </cfRule>
    <cfRule type="cellIs" dxfId="815" priority="30" operator="equal">
      <formula>"R"</formula>
    </cfRule>
  </conditionalFormatting>
  <conditionalFormatting sqref="T82">
    <cfRule type="cellIs" dxfId="814" priority="27" operator="equal">
      <formula>"Y"</formula>
    </cfRule>
    <cfRule type="cellIs" dxfId="813" priority="28" operator="equal">
      <formula>"R"</formula>
    </cfRule>
  </conditionalFormatting>
  <conditionalFormatting sqref="U82">
    <cfRule type="cellIs" dxfId="812" priority="25" operator="equal">
      <formula>"Y"</formula>
    </cfRule>
    <cfRule type="cellIs" dxfId="811" priority="26" operator="equal">
      <formula>"R"</formula>
    </cfRule>
  </conditionalFormatting>
  <conditionalFormatting sqref="V82">
    <cfRule type="cellIs" dxfId="810" priority="23" operator="equal">
      <formula>"Y"</formula>
    </cfRule>
    <cfRule type="cellIs" dxfId="809" priority="24" operator="equal">
      <formula>"R"</formula>
    </cfRule>
  </conditionalFormatting>
  <conditionalFormatting sqref="S82">
    <cfRule type="cellIs" dxfId="808" priority="21" operator="equal">
      <formula>"Y"</formula>
    </cfRule>
    <cfRule type="cellIs" dxfId="807" priority="22" operator="equal">
      <formula>"R"</formula>
    </cfRule>
  </conditionalFormatting>
  <conditionalFormatting sqref="Q82">
    <cfRule type="cellIs" dxfId="806" priority="19" operator="equal">
      <formula>"Y"</formula>
    </cfRule>
    <cfRule type="cellIs" dxfId="805" priority="20" operator="equal">
      <formula>"R"</formula>
    </cfRule>
  </conditionalFormatting>
  <conditionalFormatting sqref="O82">
    <cfRule type="cellIs" dxfId="804" priority="17" operator="equal">
      <formula>"Y"</formula>
    </cfRule>
    <cfRule type="cellIs" dxfId="803" priority="18" operator="equal">
      <formula>"R"</formula>
    </cfRule>
  </conditionalFormatting>
  <conditionalFormatting sqref="P93">
    <cfRule type="cellIs" dxfId="802" priority="15" operator="equal">
      <formula>"Y"</formula>
    </cfRule>
    <cfRule type="cellIs" dxfId="801" priority="16" operator="equal">
      <formula>"R"</formula>
    </cfRule>
  </conditionalFormatting>
  <conditionalFormatting sqref="R93">
    <cfRule type="cellIs" dxfId="800" priority="13" operator="equal">
      <formula>"Y"</formula>
    </cfRule>
    <cfRule type="cellIs" dxfId="799" priority="14" operator="equal">
      <formula>"R"</formula>
    </cfRule>
  </conditionalFormatting>
  <conditionalFormatting sqref="T93">
    <cfRule type="cellIs" dxfId="798" priority="11" operator="equal">
      <formula>"Y"</formula>
    </cfRule>
    <cfRule type="cellIs" dxfId="797" priority="12" operator="equal">
      <formula>"R"</formula>
    </cfRule>
  </conditionalFormatting>
  <conditionalFormatting sqref="U93">
    <cfRule type="cellIs" dxfId="796" priority="9" operator="equal">
      <formula>"Y"</formula>
    </cfRule>
    <cfRule type="cellIs" dxfId="795" priority="10" operator="equal">
      <formula>"R"</formula>
    </cfRule>
  </conditionalFormatting>
  <conditionalFormatting sqref="V93">
    <cfRule type="cellIs" dxfId="794" priority="7" operator="equal">
      <formula>"Y"</formula>
    </cfRule>
    <cfRule type="cellIs" dxfId="793" priority="8" operator="equal">
      <formula>"R"</formula>
    </cfRule>
  </conditionalFormatting>
  <conditionalFormatting sqref="S93">
    <cfRule type="cellIs" dxfId="792" priority="5" operator="equal">
      <formula>"Y"</formula>
    </cfRule>
    <cfRule type="cellIs" dxfId="791" priority="6" operator="equal">
      <formula>"R"</formula>
    </cfRule>
  </conditionalFormatting>
  <conditionalFormatting sqref="Q93">
    <cfRule type="cellIs" dxfId="790" priority="3" operator="equal">
      <formula>"Y"</formula>
    </cfRule>
    <cfRule type="cellIs" dxfId="789" priority="4" operator="equal">
      <formula>"R"</formula>
    </cfRule>
  </conditionalFormatting>
  <conditionalFormatting sqref="O93">
    <cfRule type="cellIs" dxfId="788" priority="1" operator="equal">
      <formula>"Y"</formula>
    </cfRule>
    <cfRule type="cellIs" dxfId="787" priority="2" operator="equal">
      <formula>"R"</formula>
    </cfRule>
  </conditionalFormatting>
  <pageMargins left="0.2" right="0.2" top="0.75" bottom="0.75" header="0.3" footer="0.3"/>
  <pageSetup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V377"/>
  <sheetViews>
    <sheetView topLeftCell="A7" workbookViewId="0">
      <selection activeCell="J9" sqref="J9"/>
    </sheetView>
  </sheetViews>
  <sheetFormatPr defaultColWidth="9" defaultRowHeight="15.5"/>
  <cols>
    <col min="1" max="1" width="11.54296875" style="24" customWidth="1"/>
    <col min="2" max="3" width="5.54296875" style="30" customWidth="1"/>
    <col min="4" max="7" width="5.54296875" style="31" customWidth="1"/>
    <col min="8" max="9" width="5.54296875" style="944" customWidth="1"/>
    <col min="10" max="11" width="4" style="945" customWidth="1"/>
    <col min="12" max="47" width="4" style="946" customWidth="1"/>
    <col min="48" max="16384" width="9" style="29"/>
  </cols>
  <sheetData>
    <row r="2" spans="1:48" s="25" customFormat="1" ht="18.5">
      <c r="A2" s="24"/>
      <c r="B2" s="3621" t="s">
        <v>2578</v>
      </c>
      <c r="C2" s="3622"/>
      <c r="D2" s="3623" t="s">
        <v>397</v>
      </c>
      <c r="E2" s="3624"/>
      <c r="F2" s="3623" t="s">
        <v>2579</v>
      </c>
      <c r="G2" s="3624"/>
      <c r="H2" s="947"/>
      <c r="I2" s="947"/>
      <c r="J2" s="947"/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  <c r="AN2" s="947"/>
      <c r="AO2" s="947"/>
      <c r="AP2" s="947"/>
      <c r="AQ2" s="947"/>
      <c r="AR2" s="947"/>
      <c r="AS2" s="947"/>
      <c r="AT2" s="947"/>
      <c r="AU2" s="947"/>
    </row>
    <row r="3" spans="1:48" s="28" customFormat="1">
      <c r="A3" s="1946"/>
      <c r="B3" s="26" t="s">
        <v>2580</v>
      </c>
      <c r="C3" s="1947" t="s">
        <v>2581</v>
      </c>
      <c r="D3" s="27" t="s">
        <v>2580</v>
      </c>
      <c r="E3" s="948" t="s">
        <v>2581</v>
      </c>
      <c r="F3" s="27" t="s">
        <v>2580</v>
      </c>
      <c r="G3" s="948" t="s">
        <v>2581</v>
      </c>
      <c r="H3" s="941"/>
      <c r="I3" s="941"/>
      <c r="J3" s="942"/>
      <c r="K3" s="942"/>
      <c r="L3" s="942"/>
      <c r="M3" s="942"/>
      <c r="N3" s="942"/>
      <c r="O3" s="942"/>
      <c r="P3" s="942"/>
      <c r="Q3" s="942"/>
      <c r="R3" s="942"/>
      <c r="S3" s="942"/>
      <c r="T3" s="942"/>
      <c r="U3" s="942"/>
      <c r="V3" s="942"/>
      <c r="W3" s="942"/>
      <c r="X3" s="942"/>
      <c r="Y3" s="942"/>
      <c r="Z3" s="942"/>
      <c r="AA3" s="942"/>
      <c r="AB3" s="942"/>
      <c r="AC3" s="942"/>
      <c r="AD3" s="942"/>
      <c r="AE3" s="942"/>
      <c r="AF3" s="942"/>
      <c r="AG3" s="942"/>
      <c r="AH3" s="942"/>
      <c r="AI3" s="942"/>
      <c r="AJ3" s="942"/>
      <c r="AK3" s="942"/>
      <c r="AL3" s="942"/>
      <c r="AM3" s="942"/>
      <c r="AN3" s="942"/>
      <c r="AO3" s="942"/>
      <c r="AP3" s="942"/>
      <c r="AQ3" s="942"/>
      <c r="AR3" s="942"/>
      <c r="AS3" s="942"/>
      <c r="AT3" s="942"/>
      <c r="AU3" s="942"/>
    </row>
    <row r="4" spans="1:48">
      <c r="A4" s="1032">
        <f>("1/1/"&amp;YEAR(Worksheet!Q6))*1</f>
        <v>44562</v>
      </c>
      <c r="B4" s="356">
        <v>43.540106773440101</v>
      </c>
      <c r="C4" s="357">
        <v>28.052229080932786</v>
      </c>
      <c r="D4" s="358">
        <v>44.45945945945946</v>
      </c>
      <c r="E4" s="359">
        <v>26.666666666666668</v>
      </c>
      <c r="F4" s="375">
        <v>68</v>
      </c>
      <c r="G4" s="949">
        <v>-1</v>
      </c>
      <c r="H4" s="376"/>
      <c r="I4" s="376"/>
      <c r="J4" s="376"/>
      <c r="K4" s="376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78"/>
    </row>
    <row r="5" spans="1:48">
      <c r="A5" s="24">
        <f>A4+1</f>
        <v>44563</v>
      </c>
      <c r="B5" s="356">
        <v>43.354921588254918</v>
      </c>
      <c r="C5" s="357">
        <v>27.90168038408779</v>
      </c>
      <c r="D5" s="358">
        <v>42.45945945945946</v>
      </c>
      <c r="E5" s="359">
        <v>28.777777777777779</v>
      </c>
      <c r="F5" s="375">
        <v>70</v>
      </c>
      <c r="G5" s="949">
        <v>-3</v>
      </c>
      <c r="H5" s="376"/>
      <c r="I5" s="376"/>
      <c r="J5" s="376"/>
      <c r="K5" s="376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78"/>
    </row>
    <row r="6" spans="1:48">
      <c r="A6" s="24">
        <f t="shared" ref="A6:A69" si="0">A5+1</f>
        <v>44564</v>
      </c>
      <c r="B6" s="356">
        <v>43.197097097097092</v>
      </c>
      <c r="C6" s="357">
        <v>27.720610425240054</v>
      </c>
      <c r="D6" s="358">
        <v>43.270270270270274</v>
      </c>
      <c r="E6" s="359">
        <v>28.972222222222221</v>
      </c>
      <c r="F6" s="375">
        <v>69</v>
      </c>
      <c r="G6" s="949">
        <v>-3</v>
      </c>
      <c r="H6" s="376"/>
      <c r="I6" s="376"/>
      <c r="J6" s="376"/>
      <c r="K6" s="376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78"/>
    </row>
    <row r="7" spans="1:48">
      <c r="A7" s="24">
        <f t="shared" si="0"/>
        <v>44565</v>
      </c>
      <c r="B7" s="356">
        <v>43.005315315315315</v>
      </c>
      <c r="C7" s="357">
        <v>27.413055555555559</v>
      </c>
      <c r="D7" s="358">
        <v>44.756756756756758</v>
      </c>
      <c r="E7" s="359">
        <v>27.388888888888889</v>
      </c>
      <c r="F7" s="375">
        <v>68</v>
      </c>
      <c r="G7" s="949">
        <v>1</v>
      </c>
      <c r="H7" s="376"/>
      <c r="I7" s="376"/>
      <c r="J7" s="376"/>
      <c r="K7" s="376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78"/>
    </row>
    <row r="8" spans="1:48">
      <c r="A8" s="24">
        <f t="shared" si="0"/>
        <v>44566</v>
      </c>
      <c r="B8" s="356">
        <v>42.841741741741743</v>
      </c>
      <c r="C8" s="357">
        <v>27.246330589849109</v>
      </c>
      <c r="D8" s="358">
        <v>40.837837837837839</v>
      </c>
      <c r="E8" s="359">
        <v>26.083333333333332</v>
      </c>
      <c r="F8" s="375">
        <v>66</v>
      </c>
      <c r="G8" s="949">
        <v>-8</v>
      </c>
      <c r="H8" s="376"/>
      <c r="I8" s="376"/>
      <c r="J8" s="376"/>
      <c r="K8" s="376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78"/>
    </row>
    <row r="9" spans="1:48">
      <c r="A9" s="24">
        <f t="shared" si="0"/>
        <v>44567</v>
      </c>
      <c r="B9" s="356">
        <v>42.715615615615626</v>
      </c>
      <c r="C9" s="357">
        <v>27.021707818930039</v>
      </c>
      <c r="D9" s="358">
        <v>41.648648648648646</v>
      </c>
      <c r="E9" s="359">
        <v>26.027777777777779</v>
      </c>
      <c r="F9" s="375">
        <v>72</v>
      </c>
      <c r="G9" s="949">
        <v>-12</v>
      </c>
      <c r="H9" s="376"/>
      <c r="I9" s="376"/>
      <c r="J9" s="376"/>
      <c r="K9" s="376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78"/>
    </row>
    <row r="10" spans="1:48">
      <c r="A10" s="24">
        <f t="shared" si="0"/>
        <v>44568</v>
      </c>
      <c r="B10" s="356">
        <v>42.635201868535205</v>
      </c>
      <c r="C10" s="357">
        <v>26.827263374485593</v>
      </c>
      <c r="D10" s="358">
        <v>40.729729729729726</v>
      </c>
      <c r="E10" s="359">
        <v>25.388888888888889</v>
      </c>
      <c r="F10" s="375">
        <v>70</v>
      </c>
      <c r="G10" s="949">
        <v>-4</v>
      </c>
      <c r="H10" s="376"/>
      <c r="I10" s="376"/>
      <c r="J10" s="376"/>
      <c r="K10" s="376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78"/>
    </row>
    <row r="11" spans="1:48">
      <c r="A11" s="24">
        <f t="shared" si="0"/>
        <v>44569</v>
      </c>
      <c r="B11" s="356">
        <v>42.614848181514851</v>
      </c>
      <c r="C11" s="357">
        <v>26.69557613168724</v>
      </c>
      <c r="D11" s="358">
        <v>40.972972972972975</v>
      </c>
      <c r="E11" s="359">
        <v>25.083333333333332</v>
      </c>
      <c r="F11" s="375">
        <v>68</v>
      </c>
      <c r="G11" s="949">
        <v>-12</v>
      </c>
      <c r="H11" s="376"/>
      <c r="I11" s="376"/>
      <c r="J11" s="376"/>
      <c r="K11" s="376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78"/>
    </row>
    <row r="12" spans="1:48">
      <c r="A12" s="24">
        <f t="shared" si="0"/>
        <v>44570</v>
      </c>
      <c r="B12" s="356">
        <v>42.669002335668999</v>
      </c>
      <c r="C12" s="357">
        <v>26.648834019204386</v>
      </c>
      <c r="D12" s="358">
        <v>41.783783783783782</v>
      </c>
      <c r="E12" s="359">
        <v>26.444444444444443</v>
      </c>
      <c r="F12" s="375">
        <v>66</v>
      </c>
      <c r="G12" s="949">
        <v>-3</v>
      </c>
      <c r="H12" s="376"/>
      <c r="I12" s="376"/>
      <c r="J12" s="376"/>
      <c r="K12" s="376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78"/>
    </row>
    <row r="13" spans="1:48">
      <c r="A13" s="24">
        <f t="shared" si="0"/>
        <v>44571</v>
      </c>
      <c r="B13" s="356">
        <v>42.723056389723055</v>
      </c>
      <c r="C13" s="357">
        <v>26.621056241426611</v>
      </c>
      <c r="D13" s="358">
        <v>43.297297297297298</v>
      </c>
      <c r="E13" s="359">
        <v>25.944444444444443</v>
      </c>
      <c r="F13" s="375">
        <v>66</v>
      </c>
      <c r="G13" s="949">
        <v>-7</v>
      </c>
      <c r="H13" s="376"/>
      <c r="I13" s="376"/>
      <c r="J13" s="376"/>
      <c r="K13" s="376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78"/>
    </row>
    <row r="14" spans="1:48">
      <c r="A14" s="24">
        <f t="shared" si="0"/>
        <v>44572</v>
      </c>
      <c r="B14" s="356">
        <v>42.753420086753422</v>
      </c>
      <c r="C14" s="357">
        <v>26.56893004115226</v>
      </c>
      <c r="D14" s="358">
        <v>44.621621621621621</v>
      </c>
      <c r="E14" s="359">
        <v>28.5</v>
      </c>
      <c r="F14" s="375">
        <v>67</v>
      </c>
      <c r="G14" s="949">
        <v>-9</v>
      </c>
      <c r="H14" s="376"/>
      <c r="I14" s="376"/>
      <c r="J14" s="376"/>
      <c r="K14" s="376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78"/>
    </row>
    <row r="15" spans="1:48">
      <c r="A15" s="24">
        <f t="shared" si="0"/>
        <v>44573</v>
      </c>
      <c r="B15" s="356">
        <v>42.696363029696357</v>
      </c>
      <c r="C15" s="357">
        <v>26.47153635116598</v>
      </c>
      <c r="D15" s="358">
        <v>46.405405405405403</v>
      </c>
      <c r="E15" s="359">
        <v>30.25</v>
      </c>
      <c r="F15" s="375">
        <v>68</v>
      </c>
      <c r="G15" s="949">
        <v>-1</v>
      </c>
      <c r="H15" s="376"/>
      <c r="I15" s="376"/>
      <c r="J15" s="376"/>
      <c r="K15" s="376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78"/>
    </row>
    <row r="16" spans="1:48">
      <c r="A16" s="24">
        <f t="shared" si="0"/>
        <v>44574</v>
      </c>
      <c r="B16" s="356">
        <v>42.527193860527198</v>
      </c>
      <c r="C16" s="357">
        <v>26.275377229080931</v>
      </c>
      <c r="D16" s="358">
        <v>43.891891891891895</v>
      </c>
      <c r="E16" s="359">
        <v>26.305555555555557</v>
      </c>
      <c r="F16" s="375">
        <v>68</v>
      </c>
      <c r="G16" s="949">
        <v>-2</v>
      </c>
      <c r="H16" s="376"/>
      <c r="I16" s="376"/>
      <c r="J16" s="376"/>
      <c r="K16" s="376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78"/>
    </row>
    <row r="17" spans="1:48">
      <c r="A17" s="24">
        <f t="shared" si="0"/>
        <v>44575</v>
      </c>
      <c r="B17" s="356">
        <v>42.341675008341674</v>
      </c>
      <c r="C17" s="357">
        <v>26.086762688614542</v>
      </c>
      <c r="D17" s="358">
        <v>42.756756756756758</v>
      </c>
      <c r="E17" s="359">
        <v>25.555555555555557</v>
      </c>
      <c r="F17" s="375">
        <v>64</v>
      </c>
      <c r="G17" s="949">
        <v>2</v>
      </c>
      <c r="H17" s="376"/>
      <c r="I17" s="376"/>
      <c r="J17" s="376"/>
      <c r="K17" s="376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78"/>
    </row>
    <row r="18" spans="1:48">
      <c r="A18" s="24">
        <f t="shared" si="0"/>
        <v>44576</v>
      </c>
      <c r="B18" s="356">
        <v>42.132465799132468</v>
      </c>
      <c r="C18" s="357">
        <v>25.900891632373117</v>
      </c>
      <c r="D18" s="358">
        <v>40.351351351351354</v>
      </c>
      <c r="E18" s="359">
        <v>24.861111111111111</v>
      </c>
      <c r="F18" s="375">
        <v>67</v>
      </c>
      <c r="G18" s="949">
        <v>-5</v>
      </c>
      <c r="H18" s="376"/>
      <c r="I18" s="376"/>
      <c r="J18" s="376"/>
      <c r="K18" s="376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78"/>
    </row>
    <row r="19" spans="1:48">
      <c r="A19" s="24">
        <f t="shared" si="0"/>
        <v>44577</v>
      </c>
      <c r="B19" s="356">
        <v>41.94394394394395</v>
      </c>
      <c r="C19" s="357">
        <v>25.718106995884771</v>
      </c>
      <c r="D19" s="358">
        <v>42.027027027027025</v>
      </c>
      <c r="E19" s="359">
        <v>25.472222222222221</v>
      </c>
      <c r="F19" s="375">
        <v>69</v>
      </c>
      <c r="G19" s="949">
        <v>-11</v>
      </c>
      <c r="H19" s="376"/>
      <c r="I19" s="376"/>
      <c r="J19" s="376"/>
      <c r="K19" s="376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78"/>
    </row>
    <row r="20" spans="1:48">
      <c r="A20" s="24">
        <f t="shared" si="0"/>
        <v>44578</v>
      </c>
      <c r="B20" s="356">
        <v>41.719386052719386</v>
      </c>
      <c r="C20" s="357">
        <v>25.512345679012345</v>
      </c>
      <c r="D20" s="358">
        <v>42.189189189189186</v>
      </c>
      <c r="E20" s="359">
        <v>27.055555555555557</v>
      </c>
      <c r="F20" s="375">
        <v>68</v>
      </c>
      <c r="G20" s="949">
        <v>-14</v>
      </c>
      <c r="H20" s="376"/>
      <c r="I20" s="376"/>
      <c r="J20" s="376"/>
      <c r="K20" s="376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78"/>
    </row>
    <row r="21" spans="1:48">
      <c r="A21" s="24">
        <f t="shared" si="0"/>
        <v>44579</v>
      </c>
      <c r="B21" s="356">
        <v>41.481481481481481</v>
      </c>
      <c r="C21" s="357">
        <v>25.236625514403293</v>
      </c>
      <c r="D21" s="358">
        <v>39.756756756756758</v>
      </c>
      <c r="E21" s="359">
        <v>24.638888888888889</v>
      </c>
      <c r="F21" s="375">
        <v>70</v>
      </c>
      <c r="G21" s="949">
        <v>-21</v>
      </c>
      <c r="H21" s="376"/>
      <c r="I21" s="376"/>
      <c r="J21" s="376"/>
      <c r="K21" s="376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78"/>
    </row>
    <row r="22" spans="1:48">
      <c r="A22" s="24">
        <f t="shared" si="0"/>
        <v>44580</v>
      </c>
      <c r="B22" s="356">
        <v>41.290623957290627</v>
      </c>
      <c r="C22" s="357">
        <v>24.979080932784637</v>
      </c>
      <c r="D22" s="358">
        <v>40.216216216216218</v>
      </c>
      <c r="E22" s="359">
        <v>23.25</v>
      </c>
      <c r="F22" s="375">
        <v>67</v>
      </c>
      <c r="G22" s="949">
        <v>-23</v>
      </c>
      <c r="H22" s="376"/>
      <c r="I22" s="376"/>
      <c r="J22" s="376"/>
      <c r="K22" s="376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78"/>
    </row>
    <row r="23" spans="1:48">
      <c r="A23" s="24">
        <f t="shared" si="0"/>
        <v>44581</v>
      </c>
      <c r="B23" s="356">
        <v>41.173886849812774</v>
      </c>
      <c r="C23" s="357">
        <v>24.763354889280819</v>
      </c>
      <c r="D23" s="358">
        <v>39.702702702702702</v>
      </c>
      <c r="E23" s="359">
        <v>24.555555555555557</v>
      </c>
      <c r="F23" s="375">
        <v>66</v>
      </c>
      <c r="G23" s="949">
        <v>-10</v>
      </c>
      <c r="H23" s="376"/>
      <c r="I23" s="376"/>
      <c r="J23" s="376"/>
      <c r="K23" s="376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78"/>
    </row>
    <row r="24" spans="1:48">
      <c r="A24" s="24">
        <f t="shared" si="0"/>
        <v>44582</v>
      </c>
      <c r="B24" s="356">
        <v>41.162254847440032</v>
      </c>
      <c r="C24" s="357">
        <v>24.629933372525969</v>
      </c>
      <c r="D24" s="358">
        <v>40.45945945945946</v>
      </c>
      <c r="E24" s="359">
        <v>23.527777777777779</v>
      </c>
      <c r="F24" s="375">
        <v>69</v>
      </c>
      <c r="G24" s="949">
        <v>-11</v>
      </c>
      <c r="H24" s="376"/>
      <c r="I24" s="376"/>
      <c r="J24" s="376"/>
      <c r="K24" s="376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78"/>
    </row>
    <row r="25" spans="1:48">
      <c r="A25" s="24">
        <f t="shared" si="0"/>
        <v>44583</v>
      </c>
      <c r="B25" s="356">
        <v>41.250722945167389</v>
      </c>
      <c r="C25" s="357">
        <v>24.59870664315109</v>
      </c>
      <c r="D25" s="358">
        <v>41.702702702702702</v>
      </c>
      <c r="E25" s="359">
        <v>25.833333333333332</v>
      </c>
      <c r="F25" s="375">
        <v>68</v>
      </c>
      <c r="G25" s="949">
        <v>-2</v>
      </c>
      <c r="H25" s="376"/>
      <c r="I25" s="376"/>
      <c r="J25" s="376"/>
      <c r="K25" s="376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78"/>
    </row>
    <row r="26" spans="1:48">
      <c r="A26" s="24">
        <f t="shared" si="0"/>
        <v>44584</v>
      </c>
      <c r="B26" s="356">
        <v>41.396581766952146</v>
      </c>
      <c r="C26" s="357">
        <v>24.585312561238489</v>
      </c>
      <c r="D26" s="358">
        <v>42.756756756756758</v>
      </c>
      <c r="E26" s="359">
        <v>25.25</v>
      </c>
      <c r="F26" s="375">
        <v>70</v>
      </c>
      <c r="G26" s="949">
        <v>-15</v>
      </c>
      <c r="H26" s="376"/>
      <c r="I26" s="376"/>
      <c r="J26" s="376"/>
      <c r="K26" s="376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78"/>
    </row>
    <row r="27" spans="1:48">
      <c r="A27" s="24">
        <f t="shared" si="0"/>
        <v>44585</v>
      </c>
      <c r="B27" s="356">
        <v>41.589487635783925</v>
      </c>
      <c r="C27" s="357">
        <v>24.63639035861258</v>
      </c>
      <c r="D27" s="358">
        <v>40.729729729729726</v>
      </c>
      <c r="E27" s="359">
        <v>23.944444444444443</v>
      </c>
      <c r="F27" s="375">
        <v>77</v>
      </c>
      <c r="G27" s="949">
        <v>-18</v>
      </c>
      <c r="H27" s="376"/>
      <c r="I27" s="376"/>
      <c r="J27" s="376"/>
      <c r="K27" s="376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78"/>
    </row>
    <row r="28" spans="1:48">
      <c r="A28" s="24">
        <f t="shared" si="0"/>
        <v>44586</v>
      </c>
      <c r="B28" s="356">
        <v>41.849794238683131</v>
      </c>
      <c r="C28" s="357">
        <v>24.748853615520282</v>
      </c>
      <c r="D28" s="358">
        <v>40.405405405405403</v>
      </c>
      <c r="E28" s="359">
        <v>23.694444444444443</v>
      </c>
      <c r="F28" s="375">
        <v>75</v>
      </c>
      <c r="G28" s="949">
        <v>-6</v>
      </c>
      <c r="H28" s="376"/>
      <c r="I28" s="376"/>
      <c r="J28" s="376"/>
      <c r="K28" s="376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78"/>
    </row>
    <row r="29" spans="1:48">
      <c r="A29" s="24">
        <f t="shared" si="0"/>
        <v>44587</v>
      </c>
      <c r="B29" s="356">
        <v>42.192516590664731</v>
      </c>
      <c r="C29" s="357">
        <v>24.930246913580248</v>
      </c>
      <c r="D29" s="358">
        <v>42.324324324324323</v>
      </c>
      <c r="E29" s="359">
        <v>23.361111111111111</v>
      </c>
      <c r="F29" s="375">
        <v>70</v>
      </c>
      <c r="G29" s="949">
        <v>-13</v>
      </c>
      <c r="H29" s="376"/>
      <c r="I29" s="376"/>
      <c r="J29" s="376"/>
      <c r="K29" s="376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78"/>
    </row>
    <row r="30" spans="1:48">
      <c r="A30" s="24">
        <f t="shared" si="0"/>
        <v>44588</v>
      </c>
      <c r="B30" s="356">
        <v>42.55292329366403</v>
      </c>
      <c r="C30" s="357">
        <v>25.191201254164216</v>
      </c>
      <c r="D30" s="358">
        <v>41.54054054054054</v>
      </c>
      <c r="E30" s="359">
        <v>24.305555555555557</v>
      </c>
      <c r="F30" s="375">
        <v>70</v>
      </c>
      <c r="G30" s="949">
        <v>-6</v>
      </c>
      <c r="H30" s="376"/>
      <c r="I30" s="376"/>
      <c r="J30" s="376"/>
      <c r="K30" s="376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78"/>
    </row>
    <row r="31" spans="1:48">
      <c r="A31" s="24">
        <f t="shared" si="0"/>
        <v>44589</v>
      </c>
      <c r="B31" s="356">
        <v>42.893977310643976</v>
      </c>
      <c r="C31" s="357">
        <v>25.474446404076033</v>
      </c>
      <c r="D31" s="358">
        <v>43.138888888888886</v>
      </c>
      <c r="E31" s="359">
        <v>23.942857142857143</v>
      </c>
      <c r="F31" s="375">
        <v>68</v>
      </c>
      <c r="G31" s="949">
        <v>-11</v>
      </c>
      <c r="H31" s="376"/>
      <c r="I31" s="376"/>
      <c r="J31" s="376"/>
      <c r="K31" s="376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78"/>
    </row>
    <row r="32" spans="1:48">
      <c r="A32" s="24">
        <f t="shared" si="0"/>
        <v>44590</v>
      </c>
      <c r="B32" s="356">
        <v>43.219589960330701</v>
      </c>
      <c r="C32" s="357">
        <v>25.774877523025673</v>
      </c>
      <c r="D32" s="358">
        <v>43.297297297297298</v>
      </c>
      <c r="E32" s="359">
        <v>27.277777777777779</v>
      </c>
      <c r="F32" s="375">
        <v>72</v>
      </c>
      <c r="G32" s="949">
        <v>-7</v>
      </c>
      <c r="H32" s="376"/>
      <c r="I32" s="376"/>
      <c r="J32" s="376"/>
      <c r="K32" s="376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78"/>
    </row>
    <row r="33" spans="1:48">
      <c r="A33" s="24">
        <f t="shared" si="0"/>
        <v>44591</v>
      </c>
      <c r="B33" s="356">
        <v>43.507498238979721</v>
      </c>
      <c r="C33" s="357">
        <v>26.043758573388203</v>
      </c>
      <c r="D33" s="358">
        <v>42.621621621621621</v>
      </c>
      <c r="E33" s="359">
        <v>25.083333333333332</v>
      </c>
      <c r="F33" s="375">
        <v>69</v>
      </c>
      <c r="G33" s="949">
        <v>-12</v>
      </c>
      <c r="H33" s="376"/>
      <c r="I33" s="376"/>
      <c r="J33" s="376"/>
      <c r="K33" s="376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78"/>
    </row>
    <row r="34" spans="1:48">
      <c r="A34" s="24">
        <f t="shared" si="0"/>
        <v>44592</v>
      </c>
      <c r="B34" s="356">
        <v>43.773718162607054</v>
      </c>
      <c r="C34" s="357">
        <v>26.302694493435236</v>
      </c>
      <c r="D34" s="358">
        <v>44.162162162162161</v>
      </c>
      <c r="E34" s="359">
        <v>26.805555555555557</v>
      </c>
      <c r="F34" s="375">
        <v>68</v>
      </c>
      <c r="G34" s="949">
        <v>-9</v>
      </c>
      <c r="H34" s="376"/>
      <c r="I34" s="376"/>
      <c r="J34" s="376"/>
      <c r="K34" s="376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78"/>
    </row>
    <row r="35" spans="1:48">
      <c r="A35" s="24">
        <f t="shared" si="0"/>
        <v>44593</v>
      </c>
      <c r="B35" s="356">
        <v>44.002567382197014</v>
      </c>
      <c r="C35" s="357">
        <v>26.526993925142072</v>
      </c>
      <c r="D35" s="358">
        <v>46.567567567567565</v>
      </c>
      <c r="E35" s="359">
        <v>30.166666666666668</v>
      </c>
      <c r="F35" s="375">
        <v>70</v>
      </c>
      <c r="G35" s="949">
        <v>-5</v>
      </c>
      <c r="H35" s="376"/>
      <c r="I35" s="376"/>
      <c r="J35" s="376"/>
      <c r="K35" s="376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78"/>
    </row>
    <row r="36" spans="1:48">
      <c r="A36" s="24">
        <f t="shared" si="0"/>
        <v>44594</v>
      </c>
      <c r="B36" s="356">
        <v>44.141993845697549</v>
      </c>
      <c r="C36" s="357">
        <v>26.650470311581426</v>
      </c>
      <c r="D36" s="358">
        <v>46.567567567567565</v>
      </c>
      <c r="E36" s="359">
        <v>28</v>
      </c>
      <c r="F36" s="375">
        <v>69</v>
      </c>
      <c r="G36" s="949">
        <v>-17</v>
      </c>
      <c r="H36" s="376"/>
      <c r="I36" s="376"/>
      <c r="J36" s="376"/>
      <c r="K36" s="376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78"/>
    </row>
    <row r="37" spans="1:48">
      <c r="A37" s="24">
        <f t="shared" si="0"/>
        <v>44595</v>
      </c>
      <c r="B37" s="356">
        <v>44.170309198086976</v>
      </c>
      <c r="C37" s="357">
        <v>26.709131883205956</v>
      </c>
      <c r="D37" s="358">
        <v>45.45945945945946</v>
      </c>
      <c r="E37" s="359">
        <v>27.5</v>
      </c>
      <c r="F37" s="375">
        <v>72</v>
      </c>
      <c r="G37" s="949">
        <v>-4</v>
      </c>
      <c r="H37" s="376"/>
      <c r="I37" s="376"/>
      <c r="J37" s="376"/>
      <c r="K37" s="376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78"/>
    </row>
    <row r="38" spans="1:48">
      <c r="A38" s="24">
        <f t="shared" si="0"/>
        <v>44596</v>
      </c>
      <c r="B38" s="356">
        <v>44.09051644236829</v>
      </c>
      <c r="C38" s="357">
        <v>26.68617479913776</v>
      </c>
      <c r="D38" s="358">
        <v>43.891891891891895</v>
      </c>
      <c r="E38" s="359">
        <v>26.111111111111111</v>
      </c>
      <c r="F38" s="375">
        <v>71</v>
      </c>
      <c r="G38" s="949">
        <v>-8</v>
      </c>
      <c r="H38" s="376"/>
      <c r="I38" s="376"/>
      <c r="J38" s="376"/>
      <c r="K38" s="376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78"/>
    </row>
    <row r="39" spans="1:48">
      <c r="A39" s="24">
        <f t="shared" si="0"/>
        <v>44597</v>
      </c>
      <c r="B39" s="356">
        <v>43.951330960590226</v>
      </c>
      <c r="C39" s="357">
        <v>26.623094258279441</v>
      </c>
      <c r="D39" s="358">
        <v>41.756756756756758</v>
      </c>
      <c r="E39" s="359">
        <v>25.777777777777779</v>
      </c>
      <c r="F39" s="375">
        <v>68</v>
      </c>
      <c r="G39" s="949">
        <v>-1</v>
      </c>
      <c r="H39" s="376"/>
      <c r="I39" s="376"/>
      <c r="J39" s="376"/>
      <c r="K39" s="376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78"/>
    </row>
    <row r="40" spans="1:48">
      <c r="A40" s="24">
        <f t="shared" si="0"/>
        <v>44598</v>
      </c>
      <c r="B40" s="356">
        <v>43.848181514848186</v>
      </c>
      <c r="C40" s="357">
        <v>26.579561042524002</v>
      </c>
      <c r="D40" s="358">
        <v>44.810810810810814</v>
      </c>
      <c r="E40" s="359">
        <v>26.027777777777779</v>
      </c>
      <c r="F40" s="375">
        <v>67</v>
      </c>
      <c r="G40" s="949">
        <v>2</v>
      </c>
      <c r="H40" s="376"/>
      <c r="I40" s="376"/>
      <c r="J40" s="376"/>
      <c r="K40" s="376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78"/>
    </row>
    <row r="41" spans="1:48">
      <c r="A41" s="24">
        <f t="shared" si="0"/>
        <v>44599</v>
      </c>
      <c r="B41" s="356">
        <v>43.728395061728399</v>
      </c>
      <c r="C41" s="357">
        <v>26.550068587105621</v>
      </c>
      <c r="D41" s="358">
        <v>43.837837837837839</v>
      </c>
      <c r="E41" s="359">
        <v>27.444444444444443</v>
      </c>
      <c r="F41" s="375">
        <v>68</v>
      </c>
      <c r="G41" s="949">
        <v>1</v>
      </c>
      <c r="H41" s="376"/>
      <c r="I41" s="376"/>
      <c r="J41" s="376"/>
      <c r="K41" s="376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78"/>
    </row>
    <row r="42" spans="1:48">
      <c r="A42" s="24">
        <f t="shared" si="0"/>
        <v>44600</v>
      </c>
      <c r="B42" s="356">
        <v>43.616282949616284</v>
      </c>
      <c r="C42" s="357">
        <v>26.506172839506171</v>
      </c>
      <c r="D42" s="358">
        <v>43.027027027027025</v>
      </c>
      <c r="E42" s="359">
        <v>25.833333333333332</v>
      </c>
      <c r="F42" s="375">
        <v>68</v>
      </c>
      <c r="G42" s="949">
        <v>1</v>
      </c>
      <c r="H42" s="376"/>
      <c r="I42" s="376"/>
      <c r="J42" s="376"/>
      <c r="K42" s="376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78"/>
    </row>
    <row r="43" spans="1:48">
      <c r="A43" s="24">
        <f t="shared" si="0"/>
        <v>44601</v>
      </c>
      <c r="B43" s="356">
        <v>43.516516516516518</v>
      </c>
      <c r="C43" s="357">
        <v>26.468106995884771</v>
      </c>
      <c r="D43" s="358">
        <v>43.594594594594597</v>
      </c>
      <c r="E43" s="359">
        <v>24.972222222222221</v>
      </c>
      <c r="F43" s="375">
        <v>69</v>
      </c>
      <c r="G43" s="949">
        <v>-2</v>
      </c>
      <c r="H43" s="376"/>
      <c r="I43" s="376"/>
      <c r="J43" s="376"/>
      <c r="K43" s="376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78"/>
    </row>
    <row r="44" spans="1:48">
      <c r="A44" s="24">
        <f t="shared" si="0"/>
        <v>44602</v>
      </c>
      <c r="B44" s="356">
        <v>43.5</v>
      </c>
      <c r="C44" s="357">
        <v>26.492112482853219</v>
      </c>
      <c r="D44" s="358">
        <v>43.135135135135137</v>
      </c>
      <c r="E44" s="359">
        <v>26.916666666666668</v>
      </c>
      <c r="F44" s="375">
        <v>70</v>
      </c>
      <c r="G44" s="949">
        <v>0</v>
      </c>
      <c r="H44" s="376"/>
      <c r="I44" s="376"/>
      <c r="J44" s="376"/>
      <c r="K44" s="376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78"/>
    </row>
    <row r="45" spans="1:48">
      <c r="A45" s="24">
        <f t="shared" si="0"/>
        <v>44603</v>
      </c>
      <c r="B45" s="356">
        <v>43.536536536536538</v>
      </c>
      <c r="C45" s="357">
        <v>26.587791495198903</v>
      </c>
      <c r="D45" s="358">
        <v>43.405405405405403</v>
      </c>
      <c r="E45" s="359">
        <v>26.805555555555557</v>
      </c>
      <c r="F45" s="375">
        <v>74</v>
      </c>
      <c r="G45" s="949">
        <v>3</v>
      </c>
      <c r="H45" s="376"/>
      <c r="I45" s="376"/>
      <c r="J45" s="376"/>
      <c r="K45" s="376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78"/>
    </row>
    <row r="46" spans="1:48">
      <c r="A46" s="24">
        <f t="shared" si="0"/>
        <v>44604</v>
      </c>
      <c r="B46" s="356">
        <v>43.7303970637304</v>
      </c>
      <c r="C46" s="357">
        <v>26.771604938271608</v>
      </c>
      <c r="D46" s="358">
        <v>41.756756756756758</v>
      </c>
      <c r="E46" s="359">
        <v>24.694444444444443</v>
      </c>
      <c r="F46" s="375">
        <v>69</v>
      </c>
      <c r="G46" s="949">
        <v>2</v>
      </c>
      <c r="H46" s="376"/>
      <c r="I46" s="376"/>
      <c r="J46" s="376"/>
      <c r="K46" s="376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78"/>
    </row>
    <row r="47" spans="1:48">
      <c r="A47" s="24">
        <f t="shared" si="0"/>
        <v>44605</v>
      </c>
      <c r="B47" s="356">
        <v>44.088755422088752</v>
      </c>
      <c r="C47" s="357">
        <v>27.098079561042525</v>
      </c>
      <c r="D47" s="358">
        <v>40.648648648648646</v>
      </c>
      <c r="E47" s="359">
        <v>25.611111111111111</v>
      </c>
      <c r="F47" s="375">
        <v>78</v>
      </c>
      <c r="G47" s="949">
        <v>6</v>
      </c>
      <c r="H47" s="376"/>
      <c r="I47" s="376"/>
      <c r="J47" s="376"/>
      <c r="K47" s="376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78"/>
    </row>
    <row r="48" spans="1:48">
      <c r="A48" s="24">
        <f t="shared" si="0"/>
        <v>44606</v>
      </c>
      <c r="B48" s="356">
        <v>44.590924257590927</v>
      </c>
      <c r="C48" s="357">
        <v>27.532235939643346</v>
      </c>
      <c r="D48" s="358">
        <v>44.891891891891895</v>
      </c>
      <c r="E48" s="359">
        <v>28.833333333333332</v>
      </c>
      <c r="F48" s="375">
        <v>69</v>
      </c>
      <c r="G48" s="949">
        <v>6</v>
      </c>
      <c r="H48" s="376"/>
      <c r="I48" s="376"/>
      <c r="J48" s="376"/>
      <c r="K48" s="376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78"/>
    </row>
    <row r="49" spans="1:48">
      <c r="A49" s="24">
        <f t="shared" si="0"/>
        <v>44607</v>
      </c>
      <c r="B49" s="356">
        <v>45.124124124124123</v>
      </c>
      <c r="C49" s="357">
        <v>27.970164609053498</v>
      </c>
      <c r="D49" s="358">
        <v>45.135135135135137</v>
      </c>
      <c r="E49" s="359">
        <v>29.25</v>
      </c>
      <c r="F49" s="375">
        <v>75</v>
      </c>
      <c r="G49" s="949">
        <v>6</v>
      </c>
      <c r="H49" s="376"/>
      <c r="I49" s="376"/>
      <c r="J49" s="376"/>
      <c r="K49" s="376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78"/>
    </row>
    <row r="50" spans="1:48">
      <c r="A50" s="24">
        <f t="shared" si="0"/>
        <v>44608</v>
      </c>
      <c r="B50" s="356">
        <v>45.708041374708031</v>
      </c>
      <c r="C50" s="357">
        <v>28.385802469135804</v>
      </c>
      <c r="D50" s="358">
        <v>45</v>
      </c>
      <c r="E50" s="359">
        <v>26.444444444444443</v>
      </c>
      <c r="F50" s="375">
        <v>69</v>
      </c>
      <c r="G50" s="949">
        <v>0</v>
      </c>
      <c r="H50" s="376"/>
      <c r="I50" s="376"/>
      <c r="J50" s="376"/>
      <c r="K50" s="376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78"/>
    </row>
    <row r="51" spans="1:48">
      <c r="A51" s="24">
        <f t="shared" si="0"/>
        <v>44609</v>
      </c>
      <c r="B51" s="356">
        <v>46.323990657323982</v>
      </c>
      <c r="C51" s="357">
        <v>28.858367626886142</v>
      </c>
      <c r="D51" s="358">
        <v>44.432432432432435</v>
      </c>
      <c r="E51" s="359">
        <v>27.055555555555557</v>
      </c>
      <c r="F51" s="375">
        <v>68</v>
      </c>
      <c r="G51" s="949">
        <v>-8</v>
      </c>
      <c r="H51" s="376"/>
      <c r="I51" s="376"/>
      <c r="J51" s="376"/>
      <c r="K51" s="376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78"/>
    </row>
    <row r="52" spans="1:48">
      <c r="A52" s="24">
        <f t="shared" si="0"/>
        <v>44610</v>
      </c>
      <c r="B52" s="356">
        <v>46.97597597597597</v>
      </c>
      <c r="C52" s="357">
        <v>29.354252400548692</v>
      </c>
      <c r="D52" s="358">
        <v>47.972972972972975</v>
      </c>
      <c r="E52" s="359">
        <v>28.166666666666668</v>
      </c>
      <c r="F52" s="375">
        <v>72</v>
      </c>
      <c r="G52" s="949">
        <v>-1</v>
      </c>
      <c r="H52" s="376"/>
      <c r="I52" s="376"/>
      <c r="J52" s="376"/>
      <c r="K52" s="376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78"/>
    </row>
    <row r="53" spans="1:48">
      <c r="A53" s="24">
        <f t="shared" si="0"/>
        <v>44611</v>
      </c>
      <c r="B53" s="356">
        <v>47.594260927594263</v>
      </c>
      <c r="C53" s="357">
        <v>29.843278463648833</v>
      </c>
      <c r="D53" s="358">
        <v>47.594594594594597</v>
      </c>
      <c r="E53" s="359">
        <v>29.472222222222221</v>
      </c>
      <c r="F53" s="375">
        <v>74</v>
      </c>
      <c r="G53" s="949">
        <v>-11</v>
      </c>
      <c r="H53" s="376"/>
      <c r="I53" s="376"/>
      <c r="J53" s="376"/>
      <c r="K53" s="376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78"/>
    </row>
    <row r="54" spans="1:48">
      <c r="A54" s="24">
        <f t="shared" si="0"/>
        <v>44612</v>
      </c>
      <c r="B54" s="356">
        <v>48.203870537203869</v>
      </c>
      <c r="C54" s="357">
        <v>30.317558299039781</v>
      </c>
      <c r="D54" s="358">
        <v>51.189189189189186</v>
      </c>
      <c r="E54" s="359">
        <v>32.75</v>
      </c>
      <c r="F54" s="375">
        <v>79</v>
      </c>
      <c r="G54" s="949">
        <v>-13</v>
      </c>
      <c r="H54" s="376"/>
      <c r="I54" s="376"/>
      <c r="J54" s="376"/>
      <c r="K54" s="376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78"/>
    </row>
    <row r="55" spans="1:48">
      <c r="A55" s="24">
        <f t="shared" si="0"/>
        <v>44613</v>
      </c>
      <c r="B55" s="356">
        <v>48.749341934527123</v>
      </c>
      <c r="C55" s="357">
        <v>30.747770919067218</v>
      </c>
      <c r="D55" s="358">
        <v>51.378378378378379</v>
      </c>
      <c r="E55" s="359">
        <v>33.444444444444443</v>
      </c>
      <c r="F55" s="375">
        <v>70</v>
      </c>
      <c r="G55" s="949">
        <v>0</v>
      </c>
      <c r="H55" s="376"/>
      <c r="I55" s="376"/>
      <c r="J55" s="376"/>
      <c r="K55" s="376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78"/>
    </row>
    <row r="56" spans="1:48">
      <c r="A56" s="24">
        <f t="shared" si="0"/>
        <v>44614</v>
      </c>
      <c r="B56" s="356">
        <v>49.180031883735587</v>
      </c>
      <c r="C56" s="357">
        <v>31.068930041152257</v>
      </c>
      <c r="D56" s="358">
        <v>49.054054054054056</v>
      </c>
      <c r="E56" s="359">
        <v>33.833333333333336</v>
      </c>
      <c r="F56" s="375">
        <v>70</v>
      </c>
      <c r="G56" s="949">
        <v>-2</v>
      </c>
      <c r="H56" s="376"/>
      <c r="I56" s="376"/>
      <c r="J56" s="376"/>
      <c r="K56" s="376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78"/>
    </row>
    <row r="57" spans="1:48">
      <c r="A57" s="24">
        <f t="shared" si="0"/>
        <v>44615</v>
      </c>
      <c r="B57" s="356">
        <v>49.540651762873992</v>
      </c>
      <c r="C57" s="357">
        <v>31.272805212620028</v>
      </c>
      <c r="D57" s="358">
        <v>50.54054054054054</v>
      </c>
      <c r="E57" s="359">
        <v>32.194444444444443</v>
      </c>
      <c r="F57" s="375">
        <v>76</v>
      </c>
      <c r="G57" s="949">
        <v>8</v>
      </c>
      <c r="H57" s="376"/>
      <c r="I57" s="376"/>
      <c r="J57" s="376"/>
      <c r="K57" s="376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78"/>
    </row>
    <row r="58" spans="1:48">
      <c r="A58" s="24">
        <f t="shared" si="0"/>
        <v>44616</v>
      </c>
      <c r="B58" s="356">
        <v>49.808178548919287</v>
      </c>
      <c r="C58" s="357">
        <v>31.420438957475994</v>
      </c>
      <c r="D58" s="358">
        <v>49.567567567567565</v>
      </c>
      <c r="E58" s="359">
        <v>30.666666666666668</v>
      </c>
      <c r="F58" s="375">
        <v>78</v>
      </c>
      <c r="G58" s="949">
        <v>1</v>
      </c>
      <c r="H58" s="376"/>
      <c r="I58" s="376"/>
      <c r="J58" s="376"/>
      <c r="K58" s="376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78"/>
    </row>
    <row r="59" spans="1:48">
      <c r="A59" s="24">
        <f t="shared" si="0"/>
        <v>44617</v>
      </c>
      <c r="B59" s="356">
        <v>50.055685314944576</v>
      </c>
      <c r="C59" s="357">
        <v>31.561556927297673</v>
      </c>
      <c r="D59" s="358">
        <v>48.756756756756758</v>
      </c>
      <c r="E59" s="359">
        <v>30.055555555555557</v>
      </c>
      <c r="F59" s="375">
        <v>77</v>
      </c>
      <c r="G59" s="949">
        <v>-5</v>
      </c>
      <c r="H59" s="376"/>
      <c r="I59" s="376"/>
      <c r="J59" s="376"/>
      <c r="K59" s="376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78"/>
    </row>
    <row r="60" spans="1:48">
      <c r="A60" s="24">
        <f t="shared" si="0"/>
        <v>44618</v>
      </c>
      <c r="B60" s="356">
        <v>50.31186742297853</v>
      </c>
      <c r="C60" s="357">
        <v>31.68689986282579</v>
      </c>
      <c r="D60" s="358">
        <v>48.756756756756758</v>
      </c>
      <c r="E60" s="359">
        <v>30.166666666666668</v>
      </c>
      <c r="F60" s="375">
        <v>76</v>
      </c>
      <c r="G60" s="949">
        <v>3</v>
      </c>
      <c r="H60" s="376"/>
      <c r="I60" s="376"/>
      <c r="J60" s="376"/>
      <c r="K60" s="376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78"/>
    </row>
    <row r="61" spans="1:48">
      <c r="A61" s="24">
        <f t="shared" si="0"/>
        <v>44619</v>
      </c>
      <c r="B61" s="356">
        <v>50.562377192006821</v>
      </c>
      <c r="C61" s="357">
        <v>31.804355281207133</v>
      </c>
      <c r="D61" s="358">
        <v>49.621621621621621</v>
      </c>
      <c r="E61" s="359">
        <v>30.805555555555557</v>
      </c>
      <c r="F61" s="375">
        <v>72</v>
      </c>
      <c r="G61" s="949">
        <v>9</v>
      </c>
      <c r="H61" s="376"/>
      <c r="I61" s="376"/>
      <c r="J61" s="376"/>
      <c r="K61" s="376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78"/>
    </row>
    <row r="62" spans="1:48">
      <c r="A62" s="24">
        <f t="shared" si="0"/>
        <v>44620</v>
      </c>
      <c r="B62" s="356">
        <v>50.855596337077813</v>
      </c>
      <c r="C62" s="357">
        <v>31.924897119341566</v>
      </c>
      <c r="D62" s="358">
        <v>51.351351351351354</v>
      </c>
      <c r="E62" s="359">
        <v>30.833333333333332</v>
      </c>
      <c r="F62" s="375">
        <v>70</v>
      </c>
      <c r="G62" s="949">
        <v>11</v>
      </c>
      <c r="H62" s="376"/>
      <c r="I62" s="376"/>
      <c r="J62" s="376"/>
      <c r="K62" s="376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78"/>
    </row>
    <row r="63" spans="1:48">
      <c r="A63" s="364" t="str">
        <f>IF(MOD(YEAR(A62)-2016,4)=0,A62+1,"29 Feb")</f>
        <v>29 Feb</v>
      </c>
      <c r="B63" s="356">
        <v>51.154154154154149</v>
      </c>
      <c r="C63" s="357">
        <v>32.081790123456784</v>
      </c>
      <c r="D63" s="358">
        <v>53.777777777777779</v>
      </c>
      <c r="E63" s="359">
        <v>35.125</v>
      </c>
      <c r="F63" s="375">
        <v>78</v>
      </c>
      <c r="G63" s="949">
        <v>16</v>
      </c>
      <c r="H63" s="376"/>
      <c r="I63" s="376"/>
      <c r="J63" s="376"/>
      <c r="K63" s="376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78"/>
    </row>
    <row r="64" spans="1:48">
      <c r="A64" s="365">
        <f>IF(MOD(YEAR(A62)-2016,4)=0,A63+1,A62+1)</f>
        <v>44621</v>
      </c>
      <c r="B64" s="356">
        <v>51.449857264672076</v>
      </c>
      <c r="C64" s="357">
        <v>32.194101508916319</v>
      </c>
      <c r="D64" s="358">
        <v>51.702702702702702</v>
      </c>
      <c r="E64" s="359">
        <v>33.361111111111114</v>
      </c>
      <c r="F64" s="375">
        <v>75</v>
      </c>
      <c r="G64" s="949">
        <v>9</v>
      </c>
      <c r="H64" s="376"/>
      <c r="I64" s="376"/>
      <c r="J64" s="376"/>
      <c r="K64" s="376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78"/>
    </row>
    <row r="65" spans="1:48">
      <c r="A65" s="24">
        <f t="shared" si="0"/>
        <v>44622</v>
      </c>
      <c r="B65" s="356">
        <v>51.781930078226367</v>
      </c>
      <c r="C65" s="357">
        <v>32.325274348422489</v>
      </c>
      <c r="D65" s="358">
        <v>51.783783783783782</v>
      </c>
      <c r="E65" s="359">
        <v>32.555555555555557</v>
      </c>
      <c r="F65" s="375">
        <v>78</v>
      </c>
      <c r="G65" s="949">
        <v>7</v>
      </c>
      <c r="H65" s="376"/>
      <c r="I65" s="376"/>
      <c r="J65" s="376"/>
      <c r="K65" s="376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78"/>
    </row>
    <row r="66" spans="1:48">
      <c r="A66" s="24">
        <f t="shared" si="0"/>
        <v>44623</v>
      </c>
      <c r="B66" s="356">
        <v>52.129685240796356</v>
      </c>
      <c r="C66" s="357">
        <v>32.497942386831276</v>
      </c>
      <c r="D66" s="358">
        <v>48.648648648648646</v>
      </c>
      <c r="E66" s="359">
        <v>31</v>
      </c>
      <c r="F66" s="375">
        <v>76</v>
      </c>
      <c r="G66" s="949">
        <v>4</v>
      </c>
      <c r="H66" s="376"/>
      <c r="I66" s="376"/>
      <c r="J66" s="376"/>
      <c r="K66" s="376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78"/>
    </row>
    <row r="67" spans="1:48">
      <c r="A67" s="24">
        <f t="shared" si="0"/>
        <v>44624</v>
      </c>
      <c r="B67" s="356">
        <v>52.586215845475103</v>
      </c>
      <c r="C67" s="357">
        <v>32.745713305898498</v>
      </c>
      <c r="D67" s="358">
        <v>52.378378378378379</v>
      </c>
      <c r="E67" s="359">
        <v>31.555555555555557</v>
      </c>
      <c r="F67" s="375">
        <v>82</v>
      </c>
      <c r="G67" s="949">
        <v>6</v>
      </c>
      <c r="H67" s="376"/>
      <c r="I67" s="376"/>
      <c r="J67" s="376"/>
      <c r="K67" s="376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78"/>
    </row>
    <row r="68" spans="1:48">
      <c r="A68" s="24">
        <f t="shared" si="0"/>
        <v>44625</v>
      </c>
      <c r="B68" s="356">
        <v>53.053090127164211</v>
      </c>
      <c r="C68" s="357">
        <v>33.055555555555564</v>
      </c>
      <c r="D68" s="358">
        <v>53.216216216216218</v>
      </c>
      <c r="E68" s="359">
        <v>32.388888888888886</v>
      </c>
      <c r="F68" s="375">
        <v>78</v>
      </c>
      <c r="G68" s="949">
        <v>-2</v>
      </c>
      <c r="H68" s="376"/>
      <c r="I68" s="376"/>
      <c r="J68" s="376"/>
      <c r="K68" s="376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78"/>
    </row>
    <row r="69" spans="1:48">
      <c r="A69" s="24">
        <f t="shared" si="0"/>
        <v>44626</v>
      </c>
      <c r="B69" s="356">
        <v>53.480591702813925</v>
      </c>
      <c r="C69" s="357">
        <v>33.403806584362137</v>
      </c>
      <c r="D69" s="358">
        <v>52.621621621621621</v>
      </c>
      <c r="E69" s="359">
        <v>32.638888888888886</v>
      </c>
      <c r="F69" s="375">
        <v>76</v>
      </c>
      <c r="G69" s="949">
        <v>-3</v>
      </c>
      <c r="H69" s="376"/>
      <c r="I69" s="376"/>
      <c r="J69" s="376"/>
      <c r="K69" s="376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78"/>
    </row>
    <row r="70" spans="1:48">
      <c r="A70" s="24">
        <f t="shared" ref="A70:A133" si="1">A69+1</f>
        <v>44627</v>
      </c>
      <c r="B70" s="356">
        <v>53.911429948466981</v>
      </c>
      <c r="C70" s="357">
        <v>33.76303155006859</v>
      </c>
      <c r="D70" s="358">
        <v>54.729729729729726</v>
      </c>
      <c r="E70" s="359">
        <v>33.694444444444443</v>
      </c>
      <c r="F70" s="375">
        <v>80</v>
      </c>
      <c r="G70" s="949">
        <v>12</v>
      </c>
      <c r="H70" s="376"/>
      <c r="I70" s="376"/>
      <c r="J70" s="376"/>
      <c r="K70" s="376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78"/>
    </row>
    <row r="71" spans="1:48">
      <c r="A71" s="24">
        <f t="shared" si="1"/>
        <v>44628</v>
      </c>
      <c r="B71" s="356">
        <v>54.293886479071659</v>
      </c>
      <c r="C71" s="357">
        <v>34.122942386831284</v>
      </c>
      <c r="D71" s="358">
        <v>55.54054054054054</v>
      </c>
      <c r="E71" s="359">
        <v>35.138888888888886</v>
      </c>
      <c r="F71" s="375">
        <v>81</v>
      </c>
      <c r="G71" s="949">
        <v>8</v>
      </c>
      <c r="H71" s="376"/>
      <c r="I71" s="376"/>
      <c r="J71" s="376"/>
      <c r="K71" s="376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78"/>
    </row>
    <row r="72" spans="1:48">
      <c r="A72" s="24">
        <f t="shared" si="1"/>
        <v>44629</v>
      </c>
      <c r="B72" s="356">
        <v>54.654654654654649</v>
      </c>
      <c r="C72" s="357">
        <v>34.460562414266114</v>
      </c>
      <c r="D72" s="358">
        <v>56.135135135135137</v>
      </c>
      <c r="E72" s="359">
        <v>33.888888888888886</v>
      </c>
      <c r="F72" s="375">
        <v>77</v>
      </c>
      <c r="G72" s="949">
        <v>12</v>
      </c>
      <c r="H72" s="376"/>
      <c r="I72" s="376"/>
      <c r="J72" s="376"/>
      <c r="K72" s="376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78"/>
    </row>
    <row r="73" spans="1:48">
      <c r="A73" s="24">
        <f t="shared" si="1"/>
        <v>44630</v>
      </c>
      <c r="B73" s="356">
        <v>55.02002002002002</v>
      </c>
      <c r="C73" s="357">
        <v>34.865226337448554</v>
      </c>
      <c r="D73" s="358">
        <v>54.972972972972975</v>
      </c>
      <c r="E73" s="359">
        <v>34.805555555555557</v>
      </c>
      <c r="F73" s="375">
        <v>77</v>
      </c>
      <c r="G73" s="949">
        <v>17</v>
      </c>
      <c r="H73" s="376"/>
      <c r="I73" s="376"/>
      <c r="J73" s="376"/>
      <c r="K73" s="376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78"/>
    </row>
    <row r="74" spans="1:48">
      <c r="A74" s="24">
        <f t="shared" si="1"/>
        <v>44631</v>
      </c>
      <c r="B74" s="356">
        <v>55.374708041374703</v>
      </c>
      <c r="C74" s="357">
        <v>35.28086419753086</v>
      </c>
      <c r="D74" s="358">
        <v>55.783783783783782</v>
      </c>
      <c r="E74" s="359">
        <v>34.638888888888886</v>
      </c>
      <c r="F74" s="375">
        <v>77</v>
      </c>
      <c r="G74" s="949">
        <v>15</v>
      </c>
      <c r="H74" s="376"/>
      <c r="I74" s="376"/>
      <c r="J74" s="376"/>
      <c r="K74" s="376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78"/>
    </row>
    <row r="75" spans="1:48">
      <c r="A75" s="24">
        <f t="shared" si="1"/>
        <v>44632</v>
      </c>
      <c r="B75" s="356">
        <v>55.707040373707031</v>
      </c>
      <c r="C75" s="357">
        <v>35.714677640603561</v>
      </c>
      <c r="D75" s="358">
        <v>55.567567567567565</v>
      </c>
      <c r="E75" s="359">
        <v>35.888888888888886</v>
      </c>
      <c r="F75" s="375">
        <v>79</v>
      </c>
      <c r="G75" s="949">
        <v>7</v>
      </c>
      <c r="H75" s="376"/>
      <c r="I75" s="376"/>
      <c r="J75" s="376"/>
      <c r="K75" s="376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78"/>
    </row>
    <row r="76" spans="1:48">
      <c r="A76" s="24">
        <f t="shared" si="1"/>
        <v>44633</v>
      </c>
      <c r="B76" s="356">
        <v>55.969636302969633</v>
      </c>
      <c r="C76" s="357">
        <v>36.100480109739365</v>
      </c>
      <c r="D76" s="358">
        <v>56.027027027027025</v>
      </c>
      <c r="E76" s="359">
        <v>37.472222222222221</v>
      </c>
      <c r="F76" s="375">
        <v>81</v>
      </c>
      <c r="G76" s="949">
        <v>10</v>
      </c>
      <c r="H76" s="376"/>
      <c r="I76" s="376"/>
      <c r="J76" s="376"/>
      <c r="K76" s="376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78"/>
    </row>
    <row r="77" spans="1:48">
      <c r="A77" s="24">
        <f t="shared" si="1"/>
        <v>44634</v>
      </c>
      <c r="B77" s="356">
        <v>56.201256812367923</v>
      </c>
      <c r="C77" s="357">
        <v>36.394708994708985</v>
      </c>
      <c r="D77" s="358">
        <v>54.486486486486484</v>
      </c>
      <c r="E77" s="359">
        <v>37.833333333333336</v>
      </c>
      <c r="F77" s="375">
        <v>80</v>
      </c>
      <c r="G77" s="949">
        <v>11</v>
      </c>
      <c r="H77" s="376"/>
      <c r="I77" s="376"/>
      <c r="J77" s="376"/>
      <c r="K77" s="376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78"/>
    </row>
    <row r="78" spans="1:48">
      <c r="A78" s="24">
        <f t="shared" si="1"/>
        <v>44635</v>
      </c>
      <c r="B78" s="356">
        <v>56.491092944796655</v>
      </c>
      <c r="C78" s="357">
        <v>36.627660199882413</v>
      </c>
      <c r="D78" s="358">
        <v>56.756756756756758</v>
      </c>
      <c r="E78" s="359">
        <v>36</v>
      </c>
      <c r="F78" s="375">
        <v>81</v>
      </c>
      <c r="G78" s="949">
        <v>14</v>
      </c>
      <c r="H78" s="376"/>
      <c r="I78" s="376"/>
      <c r="J78" s="376"/>
      <c r="K78" s="376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78"/>
    </row>
    <row r="79" spans="1:48">
      <c r="A79" s="24">
        <f t="shared" si="1"/>
        <v>44636</v>
      </c>
      <c r="B79" s="356">
        <v>56.768249731212691</v>
      </c>
      <c r="C79" s="357">
        <v>36.868155986674502</v>
      </c>
      <c r="D79" s="358">
        <v>55.918918918918919</v>
      </c>
      <c r="E79" s="359">
        <v>36.638888888888886</v>
      </c>
      <c r="F79" s="375">
        <v>84</v>
      </c>
      <c r="G79" s="949">
        <v>15</v>
      </c>
      <c r="H79" s="376"/>
      <c r="I79" s="376"/>
      <c r="J79" s="376"/>
      <c r="K79" s="376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78"/>
    </row>
    <row r="80" spans="1:48">
      <c r="A80" s="24">
        <f t="shared" si="1"/>
        <v>44637</v>
      </c>
      <c r="B80" s="356">
        <v>57.089116894672443</v>
      </c>
      <c r="C80" s="357">
        <v>37.124083872232021</v>
      </c>
      <c r="D80" s="358">
        <v>57.972972972972975</v>
      </c>
      <c r="E80" s="359">
        <v>37.638888888888886</v>
      </c>
      <c r="F80" s="375">
        <v>80</v>
      </c>
      <c r="G80" s="949">
        <v>14</v>
      </c>
      <c r="H80" s="376"/>
      <c r="I80" s="376"/>
      <c r="J80" s="376"/>
      <c r="K80" s="376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78"/>
    </row>
    <row r="81" spans="1:48">
      <c r="A81" s="24">
        <f t="shared" si="1"/>
        <v>44638</v>
      </c>
      <c r="B81" s="356">
        <v>57.412987061135205</v>
      </c>
      <c r="C81" s="357">
        <v>37.375553595923961</v>
      </c>
      <c r="D81" s="358">
        <v>58.864864864864863</v>
      </c>
      <c r="E81" s="359">
        <v>38.083333333333336</v>
      </c>
      <c r="F81" s="375">
        <v>80</v>
      </c>
      <c r="G81" s="949">
        <v>12</v>
      </c>
      <c r="H81" s="376"/>
      <c r="I81" s="376"/>
      <c r="J81" s="376"/>
      <c r="K81" s="376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78"/>
    </row>
    <row r="82" spans="1:48">
      <c r="A82" s="24">
        <f t="shared" si="1"/>
        <v>44639</v>
      </c>
      <c r="B82" s="356">
        <v>57.743196900604303</v>
      </c>
      <c r="C82" s="357">
        <v>37.608847736625506</v>
      </c>
      <c r="D82" s="358">
        <v>57.378378378378379</v>
      </c>
      <c r="E82" s="359">
        <v>37.138888888888886</v>
      </c>
      <c r="F82" s="375">
        <v>82</v>
      </c>
      <c r="G82" s="949">
        <v>17</v>
      </c>
      <c r="H82" s="376"/>
      <c r="I82" s="376"/>
      <c r="J82" s="376"/>
      <c r="K82" s="376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78"/>
    </row>
    <row r="83" spans="1:48">
      <c r="A83" s="24">
        <f t="shared" si="1"/>
        <v>44640</v>
      </c>
      <c r="B83" s="356">
        <v>58.125458792125464</v>
      </c>
      <c r="C83" s="357">
        <v>37.876778365667256</v>
      </c>
      <c r="D83" s="358">
        <v>57.972972972972975</v>
      </c>
      <c r="E83" s="359">
        <v>38.194444444444443</v>
      </c>
      <c r="F83" s="375">
        <v>84</v>
      </c>
      <c r="G83" s="949">
        <v>19</v>
      </c>
      <c r="H83" s="376"/>
      <c r="I83" s="376"/>
      <c r="J83" s="376"/>
      <c r="K83" s="376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78"/>
    </row>
    <row r="84" spans="1:48">
      <c r="A84" s="24">
        <f t="shared" si="1"/>
        <v>44641</v>
      </c>
      <c r="B84" s="356">
        <v>58.529409038668291</v>
      </c>
      <c r="C84" s="357">
        <v>38.156025867136982</v>
      </c>
      <c r="D84" s="358">
        <v>56.837837837837839</v>
      </c>
      <c r="E84" s="359">
        <v>36.888888888888886</v>
      </c>
      <c r="F84" s="375">
        <v>83</v>
      </c>
      <c r="G84" s="949">
        <v>17</v>
      </c>
      <c r="H84" s="376"/>
      <c r="I84" s="376"/>
      <c r="J84" s="376"/>
      <c r="K84" s="376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78"/>
    </row>
    <row r="85" spans="1:48">
      <c r="A85" s="24">
        <f t="shared" si="1"/>
        <v>44642</v>
      </c>
      <c r="B85" s="356">
        <v>58.986746005264521</v>
      </c>
      <c r="C85" s="357">
        <v>38.469909856946892</v>
      </c>
      <c r="D85" s="358">
        <v>57.166666666666664</v>
      </c>
      <c r="E85" s="359">
        <v>35.971428571428568</v>
      </c>
      <c r="F85" s="375">
        <v>81</v>
      </c>
      <c r="G85" s="949">
        <v>16</v>
      </c>
      <c r="H85" s="376"/>
      <c r="I85" s="376"/>
      <c r="J85" s="376"/>
      <c r="K85" s="376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78"/>
    </row>
    <row r="86" spans="1:48">
      <c r="A86" s="24">
        <f t="shared" si="1"/>
        <v>44643</v>
      </c>
      <c r="B86" s="356">
        <v>59.477338449560676</v>
      </c>
      <c r="C86" s="357">
        <v>38.877434842249663</v>
      </c>
      <c r="D86" s="358">
        <v>60.472222222222221</v>
      </c>
      <c r="E86" s="359">
        <v>38.314285714285717</v>
      </c>
      <c r="F86" s="375">
        <v>80</v>
      </c>
      <c r="G86" s="949">
        <v>19</v>
      </c>
      <c r="H86" s="376"/>
      <c r="I86" s="376"/>
      <c r="J86" s="376"/>
      <c r="K86" s="376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78"/>
    </row>
    <row r="87" spans="1:48">
      <c r="A87" s="24">
        <f t="shared" si="1"/>
        <v>44644</v>
      </c>
      <c r="B87" s="356">
        <v>59.904886367849336</v>
      </c>
      <c r="C87" s="357">
        <v>39.305320399764845</v>
      </c>
      <c r="D87" s="358">
        <v>59.864864864864863</v>
      </c>
      <c r="E87" s="359">
        <v>39.972222222222221</v>
      </c>
      <c r="F87" s="375">
        <v>81</v>
      </c>
      <c r="G87" s="949">
        <v>19</v>
      </c>
      <c r="H87" s="376"/>
      <c r="I87" s="376"/>
      <c r="J87" s="376"/>
      <c r="K87" s="376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78"/>
    </row>
    <row r="88" spans="1:48">
      <c r="A88" s="24">
        <f t="shared" si="1"/>
        <v>44645</v>
      </c>
      <c r="B88" s="356">
        <v>60.339441293145001</v>
      </c>
      <c r="C88" s="357">
        <v>39.707142857142856</v>
      </c>
      <c r="D88" s="358">
        <v>60.648648648648646</v>
      </c>
      <c r="E88" s="359">
        <v>40.833333333333336</v>
      </c>
      <c r="F88" s="375">
        <v>84</v>
      </c>
      <c r="G88" s="949">
        <v>17</v>
      </c>
      <c r="H88" s="376"/>
      <c r="I88" s="376"/>
      <c r="J88" s="376"/>
      <c r="K88" s="376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78"/>
    </row>
    <row r="89" spans="1:48">
      <c r="A89" s="24">
        <f t="shared" si="1"/>
        <v>44646</v>
      </c>
      <c r="B89" s="356">
        <v>60.781336892448003</v>
      </c>
      <c r="C89" s="357">
        <v>40.083245149911818</v>
      </c>
      <c r="D89" s="358">
        <v>60.648648648648646</v>
      </c>
      <c r="E89" s="359">
        <v>39.777777777777779</v>
      </c>
      <c r="F89" s="375">
        <v>83</v>
      </c>
      <c r="G89" s="949">
        <v>12</v>
      </c>
      <c r="H89" s="376"/>
      <c r="I89" s="376"/>
      <c r="J89" s="376"/>
      <c r="K89" s="376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78"/>
    </row>
    <row r="90" spans="1:48">
      <c r="A90" s="24">
        <f t="shared" si="1"/>
        <v>44647</v>
      </c>
      <c r="B90" s="356">
        <v>61.236912838764688</v>
      </c>
      <c r="C90" s="357">
        <v>40.459347442680773</v>
      </c>
      <c r="D90" s="358">
        <v>62.108108108108105</v>
      </c>
      <c r="E90" s="359">
        <v>40.805555555555557</v>
      </c>
      <c r="F90" s="375">
        <v>81</v>
      </c>
      <c r="G90" s="949">
        <v>15</v>
      </c>
      <c r="H90" s="376"/>
      <c r="I90" s="376"/>
      <c r="J90" s="376"/>
      <c r="K90" s="376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78"/>
    </row>
    <row r="91" spans="1:48">
      <c r="A91" s="24">
        <f t="shared" si="1"/>
        <v>44648</v>
      </c>
      <c r="B91" s="356">
        <v>61.674804434063681</v>
      </c>
      <c r="C91" s="357">
        <v>40.802184989222027</v>
      </c>
      <c r="D91" s="358">
        <v>64</v>
      </c>
      <c r="E91" s="359">
        <v>42.277777777777779</v>
      </c>
      <c r="F91" s="375">
        <v>82</v>
      </c>
      <c r="G91" s="949">
        <v>6</v>
      </c>
      <c r="H91" s="376"/>
      <c r="I91" s="376"/>
      <c r="J91" s="376"/>
      <c r="K91" s="376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78"/>
    </row>
    <row r="92" spans="1:48">
      <c r="A92" s="24">
        <f t="shared" si="1"/>
        <v>44649</v>
      </c>
      <c r="B92" s="356">
        <v>62.042625959292621</v>
      </c>
      <c r="C92" s="357">
        <v>41.087752302567118</v>
      </c>
      <c r="D92" s="358">
        <v>61.918918918918919</v>
      </c>
      <c r="E92" s="359">
        <v>42.666666666666664</v>
      </c>
      <c r="F92" s="375">
        <v>84</v>
      </c>
      <c r="G92" s="949">
        <v>18</v>
      </c>
      <c r="H92" s="376"/>
      <c r="I92" s="376"/>
      <c r="J92" s="376"/>
      <c r="K92" s="376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78"/>
    </row>
    <row r="93" spans="1:48">
      <c r="A93" s="24">
        <f t="shared" si="1"/>
        <v>44650</v>
      </c>
      <c r="B93" s="356">
        <v>62.413116820524223</v>
      </c>
      <c r="C93" s="357">
        <v>41.338683127572011</v>
      </c>
      <c r="D93" s="358">
        <v>62.432432432432435</v>
      </c>
      <c r="E93" s="359">
        <v>40.694444444444443</v>
      </c>
      <c r="F93" s="375">
        <v>82</v>
      </c>
      <c r="G93" s="949">
        <v>17</v>
      </c>
      <c r="H93" s="376"/>
      <c r="I93" s="376"/>
      <c r="J93" s="376"/>
      <c r="K93" s="376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78"/>
    </row>
    <row r="94" spans="1:48">
      <c r="A94" s="24">
        <f t="shared" si="1"/>
        <v>44651</v>
      </c>
      <c r="B94" s="356">
        <v>62.757247988729468</v>
      </c>
      <c r="C94" s="357">
        <v>41.60058788947677</v>
      </c>
      <c r="D94" s="358">
        <v>61</v>
      </c>
      <c r="E94" s="359">
        <v>42.055555555555557</v>
      </c>
      <c r="F94" s="375">
        <v>85</v>
      </c>
      <c r="G94" s="949">
        <v>20</v>
      </c>
      <c r="H94" s="376"/>
      <c r="I94" s="376"/>
      <c r="J94" s="376"/>
      <c r="K94" s="376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78"/>
    </row>
    <row r="95" spans="1:48">
      <c r="A95" s="24">
        <f t="shared" si="1"/>
        <v>44652</v>
      </c>
      <c r="B95" s="356">
        <v>63.101434768101434</v>
      </c>
      <c r="C95" s="357">
        <v>41.798010973936897</v>
      </c>
      <c r="D95" s="358">
        <v>61.351351351351354</v>
      </c>
      <c r="E95" s="359">
        <v>40.444444444444443</v>
      </c>
      <c r="F95" s="375">
        <v>85</v>
      </c>
      <c r="G95" s="949">
        <v>24</v>
      </c>
      <c r="H95" s="376"/>
      <c r="I95" s="376"/>
      <c r="J95" s="376"/>
      <c r="K95" s="376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78"/>
    </row>
    <row r="96" spans="1:48">
      <c r="A96" s="24">
        <f t="shared" si="1"/>
        <v>44653</v>
      </c>
      <c r="B96" s="356">
        <v>63.515181848515176</v>
      </c>
      <c r="C96" s="357">
        <v>42.008573388203018</v>
      </c>
      <c r="D96" s="358">
        <v>63.54054054054054</v>
      </c>
      <c r="E96" s="359">
        <v>41.833333333333336</v>
      </c>
      <c r="F96" s="375">
        <v>84</v>
      </c>
      <c r="G96" s="949">
        <v>23</v>
      </c>
      <c r="H96" s="376"/>
      <c r="I96" s="376"/>
      <c r="J96" s="376"/>
      <c r="K96" s="376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78"/>
    </row>
    <row r="97" spans="1:48">
      <c r="A97" s="24">
        <f t="shared" si="1"/>
        <v>44654</v>
      </c>
      <c r="B97" s="356">
        <v>63.956289622956284</v>
      </c>
      <c r="C97" s="357">
        <v>42.248628257887518</v>
      </c>
      <c r="D97" s="358">
        <v>65.972972972972968</v>
      </c>
      <c r="E97" s="359">
        <v>42.944444444444443</v>
      </c>
      <c r="F97" s="375">
        <v>85</v>
      </c>
      <c r="G97" s="949">
        <v>24</v>
      </c>
      <c r="H97" s="376"/>
      <c r="I97" s="376"/>
      <c r="J97" s="376"/>
      <c r="K97" s="376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78"/>
    </row>
    <row r="98" spans="1:48">
      <c r="A98" s="24">
        <f t="shared" si="1"/>
        <v>44655</v>
      </c>
      <c r="B98" s="356">
        <v>64.342008675342015</v>
      </c>
      <c r="C98" s="357">
        <v>42.489711934156375</v>
      </c>
      <c r="D98" s="358">
        <v>64.432432432432435</v>
      </c>
      <c r="E98" s="359">
        <v>41.916666666666664</v>
      </c>
      <c r="F98" s="375">
        <v>81</v>
      </c>
      <c r="G98" s="949">
        <v>26</v>
      </c>
      <c r="H98" s="376"/>
      <c r="I98" s="376"/>
      <c r="J98" s="376"/>
      <c r="K98" s="376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78"/>
    </row>
    <row r="99" spans="1:48">
      <c r="A99" s="24">
        <f t="shared" si="1"/>
        <v>44656</v>
      </c>
      <c r="B99" s="356">
        <v>64.710377043710366</v>
      </c>
      <c r="C99" s="357">
        <v>42.756515775034295</v>
      </c>
      <c r="D99" s="358">
        <v>63.918918918918919</v>
      </c>
      <c r="E99" s="359">
        <v>40.833333333333336</v>
      </c>
      <c r="F99" s="375">
        <v>88</v>
      </c>
      <c r="G99" s="949">
        <v>22</v>
      </c>
      <c r="H99" s="376"/>
      <c r="I99" s="376"/>
      <c r="J99" s="376"/>
      <c r="K99" s="376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78"/>
    </row>
    <row r="100" spans="1:48">
      <c r="A100" s="24">
        <f t="shared" si="1"/>
        <v>44657</v>
      </c>
      <c r="B100" s="356">
        <v>65.122122122122121</v>
      </c>
      <c r="C100" s="357">
        <v>43.098422496570642</v>
      </c>
      <c r="D100" s="358">
        <v>64.945945945945951</v>
      </c>
      <c r="E100" s="359">
        <v>42.777777777777779</v>
      </c>
      <c r="F100" s="375">
        <v>85</v>
      </c>
      <c r="G100" s="949">
        <v>26</v>
      </c>
      <c r="H100" s="376"/>
      <c r="I100" s="376"/>
      <c r="J100" s="376"/>
      <c r="K100" s="376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78"/>
    </row>
    <row r="101" spans="1:48">
      <c r="A101" s="24">
        <f t="shared" si="1"/>
        <v>44658</v>
      </c>
      <c r="B101" s="356">
        <v>65.550884217550887</v>
      </c>
      <c r="C101" s="357">
        <v>43.486282578875176</v>
      </c>
      <c r="D101" s="358">
        <v>66.081081081081081</v>
      </c>
      <c r="E101" s="359">
        <v>44.333333333333336</v>
      </c>
      <c r="F101" s="375">
        <v>86</v>
      </c>
      <c r="G101" s="949">
        <v>22</v>
      </c>
      <c r="H101" s="376"/>
      <c r="I101" s="376"/>
      <c r="J101" s="376"/>
      <c r="K101" s="376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78"/>
    </row>
    <row r="102" spans="1:48">
      <c r="A102" s="24">
        <f t="shared" si="1"/>
        <v>44659</v>
      </c>
      <c r="B102" s="356">
        <v>65.95095095095094</v>
      </c>
      <c r="C102" s="357">
        <v>43.87997256515775</v>
      </c>
      <c r="D102" s="358">
        <v>65.891891891891888</v>
      </c>
      <c r="E102" s="359">
        <v>45.388888888888886</v>
      </c>
      <c r="F102" s="375">
        <v>84</v>
      </c>
      <c r="G102" s="949">
        <v>21</v>
      </c>
      <c r="H102" s="376"/>
      <c r="I102" s="376"/>
      <c r="J102" s="376"/>
      <c r="K102" s="376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78"/>
    </row>
    <row r="103" spans="1:48">
      <c r="A103" s="24">
        <f t="shared" si="1"/>
        <v>44660</v>
      </c>
      <c r="B103" s="356">
        <v>66.34000667334</v>
      </c>
      <c r="C103" s="357">
        <v>44.233196159122095</v>
      </c>
      <c r="D103" s="358">
        <v>64.837837837837839</v>
      </c>
      <c r="E103" s="359">
        <v>42.916666666666664</v>
      </c>
      <c r="F103" s="375">
        <v>84</v>
      </c>
      <c r="G103" s="949">
        <v>23</v>
      </c>
      <c r="H103" s="376"/>
      <c r="I103" s="376"/>
      <c r="J103" s="376"/>
      <c r="K103" s="376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78"/>
    </row>
    <row r="104" spans="1:48">
      <c r="A104" s="24">
        <f t="shared" si="1"/>
        <v>44661</v>
      </c>
      <c r="B104" s="356">
        <v>66.773106439773102</v>
      </c>
      <c r="C104" s="357">
        <v>44.635802469135804</v>
      </c>
      <c r="D104" s="358">
        <v>67.86486486486487</v>
      </c>
      <c r="E104" s="359">
        <v>43.638888888888886</v>
      </c>
      <c r="F104" s="375">
        <v>88</v>
      </c>
      <c r="G104" s="949">
        <v>26</v>
      </c>
      <c r="H104" s="376"/>
      <c r="I104" s="376"/>
      <c r="J104" s="376"/>
      <c r="K104" s="376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78"/>
    </row>
    <row r="105" spans="1:48">
      <c r="A105" s="24">
        <f t="shared" si="1"/>
        <v>44662</v>
      </c>
      <c r="B105" s="356">
        <v>67.151151151151154</v>
      </c>
      <c r="C105" s="357">
        <v>45.07990397805213</v>
      </c>
      <c r="D105" s="358">
        <v>69.432432432432435</v>
      </c>
      <c r="E105" s="359">
        <v>46.083333333333336</v>
      </c>
      <c r="F105" s="375">
        <v>83</v>
      </c>
      <c r="G105" s="949">
        <v>27</v>
      </c>
      <c r="H105" s="376"/>
      <c r="I105" s="376"/>
      <c r="J105" s="376"/>
      <c r="K105" s="376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78"/>
    </row>
    <row r="106" spans="1:48">
      <c r="A106" s="24">
        <f t="shared" si="1"/>
        <v>44663</v>
      </c>
      <c r="B106" s="356">
        <v>67.465465465465456</v>
      </c>
      <c r="C106" s="357">
        <v>45.497942386831276</v>
      </c>
      <c r="D106" s="358">
        <v>66.810810810810807</v>
      </c>
      <c r="E106" s="359">
        <v>45.138888888888886</v>
      </c>
      <c r="F106" s="375">
        <v>83</v>
      </c>
      <c r="G106" s="949">
        <v>27</v>
      </c>
      <c r="H106" s="376"/>
      <c r="I106" s="376"/>
      <c r="J106" s="376"/>
      <c r="K106" s="376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78"/>
    </row>
    <row r="107" spans="1:48">
      <c r="A107" s="24">
        <f t="shared" si="1"/>
        <v>44664</v>
      </c>
      <c r="B107" s="356">
        <v>67.782782782782789</v>
      </c>
      <c r="C107" s="357">
        <v>45.926954732510289</v>
      </c>
      <c r="D107" s="358">
        <v>66.810810810810807</v>
      </c>
      <c r="E107" s="359">
        <v>46.138888888888886</v>
      </c>
      <c r="F107" s="375">
        <v>85</v>
      </c>
      <c r="G107" s="949">
        <v>24</v>
      </c>
      <c r="H107" s="376"/>
      <c r="I107" s="376"/>
      <c r="J107" s="376"/>
      <c r="K107" s="376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78"/>
    </row>
    <row r="108" spans="1:48">
      <c r="A108" s="24">
        <f t="shared" si="1"/>
        <v>44665</v>
      </c>
      <c r="B108" s="356">
        <v>68.106106106106111</v>
      </c>
      <c r="C108" s="357">
        <v>46.311042524005487</v>
      </c>
      <c r="D108" s="358">
        <v>69.243243243243242</v>
      </c>
      <c r="E108" s="359">
        <v>46.944444444444443</v>
      </c>
      <c r="F108" s="375">
        <v>89</v>
      </c>
      <c r="G108" s="949">
        <v>28</v>
      </c>
      <c r="H108" s="376"/>
      <c r="I108" s="376"/>
      <c r="J108" s="376"/>
      <c r="K108" s="376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78"/>
    </row>
    <row r="109" spans="1:48">
      <c r="A109" s="24">
        <f t="shared" si="1"/>
        <v>44666</v>
      </c>
      <c r="B109" s="356">
        <v>68.36036036036036</v>
      </c>
      <c r="C109" s="357">
        <v>46.623113854595339</v>
      </c>
      <c r="D109" s="358">
        <v>67.270270270270274</v>
      </c>
      <c r="E109" s="359">
        <v>47</v>
      </c>
      <c r="F109" s="375">
        <v>84</v>
      </c>
      <c r="G109" s="949">
        <v>27</v>
      </c>
      <c r="H109" s="376"/>
      <c r="I109" s="376"/>
      <c r="J109" s="376"/>
      <c r="K109" s="376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78"/>
    </row>
    <row r="110" spans="1:48">
      <c r="A110" s="24">
        <f t="shared" si="1"/>
        <v>44667</v>
      </c>
      <c r="B110" s="356">
        <v>68.615281948615277</v>
      </c>
      <c r="C110" s="357">
        <v>46.89711934156378</v>
      </c>
      <c r="D110" s="358">
        <v>67.918918918918919</v>
      </c>
      <c r="E110" s="359">
        <v>46.472222222222221</v>
      </c>
      <c r="F110" s="375">
        <v>85</v>
      </c>
      <c r="G110" s="949">
        <v>26</v>
      </c>
      <c r="H110" s="376"/>
      <c r="I110" s="376"/>
      <c r="J110" s="376"/>
      <c r="K110" s="376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78"/>
    </row>
    <row r="111" spans="1:48">
      <c r="A111" s="24">
        <f t="shared" si="1"/>
        <v>44668</v>
      </c>
      <c r="B111" s="356">
        <v>68.892225558892221</v>
      </c>
      <c r="C111" s="357">
        <v>47.192043895747602</v>
      </c>
      <c r="D111" s="358">
        <v>68.459459459459453</v>
      </c>
      <c r="E111" s="359">
        <v>46.805555555555557</v>
      </c>
      <c r="F111" s="375">
        <v>85</v>
      </c>
      <c r="G111" s="949">
        <v>28</v>
      </c>
      <c r="H111" s="376"/>
      <c r="I111" s="376"/>
      <c r="J111" s="376"/>
      <c r="K111" s="376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78"/>
    </row>
    <row r="112" spans="1:48">
      <c r="A112" s="24">
        <f t="shared" si="1"/>
        <v>44669</v>
      </c>
      <c r="B112" s="356">
        <v>69.175842509175837</v>
      </c>
      <c r="C112" s="357">
        <v>47.500342935528124</v>
      </c>
      <c r="D112" s="358">
        <v>72.243243243243242</v>
      </c>
      <c r="E112" s="359">
        <v>47.777777777777779</v>
      </c>
      <c r="F112" s="375">
        <v>87</v>
      </c>
      <c r="G112" s="949">
        <v>26</v>
      </c>
      <c r="H112" s="376"/>
      <c r="I112" s="376"/>
      <c r="J112" s="376"/>
      <c r="K112" s="376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78"/>
    </row>
    <row r="113" spans="1:48">
      <c r="A113" s="24">
        <f t="shared" si="1"/>
        <v>44670</v>
      </c>
      <c r="B113" s="356">
        <v>69.33400066733401</v>
      </c>
      <c r="C113" s="357">
        <v>47.766117969821671</v>
      </c>
      <c r="D113" s="358">
        <v>69.918918918918919</v>
      </c>
      <c r="E113" s="359">
        <v>50.194444444444443</v>
      </c>
      <c r="F113" s="375">
        <v>85</v>
      </c>
      <c r="G113" s="949">
        <v>27</v>
      </c>
      <c r="H113" s="376"/>
      <c r="I113" s="376"/>
      <c r="J113" s="376"/>
      <c r="K113" s="376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78"/>
    </row>
    <row r="114" spans="1:48">
      <c r="A114" s="24">
        <f t="shared" si="1"/>
        <v>44671</v>
      </c>
      <c r="B114" s="356">
        <v>69.475809142475811</v>
      </c>
      <c r="C114" s="357">
        <v>47.938614540466396</v>
      </c>
      <c r="D114" s="358">
        <v>70.162162162162161</v>
      </c>
      <c r="E114" s="359">
        <v>48.222222222222221</v>
      </c>
      <c r="F114" s="375">
        <v>86</v>
      </c>
      <c r="G114" s="949">
        <v>30</v>
      </c>
      <c r="H114" s="376"/>
      <c r="I114" s="376"/>
      <c r="J114" s="376"/>
      <c r="K114" s="376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78"/>
    </row>
    <row r="115" spans="1:48">
      <c r="A115" s="24">
        <f t="shared" si="1"/>
        <v>44672</v>
      </c>
      <c r="B115" s="356">
        <v>69.625625625625631</v>
      </c>
      <c r="C115" s="357">
        <v>48.103566529492454</v>
      </c>
      <c r="D115" s="358">
        <v>67.891891891891888</v>
      </c>
      <c r="E115" s="359">
        <v>48.222222222222221</v>
      </c>
      <c r="F115" s="375">
        <v>86</v>
      </c>
      <c r="G115" s="949">
        <v>31</v>
      </c>
      <c r="H115" s="376"/>
      <c r="I115" s="376"/>
      <c r="J115" s="376"/>
      <c r="K115" s="376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78"/>
    </row>
    <row r="116" spans="1:48">
      <c r="A116" s="24">
        <f t="shared" si="1"/>
        <v>44673</v>
      </c>
      <c r="B116" s="356">
        <v>69.836169502836171</v>
      </c>
      <c r="C116" s="357">
        <v>48.267832647462278</v>
      </c>
      <c r="D116" s="358">
        <v>69.675675675675677</v>
      </c>
      <c r="E116" s="359">
        <v>46.722222222222221</v>
      </c>
      <c r="F116" s="375">
        <v>86</v>
      </c>
      <c r="G116" s="949">
        <v>31</v>
      </c>
      <c r="H116" s="376"/>
      <c r="I116" s="376"/>
      <c r="J116" s="376"/>
      <c r="K116" s="376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78"/>
    </row>
    <row r="117" spans="1:48">
      <c r="A117" s="24">
        <f t="shared" si="1"/>
        <v>44674</v>
      </c>
      <c r="B117" s="356">
        <v>70.047047047047045</v>
      </c>
      <c r="C117" s="357">
        <v>48.483882030178322</v>
      </c>
      <c r="D117" s="358">
        <v>68.972972972972968</v>
      </c>
      <c r="E117" s="359">
        <v>47.222222222222221</v>
      </c>
      <c r="F117" s="375">
        <v>87</v>
      </c>
      <c r="G117" s="949">
        <v>29</v>
      </c>
      <c r="H117" s="376"/>
      <c r="I117" s="376"/>
      <c r="J117" s="376"/>
      <c r="K117" s="376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78"/>
    </row>
    <row r="118" spans="1:48">
      <c r="A118" s="24">
        <f t="shared" si="1"/>
        <v>44675</v>
      </c>
      <c r="B118" s="356">
        <v>70.296296296296291</v>
      </c>
      <c r="C118" s="357">
        <v>48.747599451303152</v>
      </c>
      <c r="D118" s="358">
        <v>69.648648648648646</v>
      </c>
      <c r="E118" s="359">
        <v>48.138888888888886</v>
      </c>
      <c r="F118" s="375">
        <v>87</v>
      </c>
      <c r="G118" s="949">
        <v>31</v>
      </c>
      <c r="H118" s="376"/>
      <c r="I118" s="376"/>
      <c r="J118" s="376"/>
      <c r="K118" s="376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78"/>
    </row>
    <row r="119" spans="1:48">
      <c r="A119" s="24">
        <f t="shared" si="1"/>
        <v>44676</v>
      </c>
      <c r="B119" s="356">
        <v>70.527722166611056</v>
      </c>
      <c r="C119" s="357">
        <v>49.02270233196159</v>
      </c>
      <c r="D119" s="358">
        <v>71.540540540540547</v>
      </c>
      <c r="E119" s="359">
        <v>50.305555555555557</v>
      </c>
      <c r="F119" s="375">
        <v>90</v>
      </c>
      <c r="G119" s="949">
        <v>32</v>
      </c>
      <c r="H119" s="376"/>
      <c r="I119" s="376"/>
      <c r="J119" s="376"/>
      <c r="K119" s="376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78"/>
    </row>
    <row r="120" spans="1:48">
      <c r="A120" s="24">
        <f t="shared" si="1"/>
        <v>44677</v>
      </c>
      <c r="B120" s="356">
        <v>70.705362770177587</v>
      </c>
      <c r="C120" s="357">
        <v>49.266108171663724</v>
      </c>
      <c r="D120" s="358">
        <v>71.567567567567565</v>
      </c>
      <c r="E120" s="359">
        <v>49.305555555555557</v>
      </c>
      <c r="F120" s="375">
        <v>93</v>
      </c>
      <c r="G120" s="949">
        <v>35</v>
      </c>
      <c r="H120" s="376"/>
      <c r="I120" s="376"/>
      <c r="J120" s="376"/>
      <c r="K120" s="376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78"/>
    </row>
    <row r="121" spans="1:48">
      <c r="A121" s="24">
        <f t="shared" si="1"/>
        <v>44678</v>
      </c>
      <c r="B121" s="356">
        <v>70.855642679716752</v>
      </c>
      <c r="C121" s="357">
        <v>49.503684107387805</v>
      </c>
      <c r="D121" s="358">
        <v>69.486486486486484</v>
      </c>
      <c r="E121" s="359">
        <v>49.194444444444443</v>
      </c>
      <c r="F121" s="375">
        <v>91</v>
      </c>
      <c r="G121" s="949">
        <v>33</v>
      </c>
      <c r="H121" s="376"/>
      <c r="I121" s="376"/>
      <c r="J121" s="376"/>
      <c r="K121" s="376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78"/>
    </row>
    <row r="122" spans="1:48">
      <c r="A122" s="24">
        <f t="shared" si="1"/>
        <v>44679</v>
      </c>
      <c r="B122" s="356">
        <v>71.079329329329326</v>
      </c>
      <c r="C122" s="357">
        <v>49.760464432686653</v>
      </c>
      <c r="D122" s="358">
        <v>70.648648648648646</v>
      </c>
      <c r="E122" s="359">
        <v>49.194444444444443</v>
      </c>
      <c r="F122" s="375">
        <v>89</v>
      </c>
      <c r="G122" s="949">
        <v>33</v>
      </c>
      <c r="H122" s="376"/>
      <c r="I122" s="376"/>
      <c r="J122" s="376"/>
      <c r="K122" s="376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78"/>
    </row>
    <row r="123" spans="1:48">
      <c r="A123" s="24">
        <f t="shared" si="1"/>
        <v>44680</v>
      </c>
      <c r="B123" s="356">
        <v>71.360073035998951</v>
      </c>
      <c r="C123" s="357">
        <v>50.073143249069169</v>
      </c>
      <c r="D123" s="358">
        <v>71.540540540540547</v>
      </c>
      <c r="E123" s="359">
        <v>49.75</v>
      </c>
      <c r="F123" s="375">
        <v>87</v>
      </c>
      <c r="G123" s="949">
        <v>32</v>
      </c>
      <c r="H123" s="376"/>
      <c r="I123" s="376"/>
      <c r="J123" s="376"/>
      <c r="K123" s="376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78"/>
    </row>
    <row r="124" spans="1:48">
      <c r="A124" s="24">
        <f t="shared" si="1"/>
        <v>44681</v>
      </c>
      <c r="B124" s="356">
        <v>71.666842768694607</v>
      </c>
      <c r="C124" s="357">
        <v>50.416686262982552</v>
      </c>
      <c r="D124" s="358">
        <v>73.891891891891888</v>
      </c>
      <c r="E124" s="359">
        <v>51.25</v>
      </c>
      <c r="F124" s="375">
        <v>92</v>
      </c>
      <c r="G124" s="949">
        <v>34</v>
      </c>
      <c r="H124" s="376"/>
      <c r="I124" s="376"/>
      <c r="J124" s="376"/>
      <c r="K124" s="376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78"/>
    </row>
    <row r="125" spans="1:48">
      <c r="A125" s="24">
        <f t="shared" si="1"/>
        <v>44682</v>
      </c>
      <c r="B125" s="356">
        <v>71.918223779334895</v>
      </c>
      <c r="C125" s="357">
        <v>50.77634724671762</v>
      </c>
      <c r="D125" s="358">
        <v>72.567567567567565</v>
      </c>
      <c r="E125" s="359">
        <v>51.5</v>
      </c>
      <c r="F125" s="375">
        <v>89</v>
      </c>
      <c r="G125" s="949">
        <v>32</v>
      </c>
      <c r="H125" s="376"/>
      <c r="I125" s="376"/>
      <c r="J125" s="376"/>
      <c r="K125" s="376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78"/>
    </row>
    <row r="126" spans="1:48">
      <c r="A126" s="24">
        <f t="shared" si="1"/>
        <v>44683</v>
      </c>
      <c r="B126" s="356">
        <v>72.170605790976168</v>
      </c>
      <c r="C126" s="357">
        <v>51.12812071330589</v>
      </c>
      <c r="D126" s="358">
        <v>71.810810810810807</v>
      </c>
      <c r="E126" s="359">
        <v>51.361111111111114</v>
      </c>
      <c r="F126" s="375">
        <v>90</v>
      </c>
      <c r="G126" s="949">
        <v>32</v>
      </c>
      <c r="H126" s="376"/>
      <c r="I126" s="376"/>
      <c r="J126" s="376"/>
      <c r="K126" s="376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78"/>
    </row>
    <row r="127" spans="1:48">
      <c r="A127" s="24">
        <f t="shared" si="1"/>
        <v>44684</v>
      </c>
      <c r="B127" s="356">
        <v>72.435667148630102</v>
      </c>
      <c r="C127" s="357">
        <v>51.468920242994308</v>
      </c>
      <c r="D127" s="358">
        <v>70.583333333333329</v>
      </c>
      <c r="E127" s="359">
        <v>50.2</v>
      </c>
      <c r="F127" s="375">
        <v>91</v>
      </c>
      <c r="G127" s="949">
        <v>34</v>
      </c>
      <c r="H127" s="376"/>
      <c r="I127" s="376"/>
      <c r="J127" s="376"/>
      <c r="K127" s="376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78"/>
    </row>
    <row r="128" spans="1:48">
      <c r="A128" s="24">
        <f t="shared" si="1"/>
        <v>44685</v>
      </c>
      <c r="B128" s="356">
        <v>72.724696919141365</v>
      </c>
      <c r="C128" s="357">
        <v>51.847991377621007</v>
      </c>
      <c r="D128" s="358">
        <v>70.805555555555557</v>
      </c>
      <c r="E128" s="359">
        <v>51.571428571428569</v>
      </c>
      <c r="F128" s="375">
        <v>90</v>
      </c>
      <c r="G128" s="949">
        <v>34</v>
      </c>
      <c r="H128" s="376"/>
      <c r="I128" s="376"/>
      <c r="J128" s="376"/>
      <c r="K128" s="376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78"/>
    </row>
    <row r="129" spans="1:48">
      <c r="A129" s="24">
        <f t="shared" si="1"/>
        <v>44686</v>
      </c>
      <c r="B129" s="356">
        <v>73.048224150075995</v>
      </c>
      <c r="C129" s="357">
        <v>52.229071134626686</v>
      </c>
      <c r="D129" s="358">
        <v>72.459459459459453</v>
      </c>
      <c r="E129" s="359">
        <v>51.333333333333336</v>
      </c>
      <c r="F129" s="375">
        <v>92</v>
      </c>
      <c r="G129" s="949">
        <v>37</v>
      </c>
      <c r="H129" s="376"/>
      <c r="I129" s="376"/>
      <c r="J129" s="376"/>
      <c r="K129" s="376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78"/>
    </row>
    <row r="130" spans="1:48">
      <c r="A130" s="24">
        <f t="shared" si="1"/>
        <v>44687</v>
      </c>
      <c r="B130" s="356">
        <v>73.395775405034655</v>
      </c>
      <c r="C130" s="357">
        <v>52.607064471879283</v>
      </c>
      <c r="D130" s="358">
        <v>72.675675675675677</v>
      </c>
      <c r="E130" s="359">
        <v>52.166666666666664</v>
      </c>
      <c r="F130" s="375">
        <v>91</v>
      </c>
      <c r="G130" s="949">
        <v>34</v>
      </c>
      <c r="H130" s="376"/>
      <c r="I130" s="376"/>
      <c r="J130" s="376"/>
      <c r="K130" s="376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78"/>
    </row>
    <row r="131" spans="1:48">
      <c r="A131" s="24">
        <f t="shared" si="1"/>
        <v>44688</v>
      </c>
      <c r="B131" s="356">
        <v>73.729646312979639</v>
      </c>
      <c r="C131" s="357">
        <v>52.978199098569469</v>
      </c>
      <c r="D131" s="358">
        <v>76</v>
      </c>
      <c r="E131" s="359">
        <v>52.722222222222221</v>
      </c>
      <c r="F131" s="375">
        <v>87</v>
      </c>
      <c r="G131" s="949">
        <v>35</v>
      </c>
      <c r="H131" s="376"/>
      <c r="I131" s="376"/>
      <c r="J131" s="376"/>
      <c r="K131" s="376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78"/>
    </row>
    <row r="132" spans="1:48">
      <c r="A132" s="24">
        <f t="shared" si="1"/>
        <v>44689</v>
      </c>
      <c r="B132" s="356">
        <v>73.987107477848213</v>
      </c>
      <c r="C132" s="357">
        <v>53.331158142269246</v>
      </c>
      <c r="D132" s="358">
        <v>75.027027027027032</v>
      </c>
      <c r="E132" s="359">
        <v>53.777777777777779</v>
      </c>
      <c r="F132" s="375">
        <v>88</v>
      </c>
      <c r="G132" s="949">
        <v>35</v>
      </c>
      <c r="H132" s="376"/>
      <c r="I132" s="376"/>
      <c r="J132" s="376"/>
      <c r="K132" s="376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78"/>
    </row>
    <row r="133" spans="1:48">
      <c r="A133" s="24">
        <f t="shared" si="1"/>
        <v>44690</v>
      </c>
      <c r="B133" s="356">
        <v>74.204862269677079</v>
      </c>
      <c r="C133" s="357">
        <v>53.667313345091117</v>
      </c>
      <c r="D133" s="358">
        <v>75.405405405405403</v>
      </c>
      <c r="E133" s="359">
        <v>55.583333333333336</v>
      </c>
      <c r="F133" s="375">
        <v>91</v>
      </c>
      <c r="G133" s="949">
        <v>28</v>
      </c>
      <c r="H133" s="376"/>
      <c r="I133" s="376"/>
      <c r="J133" s="376"/>
      <c r="K133" s="376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78"/>
    </row>
    <row r="134" spans="1:48">
      <c r="A134" s="24">
        <f t="shared" ref="A134:A197" si="2">A133+1</f>
        <v>44691</v>
      </c>
      <c r="B134" s="356">
        <v>74.39892670448225</v>
      </c>
      <c r="C134" s="357">
        <v>53.965402704291591</v>
      </c>
      <c r="D134" s="358">
        <v>75.540540540540547</v>
      </c>
      <c r="E134" s="359">
        <v>55.638888888888886</v>
      </c>
      <c r="F134" s="375">
        <v>86</v>
      </c>
      <c r="G134" s="949">
        <v>30</v>
      </c>
      <c r="H134" s="376"/>
      <c r="I134" s="376"/>
      <c r="J134" s="376"/>
      <c r="K134" s="376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78"/>
    </row>
    <row r="135" spans="1:48">
      <c r="A135" s="24">
        <f t="shared" si="2"/>
        <v>44692</v>
      </c>
      <c r="B135" s="356">
        <v>74.557288770251745</v>
      </c>
      <c r="C135" s="357">
        <v>54.217881638252003</v>
      </c>
      <c r="D135" s="358">
        <v>75.675675675675677</v>
      </c>
      <c r="E135" s="359">
        <v>54.611111111111114</v>
      </c>
      <c r="F135" s="375">
        <v>88</v>
      </c>
      <c r="G135" s="949">
        <v>34</v>
      </c>
      <c r="H135" s="376"/>
      <c r="I135" s="376"/>
      <c r="J135" s="376"/>
      <c r="K135" s="376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78"/>
    </row>
    <row r="136" spans="1:48">
      <c r="A136" s="24">
        <f t="shared" si="2"/>
        <v>44693</v>
      </c>
      <c r="B136" s="356">
        <v>74.668937455974515</v>
      </c>
      <c r="C136" s="357">
        <v>54.455614344503232</v>
      </c>
      <c r="D136" s="358">
        <v>73.459459459459453</v>
      </c>
      <c r="E136" s="359">
        <v>55.361111111111114</v>
      </c>
      <c r="F136" s="375">
        <v>88</v>
      </c>
      <c r="G136" s="949">
        <v>36</v>
      </c>
      <c r="H136" s="376"/>
      <c r="I136" s="376"/>
      <c r="J136" s="376"/>
      <c r="K136" s="376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78"/>
    </row>
    <row r="137" spans="1:48">
      <c r="A137" s="24">
        <f t="shared" si="2"/>
        <v>44694</v>
      </c>
      <c r="B137" s="356">
        <v>74.775442108775465</v>
      </c>
      <c r="C137" s="357">
        <v>54.62962962962964</v>
      </c>
      <c r="D137" s="358">
        <v>72.86486486486487</v>
      </c>
      <c r="E137" s="359">
        <v>53</v>
      </c>
      <c r="F137" s="375">
        <v>89</v>
      </c>
      <c r="G137" s="949">
        <v>35</v>
      </c>
      <c r="H137" s="376"/>
      <c r="I137" s="376"/>
      <c r="J137" s="376"/>
      <c r="K137" s="376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78"/>
    </row>
    <row r="138" spans="1:48">
      <c r="A138" s="24">
        <f t="shared" si="2"/>
        <v>44695</v>
      </c>
      <c r="B138" s="356">
        <v>74.899566232899573</v>
      </c>
      <c r="C138" s="357">
        <v>54.806241426611805</v>
      </c>
      <c r="D138" s="358">
        <v>75.297297297297291</v>
      </c>
      <c r="E138" s="359">
        <v>53.111111111111114</v>
      </c>
      <c r="F138" s="375">
        <v>90</v>
      </c>
      <c r="G138" s="949">
        <v>34</v>
      </c>
      <c r="H138" s="376"/>
      <c r="I138" s="376"/>
      <c r="J138" s="376"/>
      <c r="K138" s="376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78"/>
    </row>
    <row r="139" spans="1:48">
      <c r="A139" s="24">
        <f t="shared" si="2"/>
        <v>44696</v>
      </c>
      <c r="B139" s="356">
        <v>75.032699366032702</v>
      </c>
      <c r="C139" s="357">
        <v>55.004115226337461</v>
      </c>
      <c r="D139" s="358">
        <v>74.756756756756758</v>
      </c>
      <c r="E139" s="359">
        <v>54.583333333333336</v>
      </c>
      <c r="F139" s="375">
        <v>89</v>
      </c>
      <c r="G139" s="949">
        <v>37</v>
      </c>
      <c r="H139" s="376"/>
      <c r="I139" s="376"/>
      <c r="J139" s="376"/>
      <c r="K139" s="376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78"/>
    </row>
    <row r="140" spans="1:48">
      <c r="A140" s="24">
        <f t="shared" si="2"/>
        <v>44697</v>
      </c>
      <c r="B140" s="356">
        <v>75.195612278945617</v>
      </c>
      <c r="C140" s="357">
        <v>55.219272976680394</v>
      </c>
      <c r="D140" s="358">
        <v>75.162162162162161</v>
      </c>
      <c r="E140" s="359">
        <v>54.777777777777779</v>
      </c>
      <c r="F140" s="375">
        <v>89</v>
      </c>
      <c r="G140" s="949">
        <v>32</v>
      </c>
      <c r="H140" s="376"/>
      <c r="I140" s="376"/>
      <c r="J140" s="376"/>
      <c r="K140" s="376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78"/>
    </row>
    <row r="141" spans="1:48">
      <c r="A141" s="24">
        <f t="shared" si="2"/>
        <v>44698</v>
      </c>
      <c r="B141" s="356">
        <v>75.410076743410073</v>
      </c>
      <c r="C141" s="357">
        <v>55.461179698216739</v>
      </c>
      <c r="D141" s="358">
        <v>75.297297297297291</v>
      </c>
      <c r="E141" s="359">
        <v>56.444444444444443</v>
      </c>
      <c r="F141" s="375">
        <v>90</v>
      </c>
      <c r="G141" s="949">
        <v>38</v>
      </c>
      <c r="H141" s="376"/>
      <c r="I141" s="376"/>
      <c r="J141" s="376"/>
      <c r="K141" s="376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78"/>
    </row>
    <row r="142" spans="1:48">
      <c r="A142" s="24">
        <f t="shared" si="2"/>
        <v>44699</v>
      </c>
      <c r="B142" s="356">
        <v>75.649770140510881</v>
      </c>
      <c r="C142" s="357">
        <v>55.703831079757009</v>
      </c>
      <c r="D142" s="358">
        <v>75</v>
      </c>
      <c r="E142" s="359">
        <v>56.833333333333336</v>
      </c>
      <c r="F142" s="375">
        <v>91</v>
      </c>
      <c r="G142" s="949">
        <v>38</v>
      </c>
      <c r="H142" s="376"/>
      <c r="I142" s="376"/>
      <c r="J142" s="376"/>
      <c r="K142" s="376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78"/>
    </row>
    <row r="143" spans="1:48">
      <c r="A143" s="24">
        <f t="shared" si="2"/>
        <v>44700</v>
      </c>
      <c r="B143" s="356">
        <v>75.953193934675426</v>
      </c>
      <c r="C143" s="357">
        <v>55.96397217323144</v>
      </c>
      <c r="D143" s="358">
        <v>75.621621621621628</v>
      </c>
      <c r="E143" s="359">
        <v>56.083333333333336</v>
      </c>
      <c r="F143" s="375">
        <v>92</v>
      </c>
      <c r="G143" s="949">
        <v>39</v>
      </c>
      <c r="H143" s="376"/>
      <c r="I143" s="376"/>
      <c r="J143" s="376"/>
      <c r="K143" s="376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78"/>
    </row>
    <row r="144" spans="1:48">
      <c r="A144" s="24">
        <f t="shared" si="2"/>
        <v>44701</v>
      </c>
      <c r="B144" s="356">
        <v>76.306334111889655</v>
      </c>
      <c r="C144" s="357">
        <v>56.264579659024101</v>
      </c>
      <c r="D144" s="358">
        <v>75.756756756756758</v>
      </c>
      <c r="E144" s="359">
        <v>56.666666666666664</v>
      </c>
      <c r="F144" s="375">
        <v>91</v>
      </c>
      <c r="G144" s="949">
        <v>42</v>
      </c>
      <c r="H144" s="376"/>
      <c r="I144" s="376"/>
      <c r="J144" s="376"/>
      <c r="K144" s="376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78"/>
    </row>
    <row r="145" spans="1:48">
      <c r="A145" s="24">
        <f t="shared" si="2"/>
        <v>44702</v>
      </c>
      <c r="B145" s="356">
        <v>76.708523338152958</v>
      </c>
      <c r="C145" s="357">
        <v>56.579933372525971</v>
      </c>
      <c r="D145" s="358">
        <v>75.918918918918919</v>
      </c>
      <c r="E145" s="359">
        <v>55.361111111111114</v>
      </c>
      <c r="F145" s="375">
        <v>94</v>
      </c>
      <c r="G145" s="949">
        <v>40</v>
      </c>
      <c r="H145" s="376"/>
      <c r="I145" s="376"/>
      <c r="J145" s="376"/>
      <c r="K145" s="376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78"/>
    </row>
    <row r="146" spans="1:48">
      <c r="A146" s="24">
        <f t="shared" si="2"/>
        <v>44703</v>
      </c>
      <c r="B146" s="356">
        <v>77.14508026545063</v>
      </c>
      <c r="C146" s="357">
        <v>56.953243190280233</v>
      </c>
      <c r="D146" s="358">
        <v>76.351351351351354</v>
      </c>
      <c r="E146" s="359">
        <v>54.638888888888886</v>
      </c>
      <c r="F146" s="375">
        <v>96</v>
      </c>
      <c r="G146" s="949">
        <v>37</v>
      </c>
      <c r="H146" s="376"/>
      <c r="I146" s="376"/>
      <c r="J146" s="376"/>
      <c r="K146" s="376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78"/>
    </row>
    <row r="147" spans="1:48">
      <c r="A147" s="24">
        <f t="shared" si="2"/>
        <v>44704</v>
      </c>
      <c r="B147" s="356">
        <v>77.593927260593944</v>
      </c>
      <c r="C147" s="357">
        <v>57.387673917303545</v>
      </c>
      <c r="D147" s="358">
        <v>78.86486486486487</v>
      </c>
      <c r="E147" s="359">
        <v>56.611111111111114</v>
      </c>
      <c r="F147" s="375">
        <v>90</v>
      </c>
      <c r="G147" s="949">
        <v>40</v>
      </c>
      <c r="H147" s="376"/>
      <c r="I147" s="376"/>
      <c r="J147" s="376"/>
      <c r="K147" s="376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78"/>
    </row>
    <row r="148" spans="1:48">
      <c r="A148" s="24">
        <f t="shared" si="2"/>
        <v>44705</v>
      </c>
      <c r="B148" s="356">
        <v>78.01754532310089</v>
      </c>
      <c r="C148" s="357">
        <v>57.831667646482465</v>
      </c>
      <c r="D148" s="358">
        <v>79.25</v>
      </c>
      <c r="E148" s="359">
        <v>58.4</v>
      </c>
      <c r="F148" s="375">
        <v>91</v>
      </c>
      <c r="G148" s="949">
        <v>45</v>
      </c>
      <c r="H148" s="376"/>
      <c r="I148" s="376"/>
      <c r="J148" s="376"/>
      <c r="K148" s="376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78"/>
    </row>
    <row r="149" spans="1:48">
      <c r="A149" s="24">
        <f t="shared" si="2"/>
        <v>44706</v>
      </c>
      <c r="B149" s="356">
        <v>78.392948504059618</v>
      </c>
      <c r="C149" s="357">
        <v>58.267156574563991</v>
      </c>
      <c r="D149" s="358">
        <v>78.5</v>
      </c>
      <c r="E149" s="359">
        <v>59</v>
      </c>
      <c r="F149" s="375">
        <v>91</v>
      </c>
      <c r="G149" s="949">
        <v>41</v>
      </c>
      <c r="H149" s="376"/>
      <c r="I149" s="376"/>
      <c r="J149" s="376"/>
      <c r="K149" s="376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78"/>
    </row>
    <row r="150" spans="1:48">
      <c r="A150" s="24">
        <f t="shared" si="2"/>
        <v>44707</v>
      </c>
      <c r="B150" s="356">
        <v>78.736653319986644</v>
      </c>
      <c r="C150" s="357">
        <v>58.660464432686659</v>
      </c>
      <c r="D150" s="358">
        <v>77.611111111111114</v>
      </c>
      <c r="E150" s="359">
        <v>59.171428571428571</v>
      </c>
      <c r="F150" s="375">
        <v>93</v>
      </c>
      <c r="G150" s="949">
        <v>37</v>
      </c>
      <c r="H150" s="376"/>
      <c r="I150" s="376"/>
      <c r="J150" s="376"/>
      <c r="K150" s="376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78"/>
    </row>
    <row r="151" spans="1:48">
      <c r="A151" s="24">
        <f t="shared" si="2"/>
        <v>44708</v>
      </c>
      <c r="B151" s="356">
        <v>79.061932302673029</v>
      </c>
      <c r="C151" s="357">
        <v>59.025191064079962</v>
      </c>
      <c r="D151" s="358">
        <v>79.756756756756758</v>
      </c>
      <c r="E151" s="359">
        <v>59.5</v>
      </c>
      <c r="F151" s="375">
        <v>91</v>
      </c>
      <c r="G151" s="949">
        <v>37</v>
      </c>
      <c r="H151" s="376"/>
      <c r="I151" s="376"/>
      <c r="J151" s="376"/>
      <c r="K151" s="376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78"/>
    </row>
    <row r="152" spans="1:48">
      <c r="A152" s="24">
        <f t="shared" si="2"/>
        <v>44709</v>
      </c>
      <c r="B152" s="356">
        <v>79.329820561302043</v>
      </c>
      <c r="C152" s="357">
        <v>59.347050754458174</v>
      </c>
      <c r="D152" s="358">
        <v>79.729729729729726</v>
      </c>
      <c r="E152" s="359">
        <v>59.805555555555557</v>
      </c>
      <c r="F152" s="375">
        <v>92</v>
      </c>
      <c r="G152" s="949">
        <v>41</v>
      </c>
      <c r="H152" s="376"/>
      <c r="I152" s="376"/>
      <c r="J152" s="376"/>
      <c r="K152" s="376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78"/>
    </row>
    <row r="153" spans="1:48">
      <c r="A153" s="24">
        <f t="shared" si="2"/>
        <v>44710</v>
      </c>
      <c r="B153" s="356">
        <v>79.557001445890336</v>
      </c>
      <c r="C153" s="357">
        <v>59.622614148540073</v>
      </c>
      <c r="D153" s="358">
        <v>79.810810810810807</v>
      </c>
      <c r="E153" s="359">
        <v>59.916666666666664</v>
      </c>
      <c r="F153" s="375">
        <v>91</v>
      </c>
      <c r="G153" s="949">
        <v>43</v>
      </c>
      <c r="H153" s="376"/>
      <c r="I153" s="376"/>
      <c r="J153" s="376"/>
      <c r="K153" s="376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78"/>
    </row>
    <row r="154" spans="1:48">
      <c r="A154" s="24">
        <f t="shared" si="2"/>
        <v>44711</v>
      </c>
      <c r="B154" s="356">
        <v>79.757488970451931</v>
      </c>
      <c r="C154" s="357">
        <v>59.86697040956301</v>
      </c>
      <c r="D154" s="358">
        <v>81.162162162162161</v>
      </c>
      <c r="E154" s="359">
        <v>60.055555555555557</v>
      </c>
      <c r="F154" s="375">
        <v>92</v>
      </c>
      <c r="G154" s="949">
        <v>38</v>
      </c>
      <c r="H154" s="376"/>
      <c r="I154" s="376"/>
      <c r="J154" s="376"/>
      <c r="K154" s="376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78"/>
    </row>
    <row r="155" spans="1:48">
      <c r="A155" s="24">
        <f t="shared" si="2"/>
        <v>44712</v>
      </c>
      <c r="B155" s="356">
        <v>79.905590775961144</v>
      </c>
      <c r="C155" s="357">
        <v>60.091093474426806</v>
      </c>
      <c r="D155" s="358">
        <v>80.833333333333329</v>
      </c>
      <c r="E155" s="359">
        <v>61.228571428571428</v>
      </c>
      <c r="F155" s="375">
        <v>95</v>
      </c>
      <c r="G155" s="949">
        <v>43</v>
      </c>
      <c r="H155" s="376"/>
      <c r="I155" s="376"/>
      <c r="J155" s="376"/>
      <c r="K155" s="376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78"/>
    </row>
    <row r="156" spans="1:48">
      <c r="A156" s="24">
        <f t="shared" si="2"/>
        <v>44713</v>
      </c>
      <c r="B156" s="356">
        <v>80.025442108775437</v>
      </c>
      <c r="C156" s="357">
        <v>60.256760728982954</v>
      </c>
      <c r="D156" s="358">
        <v>80.388888888888886</v>
      </c>
      <c r="E156" s="359">
        <v>60.885714285714286</v>
      </c>
      <c r="F156" s="375">
        <v>96</v>
      </c>
      <c r="G156" s="949">
        <v>39</v>
      </c>
      <c r="H156" s="376"/>
      <c r="I156" s="376"/>
      <c r="J156" s="376"/>
      <c r="K156" s="376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78"/>
    </row>
    <row r="157" spans="1:48">
      <c r="A157" s="24">
        <f t="shared" si="2"/>
        <v>44714</v>
      </c>
      <c r="B157" s="356">
        <v>80.154376598821045</v>
      </c>
      <c r="C157" s="357">
        <v>60.388555751518716</v>
      </c>
      <c r="D157" s="358">
        <v>79.837837837837839</v>
      </c>
      <c r="E157" s="359">
        <v>61.527777777777779</v>
      </c>
      <c r="F157" s="375">
        <v>97</v>
      </c>
      <c r="G157" s="949">
        <v>42</v>
      </c>
      <c r="H157" s="376"/>
      <c r="I157" s="376"/>
      <c r="J157" s="376"/>
      <c r="K157" s="376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78"/>
    </row>
    <row r="158" spans="1:48">
      <c r="A158" s="24">
        <f t="shared" si="2"/>
        <v>44715</v>
      </c>
      <c r="B158" s="356">
        <v>80.314425536647775</v>
      </c>
      <c r="C158" s="357">
        <v>60.509514011365859</v>
      </c>
      <c r="D158" s="358">
        <v>79.270270270270274</v>
      </c>
      <c r="E158" s="359">
        <v>59.805555555555557</v>
      </c>
      <c r="F158" s="375">
        <v>96</v>
      </c>
      <c r="G158" s="949">
        <v>45</v>
      </c>
      <c r="H158" s="376"/>
      <c r="I158" s="376"/>
      <c r="J158" s="376"/>
      <c r="K158" s="376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78"/>
    </row>
    <row r="159" spans="1:48">
      <c r="A159" s="24">
        <f t="shared" si="2"/>
        <v>44716</v>
      </c>
      <c r="B159" s="356">
        <v>80.519686353019694</v>
      </c>
      <c r="C159" s="357">
        <v>60.674025083284342</v>
      </c>
      <c r="D159" s="358">
        <v>78.432432432432435</v>
      </c>
      <c r="E159" s="359">
        <v>59.583333333333336</v>
      </c>
      <c r="F159" s="375">
        <v>94</v>
      </c>
      <c r="G159" s="949">
        <v>46</v>
      </c>
      <c r="H159" s="376"/>
      <c r="I159" s="376"/>
      <c r="J159" s="376"/>
      <c r="K159" s="376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78"/>
    </row>
    <row r="160" spans="1:48">
      <c r="A160" s="24">
        <f t="shared" si="2"/>
        <v>44717</v>
      </c>
      <c r="B160" s="356">
        <v>80.782875468060652</v>
      </c>
      <c r="C160" s="357">
        <v>60.883862433862433</v>
      </c>
      <c r="D160" s="358">
        <v>79.86486486486487</v>
      </c>
      <c r="E160" s="359">
        <v>58.694444444444443</v>
      </c>
      <c r="F160" s="375">
        <v>95</v>
      </c>
      <c r="G160" s="949">
        <v>43</v>
      </c>
      <c r="H160" s="376"/>
      <c r="I160" s="376"/>
      <c r="J160" s="376"/>
      <c r="K160" s="376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78"/>
    </row>
    <row r="161" spans="1:48">
      <c r="A161" s="24">
        <f t="shared" si="2"/>
        <v>44718</v>
      </c>
      <c r="B161" s="356">
        <v>81.097449301153006</v>
      </c>
      <c r="C161" s="357">
        <v>61.157142857142858</v>
      </c>
      <c r="D161" s="358">
        <v>80.540540540540547</v>
      </c>
      <c r="E161" s="359">
        <v>59.777777777777779</v>
      </c>
      <c r="F161" s="375">
        <v>95</v>
      </c>
      <c r="G161" s="949">
        <v>43</v>
      </c>
      <c r="H161" s="376"/>
      <c r="I161" s="376"/>
      <c r="J161" s="376"/>
      <c r="K161" s="376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78"/>
    </row>
    <row r="162" spans="1:48">
      <c r="A162" s="24">
        <f t="shared" si="2"/>
        <v>44719</v>
      </c>
      <c r="B162" s="356">
        <v>81.442053164275379</v>
      </c>
      <c r="C162" s="357">
        <v>61.480491867528904</v>
      </c>
      <c r="D162" s="358">
        <v>81.702702702702709</v>
      </c>
      <c r="E162" s="359">
        <v>60.638888888888886</v>
      </c>
      <c r="F162" s="375">
        <v>95</v>
      </c>
      <c r="G162" s="949">
        <v>43</v>
      </c>
      <c r="H162" s="376"/>
      <c r="I162" s="376"/>
      <c r="J162" s="376"/>
      <c r="K162" s="376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78"/>
    </row>
    <row r="163" spans="1:48">
      <c r="A163" s="24">
        <f t="shared" si="2"/>
        <v>44720</v>
      </c>
      <c r="B163" s="356">
        <v>81.793330367404451</v>
      </c>
      <c r="C163" s="357">
        <v>61.846021947873801</v>
      </c>
      <c r="D163" s="358">
        <v>82.162162162162161</v>
      </c>
      <c r="E163" s="359">
        <v>63.111111111111114</v>
      </c>
      <c r="F163" s="375">
        <v>97</v>
      </c>
      <c r="G163" s="949">
        <v>50</v>
      </c>
      <c r="H163" s="376"/>
      <c r="I163" s="376"/>
      <c r="J163" s="376"/>
      <c r="K163" s="376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78"/>
    </row>
    <row r="164" spans="1:48">
      <c r="A164" s="24">
        <f t="shared" si="2"/>
        <v>44721</v>
      </c>
      <c r="B164" s="356">
        <v>82.16162458755052</v>
      </c>
      <c r="C164" s="357">
        <v>62.181030766215954</v>
      </c>
      <c r="D164" s="358">
        <v>83.027027027027032</v>
      </c>
      <c r="E164" s="359">
        <v>63.083333333333336</v>
      </c>
      <c r="F164" s="375">
        <v>97</v>
      </c>
      <c r="G164" s="949">
        <v>47</v>
      </c>
      <c r="H164" s="376"/>
      <c r="I164" s="376"/>
      <c r="J164" s="376"/>
      <c r="K164" s="376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78"/>
    </row>
    <row r="165" spans="1:48">
      <c r="A165" s="24">
        <f t="shared" si="2"/>
        <v>44722</v>
      </c>
      <c r="B165" s="356">
        <v>82.519185852519172</v>
      </c>
      <c r="C165" s="357">
        <v>62.516460905349795</v>
      </c>
      <c r="D165" s="358">
        <v>82.648648648648646</v>
      </c>
      <c r="E165" s="359">
        <v>62.416666666666664</v>
      </c>
      <c r="F165" s="375">
        <v>96</v>
      </c>
      <c r="G165" s="949">
        <v>46</v>
      </c>
      <c r="H165" s="376"/>
      <c r="I165" s="376"/>
      <c r="J165" s="376"/>
      <c r="K165" s="376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78"/>
    </row>
    <row r="166" spans="1:48">
      <c r="A166" s="24">
        <f t="shared" si="2"/>
        <v>44723</v>
      </c>
      <c r="B166" s="356">
        <v>82.87554220887553</v>
      </c>
      <c r="C166" s="357">
        <v>62.86591220850481</v>
      </c>
      <c r="D166" s="358">
        <v>82.945945945945951</v>
      </c>
      <c r="E166" s="359">
        <v>63.777777777777779</v>
      </c>
      <c r="F166" s="375">
        <v>93</v>
      </c>
      <c r="G166" s="949">
        <v>47</v>
      </c>
      <c r="H166" s="376"/>
      <c r="I166" s="376"/>
      <c r="J166" s="376"/>
      <c r="K166" s="376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78"/>
    </row>
    <row r="167" spans="1:48">
      <c r="A167" s="24">
        <f t="shared" si="2"/>
        <v>44724</v>
      </c>
      <c r="B167" s="356">
        <v>83.219219219219227</v>
      </c>
      <c r="C167" s="357">
        <v>63.211934156378597</v>
      </c>
      <c r="D167" s="358">
        <v>83.702702702702709</v>
      </c>
      <c r="E167" s="359">
        <v>64.138888888888886</v>
      </c>
      <c r="F167" s="375">
        <v>94</v>
      </c>
      <c r="G167" s="949">
        <v>50</v>
      </c>
      <c r="H167" s="376"/>
      <c r="I167" s="376"/>
      <c r="J167" s="376"/>
      <c r="K167" s="376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78"/>
    </row>
    <row r="168" spans="1:48">
      <c r="A168" s="24">
        <f t="shared" si="2"/>
        <v>44725</v>
      </c>
      <c r="B168" s="356">
        <v>83.533533533533543</v>
      </c>
      <c r="C168" s="357">
        <v>63.519890260631009</v>
      </c>
      <c r="D168" s="358">
        <v>83.945945945945951</v>
      </c>
      <c r="E168" s="359">
        <v>63.666666666666664</v>
      </c>
      <c r="F168" s="375">
        <v>94</v>
      </c>
      <c r="G168" s="949">
        <v>45</v>
      </c>
      <c r="H168" s="376"/>
      <c r="I168" s="376"/>
      <c r="J168" s="376"/>
      <c r="K168" s="376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78"/>
    </row>
    <row r="169" spans="1:48">
      <c r="A169" s="24">
        <f t="shared" si="2"/>
        <v>44726</v>
      </c>
      <c r="B169" s="356">
        <v>83.799799799799814</v>
      </c>
      <c r="C169" s="357">
        <v>63.800068587105621</v>
      </c>
      <c r="D169" s="358">
        <v>84.13513513513513</v>
      </c>
      <c r="E169" s="359">
        <v>63.027777777777779</v>
      </c>
      <c r="F169" s="375">
        <v>96</v>
      </c>
      <c r="G169" s="949">
        <v>47</v>
      </c>
      <c r="H169" s="376"/>
      <c r="I169" s="376"/>
      <c r="J169" s="376"/>
      <c r="K169" s="376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78"/>
    </row>
    <row r="170" spans="1:48">
      <c r="A170" s="24">
        <f t="shared" si="2"/>
        <v>44727</v>
      </c>
      <c r="B170" s="356">
        <v>84.039706373039692</v>
      </c>
      <c r="C170" s="357">
        <v>64.063786008230466</v>
      </c>
      <c r="D170" s="358">
        <v>83.78378378378379</v>
      </c>
      <c r="E170" s="359">
        <v>63.805555555555557</v>
      </c>
      <c r="F170" s="375">
        <v>96</v>
      </c>
      <c r="G170" s="949">
        <v>51</v>
      </c>
      <c r="H170" s="376"/>
      <c r="I170" s="376"/>
      <c r="J170" s="376"/>
      <c r="K170" s="376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78"/>
    </row>
    <row r="171" spans="1:48">
      <c r="A171" s="24">
        <f t="shared" si="2"/>
        <v>44728</v>
      </c>
      <c r="B171" s="356">
        <v>84.255922589255917</v>
      </c>
      <c r="C171" s="357">
        <v>64.298696844993131</v>
      </c>
      <c r="D171" s="358">
        <v>84.13513513513513</v>
      </c>
      <c r="E171" s="359">
        <v>64.777777777777771</v>
      </c>
      <c r="F171" s="375">
        <v>96</v>
      </c>
      <c r="G171" s="949">
        <v>50</v>
      </c>
      <c r="H171" s="376"/>
      <c r="I171" s="376"/>
      <c r="J171" s="376"/>
      <c r="K171" s="376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78"/>
    </row>
    <row r="172" spans="1:48">
      <c r="A172" s="24">
        <f t="shared" si="2"/>
        <v>44729</v>
      </c>
      <c r="B172" s="356">
        <v>84.466132799466138</v>
      </c>
      <c r="C172" s="357">
        <v>64.496913580246925</v>
      </c>
      <c r="D172" s="358">
        <v>84.540540540540547</v>
      </c>
      <c r="E172" s="359">
        <v>63.694444444444443</v>
      </c>
      <c r="F172" s="375">
        <v>99</v>
      </c>
      <c r="G172" s="949">
        <v>50</v>
      </c>
      <c r="H172" s="376"/>
      <c r="I172" s="376"/>
      <c r="J172" s="376"/>
      <c r="K172" s="376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78"/>
    </row>
    <row r="173" spans="1:48">
      <c r="A173" s="24">
        <f t="shared" si="2"/>
        <v>44730</v>
      </c>
      <c r="B173" s="356">
        <v>84.658992325659</v>
      </c>
      <c r="C173" s="357">
        <v>64.714334705075458</v>
      </c>
      <c r="D173" s="358">
        <v>84.351351351351354</v>
      </c>
      <c r="E173" s="359">
        <v>64.972222222222229</v>
      </c>
      <c r="F173" s="375">
        <v>99</v>
      </c>
      <c r="G173" s="949">
        <v>51</v>
      </c>
      <c r="H173" s="376"/>
      <c r="I173" s="376"/>
      <c r="J173" s="376"/>
      <c r="K173" s="376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78"/>
    </row>
    <row r="174" spans="1:48">
      <c r="A174" s="24">
        <f t="shared" si="2"/>
        <v>44731</v>
      </c>
      <c r="B174" s="356">
        <v>84.837837837837853</v>
      </c>
      <c r="C174" s="357">
        <v>64.905006858710578</v>
      </c>
      <c r="D174" s="358">
        <v>84.810810810810807</v>
      </c>
      <c r="E174" s="359">
        <v>65.083333333333329</v>
      </c>
      <c r="F174" s="375">
        <v>95</v>
      </c>
      <c r="G174" s="949">
        <v>52</v>
      </c>
      <c r="H174" s="376"/>
      <c r="I174" s="376"/>
      <c r="J174" s="376"/>
      <c r="K174" s="376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78"/>
    </row>
    <row r="175" spans="1:48">
      <c r="A175" s="24">
        <f t="shared" si="2"/>
        <v>44732</v>
      </c>
      <c r="B175" s="356">
        <v>84.994327660994315</v>
      </c>
      <c r="C175" s="357">
        <v>65.05658436213993</v>
      </c>
      <c r="D175" s="358">
        <v>85.027027027027032</v>
      </c>
      <c r="E175" s="359">
        <v>65.75</v>
      </c>
      <c r="F175" s="375">
        <v>100</v>
      </c>
      <c r="G175" s="949">
        <v>51</v>
      </c>
      <c r="H175" s="376"/>
      <c r="I175" s="376"/>
      <c r="J175" s="376"/>
      <c r="K175" s="376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78"/>
    </row>
    <row r="176" spans="1:48">
      <c r="A176" s="24">
        <f t="shared" si="2"/>
        <v>44733</v>
      </c>
      <c r="B176" s="356">
        <v>85.1408074741408</v>
      </c>
      <c r="C176" s="357">
        <v>65.18312757201646</v>
      </c>
      <c r="D176" s="358">
        <v>85.756756756756758</v>
      </c>
      <c r="E176" s="359">
        <v>65.388888888888886</v>
      </c>
      <c r="F176" s="375">
        <v>97</v>
      </c>
      <c r="G176" s="949">
        <v>49</v>
      </c>
      <c r="H176" s="376"/>
      <c r="I176" s="376"/>
      <c r="J176" s="376"/>
      <c r="K176" s="376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78"/>
    </row>
    <row r="177" spans="1:48">
      <c r="A177" s="24">
        <f t="shared" si="2"/>
        <v>44734</v>
      </c>
      <c r="B177" s="356">
        <v>85.266599933266605</v>
      </c>
      <c r="C177" s="357">
        <v>65.298010973936897</v>
      </c>
      <c r="D177" s="358">
        <v>85.567567567567565</v>
      </c>
      <c r="E177" s="359">
        <v>65.5</v>
      </c>
      <c r="F177" s="375">
        <v>101</v>
      </c>
      <c r="G177" s="949">
        <v>45</v>
      </c>
      <c r="H177" s="376"/>
      <c r="I177" s="376"/>
      <c r="J177" s="376"/>
      <c r="K177" s="376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78"/>
    </row>
    <row r="178" spans="1:48">
      <c r="A178" s="24">
        <f t="shared" si="2"/>
        <v>44735</v>
      </c>
      <c r="B178" s="356">
        <v>85.355689022355691</v>
      </c>
      <c r="C178" s="357">
        <v>65.400891632373103</v>
      </c>
      <c r="D178" s="358">
        <v>86.270270270270274</v>
      </c>
      <c r="E178" s="359">
        <v>66.027777777777771</v>
      </c>
      <c r="F178" s="375">
        <v>98</v>
      </c>
      <c r="G178" s="949">
        <v>47</v>
      </c>
      <c r="H178" s="376"/>
      <c r="I178" s="376"/>
      <c r="J178" s="376"/>
      <c r="K178" s="376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78"/>
    </row>
    <row r="179" spans="1:48">
      <c r="A179" s="24">
        <f t="shared" si="2"/>
        <v>44736</v>
      </c>
      <c r="B179" s="356">
        <v>85.402402402402416</v>
      </c>
      <c r="C179" s="357">
        <v>65.460905349794231</v>
      </c>
      <c r="D179" s="358">
        <v>85.108108108108112</v>
      </c>
      <c r="E179" s="359">
        <v>65.5</v>
      </c>
      <c r="F179" s="375">
        <v>96</v>
      </c>
      <c r="G179" s="949">
        <v>51</v>
      </c>
      <c r="H179" s="376"/>
      <c r="I179" s="376"/>
      <c r="J179" s="376"/>
      <c r="K179" s="376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78"/>
    </row>
    <row r="180" spans="1:48">
      <c r="A180" s="24">
        <f t="shared" si="2"/>
        <v>44737</v>
      </c>
      <c r="B180" s="356">
        <v>85.441107774441107</v>
      </c>
      <c r="C180" s="357">
        <v>65.494513031550071</v>
      </c>
      <c r="D180" s="358">
        <v>86.081081081081081</v>
      </c>
      <c r="E180" s="359">
        <v>65.944444444444443</v>
      </c>
      <c r="F180" s="375">
        <v>101</v>
      </c>
      <c r="G180" s="949">
        <v>51</v>
      </c>
      <c r="H180" s="376"/>
      <c r="I180" s="376"/>
      <c r="J180" s="376"/>
      <c r="K180" s="376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78"/>
    </row>
    <row r="181" spans="1:48">
      <c r="A181" s="24">
        <f t="shared" si="2"/>
        <v>44738</v>
      </c>
      <c r="B181" s="356">
        <v>85.450329959589212</v>
      </c>
      <c r="C181" s="357">
        <v>65.527454438565542</v>
      </c>
      <c r="D181" s="358">
        <v>85.513513513513516</v>
      </c>
      <c r="E181" s="359">
        <v>65.833333333333329</v>
      </c>
      <c r="F181" s="375">
        <v>99</v>
      </c>
      <c r="G181" s="949">
        <v>51</v>
      </c>
      <c r="H181" s="376"/>
      <c r="I181" s="376"/>
      <c r="J181" s="376"/>
      <c r="K181" s="376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78"/>
    </row>
    <row r="182" spans="1:48">
      <c r="A182" s="24">
        <f t="shared" si="2"/>
        <v>44739</v>
      </c>
      <c r="B182" s="356">
        <v>85.458004300596883</v>
      </c>
      <c r="C182" s="357">
        <v>65.552273172643538</v>
      </c>
      <c r="D182" s="358">
        <v>84.540540540540547</v>
      </c>
      <c r="E182" s="359">
        <v>64.694444444444443</v>
      </c>
      <c r="F182" s="375">
        <v>104</v>
      </c>
      <c r="G182" s="949">
        <v>51</v>
      </c>
      <c r="H182" s="376"/>
      <c r="I182" s="376"/>
      <c r="J182" s="376"/>
      <c r="K182" s="376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78"/>
    </row>
    <row r="183" spans="1:48">
      <c r="A183" s="24">
        <f t="shared" si="2"/>
        <v>44740</v>
      </c>
      <c r="B183" s="356">
        <v>85.486505023542065</v>
      </c>
      <c r="C183" s="357">
        <v>65.595581030766198</v>
      </c>
      <c r="D183" s="358">
        <v>85.162162162162161</v>
      </c>
      <c r="E183" s="359">
        <v>64.583333333333329</v>
      </c>
      <c r="F183" s="375">
        <v>103</v>
      </c>
      <c r="G183" s="949">
        <v>52</v>
      </c>
      <c r="H183" s="376"/>
      <c r="I183" s="376"/>
      <c r="J183" s="376"/>
      <c r="K183" s="376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78"/>
    </row>
    <row r="184" spans="1:48">
      <c r="A184" s="24">
        <f t="shared" si="2"/>
        <v>44741</v>
      </c>
      <c r="B184" s="356">
        <v>85.538696103510901</v>
      </c>
      <c r="C184" s="357">
        <v>65.668381344307278</v>
      </c>
      <c r="D184" s="358">
        <v>86.297297297297291</v>
      </c>
      <c r="E184" s="359">
        <v>65.694444444444443</v>
      </c>
      <c r="F184" s="375">
        <v>104</v>
      </c>
      <c r="G184" s="949">
        <v>54</v>
      </c>
      <c r="H184" s="376"/>
      <c r="I184" s="376"/>
      <c r="J184" s="376"/>
      <c r="K184" s="376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78"/>
    </row>
    <row r="185" spans="1:48">
      <c r="A185" s="24">
        <f t="shared" si="2"/>
        <v>44742</v>
      </c>
      <c r="B185" s="356">
        <v>85.600229859489104</v>
      </c>
      <c r="C185" s="357">
        <v>65.767587693513605</v>
      </c>
      <c r="D185" s="358">
        <v>86.13513513513513</v>
      </c>
      <c r="E185" s="359">
        <v>65.694444444444443</v>
      </c>
      <c r="F185" s="375">
        <v>103</v>
      </c>
      <c r="G185" s="949">
        <v>50</v>
      </c>
      <c r="H185" s="376"/>
      <c r="I185" s="376"/>
      <c r="J185" s="376"/>
      <c r="K185" s="376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78"/>
    </row>
    <row r="186" spans="1:48">
      <c r="A186" s="24">
        <f t="shared" si="2"/>
        <v>44743</v>
      </c>
      <c r="B186" s="356">
        <v>85.674442961479997</v>
      </c>
      <c r="C186" s="357">
        <v>65.899715853419536</v>
      </c>
      <c r="D186" s="358">
        <v>84.21621621621621</v>
      </c>
      <c r="E186" s="359">
        <v>66.361111111111114</v>
      </c>
      <c r="F186" s="375">
        <v>102</v>
      </c>
      <c r="G186" s="949">
        <v>55</v>
      </c>
      <c r="H186" s="376"/>
      <c r="I186" s="376"/>
      <c r="J186" s="376"/>
      <c r="K186" s="376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78"/>
    </row>
    <row r="187" spans="1:48">
      <c r="A187" s="24">
        <f t="shared" si="2"/>
        <v>44744</v>
      </c>
      <c r="B187" s="356">
        <v>85.802376450524605</v>
      </c>
      <c r="C187" s="357">
        <v>66.046933176562817</v>
      </c>
      <c r="D187" s="358">
        <v>84.972972972972968</v>
      </c>
      <c r="E187" s="359">
        <v>65.555555555555557</v>
      </c>
      <c r="F187" s="375">
        <v>99</v>
      </c>
      <c r="G187" s="949">
        <v>54</v>
      </c>
      <c r="H187" s="376"/>
      <c r="I187" s="376"/>
      <c r="J187" s="376"/>
      <c r="K187" s="376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78"/>
    </row>
    <row r="188" spans="1:48">
      <c r="A188" s="24">
        <f t="shared" si="2"/>
        <v>44745</v>
      </c>
      <c r="B188" s="356">
        <v>85.960339969599232</v>
      </c>
      <c r="C188" s="357">
        <v>66.220899470899468</v>
      </c>
      <c r="D188" s="358">
        <v>85.78378378378379</v>
      </c>
      <c r="E188" s="359">
        <v>65.055555555555557</v>
      </c>
      <c r="F188" s="375">
        <v>97</v>
      </c>
      <c r="G188" s="949">
        <v>54</v>
      </c>
      <c r="H188" s="376"/>
      <c r="I188" s="376"/>
      <c r="J188" s="376"/>
      <c r="K188" s="376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78"/>
    </row>
    <row r="189" spans="1:48">
      <c r="A189" s="24">
        <f t="shared" si="2"/>
        <v>44746</v>
      </c>
      <c r="B189" s="356">
        <v>86.097616134653165</v>
      </c>
      <c r="C189" s="357">
        <v>66.426758769351366</v>
      </c>
      <c r="D189" s="358">
        <v>85.638888888888886</v>
      </c>
      <c r="E189" s="359">
        <v>67.057142857142864</v>
      </c>
      <c r="F189" s="375">
        <v>100</v>
      </c>
      <c r="G189" s="949">
        <v>50</v>
      </c>
      <c r="H189" s="376"/>
      <c r="I189" s="376"/>
      <c r="J189" s="376"/>
      <c r="K189" s="376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78"/>
    </row>
    <row r="190" spans="1:48">
      <c r="A190" s="24">
        <f t="shared" si="2"/>
        <v>44747</v>
      </c>
      <c r="B190" s="356">
        <v>86.238469951432918</v>
      </c>
      <c r="C190" s="357">
        <v>66.62743484224967</v>
      </c>
      <c r="D190" s="358">
        <v>86.361111111111114</v>
      </c>
      <c r="E190" s="359">
        <v>67.314285714285717</v>
      </c>
      <c r="F190" s="375">
        <v>101</v>
      </c>
      <c r="G190" s="949">
        <v>52</v>
      </c>
      <c r="H190" s="376"/>
      <c r="I190" s="376"/>
      <c r="J190" s="376"/>
      <c r="K190" s="376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78"/>
    </row>
    <row r="191" spans="1:48">
      <c r="A191" s="24">
        <f t="shared" si="2"/>
        <v>44748</v>
      </c>
      <c r="B191" s="356">
        <v>86.368071775479194</v>
      </c>
      <c r="C191" s="357">
        <v>66.80800509504212</v>
      </c>
      <c r="D191" s="358">
        <v>86.416666666666671</v>
      </c>
      <c r="E191" s="359">
        <v>65.914285714285711</v>
      </c>
      <c r="F191" s="375">
        <v>101</v>
      </c>
      <c r="G191" s="949">
        <v>54</v>
      </c>
      <c r="H191" s="376"/>
      <c r="I191" s="376"/>
      <c r="J191" s="376"/>
      <c r="K191" s="376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78"/>
    </row>
    <row r="192" spans="1:48">
      <c r="A192" s="24">
        <f t="shared" si="2"/>
        <v>44749</v>
      </c>
      <c r="B192" s="356">
        <v>86.460024839654466</v>
      </c>
      <c r="C192" s="357">
        <v>66.982461297276103</v>
      </c>
      <c r="D192" s="358">
        <v>87.432432432432435</v>
      </c>
      <c r="E192" s="359">
        <v>66.472222222222229</v>
      </c>
      <c r="F192" s="375">
        <v>103</v>
      </c>
      <c r="G192" s="949">
        <v>53</v>
      </c>
      <c r="H192" s="376"/>
      <c r="I192" s="376"/>
      <c r="J192" s="376"/>
      <c r="K192" s="376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78"/>
    </row>
    <row r="193" spans="1:48">
      <c r="A193" s="24">
        <f t="shared" si="2"/>
        <v>44750</v>
      </c>
      <c r="B193" s="356">
        <v>86.512271530790059</v>
      </c>
      <c r="C193" s="357">
        <v>67.142857142857139</v>
      </c>
      <c r="D193" s="358">
        <v>88.324324324324323</v>
      </c>
      <c r="E193" s="359">
        <v>67.777777777777771</v>
      </c>
      <c r="F193" s="375">
        <v>104</v>
      </c>
      <c r="G193" s="949">
        <v>54</v>
      </c>
      <c r="H193" s="376"/>
      <c r="I193" s="376"/>
      <c r="J193" s="376"/>
      <c r="K193" s="376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78"/>
    </row>
    <row r="194" spans="1:48">
      <c r="A194" s="24">
        <f t="shared" si="2"/>
        <v>44751</v>
      </c>
      <c r="B194" s="356">
        <v>86.530484187891574</v>
      </c>
      <c r="C194" s="357">
        <v>67.272388790907314</v>
      </c>
      <c r="D194" s="358">
        <v>87.540540540540547</v>
      </c>
      <c r="E194" s="359">
        <v>68.666666666666671</v>
      </c>
      <c r="F194" s="375">
        <v>104</v>
      </c>
      <c r="G194" s="949">
        <v>57</v>
      </c>
      <c r="H194" s="376"/>
      <c r="I194" s="376"/>
      <c r="J194" s="376"/>
      <c r="K194" s="376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78"/>
    </row>
    <row r="195" spans="1:48">
      <c r="A195" s="24">
        <f t="shared" si="2"/>
        <v>44752</v>
      </c>
      <c r="B195" s="356">
        <v>86.528676824973132</v>
      </c>
      <c r="C195" s="357">
        <v>67.356995884773653</v>
      </c>
      <c r="D195" s="358">
        <v>87.21621621621621</v>
      </c>
      <c r="E195" s="359">
        <v>68.444444444444443</v>
      </c>
      <c r="F195" s="375">
        <v>101</v>
      </c>
      <c r="G195" s="949">
        <v>54</v>
      </c>
      <c r="H195" s="376"/>
      <c r="I195" s="376"/>
      <c r="J195" s="376"/>
      <c r="K195" s="376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78"/>
    </row>
    <row r="196" spans="1:48">
      <c r="A196" s="24">
        <f t="shared" si="2"/>
        <v>44753</v>
      </c>
      <c r="B196" s="356">
        <v>86.503281058836606</v>
      </c>
      <c r="C196" s="357">
        <v>67.417803252988435</v>
      </c>
      <c r="D196" s="358">
        <v>86.108108108108112</v>
      </c>
      <c r="E196" s="359">
        <v>67.25</v>
      </c>
      <c r="F196" s="375">
        <v>96</v>
      </c>
      <c r="G196" s="949">
        <v>56</v>
      </c>
      <c r="H196" s="376"/>
      <c r="I196" s="376"/>
      <c r="J196" s="376"/>
      <c r="K196" s="376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78"/>
    </row>
    <row r="197" spans="1:48">
      <c r="A197" s="24">
        <f t="shared" si="2"/>
        <v>44754</v>
      </c>
      <c r="B197" s="356">
        <v>86.482426871315752</v>
      </c>
      <c r="C197" s="357">
        <v>67.474358220654523</v>
      </c>
      <c r="D197" s="358">
        <v>84.78378378378379</v>
      </c>
      <c r="E197" s="359">
        <v>67.194444444444443</v>
      </c>
      <c r="F197" s="375">
        <v>97</v>
      </c>
      <c r="G197" s="949">
        <v>57</v>
      </c>
      <c r="H197" s="376"/>
      <c r="I197" s="376"/>
      <c r="J197" s="376"/>
      <c r="K197" s="376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78"/>
    </row>
    <row r="198" spans="1:48">
      <c r="A198" s="24">
        <f t="shared" ref="A198:A261" si="3">A197+1</f>
        <v>44755</v>
      </c>
      <c r="B198" s="356">
        <v>86.508286063841609</v>
      </c>
      <c r="C198" s="357">
        <v>67.517538702723897</v>
      </c>
      <c r="D198" s="358">
        <v>85.486486486486484</v>
      </c>
      <c r="E198" s="359">
        <v>67.75</v>
      </c>
      <c r="F198" s="375">
        <v>99</v>
      </c>
      <c r="G198" s="949">
        <v>57</v>
      </c>
      <c r="H198" s="376"/>
      <c r="I198" s="376"/>
      <c r="J198" s="376"/>
      <c r="K198" s="376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78"/>
    </row>
    <row r="199" spans="1:48">
      <c r="A199" s="24">
        <f t="shared" si="3"/>
        <v>44756</v>
      </c>
      <c r="B199" s="356">
        <v>86.541365439513584</v>
      </c>
      <c r="C199" s="357">
        <v>67.556623554771718</v>
      </c>
      <c r="D199" s="358">
        <v>86.297297297297291</v>
      </c>
      <c r="E199" s="359">
        <v>67.166666666666671</v>
      </c>
      <c r="F199" s="375">
        <v>104</v>
      </c>
      <c r="G199" s="949">
        <v>54</v>
      </c>
      <c r="H199" s="376"/>
      <c r="I199" s="376"/>
      <c r="J199" s="376"/>
      <c r="K199" s="376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78"/>
    </row>
    <row r="200" spans="1:48">
      <c r="A200" s="24">
        <f t="shared" si="3"/>
        <v>44757</v>
      </c>
      <c r="B200" s="356">
        <v>86.576567308048809</v>
      </c>
      <c r="C200" s="357">
        <v>67.607818930041148</v>
      </c>
      <c r="D200" s="358">
        <v>85.243243243243242</v>
      </c>
      <c r="E200" s="359">
        <v>66.638888888888886</v>
      </c>
      <c r="F200" s="375">
        <v>99</v>
      </c>
      <c r="G200" s="949">
        <v>54</v>
      </c>
      <c r="H200" s="376"/>
      <c r="I200" s="376"/>
      <c r="J200" s="376"/>
      <c r="K200" s="376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78"/>
    </row>
    <row r="201" spans="1:48">
      <c r="A201" s="24">
        <f t="shared" si="3"/>
        <v>44758</v>
      </c>
      <c r="B201" s="356">
        <v>86.648277907537178</v>
      </c>
      <c r="C201" s="357">
        <v>67.651440329218104</v>
      </c>
      <c r="D201" s="358">
        <v>86.486486486486484</v>
      </c>
      <c r="E201" s="359">
        <v>67.222222222222229</v>
      </c>
      <c r="F201" s="375">
        <v>100</v>
      </c>
      <c r="G201" s="949">
        <v>52</v>
      </c>
      <c r="H201" s="376"/>
      <c r="I201" s="376"/>
      <c r="J201" s="376"/>
      <c r="K201" s="376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78"/>
    </row>
    <row r="202" spans="1:48">
      <c r="A202" s="24">
        <f t="shared" si="3"/>
        <v>44759</v>
      </c>
      <c r="B202" s="356">
        <v>86.740008527045561</v>
      </c>
      <c r="C202" s="357">
        <v>67.684087791495188</v>
      </c>
      <c r="D202" s="358">
        <v>87.594594594594597</v>
      </c>
      <c r="E202" s="359">
        <v>67.361111111111114</v>
      </c>
      <c r="F202" s="375">
        <v>98</v>
      </c>
      <c r="G202" s="949">
        <v>53</v>
      </c>
      <c r="H202" s="376"/>
      <c r="I202" s="376"/>
      <c r="J202" s="376"/>
      <c r="K202" s="376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78"/>
    </row>
    <row r="203" spans="1:48">
      <c r="A203" s="24">
        <f t="shared" si="3"/>
        <v>44760</v>
      </c>
      <c r="B203" s="356">
        <v>86.844724353983622</v>
      </c>
      <c r="C203" s="357">
        <v>67.723417597491661</v>
      </c>
      <c r="D203" s="358">
        <v>87.324324324324323</v>
      </c>
      <c r="E203" s="359">
        <v>68</v>
      </c>
      <c r="F203" s="375">
        <v>100</v>
      </c>
      <c r="G203" s="949">
        <v>56</v>
      </c>
      <c r="H203" s="376"/>
      <c r="I203" s="376"/>
      <c r="J203" s="376"/>
      <c r="K203" s="376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78"/>
    </row>
    <row r="204" spans="1:48">
      <c r="A204" s="24">
        <f t="shared" si="3"/>
        <v>44761</v>
      </c>
      <c r="B204" s="356">
        <v>86.949820190560942</v>
      </c>
      <c r="C204" s="357">
        <v>67.769566921418772</v>
      </c>
      <c r="D204" s="358">
        <v>88.305555555555557</v>
      </c>
      <c r="E204" s="359">
        <v>68.599999999999994</v>
      </c>
      <c r="F204" s="375">
        <v>100</v>
      </c>
      <c r="G204" s="949">
        <v>54</v>
      </c>
      <c r="H204" s="376"/>
      <c r="I204" s="376"/>
      <c r="J204" s="376"/>
      <c r="K204" s="376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78"/>
    </row>
    <row r="205" spans="1:48">
      <c r="A205" s="24">
        <f t="shared" si="3"/>
        <v>44762</v>
      </c>
      <c r="B205" s="356">
        <v>87.012670077484884</v>
      </c>
      <c r="C205" s="357">
        <v>67.791299235743679</v>
      </c>
      <c r="D205" s="358">
        <v>87.611111111111114</v>
      </c>
      <c r="E205" s="359">
        <v>68.599999999999994</v>
      </c>
      <c r="F205" s="375">
        <v>99</v>
      </c>
      <c r="G205" s="949">
        <v>53</v>
      </c>
      <c r="H205" s="376"/>
      <c r="I205" s="376"/>
      <c r="J205" s="376"/>
      <c r="K205" s="376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78"/>
    </row>
    <row r="206" spans="1:48">
      <c r="A206" s="24">
        <f t="shared" si="3"/>
        <v>44763</v>
      </c>
      <c r="B206" s="356">
        <v>87.04074444815187</v>
      </c>
      <c r="C206" s="357">
        <v>67.76941015089163</v>
      </c>
      <c r="D206" s="358">
        <v>87.567567567567565</v>
      </c>
      <c r="E206" s="359">
        <v>68.25</v>
      </c>
      <c r="F206" s="375">
        <v>101</v>
      </c>
      <c r="G206" s="949">
        <v>53</v>
      </c>
      <c r="H206" s="376"/>
      <c r="I206" s="376"/>
      <c r="J206" s="376"/>
      <c r="K206" s="376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78"/>
    </row>
    <row r="207" spans="1:48">
      <c r="A207" s="24">
        <f t="shared" si="3"/>
        <v>44764</v>
      </c>
      <c r="B207" s="356">
        <v>87.007424090757425</v>
      </c>
      <c r="C207" s="357">
        <v>67.726259063296098</v>
      </c>
      <c r="D207" s="358">
        <v>85.918918918918919</v>
      </c>
      <c r="E207" s="359">
        <v>68.111111111111114</v>
      </c>
      <c r="F207" s="375">
        <v>102</v>
      </c>
      <c r="G207" s="949">
        <v>53</v>
      </c>
      <c r="H207" s="376"/>
      <c r="I207" s="376"/>
      <c r="J207" s="376"/>
      <c r="K207" s="376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78"/>
    </row>
    <row r="208" spans="1:48">
      <c r="A208" s="24">
        <f t="shared" si="3"/>
        <v>44765</v>
      </c>
      <c r="B208" s="356">
        <v>86.966429392355323</v>
      </c>
      <c r="C208" s="357">
        <v>67.656701940035262</v>
      </c>
      <c r="D208" s="358">
        <v>86.405405405405403</v>
      </c>
      <c r="E208" s="359">
        <v>68</v>
      </c>
      <c r="F208" s="375">
        <v>101</v>
      </c>
      <c r="G208" s="949">
        <v>50</v>
      </c>
      <c r="H208" s="376"/>
      <c r="I208" s="376"/>
      <c r="J208" s="376"/>
      <c r="K208" s="376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78"/>
    </row>
    <row r="209" spans="1:48">
      <c r="A209" s="24">
        <f t="shared" si="3"/>
        <v>44766</v>
      </c>
      <c r="B209" s="356">
        <v>86.931107032958892</v>
      </c>
      <c r="C209" s="357">
        <v>67.560395845581027</v>
      </c>
      <c r="D209" s="358">
        <v>87.027027027027032</v>
      </c>
      <c r="E209" s="359">
        <v>66.75</v>
      </c>
      <c r="F209" s="375">
        <v>99</v>
      </c>
      <c r="G209" s="949">
        <v>55</v>
      </c>
      <c r="H209" s="376"/>
      <c r="I209" s="376"/>
      <c r="J209" s="376"/>
      <c r="K209" s="376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78"/>
    </row>
    <row r="210" spans="1:48">
      <c r="A210" s="24">
        <f t="shared" si="3"/>
        <v>44767</v>
      </c>
      <c r="B210" s="356">
        <v>86.882002372743102</v>
      </c>
      <c r="C210" s="357">
        <v>67.454516950813229</v>
      </c>
      <c r="D210" s="358">
        <v>87.162162162162161</v>
      </c>
      <c r="E210" s="359">
        <v>67.083333333333329</v>
      </c>
      <c r="F210" s="375">
        <v>101</v>
      </c>
      <c r="G210" s="949">
        <v>54</v>
      </c>
      <c r="H210" s="376"/>
      <c r="I210" s="376"/>
      <c r="J210" s="376"/>
      <c r="K210" s="376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78"/>
    </row>
    <row r="211" spans="1:48">
      <c r="A211" s="24">
        <f t="shared" si="3"/>
        <v>44768</v>
      </c>
      <c r="B211" s="356">
        <v>86.836271456641825</v>
      </c>
      <c r="C211" s="357">
        <v>67.342269253380366</v>
      </c>
      <c r="D211" s="358">
        <v>87.916666666666671</v>
      </c>
      <c r="E211" s="359">
        <v>67.48571428571428</v>
      </c>
      <c r="F211" s="375">
        <v>102</v>
      </c>
      <c r="G211" s="949">
        <v>54</v>
      </c>
      <c r="H211" s="376"/>
      <c r="I211" s="376"/>
      <c r="J211" s="376"/>
      <c r="K211" s="376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78"/>
    </row>
    <row r="212" spans="1:48">
      <c r="A212" s="24">
        <f t="shared" si="3"/>
        <v>44769</v>
      </c>
      <c r="B212" s="356">
        <v>86.776248470692906</v>
      </c>
      <c r="C212" s="357">
        <v>67.234489515970992</v>
      </c>
      <c r="D212" s="358">
        <v>87.138888888888886</v>
      </c>
      <c r="E212" s="359">
        <v>67.885714285714286</v>
      </c>
      <c r="F212" s="375">
        <v>104</v>
      </c>
      <c r="G212" s="949">
        <v>51</v>
      </c>
      <c r="H212" s="376"/>
      <c r="I212" s="376"/>
      <c r="J212" s="376"/>
      <c r="K212" s="376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78"/>
    </row>
    <row r="213" spans="1:48">
      <c r="A213" s="24">
        <f t="shared" si="3"/>
        <v>44770</v>
      </c>
      <c r="B213" s="356">
        <v>86.699115782449113</v>
      </c>
      <c r="C213" s="357">
        <v>67.108269645306692</v>
      </c>
      <c r="D213" s="358">
        <v>85.972972972972968</v>
      </c>
      <c r="E213" s="359">
        <v>66.777777777777771</v>
      </c>
      <c r="F213" s="375">
        <v>100</v>
      </c>
      <c r="G213" s="949">
        <v>49</v>
      </c>
      <c r="H213" s="376"/>
      <c r="I213" s="376"/>
      <c r="J213" s="376"/>
      <c r="K213" s="376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78"/>
    </row>
    <row r="214" spans="1:48">
      <c r="A214" s="24">
        <f t="shared" si="3"/>
        <v>44771</v>
      </c>
      <c r="B214" s="356">
        <v>86.638101064026998</v>
      </c>
      <c r="C214" s="357">
        <v>67.006946893983923</v>
      </c>
      <c r="D214" s="358">
        <v>86.297297297297291</v>
      </c>
      <c r="E214" s="359">
        <v>66.416666666666671</v>
      </c>
      <c r="F214" s="375">
        <v>101</v>
      </c>
      <c r="G214" s="949">
        <v>49</v>
      </c>
      <c r="H214" s="376"/>
      <c r="I214" s="376"/>
      <c r="J214" s="376"/>
      <c r="K214" s="376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78"/>
    </row>
    <row r="215" spans="1:48">
      <c r="A215" s="24">
        <f t="shared" si="3"/>
        <v>44772</v>
      </c>
      <c r="B215" s="356">
        <v>86.588634931227531</v>
      </c>
      <c r="C215" s="357">
        <v>66.926063100137171</v>
      </c>
      <c r="D215" s="358">
        <v>85.378378378378372</v>
      </c>
      <c r="E215" s="359">
        <v>67.583333333333329</v>
      </c>
      <c r="F215" s="375">
        <v>105</v>
      </c>
      <c r="G215" s="949">
        <v>55</v>
      </c>
      <c r="H215" s="376"/>
      <c r="I215" s="376"/>
      <c r="J215" s="376"/>
      <c r="K215" s="376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78"/>
    </row>
    <row r="216" spans="1:48">
      <c r="A216" s="24">
        <f t="shared" si="3"/>
        <v>44773</v>
      </c>
      <c r="B216" s="356">
        <v>86.580877173469759</v>
      </c>
      <c r="C216" s="357">
        <v>66.83454830491867</v>
      </c>
      <c r="D216" s="358">
        <v>85.729729729729726</v>
      </c>
      <c r="E216" s="359">
        <v>66.333333333333329</v>
      </c>
      <c r="F216" s="375">
        <v>99</v>
      </c>
      <c r="G216" s="949">
        <v>55</v>
      </c>
      <c r="H216" s="376"/>
      <c r="I216" s="376"/>
      <c r="J216" s="376"/>
      <c r="K216" s="376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78"/>
    </row>
    <row r="217" spans="1:48">
      <c r="A217" s="24">
        <f t="shared" si="3"/>
        <v>44774</v>
      </c>
      <c r="B217" s="356">
        <v>86.582906981055132</v>
      </c>
      <c r="C217" s="357">
        <v>66.780266509896137</v>
      </c>
      <c r="D217" s="358">
        <v>86.972972972972968</v>
      </c>
      <c r="E217" s="359">
        <v>66.666666666666671</v>
      </c>
      <c r="F217" s="375">
        <v>98</v>
      </c>
      <c r="G217" s="949">
        <v>56</v>
      </c>
      <c r="H217" s="376"/>
      <c r="I217" s="376"/>
      <c r="J217" s="376"/>
      <c r="K217" s="376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78"/>
    </row>
    <row r="218" spans="1:48">
      <c r="A218" s="24">
        <f t="shared" si="3"/>
        <v>44775</v>
      </c>
      <c r="B218" s="356">
        <v>86.579292255218192</v>
      </c>
      <c r="C218" s="357">
        <v>66.744444444444454</v>
      </c>
      <c r="D218" s="358">
        <v>87.694444444444443</v>
      </c>
      <c r="E218" s="359">
        <v>66.085714285714289</v>
      </c>
      <c r="F218" s="375">
        <v>99</v>
      </c>
      <c r="G218" s="949">
        <v>55</v>
      </c>
      <c r="H218" s="376"/>
      <c r="I218" s="376"/>
      <c r="J218" s="376"/>
      <c r="K218" s="376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78"/>
    </row>
    <row r="219" spans="1:48">
      <c r="A219" s="24">
        <f t="shared" si="3"/>
        <v>44776</v>
      </c>
      <c r="B219" s="356">
        <v>86.543182070959858</v>
      </c>
      <c r="C219" s="357">
        <v>66.721252204585539</v>
      </c>
      <c r="D219" s="358">
        <v>88.111111111111114</v>
      </c>
      <c r="E219" s="359">
        <v>66.428571428571431</v>
      </c>
      <c r="F219" s="375">
        <v>100</v>
      </c>
      <c r="G219" s="949">
        <v>55</v>
      </c>
      <c r="H219" s="376"/>
      <c r="I219" s="376"/>
      <c r="J219" s="376"/>
      <c r="K219" s="376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78"/>
    </row>
    <row r="220" spans="1:48">
      <c r="A220" s="24">
        <f t="shared" si="3"/>
        <v>44777</v>
      </c>
      <c r="B220" s="356">
        <v>86.471295369443524</v>
      </c>
      <c r="C220" s="357">
        <v>66.696737213403878</v>
      </c>
      <c r="D220" s="358">
        <v>87.081081081081081</v>
      </c>
      <c r="E220" s="359">
        <v>67.972222222222229</v>
      </c>
      <c r="F220" s="375">
        <v>101</v>
      </c>
      <c r="G220" s="949">
        <v>54</v>
      </c>
      <c r="H220" s="376"/>
      <c r="I220" s="376"/>
      <c r="J220" s="376"/>
      <c r="K220" s="376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78"/>
    </row>
    <row r="221" spans="1:48">
      <c r="A221" s="24">
        <f t="shared" si="3"/>
        <v>44778</v>
      </c>
      <c r="B221" s="356">
        <v>86.39204018833648</v>
      </c>
      <c r="C221" s="357">
        <v>66.641181657848321</v>
      </c>
      <c r="D221" s="358">
        <v>85.567567567567565</v>
      </c>
      <c r="E221" s="359">
        <v>66.277777777777771</v>
      </c>
      <c r="F221" s="375">
        <v>98</v>
      </c>
      <c r="G221" s="949">
        <v>51</v>
      </c>
      <c r="H221" s="376"/>
      <c r="I221" s="376"/>
      <c r="J221" s="376"/>
      <c r="K221" s="376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78"/>
    </row>
    <row r="222" spans="1:48">
      <c r="A222" s="24">
        <f t="shared" si="3"/>
        <v>44779</v>
      </c>
      <c r="B222" s="356">
        <v>86.325510695881064</v>
      </c>
      <c r="C222" s="357">
        <v>66.590730942582795</v>
      </c>
      <c r="D222" s="358">
        <v>84.945945945945951</v>
      </c>
      <c r="E222" s="359">
        <v>66.972222222222229</v>
      </c>
      <c r="F222" s="375">
        <v>98</v>
      </c>
      <c r="G222" s="949">
        <v>52</v>
      </c>
      <c r="H222" s="376"/>
      <c r="I222" s="376"/>
      <c r="J222" s="376"/>
      <c r="K222" s="376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78"/>
    </row>
    <row r="223" spans="1:48">
      <c r="A223" s="24">
        <f t="shared" si="3"/>
        <v>44780</v>
      </c>
      <c r="B223" s="356">
        <v>86.283005227449678</v>
      </c>
      <c r="C223" s="357">
        <v>66.51833235351755</v>
      </c>
      <c r="D223" s="358">
        <v>85.918918918918919</v>
      </c>
      <c r="E223" s="359">
        <v>65.888888888888886</v>
      </c>
      <c r="F223" s="375">
        <v>98</v>
      </c>
      <c r="G223" s="949">
        <v>50</v>
      </c>
      <c r="H223" s="376"/>
      <c r="I223" s="376"/>
      <c r="J223" s="376"/>
      <c r="K223" s="376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78"/>
    </row>
    <row r="224" spans="1:48">
      <c r="A224" s="24">
        <f t="shared" si="3"/>
        <v>44781</v>
      </c>
      <c r="B224" s="356">
        <v>86.246857969080196</v>
      </c>
      <c r="C224" s="357">
        <v>66.453468547912991</v>
      </c>
      <c r="D224" s="358">
        <v>86.567567567567565</v>
      </c>
      <c r="E224" s="359">
        <v>66.055555555555557</v>
      </c>
      <c r="F224" s="375">
        <v>100</v>
      </c>
      <c r="G224" s="949">
        <v>54</v>
      </c>
      <c r="H224" s="376"/>
      <c r="I224" s="376"/>
      <c r="J224" s="376"/>
      <c r="K224" s="376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78"/>
    </row>
    <row r="225" spans="1:48">
      <c r="A225" s="24">
        <f t="shared" si="3"/>
        <v>44782</v>
      </c>
      <c r="B225" s="356">
        <v>86.1896896896897</v>
      </c>
      <c r="C225" s="357">
        <v>66.418783068783071</v>
      </c>
      <c r="D225" s="358">
        <v>86.333333333333329</v>
      </c>
      <c r="E225" s="359">
        <v>67.571428571428569</v>
      </c>
      <c r="F225" s="375">
        <v>101</v>
      </c>
      <c r="G225" s="949">
        <v>56</v>
      </c>
      <c r="H225" s="376"/>
      <c r="I225" s="376"/>
      <c r="J225" s="376"/>
      <c r="K225" s="376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78"/>
    </row>
    <row r="226" spans="1:48">
      <c r="A226" s="24">
        <f t="shared" si="3"/>
        <v>44783</v>
      </c>
      <c r="B226" s="356">
        <v>86.128294961628299</v>
      </c>
      <c r="C226" s="357">
        <v>66.355584950029396</v>
      </c>
      <c r="D226" s="358">
        <v>87.083333333333329</v>
      </c>
      <c r="E226" s="359">
        <v>66.828571428571422</v>
      </c>
      <c r="F226" s="375">
        <v>96</v>
      </c>
      <c r="G226" s="949">
        <v>54</v>
      </c>
      <c r="H226" s="376"/>
      <c r="I226" s="376"/>
      <c r="J226" s="376"/>
      <c r="K226" s="376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78"/>
    </row>
    <row r="227" spans="1:48">
      <c r="A227" s="24">
        <f t="shared" si="3"/>
        <v>44784</v>
      </c>
      <c r="B227" s="356">
        <v>86.054498943387841</v>
      </c>
      <c r="C227" s="357">
        <v>66.283931020968055</v>
      </c>
      <c r="D227" s="358">
        <v>85.729729729729726</v>
      </c>
      <c r="E227" s="359">
        <v>66.444444444444443</v>
      </c>
      <c r="F227" s="375">
        <v>98</v>
      </c>
      <c r="G227" s="949">
        <v>52</v>
      </c>
      <c r="H227" s="376"/>
      <c r="I227" s="376"/>
      <c r="J227" s="376"/>
      <c r="K227" s="376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78"/>
    </row>
    <row r="228" spans="1:48">
      <c r="A228" s="24">
        <f t="shared" si="3"/>
        <v>44785</v>
      </c>
      <c r="B228" s="356">
        <v>86.003290327364411</v>
      </c>
      <c r="C228" s="357">
        <v>66.197903194199469</v>
      </c>
      <c r="D228" s="358">
        <v>86.162162162162161</v>
      </c>
      <c r="E228" s="359">
        <v>65.666666666666671</v>
      </c>
      <c r="F228" s="375">
        <v>99</v>
      </c>
      <c r="G228" s="949">
        <v>52</v>
      </c>
      <c r="H228" s="376"/>
      <c r="I228" s="376"/>
      <c r="J228" s="376"/>
      <c r="K228" s="376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78"/>
    </row>
    <row r="229" spans="1:48">
      <c r="A229" s="24">
        <f t="shared" si="3"/>
        <v>44786</v>
      </c>
      <c r="B229" s="356">
        <v>85.963463463463469</v>
      </c>
      <c r="C229" s="357">
        <v>66.114079952968837</v>
      </c>
      <c r="D229" s="358">
        <v>85.648648648648646</v>
      </c>
      <c r="E229" s="359">
        <v>65.944444444444443</v>
      </c>
      <c r="F229" s="375">
        <v>97</v>
      </c>
      <c r="G229" s="949">
        <v>46</v>
      </c>
      <c r="H229" s="376"/>
      <c r="I229" s="376"/>
      <c r="J229" s="376"/>
      <c r="K229" s="376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78"/>
    </row>
    <row r="230" spans="1:48">
      <c r="A230" s="24">
        <f t="shared" si="3"/>
        <v>44787</v>
      </c>
      <c r="B230" s="356">
        <v>85.948995291587892</v>
      </c>
      <c r="C230" s="357">
        <v>66.045002939447386</v>
      </c>
      <c r="D230" s="358">
        <v>85.027027027027032</v>
      </c>
      <c r="E230" s="359">
        <v>65.083333333333329</v>
      </c>
      <c r="F230" s="375">
        <v>97</v>
      </c>
      <c r="G230" s="949">
        <v>47</v>
      </c>
      <c r="H230" s="376"/>
      <c r="I230" s="376"/>
      <c r="J230" s="376"/>
      <c r="K230" s="376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78"/>
    </row>
    <row r="231" spans="1:48">
      <c r="A231" s="24">
        <f t="shared" si="3"/>
        <v>44788</v>
      </c>
      <c r="B231" s="356">
        <v>85.947540132725322</v>
      </c>
      <c r="C231" s="357">
        <v>65.987585733882028</v>
      </c>
      <c r="D231" s="358">
        <v>85.86486486486487</v>
      </c>
      <c r="E231" s="359">
        <v>65.388888888888886</v>
      </c>
      <c r="F231" s="375">
        <v>102</v>
      </c>
      <c r="G231" s="949">
        <v>52</v>
      </c>
      <c r="H231" s="376"/>
      <c r="I231" s="376"/>
      <c r="J231" s="376"/>
      <c r="K231" s="376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78"/>
    </row>
    <row r="232" spans="1:48">
      <c r="A232" s="24">
        <f t="shared" si="3"/>
        <v>44789</v>
      </c>
      <c r="B232" s="356">
        <v>85.925731286842407</v>
      </c>
      <c r="C232" s="357">
        <v>65.942514207329012</v>
      </c>
      <c r="D232" s="358">
        <v>86.055555555555557</v>
      </c>
      <c r="E232" s="359">
        <v>65.971428571428575</v>
      </c>
      <c r="F232" s="375">
        <v>102</v>
      </c>
      <c r="G232" s="949">
        <v>52</v>
      </c>
      <c r="H232" s="376"/>
      <c r="I232" s="376"/>
      <c r="J232" s="376"/>
      <c r="K232" s="376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78"/>
    </row>
    <row r="233" spans="1:48">
      <c r="A233" s="24">
        <f t="shared" si="3"/>
        <v>44790</v>
      </c>
      <c r="B233" s="356">
        <v>85.909557705853999</v>
      </c>
      <c r="C233" s="357">
        <v>65.889231824416996</v>
      </c>
      <c r="D233" s="358">
        <v>86.054054054054049</v>
      </c>
      <c r="E233" s="359">
        <v>66.972222222222229</v>
      </c>
      <c r="F233" s="375">
        <v>101</v>
      </c>
      <c r="G233" s="949">
        <v>56</v>
      </c>
      <c r="H233" s="376"/>
      <c r="I233" s="376"/>
      <c r="J233" s="376"/>
      <c r="K233" s="376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78"/>
    </row>
    <row r="234" spans="1:48">
      <c r="A234" s="24">
        <f t="shared" si="3"/>
        <v>44791</v>
      </c>
      <c r="B234" s="356">
        <v>85.896053460868274</v>
      </c>
      <c r="C234" s="357">
        <v>65.814344503233386</v>
      </c>
      <c r="D234" s="358">
        <v>86.594594594594597</v>
      </c>
      <c r="E234" s="359">
        <v>66.5</v>
      </c>
      <c r="F234" s="375">
        <v>100</v>
      </c>
      <c r="G234" s="949">
        <v>54</v>
      </c>
      <c r="H234" s="376"/>
      <c r="I234" s="376"/>
      <c r="J234" s="376"/>
      <c r="K234" s="376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78"/>
    </row>
    <row r="235" spans="1:48">
      <c r="A235" s="24">
        <f t="shared" si="3"/>
        <v>44792</v>
      </c>
      <c r="B235" s="356">
        <v>85.87899010121231</v>
      </c>
      <c r="C235" s="357">
        <v>65.754742308445998</v>
      </c>
      <c r="D235" s="358">
        <v>86.189189189189193</v>
      </c>
      <c r="E235" s="359">
        <v>66.305555555555557</v>
      </c>
      <c r="F235" s="375">
        <v>98</v>
      </c>
      <c r="G235" s="949">
        <v>55</v>
      </c>
      <c r="H235" s="376"/>
      <c r="I235" s="376"/>
      <c r="J235" s="376"/>
      <c r="K235" s="376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78"/>
    </row>
    <row r="236" spans="1:48">
      <c r="A236" s="24">
        <f t="shared" si="3"/>
        <v>44793</v>
      </c>
      <c r="B236" s="356">
        <v>85.872631891150419</v>
      </c>
      <c r="C236" s="357">
        <v>65.691651969429756</v>
      </c>
      <c r="D236" s="358">
        <v>85.594594594594597</v>
      </c>
      <c r="E236" s="359">
        <v>65.638888888888886</v>
      </c>
      <c r="F236" s="375">
        <v>101</v>
      </c>
      <c r="G236" s="949">
        <v>53</v>
      </c>
      <c r="H236" s="376"/>
      <c r="I236" s="376"/>
      <c r="J236" s="376"/>
      <c r="K236" s="376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78"/>
    </row>
    <row r="237" spans="1:48">
      <c r="A237" s="24">
        <f t="shared" si="3"/>
        <v>44794</v>
      </c>
      <c r="B237" s="356">
        <v>85.860601342082816</v>
      </c>
      <c r="C237" s="357">
        <v>65.635763276504022</v>
      </c>
      <c r="D237" s="358">
        <v>85.13513513513513</v>
      </c>
      <c r="E237" s="359">
        <v>65.083333333333329</v>
      </c>
      <c r="F237" s="375">
        <v>98</v>
      </c>
      <c r="G237" s="949">
        <v>52</v>
      </c>
      <c r="H237" s="376"/>
      <c r="I237" s="376"/>
      <c r="J237" s="376"/>
      <c r="K237" s="376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78"/>
    </row>
    <row r="238" spans="1:48">
      <c r="A238" s="24">
        <f t="shared" si="3"/>
        <v>44795</v>
      </c>
      <c r="B238" s="356">
        <v>85.856245134022913</v>
      </c>
      <c r="C238" s="357">
        <v>65.579874583578288</v>
      </c>
      <c r="D238" s="358">
        <v>86.270270270270274</v>
      </c>
      <c r="E238" s="359">
        <v>65.111111111111114</v>
      </c>
      <c r="F238" s="375">
        <v>100</v>
      </c>
      <c r="G238" s="949">
        <v>50</v>
      </c>
      <c r="H238" s="376"/>
      <c r="I238" s="376"/>
      <c r="J238" s="376"/>
      <c r="K238" s="376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78"/>
    </row>
    <row r="239" spans="1:48">
      <c r="A239" s="24">
        <f t="shared" si="3"/>
        <v>44796</v>
      </c>
      <c r="B239" s="356">
        <v>85.829866903940982</v>
      </c>
      <c r="C239" s="357">
        <v>65.533931020968055</v>
      </c>
      <c r="D239" s="358">
        <v>85.540540540540547</v>
      </c>
      <c r="E239" s="359">
        <v>64.833333333333329</v>
      </c>
      <c r="F239" s="375">
        <v>97</v>
      </c>
      <c r="G239" s="949">
        <v>50</v>
      </c>
      <c r="H239" s="376"/>
      <c r="I239" s="376"/>
      <c r="J239" s="376"/>
      <c r="K239" s="376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78"/>
    </row>
    <row r="240" spans="1:48">
      <c r="A240" s="24">
        <f t="shared" si="3"/>
        <v>44797</v>
      </c>
      <c r="B240" s="356">
        <v>85.779464649835006</v>
      </c>
      <c r="C240" s="357">
        <v>65.480785812267314</v>
      </c>
      <c r="D240" s="358">
        <v>85.13513513513513</v>
      </c>
      <c r="E240" s="359">
        <v>64.805555555555557</v>
      </c>
      <c r="F240" s="375">
        <v>100</v>
      </c>
      <c r="G240" s="949">
        <v>52</v>
      </c>
      <c r="H240" s="376"/>
      <c r="I240" s="376"/>
      <c r="J240" s="376"/>
      <c r="K240" s="376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78"/>
    </row>
    <row r="241" spans="1:48">
      <c r="A241" s="24">
        <f t="shared" si="3"/>
        <v>44798</v>
      </c>
      <c r="B241" s="356">
        <v>85.728728728728726</v>
      </c>
      <c r="C241" s="357">
        <v>65.424554183813456</v>
      </c>
      <c r="D241" s="358">
        <v>86.648648648648646</v>
      </c>
      <c r="E241" s="359">
        <v>65.388888888888886</v>
      </c>
      <c r="F241" s="375">
        <v>99</v>
      </c>
      <c r="G241" s="949">
        <v>49</v>
      </c>
      <c r="H241" s="376"/>
      <c r="I241" s="376"/>
      <c r="J241" s="376"/>
      <c r="K241" s="376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78"/>
    </row>
    <row r="242" spans="1:48">
      <c r="A242" s="24">
        <f t="shared" si="3"/>
        <v>44799</v>
      </c>
      <c r="B242" s="356">
        <v>85.63630296963629</v>
      </c>
      <c r="C242" s="357">
        <v>65.358024691358025</v>
      </c>
      <c r="D242" s="358">
        <v>85.756756756756758</v>
      </c>
      <c r="E242" s="359">
        <v>66.138888888888886</v>
      </c>
      <c r="F242" s="375">
        <v>102</v>
      </c>
      <c r="G242" s="949">
        <v>51</v>
      </c>
      <c r="H242" s="376"/>
      <c r="I242" s="376"/>
      <c r="J242" s="376"/>
      <c r="K242" s="376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78"/>
    </row>
    <row r="243" spans="1:48">
      <c r="A243" s="24">
        <f t="shared" si="3"/>
        <v>44800</v>
      </c>
      <c r="B243" s="356">
        <v>85.526192859526176</v>
      </c>
      <c r="C243" s="357">
        <v>65.261316872427969</v>
      </c>
      <c r="D243" s="358">
        <v>86.567567567567565</v>
      </c>
      <c r="E243" s="359">
        <v>66.666666666666671</v>
      </c>
      <c r="F243" s="375">
        <v>98</v>
      </c>
      <c r="G243" s="949">
        <v>51</v>
      </c>
      <c r="H243" s="376"/>
      <c r="I243" s="376"/>
      <c r="J243" s="376"/>
      <c r="K243" s="376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78"/>
    </row>
    <row r="244" spans="1:48">
      <c r="A244" s="24">
        <f t="shared" si="3"/>
        <v>44801</v>
      </c>
      <c r="B244" s="356">
        <v>85.371371371371367</v>
      </c>
      <c r="C244" s="357">
        <v>65.107338820301777</v>
      </c>
      <c r="D244" s="358">
        <v>86.162162162162161</v>
      </c>
      <c r="E244" s="359">
        <v>65.5</v>
      </c>
      <c r="F244" s="375">
        <v>96</v>
      </c>
      <c r="G244" s="949">
        <v>50</v>
      </c>
      <c r="H244" s="376"/>
      <c r="I244" s="376"/>
      <c r="J244" s="376"/>
      <c r="K244" s="376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78"/>
    </row>
    <row r="245" spans="1:48">
      <c r="A245" s="24">
        <f t="shared" si="3"/>
        <v>44802</v>
      </c>
      <c r="B245" s="356">
        <v>85.193526860193515</v>
      </c>
      <c r="C245" s="357">
        <v>64.915637860082313</v>
      </c>
      <c r="D245" s="358">
        <v>85</v>
      </c>
      <c r="E245" s="359">
        <v>65.416666666666671</v>
      </c>
      <c r="F245" s="375">
        <v>97</v>
      </c>
      <c r="G245" s="949">
        <v>47</v>
      </c>
      <c r="H245" s="376"/>
      <c r="I245" s="376"/>
      <c r="J245" s="376"/>
      <c r="K245" s="376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78"/>
    </row>
    <row r="246" spans="1:48">
      <c r="A246" s="24">
        <f t="shared" si="3"/>
        <v>44803</v>
      </c>
      <c r="B246" s="356">
        <v>85.001334668001334</v>
      </c>
      <c r="C246" s="357">
        <v>64.693072702331975</v>
      </c>
      <c r="D246" s="358">
        <v>84.729729729729726</v>
      </c>
      <c r="E246" s="359">
        <v>64.5</v>
      </c>
      <c r="F246" s="375">
        <v>98</v>
      </c>
      <c r="G246" s="949">
        <v>50</v>
      </c>
      <c r="H246" s="376"/>
      <c r="I246" s="376"/>
      <c r="J246" s="376"/>
      <c r="K246" s="376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78"/>
    </row>
    <row r="247" spans="1:48">
      <c r="A247" s="24">
        <f t="shared" si="3"/>
        <v>44804</v>
      </c>
      <c r="B247" s="356">
        <v>84.787120453787111</v>
      </c>
      <c r="C247" s="357">
        <v>64.445473251028801</v>
      </c>
      <c r="D247" s="358">
        <v>85.108108108108112</v>
      </c>
      <c r="E247" s="359">
        <v>65.083333333333329</v>
      </c>
      <c r="F247" s="375">
        <v>100</v>
      </c>
      <c r="G247" s="949">
        <v>48</v>
      </c>
      <c r="H247" s="376"/>
      <c r="I247" s="376"/>
      <c r="J247" s="376"/>
      <c r="K247" s="376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78"/>
    </row>
    <row r="248" spans="1:48">
      <c r="A248" s="24">
        <f t="shared" si="3"/>
        <v>44805</v>
      </c>
      <c r="B248" s="356">
        <v>84.546880213546885</v>
      </c>
      <c r="C248" s="357">
        <v>64.157407407407405</v>
      </c>
      <c r="D248" s="358">
        <v>84.108108108108112</v>
      </c>
      <c r="E248" s="359">
        <v>64</v>
      </c>
      <c r="F248" s="375">
        <v>101</v>
      </c>
      <c r="G248" s="949">
        <v>49</v>
      </c>
      <c r="H248" s="376"/>
      <c r="I248" s="376"/>
      <c r="J248" s="376"/>
      <c r="K248" s="376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78"/>
    </row>
    <row r="249" spans="1:48">
      <c r="A249" s="24">
        <f t="shared" si="3"/>
        <v>44806</v>
      </c>
      <c r="B249" s="356">
        <v>84.295628962295623</v>
      </c>
      <c r="C249" s="357">
        <v>63.845336076817567</v>
      </c>
      <c r="D249" s="358">
        <v>84.378378378378372</v>
      </c>
      <c r="E249" s="359">
        <v>63.972222222222221</v>
      </c>
      <c r="F249" s="375">
        <v>101</v>
      </c>
      <c r="G249" s="949">
        <v>48</v>
      </c>
      <c r="H249" s="376"/>
      <c r="I249" s="376"/>
      <c r="J249" s="376"/>
      <c r="K249" s="376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78"/>
    </row>
    <row r="250" spans="1:48">
      <c r="A250" s="24">
        <f t="shared" si="3"/>
        <v>44807</v>
      </c>
      <c r="B250" s="356">
        <v>84.008675342008644</v>
      </c>
      <c r="C250" s="357">
        <v>63.498971193415642</v>
      </c>
      <c r="D250" s="358">
        <v>83.86486486486487</v>
      </c>
      <c r="E250" s="359">
        <v>63.972222222222221</v>
      </c>
      <c r="F250" s="375">
        <v>102</v>
      </c>
      <c r="G250" s="949">
        <v>49</v>
      </c>
      <c r="H250" s="376"/>
      <c r="I250" s="376"/>
      <c r="J250" s="376"/>
      <c r="K250" s="376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78"/>
    </row>
    <row r="251" spans="1:48">
      <c r="A251" s="24">
        <f t="shared" si="3"/>
        <v>44808</v>
      </c>
      <c r="B251" s="356">
        <v>83.726726726726724</v>
      </c>
      <c r="C251" s="357">
        <v>63.128600823045275</v>
      </c>
      <c r="D251" s="358">
        <v>84.027027027027032</v>
      </c>
      <c r="E251" s="359">
        <v>62.861111111111114</v>
      </c>
      <c r="F251" s="375">
        <v>99</v>
      </c>
      <c r="G251" s="949">
        <v>48</v>
      </c>
      <c r="H251" s="376"/>
      <c r="I251" s="376"/>
      <c r="J251" s="376"/>
      <c r="K251" s="376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78"/>
    </row>
    <row r="252" spans="1:48">
      <c r="A252" s="24">
        <f t="shared" si="3"/>
        <v>44809</v>
      </c>
      <c r="B252" s="356">
        <v>83.440774107440774</v>
      </c>
      <c r="C252" s="357">
        <v>62.756515775034295</v>
      </c>
      <c r="D252" s="358">
        <v>82.918918918918919</v>
      </c>
      <c r="E252" s="359">
        <v>62.194444444444443</v>
      </c>
      <c r="F252" s="375">
        <v>102</v>
      </c>
      <c r="G252" s="949">
        <v>46</v>
      </c>
      <c r="H252" s="376"/>
      <c r="I252" s="376"/>
      <c r="J252" s="376"/>
      <c r="K252" s="376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78"/>
    </row>
    <row r="253" spans="1:48">
      <c r="A253" s="24">
        <f t="shared" si="3"/>
        <v>44810</v>
      </c>
      <c r="B253" s="356">
        <v>83.183850517183842</v>
      </c>
      <c r="C253" s="357">
        <v>62.403635116598089</v>
      </c>
      <c r="D253" s="358">
        <v>84.270270270270274</v>
      </c>
      <c r="E253" s="359">
        <v>61.638888888888886</v>
      </c>
      <c r="F253" s="375">
        <v>101</v>
      </c>
      <c r="G253" s="949">
        <v>45</v>
      </c>
      <c r="H253" s="376"/>
      <c r="I253" s="376"/>
      <c r="J253" s="376"/>
      <c r="K253" s="376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78"/>
    </row>
    <row r="254" spans="1:48">
      <c r="A254" s="24">
        <f t="shared" si="3"/>
        <v>44811</v>
      </c>
      <c r="B254" s="356">
        <v>82.893893893893889</v>
      </c>
      <c r="C254" s="357">
        <v>62.055898491083681</v>
      </c>
      <c r="D254" s="358">
        <v>83.243243243243242</v>
      </c>
      <c r="E254" s="359">
        <v>62.694444444444443</v>
      </c>
      <c r="F254" s="375">
        <v>99</v>
      </c>
      <c r="G254" s="949">
        <v>44</v>
      </c>
      <c r="H254" s="376"/>
      <c r="I254" s="376"/>
      <c r="J254" s="376"/>
      <c r="K254" s="376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78"/>
    </row>
    <row r="255" spans="1:48">
      <c r="A255" s="24">
        <f t="shared" si="3"/>
        <v>44812</v>
      </c>
      <c r="B255" s="356">
        <v>82.578912245578906</v>
      </c>
      <c r="C255" s="357">
        <v>61.705418381344316</v>
      </c>
      <c r="D255" s="358">
        <v>82.540540540540547</v>
      </c>
      <c r="E255" s="359">
        <v>61.888888888888886</v>
      </c>
      <c r="F255" s="375">
        <v>100</v>
      </c>
      <c r="G255" s="949">
        <v>46</v>
      </c>
      <c r="H255" s="376"/>
      <c r="I255" s="376"/>
      <c r="J255" s="376"/>
      <c r="K255" s="376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78"/>
    </row>
    <row r="256" spans="1:48">
      <c r="A256" s="24">
        <f t="shared" si="3"/>
        <v>44813</v>
      </c>
      <c r="B256" s="356">
        <v>82.239906573239907</v>
      </c>
      <c r="C256" s="357">
        <v>61.341906721536361</v>
      </c>
      <c r="D256" s="358">
        <v>81.837837837837839</v>
      </c>
      <c r="E256" s="359">
        <v>61.777777777777779</v>
      </c>
      <c r="F256" s="375">
        <v>100</v>
      </c>
      <c r="G256" s="949">
        <v>47</v>
      </c>
      <c r="H256" s="376"/>
      <c r="I256" s="376"/>
      <c r="J256" s="376"/>
      <c r="K256" s="376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78"/>
    </row>
    <row r="257" spans="1:48">
      <c r="A257" s="24">
        <f t="shared" si="3"/>
        <v>44814</v>
      </c>
      <c r="B257" s="356">
        <v>81.910243576910233</v>
      </c>
      <c r="C257" s="357">
        <v>60.974279835390945</v>
      </c>
      <c r="D257" s="358">
        <v>81.78378378378379</v>
      </c>
      <c r="E257" s="359">
        <v>61.222222222222221</v>
      </c>
      <c r="F257" s="375">
        <v>97</v>
      </c>
      <c r="G257" s="949">
        <v>46</v>
      </c>
      <c r="H257" s="376"/>
      <c r="I257" s="376"/>
      <c r="J257" s="376"/>
      <c r="K257" s="376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78"/>
    </row>
    <row r="258" spans="1:48">
      <c r="A258" s="24">
        <f t="shared" si="3"/>
        <v>44815</v>
      </c>
      <c r="B258" s="356">
        <v>81.57891224557892</v>
      </c>
      <c r="C258" s="357">
        <v>60.603566529492454</v>
      </c>
      <c r="D258" s="358">
        <v>80.729729729729726</v>
      </c>
      <c r="E258" s="359">
        <v>60.361111111111114</v>
      </c>
      <c r="F258" s="375">
        <v>95</v>
      </c>
      <c r="G258" s="949">
        <v>42</v>
      </c>
      <c r="H258" s="376"/>
      <c r="I258" s="376"/>
      <c r="J258" s="376"/>
      <c r="K258" s="376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78"/>
    </row>
    <row r="259" spans="1:48">
      <c r="A259" s="24">
        <f t="shared" si="3"/>
        <v>44816</v>
      </c>
      <c r="B259" s="356">
        <v>81.281948615281934</v>
      </c>
      <c r="C259" s="357">
        <v>60.252400548696855</v>
      </c>
      <c r="D259" s="358">
        <v>81.486486486486484</v>
      </c>
      <c r="E259" s="359">
        <v>60.611111111111114</v>
      </c>
      <c r="F259" s="375">
        <v>95</v>
      </c>
      <c r="G259" s="949">
        <v>41</v>
      </c>
      <c r="H259" s="376"/>
      <c r="I259" s="376"/>
      <c r="J259" s="376"/>
      <c r="K259" s="376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78"/>
    </row>
    <row r="260" spans="1:48">
      <c r="A260" s="24">
        <f t="shared" si="3"/>
        <v>44817</v>
      </c>
      <c r="B260" s="356">
        <v>80.983316649983323</v>
      </c>
      <c r="C260" s="357">
        <v>59.906721536351178</v>
      </c>
      <c r="D260" s="358">
        <v>81.972972972972968</v>
      </c>
      <c r="E260" s="359">
        <v>59.444444444444443</v>
      </c>
      <c r="F260" s="375">
        <v>98</v>
      </c>
      <c r="G260" s="949">
        <v>41</v>
      </c>
      <c r="H260" s="376"/>
      <c r="I260" s="376"/>
      <c r="J260" s="376"/>
      <c r="K260" s="376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78"/>
    </row>
    <row r="261" spans="1:48">
      <c r="A261" s="24">
        <f t="shared" si="3"/>
        <v>44818</v>
      </c>
      <c r="B261" s="356">
        <v>80.663997330664003</v>
      </c>
      <c r="C261" s="357">
        <v>59.555555555555557</v>
      </c>
      <c r="D261" s="358">
        <v>81.621621621621628</v>
      </c>
      <c r="E261" s="359">
        <v>59.277777777777779</v>
      </c>
      <c r="F261" s="375">
        <v>99</v>
      </c>
      <c r="G261" s="949">
        <v>40</v>
      </c>
      <c r="H261" s="376"/>
      <c r="I261" s="376"/>
      <c r="J261" s="376"/>
      <c r="K261" s="376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78"/>
    </row>
    <row r="262" spans="1:48">
      <c r="A262" s="24">
        <f t="shared" ref="A262:A325" si="4">A261+1</f>
        <v>44819</v>
      </c>
      <c r="B262" s="356">
        <v>80.287954621287952</v>
      </c>
      <c r="C262" s="357">
        <v>59.192386831275712</v>
      </c>
      <c r="D262" s="358">
        <v>79.702702702702709</v>
      </c>
      <c r="E262" s="359">
        <v>58.194444444444443</v>
      </c>
      <c r="F262" s="375">
        <v>94</v>
      </c>
      <c r="G262" s="949">
        <v>44</v>
      </c>
      <c r="H262" s="376"/>
      <c r="I262" s="376"/>
      <c r="J262" s="376"/>
      <c r="K262" s="376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78"/>
    </row>
    <row r="263" spans="1:48">
      <c r="A263" s="24">
        <f t="shared" si="4"/>
        <v>44820</v>
      </c>
      <c r="B263" s="356">
        <v>79.920587253920587</v>
      </c>
      <c r="C263" s="357">
        <v>58.819958847736629</v>
      </c>
      <c r="D263" s="358">
        <v>79.459459459459453</v>
      </c>
      <c r="E263" s="359">
        <v>59.75</v>
      </c>
      <c r="F263" s="375">
        <v>95</v>
      </c>
      <c r="G263" s="949">
        <v>41</v>
      </c>
      <c r="H263" s="376"/>
      <c r="I263" s="376"/>
      <c r="J263" s="376"/>
      <c r="K263" s="376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78"/>
    </row>
    <row r="264" spans="1:48">
      <c r="A264" s="24">
        <f t="shared" si="4"/>
        <v>44821</v>
      </c>
      <c r="B264" s="356">
        <v>79.558224891558226</v>
      </c>
      <c r="C264" s="357">
        <v>58.436556927297666</v>
      </c>
      <c r="D264" s="358">
        <v>78.405405405405403</v>
      </c>
      <c r="E264" s="359">
        <v>58.222222222222221</v>
      </c>
      <c r="F264" s="375">
        <v>93</v>
      </c>
      <c r="G264" s="949">
        <v>41</v>
      </c>
      <c r="H264" s="376"/>
      <c r="I264" s="376"/>
      <c r="J264" s="376"/>
      <c r="K264" s="376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78"/>
    </row>
    <row r="265" spans="1:48">
      <c r="A265" s="24">
        <f t="shared" si="4"/>
        <v>44822</v>
      </c>
      <c r="B265" s="356">
        <v>79.215548882215543</v>
      </c>
      <c r="C265" s="357">
        <v>58.05898491083677</v>
      </c>
      <c r="D265" s="358">
        <v>79.324324324324323</v>
      </c>
      <c r="E265" s="359">
        <v>58.138888888888886</v>
      </c>
      <c r="F265" s="375">
        <v>98</v>
      </c>
      <c r="G265" s="949">
        <v>46</v>
      </c>
      <c r="H265" s="376"/>
      <c r="I265" s="376"/>
      <c r="J265" s="376"/>
      <c r="K265" s="376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78"/>
    </row>
    <row r="266" spans="1:48">
      <c r="A266" s="24">
        <f t="shared" si="4"/>
        <v>44823</v>
      </c>
      <c r="B266" s="356">
        <v>78.870537203870555</v>
      </c>
      <c r="C266" s="357">
        <v>57.679698216735261</v>
      </c>
      <c r="D266" s="358">
        <v>79.324324324324323</v>
      </c>
      <c r="E266" s="359">
        <v>58.194444444444443</v>
      </c>
      <c r="F266" s="375">
        <v>95</v>
      </c>
      <c r="G266" s="949">
        <v>39</v>
      </c>
      <c r="H266" s="376"/>
      <c r="I266" s="376"/>
      <c r="J266" s="376"/>
      <c r="K266" s="376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78"/>
    </row>
    <row r="267" spans="1:48">
      <c r="A267" s="24">
        <f t="shared" si="4"/>
        <v>44824</v>
      </c>
      <c r="B267" s="356">
        <v>78.52519185852519</v>
      </c>
      <c r="C267" s="357">
        <v>57.281207133058984</v>
      </c>
      <c r="D267" s="358">
        <v>79.86486486486487</v>
      </c>
      <c r="E267" s="359">
        <v>58.333333333333336</v>
      </c>
      <c r="F267" s="375">
        <v>94</v>
      </c>
      <c r="G267" s="949">
        <v>42</v>
      </c>
      <c r="H267" s="376"/>
      <c r="I267" s="376"/>
      <c r="J267" s="376"/>
      <c r="K267" s="376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78"/>
    </row>
    <row r="268" spans="1:48">
      <c r="A268" s="24">
        <f t="shared" si="4"/>
        <v>44825</v>
      </c>
      <c r="B268" s="356">
        <v>78.125125125125138</v>
      </c>
      <c r="C268" s="357">
        <v>56.834362139917694</v>
      </c>
      <c r="D268" s="358">
        <v>78.972972972972968</v>
      </c>
      <c r="E268" s="359">
        <v>57.694444444444443</v>
      </c>
      <c r="F268" s="375">
        <v>96</v>
      </c>
      <c r="G268" s="949">
        <v>42</v>
      </c>
      <c r="H268" s="376"/>
      <c r="I268" s="376"/>
      <c r="J268" s="376"/>
      <c r="K268" s="376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78"/>
    </row>
    <row r="269" spans="1:48">
      <c r="A269" s="24">
        <f t="shared" si="4"/>
        <v>44826</v>
      </c>
      <c r="B269" s="356">
        <v>77.708375041708393</v>
      </c>
      <c r="C269" s="357">
        <v>56.355624142661185</v>
      </c>
      <c r="D269" s="358">
        <v>78.243243243243242</v>
      </c>
      <c r="E269" s="359">
        <v>55.583333333333336</v>
      </c>
      <c r="F269" s="375">
        <v>96</v>
      </c>
      <c r="G269" s="949">
        <v>38</v>
      </c>
      <c r="H269" s="376"/>
      <c r="I269" s="376"/>
      <c r="J269" s="376"/>
      <c r="K269" s="376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78"/>
    </row>
    <row r="270" spans="1:48">
      <c r="A270" s="24">
        <f t="shared" si="4"/>
        <v>44827</v>
      </c>
      <c r="B270" s="356">
        <v>77.290290290290287</v>
      </c>
      <c r="C270" s="357">
        <v>55.889917695473251</v>
      </c>
      <c r="D270" s="358">
        <v>75.729729729729726</v>
      </c>
      <c r="E270" s="359">
        <v>55.388888888888886</v>
      </c>
      <c r="F270" s="375">
        <v>95</v>
      </c>
      <c r="G270" s="949">
        <v>34</v>
      </c>
      <c r="H270" s="376"/>
      <c r="I270" s="376"/>
      <c r="J270" s="376"/>
      <c r="K270" s="376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78"/>
    </row>
    <row r="271" spans="1:48">
      <c r="A271" s="24">
        <f t="shared" si="4"/>
        <v>44828</v>
      </c>
      <c r="B271" s="356">
        <v>76.937270603937264</v>
      </c>
      <c r="C271" s="357">
        <v>55.444101508916326</v>
      </c>
      <c r="D271" s="358">
        <v>75.837837837837839</v>
      </c>
      <c r="E271" s="359">
        <v>54</v>
      </c>
      <c r="F271" s="375">
        <v>93</v>
      </c>
      <c r="G271" s="949">
        <v>36</v>
      </c>
      <c r="H271" s="376"/>
      <c r="I271" s="376"/>
      <c r="J271" s="376"/>
      <c r="K271" s="376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78"/>
    </row>
    <row r="272" spans="1:48">
      <c r="A272" s="24">
        <f t="shared" si="4"/>
        <v>44829</v>
      </c>
      <c r="B272" s="356">
        <v>76.616282949616277</v>
      </c>
      <c r="C272" s="357">
        <v>55.035665294924549</v>
      </c>
      <c r="D272" s="358">
        <v>76.081081081081081</v>
      </c>
      <c r="E272" s="359">
        <v>55.916666666666664</v>
      </c>
      <c r="F272" s="375">
        <v>93</v>
      </c>
      <c r="G272" s="949">
        <v>37</v>
      </c>
      <c r="H272" s="376"/>
      <c r="I272" s="376"/>
      <c r="J272" s="376"/>
      <c r="K272" s="376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78"/>
    </row>
    <row r="273" spans="1:48">
      <c r="A273" s="24">
        <f t="shared" si="4"/>
        <v>44830</v>
      </c>
      <c r="B273" s="356">
        <v>76.318985652318986</v>
      </c>
      <c r="C273" s="357">
        <v>54.640946502057609</v>
      </c>
      <c r="D273" s="358">
        <v>75.86486486486487</v>
      </c>
      <c r="E273" s="359">
        <v>55.027777777777779</v>
      </c>
      <c r="F273" s="375">
        <v>90</v>
      </c>
      <c r="G273" s="949">
        <v>38</v>
      </c>
      <c r="H273" s="376"/>
      <c r="I273" s="376"/>
      <c r="J273" s="376"/>
      <c r="K273" s="376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78"/>
    </row>
    <row r="274" spans="1:48">
      <c r="A274" s="24">
        <f t="shared" si="4"/>
        <v>44831</v>
      </c>
      <c r="B274" s="356">
        <v>76.037037037037024</v>
      </c>
      <c r="C274" s="357">
        <v>54.23696844993141</v>
      </c>
      <c r="D274" s="358">
        <v>76.621621621621628</v>
      </c>
      <c r="E274" s="359">
        <v>54.361111111111114</v>
      </c>
      <c r="F274" s="375">
        <v>94</v>
      </c>
      <c r="G274" s="949">
        <v>36</v>
      </c>
      <c r="H274" s="376"/>
      <c r="I274" s="376"/>
      <c r="J274" s="376"/>
      <c r="K274" s="376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78"/>
    </row>
    <row r="275" spans="1:48">
      <c r="A275" s="24">
        <f t="shared" si="4"/>
        <v>44832</v>
      </c>
      <c r="B275" s="356">
        <v>75.748748748748739</v>
      </c>
      <c r="C275" s="357">
        <v>53.825788751714676</v>
      </c>
      <c r="D275" s="358">
        <v>76.837837837837839</v>
      </c>
      <c r="E275" s="359">
        <v>53.611111111111114</v>
      </c>
      <c r="F275" s="375">
        <v>93</v>
      </c>
      <c r="G275" s="949">
        <v>34</v>
      </c>
      <c r="H275" s="376"/>
      <c r="I275" s="376"/>
      <c r="J275" s="376"/>
      <c r="K275" s="376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78"/>
    </row>
    <row r="276" spans="1:48">
      <c r="A276" s="24">
        <f t="shared" si="4"/>
        <v>44833</v>
      </c>
      <c r="B276" s="356">
        <v>75.430764097430767</v>
      </c>
      <c r="C276" s="357">
        <v>53.409122085048011</v>
      </c>
      <c r="D276" s="358">
        <v>74.567567567567565</v>
      </c>
      <c r="E276" s="359">
        <v>52.388888888888886</v>
      </c>
      <c r="F276" s="375">
        <v>98</v>
      </c>
      <c r="G276" s="949">
        <v>34</v>
      </c>
      <c r="H276" s="376"/>
      <c r="I276" s="376"/>
      <c r="J276" s="376"/>
      <c r="K276" s="376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78"/>
    </row>
    <row r="277" spans="1:48">
      <c r="A277" s="24">
        <f t="shared" si="4"/>
        <v>44834</v>
      </c>
      <c r="B277" s="356">
        <v>75.156156156156158</v>
      </c>
      <c r="C277" s="357">
        <v>53.027777777777779</v>
      </c>
      <c r="D277" s="358">
        <v>75.108108108108112</v>
      </c>
      <c r="E277" s="359">
        <v>52.194444444444443</v>
      </c>
      <c r="F277" s="375">
        <v>96</v>
      </c>
      <c r="G277" s="949">
        <v>35</v>
      </c>
      <c r="H277" s="376"/>
      <c r="I277" s="376"/>
      <c r="J277" s="376"/>
      <c r="K277" s="376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78"/>
    </row>
    <row r="278" spans="1:48">
      <c r="A278" s="24">
        <f t="shared" si="4"/>
        <v>44835</v>
      </c>
      <c r="B278" s="356">
        <v>74.890557223890553</v>
      </c>
      <c r="C278" s="357">
        <v>52.683813443072694</v>
      </c>
      <c r="D278" s="358">
        <v>74.405405405405403</v>
      </c>
      <c r="E278" s="359">
        <v>52.777777777777779</v>
      </c>
      <c r="F278" s="375">
        <v>96</v>
      </c>
      <c r="G278" s="949">
        <v>38</v>
      </c>
      <c r="H278" s="376"/>
      <c r="I278" s="376"/>
      <c r="J278" s="376"/>
      <c r="K278" s="376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78"/>
    </row>
    <row r="279" spans="1:48">
      <c r="A279" s="24">
        <f t="shared" si="4"/>
        <v>44836</v>
      </c>
      <c r="B279" s="356">
        <v>74.619619619619627</v>
      </c>
      <c r="C279" s="357">
        <v>52.346364883401918</v>
      </c>
      <c r="D279" s="358">
        <v>75.108108108108112</v>
      </c>
      <c r="E279" s="359">
        <v>53.111111111111114</v>
      </c>
      <c r="F279" s="375">
        <v>95</v>
      </c>
      <c r="G279" s="949">
        <v>35</v>
      </c>
      <c r="H279" s="376"/>
      <c r="I279" s="376"/>
      <c r="J279" s="376"/>
      <c r="K279" s="376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78"/>
    </row>
    <row r="280" spans="1:48">
      <c r="A280" s="24">
        <f t="shared" si="4"/>
        <v>44837</v>
      </c>
      <c r="B280" s="356">
        <v>74.303970637303976</v>
      </c>
      <c r="C280" s="357">
        <v>51.974965706447179</v>
      </c>
      <c r="D280" s="358">
        <v>74.567567567567565</v>
      </c>
      <c r="E280" s="359">
        <v>52.833333333333336</v>
      </c>
      <c r="F280" s="375">
        <v>95</v>
      </c>
      <c r="G280" s="949">
        <v>31</v>
      </c>
      <c r="H280" s="376"/>
      <c r="I280" s="376"/>
      <c r="J280" s="376"/>
      <c r="K280" s="376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78"/>
    </row>
    <row r="281" spans="1:48">
      <c r="A281" s="24">
        <f t="shared" si="4"/>
        <v>44838</v>
      </c>
      <c r="B281" s="356">
        <v>73.961628294961628</v>
      </c>
      <c r="C281" s="357">
        <v>51.563786008230451</v>
      </c>
      <c r="D281" s="358">
        <v>74.621621621621628</v>
      </c>
      <c r="E281" s="359">
        <v>53.194444444444443</v>
      </c>
      <c r="F281" s="375">
        <v>90</v>
      </c>
      <c r="G281" s="949">
        <v>34</v>
      </c>
      <c r="H281" s="376"/>
      <c r="I281" s="376"/>
      <c r="J281" s="376"/>
      <c r="K281" s="376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78"/>
    </row>
    <row r="282" spans="1:48">
      <c r="A282" s="24">
        <f t="shared" si="4"/>
        <v>44839</v>
      </c>
      <c r="B282" s="356">
        <v>73.576242909576251</v>
      </c>
      <c r="C282" s="357">
        <v>51.12037037037036</v>
      </c>
      <c r="D282" s="358">
        <v>74.567567567567565</v>
      </c>
      <c r="E282" s="359">
        <v>51.083333333333336</v>
      </c>
      <c r="F282" s="375">
        <v>90</v>
      </c>
      <c r="G282" s="949">
        <v>34</v>
      </c>
      <c r="H282" s="376"/>
      <c r="I282" s="376"/>
      <c r="J282" s="376"/>
      <c r="K282" s="376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78"/>
    </row>
    <row r="283" spans="1:48">
      <c r="A283" s="24">
        <f t="shared" si="4"/>
        <v>44840</v>
      </c>
      <c r="B283" s="356">
        <v>73.151151151151154</v>
      </c>
      <c r="C283" s="357">
        <v>50.683813443072694</v>
      </c>
      <c r="D283" s="358">
        <v>73.405405405405403</v>
      </c>
      <c r="E283" s="359">
        <v>50</v>
      </c>
      <c r="F283" s="375">
        <v>91</v>
      </c>
      <c r="G283" s="949">
        <v>33</v>
      </c>
      <c r="H283" s="376"/>
      <c r="I283" s="376"/>
      <c r="J283" s="376"/>
      <c r="K283" s="376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78"/>
    </row>
    <row r="284" spans="1:48">
      <c r="A284" s="24">
        <f t="shared" si="4"/>
        <v>44841</v>
      </c>
      <c r="B284" s="356">
        <v>72.721054387721054</v>
      </c>
      <c r="C284" s="357">
        <v>50.26680384087792</v>
      </c>
      <c r="D284" s="358">
        <v>71.945945945945951</v>
      </c>
      <c r="E284" s="359">
        <v>48.583333333333336</v>
      </c>
      <c r="F284" s="375">
        <v>90</v>
      </c>
      <c r="G284" s="949">
        <v>31</v>
      </c>
      <c r="H284" s="376"/>
      <c r="I284" s="376"/>
      <c r="J284" s="376"/>
      <c r="K284" s="376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78"/>
    </row>
    <row r="285" spans="1:48">
      <c r="A285" s="24">
        <f t="shared" si="4"/>
        <v>44842</v>
      </c>
      <c r="B285" s="356">
        <v>72.286286286286284</v>
      </c>
      <c r="C285" s="357">
        <v>49.876543209876544</v>
      </c>
      <c r="D285" s="358">
        <v>72.78378378378379</v>
      </c>
      <c r="E285" s="359">
        <v>49.305555555555557</v>
      </c>
      <c r="F285" s="375">
        <v>90</v>
      </c>
      <c r="G285" s="949">
        <v>28</v>
      </c>
      <c r="H285" s="376"/>
      <c r="I285" s="376"/>
      <c r="J285" s="376"/>
      <c r="K285" s="376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78"/>
    </row>
    <row r="286" spans="1:48">
      <c r="A286" s="24">
        <f t="shared" si="4"/>
        <v>44843</v>
      </c>
      <c r="B286" s="356">
        <v>71.812479145812475</v>
      </c>
      <c r="C286" s="357">
        <v>49.477366255144034</v>
      </c>
      <c r="D286" s="358">
        <v>71.972972972972968</v>
      </c>
      <c r="E286" s="359">
        <v>49.722222222222221</v>
      </c>
      <c r="F286" s="375">
        <v>88</v>
      </c>
      <c r="G286" s="949">
        <v>22</v>
      </c>
      <c r="H286" s="376"/>
      <c r="I286" s="376"/>
      <c r="J286" s="376"/>
      <c r="K286" s="376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78"/>
    </row>
    <row r="287" spans="1:48">
      <c r="A287" s="24">
        <f t="shared" si="4"/>
        <v>44844</v>
      </c>
      <c r="B287" s="356">
        <v>71.312645979312663</v>
      </c>
      <c r="C287" s="357">
        <v>49.043895747599457</v>
      </c>
      <c r="D287" s="358">
        <v>70.13513513513513</v>
      </c>
      <c r="E287" s="359">
        <v>50.5</v>
      </c>
      <c r="F287" s="375">
        <v>88</v>
      </c>
      <c r="G287" s="949">
        <v>28</v>
      </c>
      <c r="H287" s="376"/>
      <c r="I287" s="376"/>
      <c r="J287" s="376"/>
      <c r="K287" s="376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78"/>
    </row>
    <row r="288" spans="1:48">
      <c r="A288" s="24">
        <f t="shared" si="4"/>
        <v>44845</v>
      </c>
      <c r="B288" s="356">
        <v>70.804471137804455</v>
      </c>
      <c r="C288" s="357">
        <v>48.555212620027433</v>
      </c>
      <c r="D288" s="358">
        <v>70.86486486486487</v>
      </c>
      <c r="E288" s="359">
        <v>48.083333333333336</v>
      </c>
      <c r="F288" s="375">
        <v>89</v>
      </c>
      <c r="G288" s="949">
        <v>30</v>
      </c>
      <c r="H288" s="376"/>
      <c r="I288" s="376"/>
      <c r="J288" s="376"/>
      <c r="K288" s="376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78"/>
    </row>
    <row r="289" spans="1:48">
      <c r="A289" s="24">
        <f t="shared" si="4"/>
        <v>44846</v>
      </c>
      <c r="B289" s="356">
        <v>70.287954621287952</v>
      </c>
      <c r="C289" s="357">
        <v>48.071673525377228</v>
      </c>
      <c r="D289" s="358">
        <v>71.13513513513513</v>
      </c>
      <c r="E289" s="359">
        <v>48.444444444444443</v>
      </c>
      <c r="F289" s="375">
        <v>86</v>
      </c>
      <c r="G289" s="949">
        <v>33</v>
      </c>
      <c r="H289" s="376"/>
      <c r="I289" s="376"/>
      <c r="J289" s="376"/>
      <c r="K289" s="376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78"/>
    </row>
    <row r="290" spans="1:48">
      <c r="A290" s="24">
        <f t="shared" si="4"/>
        <v>44847</v>
      </c>
      <c r="B290" s="356">
        <v>69.755422088755424</v>
      </c>
      <c r="C290" s="357">
        <v>47.585390946502052</v>
      </c>
      <c r="D290" s="358">
        <v>69.675675675675677</v>
      </c>
      <c r="E290" s="359">
        <v>47.861111111111114</v>
      </c>
      <c r="F290" s="375">
        <v>86</v>
      </c>
      <c r="G290" s="949">
        <v>30</v>
      </c>
      <c r="H290" s="376"/>
      <c r="I290" s="376"/>
      <c r="J290" s="376"/>
      <c r="K290" s="376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78"/>
    </row>
    <row r="291" spans="1:48">
      <c r="A291" s="24">
        <f t="shared" si="4"/>
        <v>44848</v>
      </c>
      <c r="B291" s="356">
        <v>69.241908575241908</v>
      </c>
      <c r="C291" s="357">
        <v>47.11213991769548</v>
      </c>
      <c r="D291" s="358">
        <v>70.054054054054049</v>
      </c>
      <c r="E291" s="359">
        <v>47.694444444444443</v>
      </c>
      <c r="F291" s="375">
        <v>84</v>
      </c>
      <c r="G291" s="949">
        <v>31</v>
      </c>
      <c r="H291" s="376"/>
      <c r="I291" s="376"/>
      <c r="J291" s="376"/>
      <c r="K291" s="376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78"/>
    </row>
    <row r="292" spans="1:48">
      <c r="A292" s="24">
        <f t="shared" si="4"/>
        <v>44849</v>
      </c>
      <c r="B292" s="356">
        <v>68.733733733733729</v>
      </c>
      <c r="C292" s="357">
        <v>46.647119341563787</v>
      </c>
      <c r="D292" s="358">
        <v>69.78378378378379</v>
      </c>
      <c r="E292" s="359">
        <v>47.222222222222221</v>
      </c>
      <c r="F292" s="375">
        <v>83</v>
      </c>
      <c r="G292" s="949">
        <v>30</v>
      </c>
      <c r="H292" s="376"/>
      <c r="I292" s="376"/>
      <c r="J292" s="376"/>
      <c r="K292" s="376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78"/>
    </row>
    <row r="293" spans="1:48">
      <c r="A293" s="24">
        <f t="shared" si="4"/>
        <v>44850</v>
      </c>
      <c r="B293" s="356">
        <v>68.213213213213209</v>
      </c>
      <c r="C293" s="357">
        <v>46.197187928669415</v>
      </c>
      <c r="D293" s="358">
        <v>66.675675675675677</v>
      </c>
      <c r="E293" s="359">
        <v>45.722222222222221</v>
      </c>
      <c r="F293" s="375">
        <v>87</v>
      </c>
      <c r="G293" s="949">
        <v>30</v>
      </c>
      <c r="H293" s="376"/>
      <c r="I293" s="376"/>
      <c r="J293" s="376"/>
      <c r="K293" s="376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78"/>
    </row>
    <row r="294" spans="1:48">
      <c r="A294" s="24">
        <f t="shared" si="4"/>
        <v>44851</v>
      </c>
      <c r="B294" s="356">
        <v>67.724724724724723</v>
      </c>
      <c r="C294" s="357">
        <v>45.769204389574753</v>
      </c>
      <c r="D294" s="358">
        <v>67.837837837837839</v>
      </c>
      <c r="E294" s="359">
        <v>45.5</v>
      </c>
      <c r="F294" s="375">
        <v>85</v>
      </c>
      <c r="G294" s="949">
        <v>29</v>
      </c>
      <c r="H294" s="376"/>
      <c r="I294" s="376"/>
      <c r="J294" s="376"/>
      <c r="K294" s="376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78"/>
    </row>
    <row r="295" spans="1:48">
      <c r="A295" s="24">
        <f t="shared" si="4"/>
        <v>44852</v>
      </c>
      <c r="B295" s="356">
        <v>67.256256256256265</v>
      </c>
      <c r="C295" s="357">
        <v>45.378600823045268</v>
      </c>
      <c r="D295" s="358">
        <v>66.729729729729726</v>
      </c>
      <c r="E295" s="359">
        <v>44.472222222222221</v>
      </c>
      <c r="F295" s="375">
        <v>85</v>
      </c>
      <c r="G295" s="949">
        <v>26</v>
      </c>
      <c r="H295" s="376"/>
      <c r="I295" s="376"/>
      <c r="J295" s="376"/>
      <c r="K295" s="376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78"/>
    </row>
    <row r="296" spans="1:48">
      <c r="A296" s="24">
        <f t="shared" si="4"/>
        <v>44853</v>
      </c>
      <c r="B296" s="356">
        <v>66.801468134801468</v>
      </c>
      <c r="C296" s="357">
        <v>45.050068587105628</v>
      </c>
      <c r="D296" s="358">
        <v>65.189189189189193</v>
      </c>
      <c r="E296" s="359">
        <v>43.75</v>
      </c>
      <c r="F296" s="375">
        <v>88</v>
      </c>
      <c r="G296" s="949">
        <v>28</v>
      </c>
      <c r="H296" s="376"/>
      <c r="I296" s="376"/>
      <c r="J296" s="376"/>
      <c r="K296" s="376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78"/>
    </row>
    <row r="297" spans="1:48">
      <c r="A297" s="24">
        <f t="shared" si="4"/>
        <v>44854</v>
      </c>
      <c r="B297" s="356">
        <v>66.362362362362376</v>
      </c>
      <c r="C297" s="357">
        <v>44.787722908093286</v>
      </c>
      <c r="D297" s="358">
        <v>65.945945945945951</v>
      </c>
      <c r="E297" s="359">
        <v>43.472222222222221</v>
      </c>
      <c r="F297" s="375">
        <v>86</v>
      </c>
      <c r="G297" s="949">
        <v>28</v>
      </c>
      <c r="H297" s="376"/>
      <c r="I297" s="376"/>
      <c r="J297" s="376"/>
      <c r="K297" s="376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78"/>
    </row>
    <row r="298" spans="1:48">
      <c r="A298" s="24">
        <f t="shared" si="4"/>
        <v>44855</v>
      </c>
      <c r="B298" s="356">
        <v>65.945612278945617</v>
      </c>
      <c r="C298" s="357">
        <v>44.553840877914958</v>
      </c>
      <c r="D298" s="358">
        <v>66.405405405405403</v>
      </c>
      <c r="E298" s="359">
        <v>43.833333333333336</v>
      </c>
      <c r="F298" s="375">
        <v>86</v>
      </c>
      <c r="G298" s="949">
        <v>28</v>
      </c>
      <c r="H298" s="376"/>
      <c r="I298" s="376"/>
      <c r="J298" s="376"/>
      <c r="K298" s="376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78"/>
    </row>
    <row r="299" spans="1:48">
      <c r="A299" s="24">
        <f t="shared" si="4"/>
        <v>44856</v>
      </c>
      <c r="B299" s="356">
        <v>65.570570570570567</v>
      </c>
      <c r="C299" s="357">
        <v>44.375514403292186</v>
      </c>
      <c r="D299" s="358">
        <v>66.270270270270274</v>
      </c>
      <c r="E299" s="359">
        <v>43.583333333333336</v>
      </c>
      <c r="F299" s="375">
        <v>86</v>
      </c>
      <c r="G299" s="949">
        <v>27</v>
      </c>
      <c r="H299" s="376"/>
      <c r="I299" s="376"/>
      <c r="J299" s="376"/>
      <c r="K299" s="376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78"/>
    </row>
    <row r="300" spans="1:48">
      <c r="A300" s="24">
        <f t="shared" si="4"/>
        <v>44857</v>
      </c>
      <c r="B300" s="356">
        <v>65.214547881214557</v>
      </c>
      <c r="C300" s="357">
        <v>44.268861454046636</v>
      </c>
      <c r="D300" s="358">
        <v>65.972972972972968</v>
      </c>
      <c r="E300" s="359">
        <v>44.972222222222221</v>
      </c>
      <c r="F300" s="375">
        <v>84</v>
      </c>
      <c r="G300" s="949">
        <v>25</v>
      </c>
      <c r="H300" s="376"/>
      <c r="I300" s="376"/>
      <c r="J300" s="376"/>
      <c r="K300" s="376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78"/>
    </row>
    <row r="301" spans="1:48">
      <c r="A301" s="24">
        <f t="shared" si="4"/>
        <v>44858</v>
      </c>
      <c r="B301" s="356">
        <v>64.866199532866219</v>
      </c>
      <c r="C301" s="357">
        <v>44.163923182441707</v>
      </c>
      <c r="D301" s="358">
        <v>65.162162162162161</v>
      </c>
      <c r="E301" s="359">
        <v>45.666666666666664</v>
      </c>
      <c r="F301" s="375">
        <v>83</v>
      </c>
      <c r="G301" s="949">
        <v>28</v>
      </c>
      <c r="H301" s="376"/>
      <c r="I301" s="376"/>
      <c r="J301" s="376"/>
      <c r="K301" s="376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78"/>
    </row>
    <row r="302" spans="1:48">
      <c r="A302" s="24">
        <f t="shared" si="4"/>
        <v>44859</v>
      </c>
      <c r="B302" s="356">
        <v>64.537871204537893</v>
      </c>
      <c r="C302" s="357">
        <v>44.016117969821678</v>
      </c>
      <c r="D302" s="358">
        <v>64</v>
      </c>
      <c r="E302" s="359">
        <v>44.638888888888886</v>
      </c>
      <c r="F302" s="375">
        <v>82</v>
      </c>
      <c r="G302" s="949">
        <v>24</v>
      </c>
      <c r="H302" s="376"/>
      <c r="I302" s="376"/>
      <c r="J302" s="376"/>
      <c r="K302" s="376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  <c r="AD302" s="380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78"/>
    </row>
    <row r="303" spans="1:48">
      <c r="A303" s="24">
        <f t="shared" si="4"/>
        <v>44860</v>
      </c>
      <c r="B303" s="356">
        <v>64.179179179179172</v>
      </c>
      <c r="C303" s="357">
        <v>43.819615912208505</v>
      </c>
      <c r="D303" s="358">
        <v>64.513513513513516</v>
      </c>
      <c r="E303" s="359">
        <v>44.722222222222221</v>
      </c>
      <c r="F303" s="375">
        <v>85</v>
      </c>
      <c r="G303" s="949">
        <v>25</v>
      </c>
      <c r="H303" s="376"/>
      <c r="I303" s="376"/>
      <c r="J303" s="376"/>
      <c r="K303" s="376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  <c r="AD303" s="380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78"/>
    </row>
    <row r="304" spans="1:48">
      <c r="A304" s="24">
        <f t="shared" si="4"/>
        <v>44861</v>
      </c>
      <c r="B304" s="356">
        <v>63.812479145812468</v>
      </c>
      <c r="C304" s="357">
        <v>43.575445816186559</v>
      </c>
      <c r="D304" s="358">
        <v>62.594594594594597</v>
      </c>
      <c r="E304" s="359">
        <v>44.25</v>
      </c>
      <c r="F304" s="375">
        <v>83</v>
      </c>
      <c r="G304" s="949">
        <v>26</v>
      </c>
      <c r="H304" s="376"/>
      <c r="I304" s="376"/>
      <c r="J304" s="376"/>
      <c r="K304" s="376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  <c r="AD304" s="380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78"/>
    </row>
    <row r="305" spans="1:48">
      <c r="A305" s="24">
        <f t="shared" si="4"/>
        <v>44862</v>
      </c>
      <c r="B305" s="356">
        <v>63.462128795462121</v>
      </c>
      <c r="C305" s="357">
        <v>43.293209876543202</v>
      </c>
      <c r="D305" s="358">
        <v>61.513513513513516</v>
      </c>
      <c r="E305" s="359">
        <v>42.361111111111114</v>
      </c>
      <c r="F305" s="375">
        <v>84</v>
      </c>
      <c r="G305" s="949">
        <v>25</v>
      </c>
      <c r="H305" s="376"/>
      <c r="I305" s="376"/>
      <c r="J305" s="376"/>
      <c r="K305" s="376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  <c r="AD305" s="380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78"/>
    </row>
    <row r="306" spans="1:48">
      <c r="A306" s="24">
        <f t="shared" si="4"/>
        <v>44863</v>
      </c>
      <c r="B306" s="356">
        <v>63.116449783116458</v>
      </c>
      <c r="C306" s="357">
        <v>42.995541838134422</v>
      </c>
      <c r="D306" s="358">
        <v>62.837837837837839</v>
      </c>
      <c r="E306" s="359">
        <v>41.166666666666664</v>
      </c>
      <c r="F306" s="375">
        <v>82</v>
      </c>
      <c r="G306" s="949">
        <v>25</v>
      </c>
      <c r="H306" s="376"/>
      <c r="I306" s="376"/>
      <c r="J306" s="376"/>
      <c r="K306" s="376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  <c r="AD306" s="380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78"/>
    </row>
    <row r="307" spans="1:48">
      <c r="A307" s="24">
        <f t="shared" si="4"/>
        <v>44864</v>
      </c>
      <c r="B307" s="356">
        <v>62.759759759759767</v>
      </c>
      <c r="C307" s="357">
        <v>42.697530864197539</v>
      </c>
      <c r="D307" s="358">
        <v>65.054054054054049</v>
      </c>
      <c r="E307" s="359">
        <v>43.722222222222221</v>
      </c>
      <c r="F307" s="375">
        <v>85</v>
      </c>
      <c r="G307" s="949">
        <v>21</v>
      </c>
      <c r="H307" s="376"/>
      <c r="I307" s="376"/>
      <c r="J307" s="376"/>
      <c r="K307" s="376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  <c r="AD307" s="380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78"/>
    </row>
    <row r="308" spans="1:48">
      <c r="A308" s="24">
        <f t="shared" si="4"/>
        <v>44865</v>
      </c>
      <c r="B308" s="356">
        <v>62.348348348348345</v>
      </c>
      <c r="C308" s="357">
        <v>42.339506172839513</v>
      </c>
      <c r="D308" s="358">
        <v>64.405405405405403</v>
      </c>
      <c r="E308" s="359">
        <v>45.111111111111114</v>
      </c>
      <c r="F308" s="375">
        <v>84</v>
      </c>
      <c r="G308" s="949">
        <v>30</v>
      </c>
      <c r="H308" s="376"/>
      <c r="I308" s="376"/>
      <c r="J308" s="376"/>
      <c r="K308" s="376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  <c r="AD308" s="380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78"/>
    </row>
    <row r="309" spans="1:48">
      <c r="A309" s="24">
        <f t="shared" si="4"/>
        <v>44866</v>
      </c>
      <c r="B309" s="356">
        <v>61.903570236903569</v>
      </c>
      <c r="C309" s="357">
        <v>41.868998628257891</v>
      </c>
      <c r="D309" s="358">
        <v>62.513513513513516</v>
      </c>
      <c r="E309" s="359">
        <v>42.388888888888886</v>
      </c>
      <c r="F309" s="375">
        <v>84</v>
      </c>
      <c r="G309" s="949">
        <v>26</v>
      </c>
      <c r="H309" s="376"/>
      <c r="I309" s="376"/>
      <c r="J309" s="376"/>
      <c r="K309" s="376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78"/>
    </row>
    <row r="310" spans="1:48">
      <c r="A310" s="24">
        <f t="shared" si="4"/>
        <v>44867</v>
      </c>
      <c r="B310" s="356">
        <v>61.4597931264598</v>
      </c>
      <c r="C310" s="357">
        <v>41.385459533607687</v>
      </c>
      <c r="D310" s="358">
        <v>62.162162162162161</v>
      </c>
      <c r="E310" s="359">
        <v>40.638888888888886</v>
      </c>
      <c r="F310" s="375">
        <v>83</v>
      </c>
      <c r="G310" s="949">
        <v>22</v>
      </c>
      <c r="H310" s="376"/>
      <c r="I310" s="376"/>
      <c r="J310" s="376"/>
      <c r="K310" s="376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78"/>
    </row>
    <row r="311" spans="1:48">
      <c r="A311" s="24">
        <f t="shared" si="4"/>
        <v>44868</v>
      </c>
      <c r="B311" s="356">
        <v>61.001334668001341</v>
      </c>
      <c r="C311" s="357">
        <v>40.914609053497941</v>
      </c>
      <c r="D311" s="358">
        <v>58.864864864864863</v>
      </c>
      <c r="E311" s="359">
        <v>39.611111111111114</v>
      </c>
      <c r="F311" s="375">
        <v>81</v>
      </c>
      <c r="G311" s="949">
        <v>12</v>
      </c>
      <c r="H311" s="376"/>
      <c r="I311" s="376"/>
      <c r="J311" s="376"/>
      <c r="K311" s="376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78"/>
    </row>
    <row r="312" spans="1:48">
      <c r="A312" s="24">
        <f t="shared" si="4"/>
        <v>44869</v>
      </c>
      <c r="B312" s="356">
        <v>60.559893226559893</v>
      </c>
      <c r="C312" s="357">
        <v>40.459190672153646</v>
      </c>
      <c r="D312" s="358">
        <v>60.54054054054054</v>
      </c>
      <c r="E312" s="359">
        <v>40.083333333333336</v>
      </c>
      <c r="F312" s="375">
        <v>78</v>
      </c>
      <c r="G312" s="949">
        <v>14</v>
      </c>
      <c r="H312" s="376"/>
      <c r="I312" s="376"/>
      <c r="J312" s="376"/>
      <c r="K312" s="376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78"/>
    </row>
    <row r="313" spans="1:48">
      <c r="A313" s="24">
        <f t="shared" si="4"/>
        <v>44870</v>
      </c>
      <c r="B313" s="356">
        <v>60.094427761094444</v>
      </c>
      <c r="C313" s="357">
        <v>40.021262002743484</v>
      </c>
      <c r="D313" s="358">
        <v>59.783783783783782</v>
      </c>
      <c r="E313" s="359">
        <v>40.944444444444443</v>
      </c>
      <c r="F313" s="375">
        <v>78</v>
      </c>
      <c r="G313" s="949">
        <v>15</v>
      </c>
      <c r="H313" s="376"/>
      <c r="I313" s="376"/>
      <c r="J313" s="376"/>
      <c r="K313" s="376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  <c r="AD313" s="380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78"/>
    </row>
    <row r="314" spans="1:48">
      <c r="A314" s="24">
        <f t="shared" si="4"/>
        <v>44871</v>
      </c>
      <c r="B314" s="356">
        <v>59.615949282615958</v>
      </c>
      <c r="C314" s="357">
        <v>39.576817558299041</v>
      </c>
      <c r="D314" s="358">
        <v>58.216216216216218</v>
      </c>
      <c r="E314" s="359">
        <v>39.722222222222221</v>
      </c>
      <c r="F314" s="375">
        <v>75</v>
      </c>
      <c r="G314" s="949">
        <v>26</v>
      </c>
      <c r="H314" s="376"/>
      <c r="I314" s="376"/>
      <c r="J314" s="376"/>
      <c r="K314" s="376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  <c r="AD314" s="380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78"/>
    </row>
    <row r="315" spans="1:48">
      <c r="A315" s="24">
        <f t="shared" si="4"/>
        <v>44872</v>
      </c>
      <c r="B315" s="356">
        <v>59.134134134134129</v>
      </c>
      <c r="C315" s="357">
        <v>39.118998628257884</v>
      </c>
      <c r="D315" s="358">
        <v>58.837837837837839</v>
      </c>
      <c r="E315" s="359">
        <v>38.833333333333336</v>
      </c>
      <c r="F315" s="375">
        <v>76</v>
      </c>
      <c r="G315" s="949">
        <v>20</v>
      </c>
      <c r="H315" s="376"/>
      <c r="I315" s="376"/>
      <c r="J315" s="376"/>
      <c r="K315" s="376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  <c r="AD315" s="380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78"/>
    </row>
    <row r="316" spans="1:48">
      <c r="A316" s="24">
        <f t="shared" si="4"/>
        <v>44873</v>
      </c>
      <c r="B316" s="356">
        <v>58.652652652652655</v>
      </c>
      <c r="C316" s="357">
        <v>38.667352537722905</v>
      </c>
      <c r="D316" s="358">
        <v>59.270270270270274</v>
      </c>
      <c r="E316" s="359">
        <v>38.75</v>
      </c>
      <c r="F316" s="375">
        <v>80</v>
      </c>
      <c r="G316" s="949">
        <v>20</v>
      </c>
      <c r="H316" s="376"/>
      <c r="I316" s="376"/>
      <c r="J316" s="376"/>
      <c r="K316" s="376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  <c r="AD316" s="380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78"/>
    </row>
    <row r="317" spans="1:48">
      <c r="A317" s="24">
        <f t="shared" si="4"/>
        <v>44874</v>
      </c>
      <c r="B317" s="356">
        <v>58.181181181181188</v>
      </c>
      <c r="C317" s="357">
        <v>38.252743484224965</v>
      </c>
      <c r="D317" s="358">
        <v>59.837837837837839</v>
      </c>
      <c r="E317" s="359">
        <v>37.527777777777779</v>
      </c>
      <c r="F317" s="375">
        <v>80</v>
      </c>
      <c r="G317" s="949">
        <v>20</v>
      </c>
      <c r="H317" s="376"/>
      <c r="I317" s="376"/>
      <c r="J317" s="376"/>
      <c r="K317" s="376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78"/>
    </row>
    <row r="318" spans="1:48">
      <c r="A318" s="24">
        <f t="shared" si="4"/>
        <v>44875</v>
      </c>
      <c r="B318" s="356">
        <v>57.716716716716718</v>
      </c>
      <c r="C318" s="357">
        <v>37.911179698216728</v>
      </c>
      <c r="D318" s="358">
        <v>59.135135135135137</v>
      </c>
      <c r="E318" s="359">
        <v>38.75</v>
      </c>
      <c r="F318" s="375">
        <v>79</v>
      </c>
      <c r="G318" s="949">
        <v>22</v>
      </c>
      <c r="H318" s="376"/>
      <c r="I318" s="376"/>
      <c r="J318" s="376"/>
      <c r="K318" s="376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78"/>
    </row>
    <row r="319" spans="1:48">
      <c r="A319" s="24">
        <f t="shared" si="4"/>
        <v>44876</v>
      </c>
      <c r="B319" s="356">
        <v>57.24891558224892</v>
      </c>
      <c r="C319" s="357">
        <v>37.598079561042518</v>
      </c>
      <c r="D319" s="358">
        <v>57.972972972972975</v>
      </c>
      <c r="E319" s="359">
        <v>36.638888888888886</v>
      </c>
      <c r="F319" s="375">
        <v>76</v>
      </c>
      <c r="G319" s="949">
        <v>19</v>
      </c>
      <c r="H319" s="376"/>
      <c r="I319" s="376"/>
      <c r="J319" s="376"/>
      <c r="K319" s="376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78"/>
    </row>
    <row r="320" spans="1:48">
      <c r="A320" s="24">
        <f t="shared" si="4"/>
        <v>44877</v>
      </c>
      <c r="B320" s="356">
        <v>56.807140473807145</v>
      </c>
      <c r="C320" s="357">
        <v>37.331618655692729</v>
      </c>
      <c r="D320" s="358">
        <v>55.108108108108105</v>
      </c>
      <c r="E320" s="359">
        <v>35.833333333333336</v>
      </c>
      <c r="F320" s="375">
        <v>75</v>
      </c>
      <c r="G320" s="949">
        <v>13</v>
      </c>
      <c r="H320" s="376"/>
      <c r="I320" s="376"/>
      <c r="J320" s="376"/>
      <c r="K320" s="376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78"/>
    </row>
    <row r="321" spans="1:48">
      <c r="A321" s="24">
        <f t="shared" si="4"/>
        <v>44878</v>
      </c>
      <c r="B321" s="356">
        <v>56.391725058391728</v>
      </c>
      <c r="C321" s="357">
        <v>37.117283950617292</v>
      </c>
      <c r="D321" s="358">
        <v>54.621621621621621</v>
      </c>
      <c r="E321" s="359">
        <v>36.861111111111114</v>
      </c>
      <c r="F321" s="375">
        <v>80</v>
      </c>
      <c r="G321" s="949">
        <v>10</v>
      </c>
      <c r="H321" s="376"/>
      <c r="I321" s="376"/>
      <c r="J321" s="376"/>
      <c r="K321" s="376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78"/>
    </row>
    <row r="322" spans="1:48">
      <c r="A322" s="24">
        <f t="shared" si="4"/>
        <v>44879</v>
      </c>
      <c r="B322" s="356">
        <v>56.041374708041367</v>
      </c>
      <c r="C322" s="357">
        <v>36.913237311385465</v>
      </c>
      <c r="D322" s="358">
        <v>55.918918918918919</v>
      </c>
      <c r="E322" s="359">
        <v>37.111111111111114</v>
      </c>
      <c r="F322" s="375">
        <v>76</v>
      </c>
      <c r="G322" s="949">
        <v>18</v>
      </c>
      <c r="H322" s="376"/>
      <c r="I322" s="376"/>
      <c r="J322" s="376"/>
      <c r="K322" s="376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78"/>
    </row>
    <row r="323" spans="1:48">
      <c r="A323" s="24">
        <f t="shared" si="4"/>
        <v>44880</v>
      </c>
      <c r="B323" s="356">
        <v>55.711378044711374</v>
      </c>
      <c r="C323" s="357">
        <v>36.721879286694111</v>
      </c>
      <c r="D323" s="358">
        <v>54.648648648648646</v>
      </c>
      <c r="E323" s="359">
        <v>36</v>
      </c>
      <c r="F323" s="375">
        <v>76</v>
      </c>
      <c r="G323" s="949">
        <v>18</v>
      </c>
      <c r="H323" s="376"/>
      <c r="I323" s="376"/>
      <c r="J323" s="376"/>
      <c r="K323" s="376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78"/>
    </row>
    <row r="324" spans="1:48">
      <c r="A324" s="24">
        <f t="shared" si="4"/>
        <v>44881</v>
      </c>
      <c r="B324" s="356">
        <v>55.411077744411067</v>
      </c>
      <c r="C324" s="357">
        <v>36.554183813443075</v>
      </c>
      <c r="D324" s="358">
        <v>54.864864864864863</v>
      </c>
      <c r="E324" s="359">
        <v>37</v>
      </c>
      <c r="F324" s="375">
        <v>76</v>
      </c>
      <c r="G324" s="949">
        <v>19</v>
      </c>
      <c r="H324" s="376"/>
      <c r="I324" s="376"/>
      <c r="J324" s="376"/>
      <c r="K324" s="376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78"/>
    </row>
    <row r="325" spans="1:48">
      <c r="A325" s="24">
        <f t="shared" si="4"/>
        <v>44882</v>
      </c>
      <c r="B325" s="356">
        <v>55.162162162162154</v>
      </c>
      <c r="C325" s="357">
        <v>36.402606310013709</v>
      </c>
      <c r="D325" s="358">
        <v>54.297297297297298</v>
      </c>
      <c r="E325" s="359">
        <v>36.777777777777779</v>
      </c>
      <c r="F325" s="375">
        <v>80</v>
      </c>
      <c r="G325" s="949">
        <v>12</v>
      </c>
      <c r="H325" s="376"/>
      <c r="I325" s="376"/>
      <c r="J325" s="376"/>
      <c r="K325" s="376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78"/>
    </row>
    <row r="326" spans="1:48">
      <c r="A326" s="24">
        <f t="shared" ref="A326:A377" si="5">A325+1</f>
        <v>44883</v>
      </c>
      <c r="B326" s="356">
        <v>54.965632298965637</v>
      </c>
      <c r="C326" s="357">
        <v>36.269890260631001</v>
      </c>
      <c r="D326" s="358">
        <v>55.837837837837839</v>
      </c>
      <c r="E326" s="359">
        <v>35.861111111111114</v>
      </c>
      <c r="F326" s="375">
        <v>78</v>
      </c>
      <c r="G326" s="949">
        <v>12</v>
      </c>
      <c r="H326" s="376"/>
      <c r="I326" s="376"/>
      <c r="J326" s="376"/>
      <c r="K326" s="376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78"/>
    </row>
    <row r="327" spans="1:48">
      <c r="A327" s="24">
        <f t="shared" si="5"/>
        <v>44884</v>
      </c>
      <c r="B327" s="356">
        <v>54.788121454788126</v>
      </c>
      <c r="C327" s="357">
        <v>36.156378600823047</v>
      </c>
      <c r="D327" s="358">
        <v>55.486486486486484</v>
      </c>
      <c r="E327" s="359">
        <v>37.416666666666664</v>
      </c>
      <c r="F327" s="375">
        <v>76</v>
      </c>
      <c r="G327" s="949">
        <v>14</v>
      </c>
      <c r="H327" s="376"/>
      <c r="I327" s="376"/>
      <c r="J327" s="376"/>
      <c r="K327" s="376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  <c r="AD327" s="380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78"/>
    </row>
    <row r="328" spans="1:48">
      <c r="A328" s="24">
        <f t="shared" si="5"/>
        <v>44885</v>
      </c>
      <c r="B328" s="356">
        <v>54.605605605605611</v>
      </c>
      <c r="C328" s="357">
        <v>36.017832647462278</v>
      </c>
      <c r="D328" s="358">
        <v>55.891891891891895</v>
      </c>
      <c r="E328" s="359">
        <v>36.416666666666664</v>
      </c>
      <c r="F328" s="375">
        <v>76</v>
      </c>
      <c r="G328" s="949">
        <v>17</v>
      </c>
      <c r="H328" s="376"/>
      <c r="I328" s="376"/>
      <c r="J328" s="376"/>
      <c r="K328" s="376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  <c r="AD328" s="380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78"/>
    </row>
    <row r="329" spans="1:48">
      <c r="A329" s="24">
        <f t="shared" si="5"/>
        <v>44886</v>
      </c>
      <c r="B329" s="356">
        <v>54.400734067400741</v>
      </c>
      <c r="C329" s="357">
        <v>35.866941015089168</v>
      </c>
      <c r="D329" s="358">
        <v>53.486486486486484</v>
      </c>
      <c r="E329" s="359">
        <v>36.277777777777779</v>
      </c>
      <c r="F329" s="375">
        <v>72</v>
      </c>
      <c r="G329" s="949">
        <v>12</v>
      </c>
      <c r="H329" s="376"/>
      <c r="I329" s="376"/>
      <c r="J329" s="376"/>
      <c r="K329" s="376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  <c r="AD329" s="380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78"/>
    </row>
    <row r="330" spans="1:48">
      <c r="A330" s="24">
        <f t="shared" si="5"/>
        <v>44887</v>
      </c>
      <c r="B330" s="356">
        <v>54.201201201201201</v>
      </c>
      <c r="C330" s="357">
        <v>35.705075445816192</v>
      </c>
      <c r="D330" s="358">
        <v>53.972972972972975</v>
      </c>
      <c r="E330" s="359">
        <v>34.472222222222221</v>
      </c>
      <c r="F330" s="375">
        <v>73</v>
      </c>
      <c r="G330" s="949">
        <v>9</v>
      </c>
      <c r="H330" s="376"/>
      <c r="I330" s="376"/>
      <c r="J330" s="376"/>
      <c r="K330" s="376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78"/>
    </row>
    <row r="331" spans="1:48">
      <c r="A331" s="24">
        <f t="shared" si="5"/>
        <v>44888</v>
      </c>
      <c r="B331" s="356">
        <v>53.968301634968299</v>
      </c>
      <c r="C331" s="357">
        <v>35.544924554183808</v>
      </c>
      <c r="D331" s="358">
        <v>53.702702702702702</v>
      </c>
      <c r="E331" s="359">
        <v>34.305555555555557</v>
      </c>
      <c r="F331" s="375">
        <v>74</v>
      </c>
      <c r="G331" s="949">
        <v>15</v>
      </c>
      <c r="H331" s="376"/>
      <c r="I331" s="376"/>
      <c r="J331" s="376"/>
      <c r="K331" s="376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78"/>
    </row>
    <row r="332" spans="1:48">
      <c r="A332" s="24">
        <f t="shared" si="5"/>
        <v>44889</v>
      </c>
      <c r="B332" s="356">
        <v>53.714047380714049</v>
      </c>
      <c r="C332" s="357">
        <v>35.399176954732511</v>
      </c>
      <c r="D332" s="358">
        <v>53.486486486486484</v>
      </c>
      <c r="E332" s="359">
        <v>34.194444444444443</v>
      </c>
      <c r="F332" s="375">
        <v>69</v>
      </c>
      <c r="G332" s="949">
        <v>2</v>
      </c>
      <c r="H332" s="376"/>
      <c r="I332" s="376"/>
      <c r="J332" s="376"/>
      <c r="K332" s="376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  <c r="AD332" s="380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78"/>
    </row>
    <row r="333" spans="1:48">
      <c r="A333" s="24">
        <f t="shared" si="5"/>
        <v>44890</v>
      </c>
      <c r="B333" s="356">
        <v>53.424758091424756</v>
      </c>
      <c r="C333" s="357">
        <v>35.271604938271615</v>
      </c>
      <c r="D333" s="358">
        <v>55.054054054054056</v>
      </c>
      <c r="E333" s="359">
        <v>36.472222222222221</v>
      </c>
      <c r="F333" s="375">
        <v>71</v>
      </c>
      <c r="G333" s="949">
        <v>-2</v>
      </c>
      <c r="H333" s="376"/>
      <c r="I333" s="376"/>
      <c r="J333" s="376"/>
      <c r="K333" s="376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  <c r="AD333" s="380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78"/>
    </row>
    <row r="334" spans="1:48">
      <c r="A334" s="24">
        <f t="shared" si="5"/>
        <v>44891</v>
      </c>
      <c r="B334" s="356">
        <v>53.038705372038706</v>
      </c>
      <c r="C334" s="357">
        <v>35.104938271604937</v>
      </c>
      <c r="D334" s="358">
        <v>53.567567567567565</v>
      </c>
      <c r="E334" s="359">
        <v>36.333333333333336</v>
      </c>
      <c r="F334" s="375">
        <v>71</v>
      </c>
      <c r="G334" s="949">
        <v>16</v>
      </c>
      <c r="H334" s="376"/>
      <c r="I334" s="376"/>
      <c r="J334" s="376"/>
      <c r="K334" s="376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78"/>
    </row>
    <row r="335" spans="1:48">
      <c r="A335" s="24">
        <f t="shared" si="5"/>
        <v>44892</v>
      </c>
      <c r="B335" s="356">
        <v>52.582916249582908</v>
      </c>
      <c r="C335" s="357">
        <v>34.873456790123463</v>
      </c>
      <c r="D335" s="358">
        <v>53.378378378378379</v>
      </c>
      <c r="E335" s="359">
        <v>35.75</v>
      </c>
      <c r="F335" s="375">
        <v>76</v>
      </c>
      <c r="G335" s="949">
        <v>17</v>
      </c>
      <c r="H335" s="376"/>
      <c r="I335" s="376"/>
      <c r="J335" s="376"/>
      <c r="K335" s="376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  <c r="AD335" s="380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78"/>
    </row>
    <row r="336" spans="1:48">
      <c r="A336" s="24">
        <f t="shared" si="5"/>
        <v>44893</v>
      </c>
      <c r="B336" s="356">
        <v>52.064731398064737</v>
      </c>
      <c r="C336" s="357">
        <v>34.56824417009603</v>
      </c>
      <c r="D336" s="358">
        <v>51.432432432432435</v>
      </c>
      <c r="E336" s="359">
        <v>34.055555555555557</v>
      </c>
      <c r="F336" s="375">
        <v>73</v>
      </c>
      <c r="G336" s="949">
        <v>10</v>
      </c>
      <c r="H336" s="376"/>
      <c r="I336" s="376"/>
      <c r="J336" s="376"/>
      <c r="K336" s="376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  <c r="AD336" s="380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78"/>
    </row>
    <row r="337" spans="1:48">
      <c r="A337" s="24">
        <f t="shared" si="5"/>
        <v>44894</v>
      </c>
      <c r="B337" s="356">
        <v>51.511177844511188</v>
      </c>
      <c r="C337" s="357">
        <v>34.248971193415642</v>
      </c>
      <c r="D337" s="358">
        <v>52</v>
      </c>
      <c r="E337" s="359">
        <v>35.194444444444443</v>
      </c>
      <c r="F337" s="375">
        <v>71</v>
      </c>
      <c r="G337" s="949">
        <v>11</v>
      </c>
      <c r="H337" s="376"/>
      <c r="I337" s="376"/>
      <c r="J337" s="376"/>
      <c r="K337" s="376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78"/>
    </row>
    <row r="338" spans="1:48">
      <c r="A338" s="24">
        <f t="shared" si="5"/>
        <v>44895</v>
      </c>
      <c r="B338" s="356">
        <v>50.918918918918926</v>
      </c>
      <c r="C338" s="357">
        <v>33.87620027434842</v>
      </c>
      <c r="D338" s="358">
        <v>52.297297297297298</v>
      </c>
      <c r="E338" s="359">
        <v>35.833333333333336</v>
      </c>
      <c r="F338" s="375">
        <v>72</v>
      </c>
      <c r="G338" s="949">
        <v>5</v>
      </c>
      <c r="H338" s="376"/>
      <c r="I338" s="376"/>
      <c r="J338" s="376"/>
      <c r="K338" s="376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  <c r="AD338" s="380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78"/>
    </row>
    <row r="339" spans="1:48">
      <c r="A339" s="24">
        <f t="shared" si="5"/>
        <v>44896</v>
      </c>
      <c r="B339" s="356">
        <v>50.297630964297632</v>
      </c>
      <c r="C339" s="357">
        <v>33.437242798353907</v>
      </c>
      <c r="D339" s="358">
        <v>50.621621621621621</v>
      </c>
      <c r="E339" s="359">
        <v>32.222222222222221</v>
      </c>
      <c r="F339" s="375">
        <v>69</v>
      </c>
      <c r="G339" s="949">
        <v>10</v>
      </c>
      <c r="H339" s="376"/>
      <c r="I339" s="376"/>
      <c r="J339" s="376"/>
      <c r="K339" s="376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  <c r="AD339" s="380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78"/>
    </row>
    <row r="340" spans="1:48">
      <c r="A340" s="24">
        <f t="shared" si="5"/>
        <v>44897</v>
      </c>
      <c r="B340" s="356">
        <v>49.672339005672342</v>
      </c>
      <c r="C340" s="357">
        <v>32.995198902606312</v>
      </c>
      <c r="D340" s="358">
        <v>49.756756756756758</v>
      </c>
      <c r="E340" s="359">
        <v>32.666666666666664</v>
      </c>
      <c r="F340" s="375">
        <v>74</v>
      </c>
      <c r="G340" s="949">
        <v>9</v>
      </c>
      <c r="H340" s="376"/>
      <c r="I340" s="376"/>
      <c r="J340" s="376"/>
      <c r="K340" s="376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  <c r="AD340" s="380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78"/>
    </row>
    <row r="341" spans="1:48">
      <c r="A341" s="24">
        <f t="shared" si="5"/>
        <v>44898</v>
      </c>
      <c r="B341" s="356">
        <v>49.067067067067065</v>
      </c>
      <c r="C341" s="357">
        <v>32.527091906721544</v>
      </c>
      <c r="D341" s="358">
        <v>49.486486486486484</v>
      </c>
      <c r="E341" s="359">
        <v>33.861111111111114</v>
      </c>
      <c r="F341" s="375">
        <v>77</v>
      </c>
      <c r="G341" s="949">
        <v>8</v>
      </c>
      <c r="H341" s="376"/>
      <c r="I341" s="376"/>
      <c r="J341" s="376"/>
      <c r="K341" s="376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  <c r="AD341" s="380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78"/>
    </row>
    <row r="342" spans="1:48">
      <c r="A342" s="24">
        <f t="shared" si="5"/>
        <v>44899</v>
      </c>
      <c r="B342" s="356">
        <v>48.466132799466131</v>
      </c>
      <c r="C342" s="357">
        <v>32.008230452674894</v>
      </c>
      <c r="D342" s="358">
        <v>47.405405405405403</v>
      </c>
      <c r="E342" s="359">
        <v>32.777777777777779</v>
      </c>
      <c r="F342" s="375">
        <v>72</v>
      </c>
      <c r="G342" s="949">
        <v>14</v>
      </c>
      <c r="H342" s="376"/>
      <c r="I342" s="376"/>
      <c r="J342" s="376"/>
      <c r="K342" s="376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  <c r="AD342" s="380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78"/>
    </row>
    <row r="343" spans="1:48">
      <c r="A343" s="24">
        <f t="shared" si="5"/>
        <v>44900</v>
      </c>
      <c r="B343" s="356">
        <v>47.933600266933603</v>
      </c>
      <c r="C343" s="357">
        <v>31.512345679012341</v>
      </c>
      <c r="D343" s="358">
        <v>47.189189189189186</v>
      </c>
      <c r="E343" s="359">
        <v>30.638888888888889</v>
      </c>
      <c r="F343" s="375">
        <v>72</v>
      </c>
      <c r="G343" s="949">
        <v>15</v>
      </c>
      <c r="H343" s="376"/>
      <c r="I343" s="376"/>
      <c r="J343" s="376"/>
      <c r="K343" s="376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78"/>
    </row>
    <row r="344" spans="1:48">
      <c r="A344" s="24">
        <f t="shared" si="5"/>
        <v>44901</v>
      </c>
      <c r="B344" s="356">
        <v>47.478478478478479</v>
      </c>
      <c r="C344" s="357">
        <v>31.092592592592585</v>
      </c>
      <c r="D344" s="358">
        <v>45.864864864864863</v>
      </c>
      <c r="E344" s="359">
        <v>29.666666666666668</v>
      </c>
      <c r="F344" s="375">
        <v>77</v>
      </c>
      <c r="G344" s="949">
        <v>6</v>
      </c>
      <c r="H344" s="376"/>
      <c r="I344" s="376"/>
      <c r="J344" s="376"/>
      <c r="K344" s="376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78"/>
    </row>
    <row r="345" spans="1:48">
      <c r="A345" s="24">
        <f t="shared" si="5"/>
        <v>44902</v>
      </c>
      <c r="B345" s="356">
        <v>47.133466800133469</v>
      </c>
      <c r="C345" s="357">
        <v>30.748628257887518</v>
      </c>
      <c r="D345" s="358">
        <v>44.513513513513516</v>
      </c>
      <c r="E345" s="359">
        <v>29.555555555555557</v>
      </c>
      <c r="F345" s="375">
        <v>71</v>
      </c>
      <c r="G345" s="949">
        <v>2</v>
      </c>
      <c r="H345" s="376"/>
      <c r="I345" s="376"/>
      <c r="J345" s="376"/>
      <c r="K345" s="376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78"/>
    </row>
    <row r="346" spans="1:48">
      <c r="A346" s="24">
        <f t="shared" si="5"/>
        <v>44903</v>
      </c>
      <c r="B346" s="356">
        <v>46.890557223890561</v>
      </c>
      <c r="C346" s="357">
        <v>30.465363511659802</v>
      </c>
      <c r="D346" s="358">
        <v>44.972972972972975</v>
      </c>
      <c r="E346" s="359">
        <v>29.638888888888889</v>
      </c>
      <c r="F346" s="375">
        <v>67</v>
      </c>
      <c r="G346" s="949">
        <v>9</v>
      </c>
      <c r="H346" s="376"/>
      <c r="I346" s="376"/>
      <c r="J346" s="376"/>
      <c r="K346" s="376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78"/>
    </row>
    <row r="347" spans="1:48">
      <c r="A347" s="24">
        <f t="shared" si="5"/>
        <v>44904</v>
      </c>
      <c r="B347" s="356">
        <v>46.734734734734737</v>
      </c>
      <c r="C347" s="357">
        <v>30.253429355281202</v>
      </c>
      <c r="D347" s="358">
        <v>48.756756756756758</v>
      </c>
      <c r="E347" s="359">
        <v>30.027777777777779</v>
      </c>
      <c r="F347" s="375">
        <v>68</v>
      </c>
      <c r="G347" s="949">
        <v>5</v>
      </c>
      <c r="H347" s="376"/>
      <c r="I347" s="376"/>
      <c r="J347" s="376"/>
      <c r="K347" s="376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78"/>
    </row>
    <row r="348" spans="1:48">
      <c r="A348" s="24">
        <f t="shared" si="5"/>
        <v>44905</v>
      </c>
      <c r="B348" s="356">
        <v>46.54521187854521</v>
      </c>
      <c r="C348" s="357">
        <v>30.087105624142662</v>
      </c>
      <c r="D348" s="358">
        <v>46.945945945945944</v>
      </c>
      <c r="E348" s="359">
        <v>29.722222222222221</v>
      </c>
      <c r="F348" s="375">
        <v>70</v>
      </c>
      <c r="G348" s="949">
        <v>3</v>
      </c>
      <c r="H348" s="376"/>
      <c r="I348" s="376"/>
      <c r="J348" s="376"/>
      <c r="K348" s="376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78"/>
    </row>
    <row r="349" spans="1:48">
      <c r="A349" s="24">
        <f t="shared" si="5"/>
        <v>44906</v>
      </c>
      <c r="B349" s="356">
        <v>46.355689022355683</v>
      </c>
      <c r="C349" s="357">
        <v>29.916323731138547</v>
      </c>
      <c r="D349" s="358">
        <v>47.432432432432435</v>
      </c>
      <c r="E349" s="359">
        <v>28.916666666666668</v>
      </c>
      <c r="F349" s="375">
        <v>69</v>
      </c>
      <c r="G349" s="949">
        <v>-2</v>
      </c>
      <c r="H349" s="376"/>
      <c r="I349" s="376"/>
      <c r="J349" s="376"/>
      <c r="K349" s="376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78"/>
    </row>
    <row r="350" spans="1:48">
      <c r="A350" s="24">
        <f t="shared" si="5"/>
        <v>44907</v>
      </c>
      <c r="B350" s="356">
        <v>46.150150150150154</v>
      </c>
      <c r="C350" s="357">
        <v>29.766460905349795</v>
      </c>
      <c r="D350" s="358">
        <v>45.837837837837839</v>
      </c>
      <c r="E350" s="359">
        <v>29.416666666666668</v>
      </c>
      <c r="F350" s="375">
        <v>71</v>
      </c>
      <c r="G350" s="949">
        <v>-4</v>
      </c>
      <c r="H350" s="376"/>
      <c r="I350" s="376"/>
      <c r="J350" s="376"/>
      <c r="K350" s="376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78"/>
    </row>
    <row r="351" spans="1:48">
      <c r="A351" s="24">
        <f t="shared" si="5"/>
        <v>44908</v>
      </c>
      <c r="B351" s="356">
        <v>45.985318651985317</v>
      </c>
      <c r="C351" s="357">
        <v>29.657750342935532</v>
      </c>
      <c r="D351" s="358">
        <v>45.297297297297298</v>
      </c>
      <c r="E351" s="359">
        <v>30.944444444444443</v>
      </c>
      <c r="F351" s="375">
        <v>69</v>
      </c>
      <c r="G351" s="949">
        <v>-5</v>
      </c>
      <c r="H351" s="376"/>
      <c r="I351" s="376"/>
      <c r="J351" s="376"/>
      <c r="K351" s="376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78"/>
    </row>
    <row r="352" spans="1:48">
      <c r="A352" s="24">
        <f t="shared" si="5"/>
        <v>44909</v>
      </c>
      <c r="B352" s="356">
        <v>45.84451117784451</v>
      </c>
      <c r="C352" s="357">
        <v>29.541495198902606</v>
      </c>
      <c r="D352" s="358">
        <v>47.081081081081081</v>
      </c>
      <c r="E352" s="359">
        <v>31.111111111111111</v>
      </c>
      <c r="F352" s="375">
        <v>69</v>
      </c>
      <c r="G352" s="949">
        <v>3</v>
      </c>
      <c r="H352" s="376"/>
      <c r="I352" s="376"/>
      <c r="J352" s="376"/>
      <c r="K352" s="376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78"/>
    </row>
    <row r="353" spans="1:48">
      <c r="A353" s="24">
        <f t="shared" si="5"/>
        <v>44910</v>
      </c>
      <c r="B353" s="356">
        <v>45.680347013680347</v>
      </c>
      <c r="C353" s="357">
        <v>29.388203017832648</v>
      </c>
      <c r="D353" s="358">
        <v>47.270270270270274</v>
      </c>
      <c r="E353" s="359">
        <v>29.722222222222221</v>
      </c>
      <c r="F353" s="375">
        <v>73</v>
      </c>
      <c r="G353" s="949">
        <v>1</v>
      </c>
      <c r="H353" s="376"/>
      <c r="I353" s="376"/>
      <c r="J353" s="376"/>
      <c r="K353" s="376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78"/>
    </row>
    <row r="354" spans="1:48">
      <c r="A354" s="24">
        <f t="shared" si="5"/>
        <v>44911</v>
      </c>
      <c r="B354" s="356">
        <v>45.440106773440107</v>
      </c>
      <c r="C354" s="357">
        <v>29.195473251028805</v>
      </c>
      <c r="D354" s="358">
        <v>45.864864864864863</v>
      </c>
      <c r="E354" s="359">
        <v>29.972222222222221</v>
      </c>
      <c r="F354" s="375">
        <v>69</v>
      </c>
      <c r="G354" s="949">
        <v>-4</v>
      </c>
      <c r="H354" s="376"/>
      <c r="I354" s="376"/>
      <c r="J354" s="376"/>
      <c r="K354" s="376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78"/>
    </row>
    <row r="355" spans="1:48">
      <c r="A355" s="24">
        <f t="shared" si="5"/>
        <v>44912</v>
      </c>
      <c r="B355" s="356">
        <v>45.113780447113783</v>
      </c>
      <c r="C355" s="357">
        <v>28.925582990397807</v>
      </c>
      <c r="D355" s="358">
        <v>45</v>
      </c>
      <c r="E355" s="359">
        <v>29.861111111111111</v>
      </c>
      <c r="F355" s="375">
        <v>69</v>
      </c>
      <c r="G355" s="949">
        <v>1</v>
      </c>
      <c r="H355" s="376"/>
      <c r="I355" s="376"/>
      <c r="J355" s="376"/>
      <c r="K355" s="376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78"/>
    </row>
    <row r="356" spans="1:48">
      <c r="A356" s="24">
        <f t="shared" si="5"/>
        <v>44913</v>
      </c>
      <c r="B356" s="356">
        <v>44.752419085752415</v>
      </c>
      <c r="C356" s="357">
        <v>28.611454046639235</v>
      </c>
      <c r="D356" s="358">
        <v>42.486486486486484</v>
      </c>
      <c r="E356" s="359">
        <v>27.916666666666668</v>
      </c>
      <c r="F356" s="375">
        <v>63</v>
      </c>
      <c r="G356" s="949">
        <v>-1</v>
      </c>
      <c r="H356" s="376"/>
      <c r="I356" s="376"/>
      <c r="J356" s="376"/>
      <c r="K356" s="376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78"/>
    </row>
    <row r="357" spans="1:48">
      <c r="A357" s="24">
        <f t="shared" si="5"/>
        <v>44914</v>
      </c>
      <c r="B357" s="356">
        <v>44.497163830497158</v>
      </c>
      <c r="C357" s="357">
        <v>28.331961591220853</v>
      </c>
      <c r="D357" s="358">
        <v>43.270270270270274</v>
      </c>
      <c r="E357" s="359">
        <v>26.861111111111111</v>
      </c>
      <c r="F357" s="375">
        <v>67</v>
      </c>
      <c r="G357" s="949">
        <v>-5</v>
      </c>
      <c r="H357" s="376"/>
      <c r="I357" s="376"/>
      <c r="J357" s="376"/>
      <c r="K357" s="376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78"/>
    </row>
    <row r="358" spans="1:48">
      <c r="A358" s="24">
        <f t="shared" si="5"/>
        <v>44915</v>
      </c>
      <c r="B358" s="356">
        <v>44.328995662328992</v>
      </c>
      <c r="C358" s="357">
        <v>28.122085048010973</v>
      </c>
      <c r="D358" s="358">
        <v>43.810810810810814</v>
      </c>
      <c r="E358" s="359">
        <v>26.861111111111111</v>
      </c>
      <c r="F358" s="375">
        <v>68</v>
      </c>
      <c r="G358" s="949">
        <v>3</v>
      </c>
      <c r="H358" s="376"/>
      <c r="I358" s="376"/>
      <c r="J358" s="376"/>
      <c r="K358" s="376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78"/>
    </row>
    <row r="359" spans="1:48">
      <c r="A359" s="24">
        <f t="shared" si="5"/>
        <v>44916</v>
      </c>
      <c r="B359" s="356">
        <v>44.211544878211548</v>
      </c>
      <c r="C359" s="357">
        <v>27.981138545953357</v>
      </c>
      <c r="D359" s="358">
        <v>45.486486486486484</v>
      </c>
      <c r="E359" s="359">
        <v>28.305555555555557</v>
      </c>
      <c r="F359" s="375">
        <v>71</v>
      </c>
      <c r="G359" s="949">
        <v>-9</v>
      </c>
      <c r="H359" s="376"/>
      <c r="I359" s="376"/>
      <c r="J359" s="376"/>
      <c r="K359" s="376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78"/>
    </row>
    <row r="360" spans="1:48">
      <c r="A360" s="24">
        <f t="shared" si="5"/>
        <v>44917</v>
      </c>
      <c r="B360" s="356">
        <v>44.092759426092762</v>
      </c>
      <c r="C360" s="357">
        <v>27.86625514403292</v>
      </c>
      <c r="D360" s="358">
        <v>45.135135135135137</v>
      </c>
      <c r="E360" s="359">
        <v>28.5</v>
      </c>
      <c r="F360" s="375">
        <v>64</v>
      </c>
      <c r="G360" s="949">
        <v>-14</v>
      </c>
      <c r="H360" s="376"/>
      <c r="I360" s="376"/>
      <c r="J360" s="376"/>
      <c r="K360" s="376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78"/>
    </row>
    <row r="361" spans="1:48">
      <c r="A361" s="24">
        <f t="shared" si="5"/>
        <v>44918</v>
      </c>
      <c r="B361" s="356">
        <v>43.968968968968966</v>
      </c>
      <c r="C361" s="357">
        <v>27.805898491083674</v>
      </c>
      <c r="D361" s="358">
        <v>45.081081081081081</v>
      </c>
      <c r="E361" s="359">
        <v>28.583333333333332</v>
      </c>
      <c r="F361" s="375">
        <v>67</v>
      </c>
      <c r="G361" s="949">
        <v>-9</v>
      </c>
      <c r="H361" s="376"/>
      <c r="I361" s="376"/>
      <c r="J361" s="376"/>
      <c r="K361" s="376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78"/>
    </row>
    <row r="362" spans="1:48">
      <c r="A362" s="24">
        <f t="shared" si="5"/>
        <v>44919</v>
      </c>
      <c r="B362" s="356">
        <v>43.862195528862202</v>
      </c>
      <c r="C362" s="357">
        <v>27.753086419753082</v>
      </c>
      <c r="D362" s="358">
        <v>42.513513513513516</v>
      </c>
      <c r="E362" s="359">
        <v>26.583333333333332</v>
      </c>
      <c r="F362" s="375">
        <v>68</v>
      </c>
      <c r="G362" s="949">
        <v>-5</v>
      </c>
      <c r="H362" s="376"/>
      <c r="I362" s="376"/>
      <c r="J362" s="376"/>
      <c r="K362" s="376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78"/>
    </row>
    <row r="363" spans="1:48">
      <c r="A363" s="24">
        <f t="shared" si="5"/>
        <v>44920</v>
      </c>
      <c r="B363" s="356">
        <v>43.813480146813475</v>
      </c>
      <c r="C363" s="357">
        <v>27.766117969821675</v>
      </c>
      <c r="D363" s="358">
        <v>40.243243243243242</v>
      </c>
      <c r="E363" s="359">
        <v>24.138888888888889</v>
      </c>
      <c r="F363" s="375">
        <v>74</v>
      </c>
      <c r="G363" s="949">
        <v>-5</v>
      </c>
      <c r="H363" s="376"/>
      <c r="I363" s="376"/>
      <c r="J363" s="376"/>
      <c r="K363" s="376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78"/>
    </row>
    <row r="364" spans="1:48">
      <c r="A364" s="24">
        <f t="shared" si="5"/>
        <v>44921</v>
      </c>
      <c r="B364" s="356">
        <v>43.871538204871541</v>
      </c>
      <c r="C364" s="357">
        <v>27.910836762688614</v>
      </c>
      <c r="D364" s="358">
        <v>42.189189189189186</v>
      </c>
      <c r="E364" s="359">
        <v>26.5</v>
      </c>
      <c r="F364" s="375">
        <v>73</v>
      </c>
      <c r="G364" s="949">
        <v>6</v>
      </c>
      <c r="H364" s="376"/>
      <c r="I364" s="376"/>
      <c r="J364" s="376"/>
      <c r="K364" s="376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78"/>
    </row>
    <row r="365" spans="1:48">
      <c r="A365" s="24">
        <f t="shared" si="5"/>
        <v>44922</v>
      </c>
      <c r="B365" s="356">
        <v>43.99599599599599</v>
      </c>
      <c r="C365" s="357">
        <v>28.108024691358025</v>
      </c>
      <c r="D365" s="358">
        <v>44.810810810810814</v>
      </c>
      <c r="E365" s="359">
        <v>28.611111111111111</v>
      </c>
      <c r="F365" s="375">
        <v>72</v>
      </c>
      <c r="G365" s="949">
        <v>8</v>
      </c>
      <c r="H365" s="376"/>
      <c r="I365" s="376"/>
      <c r="J365" s="376"/>
      <c r="K365" s="376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78"/>
    </row>
    <row r="366" spans="1:48">
      <c r="A366" s="24">
        <f t="shared" si="5"/>
        <v>44923</v>
      </c>
      <c r="B366" s="356">
        <v>44.042709376042708</v>
      </c>
      <c r="C366" s="357">
        <v>28.26543209876543</v>
      </c>
      <c r="D366" s="358">
        <v>46.648648648648646</v>
      </c>
      <c r="E366" s="359">
        <v>29.638888888888889</v>
      </c>
      <c r="F366" s="375">
        <v>68</v>
      </c>
      <c r="G366" s="949">
        <v>3</v>
      </c>
      <c r="H366" s="376"/>
      <c r="I366" s="376"/>
      <c r="J366" s="376"/>
      <c r="K366" s="376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78"/>
    </row>
    <row r="367" spans="1:48">
      <c r="A367" s="24">
        <f t="shared" si="5"/>
        <v>44924</v>
      </c>
      <c r="B367" s="356">
        <v>43.985985985985984</v>
      </c>
      <c r="C367" s="357">
        <v>28.343964334705074</v>
      </c>
      <c r="D367" s="358">
        <v>44.297297297297298</v>
      </c>
      <c r="E367" s="359">
        <v>30.388888888888889</v>
      </c>
      <c r="F367" s="375">
        <v>69</v>
      </c>
      <c r="G367" s="949">
        <v>4</v>
      </c>
      <c r="H367" s="376"/>
      <c r="I367" s="376"/>
      <c r="J367" s="376"/>
      <c r="K367" s="376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78"/>
    </row>
    <row r="368" spans="1:48">
      <c r="A368" s="24">
        <f t="shared" si="5"/>
        <v>44925</v>
      </c>
      <c r="B368" s="356">
        <v>43.879212545879213</v>
      </c>
      <c r="C368" s="357">
        <v>28.317215363511664</v>
      </c>
      <c r="D368" s="358">
        <v>45.027027027027025</v>
      </c>
      <c r="E368" s="359">
        <v>29.305555555555557</v>
      </c>
      <c r="F368" s="375">
        <v>65</v>
      </c>
      <c r="G368" s="949">
        <v>-2</v>
      </c>
      <c r="H368" s="376"/>
      <c r="I368" s="376"/>
      <c r="J368" s="376"/>
      <c r="K368" s="376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78"/>
    </row>
    <row r="369" spans="1:48">
      <c r="A369" s="1316">
        <f t="shared" si="5"/>
        <v>44926</v>
      </c>
      <c r="B369" s="360">
        <v>43.718618618618621</v>
      </c>
      <c r="C369" s="361">
        <v>28.217524005486965</v>
      </c>
      <c r="D369" s="362">
        <v>44.567567567567565</v>
      </c>
      <c r="E369" s="363">
        <v>30.472222222222221</v>
      </c>
      <c r="F369" s="379">
        <v>71</v>
      </c>
      <c r="G369" s="950">
        <v>-1</v>
      </c>
      <c r="H369" s="376"/>
      <c r="I369" s="376"/>
      <c r="J369" s="376"/>
      <c r="K369" s="376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78"/>
    </row>
    <row r="370" spans="1:48">
      <c r="A370" s="1314">
        <f t="shared" si="5"/>
        <v>44927</v>
      </c>
      <c r="B370" s="356">
        <v>43.540106773440101</v>
      </c>
      <c r="C370" s="357">
        <v>28.052229080932786</v>
      </c>
      <c r="D370" s="358">
        <v>44.45945945945946</v>
      </c>
      <c r="E370" s="359">
        <v>26.666666666666668</v>
      </c>
      <c r="F370" s="375">
        <v>68</v>
      </c>
      <c r="G370" s="949">
        <v>-1</v>
      </c>
      <c r="H370" s="376"/>
      <c r="I370" s="376"/>
      <c r="J370" s="376"/>
      <c r="K370" s="376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  <c r="AD370" s="380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78"/>
    </row>
    <row r="371" spans="1:48">
      <c r="A371" s="1315">
        <f t="shared" si="5"/>
        <v>44928</v>
      </c>
      <c r="B371" s="356">
        <v>43.354921588254918</v>
      </c>
      <c r="C371" s="357">
        <v>27.90168038408779</v>
      </c>
      <c r="D371" s="358">
        <v>42.45945945945946</v>
      </c>
      <c r="E371" s="359">
        <v>28.777777777777779</v>
      </c>
      <c r="F371" s="375">
        <v>70</v>
      </c>
      <c r="G371" s="949">
        <v>-3</v>
      </c>
      <c r="H371" s="376"/>
      <c r="I371" s="376"/>
      <c r="J371" s="376"/>
      <c r="K371" s="376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78"/>
    </row>
    <row r="372" spans="1:48">
      <c r="A372" s="1315">
        <f t="shared" si="5"/>
        <v>44929</v>
      </c>
      <c r="B372" s="356">
        <v>43.197097097097092</v>
      </c>
      <c r="C372" s="357">
        <v>27.720610425240054</v>
      </c>
      <c r="D372" s="358">
        <v>43.270270270270274</v>
      </c>
      <c r="E372" s="359">
        <v>28.972222222222221</v>
      </c>
      <c r="F372" s="375">
        <v>69</v>
      </c>
      <c r="G372" s="949">
        <v>-3</v>
      </c>
      <c r="H372" s="943"/>
      <c r="I372" s="943"/>
      <c r="J372" s="376"/>
      <c r="K372" s="376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  <c r="AD372" s="380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78"/>
    </row>
    <row r="373" spans="1:48">
      <c r="A373" s="1315">
        <f t="shared" si="5"/>
        <v>44930</v>
      </c>
      <c r="B373" s="356">
        <v>43.005315315315315</v>
      </c>
      <c r="C373" s="357">
        <v>27.413055555555559</v>
      </c>
      <c r="D373" s="358">
        <v>44.756756756756758</v>
      </c>
      <c r="E373" s="359">
        <v>27.388888888888889</v>
      </c>
      <c r="F373" s="375">
        <v>68</v>
      </c>
      <c r="G373" s="949">
        <v>1</v>
      </c>
    </row>
    <row r="374" spans="1:48">
      <c r="A374" s="1315">
        <f t="shared" si="5"/>
        <v>44931</v>
      </c>
      <c r="B374" s="356">
        <v>42.841741741741743</v>
      </c>
      <c r="C374" s="357">
        <v>27.246330589849109</v>
      </c>
      <c r="D374" s="358">
        <v>40.837837837837839</v>
      </c>
      <c r="E374" s="359">
        <v>26.083333333333332</v>
      </c>
      <c r="F374" s="375">
        <v>66</v>
      </c>
      <c r="G374" s="949">
        <v>-8</v>
      </c>
    </row>
    <row r="375" spans="1:48">
      <c r="A375" s="1315">
        <f t="shared" si="5"/>
        <v>44932</v>
      </c>
      <c r="B375" s="356">
        <v>42.715615615615626</v>
      </c>
      <c r="C375" s="357">
        <v>27.021707818930039</v>
      </c>
      <c r="D375" s="358">
        <v>41.648648648648646</v>
      </c>
      <c r="E375" s="359">
        <v>26.027777777777779</v>
      </c>
      <c r="F375" s="375">
        <v>72</v>
      </c>
      <c r="G375" s="949">
        <v>-12</v>
      </c>
    </row>
    <row r="376" spans="1:48">
      <c r="A376" s="1315">
        <f t="shared" si="5"/>
        <v>44933</v>
      </c>
      <c r="B376" s="356">
        <v>42.635201868535205</v>
      </c>
      <c r="C376" s="357">
        <v>26.827263374485593</v>
      </c>
      <c r="D376" s="358">
        <v>40.729729729729726</v>
      </c>
      <c r="E376" s="359">
        <v>25.388888888888889</v>
      </c>
      <c r="F376" s="375">
        <v>70</v>
      </c>
      <c r="G376" s="949">
        <v>-4</v>
      </c>
    </row>
    <row r="377" spans="1:48">
      <c r="A377" s="1316">
        <f t="shared" si="5"/>
        <v>44934</v>
      </c>
      <c r="B377" s="360">
        <v>42.614848181514851</v>
      </c>
      <c r="C377" s="361">
        <v>26.69557613168724</v>
      </c>
      <c r="D377" s="362">
        <v>40.972972972972975</v>
      </c>
      <c r="E377" s="363">
        <v>25.083333333333332</v>
      </c>
      <c r="F377" s="379">
        <v>68</v>
      </c>
      <c r="G377" s="950">
        <v>-12</v>
      </c>
    </row>
  </sheetData>
  <sheetProtection algorithmName="SHA-512" hashValue="NGWz4OyauvuaHD5BVDZkW18H27sZQJgZFOP8e/k+8n+Dtcz7fKbP2RfxW4k5N11jHuJtsireOom/9H3la/EH9w==" saltValue="TF1711DQ8GeaqqNn1I3QvQ==" spinCount="100000" sheet="1" objects="1" scenarios="1" selectLockedCells="1"/>
  <mergeCells count="3">
    <mergeCell ref="B2:C2"/>
    <mergeCell ref="D2:E2"/>
    <mergeCell ref="F2:G2"/>
  </mergeCells>
  <conditionalFormatting sqref="D4:G369">
    <cfRule type="cellIs" dxfId="786" priority="774" stopIfTrue="1" operator="greaterThan">
      <formula>79.999</formula>
    </cfRule>
    <cfRule type="cellIs" dxfId="785" priority="775" stopIfTrue="1" operator="between">
      <formula>70</formula>
      <formula>79.999</formula>
    </cfRule>
    <cfRule type="cellIs" dxfId="784" priority="776" stopIfTrue="1" operator="between">
      <formula>40</formula>
      <formula>49.999</formula>
    </cfRule>
    <cfRule type="cellIs" dxfId="783" priority="777" stopIfTrue="1" operator="between">
      <formula>20</formula>
      <formula>39.99</formula>
    </cfRule>
    <cfRule type="cellIs" dxfId="782" priority="778" stopIfTrue="1" operator="lessThan">
      <formula>20</formula>
    </cfRule>
  </conditionalFormatting>
  <conditionalFormatting sqref="B4:C369">
    <cfRule type="cellIs" dxfId="781" priority="769" stopIfTrue="1" operator="greaterThan">
      <formula>79.9499999999</formula>
    </cfRule>
    <cfRule type="cellIs" dxfId="780" priority="770" stopIfTrue="1" operator="between">
      <formula>69.94999999999</formula>
      <formula>79.94999999</formula>
    </cfRule>
    <cfRule type="cellIs" dxfId="779" priority="771" stopIfTrue="1" operator="between">
      <formula>39.9499999999</formula>
      <formula>49.94999999</formula>
    </cfRule>
    <cfRule type="cellIs" dxfId="778" priority="772" stopIfTrue="1" operator="between">
      <formula>19.9499999999</formula>
      <formula>39.94999999</formula>
    </cfRule>
    <cfRule type="cellIs" dxfId="777" priority="773" stopIfTrue="1" operator="lessThan">
      <formula>19.95</formula>
    </cfRule>
  </conditionalFormatting>
  <conditionalFormatting sqref="H68:AU68">
    <cfRule type="top10" dxfId="776" priority="762" bottom="1" rank="1"/>
    <cfRule type="top10" dxfId="775" priority="763" rank="1"/>
  </conditionalFormatting>
  <conditionalFormatting sqref="H69:AU69">
    <cfRule type="top10" dxfId="774" priority="760" bottom="1" rank="1"/>
    <cfRule type="top10" dxfId="773" priority="761" rank="1"/>
  </conditionalFormatting>
  <conditionalFormatting sqref="H70:AU70">
    <cfRule type="top10" dxfId="772" priority="758" bottom="1" rank="1"/>
    <cfRule type="top10" dxfId="771" priority="759" rank="1"/>
  </conditionalFormatting>
  <conditionalFormatting sqref="H71:AU71">
    <cfRule type="top10" dxfId="770" priority="756" bottom="1" rank="1"/>
    <cfRule type="top10" dxfId="769" priority="757" rank="1"/>
  </conditionalFormatting>
  <conditionalFormatting sqref="H72:AU72">
    <cfRule type="top10" dxfId="768" priority="754" bottom="1" rank="1"/>
    <cfRule type="top10" dxfId="767" priority="755" rank="1"/>
  </conditionalFormatting>
  <conditionalFormatting sqref="H73:AU73">
    <cfRule type="top10" dxfId="766" priority="752" bottom="1" rank="1"/>
    <cfRule type="top10" dxfId="765" priority="753" rank="1"/>
  </conditionalFormatting>
  <conditionalFormatting sqref="H74:AU74">
    <cfRule type="top10" dxfId="764" priority="750" bottom="1" rank="1"/>
    <cfRule type="top10" dxfId="763" priority="751" rank="1"/>
  </conditionalFormatting>
  <conditionalFormatting sqref="H75:AU75">
    <cfRule type="top10" dxfId="762" priority="748" bottom="1" rank="1"/>
    <cfRule type="top10" dxfId="761" priority="749" rank="1"/>
  </conditionalFormatting>
  <conditionalFormatting sqref="H76:AU76">
    <cfRule type="top10" dxfId="760" priority="746" bottom="1" rank="1"/>
    <cfRule type="top10" dxfId="759" priority="747" rank="1"/>
  </conditionalFormatting>
  <conditionalFormatting sqref="H77:AU77">
    <cfRule type="top10" dxfId="758" priority="744" bottom="1" rank="1"/>
    <cfRule type="top10" dxfId="757" priority="745" rank="1"/>
  </conditionalFormatting>
  <conditionalFormatting sqref="H78:AU78">
    <cfRule type="top10" dxfId="756" priority="742" bottom="1" rank="1"/>
    <cfRule type="top10" dxfId="755" priority="743" rank="1"/>
  </conditionalFormatting>
  <conditionalFormatting sqref="H79:AU79">
    <cfRule type="top10" dxfId="754" priority="740" bottom="1" rank="1"/>
    <cfRule type="top10" dxfId="753" priority="741" rank="1"/>
  </conditionalFormatting>
  <conditionalFormatting sqref="H80:AU80">
    <cfRule type="top10" dxfId="752" priority="738" bottom="1" rank="1"/>
    <cfRule type="top10" dxfId="751" priority="739" rank="1"/>
  </conditionalFormatting>
  <conditionalFormatting sqref="H81:AU81">
    <cfRule type="top10" dxfId="750" priority="736" bottom="1" rank="1"/>
    <cfRule type="top10" dxfId="749" priority="737" rank="1"/>
  </conditionalFormatting>
  <conditionalFormatting sqref="H82:AU82">
    <cfRule type="top10" dxfId="748" priority="734" bottom="1" rank="1"/>
    <cfRule type="top10" dxfId="747" priority="735" rank="1"/>
  </conditionalFormatting>
  <conditionalFormatting sqref="H83:AU83">
    <cfRule type="top10" dxfId="746" priority="732" bottom="1" rank="1"/>
    <cfRule type="top10" dxfId="745" priority="733" rank="1"/>
  </conditionalFormatting>
  <conditionalFormatting sqref="H84:AU84">
    <cfRule type="top10" dxfId="744" priority="730" bottom="1" rank="1"/>
    <cfRule type="top10" dxfId="743" priority="731" rank="1"/>
  </conditionalFormatting>
  <conditionalFormatting sqref="H85:AU85">
    <cfRule type="top10" dxfId="742" priority="728" bottom="1" rank="1"/>
    <cfRule type="top10" dxfId="741" priority="729" rank="1"/>
  </conditionalFormatting>
  <conditionalFormatting sqref="H86:AU86">
    <cfRule type="top10" dxfId="740" priority="726" bottom="1" rank="1"/>
    <cfRule type="top10" dxfId="739" priority="727" rank="1"/>
  </conditionalFormatting>
  <conditionalFormatting sqref="H87:AU87">
    <cfRule type="top10" dxfId="738" priority="724" bottom="1" rank="1"/>
    <cfRule type="top10" dxfId="737" priority="725" rank="1"/>
  </conditionalFormatting>
  <conditionalFormatting sqref="H88:AU88">
    <cfRule type="top10" dxfId="736" priority="722" bottom="1" rank="1"/>
    <cfRule type="top10" dxfId="735" priority="723" rank="1"/>
  </conditionalFormatting>
  <conditionalFormatting sqref="H89:AU89">
    <cfRule type="top10" dxfId="734" priority="720" bottom="1" rank="1"/>
    <cfRule type="top10" dxfId="733" priority="721" rank="1"/>
  </conditionalFormatting>
  <conditionalFormatting sqref="H90:AU90">
    <cfRule type="top10" dxfId="732" priority="718" bottom="1" rank="1"/>
    <cfRule type="top10" dxfId="731" priority="719" rank="1"/>
  </conditionalFormatting>
  <conditionalFormatting sqref="H91:AU91">
    <cfRule type="top10" dxfId="730" priority="716" bottom="1" rank="1"/>
    <cfRule type="top10" dxfId="729" priority="717" rank="1"/>
  </conditionalFormatting>
  <conditionalFormatting sqref="H92:AU92">
    <cfRule type="top10" dxfId="728" priority="714" bottom="1" rank="1"/>
    <cfRule type="top10" dxfId="727" priority="715" rank="1"/>
  </conditionalFormatting>
  <conditionalFormatting sqref="H93:AU93">
    <cfRule type="top10" dxfId="726" priority="712" bottom="1" rank="1"/>
    <cfRule type="top10" dxfId="725" priority="713" rank="1"/>
  </conditionalFormatting>
  <conditionalFormatting sqref="H94:AU94">
    <cfRule type="top10" dxfId="724" priority="710" bottom="1" rank="1"/>
    <cfRule type="top10" dxfId="723" priority="711" rank="1"/>
  </conditionalFormatting>
  <conditionalFormatting sqref="H95:AU95">
    <cfRule type="top10" dxfId="722" priority="708" bottom="1" rank="1"/>
    <cfRule type="top10" dxfId="721" priority="709" rank="1"/>
  </conditionalFormatting>
  <conditionalFormatting sqref="H96:AU96">
    <cfRule type="top10" dxfId="720" priority="706" bottom="1" rank="1"/>
    <cfRule type="top10" dxfId="719" priority="707" rank="1"/>
  </conditionalFormatting>
  <conditionalFormatting sqref="H97:AU97">
    <cfRule type="top10" dxfId="718" priority="704" bottom="1" rank="1"/>
    <cfRule type="top10" dxfId="717" priority="705" rank="1"/>
  </conditionalFormatting>
  <conditionalFormatting sqref="H98:AU98">
    <cfRule type="top10" dxfId="716" priority="702" bottom="1" rank="1"/>
    <cfRule type="top10" dxfId="715" priority="703" rank="1"/>
  </conditionalFormatting>
  <conditionalFormatting sqref="H99:AU99">
    <cfRule type="top10" dxfId="714" priority="700" bottom="1" rank="1"/>
    <cfRule type="top10" dxfId="713" priority="701" rank="1"/>
  </conditionalFormatting>
  <conditionalFormatting sqref="H100:AU100">
    <cfRule type="top10" dxfId="712" priority="698" bottom="1" rank="1"/>
    <cfRule type="top10" dxfId="711" priority="699" rank="1"/>
  </conditionalFormatting>
  <conditionalFormatting sqref="H101:AU101">
    <cfRule type="top10" dxfId="710" priority="696" bottom="1" rank="1"/>
    <cfRule type="top10" dxfId="709" priority="697" rank="1"/>
  </conditionalFormatting>
  <conditionalFormatting sqref="H102:AU102">
    <cfRule type="top10" dxfId="708" priority="694" bottom="1" rank="1"/>
    <cfRule type="top10" dxfId="707" priority="695" rank="1"/>
  </conditionalFormatting>
  <conditionalFormatting sqref="H103:AU103">
    <cfRule type="top10" dxfId="706" priority="692" bottom="1" rank="1"/>
    <cfRule type="top10" dxfId="705" priority="693" rank="1"/>
  </conditionalFormatting>
  <conditionalFormatting sqref="H104:AU104">
    <cfRule type="top10" dxfId="704" priority="690" bottom="1" rank="1"/>
    <cfRule type="top10" dxfId="703" priority="691" rank="1"/>
  </conditionalFormatting>
  <conditionalFormatting sqref="H105:AU105">
    <cfRule type="top10" dxfId="702" priority="688" bottom="1" rank="1"/>
    <cfRule type="top10" dxfId="701" priority="689" rank="1"/>
  </conditionalFormatting>
  <conditionalFormatting sqref="H106:AU106">
    <cfRule type="top10" dxfId="700" priority="686" bottom="1" rank="1"/>
    <cfRule type="top10" dxfId="699" priority="687" rank="1"/>
  </conditionalFormatting>
  <conditionalFormatting sqref="H107:AU107">
    <cfRule type="top10" dxfId="698" priority="684" bottom="1" rank="1"/>
    <cfRule type="top10" dxfId="697" priority="685" rank="1"/>
  </conditionalFormatting>
  <conditionalFormatting sqref="H108:AU108">
    <cfRule type="top10" dxfId="696" priority="682" bottom="1" rank="1"/>
    <cfRule type="top10" dxfId="695" priority="683" rank="1"/>
  </conditionalFormatting>
  <conditionalFormatting sqref="H109:AU109">
    <cfRule type="top10" dxfId="694" priority="680" bottom="1" rank="1"/>
    <cfRule type="top10" dxfId="693" priority="681" rank="1"/>
  </conditionalFormatting>
  <conditionalFormatting sqref="H110:AU110">
    <cfRule type="top10" dxfId="692" priority="678" bottom="1" rank="1"/>
    <cfRule type="top10" dxfId="691" priority="679" rank="1"/>
  </conditionalFormatting>
  <conditionalFormatting sqref="H111:AU111">
    <cfRule type="top10" dxfId="690" priority="676" bottom="1" rank="1"/>
    <cfRule type="top10" dxfId="689" priority="677" rank="1"/>
  </conditionalFormatting>
  <conditionalFormatting sqref="H112:AU112">
    <cfRule type="top10" dxfId="688" priority="674" bottom="1" rank="1"/>
    <cfRule type="top10" dxfId="687" priority="675" rank="1"/>
  </conditionalFormatting>
  <conditionalFormatting sqref="H113:AU113">
    <cfRule type="top10" dxfId="686" priority="672" bottom="1" rank="1"/>
    <cfRule type="top10" dxfId="685" priority="673" rank="1"/>
  </conditionalFormatting>
  <conditionalFormatting sqref="H114:AU114">
    <cfRule type="top10" dxfId="684" priority="670" bottom="1" rank="1"/>
    <cfRule type="top10" dxfId="683" priority="671" rank="1"/>
  </conditionalFormatting>
  <conditionalFormatting sqref="H115:AU115">
    <cfRule type="top10" dxfId="682" priority="668" bottom="1" rank="1"/>
    <cfRule type="top10" dxfId="681" priority="669" rank="1"/>
  </conditionalFormatting>
  <conditionalFormatting sqref="H116:AU116">
    <cfRule type="top10" dxfId="680" priority="666" bottom="1" rank="1"/>
    <cfRule type="top10" dxfId="679" priority="667" rank="1"/>
  </conditionalFormatting>
  <conditionalFormatting sqref="H117:AU117">
    <cfRule type="top10" dxfId="678" priority="664" bottom="1" rank="1"/>
    <cfRule type="top10" dxfId="677" priority="665" rank="1"/>
  </conditionalFormatting>
  <conditionalFormatting sqref="H118:AU118">
    <cfRule type="top10" dxfId="676" priority="662" bottom="1" rank="1"/>
    <cfRule type="top10" dxfId="675" priority="663" rank="1"/>
  </conditionalFormatting>
  <conditionalFormatting sqref="H119:AU119">
    <cfRule type="top10" dxfId="674" priority="660" bottom="1" rank="1"/>
    <cfRule type="top10" dxfId="673" priority="661" rank="1"/>
  </conditionalFormatting>
  <conditionalFormatting sqref="H120:AU120">
    <cfRule type="top10" dxfId="672" priority="658" bottom="1" rank="1"/>
    <cfRule type="top10" dxfId="671" priority="659" rank="1"/>
  </conditionalFormatting>
  <conditionalFormatting sqref="H121:AU121">
    <cfRule type="top10" dxfId="670" priority="656" bottom="1" rank="1"/>
    <cfRule type="top10" dxfId="669" priority="657" rank="1"/>
  </conditionalFormatting>
  <conditionalFormatting sqref="H122:AU122">
    <cfRule type="top10" dxfId="668" priority="654" bottom="1" rank="1"/>
    <cfRule type="top10" dxfId="667" priority="655" rank="1"/>
  </conditionalFormatting>
  <conditionalFormatting sqref="H123:AU123">
    <cfRule type="top10" dxfId="666" priority="652" bottom="1" rank="1"/>
    <cfRule type="top10" dxfId="665" priority="653" rank="1"/>
  </conditionalFormatting>
  <conditionalFormatting sqref="H124:AU124">
    <cfRule type="top10" dxfId="664" priority="650" bottom="1" rank="1"/>
    <cfRule type="top10" dxfId="663" priority="651" rank="1"/>
  </conditionalFormatting>
  <conditionalFormatting sqref="H125:AU125">
    <cfRule type="top10" dxfId="662" priority="648" bottom="1" rank="1"/>
    <cfRule type="top10" dxfId="661" priority="649" rank="1"/>
  </conditionalFormatting>
  <conditionalFormatting sqref="H126:AU126">
    <cfRule type="top10" dxfId="660" priority="646" bottom="1" rank="1"/>
    <cfRule type="top10" dxfId="659" priority="647" rank="1"/>
  </conditionalFormatting>
  <conditionalFormatting sqref="H127:AU127">
    <cfRule type="top10" dxfId="658" priority="644" bottom="1" rank="1"/>
    <cfRule type="top10" dxfId="657" priority="645" rank="1"/>
  </conditionalFormatting>
  <conditionalFormatting sqref="H128:AU128">
    <cfRule type="top10" dxfId="656" priority="642" bottom="1" rank="1"/>
    <cfRule type="top10" dxfId="655" priority="643" rank="1"/>
  </conditionalFormatting>
  <conditionalFormatting sqref="H129:AU129">
    <cfRule type="top10" dxfId="654" priority="640" bottom="1" rank="1"/>
    <cfRule type="top10" dxfId="653" priority="641" rank="1"/>
  </conditionalFormatting>
  <conditionalFormatting sqref="H130:AU130">
    <cfRule type="top10" dxfId="652" priority="638" bottom="1" rank="1"/>
    <cfRule type="top10" dxfId="651" priority="639" rank="1"/>
  </conditionalFormatting>
  <conditionalFormatting sqref="H131:AU131">
    <cfRule type="top10" dxfId="650" priority="636" bottom="1" rank="1"/>
    <cfRule type="top10" dxfId="649" priority="637" rank="1"/>
  </conditionalFormatting>
  <conditionalFormatting sqref="H132:AU132">
    <cfRule type="top10" dxfId="648" priority="634" bottom="1" rank="1"/>
    <cfRule type="top10" dxfId="647" priority="635" rank="1"/>
  </conditionalFormatting>
  <conditionalFormatting sqref="H133:AU133">
    <cfRule type="top10" dxfId="646" priority="632" bottom="1" rank="1"/>
    <cfRule type="top10" dxfId="645" priority="633" rank="1"/>
  </conditionalFormatting>
  <conditionalFormatting sqref="H134:AU134">
    <cfRule type="top10" dxfId="644" priority="630" bottom="1" rank="1"/>
    <cfRule type="top10" dxfId="643" priority="631" rank="1"/>
  </conditionalFormatting>
  <conditionalFormatting sqref="H135:AU135">
    <cfRule type="top10" dxfId="642" priority="628" bottom="1" rank="1"/>
    <cfRule type="top10" dxfId="641" priority="629" rank="1"/>
  </conditionalFormatting>
  <conditionalFormatting sqref="H136:AU136">
    <cfRule type="top10" dxfId="640" priority="626" bottom="1" rank="1"/>
    <cfRule type="top10" dxfId="639" priority="627" rank="1"/>
  </conditionalFormatting>
  <conditionalFormatting sqref="H137:AU137">
    <cfRule type="top10" dxfId="638" priority="624" bottom="1" rank="1"/>
    <cfRule type="top10" dxfId="637" priority="625" rank="1"/>
  </conditionalFormatting>
  <conditionalFormatting sqref="H138:AU138">
    <cfRule type="top10" dxfId="636" priority="622" bottom="1" rank="1"/>
    <cfRule type="top10" dxfId="635" priority="623" rank="1"/>
  </conditionalFormatting>
  <conditionalFormatting sqref="H139:AU139">
    <cfRule type="top10" dxfId="634" priority="620" bottom="1" rank="1"/>
    <cfRule type="top10" dxfId="633" priority="621" rank="1"/>
  </conditionalFormatting>
  <conditionalFormatting sqref="H140:AU140">
    <cfRule type="top10" dxfId="632" priority="618" bottom="1" rank="1"/>
    <cfRule type="top10" dxfId="631" priority="619" rank="1"/>
  </conditionalFormatting>
  <conditionalFormatting sqref="H141:AU141">
    <cfRule type="top10" dxfId="630" priority="616" bottom="1" rank="1"/>
    <cfRule type="top10" dxfId="629" priority="617" rank="1"/>
  </conditionalFormatting>
  <conditionalFormatting sqref="H142:AU142">
    <cfRule type="top10" dxfId="628" priority="614" bottom="1" rank="1"/>
    <cfRule type="top10" dxfId="627" priority="615" rank="1"/>
  </conditionalFormatting>
  <conditionalFormatting sqref="H143:AU143">
    <cfRule type="top10" dxfId="626" priority="612" bottom="1" rank="1"/>
    <cfRule type="top10" dxfId="625" priority="613" rank="1"/>
  </conditionalFormatting>
  <conditionalFormatting sqref="H144:AU144">
    <cfRule type="top10" dxfId="624" priority="610" bottom="1" rank="1"/>
    <cfRule type="top10" dxfId="623" priority="611" rank="1"/>
  </conditionalFormatting>
  <conditionalFormatting sqref="H145:AU145">
    <cfRule type="top10" dxfId="622" priority="608" bottom="1" rank="1"/>
    <cfRule type="top10" dxfId="621" priority="609" rank="1"/>
  </conditionalFormatting>
  <conditionalFormatting sqref="H146:AU146">
    <cfRule type="top10" dxfId="620" priority="606" bottom="1" rank="1"/>
    <cfRule type="top10" dxfId="619" priority="607" rank="1"/>
  </conditionalFormatting>
  <conditionalFormatting sqref="H147:AU147">
    <cfRule type="top10" dxfId="618" priority="604" bottom="1" rank="1"/>
    <cfRule type="top10" dxfId="617" priority="605" rank="1"/>
  </conditionalFormatting>
  <conditionalFormatting sqref="H148:AU148">
    <cfRule type="top10" dxfId="616" priority="602" bottom="1" rank="1"/>
    <cfRule type="top10" dxfId="615" priority="603" rank="1"/>
  </conditionalFormatting>
  <conditionalFormatting sqref="H149:AU149">
    <cfRule type="top10" dxfId="614" priority="600" bottom="1" rank="1"/>
    <cfRule type="top10" dxfId="613" priority="601" rank="1"/>
  </conditionalFormatting>
  <conditionalFormatting sqref="H150:AU150">
    <cfRule type="top10" dxfId="612" priority="598" bottom="1" rank="1"/>
    <cfRule type="top10" dxfId="611" priority="599" rank="1"/>
  </conditionalFormatting>
  <conditionalFormatting sqref="H151:AU151">
    <cfRule type="top10" dxfId="610" priority="596" bottom="1" rank="1"/>
    <cfRule type="top10" dxfId="609" priority="597" rank="1"/>
  </conditionalFormatting>
  <conditionalFormatting sqref="H152:AU152">
    <cfRule type="top10" dxfId="608" priority="594" bottom="1" rank="1"/>
    <cfRule type="top10" dxfId="607" priority="595" rank="1"/>
  </conditionalFormatting>
  <conditionalFormatting sqref="H153:AU153">
    <cfRule type="top10" dxfId="606" priority="592" bottom="1" rank="1"/>
    <cfRule type="top10" dxfId="605" priority="593" rank="1"/>
  </conditionalFormatting>
  <conditionalFormatting sqref="H154:AU154">
    <cfRule type="top10" dxfId="604" priority="590" bottom="1" rank="1"/>
    <cfRule type="top10" dxfId="603" priority="591" rank="1"/>
  </conditionalFormatting>
  <conditionalFormatting sqref="H155:AU155">
    <cfRule type="top10" dxfId="602" priority="588" bottom="1" rank="1"/>
    <cfRule type="top10" dxfId="601" priority="589" rank="1"/>
  </conditionalFormatting>
  <conditionalFormatting sqref="H156:AU156">
    <cfRule type="top10" dxfId="600" priority="586" bottom="1" rank="1"/>
    <cfRule type="top10" dxfId="599" priority="587" rank="1"/>
  </conditionalFormatting>
  <conditionalFormatting sqref="H157:AU157">
    <cfRule type="top10" dxfId="598" priority="584" bottom="1" rank="1"/>
    <cfRule type="top10" dxfId="597" priority="585" rank="1"/>
  </conditionalFormatting>
  <conditionalFormatting sqref="H158:AU158">
    <cfRule type="top10" dxfId="596" priority="582" bottom="1" rank="1"/>
    <cfRule type="top10" dxfId="595" priority="583" rank="1"/>
  </conditionalFormatting>
  <conditionalFormatting sqref="H159:AU159">
    <cfRule type="top10" dxfId="594" priority="580" bottom="1" rank="1"/>
    <cfRule type="top10" dxfId="593" priority="581" rank="1"/>
  </conditionalFormatting>
  <conditionalFormatting sqref="H160:AU160">
    <cfRule type="top10" dxfId="592" priority="578" bottom="1" rank="1"/>
    <cfRule type="top10" dxfId="591" priority="579" rank="1"/>
  </conditionalFormatting>
  <conditionalFormatting sqref="H161:AU161">
    <cfRule type="top10" dxfId="590" priority="576" bottom="1" rank="1"/>
    <cfRule type="top10" dxfId="589" priority="577" rank="1"/>
  </conditionalFormatting>
  <conditionalFormatting sqref="H162:AU162">
    <cfRule type="top10" dxfId="588" priority="574" bottom="1" rank="1"/>
    <cfRule type="top10" dxfId="587" priority="575" rank="1"/>
  </conditionalFormatting>
  <conditionalFormatting sqref="H163:AU163">
    <cfRule type="top10" dxfId="586" priority="572" bottom="1" rank="1"/>
    <cfRule type="top10" dxfId="585" priority="573" rank="1"/>
  </conditionalFormatting>
  <conditionalFormatting sqref="H164:AU164">
    <cfRule type="top10" dxfId="584" priority="570" bottom="1" rank="1"/>
    <cfRule type="top10" dxfId="583" priority="571" rank="1"/>
  </conditionalFormatting>
  <conditionalFormatting sqref="H165:AU165">
    <cfRule type="top10" dxfId="582" priority="568" bottom="1" rank="1"/>
    <cfRule type="top10" dxfId="581" priority="569" rank="1"/>
  </conditionalFormatting>
  <conditionalFormatting sqref="H166:AU166">
    <cfRule type="top10" dxfId="580" priority="566" bottom="1" rank="1"/>
    <cfRule type="top10" dxfId="579" priority="567" rank="1"/>
  </conditionalFormatting>
  <conditionalFormatting sqref="H167:AU167">
    <cfRule type="top10" dxfId="578" priority="564" bottom="1" rank="1"/>
    <cfRule type="top10" dxfId="577" priority="565" rank="1"/>
  </conditionalFormatting>
  <conditionalFormatting sqref="H168:AU168">
    <cfRule type="top10" dxfId="576" priority="562" bottom="1" rank="1"/>
    <cfRule type="top10" dxfId="575" priority="563" rank="1"/>
  </conditionalFormatting>
  <conditionalFormatting sqref="H169:AU169">
    <cfRule type="top10" dxfId="574" priority="560" bottom="1" rank="1"/>
    <cfRule type="top10" dxfId="573" priority="561" rank="1"/>
  </conditionalFormatting>
  <conditionalFormatting sqref="H170:AU170">
    <cfRule type="top10" dxfId="572" priority="558" bottom="1" rank="1"/>
    <cfRule type="top10" dxfId="571" priority="559" rank="1"/>
  </conditionalFormatting>
  <conditionalFormatting sqref="H171:AU171">
    <cfRule type="top10" dxfId="570" priority="556" bottom="1" rank="1"/>
    <cfRule type="top10" dxfId="569" priority="557" rank="1"/>
  </conditionalFormatting>
  <conditionalFormatting sqref="H172:AU172">
    <cfRule type="top10" dxfId="568" priority="554" bottom="1" rank="1"/>
    <cfRule type="top10" dxfId="567" priority="555" rank="1"/>
  </conditionalFormatting>
  <conditionalFormatting sqref="H173:AU173">
    <cfRule type="top10" dxfId="566" priority="552" bottom="1" rank="1"/>
    <cfRule type="top10" dxfId="565" priority="553" rank="1"/>
  </conditionalFormatting>
  <conditionalFormatting sqref="H174:AU174">
    <cfRule type="top10" dxfId="564" priority="550" bottom="1" rank="1"/>
    <cfRule type="top10" dxfId="563" priority="551" rank="1"/>
  </conditionalFormatting>
  <conditionalFormatting sqref="H175:AU175">
    <cfRule type="top10" dxfId="562" priority="548" bottom="1" rank="1"/>
    <cfRule type="top10" dxfId="561" priority="549" rank="1"/>
  </conditionalFormatting>
  <conditionalFormatting sqref="H176:AU176">
    <cfRule type="top10" dxfId="560" priority="546" bottom="1" rank="1"/>
    <cfRule type="top10" dxfId="559" priority="547" rank="1"/>
  </conditionalFormatting>
  <conditionalFormatting sqref="H177:AU177">
    <cfRule type="top10" dxfId="558" priority="544" bottom="1" rank="1"/>
    <cfRule type="top10" dxfId="557" priority="545" rank="1"/>
  </conditionalFormatting>
  <conditionalFormatting sqref="H178:AU178">
    <cfRule type="top10" dxfId="556" priority="542" bottom="1" rank="1"/>
    <cfRule type="top10" dxfId="555" priority="543" rank="1"/>
  </conditionalFormatting>
  <conditionalFormatting sqref="H179:AU179">
    <cfRule type="top10" dxfId="554" priority="540" bottom="1" rank="1"/>
    <cfRule type="top10" dxfId="553" priority="541" rank="1"/>
  </conditionalFormatting>
  <conditionalFormatting sqref="H180:AU180">
    <cfRule type="top10" dxfId="552" priority="538" bottom="1" rank="1"/>
    <cfRule type="top10" dxfId="551" priority="539" rank="1"/>
  </conditionalFormatting>
  <conditionalFormatting sqref="H181:AU181">
    <cfRule type="top10" dxfId="550" priority="536" bottom="1" rank="1"/>
    <cfRule type="top10" dxfId="549" priority="537" rank="1"/>
  </conditionalFormatting>
  <conditionalFormatting sqref="H182:AU182">
    <cfRule type="top10" dxfId="548" priority="534" bottom="1" rank="1"/>
    <cfRule type="top10" dxfId="547" priority="535" rank="1"/>
  </conditionalFormatting>
  <conditionalFormatting sqref="H183:AU183">
    <cfRule type="top10" dxfId="546" priority="532" bottom="1" rank="1"/>
    <cfRule type="top10" dxfId="545" priority="533" rank="1"/>
  </conditionalFormatting>
  <conditionalFormatting sqref="H184:AU184">
    <cfRule type="top10" dxfId="544" priority="530" bottom="1" rank="1"/>
    <cfRule type="top10" dxfId="543" priority="531" rank="1"/>
  </conditionalFormatting>
  <conditionalFormatting sqref="H185:AU185">
    <cfRule type="top10" dxfId="542" priority="528" bottom="1" rank="1"/>
    <cfRule type="top10" dxfId="541" priority="529" rank="1"/>
  </conditionalFormatting>
  <conditionalFormatting sqref="H186:AU186">
    <cfRule type="top10" dxfId="540" priority="526" bottom="1" rank="1"/>
    <cfRule type="top10" dxfId="539" priority="527" rank="1"/>
  </conditionalFormatting>
  <conditionalFormatting sqref="H187:AU187">
    <cfRule type="top10" dxfId="538" priority="524" bottom="1" rank="1"/>
    <cfRule type="top10" dxfId="537" priority="525" rank="1"/>
  </conditionalFormatting>
  <conditionalFormatting sqref="H188:AU188">
    <cfRule type="top10" dxfId="536" priority="522" bottom="1" rank="1"/>
    <cfRule type="top10" dxfId="535" priority="523" rank="1"/>
  </conditionalFormatting>
  <conditionalFormatting sqref="H189:AU189">
    <cfRule type="top10" dxfId="534" priority="520" bottom="1" rank="1"/>
    <cfRule type="top10" dxfId="533" priority="521" rank="1"/>
  </conditionalFormatting>
  <conditionalFormatting sqref="H190:AU190">
    <cfRule type="top10" dxfId="532" priority="518" bottom="1" rank="1"/>
    <cfRule type="top10" dxfId="531" priority="519" rank="1"/>
  </conditionalFormatting>
  <conditionalFormatting sqref="H191:AU191">
    <cfRule type="top10" dxfId="530" priority="516" bottom="1" rank="1"/>
    <cfRule type="top10" dxfId="529" priority="517" rank="1"/>
  </conditionalFormatting>
  <conditionalFormatting sqref="H192:AU192">
    <cfRule type="top10" dxfId="528" priority="514" bottom="1" rank="1"/>
    <cfRule type="top10" dxfId="527" priority="515" rank="1"/>
  </conditionalFormatting>
  <conditionalFormatting sqref="H193:AU193">
    <cfRule type="top10" dxfId="526" priority="512" bottom="1" rank="1"/>
    <cfRule type="top10" dxfId="525" priority="513" rank="1"/>
  </conditionalFormatting>
  <conditionalFormatting sqref="H194:AU194">
    <cfRule type="top10" dxfId="524" priority="510" bottom="1" rank="1"/>
    <cfRule type="top10" dxfId="523" priority="511" rank="1"/>
  </conditionalFormatting>
  <conditionalFormatting sqref="H195:AU195">
    <cfRule type="top10" dxfId="522" priority="508" bottom="1" rank="1"/>
    <cfRule type="top10" dxfId="521" priority="509" rank="1"/>
  </conditionalFormatting>
  <conditionalFormatting sqref="H196:AU196">
    <cfRule type="top10" dxfId="520" priority="506" bottom="1" rank="1"/>
    <cfRule type="top10" dxfId="519" priority="507" rank="1"/>
  </conditionalFormatting>
  <conditionalFormatting sqref="H197:AU197">
    <cfRule type="top10" dxfId="518" priority="504" bottom="1" rank="1"/>
    <cfRule type="top10" dxfId="517" priority="505" rank="1"/>
  </conditionalFormatting>
  <conditionalFormatting sqref="H198:AU198">
    <cfRule type="top10" dxfId="516" priority="502" bottom="1" rank="1"/>
    <cfRule type="top10" dxfId="515" priority="503" rank="1"/>
  </conditionalFormatting>
  <conditionalFormatting sqref="H199:AU199">
    <cfRule type="top10" dxfId="514" priority="500" bottom="1" rank="1"/>
    <cfRule type="top10" dxfId="513" priority="501" rank="1"/>
  </conditionalFormatting>
  <conditionalFormatting sqref="H200:AU200">
    <cfRule type="top10" dxfId="512" priority="498" bottom="1" rank="1"/>
    <cfRule type="top10" dxfId="511" priority="499" rank="1"/>
  </conditionalFormatting>
  <conditionalFormatting sqref="H201:AU201">
    <cfRule type="top10" dxfId="510" priority="496" bottom="1" rank="1"/>
    <cfRule type="top10" dxfId="509" priority="497" rank="1"/>
  </conditionalFormatting>
  <conditionalFormatting sqref="H202:AU202">
    <cfRule type="top10" dxfId="508" priority="494" bottom="1" rank="1"/>
    <cfRule type="top10" dxfId="507" priority="495" rank="1"/>
  </conditionalFormatting>
  <conditionalFormatting sqref="H203:AU203">
    <cfRule type="top10" dxfId="506" priority="492" bottom="1" rank="1"/>
    <cfRule type="top10" dxfId="505" priority="493" rank="1"/>
  </conditionalFormatting>
  <conditionalFormatting sqref="H204:AU204">
    <cfRule type="top10" dxfId="504" priority="490" bottom="1" rank="1"/>
    <cfRule type="top10" dxfId="503" priority="491" rank="1"/>
  </conditionalFormatting>
  <conditionalFormatting sqref="H205:AU205">
    <cfRule type="top10" dxfId="502" priority="488" bottom="1" rank="1"/>
    <cfRule type="top10" dxfId="501" priority="489" rank="1"/>
  </conditionalFormatting>
  <conditionalFormatting sqref="H206:AU206">
    <cfRule type="top10" dxfId="500" priority="486" bottom="1" rank="1"/>
    <cfRule type="top10" dxfId="499" priority="487" rank="1"/>
  </conditionalFormatting>
  <conditionalFormatting sqref="H207:AU207">
    <cfRule type="top10" dxfId="498" priority="484" bottom="1" rank="1"/>
    <cfRule type="top10" dxfId="497" priority="485" rank="1"/>
  </conditionalFormatting>
  <conditionalFormatting sqref="H208:AU208">
    <cfRule type="top10" dxfId="496" priority="482" bottom="1" rank="1"/>
    <cfRule type="top10" dxfId="495" priority="483" rank="1"/>
  </conditionalFormatting>
  <conditionalFormatting sqref="H209:AU209">
    <cfRule type="top10" dxfId="494" priority="480" bottom="1" rank="1"/>
    <cfRule type="top10" dxfId="493" priority="481" rank="1"/>
  </conditionalFormatting>
  <conditionalFormatting sqref="H210:AU210">
    <cfRule type="top10" dxfId="492" priority="478" bottom="1" rank="1"/>
    <cfRule type="top10" dxfId="491" priority="479" rank="1"/>
  </conditionalFormatting>
  <conditionalFormatting sqref="H211:AU211">
    <cfRule type="top10" dxfId="490" priority="476" bottom="1" rank="1"/>
    <cfRule type="top10" dxfId="489" priority="477" rank="1"/>
  </conditionalFormatting>
  <conditionalFormatting sqref="H212:AU212">
    <cfRule type="top10" dxfId="488" priority="474" bottom="1" rank="1"/>
    <cfRule type="top10" dxfId="487" priority="475" rank="1"/>
  </conditionalFormatting>
  <conditionalFormatting sqref="H213:AU213">
    <cfRule type="top10" dxfId="486" priority="472" bottom="1" rank="1"/>
    <cfRule type="top10" dxfId="485" priority="473" rank="1"/>
  </conditionalFormatting>
  <conditionalFormatting sqref="H214:AU214">
    <cfRule type="top10" dxfId="484" priority="470" bottom="1" rank="1"/>
    <cfRule type="top10" dxfId="483" priority="471" rank="1"/>
  </conditionalFormatting>
  <conditionalFormatting sqref="H215:AU215">
    <cfRule type="top10" dxfId="482" priority="468" bottom="1" rank="1"/>
    <cfRule type="top10" dxfId="481" priority="469" rank="1"/>
  </conditionalFormatting>
  <conditionalFormatting sqref="H216:AU216">
    <cfRule type="top10" dxfId="480" priority="466" bottom="1" rank="1"/>
    <cfRule type="top10" dxfId="479" priority="467" rank="1"/>
  </conditionalFormatting>
  <conditionalFormatting sqref="H217:AU217">
    <cfRule type="top10" dxfId="478" priority="464" bottom="1" rank="1"/>
    <cfRule type="top10" dxfId="477" priority="465" rank="1"/>
  </conditionalFormatting>
  <conditionalFormatting sqref="H218:AU218">
    <cfRule type="top10" dxfId="476" priority="462" bottom="1" rank="1"/>
    <cfRule type="top10" dxfId="475" priority="463" rank="1"/>
  </conditionalFormatting>
  <conditionalFormatting sqref="H219:AU219">
    <cfRule type="top10" dxfId="474" priority="460" bottom="1" rank="1"/>
    <cfRule type="top10" dxfId="473" priority="461" rank="1"/>
  </conditionalFormatting>
  <conditionalFormatting sqref="H220:AU220">
    <cfRule type="top10" dxfId="472" priority="458" bottom="1" rank="1"/>
    <cfRule type="top10" dxfId="471" priority="459" rank="1"/>
  </conditionalFormatting>
  <conditionalFormatting sqref="H221:AU221">
    <cfRule type="top10" dxfId="470" priority="456" bottom="1" rank="1"/>
    <cfRule type="top10" dxfId="469" priority="457" rank="1"/>
  </conditionalFormatting>
  <conditionalFormatting sqref="H222:AU222">
    <cfRule type="top10" dxfId="468" priority="454" bottom="1" rank="1"/>
    <cfRule type="top10" dxfId="467" priority="455" rank="1"/>
  </conditionalFormatting>
  <conditionalFormatting sqref="H223:AU223">
    <cfRule type="top10" dxfId="466" priority="452" bottom="1" rank="1"/>
    <cfRule type="top10" dxfId="465" priority="453" rank="1"/>
  </conditionalFormatting>
  <conditionalFormatting sqref="H224:AU224">
    <cfRule type="top10" dxfId="464" priority="450" bottom="1" rank="1"/>
    <cfRule type="top10" dxfId="463" priority="451" rank="1"/>
  </conditionalFormatting>
  <conditionalFormatting sqref="H225:AU225">
    <cfRule type="top10" dxfId="462" priority="448" bottom="1" rank="1"/>
    <cfRule type="top10" dxfId="461" priority="449" rank="1"/>
  </conditionalFormatting>
  <conditionalFormatting sqref="H226:AU226">
    <cfRule type="top10" dxfId="460" priority="446" bottom="1" rank="1"/>
    <cfRule type="top10" dxfId="459" priority="447" rank="1"/>
  </conditionalFormatting>
  <conditionalFormatting sqref="H227:AU227">
    <cfRule type="top10" dxfId="458" priority="444" bottom="1" rank="1"/>
    <cfRule type="top10" dxfId="457" priority="445" rank="1"/>
  </conditionalFormatting>
  <conditionalFormatting sqref="H228:AU228">
    <cfRule type="top10" dxfId="456" priority="442" bottom="1" rank="1"/>
    <cfRule type="top10" dxfId="455" priority="443" rank="1"/>
  </conditionalFormatting>
  <conditionalFormatting sqref="H229:AU229">
    <cfRule type="top10" dxfId="454" priority="440" bottom="1" rank="1"/>
    <cfRule type="top10" dxfId="453" priority="441" rank="1"/>
  </conditionalFormatting>
  <conditionalFormatting sqref="H230:AU230">
    <cfRule type="top10" dxfId="452" priority="438" bottom="1" rank="1"/>
    <cfRule type="top10" dxfId="451" priority="439" rank="1"/>
  </conditionalFormatting>
  <conditionalFormatting sqref="H231:AU231">
    <cfRule type="top10" dxfId="450" priority="436" bottom="1" rank="1"/>
    <cfRule type="top10" dxfId="449" priority="437" rank="1"/>
  </conditionalFormatting>
  <conditionalFormatting sqref="H232:AU232">
    <cfRule type="top10" dxfId="448" priority="434" bottom="1" rank="1"/>
    <cfRule type="top10" dxfId="447" priority="435" rank="1"/>
  </conditionalFormatting>
  <conditionalFormatting sqref="H233:AU233">
    <cfRule type="top10" dxfId="446" priority="432" bottom="1" rank="1"/>
    <cfRule type="top10" dxfId="445" priority="433" rank="1"/>
  </conditionalFormatting>
  <conditionalFormatting sqref="H234:AU234">
    <cfRule type="top10" dxfId="444" priority="430" bottom="1" rank="1"/>
    <cfRule type="top10" dxfId="443" priority="431" rank="1"/>
  </conditionalFormatting>
  <conditionalFormatting sqref="H235:AU235">
    <cfRule type="top10" dxfId="442" priority="428" bottom="1" rank="1"/>
    <cfRule type="top10" dxfId="441" priority="429" rank="1"/>
  </conditionalFormatting>
  <conditionalFormatting sqref="H236:AU236">
    <cfRule type="top10" dxfId="440" priority="426" bottom="1" rank="1"/>
    <cfRule type="top10" dxfId="439" priority="427" rank="1"/>
  </conditionalFormatting>
  <conditionalFormatting sqref="H237:AU237">
    <cfRule type="top10" dxfId="438" priority="424" bottom="1" rank="1"/>
    <cfRule type="top10" dxfId="437" priority="425" rank="1"/>
  </conditionalFormatting>
  <conditionalFormatting sqref="H238:AU238">
    <cfRule type="top10" dxfId="436" priority="422" bottom="1" rank="1"/>
    <cfRule type="top10" dxfId="435" priority="423" rank="1"/>
  </conditionalFormatting>
  <conditionalFormatting sqref="H239:AU239">
    <cfRule type="top10" dxfId="434" priority="420" bottom="1" rank="1"/>
    <cfRule type="top10" dxfId="433" priority="421" rank="1"/>
  </conditionalFormatting>
  <conditionalFormatting sqref="H240:AU240">
    <cfRule type="top10" dxfId="432" priority="418" bottom="1" rank="1"/>
    <cfRule type="top10" dxfId="431" priority="419" rank="1"/>
  </conditionalFormatting>
  <conditionalFormatting sqref="H241:AU241">
    <cfRule type="top10" dxfId="430" priority="416" bottom="1" rank="1"/>
    <cfRule type="top10" dxfId="429" priority="417" rank="1"/>
  </conditionalFormatting>
  <conditionalFormatting sqref="H242:AU242">
    <cfRule type="top10" dxfId="428" priority="414" bottom="1" rank="1"/>
    <cfRule type="top10" dxfId="427" priority="415" rank="1"/>
  </conditionalFormatting>
  <conditionalFormatting sqref="H243:AU243">
    <cfRule type="top10" dxfId="426" priority="412" bottom="1" rank="1"/>
    <cfRule type="top10" dxfId="425" priority="413" rank="1"/>
  </conditionalFormatting>
  <conditionalFormatting sqref="H244:AU244">
    <cfRule type="top10" dxfId="424" priority="410" bottom="1" rank="1"/>
    <cfRule type="top10" dxfId="423" priority="411" rank="1"/>
  </conditionalFormatting>
  <conditionalFormatting sqref="H245:AU245">
    <cfRule type="top10" dxfId="422" priority="408" bottom="1" rank="1"/>
    <cfRule type="top10" dxfId="421" priority="409" rank="1"/>
  </conditionalFormatting>
  <conditionalFormatting sqref="H246:AU246">
    <cfRule type="top10" dxfId="420" priority="406" bottom="1" rank="1"/>
    <cfRule type="top10" dxfId="419" priority="407" rank="1"/>
  </conditionalFormatting>
  <conditionalFormatting sqref="H247:AU247">
    <cfRule type="top10" dxfId="418" priority="404" bottom="1" rank="1"/>
    <cfRule type="top10" dxfId="417" priority="405" rank="1"/>
  </conditionalFormatting>
  <conditionalFormatting sqref="H248:AU248">
    <cfRule type="top10" dxfId="416" priority="402" bottom="1" rank="1"/>
    <cfRule type="top10" dxfId="415" priority="403" rank="1"/>
  </conditionalFormatting>
  <conditionalFormatting sqref="H249:AU249">
    <cfRule type="top10" dxfId="414" priority="400" bottom="1" rank="1"/>
    <cfRule type="top10" dxfId="413" priority="401" rank="1"/>
  </conditionalFormatting>
  <conditionalFormatting sqref="H250:AU250">
    <cfRule type="top10" dxfId="412" priority="398" bottom="1" rank="1"/>
    <cfRule type="top10" dxfId="411" priority="399" rank="1"/>
  </conditionalFormatting>
  <conditionalFormatting sqref="H251:AU251">
    <cfRule type="top10" dxfId="410" priority="396" bottom="1" rank="1"/>
    <cfRule type="top10" dxfId="409" priority="397" rank="1"/>
  </conditionalFormatting>
  <conditionalFormatting sqref="H252:AU252">
    <cfRule type="top10" dxfId="408" priority="394" bottom="1" rank="1"/>
    <cfRule type="top10" dxfId="407" priority="395" rank="1"/>
  </conditionalFormatting>
  <conditionalFormatting sqref="H253:AU253">
    <cfRule type="top10" dxfId="406" priority="392" bottom="1" rank="1"/>
    <cfRule type="top10" dxfId="405" priority="393" rank="1"/>
  </conditionalFormatting>
  <conditionalFormatting sqref="H254:AU254">
    <cfRule type="top10" dxfId="404" priority="390" bottom="1" rank="1"/>
    <cfRule type="top10" dxfId="403" priority="391" rank="1"/>
  </conditionalFormatting>
  <conditionalFormatting sqref="H255:AU255">
    <cfRule type="top10" dxfId="402" priority="388" bottom="1" rank="1"/>
    <cfRule type="top10" dxfId="401" priority="389" rank="1"/>
  </conditionalFormatting>
  <conditionalFormatting sqref="H256:AU256">
    <cfRule type="top10" dxfId="400" priority="386" bottom="1" rank="1"/>
    <cfRule type="top10" dxfId="399" priority="387" rank="1"/>
  </conditionalFormatting>
  <conditionalFormatting sqref="H257:AU257">
    <cfRule type="top10" dxfId="398" priority="384" bottom="1" rank="1"/>
    <cfRule type="top10" dxfId="397" priority="385" rank="1"/>
  </conditionalFormatting>
  <conditionalFormatting sqref="H258:AU258">
    <cfRule type="top10" dxfId="396" priority="382" bottom="1" rank="1"/>
    <cfRule type="top10" dxfId="395" priority="383" rank="1"/>
  </conditionalFormatting>
  <conditionalFormatting sqref="H259:AU259">
    <cfRule type="top10" dxfId="394" priority="380" bottom="1" rank="1"/>
    <cfRule type="top10" dxfId="393" priority="381" rank="1"/>
  </conditionalFormatting>
  <conditionalFormatting sqref="H260:AU260">
    <cfRule type="top10" dxfId="392" priority="378" bottom="1" rank="1"/>
    <cfRule type="top10" dxfId="391" priority="379" rank="1"/>
  </conditionalFormatting>
  <conditionalFormatting sqref="H261:AU261">
    <cfRule type="top10" dxfId="390" priority="376" bottom="1" rank="1"/>
    <cfRule type="top10" dxfId="389" priority="377" rank="1"/>
  </conditionalFormatting>
  <conditionalFormatting sqref="H262:AU262">
    <cfRule type="top10" dxfId="388" priority="374" bottom="1" rank="1"/>
    <cfRule type="top10" dxfId="387" priority="375" rank="1"/>
  </conditionalFormatting>
  <conditionalFormatting sqref="H263:AU263">
    <cfRule type="top10" dxfId="386" priority="372" bottom="1" rank="1"/>
    <cfRule type="top10" dxfId="385" priority="373" rank="1"/>
  </conditionalFormatting>
  <conditionalFormatting sqref="H264:AU264">
    <cfRule type="top10" dxfId="384" priority="370" bottom="1" rank="1"/>
    <cfRule type="top10" dxfId="383" priority="371" rank="1"/>
  </conditionalFormatting>
  <conditionalFormatting sqref="H265:AU265">
    <cfRule type="top10" dxfId="382" priority="368" bottom="1" rank="1"/>
    <cfRule type="top10" dxfId="381" priority="369" rank="1"/>
  </conditionalFormatting>
  <conditionalFormatting sqref="H266:AU266">
    <cfRule type="top10" dxfId="380" priority="366" bottom="1" rank="1"/>
    <cfRule type="top10" dxfId="379" priority="367" rank="1"/>
  </conditionalFormatting>
  <conditionalFormatting sqref="H267:AU267">
    <cfRule type="top10" dxfId="378" priority="364" bottom="1" rank="1"/>
    <cfRule type="top10" dxfId="377" priority="365" rank="1"/>
  </conditionalFormatting>
  <conditionalFormatting sqref="H268:AU268">
    <cfRule type="top10" dxfId="376" priority="362" bottom="1" rank="1"/>
    <cfRule type="top10" dxfId="375" priority="363" rank="1"/>
  </conditionalFormatting>
  <conditionalFormatting sqref="H269:AU269">
    <cfRule type="top10" dxfId="374" priority="360" bottom="1" rank="1"/>
    <cfRule type="top10" dxfId="373" priority="361" rank="1"/>
  </conditionalFormatting>
  <conditionalFormatting sqref="H270:AU270">
    <cfRule type="top10" dxfId="372" priority="358" bottom="1" rank="1"/>
    <cfRule type="top10" dxfId="371" priority="359" rank="1"/>
  </conditionalFormatting>
  <conditionalFormatting sqref="H271:AU271">
    <cfRule type="top10" dxfId="370" priority="356" bottom="1" rank="1"/>
    <cfRule type="top10" dxfId="369" priority="357" rank="1"/>
  </conditionalFormatting>
  <conditionalFormatting sqref="H272:AU272">
    <cfRule type="top10" dxfId="368" priority="354" bottom="1" rank="1"/>
    <cfRule type="top10" dxfId="367" priority="355" rank="1"/>
  </conditionalFormatting>
  <conditionalFormatting sqref="H273:AU273">
    <cfRule type="top10" dxfId="366" priority="352" bottom="1" rank="1"/>
    <cfRule type="top10" dxfId="365" priority="353" rank="1"/>
  </conditionalFormatting>
  <conditionalFormatting sqref="H274:AU274">
    <cfRule type="top10" dxfId="364" priority="350" bottom="1" rank="1"/>
    <cfRule type="top10" dxfId="363" priority="351" rank="1"/>
  </conditionalFormatting>
  <conditionalFormatting sqref="H275:AU275">
    <cfRule type="top10" dxfId="362" priority="348" bottom="1" rank="1"/>
    <cfRule type="top10" dxfId="361" priority="349" rank="1"/>
  </conditionalFormatting>
  <conditionalFormatting sqref="H276:AU276">
    <cfRule type="top10" dxfId="360" priority="346" bottom="1" rank="1"/>
    <cfRule type="top10" dxfId="359" priority="347" rank="1"/>
  </conditionalFormatting>
  <conditionalFormatting sqref="H277:AU277">
    <cfRule type="top10" dxfId="358" priority="344" bottom="1" rank="1"/>
    <cfRule type="top10" dxfId="357" priority="345" rank="1"/>
  </conditionalFormatting>
  <conditionalFormatting sqref="H278:AU278">
    <cfRule type="top10" dxfId="356" priority="342" bottom="1" rank="1"/>
    <cfRule type="top10" dxfId="355" priority="343" rank="1"/>
  </conditionalFormatting>
  <conditionalFormatting sqref="H279:AU279">
    <cfRule type="top10" dxfId="354" priority="340" bottom="1" rank="1"/>
    <cfRule type="top10" dxfId="353" priority="341" rank="1"/>
  </conditionalFormatting>
  <conditionalFormatting sqref="H280:AU280">
    <cfRule type="top10" dxfId="352" priority="338" bottom="1" rank="1"/>
    <cfRule type="top10" dxfId="351" priority="339" rank="1"/>
  </conditionalFormatting>
  <conditionalFormatting sqref="H281:AU281">
    <cfRule type="top10" dxfId="350" priority="336" bottom="1" rank="1"/>
    <cfRule type="top10" dxfId="349" priority="337" rank="1"/>
  </conditionalFormatting>
  <conditionalFormatting sqref="H282:AU282">
    <cfRule type="top10" dxfId="348" priority="334" bottom="1" rank="1"/>
    <cfRule type="top10" dxfId="347" priority="335" rank="1"/>
  </conditionalFormatting>
  <conditionalFormatting sqref="H283:AU283">
    <cfRule type="top10" dxfId="346" priority="332" bottom="1" rank="1"/>
    <cfRule type="top10" dxfId="345" priority="333" rank="1"/>
  </conditionalFormatting>
  <conditionalFormatting sqref="H284:AU284">
    <cfRule type="top10" dxfId="344" priority="330" bottom="1" rank="1"/>
    <cfRule type="top10" dxfId="343" priority="331" rank="1"/>
  </conditionalFormatting>
  <conditionalFormatting sqref="H285:AU285">
    <cfRule type="top10" dxfId="342" priority="328" bottom="1" rank="1"/>
    <cfRule type="top10" dxfId="341" priority="329" rank="1"/>
  </conditionalFormatting>
  <conditionalFormatting sqref="H286:AU286">
    <cfRule type="top10" dxfId="340" priority="326" bottom="1" rank="1"/>
    <cfRule type="top10" dxfId="339" priority="327" rank="1"/>
  </conditionalFormatting>
  <conditionalFormatting sqref="H287:AU287">
    <cfRule type="top10" dxfId="338" priority="324" bottom="1" rank="1"/>
    <cfRule type="top10" dxfId="337" priority="325" rank="1"/>
  </conditionalFormatting>
  <conditionalFormatting sqref="H288:AU288">
    <cfRule type="top10" dxfId="336" priority="322" bottom="1" rank="1"/>
    <cfRule type="top10" dxfId="335" priority="323" rank="1"/>
  </conditionalFormatting>
  <conditionalFormatting sqref="H289:AU289">
    <cfRule type="top10" dxfId="334" priority="320" bottom="1" rank="1"/>
    <cfRule type="top10" dxfId="333" priority="321" rank="1"/>
  </conditionalFormatting>
  <conditionalFormatting sqref="H290:AU290">
    <cfRule type="top10" dxfId="332" priority="318" bottom="1" rank="1"/>
    <cfRule type="top10" dxfId="331" priority="319" rank="1"/>
  </conditionalFormatting>
  <conditionalFormatting sqref="H291:AU291">
    <cfRule type="top10" dxfId="330" priority="316" bottom="1" rank="1"/>
    <cfRule type="top10" dxfId="329" priority="317" rank="1"/>
  </conditionalFormatting>
  <conditionalFormatting sqref="H292:AU292">
    <cfRule type="top10" dxfId="328" priority="314" bottom="1" rank="1"/>
    <cfRule type="top10" dxfId="327" priority="315" rank="1"/>
  </conditionalFormatting>
  <conditionalFormatting sqref="H293:AU293">
    <cfRule type="top10" dxfId="326" priority="312" bottom="1" rank="1"/>
    <cfRule type="top10" dxfId="325" priority="313" rank="1"/>
  </conditionalFormatting>
  <conditionalFormatting sqref="H294:AU294">
    <cfRule type="top10" dxfId="324" priority="310" bottom="1" rank="1"/>
    <cfRule type="top10" dxfId="323" priority="311" rank="1"/>
  </conditionalFormatting>
  <conditionalFormatting sqref="H295:AU295">
    <cfRule type="top10" dxfId="322" priority="308" bottom="1" rank="1"/>
    <cfRule type="top10" dxfId="321" priority="309" rank="1"/>
  </conditionalFormatting>
  <conditionalFormatting sqref="H296:AU296">
    <cfRule type="top10" dxfId="320" priority="306" bottom="1" rank="1"/>
    <cfRule type="top10" dxfId="319" priority="307" rank="1"/>
  </conditionalFormatting>
  <conditionalFormatting sqref="H297:AU297">
    <cfRule type="top10" dxfId="318" priority="304" bottom="1" rank="1"/>
    <cfRule type="top10" dxfId="317" priority="305" rank="1"/>
  </conditionalFormatting>
  <conditionalFormatting sqref="H298:AU298">
    <cfRule type="top10" dxfId="316" priority="302" bottom="1" rank="1"/>
    <cfRule type="top10" dxfId="315" priority="303" rank="1"/>
  </conditionalFormatting>
  <conditionalFormatting sqref="H299:AU299">
    <cfRule type="top10" dxfId="314" priority="300" bottom="1" rank="1"/>
    <cfRule type="top10" dxfId="313" priority="301" rank="1"/>
  </conditionalFormatting>
  <conditionalFormatting sqref="H300:AU300">
    <cfRule type="top10" dxfId="312" priority="298" bottom="1" rank="1"/>
    <cfRule type="top10" dxfId="311" priority="299" rank="1"/>
  </conditionalFormatting>
  <conditionalFormatting sqref="H301:AU301">
    <cfRule type="top10" dxfId="310" priority="296" bottom="1" rank="1"/>
    <cfRule type="top10" dxfId="309" priority="297" rank="1"/>
  </conditionalFormatting>
  <conditionalFormatting sqref="H302:AU302">
    <cfRule type="top10" dxfId="308" priority="294" bottom="1" rank="1"/>
    <cfRule type="top10" dxfId="307" priority="295" rank="1"/>
  </conditionalFormatting>
  <conditionalFormatting sqref="H303:AU303">
    <cfRule type="top10" dxfId="306" priority="292" bottom="1" rank="1"/>
    <cfRule type="top10" dxfId="305" priority="293" rank="1"/>
  </conditionalFormatting>
  <conditionalFormatting sqref="H304:AU304">
    <cfRule type="top10" dxfId="304" priority="290" bottom="1" rank="1"/>
    <cfRule type="top10" dxfId="303" priority="291" rank="1"/>
  </conditionalFormatting>
  <conditionalFormatting sqref="H305:AU305">
    <cfRule type="top10" dxfId="302" priority="288" bottom="1" rank="1"/>
    <cfRule type="top10" dxfId="301" priority="289" rank="1"/>
  </conditionalFormatting>
  <conditionalFormatting sqref="H306:AU306">
    <cfRule type="top10" dxfId="300" priority="286" bottom="1" rank="1"/>
    <cfRule type="top10" dxfId="299" priority="287" rank="1"/>
  </conditionalFormatting>
  <conditionalFormatting sqref="H307:AU307">
    <cfRule type="top10" dxfId="298" priority="284" bottom="1" rank="1"/>
    <cfRule type="top10" dxfId="297" priority="285" rank="1"/>
  </conditionalFormatting>
  <conditionalFormatting sqref="H308:AU308">
    <cfRule type="top10" dxfId="296" priority="282" bottom="1" rank="1"/>
    <cfRule type="top10" dxfId="295" priority="283" rank="1"/>
  </conditionalFormatting>
  <conditionalFormatting sqref="H309:AU309">
    <cfRule type="top10" dxfId="294" priority="280" bottom="1" rank="1"/>
    <cfRule type="top10" dxfId="293" priority="281" rank="1"/>
  </conditionalFormatting>
  <conditionalFormatting sqref="H310:AU310">
    <cfRule type="top10" dxfId="292" priority="278" bottom="1" rank="1"/>
    <cfRule type="top10" dxfId="291" priority="279" rank="1"/>
  </conditionalFormatting>
  <conditionalFormatting sqref="H311:AU311">
    <cfRule type="top10" dxfId="290" priority="276" bottom="1" rank="1"/>
    <cfRule type="top10" dxfId="289" priority="277" rank="1"/>
  </conditionalFormatting>
  <conditionalFormatting sqref="H312:AU312">
    <cfRule type="top10" dxfId="288" priority="274" bottom="1" rank="1"/>
    <cfRule type="top10" dxfId="287" priority="275" rank="1"/>
  </conditionalFormatting>
  <conditionalFormatting sqref="H313:AU313">
    <cfRule type="top10" dxfId="286" priority="272" bottom="1" rank="1"/>
    <cfRule type="top10" dxfId="285" priority="273" rank="1"/>
  </conditionalFormatting>
  <conditionalFormatting sqref="H314:AU314">
    <cfRule type="top10" dxfId="284" priority="270" bottom="1" rank="1"/>
    <cfRule type="top10" dxfId="283" priority="271" rank="1"/>
  </conditionalFormatting>
  <conditionalFormatting sqref="H315:AU315">
    <cfRule type="top10" dxfId="282" priority="268" bottom="1" rank="1"/>
    <cfRule type="top10" dxfId="281" priority="269" rank="1"/>
  </conditionalFormatting>
  <conditionalFormatting sqref="H316:AU316">
    <cfRule type="top10" dxfId="280" priority="266" bottom="1" rank="1"/>
    <cfRule type="top10" dxfId="279" priority="267" rank="1"/>
  </conditionalFormatting>
  <conditionalFormatting sqref="H317:AU317">
    <cfRule type="top10" dxfId="278" priority="264" bottom="1" rank="1"/>
    <cfRule type="top10" dxfId="277" priority="265" rank="1"/>
  </conditionalFormatting>
  <conditionalFormatting sqref="H318:AU318">
    <cfRule type="top10" dxfId="276" priority="262" bottom="1" rank="1"/>
    <cfRule type="top10" dxfId="275" priority="263" rank="1"/>
  </conditionalFormatting>
  <conditionalFormatting sqref="H319:AU319">
    <cfRule type="top10" dxfId="274" priority="260" bottom="1" rank="1"/>
    <cfRule type="top10" dxfId="273" priority="261" rank="1"/>
  </conditionalFormatting>
  <conditionalFormatting sqref="H320:AU320">
    <cfRule type="top10" dxfId="272" priority="258" bottom="1" rank="1"/>
    <cfRule type="top10" dxfId="271" priority="259" rank="1"/>
  </conditionalFormatting>
  <conditionalFormatting sqref="H321:AU321">
    <cfRule type="top10" dxfId="270" priority="256" bottom="1" rank="1"/>
    <cfRule type="top10" dxfId="269" priority="257" rank="1"/>
  </conditionalFormatting>
  <conditionalFormatting sqref="H322:AU322">
    <cfRule type="top10" dxfId="268" priority="254" bottom="1" rank="1"/>
    <cfRule type="top10" dxfId="267" priority="255" rank="1"/>
  </conditionalFormatting>
  <conditionalFormatting sqref="H323:AU323">
    <cfRule type="top10" dxfId="266" priority="252" bottom="1" rank="1"/>
    <cfRule type="top10" dxfId="265" priority="253" rank="1"/>
  </conditionalFormatting>
  <conditionalFormatting sqref="H324:AU324">
    <cfRule type="top10" dxfId="264" priority="250" bottom="1" rank="1"/>
    <cfRule type="top10" dxfId="263" priority="251" rank="1"/>
  </conditionalFormatting>
  <conditionalFormatting sqref="H325:AU325">
    <cfRule type="top10" dxfId="262" priority="248" bottom="1" rank="1"/>
    <cfRule type="top10" dxfId="261" priority="249" rank="1"/>
  </conditionalFormatting>
  <conditionalFormatting sqref="H326:AU326">
    <cfRule type="top10" dxfId="260" priority="246" bottom="1" rank="1"/>
    <cfRule type="top10" dxfId="259" priority="247" rank="1"/>
  </conditionalFormatting>
  <conditionalFormatting sqref="H327:AU327">
    <cfRule type="top10" dxfId="258" priority="244" bottom="1" rank="1"/>
    <cfRule type="top10" dxfId="257" priority="245" rank="1"/>
  </conditionalFormatting>
  <conditionalFormatting sqref="H328:AU328">
    <cfRule type="top10" dxfId="256" priority="242" bottom="1" rank="1"/>
    <cfRule type="top10" dxfId="255" priority="243" rank="1"/>
  </conditionalFormatting>
  <conditionalFormatting sqref="H329:AU329">
    <cfRule type="top10" dxfId="254" priority="240" bottom="1" rank="1"/>
    <cfRule type="top10" dxfId="253" priority="241" rank="1"/>
  </conditionalFormatting>
  <conditionalFormatting sqref="H330:AU330">
    <cfRule type="top10" dxfId="252" priority="238" bottom="1" rank="1"/>
    <cfRule type="top10" dxfId="251" priority="239" rank="1"/>
  </conditionalFormatting>
  <conditionalFormatting sqref="H331:AU331">
    <cfRule type="top10" dxfId="250" priority="236" bottom="1" rank="1"/>
    <cfRule type="top10" dxfId="249" priority="237" rank="1"/>
  </conditionalFormatting>
  <conditionalFormatting sqref="H332:AU332">
    <cfRule type="top10" dxfId="248" priority="234" bottom="1" rank="1"/>
    <cfRule type="top10" dxfId="247" priority="235" rank="1"/>
  </conditionalFormatting>
  <conditionalFormatting sqref="H333:AU333">
    <cfRule type="top10" dxfId="246" priority="232" bottom="1" rank="1"/>
    <cfRule type="top10" dxfId="245" priority="233" rank="1"/>
  </conditionalFormatting>
  <conditionalFormatting sqref="H334:AU334">
    <cfRule type="top10" dxfId="244" priority="230" bottom="1" rank="1"/>
    <cfRule type="top10" dxfId="243" priority="231" rank="1"/>
  </conditionalFormatting>
  <conditionalFormatting sqref="H335:AU335">
    <cfRule type="top10" dxfId="242" priority="228" bottom="1" rank="1"/>
    <cfRule type="top10" dxfId="241" priority="229" rank="1"/>
  </conditionalFormatting>
  <conditionalFormatting sqref="H336:AU336">
    <cfRule type="top10" dxfId="240" priority="226" bottom="1" rank="1"/>
    <cfRule type="top10" dxfId="239" priority="227" rank="1"/>
  </conditionalFormatting>
  <conditionalFormatting sqref="H337:AU337">
    <cfRule type="top10" dxfId="238" priority="224" bottom="1" rank="1"/>
    <cfRule type="top10" dxfId="237" priority="225" rank="1"/>
  </conditionalFormatting>
  <conditionalFormatting sqref="H338:AU338">
    <cfRule type="top10" dxfId="236" priority="222" bottom="1" rank="1"/>
    <cfRule type="top10" dxfId="235" priority="223" rank="1"/>
  </conditionalFormatting>
  <conditionalFormatting sqref="H339:AU339">
    <cfRule type="top10" dxfId="234" priority="220" bottom="1" rank="1"/>
    <cfRule type="top10" dxfId="233" priority="221" rank="1"/>
  </conditionalFormatting>
  <conditionalFormatting sqref="H340:AU340">
    <cfRule type="top10" dxfId="232" priority="218" bottom="1" rank="1"/>
    <cfRule type="top10" dxfId="231" priority="219" rank="1"/>
  </conditionalFormatting>
  <conditionalFormatting sqref="H341:AU341">
    <cfRule type="top10" dxfId="230" priority="216" bottom="1" rank="1"/>
    <cfRule type="top10" dxfId="229" priority="217" rank="1"/>
  </conditionalFormatting>
  <conditionalFormatting sqref="H342:AU342">
    <cfRule type="top10" dxfId="228" priority="214" bottom="1" rank="1"/>
    <cfRule type="top10" dxfId="227" priority="215" rank="1"/>
  </conditionalFormatting>
  <conditionalFormatting sqref="H343:AU343">
    <cfRule type="top10" dxfId="226" priority="212" bottom="1" rank="1"/>
    <cfRule type="top10" dxfId="225" priority="213" rank="1"/>
  </conditionalFormatting>
  <conditionalFormatting sqref="H344:AU344">
    <cfRule type="top10" dxfId="224" priority="210" bottom="1" rank="1"/>
    <cfRule type="top10" dxfId="223" priority="211" rank="1"/>
  </conditionalFormatting>
  <conditionalFormatting sqref="H345:AU345">
    <cfRule type="top10" dxfId="222" priority="208" bottom="1" rank="1"/>
    <cfRule type="top10" dxfId="221" priority="209" rank="1"/>
  </conditionalFormatting>
  <conditionalFormatting sqref="H346:AU346">
    <cfRule type="top10" dxfId="220" priority="206" bottom="1" rank="1"/>
    <cfRule type="top10" dxfId="219" priority="207" rank="1"/>
  </conditionalFormatting>
  <conditionalFormatting sqref="H347:AU347">
    <cfRule type="top10" dxfId="218" priority="204" bottom="1" rank="1"/>
    <cfRule type="top10" dxfId="217" priority="205" rank="1"/>
  </conditionalFormatting>
  <conditionalFormatting sqref="H348:AU348">
    <cfRule type="top10" dxfId="216" priority="202" bottom="1" rank="1"/>
    <cfRule type="top10" dxfId="215" priority="203" rank="1"/>
  </conditionalFormatting>
  <conditionalFormatting sqref="H349:AU349">
    <cfRule type="top10" dxfId="214" priority="200" bottom="1" rank="1"/>
    <cfRule type="top10" dxfId="213" priority="201" rank="1"/>
  </conditionalFormatting>
  <conditionalFormatting sqref="H350:AU350">
    <cfRule type="top10" dxfId="212" priority="198" bottom="1" rank="1"/>
    <cfRule type="top10" dxfId="211" priority="199" rank="1"/>
  </conditionalFormatting>
  <conditionalFormatting sqref="H351:AU351">
    <cfRule type="top10" dxfId="210" priority="196" bottom="1" rank="1"/>
    <cfRule type="top10" dxfId="209" priority="197" rank="1"/>
  </conditionalFormatting>
  <conditionalFormatting sqref="H352:AU352">
    <cfRule type="top10" dxfId="208" priority="194" bottom="1" rank="1"/>
    <cfRule type="top10" dxfId="207" priority="195" rank="1"/>
  </conditionalFormatting>
  <conditionalFormatting sqref="H353:AU353">
    <cfRule type="top10" dxfId="206" priority="192" bottom="1" rank="1"/>
    <cfRule type="top10" dxfId="205" priority="193" rank="1"/>
  </conditionalFormatting>
  <conditionalFormatting sqref="H354:AU354">
    <cfRule type="top10" dxfId="204" priority="190" bottom="1" rank="1"/>
    <cfRule type="top10" dxfId="203" priority="191" rank="1"/>
  </conditionalFormatting>
  <conditionalFormatting sqref="H355:AU355">
    <cfRule type="top10" dxfId="202" priority="188" bottom="1" rank="1"/>
    <cfRule type="top10" dxfId="201" priority="189" rank="1"/>
  </conditionalFormatting>
  <conditionalFormatting sqref="H356:AU356">
    <cfRule type="top10" dxfId="200" priority="186" bottom="1" rank="1"/>
    <cfRule type="top10" dxfId="199" priority="187" rank="1"/>
  </conditionalFormatting>
  <conditionalFormatting sqref="H357:AU357">
    <cfRule type="top10" dxfId="198" priority="184" bottom="1" rank="1"/>
    <cfRule type="top10" dxfId="197" priority="185" rank="1"/>
  </conditionalFormatting>
  <conditionalFormatting sqref="H358:AU358">
    <cfRule type="top10" dxfId="196" priority="182" bottom="1" rank="1"/>
    <cfRule type="top10" dxfId="195" priority="183" rank="1"/>
  </conditionalFormatting>
  <conditionalFormatting sqref="H359:AU359">
    <cfRule type="top10" dxfId="194" priority="180" bottom="1" rank="1"/>
    <cfRule type="top10" dxfId="193" priority="181" rank="1"/>
  </conditionalFormatting>
  <conditionalFormatting sqref="H360:AU360">
    <cfRule type="top10" dxfId="192" priority="178" bottom="1" rank="1"/>
    <cfRule type="top10" dxfId="191" priority="179" rank="1"/>
  </conditionalFormatting>
  <conditionalFormatting sqref="H361:AU361">
    <cfRule type="top10" dxfId="190" priority="176" bottom="1" rank="1"/>
    <cfRule type="top10" dxfId="189" priority="177" rank="1"/>
  </conditionalFormatting>
  <conditionalFormatting sqref="H362:AU362">
    <cfRule type="top10" dxfId="188" priority="174" bottom="1" rank="1"/>
    <cfRule type="top10" dxfId="187" priority="175" rank="1"/>
  </conditionalFormatting>
  <conditionalFormatting sqref="H363:AU363">
    <cfRule type="top10" dxfId="186" priority="172" bottom="1" rank="1"/>
    <cfRule type="top10" dxfId="185" priority="173" rank="1"/>
  </conditionalFormatting>
  <conditionalFormatting sqref="H364:AU364">
    <cfRule type="top10" dxfId="184" priority="170" bottom="1" rank="1"/>
    <cfRule type="top10" dxfId="183" priority="171" rank="1"/>
  </conditionalFormatting>
  <conditionalFormatting sqref="H365:AU365">
    <cfRule type="top10" dxfId="182" priority="168" bottom="1" rank="1"/>
    <cfRule type="top10" dxfId="181" priority="169" rank="1"/>
  </conditionalFormatting>
  <conditionalFormatting sqref="H366:AU366">
    <cfRule type="top10" dxfId="180" priority="166" bottom="1" rank="1"/>
    <cfRule type="top10" dxfId="179" priority="167" rank="1"/>
  </conditionalFormatting>
  <conditionalFormatting sqref="H367:AU367">
    <cfRule type="top10" dxfId="178" priority="164" bottom="1" rank="1"/>
    <cfRule type="top10" dxfId="177" priority="165" rank="1"/>
  </conditionalFormatting>
  <conditionalFormatting sqref="H368:AU368">
    <cfRule type="top10" dxfId="176" priority="162" bottom="1" rank="1"/>
    <cfRule type="top10" dxfId="175" priority="163" rank="1"/>
  </conditionalFormatting>
  <conditionalFormatting sqref="H369:AU369">
    <cfRule type="top10" dxfId="174" priority="160" bottom="1" rank="1"/>
    <cfRule type="top10" dxfId="173" priority="161" rank="1"/>
  </conditionalFormatting>
  <conditionalFormatting sqref="H4:AU4">
    <cfRule type="top10" dxfId="172" priority="158" bottom="1" rank="1"/>
    <cfRule type="top10" dxfId="171" priority="159" rank="1"/>
  </conditionalFormatting>
  <conditionalFormatting sqref="H5:AU5">
    <cfRule type="top10" dxfId="170" priority="156" bottom="1" rank="1"/>
    <cfRule type="top10" dxfId="169" priority="157" rank="1"/>
  </conditionalFormatting>
  <conditionalFormatting sqref="H6:AU6">
    <cfRule type="top10" dxfId="168" priority="154" bottom="1" rank="1"/>
    <cfRule type="top10" dxfId="167" priority="155" rank="1"/>
  </conditionalFormatting>
  <conditionalFormatting sqref="H7:AU7">
    <cfRule type="top10" dxfId="166" priority="152" bottom="1" rank="1"/>
    <cfRule type="top10" dxfId="165" priority="153" rank="1"/>
  </conditionalFormatting>
  <conditionalFormatting sqref="H8:AU8">
    <cfRule type="top10" dxfId="164" priority="150" bottom="1" rank="1"/>
    <cfRule type="top10" dxfId="163" priority="151" rank="1"/>
  </conditionalFormatting>
  <conditionalFormatting sqref="H9:AU9">
    <cfRule type="top10" dxfId="162" priority="148" bottom="1" rank="1"/>
    <cfRule type="top10" dxfId="161" priority="149" rank="1"/>
  </conditionalFormatting>
  <conditionalFormatting sqref="H10:AU10">
    <cfRule type="top10" dxfId="160" priority="146" bottom="1" rank="1"/>
    <cfRule type="top10" dxfId="159" priority="147" rank="1"/>
  </conditionalFormatting>
  <conditionalFormatting sqref="H11:AU11">
    <cfRule type="top10" dxfId="158" priority="144" bottom="1" rank="1"/>
    <cfRule type="top10" dxfId="157" priority="145" rank="1"/>
  </conditionalFormatting>
  <conditionalFormatting sqref="H12:AU12">
    <cfRule type="top10" dxfId="156" priority="142" bottom="1" rank="1"/>
    <cfRule type="top10" dxfId="155" priority="143" rank="1"/>
  </conditionalFormatting>
  <conditionalFormatting sqref="H13:AU13">
    <cfRule type="top10" dxfId="154" priority="140" bottom="1" rank="1"/>
    <cfRule type="top10" dxfId="153" priority="141" rank="1"/>
  </conditionalFormatting>
  <conditionalFormatting sqref="H14:AU14">
    <cfRule type="top10" dxfId="152" priority="138" bottom="1" rank="1"/>
    <cfRule type="top10" dxfId="151" priority="139" rank="1"/>
  </conditionalFormatting>
  <conditionalFormatting sqref="H15:AU15">
    <cfRule type="top10" dxfId="150" priority="136" bottom="1" rank="1"/>
    <cfRule type="top10" dxfId="149" priority="137" rank="1"/>
  </conditionalFormatting>
  <conditionalFormatting sqref="H16:AU16">
    <cfRule type="top10" dxfId="148" priority="134" bottom="1" rank="1"/>
    <cfRule type="top10" dxfId="147" priority="135" rank="1"/>
  </conditionalFormatting>
  <conditionalFormatting sqref="H17:AU17">
    <cfRule type="top10" dxfId="146" priority="132" bottom="1" rank="1"/>
    <cfRule type="top10" dxfId="145" priority="133" rank="1"/>
  </conditionalFormatting>
  <conditionalFormatting sqref="H18:AU18">
    <cfRule type="top10" dxfId="144" priority="130" bottom="1" rank="1"/>
    <cfRule type="top10" dxfId="143" priority="131" rank="1"/>
  </conditionalFormatting>
  <conditionalFormatting sqref="H19:AU19">
    <cfRule type="top10" dxfId="142" priority="128" bottom="1" rank="1"/>
    <cfRule type="top10" dxfId="141" priority="129" rank="1"/>
  </conditionalFormatting>
  <conditionalFormatting sqref="H20:AU20">
    <cfRule type="top10" dxfId="140" priority="126" bottom="1" rank="1"/>
    <cfRule type="top10" dxfId="139" priority="127" rank="1"/>
  </conditionalFormatting>
  <conditionalFormatting sqref="H21:AU21">
    <cfRule type="top10" dxfId="138" priority="124" bottom="1" rank="1"/>
    <cfRule type="top10" dxfId="137" priority="125" rank="1"/>
  </conditionalFormatting>
  <conditionalFormatting sqref="H22:AU22">
    <cfRule type="top10" dxfId="136" priority="122" bottom="1" rank="1"/>
    <cfRule type="top10" dxfId="135" priority="123" rank="1"/>
  </conditionalFormatting>
  <conditionalFormatting sqref="H23:AU23">
    <cfRule type="top10" dxfId="134" priority="120" bottom="1" rank="1"/>
    <cfRule type="top10" dxfId="133" priority="121" rank="1"/>
  </conditionalFormatting>
  <conditionalFormatting sqref="H24:AU24">
    <cfRule type="top10" dxfId="132" priority="118" bottom="1" rank="1"/>
    <cfRule type="top10" dxfId="131" priority="119" rank="1"/>
  </conditionalFormatting>
  <conditionalFormatting sqref="H25:AU25">
    <cfRule type="top10" dxfId="130" priority="116" bottom="1" rank="1"/>
    <cfRule type="top10" dxfId="129" priority="117" rank="1"/>
  </conditionalFormatting>
  <conditionalFormatting sqref="H26:AU26">
    <cfRule type="top10" dxfId="128" priority="114" bottom="1" rank="1"/>
    <cfRule type="top10" dxfId="127" priority="115" rank="1"/>
  </conditionalFormatting>
  <conditionalFormatting sqref="H27:AU27">
    <cfRule type="top10" dxfId="126" priority="112" bottom="1" rank="1"/>
    <cfRule type="top10" dxfId="125" priority="113" rank="1"/>
  </conditionalFormatting>
  <conditionalFormatting sqref="H28:AU28">
    <cfRule type="top10" dxfId="124" priority="110" bottom="1" rank="1"/>
    <cfRule type="top10" dxfId="123" priority="111" rank="1"/>
  </conditionalFormatting>
  <conditionalFormatting sqref="H29:AU29">
    <cfRule type="top10" dxfId="122" priority="108" bottom="1" rank="1"/>
    <cfRule type="top10" dxfId="121" priority="109" rank="1"/>
  </conditionalFormatting>
  <conditionalFormatting sqref="H30:AU30">
    <cfRule type="top10" dxfId="120" priority="106" bottom="1" rank="1"/>
    <cfRule type="top10" dxfId="119" priority="107" rank="1"/>
  </conditionalFormatting>
  <conditionalFormatting sqref="H31:AU31">
    <cfRule type="top10" dxfId="118" priority="104" bottom="1" rank="1"/>
    <cfRule type="top10" dxfId="117" priority="105" rank="1"/>
  </conditionalFormatting>
  <conditionalFormatting sqref="H32:AU32">
    <cfRule type="top10" dxfId="116" priority="102" bottom="1" rank="1"/>
    <cfRule type="top10" dxfId="115" priority="103" rank="1"/>
  </conditionalFormatting>
  <conditionalFormatting sqref="H33:AU33">
    <cfRule type="top10" dxfId="114" priority="100" bottom="1" rank="1"/>
    <cfRule type="top10" dxfId="113" priority="101" rank="1"/>
  </conditionalFormatting>
  <conditionalFormatting sqref="H34:AU34">
    <cfRule type="top10" dxfId="112" priority="98" bottom="1" rank="1"/>
    <cfRule type="top10" dxfId="111" priority="99" rank="1"/>
  </conditionalFormatting>
  <conditionalFormatting sqref="H35:AU35">
    <cfRule type="top10" dxfId="110" priority="96" bottom="1" rank="1"/>
    <cfRule type="top10" dxfId="109" priority="97" rank="1"/>
  </conditionalFormatting>
  <conditionalFormatting sqref="H36:AU36">
    <cfRule type="top10" dxfId="108" priority="94" bottom="1" rank="1"/>
    <cfRule type="top10" dxfId="107" priority="95" rank="1"/>
  </conditionalFormatting>
  <conditionalFormatting sqref="H37:AU37">
    <cfRule type="top10" dxfId="106" priority="92" bottom="1" rank="1"/>
    <cfRule type="top10" dxfId="105" priority="93" rank="1"/>
  </conditionalFormatting>
  <conditionalFormatting sqref="H38:AU38">
    <cfRule type="top10" dxfId="104" priority="90" bottom="1" rank="1"/>
    <cfRule type="top10" dxfId="103" priority="91" rank="1"/>
  </conditionalFormatting>
  <conditionalFormatting sqref="H39:AU39">
    <cfRule type="top10" dxfId="102" priority="88" bottom="1" rank="1"/>
    <cfRule type="top10" dxfId="101" priority="89" rank="1"/>
  </conditionalFormatting>
  <conditionalFormatting sqref="H40:AU40">
    <cfRule type="top10" dxfId="100" priority="86" bottom="1" rank="1"/>
    <cfRule type="top10" dxfId="99" priority="87" rank="1"/>
  </conditionalFormatting>
  <conditionalFormatting sqref="H41:AU41">
    <cfRule type="top10" dxfId="98" priority="84" bottom="1" rank="1"/>
    <cfRule type="top10" dxfId="97" priority="85" rank="1"/>
  </conditionalFormatting>
  <conditionalFormatting sqref="H42:AU42">
    <cfRule type="top10" dxfId="96" priority="82" bottom="1" rank="1"/>
    <cfRule type="top10" dxfId="95" priority="83" rank="1"/>
  </conditionalFormatting>
  <conditionalFormatting sqref="H43:AU43">
    <cfRule type="top10" dxfId="94" priority="80" bottom="1" rank="1"/>
    <cfRule type="top10" dxfId="93" priority="81" rank="1"/>
  </conditionalFormatting>
  <conditionalFormatting sqref="H44:AU44">
    <cfRule type="top10" dxfId="92" priority="78" bottom="1" rank="1"/>
    <cfRule type="top10" dxfId="91" priority="79" rank="1"/>
  </conditionalFormatting>
  <conditionalFormatting sqref="H45:AU45">
    <cfRule type="top10" dxfId="90" priority="76" bottom="1" rank="1"/>
    <cfRule type="top10" dxfId="89" priority="77" rank="1"/>
  </conditionalFormatting>
  <conditionalFormatting sqref="H46:AU46">
    <cfRule type="top10" dxfId="88" priority="74" bottom="1" rank="1"/>
    <cfRule type="top10" dxfId="87" priority="75" rank="1"/>
  </conditionalFormatting>
  <conditionalFormatting sqref="H47:AU47">
    <cfRule type="top10" dxfId="86" priority="72" bottom="1" rank="1"/>
    <cfRule type="top10" dxfId="85" priority="73" rank="1"/>
  </conditionalFormatting>
  <conditionalFormatting sqref="H48:AU48">
    <cfRule type="top10" dxfId="84" priority="70" bottom="1" rank="1"/>
    <cfRule type="top10" dxfId="83" priority="71" rank="1"/>
  </conditionalFormatting>
  <conditionalFormatting sqref="H49:AU49">
    <cfRule type="top10" dxfId="82" priority="68" bottom="1" rank="1"/>
    <cfRule type="top10" dxfId="81" priority="69" rank="1"/>
  </conditionalFormatting>
  <conditionalFormatting sqref="H50:AU50">
    <cfRule type="top10" dxfId="80" priority="66" bottom="1" rank="1"/>
    <cfRule type="top10" dxfId="79" priority="67" rank="1"/>
  </conditionalFormatting>
  <conditionalFormatting sqref="H51:AU51">
    <cfRule type="top10" dxfId="78" priority="64" bottom="1" rank="1"/>
    <cfRule type="top10" dxfId="77" priority="65" rank="1"/>
  </conditionalFormatting>
  <conditionalFormatting sqref="H52:AU52">
    <cfRule type="top10" dxfId="76" priority="62" bottom="1" rank="1"/>
    <cfRule type="top10" dxfId="75" priority="63" rank="1"/>
  </conditionalFormatting>
  <conditionalFormatting sqref="H53:AU53">
    <cfRule type="top10" dxfId="74" priority="60" bottom="1" rank="1"/>
    <cfRule type="top10" dxfId="73" priority="61" rank="1"/>
  </conditionalFormatting>
  <conditionalFormatting sqref="H54:AU54">
    <cfRule type="top10" dxfId="72" priority="58" bottom="1" rank="1"/>
    <cfRule type="top10" dxfId="71" priority="59" rank="1"/>
  </conditionalFormatting>
  <conditionalFormatting sqref="H55:AU55">
    <cfRule type="top10" dxfId="70" priority="56" bottom="1" rank="1"/>
    <cfRule type="top10" dxfId="69" priority="57" rank="1"/>
  </conditionalFormatting>
  <conditionalFormatting sqref="H56:AU56">
    <cfRule type="top10" dxfId="68" priority="54" bottom="1" rank="1"/>
    <cfRule type="top10" dxfId="67" priority="55" rank="1"/>
  </conditionalFormatting>
  <conditionalFormatting sqref="H57:AU57">
    <cfRule type="top10" dxfId="66" priority="52" bottom="1" rank="1"/>
    <cfRule type="top10" dxfId="65" priority="53" rank="1"/>
  </conditionalFormatting>
  <conditionalFormatting sqref="H58:AU58">
    <cfRule type="top10" dxfId="64" priority="50" bottom="1" rank="1"/>
    <cfRule type="top10" dxfId="63" priority="51" rank="1"/>
  </conditionalFormatting>
  <conditionalFormatting sqref="H59:AU59">
    <cfRule type="top10" dxfId="62" priority="48" bottom="1" rank="1"/>
    <cfRule type="top10" dxfId="61" priority="49" rank="1"/>
  </conditionalFormatting>
  <conditionalFormatting sqref="H60:AU60">
    <cfRule type="top10" dxfId="60" priority="46" bottom="1" rank="1"/>
    <cfRule type="top10" dxfId="59" priority="47" rank="1"/>
  </conditionalFormatting>
  <conditionalFormatting sqref="H61:AU61">
    <cfRule type="top10" dxfId="58" priority="44" bottom="1" rank="1"/>
    <cfRule type="top10" dxfId="57" priority="45" rank="1"/>
  </conditionalFormatting>
  <conditionalFormatting sqref="H62:AU62">
    <cfRule type="top10" dxfId="56" priority="42" bottom="1" rank="1"/>
    <cfRule type="top10" dxfId="55" priority="43" rank="1"/>
  </conditionalFormatting>
  <conditionalFormatting sqref="H63:AU63">
    <cfRule type="top10" dxfId="54" priority="40" bottom="1" rank="1"/>
    <cfRule type="top10" dxfId="53" priority="41" rank="1"/>
  </conditionalFormatting>
  <conditionalFormatting sqref="H64:AU64">
    <cfRule type="top10" dxfId="52" priority="38" bottom="1" rank="1"/>
    <cfRule type="top10" dxfId="51" priority="39" rank="1"/>
  </conditionalFormatting>
  <conditionalFormatting sqref="H65:AU65">
    <cfRule type="top10" dxfId="50" priority="36" bottom="1" rank="1"/>
    <cfRule type="top10" dxfId="49" priority="37" rank="1"/>
  </conditionalFormatting>
  <conditionalFormatting sqref="H66:AU66">
    <cfRule type="top10" dxfId="48" priority="34" bottom="1" rank="1"/>
    <cfRule type="top10" dxfId="47" priority="35" rank="1"/>
  </conditionalFormatting>
  <conditionalFormatting sqref="H67:AU67">
    <cfRule type="top10" dxfId="46" priority="32" bottom="1" rank="1"/>
    <cfRule type="top10" dxfId="45" priority="33" rank="1"/>
  </conditionalFormatting>
  <conditionalFormatting sqref="D4:G369">
    <cfRule type="cellIs" dxfId="44" priority="17" stopIfTrue="1" operator="greaterThan">
      <formula>79.999</formula>
    </cfRule>
    <cfRule type="cellIs" dxfId="43" priority="18" stopIfTrue="1" operator="between">
      <formula>70</formula>
      <formula>79.999</formula>
    </cfRule>
    <cfRule type="cellIs" dxfId="42" priority="19" stopIfTrue="1" operator="between">
      <formula>40</formula>
      <formula>49.999</formula>
    </cfRule>
    <cfRule type="cellIs" dxfId="41" priority="20" stopIfTrue="1" operator="between">
      <formula>20</formula>
      <formula>39.99</formula>
    </cfRule>
    <cfRule type="cellIs" dxfId="40" priority="21" stopIfTrue="1" operator="lessThan">
      <formula>20</formula>
    </cfRule>
  </conditionalFormatting>
  <conditionalFormatting sqref="D370:G377">
    <cfRule type="cellIs" dxfId="39" priority="12" stopIfTrue="1" operator="greaterThan">
      <formula>79.999</formula>
    </cfRule>
    <cfRule type="cellIs" dxfId="38" priority="13" stopIfTrue="1" operator="between">
      <formula>70</formula>
      <formula>79.999</formula>
    </cfRule>
    <cfRule type="cellIs" dxfId="37" priority="14" stopIfTrue="1" operator="between">
      <formula>40</formula>
      <formula>49.999</formula>
    </cfRule>
    <cfRule type="cellIs" dxfId="36" priority="15" stopIfTrue="1" operator="between">
      <formula>20</formula>
      <formula>39.99</formula>
    </cfRule>
    <cfRule type="cellIs" dxfId="35" priority="16" stopIfTrue="1" operator="lessThan">
      <formula>20</formula>
    </cfRule>
  </conditionalFormatting>
  <conditionalFormatting sqref="B370:C377">
    <cfRule type="cellIs" dxfId="34" priority="7" stopIfTrue="1" operator="greaterThan">
      <formula>79.9499999999</formula>
    </cfRule>
    <cfRule type="cellIs" dxfId="33" priority="8" stopIfTrue="1" operator="between">
      <formula>69.94999999999</formula>
      <formula>79.94999999</formula>
    </cfRule>
    <cfRule type="cellIs" dxfId="32" priority="9" stopIfTrue="1" operator="between">
      <formula>39.9499999999</formula>
      <formula>49.94999999</formula>
    </cfRule>
    <cfRule type="cellIs" dxfId="31" priority="10" stopIfTrue="1" operator="between">
      <formula>19.9499999999</formula>
      <formula>39.94999999</formula>
    </cfRule>
    <cfRule type="cellIs" dxfId="30" priority="11" stopIfTrue="1" operator="lessThan">
      <formula>19.95</formula>
    </cfRule>
  </conditionalFormatting>
  <conditionalFormatting sqref="D370:G377">
    <cfRule type="cellIs" dxfId="29" priority="2" stopIfTrue="1" operator="greaterThan">
      <formula>79.999</formula>
    </cfRule>
    <cfRule type="cellIs" dxfId="28" priority="3" stopIfTrue="1" operator="between">
      <formula>70</formula>
      <formula>79.999</formula>
    </cfRule>
    <cfRule type="cellIs" dxfId="27" priority="4" stopIfTrue="1" operator="between">
      <formula>40</formula>
      <formula>49.999</formula>
    </cfRule>
    <cfRule type="cellIs" dxfId="26" priority="5" stopIfTrue="1" operator="between">
      <formula>20</formula>
      <formula>39.99</formula>
    </cfRule>
    <cfRule type="cellIs" dxfId="25" priority="6" stopIfTrue="1" operator="lessThan">
      <formula>20</formula>
    </cfRule>
  </conditionalFormatting>
  <conditionalFormatting sqref="A63">
    <cfRule type="cellIs" dxfId="24" priority="1" operator="equal">
      <formula>"29 Feb"</formula>
    </cfRule>
  </conditionalFormatting>
  <pageMargins left="0.7" right="0.7" top="0.75" bottom="0.75" header="0.3" footer="0.3"/>
  <pageSetup orientation="portrait" r:id="rId1"/>
  <ignoredErrors>
    <ignoredError sqref="A6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S518"/>
  <sheetViews>
    <sheetView workbookViewId="0">
      <selection activeCell="I9" sqref="I9"/>
    </sheetView>
  </sheetViews>
  <sheetFormatPr defaultColWidth="9" defaultRowHeight="10"/>
  <cols>
    <col min="1" max="1" width="70.54296875" style="66" customWidth="1"/>
    <col min="2" max="2" width="14.54296875" style="66" customWidth="1"/>
    <col min="3" max="3" width="29" style="66" customWidth="1"/>
    <col min="4" max="4" width="9" style="66" customWidth="1"/>
    <col min="5" max="5" width="13.54296875" style="66" customWidth="1"/>
    <col min="6" max="6" width="7" style="66" customWidth="1"/>
    <col min="7" max="7" width="15" style="66" customWidth="1"/>
    <col min="8" max="13" width="9" style="66" customWidth="1"/>
    <col min="14" max="14" width="2.54296875" style="66" customWidth="1"/>
    <col min="15" max="16" width="9" style="66" customWidth="1"/>
    <col min="17" max="17" width="5" style="66" customWidth="1"/>
    <col min="18" max="22" width="9" style="66" customWidth="1"/>
    <col min="23" max="23" width="9.54296875" style="66" customWidth="1"/>
    <col min="24" max="27" width="9" style="66" customWidth="1"/>
    <col min="28" max="28" width="8.54296875" style="66" customWidth="1"/>
    <col min="29" max="29" width="12.54296875" style="66" customWidth="1"/>
    <col min="30" max="34" width="8.54296875" style="66" customWidth="1"/>
    <col min="35" max="35" width="4" style="66" customWidth="1"/>
    <col min="36" max="38" width="8" style="66" customWidth="1"/>
    <col min="39" max="39" width="7" style="66" customWidth="1"/>
    <col min="40" max="40" width="5" style="66" customWidth="1"/>
    <col min="41" max="41" width="7" style="66" customWidth="1"/>
    <col min="42" max="42" width="4" style="66" customWidth="1"/>
    <col min="43" max="43" width="5" style="66" customWidth="1"/>
    <col min="44" max="44" width="4.54296875" style="66" customWidth="1"/>
    <col min="45" max="45" width="4" style="66" customWidth="1"/>
    <col min="46" max="46" width="5" style="66" customWidth="1"/>
    <col min="47" max="47" width="8" style="66" customWidth="1"/>
    <col min="48" max="50" width="5.54296875" style="66" customWidth="1"/>
    <col min="51" max="51" width="8" style="66" customWidth="1"/>
    <col min="52" max="55" width="4.54296875" style="66" customWidth="1"/>
    <col min="56" max="56" width="5" style="66" customWidth="1"/>
    <col min="57" max="58" width="4.54296875" style="66" customWidth="1"/>
    <col min="59" max="59" width="6.54296875" style="66" customWidth="1"/>
    <col min="60" max="60" width="5.54296875" style="66" customWidth="1"/>
    <col min="61" max="61" width="7" style="66" customWidth="1"/>
    <col min="62" max="62" width="8" style="66" customWidth="1"/>
    <col min="63" max="64" width="7" style="66" customWidth="1"/>
    <col min="65" max="65" width="9.54296875" style="66" customWidth="1"/>
    <col min="66" max="66" width="5" style="66" customWidth="1"/>
    <col min="67" max="67" width="7.54296875" style="66" customWidth="1"/>
    <col min="68" max="68" width="9.54296875" style="66" customWidth="1"/>
    <col min="69" max="69" width="7.54296875" style="66" customWidth="1"/>
    <col min="70" max="70" width="8.54296875" style="66" customWidth="1"/>
    <col min="71" max="71" width="7.54296875" style="66" customWidth="1"/>
    <col min="72" max="73" width="6.54296875" style="66" customWidth="1"/>
    <col min="74" max="74" width="7" style="66" customWidth="1"/>
    <col min="75" max="75" width="8" style="66" customWidth="1"/>
    <col min="76" max="76" width="6.54296875" style="66" customWidth="1"/>
    <col min="77" max="77" width="7" style="66" customWidth="1"/>
    <col min="78" max="78" width="7.54296875" style="66" customWidth="1"/>
    <col min="79" max="79" width="8" style="66" customWidth="1"/>
    <col min="80" max="80" width="9" style="66" customWidth="1"/>
    <col min="81" max="81" width="7.54296875" style="66" customWidth="1"/>
    <col min="82" max="82" width="4.54296875" style="66" customWidth="1"/>
    <col min="83" max="83" width="5.08984375" style="66" customWidth="1"/>
    <col min="84" max="85" width="8.54296875" style="66" customWidth="1"/>
    <col min="86" max="86" width="11.08984375" style="66" customWidth="1"/>
    <col min="87" max="87" width="8.54296875" style="66" customWidth="1"/>
    <col min="88" max="88" width="12.08984375" style="66" customWidth="1"/>
    <col min="89" max="89" width="8.08984375" style="66" customWidth="1"/>
    <col min="90" max="90" width="8" style="66" customWidth="1"/>
    <col min="91" max="94" width="7.54296875" style="66" customWidth="1"/>
    <col min="95" max="95" width="7" style="66" customWidth="1"/>
    <col min="96" max="16384" width="9" style="66"/>
  </cols>
  <sheetData>
    <row r="1" spans="1:97">
      <c r="D1" s="106">
        <f ca="1">ROUND((MAX(MAX(OFFSET(H7,1+I4,0,H4-I4)),MAX(OFFSET(I7,1+I4,0,H4-I4))))*1.15,0)</f>
        <v>23</v>
      </c>
      <c r="E1" s="66" t="str">
        <f>IF(OR(E2="VRB",E3="VRB"),"VARIABLE",IF(E2=E3,E2,E3&amp;" TO "&amp;E2))</f>
        <v>SOUTHWEST</v>
      </c>
      <c r="F1" s="66" t="str">
        <f>IF(OR(F2="VARIABLE",F3="VARIABLE"),"VARIABLE",IF(F2=F3,F2,F2&amp;" TO "&amp;F3))</f>
        <v>SOUTHWEST</v>
      </c>
      <c r="CF1" s="66" t="s">
        <v>2582</v>
      </c>
      <c r="CG1" s="66" t="s">
        <v>461</v>
      </c>
      <c r="CH1" s="66" t="s">
        <v>2583</v>
      </c>
      <c r="CI1" s="66" t="s">
        <v>461</v>
      </c>
      <c r="CJ1" s="66" t="s">
        <v>2584</v>
      </c>
      <c r="CK1" s="66" t="s">
        <v>2585</v>
      </c>
    </row>
    <row r="2" spans="1:97">
      <c r="D2" s="66" t="str">
        <f>IF(D3*1&lt;5,"1",D3*1-4)&amp;" - "&amp;D3*1+4</f>
        <v>8 - 16</v>
      </c>
      <c r="E2" s="66" t="str">
        <f>INDEX(G27:G65,MATCH(INDEX(F8:F26,H4),F27:F65,0))</f>
        <v>SOUTHWEST</v>
      </c>
      <c r="F2" s="66" t="str">
        <f>LOOKUP(F8,F27:F65,G27:G65)</f>
        <v>SOUTHWEST</v>
      </c>
      <c r="G2" s="66" t="str">
        <f>IF(G3*1&lt;5,"1",G3*1-4)&amp;" - "&amp;G3*1+4</f>
        <v>6 - 14</v>
      </c>
      <c r="CF2" s="1644">
        <f>CG7</f>
        <v>44748.563888888886</v>
      </c>
      <c r="CG2" s="1644">
        <f>CH7</f>
        <v>44748.049999999996</v>
      </c>
      <c r="CH2" s="1644">
        <f>CM7</f>
        <v>44749.609027777777</v>
      </c>
      <c r="CI2" s="1644">
        <f>CN7</f>
        <v>44749.066666666666</v>
      </c>
      <c r="CJ2" s="1644">
        <f>CF7</f>
        <v>44748.818055555559</v>
      </c>
      <c r="CK2" s="1644">
        <f>CL7</f>
        <v>44749.85</v>
      </c>
      <c r="CO2" s="3625">
        <f>C8</f>
        <v>44748.375</v>
      </c>
      <c r="CP2" s="3625"/>
    </row>
    <row r="3" spans="1:97" ht="28">
      <c r="C3" s="67" t="s">
        <v>2586</v>
      </c>
      <c r="D3" s="66" t="str">
        <f>TEXT(ROUND(AVERAGEIF(A8:A22,"&gt;12",G8:G22)*1.15,0),"#")</f>
        <v>12</v>
      </c>
      <c r="E3" s="66" t="str">
        <f>INDEX(G27:G65,MATCH(IF(I4=0,F8,INDEX(F8:F22,I4)),F27:F65,0))</f>
        <v>SOUTHWEST</v>
      </c>
      <c r="F3" s="66" t="str">
        <f>LOOKUP(INDEX(F8:F21,I4),F27:F65,G27:G65)</f>
        <v>SOUTHWEST</v>
      </c>
      <c r="G3" s="106" t="str">
        <f>IF(I4&lt;&gt;"PM MEF",TEXT(ROUND(AVERAGEIF(A8:A20,"&lt;12",G8:G20)*1.15,0),"#"),"")</f>
        <v>10</v>
      </c>
      <c r="H3" s="106">
        <f ca="1">ROUND((MAX(MAX(OFFSET(H7,1,0,I4)),MAX(OFFSET(I7,1,0,I4))))*1.15,0)</f>
        <v>0</v>
      </c>
      <c r="I3" s="106"/>
      <c r="BU3" s="1620"/>
      <c r="CB3" s="1620">
        <f>SIN((C8-$CG$7)/($CF$7-$CG$7))</f>
        <v>-0.67662502249279854</v>
      </c>
      <c r="CE3" s="388" t="s">
        <v>10</v>
      </c>
      <c r="CF3" s="3626">
        <f>MEF!Z9</f>
        <v>44748.269444444442</v>
      </c>
      <c r="CG3" s="3626"/>
      <c r="CH3" s="3627">
        <f>DATE(YEAR(CH4)-1,12,31)</f>
        <v>44561</v>
      </c>
      <c r="CI3" s="3627"/>
      <c r="CJ3" s="3627"/>
      <c r="CM3" s="1785"/>
    </row>
    <row r="4" spans="1:97" ht="12.75" customHeight="1">
      <c r="H4" s="106">
        <f>IF(ISERROR(MATCH(23,A8:A22,0)),19,MATCH(23,A8:A22,0))</f>
        <v>15</v>
      </c>
      <c r="I4" s="106">
        <f>IF(A8&lt;12,MATCH(12,A8:A21,0),0)</f>
        <v>4</v>
      </c>
      <c r="BK4" s="514" t="s">
        <v>2587</v>
      </c>
      <c r="BX4" s="389"/>
      <c r="BZ4" s="3628" t="s">
        <v>2588</v>
      </c>
      <c r="CA4" s="3628" t="s">
        <v>2589</v>
      </c>
      <c r="CE4" s="388" t="s">
        <v>12</v>
      </c>
      <c r="CF4" s="3626">
        <f>MEF!Z11</f>
        <v>44748.881249999999</v>
      </c>
      <c r="CG4" s="3626"/>
      <c r="CH4" s="1889">
        <f>Worksheet!Q6</f>
        <v>44748</v>
      </c>
      <c r="CI4" s="1889"/>
      <c r="CK4" s="1642" t="str">
        <f>INDEX($CF$1:$CK$1,MATCH(CK5,$CF$2:$CK$2,0))</f>
        <v>D</v>
      </c>
      <c r="CL4" s="1642" t="str">
        <f t="shared" ref="CL4:CP4" si="0">INDEX($CF$1:$CK$1,MATCH(CL5,$CF$2:$CK$2,0))</f>
        <v>U1</v>
      </c>
      <c r="CM4" s="109" t="str">
        <f t="shared" si="0"/>
        <v>M1</v>
      </c>
      <c r="CN4" s="1642" t="str">
        <f t="shared" si="0"/>
        <v>D</v>
      </c>
      <c r="CO4" s="1642" t="str">
        <f t="shared" si="0"/>
        <v>U2</v>
      </c>
      <c r="CP4" s="1642" t="str">
        <f t="shared" si="0"/>
        <v>M2</v>
      </c>
    </row>
    <row r="5" spans="1:97" ht="22.5" customHeight="1">
      <c r="A5" s="3654" t="s">
        <v>37</v>
      </c>
      <c r="B5" s="3655"/>
      <c r="C5" s="3655"/>
      <c r="D5" s="3655"/>
      <c r="E5" s="3656"/>
      <c r="F5" s="3630" t="s">
        <v>2590</v>
      </c>
      <c r="G5" s="3631"/>
      <c r="H5" s="3631"/>
      <c r="I5" s="3632"/>
      <c r="J5" s="3642" t="s">
        <v>2591</v>
      </c>
      <c r="K5" s="3643"/>
      <c r="L5" s="3630" t="s">
        <v>2592</v>
      </c>
      <c r="M5" s="3631"/>
      <c r="N5" s="3631"/>
      <c r="O5" s="3631"/>
      <c r="P5" s="3631"/>
      <c r="Q5" s="1933"/>
      <c r="R5" s="3642" t="s">
        <v>2593</v>
      </c>
      <c r="S5" s="3643"/>
      <c r="T5" s="3630" t="s">
        <v>38</v>
      </c>
      <c r="U5" s="3631"/>
      <c r="V5" s="3646" t="s">
        <v>2594</v>
      </c>
      <c r="W5" s="3646" t="s">
        <v>40</v>
      </c>
      <c r="X5" s="3649" t="str">
        <f>Worksheet!AQ6</f>
        <v>WBGT</v>
      </c>
      <c r="Y5" s="1932" t="s">
        <v>41</v>
      </c>
      <c r="Z5" s="3651" t="s">
        <v>42</v>
      </c>
      <c r="AA5" s="3646" t="s">
        <v>43</v>
      </c>
      <c r="AB5" s="3630" t="s">
        <v>2595</v>
      </c>
      <c r="AC5" s="3631"/>
      <c r="AD5" s="3631"/>
      <c r="AE5" s="3631"/>
      <c r="AF5" s="3631"/>
      <c r="AG5" s="3631"/>
      <c r="AH5" s="3631"/>
      <c r="AI5" s="3631"/>
      <c r="AJ5" s="3631"/>
      <c r="AK5" s="3632"/>
      <c r="AL5" s="3630" t="s">
        <v>2596</v>
      </c>
      <c r="AM5" s="3631"/>
      <c r="AN5" s="3631"/>
      <c r="AO5" s="3631"/>
      <c r="AP5" s="3631"/>
      <c r="AQ5" s="3631"/>
      <c r="AR5" s="3631"/>
      <c r="AS5" s="3631"/>
      <c r="AT5" s="3631"/>
      <c r="AU5" s="3632"/>
      <c r="AV5" s="3630" t="s">
        <v>470</v>
      </c>
      <c r="AW5" s="3632"/>
      <c r="AX5" s="3637" t="s">
        <v>2597</v>
      </c>
      <c r="AY5" s="3638"/>
      <c r="AZ5" s="3638"/>
      <c r="BA5" s="3638"/>
      <c r="BB5" s="3638"/>
      <c r="BC5" s="3638"/>
      <c r="BD5" s="3638"/>
      <c r="BE5" s="3638"/>
      <c r="BF5" s="3638"/>
      <c r="BG5" s="3638"/>
      <c r="BH5" s="3638"/>
      <c r="BI5" s="3638"/>
      <c r="BX5" s="389"/>
      <c r="BZ5" s="3628"/>
      <c r="CA5" s="3628"/>
      <c r="CB5" s="1934" t="s">
        <v>2598</v>
      </c>
      <c r="CE5" s="388" t="s">
        <v>2599</v>
      </c>
      <c r="CF5" s="3626">
        <f>(CF4-CF3)/2+CF3</f>
        <v>44748.57534722222</v>
      </c>
      <c r="CG5" s="3626"/>
      <c r="CH5" s="1943">
        <f>CH4-CH3</f>
        <v>187</v>
      </c>
      <c r="CI5" s="1610"/>
      <c r="CJ5" s="1886">
        <f>C8-1/1440</f>
        <v>44748.374305555553</v>
      </c>
      <c r="CK5" s="1886">
        <f>MIN(CF2:CK2)</f>
        <v>44748.049999999996</v>
      </c>
      <c r="CL5" s="1886">
        <f>SMALL(CF2:CK2,2)</f>
        <v>44748.563888888886</v>
      </c>
      <c r="CM5" s="1886">
        <f>SMALL(CF2:CK2,3)</f>
        <v>44748.818055555559</v>
      </c>
      <c r="CN5" s="1886">
        <f>SMALL(CF2:CK2,4)</f>
        <v>44749.066666666666</v>
      </c>
      <c r="CO5" s="1886">
        <f>SMALL(CF2:CK2,5)</f>
        <v>44749.609027777777</v>
      </c>
      <c r="CP5" s="1886">
        <f>MAX(CF2:CK2)</f>
        <v>44749.85</v>
      </c>
      <c r="CQ5" s="1645"/>
      <c r="CR5" s="1645"/>
      <c r="CS5" s="1645"/>
    </row>
    <row r="6" spans="1:97" ht="16.5" customHeight="1">
      <c r="A6" s="3657"/>
      <c r="B6" s="3658"/>
      <c r="C6" s="3658"/>
      <c r="D6" s="3658"/>
      <c r="E6" s="3659"/>
      <c r="F6" s="1930"/>
      <c r="G6" s="1931"/>
      <c r="H6" s="1931"/>
      <c r="I6" s="888"/>
      <c r="J6" s="68"/>
      <c r="K6" s="69"/>
      <c r="L6" s="3641" t="s">
        <v>2600</v>
      </c>
      <c r="M6" s="3629"/>
      <c r="N6" s="1931"/>
      <c r="O6" s="3629" t="s">
        <v>2601</v>
      </c>
      <c r="P6" s="3629"/>
      <c r="Q6" s="888"/>
      <c r="R6" s="68"/>
      <c r="S6" s="69"/>
      <c r="T6" s="3641"/>
      <c r="U6" s="3629"/>
      <c r="V6" s="3647"/>
      <c r="W6" s="3647"/>
      <c r="X6" s="3650"/>
      <c r="Y6" s="1930"/>
      <c r="Z6" s="3652"/>
      <c r="AA6" s="3647"/>
      <c r="AB6" s="3641" t="s">
        <v>2602</v>
      </c>
      <c r="AC6" s="3629"/>
      <c r="AD6" s="3629"/>
      <c r="AE6" s="3629" t="s">
        <v>2603</v>
      </c>
      <c r="AF6" s="3629"/>
      <c r="AG6" s="3629"/>
      <c r="AH6" s="3629" t="s">
        <v>2604</v>
      </c>
      <c r="AI6" s="3629"/>
      <c r="AJ6" s="3629"/>
      <c r="AK6" s="888"/>
      <c r="AL6" s="3641" t="s">
        <v>2602</v>
      </c>
      <c r="AM6" s="3629"/>
      <c r="AN6" s="3629"/>
      <c r="AO6" s="3629" t="s">
        <v>2603</v>
      </c>
      <c r="AP6" s="3629"/>
      <c r="AQ6" s="3629"/>
      <c r="AR6" s="3629" t="s">
        <v>2604</v>
      </c>
      <c r="AS6" s="3629"/>
      <c r="AT6" s="3629"/>
      <c r="AU6" s="888"/>
      <c r="AV6" s="1930"/>
      <c r="AW6" s="888"/>
      <c r="AX6" s="1270" t="s">
        <v>95</v>
      </c>
      <c r="AY6" s="1270"/>
      <c r="AZ6" s="1270" t="s">
        <v>113</v>
      </c>
      <c r="BA6" s="1270" t="s">
        <v>86</v>
      </c>
      <c r="BB6" s="3633" t="s">
        <v>2605</v>
      </c>
      <c r="BC6" s="1270" t="s">
        <v>121</v>
      </c>
      <c r="BD6" s="1275" t="s">
        <v>2606</v>
      </c>
      <c r="BE6" s="1270" t="s">
        <v>96</v>
      </c>
      <c r="BF6" s="1270" t="s">
        <v>116</v>
      </c>
      <c r="BG6" s="1271" t="s">
        <v>119</v>
      </c>
      <c r="BH6" s="1271" t="s">
        <v>111</v>
      </c>
      <c r="BI6" s="1271" t="s">
        <v>2799</v>
      </c>
      <c r="BV6" s="1922" t="s">
        <v>2607</v>
      </c>
      <c r="BW6" s="1922"/>
      <c r="BZ6" s="1934"/>
      <c r="CA6" s="1934"/>
      <c r="CB6" s="1934"/>
      <c r="CE6" s="1643" t="s">
        <v>2608</v>
      </c>
      <c r="CF6" s="1922" t="s">
        <v>2609</v>
      </c>
      <c r="CG6" s="1922" t="s">
        <v>2610</v>
      </c>
      <c r="CH6" s="1922" t="s">
        <v>2611</v>
      </c>
      <c r="CI6" s="1887"/>
      <c r="CJ6" s="1610">
        <f>DATE(YEAR(CJ5),MONTH(CJ5),DAY(CJ5))</f>
        <v>44748</v>
      </c>
      <c r="CK6" s="1888" t="s">
        <v>2612</v>
      </c>
      <c r="CL6" s="1922" t="s">
        <v>2609</v>
      </c>
      <c r="CM6" s="1922" t="s">
        <v>2610</v>
      </c>
      <c r="CN6" s="1922" t="s">
        <v>2611</v>
      </c>
      <c r="CO6" s="1610"/>
      <c r="CP6" s="1610"/>
    </row>
    <row r="7" spans="1:97" ht="16.5" customHeight="1" thickBot="1">
      <c r="A7" s="523" t="s">
        <v>2613</v>
      </c>
      <c r="B7" s="522" t="s">
        <v>2614</v>
      </c>
      <c r="C7" s="70"/>
      <c r="D7" s="70"/>
      <c r="E7" s="71"/>
      <c r="F7" s="72"/>
      <c r="G7" s="73"/>
      <c r="H7" s="74"/>
      <c r="I7" s="75" t="s">
        <v>2615</v>
      </c>
      <c r="J7" s="3644" t="s">
        <v>2616</v>
      </c>
      <c r="K7" s="3645"/>
      <c r="L7" s="1930" t="s">
        <v>2617</v>
      </c>
      <c r="M7" s="1931"/>
      <c r="N7" s="890" t="s">
        <v>2618</v>
      </c>
      <c r="O7" s="1931" t="s">
        <v>2617</v>
      </c>
      <c r="P7" s="1936"/>
      <c r="Q7" s="890" t="s">
        <v>2618</v>
      </c>
      <c r="R7" s="3644" t="s">
        <v>2616</v>
      </c>
      <c r="S7" s="3645"/>
      <c r="T7" s="3641"/>
      <c r="U7" s="3629"/>
      <c r="V7" s="3648"/>
      <c r="W7" s="3647"/>
      <c r="X7" s="3650"/>
      <c r="Y7" s="1930" t="s">
        <v>2619</v>
      </c>
      <c r="Z7" s="3652"/>
      <c r="AA7" s="3653"/>
      <c r="AB7" s="1935" t="s">
        <v>2620</v>
      </c>
      <c r="AC7" s="1936" t="s">
        <v>2621</v>
      </c>
      <c r="AD7" s="1936" t="s">
        <v>2622</v>
      </c>
      <c r="AE7" s="1936" t="s">
        <v>2620</v>
      </c>
      <c r="AF7" s="1936" t="s">
        <v>2621</v>
      </c>
      <c r="AG7" s="1936" t="s">
        <v>2622</v>
      </c>
      <c r="AH7" s="1936" t="s">
        <v>2620</v>
      </c>
      <c r="AI7" s="1936" t="s">
        <v>2621</v>
      </c>
      <c r="AJ7" s="1936" t="s">
        <v>2622</v>
      </c>
      <c r="AK7" s="1948" t="s">
        <v>2616</v>
      </c>
      <c r="AL7" s="1935" t="s">
        <v>2620</v>
      </c>
      <c r="AM7" s="1936" t="s">
        <v>2621</v>
      </c>
      <c r="AN7" s="1936" t="s">
        <v>2622</v>
      </c>
      <c r="AO7" s="1936" t="s">
        <v>2620</v>
      </c>
      <c r="AP7" s="1936" t="s">
        <v>2621</v>
      </c>
      <c r="AQ7" s="1936" t="s">
        <v>2622</v>
      </c>
      <c r="AR7" s="1936" t="s">
        <v>2620</v>
      </c>
      <c r="AS7" s="1936" t="s">
        <v>2621</v>
      </c>
      <c r="AT7" s="1936" t="s">
        <v>2622</v>
      </c>
      <c r="AU7" s="1948" t="s">
        <v>2616</v>
      </c>
      <c r="AV7" s="76"/>
      <c r="AW7" s="888" t="s">
        <v>2615</v>
      </c>
      <c r="AX7" s="1272"/>
      <c r="AY7" s="1273" t="s">
        <v>2623</v>
      </c>
      <c r="AZ7" s="1273" t="s">
        <v>2624</v>
      </c>
      <c r="BA7" s="1272"/>
      <c r="BB7" s="3634"/>
      <c r="BC7" s="1272"/>
      <c r="BD7" s="1272"/>
      <c r="BE7" s="1272"/>
      <c r="BF7" s="1272"/>
      <c r="BG7" s="1274"/>
      <c r="BH7" s="1274"/>
      <c r="BI7" s="1274"/>
      <c r="BK7" s="40" t="s">
        <v>2625</v>
      </c>
      <c r="BL7" s="40" t="s">
        <v>2626</v>
      </c>
      <c r="BM7" s="40" t="s">
        <v>2627</v>
      </c>
      <c r="BN7" s="40" t="s">
        <v>2628</v>
      </c>
      <c r="BO7" s="40" t="s">
        <v>2629</v>
      </c>
      <c r="BP7" s="40" t="s">
        <v>398</v>
      </c>
      <c r="BQ7" s="40" t="s">
        <v>2630</v>
      </c>
      <c r="BR7" s="40" t="s">
        <v>2631</v>
      </c>
      <c r="BS7" s="40" t="s">
        <v>2632</v>
      </c>
      <c r="BT7" s="40" t="s">
        <v>2633</v>
      </c>
      <c r="BU7" s="40"/>
      <c r="BV7" s="1922" t="s">
        <v>353</v>
      </c>
      <c r="BW7" s="1922" t="s">
        <v>2634</v>
      </c>
      <c r="BX7" s="1922" t="s">
        <v>497</v>
      </c>
      <c r="BY7" s="1922" t="s">
        <v>2635</v>
      </c>
      <c r="BZ7" s="1934"/>
      <c r="CA7" s="1934"/>
      <c r="CB7" s="1934"/>
      <c r="CC7" s="3636" t="s">
        <v>499</v>
      </c>
      <c r="CD7" s="3636"/>
      <c r="CE7" s="1941">
        <f>IF(ISERROR(INDEX('Light Data '!BN3:BN381,MATCH(CJ6,'Light Data '!BL3:BL381,0))),INDEX('Light Data '!BN3:BN381,MATCH(CJ6-1,'Light Data '!BL3:BL381,0)),INDEX('Light Data '!BN3:BN381,MATCH(CJ6,'Light Data '!BL3:BL381,0)))</f>
        <v>49</v>
      </c>
      <c r="CF7" s="1633">
        <f>IF(INDEX('Light Data '!BM3:BM381,MATCH(CJ6,'Light Data '!BL3:BL381,0))="NA",INDEX('Light Data '!BM3:BM381,MATCH(CJ6-1,'Light Data '!BL3:BL381,0))+(CJ6-1),INDEX('Light Data '!BM3:BM381,MATCH(CJ6,'Light Data '!BL3:BL381,0))+CJ6)</f>
        <v>44748.818055555559</v>
      </c>
      <c r="CG7" s="1633">
        <f>IF(MEF!AE8="NONE",LOOKUP(CJ6+1,'Light Data '!A3:A381,'Light Data '!F3:F381)+1,LOOKUP(CJ6,'Light Data '!A3:A381,'Light Data '!F3:F381))</f>
        <v>44748.563888888886</v>
      </c>
      <c r="CH7" s="1633">
        <f>IF(MEF!AE10="NONE",LOOKUP(CJ6+1,'Light Data '!A3:A369,'Light Data '!G3:G369)+1,LOOKUP(CJ6,'Light Data '!A3:A369,'Light Data '!G3:G369))</f>
        <v>44748.049999999996</v>
      </c>
      <c r="CI7" s="3635" t="s">
        <v>509</v>
      </c>
      <c r="CJ7" s="3635"/>
      <c r="CK7" s="1941">
        <f>IF(ISERROR(INDEX('Light Data '!BN3:BN381,MATCH(CJ6+1,'Light Data '!BL3:BL381,0))),INDEX('Light Data '!BN3:BN381,MATCH(CJ6+2,'Light Data '!BL3:BL381,0)),INDEX('Light Data '!BN3:BN381,MATCH(CJ6+1,'Light Data '!BL3:BL381,0)))</f>
        <v>42.8</v>
      </c>
      <c r="CL7" s="1633">
        <f>IF(INDEX('Light Data '!BM3:BM381,MATCH(CJ6+1,'Light Data '!BL3:BL381,0))="NA",INDEX('Light Data '!BM3:BM381,MATCH(CJ6+2,'Light Data '!BL3:BL381,0))+CJ6+2,INDEX('Light Data '!BM3:BM381,MATCH(CJ6+1,'Light Data '!BL3:BL381,0))+CJ6+1)</f>
        <v>44749.85</v>
      </c>
      <c r="CM7" s="1633">
        <f>IF(MEF!K52="NONE",LOOKUP(CJ6+2,'Light Data '!A3:A381,'Light Data '!F3:F381),LOOKUP(CJ6+1,'Light Data '!A3:A381,'Light Data '!F3:F381))</f>
        <v>44749.609027777777</v>
      </c>
      <c r="CN7" s="1633">
        <f>IF(MEF!K53="NONE",LOOKUP(CJ6+2,'Light Data '!A3:A381,'Light Data '!G3:G381),LOOKUP(CJ6+1,'Light Data '!A3:A381,'Light Data '!G3:G381))</f>
        <v>44749.066666666666</v>
      </c>
      <c r="CO7" s="1610"/>
      <c r="CP7" s="1610"/>
    </row>
    <row r="8" spans="1:97" ht="15" customHeight="1" thickTop="1" thickBot="1">
      <c r="A8" s="527">
        <f>HOUR(C8)</f>
        <v>9</v>
      </c>
      <c r="B8" s="525">
        <f t="shared" ref="B8:B20" si="1">VALUE(TEXT(C8,"HHMM"))</f>
        <v>900</v>
      </c>
      <c r="C8" s="3639">
        <f>Worksheet!AD68</f>
        <v>44748.375</v>
      </c>
      <c r="D8" s="3639"/>
      <c r="E8" s="524">
        <f>Worksheet!AF68</f>
        <v>44748.541666666664</v>
      </c>
      <c r="F8" s="77" t="str">
        <f>IF(AND(TAF!Z7="PREDOM",E8&lt;TAF!AF7),TAF!AH7,IF(AND(TAF!Z8="PREDOM",E8&lt;TAF!AF8),TAF!AH8,IF(AND(TAF!Z9="PREDOM",E8&lt;TAF!AF9),TAF!AH9,IF(AND(TAF!Z10="PREDOM",E8&lt;TAF!AF10),TAF!AH10,IF(AND(TAF!Z11="PREDOM",E8&lt;TAF!AF11),TAF!AH11,IF(AND(TAF!Z12="PREDOM",E8&lt;TAF!AF12),TAF!AH12,IF(AND(TAF!Z13="PREDOM",E8&lt;TAF!AF13),TAF!AH13,IF(AND(TAF!Z14="PREDOM",E8&lt;TAF!AF14),TAF!AH14,IF(AND(TAF!Z15="PREDOM",E8&lt;TAF!AF15),TAF!AH15,IF(AND(TAF!Z16="PREDOM",E8&lt;TAF!AE16),TAF!AH16,IF(AND(TAF!Z17="PREDOM",E8&lt;TAF!AF17),TAF!AH17,IF(AND(TAF!Z18="PREDOM",E8&lt;TAF!AF18),TAF!AH18))))))))))))</f>
        <v>220</v>
      </c>
      <c r="G8" s="78">
        <f>IF(AND(TAF!Z7="PREDOM",E8&lt;TAF!AF7),TAF!AI7,IF(AND(TAF!Z8="PREDOM",E8&lt;TAF!AF8),TAF!AI8,IF(AND(TAF!Z9="PREDOM",E8&lt;TAF!AF9),TAF!AI9,IF(AND(TAF!Z10="PREDOM",E8&lt;TAF!AF10),TAF!AI10,IF(AND(TAF!Z11="PREDOM",E8&lt;TAF!AF11),TAF!AI11,IF(AND(TAF!Z12="PREDOM",E8&lt;TAF!AF12),TAF!AI12,IF(AND(TAF!Z13="PREDOM",E8&lt;TAF!AF13),TAF!AI13,IF(AND(TAF!Z14="PREDOM",E8&lt;TAF!AF14),TAF!AI14,IF(AND(TAF!Z15="PREDOM",E8&lt;TAF!AF15),TAF!AI15,IF(AND(TAF!Z16="PREDOM",E8&lt;TAF!AE16),TAF!AI16,IF(AND(TAF!Z17="PREDOM",E8&lt;TAF!AF17),TAF!AI17,IF(AND(TAF!Z18="PREDOM",E8&lt;TAF!AF18),TAF!AI18))))))))))))</f>
        <v>8</v>
      </c>
      <c r="H8" s="79" t="str">
        <f>IF(AND(TAF!Z7="PREDOM",E8&lt;TAF!AF7),TAF!AJ7,IF(AND(TAF!Z8="PREDOM",E8&lt;TAF!AF8),TAF!AJ8,IF(AND(TAF!Z9="PREDOM",E8&lt;TAF!AF9),TAF!AJ9,IF(AND(TAF!Z10="PREDOM",E8&lt;TAF!AF10),TAF!AJ10,IF(AND(TAF!Z11="PREDOM",E8&lt;TAF!AF11),TAF!AJ11,IF(AND(TAF!Z12="PREDOM",E8&lt;TAF!AF12),TAF!AJ12,IF(AND(TAF!Z13="PREDOM",E8&lt;TAF!AF13),TAF!AJ13,IF(AND(TAF!Z14="PREDOM",E8&lt;TAF!AF14),TAF!AJ14,IF(AND(TAF!Z15="PREDOM",E8&lt;TAF!AF15),TAF!AJ15,IF(AND(TAF!Z16="PREDOM",E8&lt;TAF!AE16),TAF!AJ16,IF(AND(TAF!Z17="PREDOM",E8&lt;TAF!AF17),TAF!AJ17,IF(AND(TAF!Z18="PREDOM",E8&lt;TAF!AF18),TAF!AJ18))))))))))))</f>
        <v/>
      </c>
      <c r="I8" s="80" t="str">
        <f>IF(AND(TAF!Z7="TEMPO",NOT(E8+0.01&lt;TAF!AC7),E8&lt;TAF!AF7),TAF!AJ7,IF(AND(TAF!Z8="TEMPO",NOT(E8+0.01&lt;TAF!AC8),E8&lt;TAF!AF8),TAF!AJ8,IF(AND(TAF!Z9="TEMPO",NOT(E8+0.01&lt;TAF!AC9),E8&lt;TAF!AF9),TAF!AJ9,IF(AND(TAF!Z10="TEMPO",NOT(E8+0.01&lt;TAF!AC10),E8&lt;TAF!AF10),TAF!AJ10,IF(AND(TAF!Z11="TEMPO",NOT(E8+0.01&lt;TAF!AC11),E8&lt;TAF!AF11),TAF!AJ11,IF(AND(TAF!Z12="TEMPO",NOT(E8+0.01&lt;TAF!AC12),E8&lt;TAF!AF12),TAF!AJ12,IF(AND(TAF!Z13="TEMPO",NOT(E8+0.01&lt;TAF!AC13),E8&lt;TAF!AF13),TAF!AJ13,IF(AND(TAF!Z14="TEMPO",NOT(E8+0.01&lt;TAF!AC14),E8&lt;TAF!AF14),TAF!AJ14,IF(AND(TAF!Z15="TEMPO",NOT(E8+0.01&lt;TAF!AC15),E8&lt;TAF!AF15),TAF!AJ15,IF(AND(TAF!Z16="TEMPO",NOT(E8+0.01&lt;TAF!AC16),E8&lt;TAF!AE16),TAF!AJ16,IF(AND(TAF!Z17="TEMPO",NOT(E8+0.01&lt;TAF!AC17),E8&lt;TAF!AF17),TAF!AJ17,IF(AND(TAF!Z18="TEMPO",NOT(E8+0.01&lt;TAF!AC18),E8&lt;TAF!AF18),TAF!AJ18,""))))))))))))</f>
        <v/>
      </c>
      <c r="J8" s="81">
        <f>IF(AND(TAF!Z7="PREDOM",E8&lt;TAF!AF7),TAF!AN7,IF(AND(TAF!Z8="PREDOM",E8&lt;TAF!AF8),TAF!AN8,IF(AND(TAF!Z9="PREDOM",E8&lt;TAF!AF9),TAF!AN9,IF(AND(TAF!Z10="PREDOM",E8&lt;TAF!AF10),TAF!AN10,IF(AND(TAF!Z11="PREDOM",E8&lt;TAF!AF11),TAF!AN11,IF(AND(TAF!Z12="PREDOM",E8&lt;TAF!AF12),TAF!AN12,IF(AND(TAF!Z13="PREDOM",E8&lt;TAF!AF13),TAF!AN13,IF(AND(TAF!Z14="PREDOM",E8&lt;TAF!AF14),TAF!AN14,IF(AND(TAF!Z15="PREDOM",E8&lt;TAF!AF15),TAF!AN15,IF(AND(TAF!Z16="PREDOM",E8&lt;TAF!AE16),TAF!AN16,IF(AND(TAF!Z17="PREDOM",E8&lt;TAF!AF17),TAF!AN17,IF(AND(TAF!Z18="PREDOM",E8&lt;TAF!AF18),TAF!AN18))))))))))))</f>
        <v>7</v>
      </c>
      <c r="K8" s="82" t="str">
        <f>IF(AND(TAF!Z7="TEMPO",NOT(E8+0.01&lt;TAF!AC7),E8-0.01&lt;TAF!AF7),TAF!AN7,IF(AND(TAF!Z8="TEMPO",NOT(E8+0.01&lt;TAF!AC8),E8-0.01&lt;TAF!AF8),TAF!AN8,IF(AND(TAF!Z9="TEMPO",NOT(E8+0.01&lt;TAF!AC9),E8-0.01&lt;TAF!AF9),TAF!AN9,IF(AND(TAF!Z10="TEMPO",NOT(E8+0.01&lt;TAF!AC10),E8-0.01&lt;TAF!AF10),TAF!AN10,IF(AND(TAF!Z11="TEMPO",NOT(E8+0.01&lt;TAF!AC11),E8-0.01&lt;TAF!AF11),TAF!AN11,IF(AND(TAF!Z12="TEMPO",NOT(E8+0.01&lt;TAF!AC12),E8-0.01&lt;TAF!AF12),TAF!AN12,IF(AND(TAF!Z13="TEMPO",NOT(E8+0.01&lt;TAF!AC13),E8-0.01&lt;TAF!AF13),TAF!AN13,IF(AND(TAF!Z14="TEMPO",NOT(E8+0.01&lt;TAF!AC14),E8-0.01&lt;TAF!AF14),TAF!AN14,IF(AND(TAF!Z15="TEMPO",NOT(E8+0.01&lt;TAF!AC15),E8-0.01&lt;TAF!AF15),TAF!AN15,IF(AND(TAF!Z16="TEMPO",NOT(E8+0.01&lt;TAF!AC16),E8-0.01&lt;TAF!AE16),TAF!AN16,IF(AND(TAF!Z17="TEMPO",NOT(E8+0.01&lt;TAF!AC17),E8-0.01&lt;TAF!AF17),TAF!AN17,IF(AND(TAF!Z18="TEMPO",NOT(E8+0.01&lt;TAF!AC18),E8-0.01&lt;TAF!AF18),TAF!AN18,""))))))))))))</f>
        <v/>
      </c>
      <c r="L8" s="83" t="str">
        <f>IF(ISNUMBER(FIND("VCTS",M8)),"VCTS",IF(ISNUMBER(FIND("TS",M8)),"TS",""))</f>
        <v/>
      </c>
      <c r="M8" s="84" t="str">
        <f>IF(AND(TAF!Z7="PREDOM",E8&lt;TAF!AF7),TAF!AP7,IF(AND(TAF!Z8="PREDOM",E8&lt;TAF!AF8),TAF!AP8,IF(AND(TAF!Z9="PREDOM",E8&lt;TAF!AF9),TAF!AP9,IF(AND(TAF!Z10="PREDOM",E8&lt;TAF!AF10),TAF!AP10,IF(AND(TAF!Z11="PREDOM",E8&lt;TAF!AF11),TAF!AP11,IF(AND(TAF!Z12="PREDOM",E8&lt;TAF!AF12),TAF!AP12,IF(AND(TAF!Z13="PREDOM",E8&lt;TAF!AF13),TAF!AP13,IF(AND(TAF!Z14="PREDOM",E8&lt;TAF!AF14),TAF!AP14,IF(AND(TAF!Z15="PREDOM",E8&lt;TAF!AF15),TAF!AP15,IF(AND(TAF!Z16="PREDOM",E8&lt;TAF!AE16),TAF!AP16,IF(AND(TAF!Z17="PREDOM",E8&lt;TAF!AF17),TAF!AP17,IF(AND(TAF!Z18="PREDOM",E8&lt;TAF!AF18),TAF!AP18))))))))))))</f>
        <v/>
      </c>
      <c r="N8" s="85" t="str">
        <f>IF(OR(ISNUMBER(FIND("DZ",M8)),ISNUMBER(FIND("RA",M8)),ISNUMBER(FIND("SN",M8)),ISNUMBER(FIND("SG",M8)),ISNUMBER(FIND("IC",M8)),ISNUMBER(FIND("PL",M8)),ISNUMBER(FIND("GS",M8))),"Y","N")</f>
        <v>N</v>
      </c>
      <c r="O8" s="85" t="str">
        <f>IF(ISNUMBER(FIND("VCTS",P8)),"VCTS",IF(ISNUMBER(FIND("TS",P8)),"TS",""))</f>
        <v/>
      </c>
      <c r="P8" s="84" t="str">
        <f>IF(AND(TAF!Z7="TEMPO",NOT(E8+0.01&lt;TAF!AC7),E8-0.01&lt;TAF!AF7),TAF!AP7,IF(AND(TAF!Z8="TEMPO",NOT(E8+0.01&lt;TAF!AC8),E8-0.01&lt;TAF!AF8),TAF!AP8,IF(AND(TAF!Z9="TEMPO",NOT(E8+0.01&lt;TAF!AC9),E8-0.01&lt;TAF!AF9),TAF!AP9,IF(AND(TAF!Z10="TEMPO",NOT(E8+0.01&lt;TAF!AC10),E8-0.01&lt;TAF!AF10),TAF!AP10,IF(AND(TAF!Z11="TEMPO",NOT(E8+0.01&lt;TAF!AC11),E8-0.01&lt;TAF!AF11),TAF!AP11,IF(AND(TAF!Z12="TEMPO",NOT(E8+0.01&lt;TAF!AC12),E8-0.01&lt;TAF!AF12),TAF!AP12,IF(AND(TAF!Z13="TEMPO",NOT(E8+0.01&lt;TAF!AC13),E8-0.01&lt;TAF!AF13),TAF!AP13,IF(AND(TAF!Z14="TEMPO",NOT(E8+0.01&lt;TAF!AC14),E8-0.01&lt;TAF!AF14),TAF!AP14,IF(AND(TAF!Z15="TEMPO",NOT(E8+0.01&lt;TAF!AC15),E8-0.01&lt;TAF!AF15),TAF!AP15,IF(AND(TAF!Z16="TEMPO",NOT(E8+0.01&lt;TAF!AC16),E8-0.01&lt;TAF!AE16),TAF!AP16,IF(AND(TAF!Z17="TEMPO",NOT(E8+0.01&lt;TAF!AC17),E8-0.01&lt;TAF!AF17),TAF!AP17,IF(AND(TAF!Z18="TEMPO",NOT(E8+0.01&lt;TAF!AC18),E8-0.01&lt;TAF!AF18),TAF!AP18,""))))))))))))</f>
        <v/>
      </c>
      <c r="Q8" s="889" t="str">
        <f t="shared" ref="Q8:Q19" si="2">IF(OR(ISNUMBER(FIND("DZ",P8)),ISNUMBER(FIND("RA",P8)),ISNUMBER(FIND("SN",P8)),ISNUMBER(FIND("SG",P8)),ISNUMBER(FIND("IC",P8)),ISNUMBER(FIND("PL",P8)),ISNUMBER(FIND("GS",P8))),"Y","N")</f>
        <v>N</v>
      </c>
      <c r="R8" s="86">
        <f>IF(AND(TAF!Z7="PREDOM",E8&lt;TAF!AF7),TAF!AW7,IF(AND(TAF!Z8="PREDOM",E8&lt;TAF!AF8),TAF!AW8,IF(AND(TAF!Z9="PREDOM",E8&lt;TAF!AF9),TAF!AW9,IF(AND(TAF!Z10="PREDOM",E8&lt;TAF!AF10),TAF!AW10,IF(AND(TAF!Z11="PREDOM",E8&lt;TAF!AF11),TAF!AW11,IF(AND(TAF!Z12="PREDOM",E8&lt;TAF!AF12),TAF!AW12,IF(AND(TAF!Z13="PREDOM",E8&lt;TAF!AF13),TAF!AW13,IF(AND(TAF!Z14="PREDOM",E8&lt;TAF!AF14),TAF!AW14,IF(AND(TAF!Z15="PREDOM",E8&lt;TAF!AF15),TAF!AW15,IF(AND(TAF!Z16="PREDOM",E8&lt;TAF!AE16),TAF!AW16,IF(AND(TAF!Z17="PREDOM",E8&lt;TAF!AF17),TAF!AW17,IF(AND(TAF!Z18="PREDOM",E8&lt;TAF!AF18),TAF!AW18))))))))))))</f>
        <v>250</v>
      </c>
      <c r="S8" s="87" t="str">
        <f>IF(AND(TAF!Z7="TEMPO",NOT(E8+0.01&lt;TAF!AC7),E8-0.01&lt;TAF!AF7),TAF!AW7,IF(AND(TAF!Z8="TEMPO",NOT(E8+0.01&lt;TAF!AC8),E8-0.01&lt;TAF!AF8),TAF!AW8,IF(AND(TAF!Z9="TEMPO",NOT(E8+0.01&lt;TAF!AC9),E8-0.01&lt;TAF!AF9),TAF!AW9,IF(AND(TAF!Z10="TEMPO",NOT(E8+0.01&lt;TAF!AC10),E8-0.01&lt;TAF!AF10),TAF!AW10,IF(AND(TAF!Z11="TEMPO",NOT(E8+0.01&lt;TAF!AC11),E8-0.01&lt;TAF!AF11),TAF!AW11,IF(AND(TAF!Z12="TEMPO",NOT(E8+0.01&lt;TAF!AC12),E8-0.01&lt;TAF!AF12),TAF!AW12,IF(AND(TAF!Z13="TEMPO",NOT(E8+0.01&lt;TAF!AC13),E8-0.01&lt;TAF!AF13),TAF!AW13,IF(AND(TAF!Z14="TEMPO",NOT(E8+0.01&lt;TAF!AC14),E8-0.01&lt;TAF!AF14),TAF!AW14,IF(AND(TAF!Z15="TEMPO",NOT(E8+0.01&lt;TAF!AC15),E8-0.01&lt;TAF!AF15),TAF!AW15,IF(AND(TAF!Z16="TEMPO",NOT(E8+0.01&lt;TAF!AC16),E8-0.01&lt;TAF!AE16),TAF!AW16,IF(AND(TAF!Z17="TEMPO",NOT(E8+0.01&lt;TAF!AC17),E8-0.01&lt;TAF!AF17),TAF!AW17,IF(AND(TAF!Z18="TEMPO",NOT(E8+0.01&lt;TAF!AC18),E8-0.01&lt;TAF!AF18),TAF!AW18,""))))))))))))</f>
        <v/>
      </c>
      <c r="T8" s="88">
        <f t="shared" ref="T8:T19" si="3">5/9*(U8-32)</f>
        <v>28.888888888888889</v>
      </c>
      <c r="U8" s="89">
        <f>Worksheet!AP68</f>
        <v>84</v>
      </c>
      <c r="V8" s="90">
        <f>Worksheet!BB68</f>
        <v>77</v>
      </c>
      <c r="W8" s="91">
        <f>IF(ROUND(U8,0)=ROUND(V8,0),1,(6.11*10^(7.5*(5/9*(V8-32))/(237.7+(5/9*(V8-32)))))/(6.11*10^(7.5*T8/(237.7+T8))))</f>
        <v>0.79616826474071245</v>
      </c>
      <c r="X8" s="92">
        <f>IF(X5="Wind Chill",IF(G8=0,U8,IF(U8&lt;56,35.74+(0.6215*U8)-(35.75*(G8^0.16))+(0.4275*U8*(G8^0.16)),"NA")),IF(X5="WBGT",1.8*((0.7*BL8)+(0.1*BN8)+(0.2*BT8))+32))</f>
        <v>87.067616301690279</v>
      </c>
      <c r="Y8" s="93">
        <f>Worksheet!BQ68</f>
        <v>29.95</v>
      </c>
      <c r="Z8" s="1890">
        <f>Worksheet!BT68</f>
        <v>728.19027356060712</v>
      </c>
      <c r="AA8" s="1890">
        <f>Worksheet!BV68</f>
        <v>2567.8749492252741</v>
      </c>
      <c r="AB8" s="94" t="str">
        <f>IF(AND(TAF!Z7="PREDOM",E8&lt;TAF!AF7),TAF!BS7,IF(AND(TAF!Z8="PREDOM",E8&lt;TAF!AF8),TAF!BS8,IF(AND(TAF!Z9="PREDOM",E8&lt;TAF!AF9),TAF!BS9,IF(AND(TAF!Z10="PREDOM",E8&lt;TAF!AF10),TAF!BS10,IF(AND(TAF!Z11="PREDOM",E8&lt;TAF!AF11),TAF!BS11,IF(AND(TAF!Z12="PREDOM",E8&lt;TAF!AF12),TAF!BS12,IF(AND(TAF!Z13="PREDOM",E8&lt;TAF!AF13),TAF!BS13,IF(AND(TAF!Z14="PREDOM",E8&lt;TAF!AF14),TAF!BS14,IF(AND(TAF!Z15="PREDOM",E8&lt;TAF!AF15),TAF!BS15,IF(AND(TAF!Z16="PREDOM",E8&lt;TAF!AE16),TAF!BS16,IF(AND(TAF!Z17="PREDOM",E8&lt;TAF!AF17),TAF!BS17,IF(AND(TAF!Z18="PREDOM",E8&lt;TAF!AF18),TAF!BS18))))))))))))</f>
        <v/>
      </c>
      <c r="AC8" s="898" t="str">
        <f>IF(AB8="","",IF(AND(TAF!$Z$7="PREDOM",E8&lt;TAF!$AF$7),TAF!$BT$7,IF(AND(TAF!$Z$8="PREDOM",E8&lt;TAF!$AF$8),TAF!$BT$8,IF(AND(TAF!$Z$9="PREDOM",E8&lt;TAF!$AF$9),TAF!$BT$9,IF(AND(TAF!$Z$10="PREDOM",E8&lt;TAF!$AF$10),TAF!$BT$10,IF(AND(TAF!$Z$11="PREDOM",E8&lt;TAF!$AF$11),TAF!$BT$11,IF(AND(TAF!$Z$12="PREDOM",E8&lt;TAF!$AF$12),TAF!$BT$12,IF(AND(TAF!$Z$13="PREDOM",E8&lt;TAF!$AF$13),TAF!$BT$13,IF(AND(TAF!$Z$14="PREDOM",E8&lt;TAF!$AF$14),TAF!$BT$14,IF(AND(TAF!$Z$15="PREDOM",E8&lt;TAF!$AF$15),TAF!$BT$15,IF(AND(TAF!$Z$16="PREDOM",E8&lt;TAF!AE16),TAF!$BT$16,IF(AND(TAF!$Z$17="PREDOM",E8&lt;TAF!$AF$17),TAF!$BT$17,IF(AND(TAF!$Z$18="PREDOM",E8&lt;TAF!$AF$18),TAF!$BT$18)))))))))))))</f>
        <v/>
      </c>
      <c r="AD8" s="903" t="str">
        <f>IF(AB8="","",IF(AND(TAF!$Z$7="PREDOM",E8&lt;TAF!$AF$7),TAF!$BU$7,IF(AND(TAF!$Z$8="PREDOM",E8&lt;TAF!$AF$8),TAF!$BU$8,IF(AND(TAF!$Z$9="PREDOM",E8&lt;TAF!$AF$9),TAF!$BU$9,IF(AND(TAF!$Z$10="PREDOM",E8&lt;TAF!$AF$10),TAF!$BU$10,IF(AND(TAF!$Z$11="PREDOM",E8&lt;TAF!$AF$11),TAF!$BU$11,IF(AND(TAF!$Z$12="PREDOM",E8&lt;TAF!$AF$12),TAF!$BU$12,IF(AND(TAF!$Z$13="PREDOM",E8&lt;TAF!$AF$13),TAF!$BU$13,IF(AND(TAF!$Z$14="PREDOM",E8&lt;TAF!$AF$14),TAF!$BU$14,IF(AND(TAF!$Z$15="PREDOM",E8&lt;TAF!$AF$15),TAF!$BU$15,IF(AND(TAF!$Z$16="PREDOM",E8&lt;TAF!AE16),TAF!$BU$16,IF(AND(TAF!$Z$17="PREDOM",E8&lt;TAF!$AF$17),TAF!$BU$17,IF(AND(TAF!$Z$18="PREDOM",E8&lt;TAF!$AF$18),TAF!$BU$18)))))))))))))</f>
        <v/>
      </c>
      <c r="AE8" s="94" t="str">
        <f>IF(AND(TAF!Z7="PREDOM",E8&lt;TAF!AF7),TAF!BV7,IF(AND(TAF!Z8="PREDOM",E8&lt;TAF!AF8),TAF!BV8,IF(AND(TAF!Z9="PREDOM",E8&lt;TAF!AF9),TAF!BV9,IF(AND(TAF!Z10="PREDOM",E8&lt;TAF!AF10),TAF!BV10,IF(AND(TAF!Z11="PREDOM",E8&lt;TAF!AF11),TAF!BV11,IF(AND(TAF!Z12="PREDOM",E8&lt;TAF!AF12),TAF!BV12,IF(AND(TAF!Z13="PREDOM",E8&lt;TAF!AF13),TAF!BV13,IF(AND(TAF!Z14="PREDOM",E8&lt;TAF!AF14),TAF!BV14,IF(AND(TAF!Z15="PREDOM",E8&lt;TAF!AF15),TAF!BV15,IF(AND(TAF!Z16="PREDOM",E8&lt;TAF!AE16),TAF!BV16,IF(AND(TAF!Z17="PREDOM",E8&lt;TAF!AF17),TAF!BV17,IF(AND(TAF!Z18="PREDOM",E8&lt;TAF!AF18),TAF!BV18))))))))))))</f>
        <v/>
      </c>
      <c r="AF8" s="898" t="str">
        <f>IF(AE8="","",IF(AND(TAF!$Z$7="PREDOM",E8&lt;TAF!$AF$7),TAF!$BW$7,IF(AND(TAF!$Z$8="PREDOM",E8&lt;TAF!$AF$8),TAF!$BW$8,IF(AND(TAF!$Z$9="PREDOM",E8&lt;TAF!$AF$9),TAF!$BW$9,IF(AND(TAF!$Z$10="PREDOM",E8&lt;TAF!$AF$10),TAF!$BW$10,IF(AND(TAF!$Z$11="PREDOM",E8&lt;TAF!$AF$11),TAF!$BW$11,IF(AND(TAF!$Z$12="PREDOM",E8&lt;TAF!$AF$12),TAF!$BW$12,IF(AND(TAF!$Z$13="PREDOM",E8&lt;TAF!$AF$13),TAF!$BW$13,IF(AND(TAF!$Z$14="PREDOM",E8&lt;TAF!$AF$14),TAF!$BW$14,IF(AND(TAF!$Z$15="PREDOM",E8&lt;TAF!$AF$15),TAF!$BW$15,IF(AND(TAF!$Z$16="PREDOM",E8&lt;TAF!AE16),TAF!$BW$16,IF(AND(TAF!$Z$17="PREDOM",E8&lt;TAF!$AF$17),TAF!$BW$17,IF(AND(TAF!$Z$18="PREDOM",E8&lt;TAF!$AF$18),TAF!$BW$18)))))))))))))</f>
        <v/>
      </c>
      <c r="AG8" s="903" t="str">
        <f>IF(AE8="","",IF(AND(TAF!$Z$7="PREDOM",E8&lt;TAF!$AF$7),TAF!$BX$7,IF(AND(TAF!$Z$8="PREDOM",E8&lt;TAF!$AF$8),TAF!$BX$8,IF(AND(TAF!$Z$9="PREDOM",E8&lt;TAF!$AF$9),TAF!$BX$9,IF(AND(TAF!$Z$10="PREDOM",E8&lt;TAF!$AF$10),TAF!$BX$10,IF(AND(TAF!$Z$11="PREDOM",E8&lt;TAF!$AF$11),TAF!$BX$11,IF(AND(TAF!$Z$12="PREDOM",E8&lt;TAF!$AF$12),TAF!$BX$12,IF(AND(TAF!$Z$13="PREDOM",E8&lt;TAF!$AF$13),TAF!$BX$13,IF(AND(TAF!$Z$14="PREDOM",E8&lt;TAF!$AF$14),TAF!$BX$14,IF(AND(TAF!$Z$15="PREDOM",E8&lt;TAF!$AF$15),TAF!$BX$15,IF(AND(TAF!$Z$16="PREDOM",E8&lt;TAF!AE16),TAF!$BX$16,IF(AND(TAF!$Z$17="PREDOM",E8&lt;TAF!$AF$17),TAF!$BX$17,IF(AND(TAF!$Z$18="PREDOM",E8&lt;TAF!$AF$18),TAF!$BX$18)))))))))))))</f>
        <v/>
      </c>
      <c r="AH8" s="892" t="str">
        <f>IF(AND(TAF!$Z$7="PREDOM",E8&lt;TAF!$AF$7),TAF!$BY$7,IF(AND(TAF!$Z$8="PREDOM",E8&lt;TAF!$AF$8),TAF!$BY$8,IF(AND(TAF!$Z$9="PREDOM",E8&lt;TAF!$AF$9),TAF!$BY$9,IF(AND(TAF!$Z$10="PREDOM",E8&lt;TAF!$AF$10),TAF!$BY$10,IF(AND(TAF!$Z$11="PREDOM",E8&lt;TAF!$AF$11),TAF!$BY$11,IF(AND(TAF!$Z$12="PREDOM",E8&lt;TAF!$AF$12),TAF!$BY$12,IF(AND(TAF!$Z$13="PREDOM",E8&lt;TAF!$AF$13),TAF!$BY$13,IF(AND(TAF!$Z$14="PREDOM",E8&lt;TAF!$AF$14),TAF!$BY$14,IF(AND(TAF!$Z$15="PREDOM",E8&lt;TAF!$AF$15),TAF!$BY$15,IF(AND(TAF!$Z$16="PREDOM",E8&lt;TAF!$AF$16),TAF!$BY$16,IF(AND(TAF!$Z$17="PREDOM",E8&lt;TAF!$AF$17),TAF!$BY$17,IF(AND(TAF!$Z$18="PREDOM",E8&lt;TAF!$AF$18),TAF!$BY$18))))))))))))</f>
        <v/>
      </c>
      <c r="AI8" s="898" t="str">
        <f>IF(AH8="","",IF(AND(TAF!$Z$7="PREDOM",E8&lt;TAF!$AF$7),TAF!$BZ$7,IF(AND(TAF!$Z$8="PREDOM",E8&lt;TAF!$AF$8),TAF!$BZ$8,IF(AND(TAF!$Z$9="PREDOM",E8&lt;TAF!$AF$9),TAF!$BZ$9,IF(AND(TAF!$Z$10="PREDOM",E8&lt;TAF!$AF$10),TAF!$BZ$10,IF(AND(TAF!$Z$11="PREDOM",E8&lt;TAF!$AF$11),TAF!$BZ$11,IF(AND(TAF!$Z$12="PREDOM",E8&lt;TAF!$AF$12),TAF!$BZ$12,IF(AND(TAF!$Z$13="PREDOM",E8&lt;TAF!$AF$13),TAF!$BZ$13,IF(AND(TAF!$Z$14="PREDOM",E8&lt;TAF!$AF$14),TAF!$BZ$14,IF(AND(TAF!$Z$15="PREDOM",E8&lt;TAF!$AF$15),TAF!$BZ$15,IF(AND(TAF!$Z$16="PREDOM",E8&lt;TAF!AE16),TAF!$BZ$16,IF(AND(TAF!$Z$17="PREDOM",E8&lt;TAF!$AF$17),TAF!$BZ$17,IF(AND(TAF!$Z$18="PREDOM",E8&lt;TAF!$AF$18),TAF!$BZ$18)))))))))))))</f>
        <v/>
      </c>
      <c r="AJ8" s="903" t="str">
        <f>IF(AH8="","",IF(AND(TAF!$Z$7="PREDOM",E8&lt;TAF!$AF$7),TAF!$CA$7,IF(AND(TAF!$Z$8="PREDOM",E8&lt;TAF!$AF$8),TAF!$CA$8,IF(AND(TAF!$Z$9="PREDOM",E8&lt;TAF!$AF$9),TAF!$CA$9,IF(AND(TAF!$Z$10="PREDOM",E8&lt;TAF!$AF$10),TAF!$CA$10,IF(AND(TAF!$Z$11="PREDOM",E8&lt;TAF!$AF$11),TAF!$CA$11,IF(AND(TAF!$Z$12="PREDOM",E8&lt;TAF!$AF$12),TAF!$CA$12,IF(AND(TAF!$Z$13="PREDOM",E8&lt;TAF!$AF$13),TAF!$CA$13,IF(AND(TAF!$Z$14="PREDOM",E8&lt;TAF!$AF$14),TAF!$CA$14,IF(AND(TAF!$Z$15="PREDOM",E8&lt;TAF!$AF$15),TAF!$CA$15,IF(AND(TAF!$Z$16="PREDOM",E8&lt;TAF!AE16),TAF!$CA$16,IF(AND(TAF!$Z$17="PREDOM",E8&lt;TAF!$AF$17),TAF!$CA$17,IF(AND(TAF!$Z$18="PREDOM",E8&lt;TAF!$AF$18),TAF!$CA$18)))))))))))))</f>
        <v/>
      </c>
      <c r="AK8" s="95" t="str">
        <f>IF(AND(TAF!Z7="TEMPO",NOT(E8+0.01&lt;TAF!AC7),E8-0.01&lt;TAF!AF7),TAF!CB7,IF(AND(TAF!Z8="TEMPO",NOT(E8+0.01&lt;TAF!AC8),E8-0.01&lt;TAF!AF8),TAF!CB8,IF(AND(TAF!Z9="TEMPO",NOT(E8+0.01&lt;TAF!AC9),E8-0.01&lt;TAF!AF9),TAF!CB9,IF(AND(TAF!Z10="TEMPO",NOT(E8+0.01&lt;TAF!AC10),E8-0.01&lt;TAF!AF10),TAF!CB10,IF(AND(TAF!Z11="TEMPO",NOT(E8+0.01&lt;TAF!AC11),E8-0.01&lt;TAF!AF11),TAF!CB11,IF(AND(TAF!Z12="TEMPO",NOT(E8+0.01&lt;TAF!AC12),E8-0.01&lt;TAF!AF12),TAF!CB12,IF(AND(TAF!Z13="TEMPO",NOT(E8+0.01&lt;TAF!AC13),E8-0.01&lt;TAF!AF13),TAF!CB13,IF(AND(TAF!Z14="TEMPO",NOT(E8+0.01&lt;TAF!AC14),E8-0.01&lt;TAF!AF14),TAF!CB14,IF(AND(TAF!Z15="TEMPO",NOT(E8+0.01&lt;TAF!AC15),E8-0.01&lt;TAF!AF15),TAF!CB15,IF(AND(TAF!Z16="TEMPO",NOT(E8+0.01&lt;TAF!AC16),E8-0.01&lt;TAF!AE16),TAF!CB16,IF(AND(TAF!Z17="TEMPO",NOT(E8+0.01&lt;TAF!AC17),E8-0.01&lt;TAF!AF17),TAF!CB17,IF(AND(TAF!Z18="TEMPO",NOT(E8+0.01&lt;TAF!AC18),E8-0.01&lt;TAF!AF18),TAF!CB18,""))))))))))))</f>
        <v/>
      </c>
      <c r="AL8" s="94" t="str">
        <f>IF(AND(TAF!Z7="PREDOM",E8&lt;TAF!AF7),TAF!BG7,IF(AND(TAF!Z8="PREDOM",E8&lt;TAF!AF8),TAF!BG8,IF(AND(TAF!Z9="PREDOM",E8&lt;TAF!AF9),TAF!BG9,IF(AND(TAF!Z10="PREDOM",E8&lt;TAF!AF10),TAF!BG10,IF(AND(TAF!Z11="PREDOM",E8&lt;TAF!AF11),TAF!BG11,IF(AND(TAF!Z12="PREDOM",E8&lt;TAF!AF12),TAF!BG12,IF(AND(TAF!Z13="PREDOM",E8&lt;TAF!AF13),TAF!BG13,IF(AND(TAF!Z14="PREDOM",E8&lt;TAF!AF14),TAF!BG14,IF(AND(TAF!Z15="PREDOM",E8&lt;TAF!AF15),TAF!BG15,IF(AND(TAF!Z16="PREDOM",E8&lt;TAF!AE16),TAF!BG16,IF(AND(TAF!Z17="PREDOM",E8&lt;TAF!AF17),TAF!BG17,IF(AND(TAF!Z18="PREDOM",E8&lt;TAF!AF18),TAF!BG18))))))))))))</f>
        <v/>
      </c>
      <c r="AM8" s="898" t="str">
        <f>IF(AL8="","",IF(AND(TAF!Z7="PREDOM",E8&lt;TAF!AF7),TAF!BH7,IF(AND(TAF!Z8="PREDOM",E8&lt;TAF!AF8),TAF!BH8,IF(AND(TAF!Z9="PREDOM",E8&lt;TAF!AF9),TAF!BH9,IF(AND(TAF!Z10="PREDOM",E8&lt;TAF!AF10),TAF!BH10,IF(AND(TAF!Z11="PREDOM",E8&lt;TAF!AF11),TAF!BH11,IF(AND(TAF!Z12="PREDOM",E8&lt;TAF!AF12),TAF!BH12,IF(AND(TAF!Z13="PREDOM",E8&lt;TAF!AF13),TAF!BH13,IF(AND(TAF!Z14="PREDOM",E8&lt;TAF!AF14),TAF!BH14,IF(AND(TAF!Z15="PREDOM",E8&lt;TAF!AF15),TAF!BH15,IF(AND(TAF!Z16="PREDOM",E8&lt;TAF!AE16),TAF!BH16,IF(AND(TAF!Z17="PREDOM",E8&lt;TAF!AF17),TAF!BH17,IF(AND(TAF!Z18="PREDOM",E8&lt;TAF!AF18),TAF!BH18)))))))))))))</f>
        <v/>
      </c>
      <c r="AN8" s="903" t="str">
        <f>IF(AL8="","",IF(AND(TAF!Z7="PREDOM",E8&lt;TAF!AF7),TAF!BI7,IF(AND(TAF!Z8="PREDOM",E8&lt;TAF!AF8),TAF!BI8,IF(AND(TAF!Z9="PREDOM",E8&lt;TAF!AF9),TAF!BI9,IF(AND(TAF!Z10="PREDOM",E8&lt;TAF!AF10),TAF!BI10,IF(AND(TAF!Z11="PREDOM",E8&lt;TAF!AF11),TAF!BI11,IF(AND(TAF!Z12="PREDOM",E8&lt;TAF!AF12),TAF!BI12,IF(AND(TAF!Z13="PREDOM",E8&lt;TAF!AF13),TAF!BI13,IF(AND(TAF!Z14="PREDOM",E8&lt;TAF!AF14),TAF!BI14,IF(AND(TAF!Z15="PREDOM",E8&lt;TAF!AF15),TAF!BI15,IF(AND(TAF!Z16="PREDOM",E8&lt;TAF!AE16),TAF!BI16,IF(AND(TAF!Z17="PREDOM",E8&lt;TAF!AF17),TAF!BI17,IF(AND(TAF!Z18="PREDOM",E8&lt;TAF!AF18),TAF!BI18)))))))))))))</f>
        <v/>
      </c>
      <c r="AO8" s="94" t="str">
        <f>IF(AND(TAF!Z7="PREDOM",E8&lt;TAF!AF7),TAF!BJ7,IF(AND(TAF!Z8="PREDOM",E8&lt;TAF!AF8),TAF!BJ8,IF(AND(TAF!Z9="PREDOM",E8&lt;TAF!AF9),TAF!BJ9,IF(AND(TAF!Z10="PREDOM",E8&lt;TAF!AF10),TAF!BJ10,IF(AND(TAF!Z11="PREDOM",E8&lt;TAF!AF11),TAF!BJ11,IF(AND(TAF!Z12="PREDOM",E8&lt;TAF!AF12),TAF!BJ12,IF(AND(TAF!Z13="PREDOM",E8&lt;TAF!AF13),TAF!BJ13,IF(AND(TAF!Z14="PREDOM",E8&lt;TAF!AF14),TAF!BJ14,IF(AND(TAF!Z15="PREDOM",E8&lt;TAF!AF15),TAF!BJ15,IF(AND(TAF!Z16="PREDOM",E8&lt;TAF!AE16),TAF!BJ16,IF(AND(TAF!Z17="PREDOM",E8&lt;TAF!AF17),TAF!BJ17,IF(AND(TAF!Z18="PREDOM",E8&lt;TAF!AF18),TAF!BJ18))))))))))))</f>
        <v/>
      </c>
      <c r="AP8" s="910" t="str">
        <f>IF(AO8="","",IF(AND(TAF!Z7="PREDOM",E8&lt;TAF!AF7),TAF!BK7,IF(AND(TAF!Z8="PREDOM",E8&lt;TAF!AF8),TAF!BK8,IF(AND(TAF!Z9="PREDOM",E8&lt;TAF!AF9),TAF!BK9,IF(AND(TAF!Z10="PREDOM",E8&lt;TAF!AF10),TAF!BK10,IF(AND(TAF!Z11="PREDOM",E8&lt;TAF!AF11),TAF!BK11,IF(AND(TAF!Z12="PREDOM",E8&lt;TAF!AF12),TAF!BK12,IF(AND(TAF!Z13="PREDOM",E8&lt;TAF!AF13),TAF!BK13,IF(AND(TAF!Z14="PREDOM",E8&lt;TAF!AF14),TAF!BK14,IF(AND(TAF!Z15="PREDOM",E8&lt;TAF!AF15),TAF!BK15,IF(AND(TAF!Z16="PREDOM",E8&lt;TAF!AE16),TAF!BK16,IF(AND(TAF!Z17="PREDOM",E8&lt;TAF!AF17),TAF!BK17,IF(AND(TAF!Z18="PREDOM",E8&lt;TAF!AF18),TAF!BK18)))))))))))))</f>
        <v/>
      </c>
      <c r="AQ8" s="906" t="str">
        <f>IF(AO8="","",IF(AND(TAF!Z7="PREDOM",E8&lt;TAF!AF7),TAF!BL7,IF(AND(TAF!Z8="PREDOM",E8&lt;TAF!AF8),TAF!BL8,IF(AND(TAF!Z9="PREDOM",E8&lt;TAF!AF9),TAF!BL9,IF(AND(TAF!Z10="PREDOM",E8&lt;TAF!AF10),TAF!BL10,IF(AND(TAF!Z11="PREDOM",E8&lt;TAF!AF11),TAF!BL11,IF(AND(TAF!Z12="PREDOM",E8&lt;TAF!AF12),TAF!BL12,IF(AND(TAF!Z13="PREDOM",E8&lt;TAF!AF13),TAF!BL13,IF(AND(TAF!Z14="PREDOM",E8&lt;TAF!AF14),TAF!BL14,IF(AND(TAF!Z15="PREDOM",E8&lt;TAF!AF15),TAF!BL15,IF(AND(TAF!Z16="PREDOM",E8&lt;TAF!AE16),TAF!BL16,IF(AND(TAF!Z17="PREDOM",E8&lt;TAF!AF17),TAF!BL17,IF(AND(TAF!Z18="PREDOM",E8&lt;TAF!AF18),TAF!BL18)))))))))))))</f>
        <v/>
      </c>
      <c r="AR8" s="892" t="str">
        <f>IF(AND(TAF!Z7="PREDOM",E8&lt;TAF!AF7),TAF!BM7,IF(AND(TAF!Z8="PREDOM",E8&lt;TAF!AF8),TAF!BM8,IF(AND(TAF!Z9="PREDOM",E8&lt;TAF!AF9),TAF!BM9,IF(AND(TAF!Z10="PREDOM",E8&lt;TAF!AF10),TAF!BM10,IF(AND(TAF!Z11="PREDOM",E8&lt;TAF!AF11),TAF!BM11,IF(AND(TAF!Z12="PREDOM",E8&lt;TAF!AF12),TAF!BM12,IF(AND(TAF!Z13="PREDOM",E8&lt;TAF!AF13),TAF!BM13,IF(AND(TAF!Z14="PREDOM",E8&lt;TAF!AF14),TAF!BM14,IF(AND(TAF!Z15="PREDOM",E8&lt;TAF!AF15),TAF!BM15,IF(AND(TAF!Z16="PREDOM",E8&lt;TAF!AE16),TAF!BM16,IF(AND(TAF!Z17="PREDOM",E8&lt;TAF!AF17),TAF!BM17,IF(AND(TAF!Z18="PREDOM",E8&lt;TAF!AF18),TAF!BM18))))))))))))</f>
        <v/>
      </c>
      <c r="AS8" s="910" t="str">
        <f>IF(AR8="","",IF(AND(TAF!Z7="PREDOM",E8&lt;TAF!AF7),TAF!BN7,IF(AND(TAF!Z8="PREDOM",E8&lt;TAF!AF8),TAF!BN8,IF(AND(TAF!Z9="PREDOM",E8&lt;TAF!AF9),TAF!BN9,IF(AND(TAF!Z10="PREDOM",E8&lt;TAF!AF10),TAF!BN10,IF(AND(TAF!Z11="PREDOM",E8&lt;TAF!AF11),TAF!BN11,IF(AND(TAF!Z12="PREDOM",E8&lt;TAF!AF12),TAF!BN12,IF(AND(TAF!Z13="PREDOM",E8&lt;TAF!AF13),TAF!BN13,IF(AND(TAF!Z14="PREDOM",E8&lt;TAF!AF14),TAF!BN14,IF(AND(TAF!Z15="PREDOM",E8&lt;TAF!AF15),TAF!BN15,IF(AND(TAF!Z16="PREDOM",E8&lt;TAF!AE16),TAF!BN16,IF(AND(TAF!Z17="PREDOM",E8&lt;TAF!AF17),TAF!BN17,IF(AND(TAF!Z18="PREDOM",E8&lt;TAF!AF18),TAF!BN18)))))))))))))</f>
        <v/>
      </c>
      <c r="AT8" s="906" t="str">
        <f>IF(AR8="","",IF(AND(TAF!Z7="PREDOM",E8&lt;TAF!AF7),TAF!BO7,IF(AND(TAF!Z8="PREDOM",E8&lt;TAF!AF8),TAF!BO8,IF(AND(TAF!Z9="PREDOM",E8&lt;TAF!AF9),TAF!BO9,IF(AND(TAF!Z10="PREDOM",E8&lt;TAF!AF10),TAF!BO10,IF(AND(TAF!Z11="PREDOM",E8&lt;TAF!AF11),TAF!BO11,IF(AND(TAF!Z12="PREDOM",E8&lt;TAF!AF12),TAF!BO12,IF(AND(TAF!Z13="PREDOM",E8&lt;TAF!AF13),TAF!BO13,IF(AND(TAF!Z14="PREDOM",E8&lt;TAF!AF14),TAF!BO14,IF(AND(TAF!Z15="PREDOM",E8&lt;TAF!AF15),TAF!BO15,IF(AND(TAF!Z16="PREDOM",E8&lt;TAF!AE16),TAF!BO16,IF(AND(TAF!Z17="PREDOM",E8&lt;TAF!AF17),TAF!BO17,IF(AND(TAF!Z18="PREDOM",E8&lt;TAF!AF18),TAF!BO18)))))))))))))</f>
        <v/>
      </c>
      <c r="AU8" s="95" t="str">
        <f>IF(AND(TAF!Z7="TEMPO",NOT(E8+0.01&lt;TAF!AC7),E8-0.01&lt;TAF!AF7),TAF!BP7,IF(AND(TAF!Z8="TEMPO",NOT(E8+0.01&lt;TAF!AC8),E8-0.01&lt;TAF!AF8),TAF!BP8,IF(AND(TAF!Z9="TEMPO",NOT(E8+0.01&lt;TAF!AC9),E8-0.01&lt;TAF!AF9),TAF!BP9,IF(AND(TAF!Z10="TEMPO",NOT(E8+0.01&lt;TAF!AC10),E8-0.01&lt;TAF!AF10),TAF!BP10,IF(AND(TAF!Z11="TEMPO",NOT(E8+0.01&lt;TAF!AC11),E8-0.01&lt;TAF!AF11),TAF!BP11,IF(AND(TAF!Z12="TEMPO",NOT(E8+0.01&lt;TAF!AC12),E8-0.01&lt;TAF!AF12),TAF!BP12,IF(AND(TAF!Z13="TEMPO",NOT(E8+0.01&lt;TAF!AC13),E8-0.01&lt;TAF!AF13),TAF!BP13,IF(AND(TAF!Z14="TEMPO",NOT(E8+0.01&lt;TAF!AC14),E8-0.01&lt;TAF!AF14),TAF!BP14,IF(AND(TAF!Z15="TEMPO",NOT(E8+0.01&lt;TAF!AC15),E8-0.01&lt;TAF!AF15),TAF!BP15,IF(AND(TAF!Z16="TEMPO",NOT(E8+0.01&lt;TAF!AC16),E8-0.01&lt;TAF!AE16),TAF!BP16,IF(AND(TAF!Z17="TEMPO",NOT(E8+0.01&lt;TAF!AC17),E8-0.01&lt;TAF!AF17),TAF!BP17,IF(AND(TAF!Z18="TEMPO",NOT(E8+0.01&lt;TAF!AC18),E8-0.01&lt;TAF!AF18),TAF!BP18,""))))))))))))</f>
        <v/>
      </c>
      <c r="AV8" s="96" t="str">
        <f>IF(AND(TAF!Z7="PREDOM",E8&lt;TAF!AF7),TAF!CD7,IF(AND(TAF!Z8="PREDOM",E8&lt;TAF!AF8),TAF!CD8,IF(AND(TAF!Z9="PREDOM",E8&lt;TAF!AF9),TAF!CD9,IF(AND(TAF!Z10="PREDOM",E8&lt;TAF!AF10),TAF!CD10,IF(AND(TAF!Z11="PREDOM",E8&lt;TAF!AF11),TAF!CD11,IF(AND(TAF!Z12="PREDOM",E8&lt;TAF!AF12),TAF!CD12,IF(AND(TAF!Z13="PREDOM",E8&lt;TAF!AF13),TAF!CD13,IF(AND(TAF!Z14="PREDOM",E8&lt;TAF!AF14),TAF!CD14,IF(AND(TAF!Z15="PREDOM",E8&lt;TAF!AF15),TAF!CD15,IF(AND(TAF!Z16="PREDOM",E8&lt;TAF!AE16),TAF!CD16,IF(AND(TAF!Z17="PREDOM",E8&lt;TAF!AF17),TAF!CD17,IF(AND(TAF!Z18="PREDOM",E8&lt;TAF!AF18),TAF!CD18))))))))))))</f>
        <v/>
      </c>
      <c r="AW8" s="97" t="str">
        <f>IF(AND(TAF!Z7="TEMPO",NOT(E8+0.01&lt;TAF!AC7),E8-0.01&lt;TAF!AF7),TAF!CD7,IF(AND(TAF!Z8="TEMPO",NOT(E8+0.01&lt;TAF!AC8),E8-0.01&lt;TAF!AF8),TAF!CD8,IF(AND(TAF!Z9="TEMPO",NOT(E8+0.01&lt;TAF!AC9),E8-0.01&lt;TAF!AF9),TAF!CD9,IF(AND(TAF!Z10="TEMPO",NOT(E8+0.01&lt;TAF!AC10),E8-0.01&lt;TAF!AF10),TAF!CD10,IF(AND(TAF!Z11="TEMPO",NOT(E8+0.01&lt;TAF!AC11),E8-0.01&lt;TAF!AF11),TAF!CD11,IF(AND(TAF!Z12="TEMPO",NOT(E8+0.01&lt;TAF!AC12),E8-0.01&lt;TAF!AF12),TAF!CD12,IF(AND(TAF!Z13="TEMPO",NOT(E8+0.01&lt;TAF!AC13),E8-0.01&lt;TAF!AF13),TAF!CD13,IF(AND(TAF!Z14="TEMPO",NOT(E8+0.01&lt;TAF!AC14),E8-0.01&lt;TAF!AF14),TAF!CD14,IF(AND(TAF!Z15="TEMPO",NOT(E8+0.01&lt;TAF!AC15),E8-0.01&lt;TAF!AF15),TAF!CD15,IF(AND(TAF!Z16="TEMPO",NOT(E8+0.01&lt;TAF!AC16),E8-0.01&lt;TAF!AE16),TAF!CD16,IF(AND(TAF!Z17="TEMPO",NOT(E8+0.01&lt;TAF!AC17),E8-0.01&lt;TAF!AF17),TAF!CD17,IF(AND(TAF!Z18="TEMPO",NOT(E8+0.01&lt;TAF!AC18),E8-0.01&lt;TAF!AF18),TAF!CD18,""))))))))))))</f>
        <v/>
      </c>
      <c r="AX8" s="98" t="str">
        <f>IF(OR(AND(H8&lt;&gt;"",H8&gt;(MLT!$E$5-1)),J8&lt;(MLT!$E$8+0.01),L8="TS",O8="TS",R8&lt;(MLT!$E$9),AND(AB8&lt;&gt;"",AB8&gt;(MLT!$E$6-1)),AL8=MLT!$E$7,AL8=MLT!$F$7),"R",IF(OR(AND(H8&lt;&gt;"",H8&gt;(MLT!$H$5-1)),AND(I8&lt;&gt;"",I8&gt;(MLT!$H$5-1)),J8&lt;MLT!$H$8,K8&lt;MLT!$H$8,L8=MLT!$H$10,O8=MLT!$E$10,O8=MLT!$H$10,R8&lt;MLT!$H$9,S8&lt;MLT!$H$9,AND(AB8&lt;&gt;"",AB8&gt;0),AND(AE8&lt;&gt;"",AE8&gt;0),AND(AH8&lt;&gt;"",AH8&gt;0),AND(AK8&lt;&gt;"",AK8&gt;0),AND(AL8&lt;&gt;"",AL8&lt;&gt;4,AL8&gt;2),AND(AO8&lt;&gt;"",AO8&lt;&gt;4,AO8&gt;2),AND(AR8&lt;&gt;"",AR8&lt;&gt;4,AR8&gt;2),AND(AU8&lt;&gt;"",AU8&lt;&gt;4,AU8&gt;2)),"Y","G"))</f>
        <v>G</v>
      </c>
      <c r="AY8" s="99" t="str">
        <f>IF(OR(AND(H8&lt;&gt;"",H8&gt;(MLT!$E$13-1)),J8&lt;MLT!$E$17,R8&lt;MLT!$E$19,L8="TS",O8="TS",AND(AB8&lt;&gt;"",AB8&gt;3,AC8&lt;30),AND(AE8&lt;&gt;"",AE8&gt;3,AF8&lt;30),AND(AH8&lt;&gt;"",AH8&gt;3,AI8&lt;30),AND(OR(AL8=7,AL8=9),AM8&lt;30),AND(OR(AO8=7,AO8=9),AP8&lt;30),AND(OR(AR8=7,AR8=9),AS8&lt;30)),"R",IF(OR(AND(H8&lt;&gt;"",H8&gt;(MLT!$H$13-1)),AND(I8&lt;&gt;"",I8&gt;(MLT!$H$13-1)),J8&lt;MLT!$H$17,K8&lt;MLT!$H$17,R8&lt;MLT!$H$19,S8&lt;MLT!$H$19,L8="VCTS",O8="VCTS",AND(AB8&lt;&gt;"",AB8&gt;1),AND(AK8&lt;&gt;"",AK8&gt;0),AND(AL8&lt;&gt;"",AL8&gt;1),AND(AO8&lt;&gt;"",AO8&gt;1),AND(AR8&lt;&gt;"",AR8&gt;1),AU8=3,AND(AU8&lt;&gt;"",AU8&gt;4),AV8="LLWS",AW8="LLWS"),"Y","G"))</f>
        <v>G</v>
      </c>
      <c r="AZ8" s="99" t="str">
        <f>IF(OR(AND(H8&lt;&gt;"",H8&gt;(MLT!$E$13-1)),J8&lt;MLT!$E$16,R8&lt;MLT!$E$18,L8="TS",O8="TS",AND(AB8&lt;&gt;"",AB8&gt;3,AC8&lt;30),AND(AE8&lt;&gt;"",AE8&gt;3,AF8&lt;30),AND(AH8&lt;&gt;"",AH8&gt;3,AI8&lt;30),AND(OR(AL8=7,AL8=9),AM8&lt;30),AND(OR(AO8=7,AO8=9),AP8&lt;30),AND(OR(AR8=7,AR8=9),AS8&lt;30)),"R",IF(OR(AND(H8&lt;&gt;"",H8&gt;(MLT!$H$13-1)),AND(I8&lt;&gt;"",I8&gt;(MLT!$H$13-1)),J8&lt;MLT!$H$17,K8&lt;MLT!$H$17,R8&lt;MLT!$H$19,S8&lt;MLT!$H$19,L8="VCTS",O8="VCTS",AND(AB8&lt;&gt;"",AB8&gt;1),AND(AK8&lt;&gt;"",AK8&gt;0),AND(AL8&lt;&gt;"",AL8&gt;1),AND(AO8&lt;&gt;"",AO8&gt;1),AND(AR8&lt;&gt;"",AR8&gt;1),AU8=3,AND(AU8&lt;&gt;"",AU8&gt;4),AV8="LLWS",AW8="LLWS"),"Y","G"))</f>
        <v>G</v>
      </c>
      <c r="BA8" s="99" t="str">
        <f>IF(OR(IF(MEF!$AP$14="Hoist",OR(G8&gt;19,AND(H8&lt;&gt;"",H8&gt;19)),AND(H8&lt;&gt;"",H8&gt;(MLT!$E$23-1))),AND(B8&gt;MEF!$Z$11,J8&lt;MLT!$E$26),AND(B8&lt;MEF!$E$53,J8&lt;MLT!$E$26),J8&lt;MLT!$E$27,AND(B8&gt;MEF!$Z$11,R8&lt;MLT!$E$28),AND(B8&lt;MEF!$E$53,R8&lt;MLT!$E$28),R8&lt;MLT!$E$29,L8="TS",O8="TS",AND(AB8&lt;&gt;"",AB8&gt;3,AC8&lt;30),AND(AE8&lt;&gt;"",AE8&gt;3,AF8&lt;30),AND(AH8&lt;&gt;"",AH8&gt;3,AI8&lt;30),AND(OR(AL8=7,AL8=9),AM8&lt;30),AND(OR(AO8=7,AO8=9),AP8&lt;30),AND(OR(AR8=7,AR8=9),AS8&lt;30)),"R",IF(OR(AND(H8&lt;&gt;"",H8&gt;(MLT!$H$23-1)),AND(I8&lt;&gt;"",I8&gt;(MLT!$H$23-1)),AND(B8&gt;MEF!$Z$11,J8&lt;MLT!$H$26),AND(B8&lt;MEF!$E$53,J8&lt;MLT!$H$26),AND(B8&gt;MEF!$Z$11,K8&lt;MLT!$H$26),AND(B8&lt;MEF!$E$53,K8&lt;MLT!$H$26),J8&lt;MLT!$H$27,K8&lt;MLT!$H$27,AND(B8&gt;MEF!$Z$11,R8&lt;MLT!$H$28),AND(B8&lt;MEF!$E$53,R8&lt;MLT!$H$28),AND(B8&gt;MEF!$Z$11,S8&lt;MLT!$H$28),AND(B8&lt;MEF!$E$53,S8&lt;MLT!$H$28),R8&lt;MLT!$H$29,S8&lt;MLT!$H$29,L8="VCTS",O8="VCTS",U8&gt;90,U8&lt;-29,AB8&lt;&gt;"",AK8&lt;&gt;"",AND(AL8&lt;&gt;"",AL8&gt;1),AND(AO8&lt;&gt;"",AO8&gt;1),AND(AR8&lt;&gt;"",AR8&gt;1),AU8=3,AND(AU8&lt;&gt;"",AU8&gt;4),AV8="LLWS",AW8="LLWS"),"Y","G"))</f>
        <v>G</v>
      </c>
      <c r="BB8" s="99" t="str">
        <f>IF(OR(AND(H8&lt;&gt;"",H8&gt;(MLT!$E$23-1)),AND(B8&gt;MEF!$Z$11,J8&lt;MLT!$F$26),AND(B8&lt;MEF!$E$53,J8&lt;MLT!$F$26),J8&lt;MLT!$F$27,AND(B8&gt;MEF!$Z$11,R8&lt;MLT!$F$28),AND(B8&lt;MEF!$E$53,R8&lt;MLT!$F$28),R8&lt;MLT!$F$29,L8="TS",O8="TS",AND(AB8&lt;&gt;"",AB8&gt;3,AC8&lt;30),AND(AE8&lt;&gt;"",AE8&gt;3,AF8&lt;30),AND(AH8&lt;&gt;"",AH8&gt;3,AI8&lt;30),AND(OR(AL8=7,AL8=9),AM8&lt;30),AND(OR(AO8=7,AO8=9),AP8&lt;30),AND(OR(AR8=7,AR8=9),AS8&lt;30)),"R",IF(OR(AND(H8&lt;&gt;"",H8&gt;(MLT!$I$23-1)),AND(I8&lt;&gt;"",I8&gt;(MLT!$I$23-1)),AND(B8&gt;MEF!$Z$11,J8&lt;MLT!$I$26),AND(B8&lt;MEF!$E$53,J8&lt;MLT!$I$26),AND(B8&gt;MEF!$Z$11,K8&lt;MLT!$I$26),AND(B8&lt;MEF!$E$53,K8&lt;MLT!$I$26),J8&lt;MLT!$I$27,K8&lt;MLT!$I$27,AND(B8&gt;MEF!$Z$11,R8&lt;MLT!$I$28),AND(B8&lt;MEF!$E$53,R8&lt;MLT!$I$28),AND(B8&gt;MEF!$Z$11,S8&lt;MLT!$I$28),AND(B8&lt;MEF!$E$53,S8&lt;MLT!$I$28),R8&lt;MLT!$I$29,S8&lt;MLT!$I$29,L8="VCTS",O8="VCTS",U8&gt;94,U8&lt;-29,AB8&lt;&gt;"",AK8&lt;&gt;"",AND(AL8&lt;&gt;"",AL8&gt;1),AND(AO8&lt;&gt;"",AO8&gt;1),AND(AR8&lt;&gt;"",AR8&gt;1),AU8=3,AND(AU8&lt;&gt;"",AU8&gt;4),AV8="LLWS",AW8="LLWS",CE8&lt;30,AND(CJ8&lt;25,CJ8&lt;&gt;0)),"Y","G"))</f>
        <v>G</v>
      </c>
      <c r="BC8" s="99" t="str">
        <f>IF(OR(G8&gt;(MLT!F$35-1),AND(H8&lt;&gt;"",H8&gt;(MLT!E$35-1)),J8&lt;MLT!E$38,R8&lt;MLT!E$39,L8="TS",O8="TS",N8="Y",T8&gt;50.49,T8&lt;-20.5,W8&gt;0.9449,AA8&gt;8999,AND(AB8&lt;&gt;"",AB8&gt;0),AND(AL8&lt;&gt;"",AL8&gt;1)),"R",IF(OR(G8&gt;(MLT!I$35-1),AND(H8&lt;&gt;"",H8&gt;(MLT!H$35-1)),AND(I8&lt;&gt;"",I8&gt;(MLT!H$35-1)),J8&lt;MLT!H$38,K8&lt;MLT!H$38,M8&lt;&gt;"",P8&lt;&gt;"",R8&lt;MLT!H$39,S8&lt;MLT!H$39,L8="VCTS",O8="VCTS",T8&gt;45.49,T8&lt;-14,W8&gt;0.8449,AA8&gt;6999,AND(AB8&lt;&gt;"",AB8&gt;0),AND(AK8&lt;&gt;"",AK8&gt;0),AND(AL8&lt;&gt;"",AL8&gt;0),AND(AU8&lt;&gt;"",AU8&gt;0),AV8="LLWS",AW8="LLWS"),"Y","G"))</f>
        <v>G</v>
      </c>
      <c r="BD8" s="99" t="str">
        <f>IF(OR(AND(NOT(H8=""),H8&gt;(MLT!E48-1)),AND(NOT(I8=""),I8&gt;(MLT!E48-1)),J8&lt;0.26,NOT(L8=""),U8&lt;14.5,AND(X5="Wind Chill",X8&lt;-0.5),AND(X5="WBGT",X8&gt;89.49)),"R",IF(OR(AND(NOT(H8=""),H8&gt;(MLT!H48-1)),AND(NOT(I8=""),I8&gt;(MLT!H48-1)),J8&lt;1,NOT(M8=""),NOT(P8=""),NOT(O8=""),U8&lt;31.5,AND(X5="Wind Chill",X8&lt;14.5),AND(X5="WBGT",X8&gt;77.49)),"Y","G"))</f>
        <v>Y</v>
      </c>
      <c r="BE8" s="99" t="str">
        <f>IF(OR(AND(H8&lt;&gt;"",H8&gt;(MLT!$E$56)),J8&lt;MLT!$E$59,R8&lt;MLT!$E$60,L8="TS",O8="TS",AND(AB8&lt;&gt;"",AC8&lt;30),AND(AE8&lt;&gt;"",AF8&lt;30),AND(AH8&lt;&gt;"",AI8&lt;30),AND(AL8&lt;&gt;"",AL8&gt;0,AM8&lt;30),AND(AO8&lt;&gt;"",AO8&gt;0,AP8&lt;30),AND(AR8&lt;&gt;"",AR8&gt;0,AS8&lt;30)),"R",IF(OR(AND(H8&lt;&gt;"",H8&gt;MLT!$H$56),AND(I8&lt;&gt;"",I8&gt;MLT!$H$56),J8&lt;MLT!$H$59,K8&lt;MLT!$H$59,R8&lt;MLT!$H$60,S8&lt;MLT!$H$60,L8="VCTS",O8="VCTS",AB8&lt;&gt;"",AK8&lt;&gt;"",AL8&lt;&gt;"",AU8&lt;&gt;"",AV8="LLWS",AW8="LLWS"),"Y","G"))</f>
        <v>G</v>
      </c>
      <c r="BF8" s="99" t="str">
        <f>IF(OR(AND(H8&lt;&gt;"",H8&gt;(MLT!$E$64)),L8="TS",O8="TS",AND(AB8&lt;&gt;"",AB8&gt;3,AC8&lt;30),AND(AE8&lt;&gt;"",AE8&gt;3,AF8&lt;30),AND(AH8&lt;&gt;"",AH8&gt;3,AI8&lt;30),AND(AL8=7,AM8&lt;30),AND(AL8=9,AM8&lt;30),AND(AO8=7,AP8&lt;30),AND(AO8=9,AP8&lt;30),AND(AR8=7,AS8&lt;30),AND(AR8=9,AS8&lt;30)),"R",IF(OR(AND(H8&lt;&gt;"",H8&gt;MLT!$H$64),AND(I8&lt;&gt;"",I8&gt;MLT!$H$64),J8&lt;MLT!$H$67,K8&lt;MLT!$H$67,R8&lt;MLT!$H$68,S8&lt;MLT!$H$68,L8="VCTS",O8="VCTS",calc!U8&gt;90,U8&lt;-29,AB8&lt;&gt;"",AK8&lt;&gt;"",AND(AL8&lt;&gt;"",AL8&gt;1),AND(AO8&lt;&gt;"",AO8&gt;1),AND(AR8&lt;&gt;"",AR8&gt;1),AND(AU8&lt;&gt;"",AU8&gt;1),AV8="LLWS",AW8="LLWS"),"Y","G"))</f>
        <v>G</v>
      </c>
      <c r="BG8" s="99" t="str">
        <f>IF(OR(AND(H8&lt;&gt;"",H8&gt;(MLT!$E$73)),L8="TS",O8="TS",AND(AB8&lt;&gt;"",AC8&lt;30),AND(AE8&lt;&gt;"",AF8&lt;30),AND(AH8&lt;&gt;"",AI8&lt;30),AND(AL8=3,AM8&lt;30),AND(AL8&lt;&gt;"",AL8&gt;4,AM8&lt;30),AND(AO8=3,AP8&lt;30),AND(AO8&lt;&gt;"",AO8&gt;4,AP8&lt;30),AND(AR8=3,AS8&lt;30),AND(AR8&lt;&gt;"",AR8&gt;4,AS8&lt;30)),"R",IF(OR(AND(H8&lt;&gt;"",H8&gt;MLT!$H$73),AND(I8&lt;&gt;"",I8&gt;MLT!$H$73),J8&lt;MLT!$H$76,K8&lt;MLT!$H$76,R8&lt;MLT!$H$77,S8&lt;MLT!$H$77,L8="VCTS",O8="VCTS",AB8&lt;&gt;"",AK8&lt;&gt;"",AL8&lt;&gt;"",AU8&lt;&gt;"",AV8="LLWS",AW8="LLWS"),"Y","G"))</f>
        <v>G</v>
      </c>
      <c r="BH8" s="99" t="str">
        <f>IF(OR(IF(H8="",G8,H8)&gt;MLT!$E$81,IF(H8="",G8,H8)-G8&gt;19,IF(F8="VRB",FALSE(),(IF(AND(F8&gt;89,F8&lt;271),SIN(RADIANS(MAX(180,F8)-MIN(180,F8))),SIN(RADIANS(IF(F8&gt;269,360-F8,F8)))))*(IF(H8="",G8,H8))&gt;MLT!$E$82),J8&lt;MLT!$E$86,L8="TS",L8="VCTS",O8="TS",R8&lt;MLT!$E$87,U8&gt;MLT!$E$88,AND(AB8&lt;&gt;"",AB8&gt;3,AC8&lt;100),AND(AE8&lt;&gt;"",AE8&gt;3,AF8&lt;100),AND(AH8&lt;&gt;"",AH8&gt;3,AI8&lt;100),AND(AL8=7,AM8&lt;100),AND(AL8=9,AM8&lt;100),AND(AO8=7,AP8&lt;100),AND(AO8=9,AP8&lt;100),AND(AR8=7,AS8&lt;100),AND(AR8=9,AS8&lt;100),AV8="LLWS"),"R",IF(OR(AND(H8&lt;&gt;"",H8&gt;14),IF(F8="VRB",FALSE(),(IF(AND(F8&gt;89,F8&lt;271),SIN(RADIANS(MAX(180,F8)-MIN(180,F8))),SIN(RADIANS(IF(F8&gt;269,360-F8,F8)))))*(IF(H8="",G8,H8))&gt;MLT!$H$82),AND(I8&lt;&gt;"",I8&gt;14),J8&lt;MLT!$H$86,K8&lt;MLT!$H$86,R8&lt;MLT!$H$87,S8&lt;MLT!$H$87,O8="VCTS",calc!U8&gt;90,AB8&lt;&gt;"",AK8&lt;&gt;"",AND(AL8&lt;&gt;"",AL8&gt;1),AND(AO8&lt;&gt;"",AO8&gt;1),AND(AR8&lt;&gt;"",AR8&gt;1),AND(AU8&lt;&gt;"",AU8&gt;1),AW8="LLWS"),"Y","G"))</f>
        <v>G</v>
      </c>
      <c r="BI8" s="99" t="str">
        <f>IF(OR(IF(H8="",G8,H8)&gt;MLT!$E$92,J8&lt;MLT!$E$95,L8="TS",L8="VCTS",O8="TS",R8&lt;MLT!$E$96,AND(AB8&lt;&gt;"",AB8&gt;3,AC8&lt;100),AND(AE8&lt;&gt;"",AE8&gt;3,AF8&lt;100),AND(AH8&lt;&gt;"",AH8&gt;3,AI8&lt;100),AND(AL8=7,AM8&lt;100),AND(AL8=9,AM8&lt;100),AND(AO8=7,AP8&lt;100),AND(AO8=9,AP8&lt;100),AND(AR8=7,AS8&lt;100),AND(AR8=9,AS8&lt;100)),"R",IF(OR(AND(H8&lt;&gt;"",H8&gt;14),AND(I8&lt;&gt;"",I8&gt;14),J8&lt;MLT!$H$95,K8&lt;MLT!$H$95,R8&lt;MLT!$H$96,S8&lt;MLT!$H$96,O8="VCTS",AB8&lt;&gt;"",AK8&lt;&gt;"",AND(AL8&lt;&gt;"",AL8&gt;1),AND(AO8&lt;&gt;"",AO8&gt;1),AND(AR8&lt;&gt;"",AR8&gt;1),AND(AU8&lt;&gt;"",AU8&gt;1),AV8="LLWS",AW8="LLWS"),"Y","G"))</f>
        <v>G</v>
      </c>
      <c r="BK8" s="41">
        <f t="shared" ref="BK8:BK20" si="4">((0.00066*BP8*BN8)+((4098*BQ8/((5/9*(V8-32))+237.3)^2)*(5/9*(V8-32))))/((0.00066*BP8)+(4098*BQ8/((5/9*(V8-32))+237.3)^2))</f>
        <v>26.766698025720871</v>
      </c>
      <c r="BL8" s="41">
        <f t="shared" ref="BL8:BL20" si="5">IF(G8&gt;5,BK8,((BN8-BK8)/8)+BK8)</f>
        <v>26.766698025720871</v>
      </c>
      <c r="BM8" s="41">
        <f>IF(R8&gt;200,T8+(LOOKUP(Worksheet!BD6,BV8:BV10,BW8:BW10)*(CA8/BZ8)),IF(AND(R8&lt;210,R8&gt;29),T8+(0.5*LOOKUP(Worksheet!BD6,BV8:BV10,BW8:BW10)*(CA8/BZ8)),T8+0.25*(LOOKUP(Worksheet!BD6,BV8:BV10,BW8:BW10)*(CA8/BZ8))))</f>
        <v>31.887813137801608</v>
      </c>
      <c r="BN8" s="41">
        <f t="shared" ref="BN8:BN20" si="6">IF(G8&lt;9,BM8,BM8-((BM8-T8)/4))</f>
        <v>31.887813137801608</v>
      </c>
      <c r="BO8" s="42">
        <f t="shared" ref="BO8:BO20" si="7">5/9*(V8-32)</f>
        <v>25</v>
      </c>
      <c r="BP8" s="43">
        <f t="shared" ref="BP8:BP20" si="8">(Y8*((0.994813)^5.2561))/0.295299830714</f>
        <v>98.687574240665683</v>
      </c>
      <c r="BQ8" s="44">
        <f t="shared" ref="BQ8:BQ20" si="9">(W8/1)*0.611*EXP(17.27*T8/(T8+237.3))</f>
        <v>3.1698101446694826</v>
      </c>
      <c r="BR8" s="42">
        <f>BN8+(21*CA8/BZ8)</f>
        <v>43.338251179104716</v>
      </c>
      <c r="BS8" s="42">
        <f t="shared" ref="BS8:BS20" si="10">IF(G8&lt;9,BR8,IF(AND(G8&gt;8,G8&lt;12),BR8-((BR8-BN8)/6),BR8-((BR8-BN8)/5)))</f>
        <v>43.338251179104716</v>
      </c>
      <c r="BT8" s="42">
        <f t="shared" ref="BT8:BT20" si="11">IF(R8&gt;190,BS8,IF(AND(R8&lt;200,R8&gt;64),BS8-((BS8-BN8)/4),IF(AND(R8&lt;65,R8&gt;29),BS8-((BS8-BN8)/2),BN8+((BS8-BN8)/5))))</f>
        <v>43.338251179104716</v>
      </c>
      <c r="BU8" s="42"/>
      <c r="BV8" s="1610" t="s">
        <v>170</v>
      </c>
      <c r="BW8" s="834">
        <v>5.5</v>
      </c>
      <c r="BX8" s="106">
        <f>DEGREES(ASIN(BY8*COS(RADIANS(LOOKUP(Worksheet!Q6,'Light Data '!A3:A377,'Light Data '!J3:J377)))*COS(RADIANS(Worksheet!R2))+SIN(RADIANS(LOOKUP(Worksheet!Q6,'Light Data '!A3:A377,'Light Data '!J3:J377)))*SIN(RADIANS(Worksheet!R2))))</f>
        <v>27.370148404357586</v>
      </c>
      <c r="BY8" s="515">
        <f>COS(RADIANS(15*((MAX(CF5,(HOUR(C8)/24))-MIN(CF5,(HOUR(C8)/24)))*24)))</f>
        <v>0.30694137716533315</v>
      </c>
      <c r="BZ8" s="516">
        <f>IF(BX8&lt;0,0.1,((128*10^3)*(1+0.033412*COS(2*PI()*(((CH4-CH3)-3)/365)))))</f>
        <v>123724.68965631575</v>
      </c>
      <c r="CA8" s="516">
        <f>IF(BX8&lt;0,0,((128*10^3)*(1+0.033412*COS(2*PI()*(((CH4-CH3)-3)/365))))*POWER(EXP(1),0-(CB8*(1/(SIN(RADIANS(BX8+(244/(165+47*(POWER(BX8,1.1)))))))))))</f>
        <v>67461.994909004716</v>
      </c>
      <c r="CB8" s="389">
        <f t="shared" ref="CB8:CB20" si="12">IF(J8&lt;3,0.7,IF(J8&lt;4,0.6,IF(J8&lt;5,0.5,IF(J8&lt;6,0.4,IF(J8&lt;7.35,0.28,0.2)))))</f>
        <v>0.28000000000000003</v>
      </c>
      <c r="CC8" s="112" t="str">
        <f>IF(CF8="D","&lt;0",IF(CF8="U1",SIN(((C8-$CF$2)/(INDEX($CK$5:$CP$5,1,MATCH("U1",$CK$4:$CP$4,0)+1)-$CF$2))*(PI()/2))*(IF($CN$4="M2",$CK$7,$CE$7)),IF(CF8="M1",SIN(((INDEX($CK$5:$CP$5,1,MATCH("M1",$CK$4:$CP$4,0)+1)-C8)/(INDEX($CK$5:$CP$5,1,MATCH("M1",$CK$4:$CP$4,0)+1)-$CJ$2))*(PI()/2))*$CE$7,IF(CF8="U2",SIN(((C8-$CH$2)/($CK$2-$CH$2))*(PI()/2))*$CK$7,SIN(((INDEX($CK$5:$CP$5,1,MATCH("M2",$CK$4:$CP$4,0)+1)-C8)/(INDEX($CK$5:$CP$5,1,MATCH("M2",$CK$4:$CP$4,0)+1)-$CK$2))*(PI()/2))*$CK$7))))</f>
        <v>&lt;0</v>
      </c>
      <c r="CD8" s="112" t="str">
        <f>IF(AND(C8&gt;$CF$3,C8&lt;$CF$4),"("&amp;IF(ISNUMBER(CC8),ROUND(CC8,0),CC8)&amp;")",CC8)</f>
        <v>(&lt;0)</v>
      </c>
      <c r="CE8" s="112">
        <f>IF(OR(AND(C8&gt;$CF$3,C8&lt;$CF$4),CC8="&lt;0"),99,CC8)</f>
        <v>99</v>
      </c>
      <c r="CF8" s="66" t="str">
        <f>IF(C8&lt;$CG$7,"D",INDEX($CK$4:$CP$4,MATCH(C8,$CK$5:$CP$5,1)))</f>
        <v>D</v>
      </c>
      <c r="CI8" s="834">
        <f>INDEX('Light Data '!$H$3:$H$381,MATCH(ROUNDDOWN(C8,0),'Light Data '!$A$3:$A$381,0))-(((INDEX('Light Data '!$H$3:$H$381,MATCH(ROUNDDOWN(C8,0),'Light Data '!$A$3:$A$381,0))-(INDEX('Light Data '!$H$3:$H$381,MATCH(ROUNDDOWN(C8,0)+1,'Light Data '!$A$3:$A$381,0))))/24)*HOUR(C8))</f>
        <v>44.75</v>
      </c>
      <c r="CJ8" s="834" t="str">
        <f>IF(AND(C8&gt;$CF$3,C8&lt;$CF$4),"NA",IF(CC8="&lt;0",0,CI8))</f>
        <v>NA</v>
      </c>
      <c r="CK8" s="106"/>
    </row>
    <row r="9" spans="1:97" ht="15" customHeight="1" thickTop="1" thickBot="1">
      <c r="A9" s="528">
        <f>HOUR(C9)</f>
        <v>10</v>
      </c>
      <c r="B9" s="526">
        <f t="shared" si="1"/>
        <v>1000</v>
      </c>
      <c r="C9" s="3640">
        <f>Worksheet!AD69</f>
        <v>44748.416666666657</v>
      </c>
      <c r="D9" s="3640"/>
      <c r="E9" s="521">
        <f>Worksheet!AF69</f>
        <v>44748.583333333328</v>
      </c>
      <c r="F9" s="77" t="str">
        <f>IF(AND(TAF!Z7="PREDOM",E9&lt;TAF!AF7),TAF!AH7,IF(AND(TAF!Z8="PREDOM",E9&lt;TAF!AF8),TAF!AH8,IF(AND(TAF!Z9="PREDOM",E9&lt;TAF!AF9),TAF!AH9,IF(AND(TAF!Z10="PREDOM",E9&lt;TAF!AF10),TAF!AH10,IF(AND(TAF!Z11="PREDOM",E9&lt;TAF!AF11),TAF!AH11,IF(AND(TAF!Z12="PREDOM",E9&lt;TAF!AF12),TAF!AH12,IF(AND(TAF!Z13="PREDOM",E9&lt;TAF!AF13),TAF!AH13,IF(AND(TAF!Z14="PREDOM",E9&lt;TAF!AF14),TAF!AH14,IF(AND(TAF!Z15="PREDOM",E9&lt;TAF!AF15),TAF!AH15,IF(AND(TAF!Z16="PREDOM",E9&lt;TAF!AE16),TAF!AH16,IF(AND(TAF!Z17="PREDOM",E9&lt;TAF!AF17),TAF!AH17,IF(AND(TAF!Z18="PREDOM",E9&lt;TAF!AF18),TAF!AH18))))))))))))</f>
        <v>220</v>
      </c>
      <c r="G9" s="78">
        <f>IF(AND(TAF!Z7="PREDOM",E9&lt;TAF!AF7),TAF!AI7,IF(AND(TAF!Z8="PREDOM",E9&lt;TAF!AF8),TAF!AI8,IF(AND(TAF!Z9="PREDOM",E9&lt;TAF!AF9),TAF!AI9,IF(AND(TAF!Z10="PREDOM",E9&lt;TAF!AF10),TAF!AI10,IF(AND(TAF!Z11="PREDOM",E9&lt;TAF!AF11),TAF!AI11,IF(AND(TAF!Z12="PREDOM",E9&lt;TAF!AF12),TAF!AI12,IF(AND(TAF!Z13="PREDOM",E9&lt;TAF!AF13),TAF!AI13,IF(AND(TAF!Z14="PREDOM",E9&lt;TAF!AF14),TAF!AI14,IF(AND(TAF!Z15="PREDOM",E9&lt;TAF!AF15),TAF!AI15,IF(AND(TAF!Z16="PREDOM",E9&lt;TAF!AE16),TAF!AI16,IF(AND(TAF!Z17="PREDOM",E9&lt;TAF!AF17),TAF!AI17,IF(AND(TAF!Z18="PREDOM",E9&lt;TAF!AF18),TAF!AI18))))))))))))</f>
        <v>8</v>
      </c>
      <c r="H9" s="79" t="str">
        <f>IF(AND(TAF!Z7="PREDOM",E9&lt;TAF!AF7),TAF!AJ7,IF(AND(TAF!Z8="PREDOM",E9&lt;TAF!AF8),TAF!AJ8,IF(AND(TAF!Z9="PREDOM",E9&lt;TAF!AF9),TAF!AJ9,IF(AND(TAF!Z10="PREDOM",E9&lt;TAF!AF10),TAF!AJ10,IF(AND(TAF!Z11="PREDOM",E9&lt;TAF!AF11),TAF!AJ11,IF(AND(TAF!Z12="PREDOM",E9&lt;TAF!AF12),TAF!AJ12,IF(AND(TAF!Z13="PREDOM",E9&lt;TAF!AF13),TAF!AJ13,IF(AND(TAF!Z14="PREDOM",E9&lt;TAF!AF14),TAF!AJ14,IF(AND(TAF!Z15="PREDOM",E9&lt;TAF!AF15),TAF!AJ15,IF(AND(TAF!Z16="PREDOM",E9&lt;TAF!AE16),TAF!AJ16,IF(AND(TAF!Z17="PREDOM",E9&lt;TAF!AF17),TAF!AJ17,IF(AND(TAF!Z18="PREDOM",E9&lt;TAF!AF18),TAF!AJ18))))))))))))</f>
        <v/>
      </c>
      <c r="I9" s="80" t="str">
        <f>IF(AND(TAF!Z7="TEMPO",NOT(E9+0.01&lt;TAF!AC7),E9&lt;TAF!AF7),TAF!AJ7,IF(AND(TAF!Z8="TEMPO",NOT(E9+0.01&lt;TAF!AC8),E9&lt;TAF!AF8),TAF!AJ8,IF(AND(TAF!Z9="TEMPO",NOT(E9+0.01&lt;TAF!AC9),E9&lt;TAF!AF9),TAF!AJ9,IF(AND(TAF!Z10="TEMPO",NOT(E9+0.01&lt;TAF!AC10),E9&lt;TAF!AF10),TAF!AJ10,IF(AND(TAF!Z11="TEMPO",NOT(E9+0.01&lt;TAF!AC11),E9&lt;TAF!AF11),TAF!AJ11,IF(AND(TAF!Z12="TEMPO",NOT(E9+0.01&lt;TAF!AC12),E9&lt;TAF!AF12),TAF!AJ12,IF(AND(TAF!Z13="TEMPO",NOT(E9+0.01&lt;TAF!AC13),E9&lt;TAF!AF13),TAF!AJ13,IF(AND(TAF!Z14="TEMPO",NOT(E9+0.01&lt;TAF!AC14),E9&lt;TAF!AF14),TAF!AJ14,IF(AND(TAF!Z15="TEMPO",NOT(E9+0.01&lt;TAF!AC15),E9&lt;TAF!AF15),TAF!AJ15,IF(AND(TAF!Z16="TEMPO",NOT(E9+0.01&lt;TAF!AC16),E9&lt;TAF!AE16),TAF!AJ16,IF(AND(TAF!Z17="TEMPO",NOT(E9+0.01&lt;TAF!AC17),E9&lt;TAF!AF17),TAF!AJ17,IF(AND(TAF!Z18="TEMPO",NOT(E9+0.01&lt;TAF!AC18),E9&lt;TAF!AF18),TAF!AJ18,""))))))))))))</f>
        <v/>
      </c>
      <c r="J9" s="81">
        <f>IF(AND(TAF!Z7="PREDOM",E9&lt;TAF!AF7),TAF!AN7,IF(AND(TAF!Z8="PREDOM",E9&lt;TAF!AF8),TAF!AN8,IF(AND(TAF!Z9="PREDOM",E9&lt;TAF!AF9),TAF!AN9,IF(AND(TAF!Z10="PREDOM",E9&lt;TAF!AF10),TAF!AN10,IF(AND(TAF!Z11="PREDOM",E9&lt;TAF!AF11),TAF!AN11,IF(AND(TAF!Z12="PREDOM",E9&lt;TAF!AF12),TAF!AN12,IF(AND(TAF!Z13="PREDOM",E9&lt;TAF!AF13),TAF!AN13,IF(AND(TAF!Z14="PREDOM",E9&lt;TAF!AF14),TAF!AN14,IF(AND(TAF!Z15="PREDOM",E9&lt;TAF!AF15),TAF!AN15,IF(AND(TAF!Z16="PREDOM",E9&lt;TAF!AE16),TAF!AN16,IF(AND(TAF!Z17="PREDOM",E9&lt;TAF!AF17),TAF!AN17,IF(AND(TAF!Z18="PREDOM",E9&lt;TAF!AF18),TAF!AN18))))))))))))</f>
        <v>7</v>
      </c>
      <c r="K9" s="82" t="str">
        <f>IF(AND(TAF!Z7="TEMPO",NOT(E9+0.01&lt;TAF!AC7),E9-0.01&lt;TAF!AF7),TAF!AN7,IF(AND(TAF!Z8="TEMPO",NOT(E9+0.01&lt;TAF!AC8),E9-0.01&lt;TAF!AF8),TAF!AN8,IF(AND(TAF!Z9="TEMPO",NOT(E9+0.01&lt;TAF!AC9),E9-0.01&lt;TAF!AF9),TAF!AN9,IF(AND(TAF!Z10="TEMPO",NOT(E9+0.01&lt;TAF!AC10),E9-0.01&lt;TAF!AF10),TAF!AN10,IF(AND(TAF!Z11="TEMPO",NOT(E9+0.01&lt;TAF!AC11),E9-0.01&lt;TAF!AF11),TAF!AN11,IF(AND(TAF!Z12="TEMPO",NOT(E9+0.01&lt;TAF!AC12),E9-0.01&lt;TAF!AF12),TAF!AN12,IF(AND(TAF!Z13="TEMPO",NOT(E9+0.01&lt;TAF!AC13),E9-0.01&lt;TAF!AF13),TAF!AN13,IF(AND(TAF!Z14="TEMPO",NOT(E9+0.01&lt;TAF!AC14),E9-0.01&lt;TAF!AF14),TAF!AN14,IF(AND(TAF!Z15="TEMPO",NOT(E9+0.01&lt;TAF!AC15),E9-0.01&lt;TAF!AF15),TAF!AN15,IF(AND(TAF!Z16="TEMPO",NOT(E9+0.01&lt;TAF!AC16),E9-0.01&lt;TAF!AE16),TAF!AN16,IF(AND(TAF!Z17="TEMPO",NOT(E9+0.01&lt;TAF!AC17),E9-0.01&lt;TAF!AF17),TAF!AN17,IF(AND(TAF!Z18="TEMPO",NOT(E9+0.01&lt;TAF!AC18),E9-0.01&lt;TAF!AF18),TAF!AN18,""))))))))))))</f>
        <v/>
      </c>
      <c r="L9" s="83" t="str">
        <f t="shared" ref="L9:L20" si="13">IF(ISNUMBER(FIND("VCTS",M9)),"VCTS",IF(ISNUMBER(FIND("TS",M9)),"TS",""))</f>
        <v/>
      </c>
      <c r="M9" s="84" t="str">
        <f>IF(AND(TAF!Z7="PREDOM",E9&lt;TAF!AF7),TAF!AP7,IF(AND(TAF!Z8="PREDOM",E9&lt;TAF!AF8),TAF!AP8,IF(AND(TAF!Z9="PREDOM",E9&lt;TAF!AF9),TAF!AP9,IF(AND(TAF!Z10="PREDOM",E9&lt;TAF!AF10),TAF!AP10,IF(AND(TAF!Z11="PREDOM",E9&lt;TAF!AF11),TAF!AP11,IF(AND(TAF!Z12="PREDOM",E9&lt;TAF!AF12),TAF!AP12,IF(AND(TAF!Z13="PREDOM",E9&lt;TAF!AF13),TAF!AP13,IF(AND(TAF!Z14="PREDOM",E9&lt;TAF!AF14),TAF!AP14,IF(AND(TAF!Z15="PREDOM",E9&lt;TAF!AF15),TAF!AP15,IF(AND(TAF!Z16="PREDOM",E9&lt;TAF!AE16),TAF!AP16,IF(AND(TAF!Z17="PREDOM",E9&lt;TAF!AF17),TAF!AP17,IF(AND(TAF!Z18="PREDOM",E9&lt;TAF!AF18),TAF!AP18))))))))))))</f>
        <v/>
      </c>
      <c r="N9" s="85" t="str">
        <f t="shared" ref="N9:N20" si="14">IF(OR(ISNUMBER(FIND("DZ",M9)),ISNUMBER(FIND("RA",M9)),ISNUMBER(FIND("SN",M9)),ISNUMBER(FIND("SG",M9)),ISNUMBER(FIND("IC",M9)),ISNUMBER(FIND("PL",M9)),ISNUMBER(FIND("GS",M9))),"Y","N")</f>
        <v>N</v>
      </c>
      <c r="O9" s="85" t="str">
        <f t="shared" ref="O9:O20" si="15">IF(ISNUMBER(FIND("VCTS",P9)),"VCTS",IF(ISNUMBER(FIND("TS",P9)),"TS",""))</f>
        <v/>
      </c>
      <c r="P9" s="84" t="str">
        <f>IF(AND(TAF!Z7="TEMPO",NOT(E9+0.01&lt;TAF!AC7),E9-0.01&lt;TAF!AF7),TAF!AP7,IF(AND(TAF!Z8="TEMPO",NOT(E9+0.01&lt;TAF!AC8),E9-0.01&lt;TAF!AF8),TAF!AP8,IF(AND(TAF!Z9="TEMPO",NOT(E9+0.01&lt;TAF!AC9),E9-0.01&lt;TAF!AF9),TAF!AP9,IF(AND(TAF!Z10="TEMPO",NOT(E9+0.01&lt;TAF!AC10),E9-0.01&lt;TAF!AF10),TAF!AP10,IF(AND(TAF!Z11="TEMPO",NOT(E9+0.01&lt;TAF!AC11),E9-0.01&lt;TAF!AF11),TAF!AP11,IF(AND(TAF!Z12="TEMPO",NOT(E9+0.01&lt;TAF!AC12),E9-0.01&lt;TAF!AF12),TAF!AP12,IF(AND(TAF!Z13="TEMPO",NOT(E9+0.01&lt;TAF!AC13),E9-0.01&lt;TAF!AF13),TAF!AP13,IF(AND(TAF!Z14="TEMPO",NOT(E9+0.01&lt;TAF!AC14),E9-0.01&lt;TAF!AF14),TAF!AP14,IF(AND(TAF!Z15="TEMPO",NOT(E9+0.01&lt;TAF!AC15),E9-0.01&lt;TAF!AF15),TAF!AP15,IF(AND(TAF!Z16="TEMPO",NOT(E9+0.01&lt;TAF!AC16),E9-0.01&lt;TAF!AE16),TAF!AP16,IF(AND(TAF!Z17="TEMPO",NOT(E9+0.01&lt;TAF!AC17),E9-0.01&lt;TAF!AF17),TAF!AP17,IF(AND(TAF!Z18="TEMPO",NOT(E9+0.01&lt;TAF!AC18),E9-0.01&lt;TAF!AF18),TAF!AP18,""))))))))))))</f>
        <v/>
      </c>
      <c r="Q9" s="889" t="str">
        <f>IF(OR(ISNUMBER(FIND("DZ",P9)),ISNUMBER(FIND("RA",P9)),ISNUMBER(FIND("SN",P9)),ISNUMBER(FIND("SG",P9)),ISNUMBER(FIND("IC",P9)),ISNUMBER(FIND("PL",P9)),ISNUMBER(FIND("GS",P9))),"Y","N")</f>
        <v>N</v>
      </c>
      <c r="R9" s="86">
        <f>IF(AND(TAF!Z7="PREDOM",E9&lt;TAF!AF7),TAF!AW7,IF(AND(TAF!Z8="PREDOM",E9&lt;TAF!AF8),TAF!AW8,IF(AND(TAF!Z9="PREDOM",E9&lt;TAF!AF9),TAF!AW9,IF(AND(TAF!Z10="PREDOM",E9&lt;TAF!AF10),TAF!AW10,IF(AND(TAF!Z11="PREDOM",E9&lt;TAF!AF11),TAF!AW11,IF(AND(TAF!Z12="PREDOM",E9&lt;TAF!AF12),TAF!AW12,IF(AND(TAF!Z13="PREDOM",E9&lt;TAF!AF13),TAF!AW13,IF(AND(TAF!Z14="PREDOM",E9&lt;TAF!AF14),TAF!AW14,IF(AND(TAF!Z15="PREDOM",E9&lt;TAF!AF15),TAF!AW15,IF(AND(TAF!Z16="PREDOM",E9&lt;TAF!AE16),TAF!AW16,IF(AND(TAF!Z17="PREDOM",E9&lt;TAF!AF17),TAF!AW17,IF(AND(TAF!Z18="PREDOM",E9&lt;TAF!AF18),TAF!AW18))))))))))))</f>
        <v>250</v>
      </c>
      <c r="S9" s="87" t="str">
        <f>IF(AND(TAF!Z7="TEMPO",NOT(E9+0.01&lt;TAF!AC7),E9-0.01&lt;TAF!AF7),TAF!AW7,IF(AND(TAF!Z8="TEMPO",NOT(E9+0.01&lt;TAF!AC8),E9-0.01&lt;TAF!AF8),TAF!AW8,IF(AND(TAF!Z9="TEMPO",NOT(E9+0.01&lt;TAF!AC9),E9-0.01&lt;TAF!AF9),TAF!AW9,IF(AND(TAF!Z10="TEMPO",NOT(E9+0.01&lt;TAF!AC10),E9-0.01&lt;TAF!AF10),TAF!AW10,IF(AND(TAF!Z11="TEMPO",NOT(E9+0.01&lt;TAF!AC11),E9-0.01&lt;TAF!AF11),TAF!AW11,IF(AND(TAF!Z12="TEMPO",NOT(E9+0.01&lt;TAF!AC12),E9-0.01&lt;TAF!AF12),TAF!AW12,IF(AND(TAF!Z13="TEMPO",NOT(E9+0.01&lt;TAF!AC13),E9-0.01&lt;TAF!AF13),TAF!AW13,IF(AND(TAF!Z14="TEMPO",NOT(E9+0.01&lt;TAF!AC14),E9-0.01&lt;TAF!AF14),TAF!AW14,IF(AND(TAF!Z15="TEMPO",NOT(E9+0.01&lt;TAF!AC15),E9-0.01&lt;TAF!AF15),TAF!AW15,IF(AND(TAF!Z16="TEMPO",NOT(E9+0.01&lt;TAF!AC16),E9-0.01&lt;TAF!AE16),TAF!AW16,IF(AND(TAF!Z17="TEMPO",NOT(E9+0.01&lt;TAF!AC17),E9-0.01&lt;TAF!AF17),TAF!AW17,IF(AND(TAF!Z18="TEMPO",NOT(E9+0.01&lt;TAF!AC18),E9-0.01&lt;TAF!AF18),TAF!AW18,""))))))))))))</f>
        <v/>
      </c>
      <c r="T9" s="88">
        <f t="shared" si="3"/>
        <v>30.555555555555557</v>
      </c>
      <c r="U9" s="89">
        <f>Worksheet!AP69</f>
        <v>87</v>
      </c>
      <c r="V9" s="90">
        <f>Worksheet!BB69</f>
        <v>76</v>
      </c>
      <c r="W9" s="91">
        <f t="shared" ref="W9:W20" si="16">IF(ROUND(U9,0)=ROUND(V9,0),1,(6.11*10^(7.5*(5/9*(V9-32))/(237.7+(5/9*(V9-32)))))/(6.11*10^(7.5*T9/(237.7+T9))))</f>
        <v>0.69996301599580435</v>
      </c>
      <c r="X9" s="100">
        <f>IF(X5="Wind Chill",IF(G9=0,U9,IF(U9&lt;56,35.74+(0.6215*U9)-(35.75*(G9^0.16))+(0.4275*U9*(G9^0.16)),"NA")),IF(X5="WBGT",1.8*((0.7*BL9)+(0.1*BN9)+(0.2*BT9))+32))</f>
        <v>89.24933817107059</v>
      </c>
      <c r="Y9" s="93">
        <f>Worksheet!BQ69</f>
        <v>29.96</v>
      </c>
      <c r="Z9" s="1890">
        <f>Worksheet!BT69</f>
        <v>718.95041420270934</v>
      </c>
      <c r="AA9" s="1891">
        <f>Worksheet!BV69</f>
        <v>2756.4396992839402</v>
      </c>
      <c r="AB9" s="896" t="str">
        <f>IF(AND(TAF!Z7="PREDOM",E9&lt;TAF!AF7),TAF!BS7,IF(AND(TAF!Z8="PREDOM",E9&lt;TAF!AF8),TAF!BS8,IF(AND(TAF!Z9="PREDOM",E9&lt;TAF!AF9),TAF!BS9,IF(AND(TAF!Z10="PREDOM",E9&lt;TAF!AF10),TAF!BS10,IF(AND(TAF!Z11="PREDOM",E9&lt;TAF!AF11),TAF!BS11,IF(AND(TAF!Z12="PREDOM",E9&lt;TAF!AF12),TAF!BS12,IF(AND(TAF!Z13="PREDOM",E9&lt;TAF!AF13),TAF!BS13,IF(AND(TAF!Z14="PREDOM",E9&lt;TAF!AF14),TAF!BS14,IF(AND(TAF!Z15="PREDOM",E9&lt;TAF!AF15),TAF!BS15,IF(AND(TAF!Z16="PREDOM",E9&lt;TAF!AE16),TAF!BS16,IF(AND(TAF!Z17="PREDOM",E9&lt;TAF!AF17),TAF!BS17,IF(AND(TAF!Z18="PREDOM",E9&lt;TAF!AF18),TAF!BS18))))))))))))</f>
        <v/>
      </c>
      <c r="AC9" s="899" t="str">
        <f>IF(AB9="","",IF(AND(TAF!$Z$7="PREDOM",E9&lt;TAF!$AF$7),TAF!$BT$7,IF(AND(TAF!$Z$8="PREDOM",E9&lt;TAF!$AF$8),TAF!$BT$8,IF(AND(TAF!$Z$9="PREDOM",E9&lt;TAF!$AF$9),TAF!$BT$9,IF(AND(TAF!$Z$10="PREDOM",E9&lt;TAF!$AF$10),TAF!$BT$10,IF(AND(TAF!$Z$11="PREDOM",E9&lt;TAF!$AF$11),TAF!$BT$11,IF(AND(TAF!$Z$12="PREDOM",E9&lt;TAF!$AF$12),TAF!$BT$12,IF(AND(TAF!$Z$13="PREDOM",E9&lt;TAF!$AF$13),TAF!$BT$13,IF(AND(TAF!$Z$14="PREDOM",E9&lt;TAF!$AF$14),TAF!$BT$14,IF(AND(TAF!$Z$15="PREDOM",E9&lt;TAF!$AF$15),TAF!$BT$15,IF(AND(TAF!$Z$16="PREDOM",E9&lt;TAF!AE17),TAF!$BT$16,IF(AND(TAF!$Z$17="PREDOM",E9&lt;TAF!$AF$17),TAF!$BT$17,IF(AND(TAF!$Z$18="PREDOM",E9&lt;TAF!$AF$18),TAF!$BT$18)))))))))))))</f>
        <v/>
      </c>
      <c r="AD9" s="902" t="str">
        <f>IF(AB9="","",IF(AND(TAF!$Z$7="PREDOM",E9&lt;TAF!$AF$7),TAF!$BU$7,IF(AND(TAF!$Z$8="PREDOM",E9&lt;TAF!$AF$8),TAF!$BU$8,IF(AND(TAF!$Z$9="PREDOM",E9&lt;TAF!$AF$9),TAF!$BU$9,IF(AND(TAF!$Z$10="PREDOM",E9&lt;TAF!$AF$10),TAF!$BU$10,IF(AND(TAF!$Z$11="PREDOM",E9&lt;TAF!$AF$11),TAF!$BU$11,IF(AND(TAF!$Z$12="PREDOM",E9&lt;TAF!$AF$12),TAF!$BU$12,IF(AND(TAF!$Z$13="PREDOM",E9&lt;TAF!$AF$13),TAF!$BU$13,IF(AND(TAF!$Z$14="PREDOM",E9&lt;TAF!$AF$14),TAF!$BU$14,IF(AND(TAF!$Z$15="PREDOM",E9&lt;TAF!$AF$15),TAF!$BU$15,IF(AND(TAF!$Z$16="PREDOM",E9&lt;TAF!AE17),TAF!$BU$16,IF(AND(TAF!$Z$17="PREDOM",E9&lt;TAF!$AF$17),TAF!$BU$17,IF(AND(TAF!$Z$18="PREDOM",E9&lt;TAF!$AF$18),TAF!$BU$18)))))))))))))</f>
        <v/>
      </c>
      <c r="AE9" s="896" t="str">
        <f>IF(AND(TAF!Z7="PREDOM",E9&lt;TAF!AF7),TAF!BV7,IF(AND(TAF!Z8="PREDOM",E9&lt;TAF!AF8),TAF!BV8,IF(AND(TAF!Z9="PREDOM",E9&lt;TAF!AF9),TAF!BV9,IF(AND(TAF!Z10="PREDOM",E9&lt;TAF!AF10),TAF!BV10,IF(AND(TAF!Z11="PREDOM",E9&lt;TAF!AF11),TAF!BV11,IF(AND(TAF!Z12="PREDOM",E9&lt;TAF!AF12),TAF!BV12,IF(AND(TAF!Z13="PREDOM",E9&lt;TAF!AF13),TAF!BV13,IF(AND(TAF!Z14="PREDOM",E9&lt;TAF!AF14),TAF!BV14,IF(AND(TAF!Z15="PREDOM",E9&lt;TAF!AF15),TAF!BV15,IF(AND(TAF!Z16="PREDOM",E9&lt;TAF!AE16),TAF!BV16,IF(AND(TAF!Z17="PREDOM",E9&lt;TAF!AF17),TAF!BV17,IF(AND(TAF!Z18="PREDOM",E9&lt;TAF!AF18),TAF!BV18))))))))))))</f>
        <v/>
      </c>
      <c r="AF9" s="899" t="str">
        <f>IF(AE9="","",IF(AND(TAF!$Z$7="PREDOM",E9&lt;TAF!$AF$7),TAF!$BW$7,IF(AND(TAF!$Z$8="PREDOM",E9&lt;TAF!$AF$8),TAF!$BW$8,IF(AND(TAF!$Z$9="PREDOM",E9&lt;TAF!$AF$9),TAF!$BW$9,IF(AND(TAF!$Z$10="PREDOM",E9&lt;TAF!$AF$10),TAF!$BW$10,IF(AND(TAF!$Z$11="PREDOM",E9&lt;TAF!$AF$11),TAF!$BW$11,IF(AND(TAF!$Z$12="PREDOM",E9&lt;TAF!$AF$12),TAF!$BW$12,IF(AND(TAF!$Z$13="PREDOM",E9&lt;TAF!$AF$13),TAF!$BW$13,IF(AND(TAF!$Z$14="PREDOM",E9&lt;TAF!$AF$14),TAF!$BW$14,IF(AND(TAF!$Z$15="PREDOM",E9&lt;TAF!$AF$15),TAF!$BW$15,IF(AND(TAF!$Z$16="PREDOM",E9&lt;TAF!AE17),TAF!$BW$16,IF(AND(TAF!$Z$17="PREDOM",E9&lt;TAF!$AF$17),TAF!$BW$17,IF(AND(TAF!$Z$18="PREDOM",E9&lt;TAF!$AF$18),TAF!$BW$18)))))))))))))</f>
        <v/>
      </c>
      <c r="AG9" s="902" t="str">
        <f>IF(AE9="","",IF(AND(TAF!$Z$7="PREDOM",E9&lt;TAF!$AF$7),TAF!$BX$7,IF(AND(TAF!$Z$8="PREDOM",E9&lt;TAF!$AF$8),TAF!$BX$8,IF(AND(TAF!$Z$9="PREDOM",E9&lt;TAF!$AF$9),TAF!$BX$9,IF(AND(TAF!$Z$10="PREDOM",E9&lt;TAF!$AF$10),TAF!$BX$10,IF(AND(TAF!$Z$11="PREDOM",E9&lt;TAF!$AF$11),TAF!$BX$11,IF(AND(TAF!$Z$12="PREDOM",E9&lt;TAF!$AF$12),TAF!$BX$12,IF(AND(TAF!$Z$13="PREDOM",E9&lt;TAF!$AF$13),TAF!$BX$13,IF(AND(TAF!$Z$14="PREDOM",E9&lt;TAF!$AF$14),TAF!$BX$14,IF(AND(TAF!$Z$15="PREDOM",E9&lt;TAF!$AF$15),TAF!$BX$15,IF(AND(TAF!$Z$16="PREDOM",E9&lt;TAF!AE17),TAF!$BX$16,IF(AND(TAF!$Z$17="PREDOM",E9&lt;TAF!$AF$17),TAF!$BX$17,IF(AND(TAF!$Z$18="PREDOM",E9&lt;TAF!$AF$18),TAF!$BX$18)))))))))))))</f>
        <v/>
      </c>
      <c r="AH9" s="894" t="str">
        <f>IF(AND(TAF!$Z$7="PREDOM",E9&lt;TAF!$AF$7),TAF!$BY$7,IF(AND(TAF!$Z$8="PREDOM",E9&lt;TAF!$AF$8),TAF!$BY$8,IF(AND(TAF!$Z$9="PREDOM",E9&lt;TAF!$AF$9),TAF!$BY$9,IF(AND(TAF!$Z$10="PREDOM",E9&lt;TAF!$AF$10),TAF!$BY$10,IF(AND(TAF!$Z$11="PREDOM",E9&lt;TAF!$AF$11),TAF!$BY$11,IF(AND(TAF!$Z$12="PREDOM",E9&lt;TAF!$AF$12),TAF!$BY$12,IF(AND(TAF!$Z$13="PREDOM",E9&lt;TAF!$AF$13),TAF!$BY$13,IF(AND(TAF!$Z$14="PREDOM",E9&lt;TAF!$AF$14),TAF!$BY$14,IF(AND(TAF!$Z$15="PREDOM",E9&lt;TAF!$AF$15),TAF!$BY$15,IF(AND(TAF!$Z$16="PREDOM",E9&lt;TAF!$AF$16),TAF!$BY$16,IF(AND(TAF!$Z$17="PREDOM",E9&lt;TAF!$AF$17),TAF!$BY$17,IF(AND(TAF!$Z$18="PREDOM",E9&lt;TAF!$AF$18),TAF!$BY$18))))))))))))</f>
        <v/>
      </c>
      <c r="AI9" s="899" t="str">
        <f>IF(AH9="","",IF(AND(TAF!$Z$7="PREDOM",E9&lt;TAF!$AF$7),TAF!$BZ$7,IF(AND(TAF!$Z$8="PREDOM",E9&lt;TAF!$AF$8),TAF!$BZ$8,IF(AND(TAF!$Z$9="PREDOM",E9&lt;TAF!$AF$9),TAF!$BZ$9,IF(AND(TAF!$Z$10="PREDOM",E9&lt;TAF!$AF$10),TAF!$BZ$10,IF(AND(TAF!$Z$11="PREDOM",E9&lt;TAF!$AF$11),TAF!$BZ$11,IF(AND(TAF!$Z$12="PREDOM",E9&lt;TAF!$AF$12),TAF!$BZ$12,IF(AND(TAF!$Z$13="PREDOM",E9&lt;TAF!$AF$13),TAF!$BZ$13,IF(AND(TAF!$Z$14="PREDOM",E9&lt;TAF!$AF$14),TAF!$BZ$14,IF(AND(TAF!$Z$15="PREDOM",E9&lt;TAF!$AF$15),TAF!$BZ$15,IF(AND(TAF!$Z$16="PREDOM",E9&lt;TAF!AE17),TAF!$BZ$16,IF(AND(TAF!$Z$17="PREDOM",E9&lt;TAF!$AF$17),TAF!$BZ$17,IF(AND(TAF!$Z$18="PREDOM",E9&lt;TAF!$AF$18),TAF!$BZ$18)))))))))))))</f>
        <v/>
      </c>
      <c r="AJ9" s="902" t="str">
        <f>IF(AH9="","",IF(AND(TAF!$Z$7="PREDOM",E9&lt;TAF!$AF$7),TAF!$CA$7,IF(AND(TAF!$Z$8="PREDOM",E9&lt;TAF!$AF$8),TAF!$CA$8,IF(AND(TAF!$Z$9="PREDOM",E9&lt;TAF!$AF$9),TAF!$CA$9,IF(AND(TAF!$Z$10="PREDOM",E9&lt;TAF!$AF$10),TAF!$CA$10,IF(AND(TAF!$Z$11="PREDOM",E9&lt;TAF!$AF$11),TAF!$CA$11,IF(AND(TAF!$Z$12="PREDOM",E9&lt;TAF!$AF$12),TAF!$CA$12,IF(AND(TAF!$Z$13="PREDOM",E9&lt;TAF!$AF$13),TAF!$CA$13,IF(AND(TAF!$Z$14="PREDOM",E9&lt;TAF!$AF$14),TAF!$CA$14,IF(AND(TAF!$Z$15="PREDOM",E9&lt;TAF!$AF$15),TAF!$CA$15,IF(AND(TAF!$Z$16="PREDOM",E9&lt;TAF!AE17),TAF!$CA$16,IF(AND(TAF!$Z$17="PREDOM",E9&lt;TAF!$AF$17),TAF!$CA$17,IF(AND(TAF!$Z$18="PREDOM",E9&lt;TAF!$AF$18),TAF!$CA$18)))))))))))))</f>
        <v/>
      </c>
      <c r="AK9" s="95" t="str">
        <f>IF(AND(TAF!Z7="TEMPO",NOT(E9+0.01&lt;TAF!AC7),E9-0.01&lt;TAF!AF7),TAF!CB7,IF(AND(TAF!Z8="TEMPO",NOT(E9+0.01&lt;TAF!AC8),E9-0.01&lt;TAF!AF8),TAF!CB8,IF(AND(TAF!Z9="TEMPO",NOT(E9+0.01&lt;TAF!AC9),E9-0.01&lt;TAF!AF9),TAF!CB9,IF(AND(TAF!Z10="TEMPO",NOT(E9+0.01&lt;TAF!AC10),E9-0.01&lt;TAF!AF10),TAF!CB10,IF(AND(TAF!Z11="TEMPO",NOT(E9+0.01&lt;TAF!AC11),E9-0.01&lt;TAF!AF11),TAF!CB11,IF(AND(TAF!Z12="TEMPO",NOT(E9+0.01&lt;TAF!AC12),E9-0.01&lt;TAF!AF12),TAF!CB12,IF(AND(TAF!Z13="TEMPO",NOT(E9+0.01&lt;TAF!AC13),E9-0.01&lt;TAF!AF13),TAF!CB13,IF(AND(TAF!Z14="TEMPO",NOT(E9+0.01&lt;TAF!AC14),E9-0.01&lt;TAF!AF14),TAF!CB14,IF(AND(TAF!Z15="TEMPO",NOT(E9+0.01&lt;TAF!AC15),E9-0.01&lt;TAF!AF15),TAF!CB15,IF(AND(TAF!Z16="TEMPO",NOT(E9+0.01&lt;TAF!AC16),E9-0.01&lt;TAF!AE16),TAF!CB16,IF(AND(TAF!Z17="TEMPO",NOT(E9+0.01&lt;TAF!AC17),E9-0.01&lt;TAF!AF17),TAF!CB17,IF(AND(TAF!Z18="TEMPO",NOT(E9+0.01&lt;TAF!AC18),E9-0.01&lt;TAF!AF18),TAF!CB18,""))))))))))))</f>
        <v/>
      </c>
      <c r="AL9" s="896" t="str">
        <f>IF(AND(TAF!Z7="PREDOM",E9&lt;TAF!AF7),TAF!BG7,IF(AND(TAF!Z8="PREDOM",E9&lt;TAF!AF8),TAF!BG8,IF(AND(TAF!Z9="PREDOM",E9&lt;TAF!AF9),TAF!BG9,IF(AND(TAF!Z10="PREDOM",E9&lt;TAF!AF10),TAF!BG10,IF(AND(TAF!Z11="PREDOM",E9&lt;TAF!AF11),TAF!BG11,IF(AND(TAF!Z12="PREDOM",E9&lt;TAF!AF12),TAF!BG12,IF(AND(TAF!Z13="PREDOM",E9&lt;TAF!AF13),TAF!BG13,IF(AND(TAF!Z14="PREDOM",E9&lt;TAF!AF14),TAF!BG14,IF(AND(TAF!Z15="PREDOM",E9&lt;TAF!AF15),TAF!BG15,IF(AND(TAF!Z16="PREDOM",E9&lt;TAF!AE16),TAF!BG16,IF(AND(TAF!Z17="PREDOM",E9&lt;TAF!AF17),TAF!BG17,IF(AND(TAF!Z18="PREDOM",E9&lt;TAF!AF18),TAF!BG18))))))))))))</f>
        <v/>
      </c>
      <c r="AM9" s="899" t="str">
        <f>IF(AL9="","",IF(AND(TAF!Z7="PREDOM",E9&lt;TAF!AF7),TAF!BH7,IF(AND(TAF!Z8="PREDOM",E9&lt;TAF!AF8),TAF!BH8,IF(AND(TAF!Z9="PREDOM",E9&lt;TAF!AF9),TAF!BH9,IF(AND(TAF!Z10="PREDOM",E9&lt;TAF!AF10),TAF!BH10,IF(AND(TAF!Z11="PREDOM",E9&lt;TAF!AF11),TAF!BH11,IF(AND(TAF!Z12="PREDOM",E9&lt;TAF!AF12),TAF!BH12,IF(AND(TAF!Z13="PREDOM",E9&lt;TAF!AF13),TAF!BH13,IF(AND(TAF!Z14="PREDOM",E9&lt;TAF!AF14),TAF!BH14,IF(AND(TAF!Z15="PREDOM",E9&lt;TAF!AF15),TAF!BH15,IF(AND(TAF!Z16="PREDOM",E9&lt;TAF!AE16),TAF!BH16,IF(AND(TAF!Z17="PREDOM",E9&lt;TAF!AF17),TAF!BH17,IF(AND(TAF!Z18="PREDOM",E9&lt;TAF!AF18),TAF!BH18)))))))))))))</f>
        <v/>
      </c>
      <c r="AN9" s="902" t="str">
        <f>IF(AL9="","",IF(AND(TAF!Z7="PREDOM",E9&lt;TAF!AF7),TAF!BI7,IF(AND(TAF!Z8="PREDOM",E9&lt;TAF!AF8),TAF!BI8,IF(AND(TAF!Z9="PREDOM",E9&lt;TAF!AF9),TAF!BI9,IF(AND(TAF!Z10="PREDOM",E9&lt;TAF!AF10),TAF!BI10,IF(AND(TAF!Z11="PREDOM",E9&lt;TAF!AF11),TAF!BI11,IF(AND(TAF!Z12="PREDOM",E9&lt;TAF!AF12),TAF!BI12,IF(AND(TAF!Z13="PREDOM",E9&lt;TAF!AF13),TAF!BI13,IF(AND(TAF!Z14="PREDOM",E9&lt;TAF!AF14),TAF!BI14,IF(AND(TAF!Z15="PREDOM",E9&lt;TAF!AF15),TAF!BI15,IF(AND(TAF!Z16="PREDOM",E9&lt;TAF!AE16),TAF!BI16,IF(AND(TAF!Z17="PREDOM",E9&lt;TAF!AF17),TAF!BI17,IF(AND(TAF!Z18="PREDOM",E9&lt;TAF!AF18),TAF!BI18)))))))))))))</f>
        <v/>
      </c>
      <c r="AO9" s="896" t="str">
        <f>IF(AND(TAF!Z7="PREDOM",E9&lt;TAF!AF7),TAF!BJ7,IF(AND(TAF!Z8="PREDOM",E9&lt;TAF!AF8),TAF!BJ8,IF(AND(TAF!Z9="PREDOM",E9&lt;TAF!AF9),TAF!BJ9,IF(AND(TAF!Z10="PREDOM",E9&lt;TAF!AF10),TAF!BJ10,IF(AND(TAF!Z11="PREDOM",E9&lt;TAF!AF11),TAF!BJ11,IF(AND(TAF!Z12="PREDOM",E9&lt;TAF!AF12),TAF!BJ12,IF(AND(TAF!Z13="PREDOM",E9&lt;TAF!AF13),TAF!BJ13,IF(AND(TAF!Z14="PREDOM",E9&lt;TAF!AF14),TAF!BJ14,IF(AND(TAF!Z15="PREDOM",E9&lt;TAF!AF15),TAF!BJ15,IF(AND(TAF!Z16="PREDOM",E9&lt;TAF!AE16),TAF!BJ16,IF(AND(TAF!Z17="PREDOM",E9&lt;TAF!AF17),TAF!BJ17,IF(AND(TAF!Z18="PREDOM",E9&lt;TAF!AF18),TAF!BJ18))))))))))))</f>
        <v/>
      </c>
      <c r="AP9" s="911" t="str">
        <f>IF(AO9="","",IF(AND(TAF!Z7="PREDOM",E9&lt;TAF!AF7),TAF!BK7,IF(AND(TAF!Z8="PREDOM",E9&lt;TAF!AF8),TAF!BK8,IF(AND(TAF!Z9="PREDOM",E9&lt;TAF!AF9),TAF!BK9,IF(AND(TAF!Z10="PREDOM",E9&lt;TAF!AF10),TAF!BK10,IF(AND(TAF!Z11="PREDOM",E9&lt;TAF!AF11),TAF!BK11,IF(AND(TAF!Z12="PREDOM",E9&lt;TAF!AF12),TAF!BK12,IF(AND(TAF!Z13="PREDOM",E9&lt;TAF!AF13),TAF!BK13,IF(AND(TAF!Z14="PREDOM",E9&lt;TAF!AF14),TAF!BK14,IF(AND(TAF!Z15="PREDOM",E9&lt;TAF!AF15),TAF!BK15,IF(AND(TAF!Z16="PREDOM",E9&lt;TAF!AE16),TAF!BK16,IF(AND(TAF!Z17="PREDOM",E9&lt;TAF!AF17),TAF!BK17,IF(AND(TAF!Z18="PREDOM",E9&lt;TAF!AF18),TAF!BK18)))))))))))))</f>
        <v/>
      </c>
      <c r="AQ9" s="907" t="str">
        <f>IF(AO9="","",IF(AND(TAF!Z7="PREDOM",E9&lt;TAF!AF7),TAF!BL7,IF(AND(TAF!Z8="PREDOM",E9&lt;TAF!AF8),TAF!BL8,IF(AND(TAF!Z9="PREDOM",E9&lt;TAF!AF9),TAF!BL9,IF(AND(TAF!Z10="PREDOM",E9&lt;TAF!AF10),TAF!BL10,IF(AND(TAF!Z11="PREDOM",E9&lt;TAF!AF11),TAF!BL11,IF(AND(TAF!Z12="PREDOM",E9&lt;TAF!AF12),TAF!BL12,IF(AND(TAF!Z13="PREDOM",E9&lt;TAF!AF13),TAF!BL13,IF(AND(TAF!Z14="PREDOM",E9&lt;TAF!AF14),TAF!BL14,IF(AND(TAF!Z15="PREDOM",E9&lt;TAF!AF15),TAF!BL15,IF(AND(TAF!Z16="PREDOM",E9&lt;TAF!AE16),TAF!BL16,IF(AND(TAF!Z17="PREDOM",E9&lt;TAF!AF17),TAF!BL17,IF(AND(TAF!Z18="PREDOM",E9&lt;TAF!AF18),TAF!BL18)))))))))))))</f>
        <v/>
      </c>
      <c r="AR9" s="894" t="str">
        <f>IF(AND(TAF!Z7="PREDOM",E9&lt;TAF!AF7),TAF!BM7,IF(AND(TAF!Z8="PREDOM",E9&lt;TAF!AF8),TAF!BM8,IF(AND(TAF!Z9="PREDOM",E9&lt;TAF!AF9),TAF!BM9,IF(AND(TAF!Z10="PREDOM",E9&lt;TAF!AF10),TAF!BM10,IF(AND(TAF!Z11="PREDOM",E9&lt;TAF!AF11),TAF!BM11,IF(AND(TAF!Z12="PREDOM",E9&lt;TAF!AF12),TAF!BM12,IF(AND(TAF!Z13="PREDOM",E9&lt;TAF!AF13),TAF!BM13,IF(AND(TAF!Z14="PREDOM",E9&lt;TAF!AF14),TAF!BM14,IF(AND(TAF!Z15="PREDOM",E9&lt;TAF!AF15),TAF!BM15,IF(AND(TAF!Z16="PREDOM",E9&lt;TAF!AE16),TAF!BM16,IF(AND(TAF!Z17="PREDOM",E9&lt;TAF!AF17),TAF!BM17,IF(AND(TAF!Z18="PREDOM",E9&lt;TAF!AF18),TAF!BM18))))))))))))</f>
        <v/>
      </c>
      <c r="AS9" s="911" t="str">
        <f>IF(AR9="","",IF(AND(TAF!Z7="PREDOM",E9&lt;TAF!AF7),TAF!BN7,IF(AND(TAF!Z8="PREDOM",E9&lt;TAF!AF8),TAF!BN8,IF(AND(TAF!Z9="PREDOM",E9&lt;TAF!AF9),TAF!BN9,IF(AND(TAF!Z10="PREDOM",E9&lt;TAF!AF10),TAF!BN10,IF(AND(TAF!Z11="PREDOM",E9&lt;TAF!AF11),TAF!BN11,IF(AND(TAF!Z12="PREDOM",E9&lt;TAF!AF12),TAF!BN12,IF(AND(TAF!Z13="PREDOM",E9&lt;TAF!AF13),TAF!BN13,IF(AND(TAF!Z14="PREDOM",E9&lt;TAF!AF14),TAF!BN14,IF(AND(TAF!Z15="PREDOM",E9&lt;TAF!AF15),TAF!BN15,IF(AND(TAF!Z16="PREDOM",E9&lt;TAF!AE16),TAF!BN16,IF(AND(TAF!Z17="PREDOM",E9&lt;TAF!AF17),TAF!BN17,IF(AND(TAF!Z18="PREDOM",E9&lt;TAF!AF18),TAF!BN18)))))))))))))</f>
        <v/>
      </c>
      <c r="AT9" s="907" t="str">
        <f>IF(AR9="","",IF(AND(TAF!Z7="PREDOM",E9&lt;TAF!AF7),TAF!BO7,IF(AND(TAF!Z8="PREDOM",E9&lt;TAF!AF8),TAF!BO8,IF(AND(TAF!Z9="PREDOM",E9&lt;TAF!AF9),TAF!BO9,IF(AND(TAF!Z10="PREDOM",E9&lt;TAF!AF10),TAF!BO10,IF(AND(TAF!Z11="PREDOM",E9&lt;TAF!AF11),TAF!BO11,IF(AND(TAF!Z12="PREDOM",E9&lt;TAF!AF12),TAF!BO12,IF(AND(TAF!Z13="PREDOM",E9&lt;TAF!AF13),TAF!BO13,IF(AND(TAF!Z14="PREDOM",E9&lt;TAF!AF14),TAF!BO14,IF(AND(TAF!Z15="PREDOM",E9&lt;TAF!AF15),TAF!BO15,IF(AND(TAF!Z16="PREDOM",E9&lt;TAF!AE16),TAF!BO16,IF(AND(TAF!Z17="PREDOM",E9&lt;TAF!AF17),TAF!BO17,IF(AND(TAF!Z18="PREDOM",E9&lt;TAF!AF18),TAF!BO18)))))))))))))</f>
        <v/>
      </c>
      <c r="AU9" s="95" t="str">
        <f>IF(AND(TAF!Z7="TEMPO",NOT(E9+0.01&lt;TAF!AC7),E9-0.01&lt;TAF!AF7),TAF!BP7,IF(AND(TAF!Z8="TEMPO",NOT(E9+0.01&lt;TAF!AC8),E9-0.01&lt;TAF!AF8),TAF!BP8,IF(AND(TAF!Z9="TEMPO",NOT(E9+0.01&lt;TAF!AC9),E9-0.01&lt;TAF!AF9),TAF!BP9,IF(AND(TAF!Z10="TEMPO",NOT(E9+0.01&lt;TAF!AC10),E9-0.01&lt;TAF!AF10),TAF!BP10,IF(AND(TAF!Z11="TEMPO",NOT(E9+0.01&lt;TAF!AC11),E9-0.01&lt;TAF!AF11),TAF!BP11,IF(AND(TAF!Z12="TEMPO",NOT(E9+0.01&lt;TAF!AC12),E9-0.01&lt;TAF!AF12),TAF!BP12,IF(AND(TAF!Z13="TEMPO",NOT(E9+0.01&lt;TAF!AC13),E9-0.01&lt;TAF!AF13),TAF!BP13,IF(AND(TAF!Z14="TEMPO",NOT(E9+0.01&lt;TAF!AC14),E9-0.01&lt;TAF!AF14),TAF!BP14,IF(AND(TAF!Z15="TEMPO",NOT(E9+0.01&lt;TAF!AC15),E9-0.01&lt;TAF!AF15),TAF!BP15,IF(AND(TAF!Z16="TEMPO",NOT(E9+0.01&lt;TAF!AC16),E9-0.01&lt;TAF!AE16),TAF!BP16,IF(AND(TAF!Z17="TEMPO",NOT(E9+0.01&lt;TAF!AC17),E9-0.01&lt;TAF!AF17),TAF!BP17,IF(AND(TAF!Z18="TEMPO",NOT(E9+0.01&lt;TAF!AC18),E9-0.01&lt;TAF!AF18),TAF!BP18,""))))))))))))</f>
        <v/>
      </c>
      <c r="AV9" s="96" t="str">
        <f>IF(AND(TAF!Z7="PREDOM",E9&lt;TAF!AF7),TAF!CD7,IF(AND(TAF!Z8="PREDOM",E9&lt;TAF!AF8),TAF!CD8,IF(AND(TAF!Z9="PREDOM",E9&lt;TAF!AF9),TAF!CD9,IF(AND(TAF!Z10="PREDOM",E9&lt;TAF!AF10),TAF!CD10,IF(AND(TAF!Z11="PREDOM",E9&lt;TAF!AF11),TAF!CD11,IF(AND(TAF!Z12="PREDOM",E9&lt;TAF!AF12),TAF!CD12,IF(AND(TAF!Z13="PREDOM",E9&lt;TAF!AF13),TAF!CD13,IF(AND(TAF!Z14="PREDOM",E9&lt;TAF!AF14),TAF!CD14,IF(AND(TAF!Z15="PREDOM",E9&lt;TAF!AF15),TAF!CD15,IF(AND(TAF!Z16="PREDOM",E9&lt;TAF!AE16),TAF!CD16,IF(AND(TAF!Z17="PREDOM",E9&lt;TAF!AF17),TAF!CD17,IF(AND(TAF!Z18="PREDOM",E9&lt;TAF!AF18),TAF!CD18))))))))))))</f>
        <v/>
      </c>
      <c r="AW9" s="97" t="str">
        <f>IF(AND(TAF!Z7="TEMPO",NOT(E9+0.01&lt;TAF!AC7),E9-0.01&lt;TAF!AF7),TAF!CD7,IF(AND(TAF!Z8="TEMPO",NOT(E9+0.01&lt;TAF!AC8),E9-0.01&lt;TAF!AF8),TAF!CD8,IF(AND(TAF!Z9="TEMPO",NOT(E9+0.01&lt;TAF!AC9),E9-0.01&lt;TAF!AF9),TAF!CD9,IF(AND(TAF!Z10="TEMPO",NOT(E9+0.01&lt;TAF!AC10),E9-0.01&lt;TAF!AF10),TAF!CD10,IF(AND(TAF!Z11="TEMPO",NOT(E9+0.01&lt;TAF!AC11),E9-0.01&lt;TAF!AF11),TAF!CD11,IF(AND(TAF!Z12="TEMPO",NOT(E9+0.01&lt;TAF!AC12),E9-0.01&lt;TAF!AF12),TAF!CD12,IF(AND(TAF!Z13="TEMPO",NOT(E9+0.01&lt;TAF!AC13),E9-0.01&lt;TAF!AF13),TAF!CD13,IF(AND(TAF!Z14="TEMPO",NOT(E9+0.01&lt;TAF!AC14),E9-0.01&lt;TAF!AF14),TAF!CD14,IF(AND(TAF!Z15="TEMPO",NOT(E9+0.01&lt;TAF!AC15),E9-0.01&lt;TAF!AF15),TAF!CD15,IF(AND(TAF!Z16="TEMPO",NOT(E9+0.01&lt;TAF!AC16),E9-0.01&lt;TAF!AE16),TAF!CD16,IF(AND(TAF!Z17="TEMPO",NOT(E9+0.01&lt;TAF!AC17),E9-0.01&lt;TAF!AF17),TAF!CD17,IF(AND(TAF!Z18="TEMPO",NOT(E9+0.01&lt;TAF!AC18),E9-0.01&lt;TAF!AF18),TAF!CD18,""))))))))))))</f>
        <v/>
      </c>
      <c r="AX9" s="98" t="str">
        <f>IF(OR(AND(H9&lt;&gt;"",H9&gt;(MLT!$E$5-1)),J9&lt;(MLT!$E$8+0.01),L9="TS",O9="TS",R9&lt;(MLT!$E$9),AND(AB9&lt;&gt;"",AB9&gt;(MLT!$E$6-1)),AL9=MLT!$E$7,AL9=MLT!$F$7),"R",IF(OR(AND(H9&lt;&gt;"",H9&gt;(MLT!$H$5-1)),AND(I9&lt;&gt;"",I9&gt;(MLT!$H$5-1)),J9&lt;MLT!$H$8,K9&lt;MLT!$H$8,L9=MLT!$H$10,O9=MLT!$E$10,O9=MLT!$H$10,R9&lt;MLT!$H$9,S9&lt;MLT!$H$9,AND(AB9&lt;&gt;"",AB9&gt;0),AND(AE9&lt;&gt;"",AE9&gt;0),AND(AH9&lt;&gt;"",AH9&gt;0),AND(AK9&lt;&gt;"",AK9&gt;0),AND(AL9&lt;&gt;"",AL9&lt;&gt;4,AL9&gt;2),AND(AO9&lt;&gt;"",AO9&lt;&gt;4,AO9&gt;2),AND(AR9&lt;&gt;"",AR9&lt;&gt;4,AR9&gt;2),AND(AU9&lt;&gt;"",AU9&lt;&gt;4,AU9&gt;2)),"Y","G"))</f>
        <v>G</v>
      </c>
      <c r="AY9" s="99" t="str">
        <f>IF(OR(AND(H9&lt;&gt;"",H9&gt;(MLT!$E$13-1)),J9&lt;MLT!$E$17,R9&lt;MLT!$E$19,L9="TS",O9="TS",AND(AB9&lt;&gt;"",AB9&gt;3,AC9&lt;30),AND(AE9&lt;&gt;"",AE9&gt;3,AF9&lt;30),AND(AH9&lt;&gt;"",AH9&gt;3,AI9&lt;30),AND(OR(AL9=7,AL9=9),AM9&lt;30),AND(OR(AO9=7,AO9=9),AP9&lt;30),AND(OR(AR9=7,AR9=9),AS9&lt;30)),"R",IF(OR(AND(H9&lt;&gt;"",H9&gt;(MLT!$H$13-1)),AND(I9&lt;&gt;"",I9&gt;(MLT!$H$13-1)),J9&lt;MLT!$H$17,K9&lt;MLT!$H$17,R9&lt;MLT!$H$19,S9&lt;MLT!$H$19,L9="VCTS",O9="VCTS",AND(AB9&lt;&gt;"",AB9&gt;1),AND(AK9&lt;&gt;"",AK9&gt;0),AND(AL9&lt;&gt;"",AL9&gt;1),AND(AO9&lt;&gt;"",AO9&gt;1),AND(AR9&lt;&gt;"",AR9&gt;1),AU9=3,AND(AU9&lt;&gt;"",AU9&gt;4),AV9="LLWS",AW9="LLWS"),"Y","G"))</f>
        <v>G</v>
      </c>
      <c r="AZ9" s="99" t="str">
        <f>IF(OR(AND(H9&lt;&gt;"",H9&gt;(MLT!$E$13-1)),J9&lt;MLT!$E$16,R9&lt;MLT!$E$18,L9="TS",O9="TS",AND(AB9&lt;&gt;"",AB9&gt;3,AC9&lt;30),AND(AE9&lt;&gt;"",AE9&gt;3,AF9&lt;30),AND(AH9&lt;&gt;"",AH9&gt;3,AI9&lt;30),AND(OR(AL9=7,AL9=9),AM9&lt;30),AND(OR(AO9=7,AO9=9),AP9&lt;30),AND(OR(AR9=7,AR9=9),AS9&lt;30)),"R",IF(OR(AND(H9&lt;&gt;"",H9&gt;(MLT!$H$13-1)),AND(I9&lt;&gt;"",I9&gt;(MLT!$H$13-1)),J9&lt;MLT!$H$17,K9&lt;MLT!$H$17,R9&lt;MLT!$H$19,S9&lt;MLT!$H$19,L9="VCTS",O9="VCTS",AND(AB9&lt;&gt;"",AB9&gt;1),AND(AK9&lt;&gt;"",AK9&gt;0),AND(AL9&lt;&gt;"",AL9&gt;1),AND(AO9&lt;&gt;"",AO9&gt;1),AND(AR9&lt;&gt;"",AR9&gt;1),AU9=3,AND(AU9&lt;&gt;"",AU9&gt;4),AV9="LLWS",AW9="LLWS"),"Y","G"))</f>
        <v>G</v>
      </c>
      <c r="BA9" s="99" t="str">
        <f>IF(OR(IF(MEF!$AP$14="Hoist",OR(G9&gt;19,AND(H9&lt;&gt;"",H9&gt;19)),AND(H9&lt;&gt;"",H9&gt;(MLT!$E$23-1))),AND(B9&gt;MEF!$Z$11,J9&lt;MLT!$E$26),AND(B9&lt;MEF!$E$53,J9&lt;MLT!$E$26),J9&lt;MLT!$E$27,AND(B9&gt;MEF!$Z$11,R9&lt;MLT!$E$28),AND(B9&lt;MEF!$E$53,R9&lt;MLT!$E$28),R9&lt;MLT!$E$29,L9="TS",O9="TS",AND(AB9&lt;&gt;"",AB9&gt;3,AC9&lt;30),AND(AE9&lt;&gt;"",AE9&gt;3,AF9&lt;30),AND(AH9&lt;&gt;"",AH9&gt;3,AI9&lt;30),AND(OR(AL9=7,AL9=9),AM9&lt;30),AND(OR(AO9=7,AO9=9),AP9&lt;30),AND(OR(AR9=7,AR9=9),AS9&lt;30)),"R",IF(OR(AND(H9&lt;&gt;"",H9&gt;(MLT!$H$23-1)),AND(I9&lt;&gt;"",I9&gt;(MLT!$H$23-1)),AND(B9&gt;MEF!$Z$11,J9&lt;MLT!$H$26),AND(B9&lt;MEF!$E$53,J9&lt;MLT!$H$26),AND(B9&gt;MEF!$Z$11,K9&lt;MLT!$H$26),AND(B9&lt;MEF!$E$53,K9&lt;MLT!$H$26),J9&lt;MLT!$H$27,K9&lt;MLT!$H$27,AND(B9&gt;MEF!$Z$11,R9&lt;MLT!$H$28),AND(B9&lt;MEF!$E$53,R9&lt;MLT!$H$28),AND(B9&gt;MEF!$Z$11,S9&lt;MLT!$H$28),AND(B9&lt;MEF!$E$53,S9&lt;MLT!$H$28),R9&lt;MLT!$H$29,S9&lt;MLT!$H$29,L9="VCTS",O9="VCTS",U9&gt;90,U9&lt;-29,AB9&lt;&gt;"",AK9&lt;&gt;"",AND(AL9&lt;&gt;"",AL9&gt;1),AND(AO9&lt;&gt;"",AO9&gt;1),AND(AR9&lt;&gt;"",AR9&gt;1),AU9=3,AND(AU9&lt;&gt;"",AU9&gt;4),AV9="LLWS",AW9="LLWS"),"Y","G"))</f>
        <v>G</v>
      </c>
      <c r="BB9" s="99" t="str">
        <f>IF(OR(AND(H9&lt;&gt;"",H9&gt;(MLT!$E$23-1)),AND(B9&gt;MEF!$Z$11,J9&lt;MLT!$F$26),AND(B9&lt;MEF!$E$53,J9&lt;MLT!$F$26),J9&lt;MLT!$F$27,AND(B9&gt;MEF!$Z$11,R9&lt;MLT!$F$28),AND(B9&lt;MEF!$E$53,R9&lt;MLT!$F$28),R9&lt;MLT!$F$29,L9="TS",O9="TS",AND(AB9&lt;&gt;"",AB9&gt;3,AC9&lt;30),AND(AE9&lt;&gt;"",AE9&gt;3,AF9&lt;30),AND(AH9&lt;&gt;"",AH9&gt;3,AI9&lt;30),AND(OR(AL9=7,AL9=9),AM9&lt;30),AND(OR(AO9=7,AO9=9),AP9&lt;30),AND(OR(AR9=7,AR9=9),AS9&lt;30)),"R",IF(OR(AND(H9&lt;&gt;"",H9&gt;(MLT!$I$23-1)),AND(I9&lt;&gt;"",I9&gt;(MLT!$I$23-1)),AND(B9&gt;MEF!$Z$11,J9&lt;MLT!$I$26),AND(B9&lt;MEF!$E$53,J9&lt;MLT!$I$26),AND(B9&gt;MEF!$Z$11,K9&lt;MLT!$I$26),AND(B9&lt;MEF!$E$53,K9&lt;MLT!$I$26),J9&lt;MLT!$I$27,K9&lt;MLT!$I$27,AND(B9&gt;MEF!$Z$11,R9&lt;MLT!$I$28),AND(B9&lt;MEF!$E$53,R9&lt;MLT!$I$28),AND(B9&gt;MEF!$Z$11,S9&lt;MLT!$I$28),AND(B9&lt;MEF!$E$53,S9&lt;MLT!$I$28),R9&lt;MLT!$I$29,S9&lt;MLT!$I$29,L9="VCTS",O9="VCTS",U9&gt;94,U9&lt;-29,AB9&lt;&gt;"",AK9&lt;&gt;"",AND(AL9&lt;&gt;"",AL9&gt;1),AND(AO9&lt;&gt;"",AO9&gt;1),AND(AR9&lt;&gt;"",AR9&gt;1),AU9=3,AND(AU9&lt;&gt;"",AU9&gt;4),AV9="LLWS",AW9="LLWS",CE9&lt;30,AND(CJ9&lt;25,CJ9&lt;&gt;0)),"Y","G"))</f>
        <v>G</v>
      </c>
      <c r="BC9" s="99" t="str">
        <f>IF(OR(G9&gt;(MLT!F$35-1),AND(H9&lt;&gt;"",H9&gt;(MLT!E$35-1)),J9&lt;MLT!E$38,R9&lt;MLT!E$39,L9="TS",O9="TS",N9="Y",T9&gt;50.49,T9&lt;-20.5,W9&gt;0.9449,AA9&gt;8999,AND(AB9&lt;&gt;"",AB9&gt;0),AND(AL9&lt;&gt;"",AL9&gt;1)),"R",IF(OR(G9&gt;(MLT!I$35-1),AND(H9&lt;&gt;"",H9&gt;(MLT!H$35-1)),AND(I9&lt;&gt;"",I9&gt;(MLT!H$35-1)),J9&lt;MLT!H$38,K9&lt;MLT!H$38,M9&lt;&gt;"",P9&lt;&gt;"",R9&lt;MLT!H$39,S9&lt;MLT!H$39,L9="VCTS",O9="VCTS",T9&gt;45.49,T9&lt;-14,W9&gt;0.8449,AA9&gt;6999,AND(AB9&lt;&gt;"",AB9&gt;0),AND(AK9&lt;&gt;"",AK9&gt;0),AND(AL9&lt;&gt;"",AL9&gt;0),AND(AU9&lt;&gt;"",AU9&gt;0),AV9="LLWS",AW9="LLWS"),"Y","G"))</f>
        <v>G</v>
      </c>
      <c r="BD9" s="99" t="str">
        <f>IF(OR(AND(NOT(H9=""),H9&gt;(MLT!E48-1)),AND(NOT(I9=""),I9&gt;(MLT!E48-1)),J9&lt;0.26,NOT(L9=""),U9&lt;14.5,AND(X5="Wind Chill",X9&lt;-0.5),AND(X5="WBGT",X9&gt;89.49)),"R",IF(OR(AND(NOT(H9=""),H9&gt;(MLT!H48-1)),AND(NOT(I9=""),I9&gt;(MLT!H48-1)),J9&lt;1,NOT(M9=""),NOT(P9=""),NOT(O9=""),U9&lt;31.5,AND(X5="Wind Chill",X9&lt;14.5),AND(X5="WBGT",X9&gt;77.49)),"Y","G"))</f>
        <v>Y</v>
      </c>
      <c r="BE9" s="99" t="str">
        <f>IF(OR(AND(H9&lt;&gt;"",H9&gt;(MLT!$E$56)),J9&lt;MLT!$E$59,R9&lt;MLT!$E$60,L9="TS",O9="TS",AND(AB9&lt;&gt;"",AC9&lt;30),AND(AE9&lt;&gt;"",AF9&lt;30),AND(AH9&lt;&gt;"",AI9&lt;30),AND(AL9&lt;&gt;"",AL9&gt;0,AM9&lt;30),AND(AO9&lt;&gt;"",AO9&gt;0,AP9&lt;30),AND(AR9&lt;&gt;"",AR9&gt;0,AS9&lt;30)),"R",IF(OR(AND(H9&lt;&gt;"",H9&gt;MLT!$H$56),AND(I9&lt;&gt;"",I9&gt;MLT!$H$56),J9&lt;MLT!$H$59,K9&lt;MLT!$H$59,R9&lt;MLT!$H$60,S9&lt;MLT!$H$60,L9="VCTS",O9="VCTS",AB9&lt;&gt;"",AK9&lt;&gt;"",AL9&lt;&gt;"",AU9&lt;&gt;"",AV9="LLWS",AW9="LLWS"),"Y","G"))</f>
        <v>G</v>
      </c>
      <c r="BF9" s="99" t="str">
        <f>IF(OR(AND(H9&lt;&gt;"",H9&gt;(MLT!$E$64)),L9="TS",O9="TS",AND(AB9&lt;&gt;"",AB9&gt;3,AC9&lt;30),AND(AE9&lt;&gt;"",AE9&gt;3,AF9&lt;30),AND(AH9&lt;&gt;"",AH9&gt;3,AI9&lt;30),AND(AL9=7,AM9&lt;30),AND(AL9=9,AM9&lt;30),AND(AO9=7,AP9&lt;30),AND(AO9=9,AP9&lt;30),AND(AR9=7,AS9&lt;30),AND(AR9=9,AS9&lt;30)),"R",IF(OR(AND(H9&lt;&gt;"",H9&gt;MLT!$H$64),AND(I9&lt;&gt;"",I9&gt;MLT!$H$64),J9&lt;MLT!$H$67,K9&lt;MLT!$H$67,R9&lt;MLT!$H$68,S9&lt;MLT!$H$68,L9="VCTS",O9="VCTS",calc!U9&gt;90,U9&lt;-29,AB9&lt;&gt;"",AK9&lt;&gt;"",AND(AL9&lt;&gt;"",AL9&gt;1),AND(AO9&lt;&gt;"",AO9&gt;1),AND(AR9&lt;&gt;"",AR9&gt;1),AND(AU9&lt;&gt;"",AU9&gt;1),AV9="LLWS",AW9="LLWS"),"Y","G"))</f>
        <v>G</v>
      </c>
      <c r="BG9" s="99" t="str">
        <f>IF(OR(AND(H9&lt;&gt;"",H9&gt;(MLT!$E$73)),L9="TS",O9="TS",AND(AB9&lt;&gt;"",AC9&lt;30),AND(AE9&lt;&gt;"",AF9&lt;30),AND(AH9&lt;&gt;"",AI9&lt;30),AND(AL9=3,AM9&lt;30),AND(AL9&lt;&gt;"",AL9&gt;4,AM9&lt;30),AND(AO9=3,AP9&lt;30),AND(AO9&lt;&gt;"",AO9&gt;4,AP9&lt;30),AND(AR9=3,AS9&lt;30),AND(AR9&lt;&gt;"",AR9&gt;4,AS9&lt;30)),"R",IF(OR(AND(H9&lt;&gt;"",H9&gt;MLT!$H$73),AND(I9&lt;&gt;"",I9&gt;MLT!$H$73),J9&lt;MLT!$H$76,K9&lt;MLT!$H$76,R9&lt;MLT!$H$77,S9&lt;MLT!$H$77,L9="VCTS",O9="VCTS",AB9&lt;&gt;"",AK9&lt;&gt;"",AL9&lt;&gt;"",AU9&lt;&gt;"",AV9="LLWS",AW9="LLWS"),"Y","G"))</f>
        <v>G</v>
      </c>
      <c r="BH9" s="99" t="str">
        <f>IF(OR(IF(H9="",G9,H9)&gt;MLT!$E$81,IF(H9="",G9,H9)-G9&gt;19,IF(F9="VRB",FALSE(),(IF(AND(F9&gt;89,F9&lt;271),SIN(RADIANS(MAX(180,F9)-MIN(180,F9))),SIN(RADIANS(IF(F9&gt;269,360-F9,F9)))))*(IF(H9="",G9,H9))&gt;MLT!$E$82),J9&lt;MLT!$E$86,L9="TS",L9="VCTS",O9="TS",R9&lt;MLT!$E$87,U9&gt;MLT!$E$88,AND(AB9&lt;&gt;"",AB9&gt;3,AC9&lt;100),AND(AE9&lt;&gt;"",AE9&gt;3,AF9&lt;100),AND(AH9&lt;&gt;"",AH9&gt;3,AI9&lt;100),AND(AL9=7,AM9&lt;100),AND(AL9=9,AM9&lt;100),AND(AO9=7,AP9&lt;100),AND(AO9=9,AP9&lt;100),AND(AR9=7,AS9&lt;100),AND(AR9=9,AS9&lt;100),AV9="LLWS"),"R",IF(OR(AND(H9&lt;&gt;"",H9&gt;14),IF(F9="VRB",FALSE(),(IF(AND(F9&gt;89,F9&lt;271),SIN(RADIANS(MAX(180,F9)-MIN(180,F9))),SIN(RADIANS(IF(F9&gt;269,360-F9,F9)))))*(IF(H9="",G9,H9))&gt;MLT!$H$82),AND(I9&lt;&gt;"",I9&gt;14),J9&lt;MLT!$H$86,K9&lt;MLT!$H$86,R9&lt;MLT!$H$87,S9&lt;MLT!$H$87,O9="VCTS",calc!U9&gt;90,AB9&lt;&gt;"",AK9&lt;&gt;"",AND(AL9&lt;&gt;"",AL9&gt;1),AND(AO9&lt;&gt;"",AO9&gt;1),AND(AR9&lt;&gt;"",AR9&gt;1),AND(AU9&lt;&gt;"",AU9&gt;1),AW9="LLWS"),"Y","G"))</f>
        <v>G</v>
      </c>
      <c r="BI9" s="99" t="str">
        <f>IF(OR(IF(H9="",G9,H9)&gt;MLT!$E$92,J9&lt;MLT!$E$95,L9="TS",L9="VCTS",O9="TS",R9&lt;MLT!$E$96,AND(AB9&lt;&gt;"",AB9&gt;3,AC9&lt;100),AND(AE9&lt;&gt;"",AE9&gt;3,AF9&lt;100),AND(AH9&lt;&gt;"",AH9&gt;3,AI9&lt;100),AND(AL9=7,AM9&lt;100),AND(AL9=9,AM9&lt;100),AND(AO9=7,AP9&lt;100),AND(AO9=9,AP9&lt;100),AND(AR9=7,AS9&lt;100),AND(AR9=9,AS9&lt;100)),"R",IF(OR(AND(H9&lt;&gt;"",H9&gt;14),AND(I9&lt;&gt;"",I9&gt;14),J9&lt;MLT!$H$95,K9&lt;MLT!$H$95,R9&lt;MLT!$H$96,S9&lt;MLT!$H$96,O9="VCTS",AB9&lt;&gt;"",AK9&lt;&gt;"",AND(AL9&lt;&gt;"",AL9&gt;1),AND(AO9&lt;&gt;"",AO9&gt;1),AND(AR9&lt;&gt;"",AR9&gt;1),AND(AU9&lt;&gt;"",AU9&gt;1),AV9="LLWS",AW9="LLWS"),"Y","G"))</f>
        <v>G</v>
      </c>
      <c r="BK9" s="41">
        <f t="shared" si="4"/>
        <v>26.972048135303492</v>
      </c>
      <c r="BL9" s="41">
        <f t="shared" si="5"/>
        <v>26.972048135303492</v>
      </c>
      <c r="BM9" s="41">
        <f>IF(R9&gt;200,T9+(LOOKUP(Worksheet!BD6,BV8:BV10,BW8:BW10)*(CA9/BZ9)),IF(AND(R9&lt;210,R9&gt;29),T9+(0.5*LOOKUP(Worksheet!BD6,BV8:BV10,BW8:BW10)*(CA9/BZ9)),T9+0.25*(LOOKUP(Worksheet!BD6,BV8:BV10,BW8:BW10)*(CA9/BZ9))))</f>
        <v>34.08880022442878</v>
      </c>
      <c r="BN9" s="41">
        <f t="shared" si="6"/>
        <v>34.08880022442878</v>
      </c>
      <c r="BO9" s="42">
        <f t="shared" si="7"/>
        <v>24.444444444444446</v>
      </c>
      <c r="BP9" s="43">
        <f t="shared" si="8"/>
        <v>98.720525016705977</v>
      </c>
      <c r="BQ9" s="44">
        <f t="shared" si="9"/>
        <v>3.0669538394971729</v>
      </c>
      <c r="BR9" s="42">
        <f t="shared" ref="BR9:BR20" si="17">BN9+(21*CA9/BZ9)</f>
        <v>47.579370778308345</v>
      </c>
      <c r="BS9" s="42">
        <f t="shared" si="10"/>
        <v>47.579370778308345</v>
      </c>
      <c r="BT9" s="42">
        <f t="shared" si="11"/>
        <v>47.579370778308345</v>
      </c>
      <c r="BU9" s="42"/>
      <c r="BV9" s="1610" t="s">
        <v>486</v>
      </c>
      <c r="BW9" s="834">
        <v>5</v>
      </c>
      <c r="BX9" s="106">
        <f>DEGREES(ASIN(BY9*COS(RADIANS(LOOKUP(Worksheet!Q6,'Light Data '!A3:A377,'Light Data '!J3:J377)))*COS(RADIANS(Worksheet!R2))+SIN(RADIANS(LOOKUP(Worksheet!Q6,'Light Data '!A3:A377,'Light Data '!J3:J377)))*SIN(RADIANS(Worksheet!R2))))</f>
        <v>39.164850283714841</v>
      </c>
      <c r="BY9" s="515">
        <f>COS(RADIANS(15*((MAX(CF5,(HOUR(C9)/24))-MIN(CF5,(HOUR(C9)/24)))*24)))</f>
        <v>0.54280804498424851</v>
      </c>
      <c r="BZ9" s="516">
        <f>IF(BX9&lt;0,0.1,((128*10^3)*(1+0.033412*COS(2*PI()*(((CH4-CH3)-3)/365)))))</f>
        <v>123724.68965631575</v>
      </c>
      <c r="CA9" s="516">
        <f>IF(BX9&lt;0,0,((128*10^3)*(1+0.033412*COS(2*PI()*(((CH4-CH3)-3)/365))))*POWER(EXP(1),0-(CB9*(1/(SIN(RADIANS(BX9+(244/(165+47*(POWER(BX9,1.1)))))))))))</f>
        <v>79481.745479303863</v>
      </c>
      <c r="CB9" s="389">
        <f t="shared" si="12"/>
        <v>0.28000000000000003</v>
      </c>
      <c r="CC9" s="112" t="str">
        <f t="shared" ref="CC9:CC13" si="18">IF(CF9="D","&lt;0",IF(CF9="U1",SIN(((C9-$CF$2)/(INDEX($CK$5:$CP$5,1,MATCH("U1",$CK$4:$CP$4,0)+1)-$CF$2))*(PI()/2))*(IF($CN$4="M2",$CK$7,$CE$7)),IF(CF9="M1",SIN(((INDEX($CK$5:$CP$5,1,MATCH("M1",$CK$4:$CP$4,0)+1)-C9)/(INDEX($CK$5:$CP$5,1,MATCH("M1",$CK$4:$CP$4,0)+1)-$CJ$2))*(PI()/2))*$CE$7,IF(CF9="U2",SIN(((C9-$CH$2)/($CK$2-$CH$2))*(PI()/2))*$CK$7,SIN(((INDEX($CK$5:$CP$5,1,MATCH("M2",$CK$4:$CP$4,0)+1)-C9)/(INDEX($CK$5:$CP$5,1,MATCH("M2",$CK$4:$CP$4,0)+1)-$CK$2))*(PI()/2))*$CK$7))))</f>
        <v>&lt;0</v>
      </c>
      <c r="CD9" s="112" t="str">
        <f t="shared" ref="CD9:CD26" si="19">IF(AND(C9&gt;$CF$3,C9&lt;$CF$4),"("&amp;IF(ISNUMBER(CC9),ROUND(CC9,0),CC9)&amp;")",CC9)</f>
        <v>(&lt;0)</v>
      </c>
      <c r="CE9" s="112">
        <f t="shared" ref="CE9:CE26" si="20">IF(OR(AND(C9&gt;$CF$3,C9&lt;$CF$4),CC9="&lt;0"),99,CC9)</f>
        <v>99</v>
      </c>
      <c r="CF9" s="66" t="str">
        <f t="shared" ref="CF9:CF26" si="21">IF(C9&lt;$CG$7,"D",INDEX($CK$4:$CP$4,MATCH(C9,$CK$5:$CP$5,1)))</f>
        <v>D</v>
      </c>
      <c r="CI9" s="834">
        <f>INDEX('Light Data '!$H$3:$H$381,MATCH(ROUNDDOWN(C9,0),'Light Data '!$A$3:$A$381,0))-(((INDEX('Light Data '!$H$3:$H$381,MATCH(ROUNDDOWN(C9,0),'Light Data '!$A$3:$A$381,0))-(INDEX('Light Data '!$H$3:$H$381,MATCH(ROUNDDOWN(C9,0)+1,'Light Data '!$A$3:$A$381,0))))/24)*HOUR(C9))</f>
        <v>45.166666666666664</v>
      </c>
      <c r="CJ9" s="834" t="str">
        <f t="shared" ref="CJ9:CJ26" si="22">IF(AND(C9&gt;$CF$3,C9&lt;$CF$4),"NA",IF(CC9="&lt;0",0,CI9))</f>
        <v>NA</v>
      </c>
    </row>
    <row r="10" spans="1:97" ht="15" customHeight="1" thickTop="1" thickBot="1">
      <c r="A10" s="527">
        <f>HOUR(C10)</f>
        <v>11</v>
      </c>
      <c r="B10" s="525">
        <f t="shared" si="1"/>
        <v>1100</v>
      </c>
      <c r="C10" s="3639">
        <f>Worksheet!AD70</f>
        <v>44748.458333333328</v>
      </c>
      <c r="D10" s="3639"/>
      <c r="E10" s="524">
        <f>Worksheet!AF70</f>
        <v>44748.625</v>
      </c>
      <c r="F10" s="77" t="str">
        <f>IF(AND(TAF!Z7="PREDOM",E10&lt;TAF!AF7),TAF!AH7,IF(AND(TAF!Z8="PREDOM",E10&lt;TAF!AF8),TAF!AH8,IF(AND(TAF!Z9="PREDOM",E10&lt;TAF!AF9),TAF!AH9,IF(AND(TAF!Z10="PREDOM",E10&lt;TAF!AF10),TAF!AH10,IF(AND(TAF!Z11="PREDOM",E10&lt;TAF!AF11),TAF!AH11,IF(AND(TAF!Z12="PREDOM",E10&lt;TAF!AF12),TAF!AH12,IF(AND(TAF!Z13="PREDOM",E10&lt;TAF!AF13),TAF!AH13,IF(AND(TAF!Z14="PREDOM",E10&lt;TAF!AF14),TAF!AH14,IF(AND(TAF!Z15="PREDOM",E10&lt;TAF!AF15),TAF!AH15,IF(AND(TAF!Z16="PREDOM",E10&lt;TAF!AE16),TAF!AH16,IF(AND(TAF!Z17="PREDOM",E10&lt;TAF!AF17),TAF!AH17,IF(AND(TAF!Z18="PREDOM",E10&lt;TAF!AF18),TAF!AH18))))))))))))</f>
        <v>240</v>
      </c>
      <c r="G10" s="78">
        <f>IF(AND(TAF!Z7="PREDOM",E10&lt;TAF!AF7),TAF!AI7,IF(AND(TAF!Z8="PREDOM",E10&lt;TAF!AF8),TAF!AI8,IF(AND(TAF!Z9="PREDOM",E10&lt;TAF!AF9),TAF!AI9,IF(AND(TAF!Z10="PREDOM",E10&lt;TAF!AF10),TAF!AI10,IF(AND(TAF!Z11="PREDOM",E10&lt;TAF!AF11),TAF!AI11,IF(AND(TAF!Z12="PREDOM",E10&lt;TAF!AF12),TAF!AI12,IF(AND(TAF!Z13="PREDOM",E10&lt;TAF!AF13),TAF!AI13,IF(AND(TAF!Z14="PREDOM",E10&lt;TAF!AF14),TAF!AI14,IF(AND(TAF!Z15="PREDOM",E10&lt;TAF!AF15),TAF!AI15,IF(AND(TAF!Z16="PREDOM",E10&lt;TAF!AE16),TAF!AI16,IF(AND(TAF!Z17="PREDOM",E10&lt;TAF!AF17),TAF!AI17,IF(AND(TAF!Z18="PREDOM",E10&lt;TAF!AF18),TAF!AI18))))))))))))</f>
        <v>10</v>
      </c>
      <c r="H10" s="79" t="str">
        <f>IF(AND(TAF!Z7="PREDOM",E10&lt;TAF!AF7),TAF!AJ7,IF(AND(TAF!Z8="PREDOM",E10&lt;TAF!AF8),TAF!AJ8,IF(AND(TAF!Z9="PREDOM",E10&lt;TAF!AF9),TAF!AJ9,IF(AND(TAF!Z10="PREDOM",E10&lt;TAF!AF10),TAF!AJ10,IF(AND(TAF!Z11="PREDOM",E10&lt;TAF!AF11),TAF!AJ11,IF(AND(TAF!Z12="PREDOM",E10&lt;TAF!AF12),TAF!AJ12,IF(AND(TAF!Z13="PREDOM",E10&lt;TAF!AF13),TAF!AJ13,IF(AND(TAF!Z14="PREDOM",E10&lt;TAF!AF14),TAF!AJ14,IF(AND(TAF!Z15="PREDOM",E10&lt;TAF!AF15),TAF!AJ15,IF(AND(TAF!Z16="PREDOM",E10&lt;TAF!AE16),TAF!AJ16,IF(AND(TAF!Z17="PREDOM",E10&lt;TAF!AF17),TAF!AJ17,IF(AND(TAF!Z18="PREDOM",E10&lt;TAF!AF18),TAF!AJ18))))))))))))</f>
        <v/>
      </c>
      <c r="I10" s="80" t="str">
        <f>IF(AND(TAF!Z7="TEMPO",NOT(E10+0.01&lt;TAF!AC7),E10&lt;TAF!AF7),TAF!AJ7,IF(AND(TAF!Z8="TEMPO",NOT(E10+0.01&lt;TAF!AC8),E10&lt;TAF!AF8),TAF!AJ8,IF(AND(TAF!Z9="TEMPO",NOT(E10+0.01&lt;TAF!AC9),E10&lt;TAF!AF9),TAF!AJ9,IF(AND(TAF!Z10="TEMPO",NOT(E10+0.01&lt;TAF!AC10),E10&lt;TAF!AF10),TAF!AJ10,IF(AND(TAF!Z11="TEMPO",NOT(E10+0.01&lt;TAF!AC11),E10&lt;TAF!AF11),TAF!AJ11,IF(AND(TAF!Z12="TEMPO",NOT(E10+0.01&lt;TAF!AC12),E10&lt;TAF!AF12),TAF!AJ12,IF(AND(TAF!Z13="TEMPO",NOT(E10+0.01&lt;TAF!AC13),E10&lt;TAF!AF13),TAF!AJ13,IF(AND(TAF!Z14="TEMPO",NOT(E10+0.01&lt;TAF!AC14),E10&lt;TAF!AF14),TAF!AJ14,IF(AND(TAF!Z15="TEMPO",NOT(E10+0.01&lt;TAF!AC15),E10&lt;TAF!AF15),TAF!AJ15,IF(AND(TAF!Z16="TEMPO",NOT(E10+0.01&lt;TAF!AC16),E10&lt;TAF!AE16),TAF!AJ16,IF(AND(TAF!Z17="TEMPO",NOT(E10+0.01&lt;TAF!AC17),E10&lt;TAF!AF17),TAF!AJ17,IF(AND(TAF!Z18="TEMPO",NOT(E10+0.01&lt;TAF!AC18),E10&lt;TAF!AF18),TAF!AJ18,""))))))))))))</f>
        <v/>
      </c>
      <c r="J10" s="81">
        <f>IF(AND(TAF!Z7="PREDOM",E10&lt;TAF!AF7),TAF!AN7,IF(AND(TAF!Z8="PREDOM",E10&lt;TAF!AF8),TAF!AN8,IF(AND(TAF!Z9="PREDOM",E10&lt;TAF!AF9),TAF!AN9,IF(AND(TAF!Z10="PREDOM",E10&lt;TAF!AF10),TAF!AN10,IF(AND(TAF!Z11="PREDOM",E10&lt;TAF!AF11),TAF!AN11,IF(AND(TAF!Z12="PREDOM",E10&lt;TAF!AF12),TAF!AN12,IF(AND(TAF!Z13="PREDOM",E10&lt;TAF!AF13),TAF!AN13,IF(AND(TAF!Z14="PREDOM",E10&lt;TAF!AF14),TAF!AN14,IF(AND(TAF!Z15="PREDOM",E10&lt;TAF!AF15),TAF!AN15,IF(AND(TAF!Z16="PREDOM",E10&lt;TAF!AE16),TAF!AN16,IF(AND(TAF!Z17="PREDOM",E10&lt;TAF!AF17),TAF!AN17,IF(AND(TAF!Z18="PREDOM",E10&lt;TAF!AF18),TAF!AN18))))))))))))</f>
        <v>7</v>
      </c>
      <c r="K10" s="82" t="str">
        <f>IF(AND(TAF!Z7="TEMPO",NOT(E10+0.01&lt;TAF!AC7),E10-0.01&lt;TAF!AF7),TAF!AN7,IF(AND(TAF!Z8="TEMPO",NOT(E10+0.01&lt;TAF!AC8),E10-0.01&lt;TAF!AF8),TAF!AN8,IF(AND(TAF!Z9="TEMPO",NOT(E10+0.01&lt;TAF!AC9),E10-0.01&lt;TAF!AF9),TAF!AN9,IF(AND(TAF!Z10="TEMPO",NOT(E10+0.01&lt;TAF!AC10),E10-0.01&lt;TAF!AF10),TAF!AN10,IF(AND(TAF!Z11="TEMPO",NOT(E10+0.01&lt;TAF!AC11),E10-0.01&lt;TAF!AF11),TAF!AN11,IF(AND(TAF!Z12="TEMPO",NOT(E10+0.01&lt;TAF!AC12),E10-0.01&lt;TAF!AF12),TAF!AN12,IF(AND(TAF!Z13="TEMPO",NOT(E10+0.01&lt;TAF!AC13),E10-0.01&lt;TAF!AF13),TAF!AN13,IF(AND(TAF!Z14="TEMPO",NOT(E10+0.01&lt;TAF!AC14),E10-0.01&lt;TAF!AF14),TAF!AN14,IF(AND(TAF!Z15="TEMPO",NOT(E10+0.01&lt;TAF!AC15),E10-0.01&lt;TAF!AF15),TAF!AN15,IF(AND(TAF!Z16="TEMPO",NOT(E10+0.01&lt;TAF!AC16),E10-0.01&lt;TAF!AE16),TAF!AN16,IF(AND(TAF!Z17="TEMPO",NOT(E10+0.01&lt;TAF!AC17),E10-0.01&lt;TAF!AF17),TAF!AN17,IF(AND(TAF!Z18="TEMPO",NOT(E10+0.01&lt;TAF!AC18),E10-0.01&lt;TAF!AF18),TAF!AN18,""))))))))))))</f>
        <v/>
      </c>
      <c r="L10" s="83" t="str">
        <f t="shared" si="13"/>
        <v/>
      </c>
      <c r="M10" s="84" t="str">
        <f>IF(AND(TAF!Z7="PREDOM",E10&lt;TAF!AF7),TAF!AP7,IF(AND(TAF!Z8="PREDOM",E10&lt;TAF!AF8),TAF!AP8,IF(AND(TAF!Z9="PREDOM",E10&lt;TAF!AF9),TAF!AP9,IF(AND(TAF!Z10="PREDOM",E10&lt;TAF!AF10),TAF!AP10,IF(AND(TAF!Z11="PREDOM",E10&lt;TAF!AF11),TAF!AP11,IF(AND(TAF!Z12="PREDOM",E10&lt;TAF!AF12),TAF!AP12,IF(AND(TAF!Z13="PREDOM",E10&lt;TAF!AF13),TAF!AP13,IF(AND(TAF!Z14="PREDOM",E10&lt;TAF!AF14),TAF!AP14,IF(AND(TAF!Z15="PREDOM",E10&lt;TAF!AF15),TAF!AP15,IF(AND(TAF!Z16="PREDOM",E10&lt;TAF!AE16),TAF!AP16,IF(AND(TAF!Z17="PREDOM",E10&lt;TAF!AF17),TAF!AP17,IF(AND(TAF!Z18="PREDOM",E10&lt;TAF!AF18),TAF!AP18))))))))))))</f>
        <v/>
      </c>
      <c r="N10" s="85" t="str">
        <f t="shared" si="14"/>
        <v>N</v>
      </c>
      <c r="O10" s="85" t="str">
        <f t="shared" si="15"/>
        <v/>
      </c>
      <c r="P10" s="84" t="str">
        <f>IF(AND(TAF!Z7="TEMPO",NOT(E10+0.01&lt;TAF!AC7),E10-0.01&lt;TAF!AF7),TAF!AP7,IF(AND(TAF!Z8="TEMPO",NOT(E10+0.01&lt;TAF!AC8),E10-0.01&lt;TAF!AF8),TAF!AP8,IF(AND(TAF!Z9="TEMPO",NOT(E10+0.01&lt;TAF!AC9),E10-0.01&lt;TAF!AF9),TAF!AP9,IF(AND(TAF!Z10="TEMPO",NOT(E10+0.01&lt;TAF!AC10),E10-0.01&lt;TAF!AF10),TAF!AP10,IF(AND(TAF!Z11="TEMPO",NOT(E10+0.01&lt;TAF!AC11),E10-0.01&lt;TAF!AF11),TAF!AP11,IF(AND(TAF!Z12="TEMPO",NOT(E10+0.01&lt;TAF!AC12),E10-0.01&lt;TAF!AF12),TAF!AP12,IF(AND(TAF!Z13="TEMPO",NOT(E10+0.01&lt;TAF!AC13),E10-0.01&lt;TAF!AF13),TAF!AP13,IF(AND(TAF!Z14="TEMPO",NOT(E10+0.01&lt;TAF!AC14),E10-0.01&lt;TAF!AF14),TAF!AP14,IF(AND(TAF!Z15="TEMPO",NOT(E10+0.01&lt;TAF!AC15),E10-0.01&lt;TAF!AF15),TAF!AP15,IF(AND(TAF!Z16="TEMPO",NOT(E10+0.01&lt;TAF!AC16),E10-0.01&lt;TAF!AE16),TAF!AP16,IF(AND(TAF!Z17="TEMPO",NOT(E10+0.01&lt;TAF!AC17),E10-0.01&lt;TAF!AF17),TAF!AP17,IF(AND(TAF!Z18="TEMPO",NOT(E10+0.01&lt;TAF!AC18),E10-0.01&lt;TAF!AF18),TAF!AP18,""))))))))))))</f>
        <v/>
      </c>
      <c r="Q10" s="889" t="str">
        <f t="shared" si="2"/>
        <v>N</v>
      </c>
      <c r="R10" s="86">
        <f>IF(AND(TAF!Z7="PREDOM",E10&lt;TAF!AF7),TAF!AW7,IF(AND(TAF!Z8="PREDOM",E10&lt;TAF!AF8),TAF!AW8,IF(AND(TAF!Z9="PREDOM",E10&lt;TAF!AF9),TAF!AW9,IF(AND(TAF!Z10="PREDOM",E10&lt;TAF!AF10),TAF!AW10,IF(AND(TAF!Z11="PREDOM",E10&lt;TAF!AF11),TAF!AW11,IF(AND(TAF!Z12="PREDOM",E10&lt;TAF!AF12),TAF!AW12,IF(AND(TAF!Z13="PREDOM",E10&lt;TAF!AF13),TAF!AW13,IF(AND(TAF!Z14="PREDOM",E10&lt;TAF!AF14),TAF!AW14,IF(AND(TAF!Z15="PREDOM",E10&lt;TAF!AF15),TAF!AW15,IF(AND(TAF!Z16="PREDOM",E10&lt;TAF!AE16),TAF!AW16,IF(AND(TAF!Z17="PREDOM",E10&lt;TAF!AF17),TAF!AW17,IF(AND(TAF!Z18="PREDOM",E10&lt;TAF!AF18),TAF!AW18))))))))))))</f>
        <v>250</v>
      </c>
      <c r="S10" s="87" t="str">
        <f>IF(AND(TAF!Z7="TEMPO",NOT(E10+0.01&lt;TAF!AC7),E10-0.01&lt;TAF!AF7),TAF!AW7,IF(AND(TAF!Z8="TEMPO",NOT(E10+0.01&lt;TAF!AC8),E10-0.01&lt;TAF!AF8),TAF!AW8,IF(AND(TAF!Z9="TEMPO",NOT(E10+0.01&lt;TAF!AC9),E10-0.01&lt;TAF!AF9),TAF!AW9,IF(AND(TAF!Z10="TEMPO",NOT(E10+0.01&lt;TAF!AC10),E10-0.01&lt;TAF!AF10),TAF!AW10,IF(AND(TAF!Z11="TEMPO",NOT(E10+0.01&lt;TAF!AC11),E10-0.01&lt;TAF!AF11),TAF!AW11,IF(AND(TAF!Z12="TEMPO",NOT(E10+0.01&lt;TAF!AC12),E10-0.01&lt;TAF!AF12),TAF!AW12,IF(AND(TAF!Z13="TEMPO",NOT(E10+0.01&lt;TAF!AC13),E10-0.01&lt;TAF!AF13),TAF!AW13,IF(AND(TAF!Z14="TEMPO",NOT(E10+0.01&lt;TAF!AC14),E10-0.01&lt;TAF!AF14),TAF!AW14,IF(AND(TAF!Z15="TEMPO",NOT(E10+0.01&lt;TAF!AC15),E10-0.01&lt;TAF!AF15),TAF!AW15,IF(AND(TAF!Z16="TEMPO",NOT(E10+0.01&lt;TAF!AC16),E10-0.01&lt;TAF!AE16),TAF!AW16,IF(AND(TAF!Z17="TEMPO",NOT(E10+0.01&lt;TAF!AC17),E10-0.01&lt;TAF!AF17),TAF!AW17,IF(AND(TAF!Z18="TEMPO",NOT(E10+0.01&lt;TAF!AC18),E10-0.01&lt;TAF!AF18),TAF!AW18,""))))))))))))</f>
        <v/>
      </c>
      <c r="T10" s="88">
        <f t="shared" si="3"/>
        <v>32.222222222222221</v>
      </c>
      <c r="U10" s="89">
        <f>Worksheet!AP70</f>
        <v>90</v>
      </c>
      <c r="V10" s="90">
        <f>Worksheet!BB70</f>
        <v>76</v>
      </c>
      <c r="W10" s="91">
        <f t="shared" si="16"/>
        <v>0.63685467359437997</v>
      </c>
      <c r="X10" s="92">
        <f>IF(X5="Wind Chill",IF(G10=0,U10,IF(U10&lt;56,35.74+(0.6215*U10)-(35.75*(G10^0.16))+(0.4275*U10*(G10^0.16)),"NA")),IF(X5="WBGT",1.8*((0.7*BL10)+(0.1*BN10)+(0.2*BT10))+32))</f>
        <v>89.665838735005025</v>
      </c>
      <c r="Y10" s="93">
        <f>Worksheet!BQ70</f>
        <v>29.96</v>
      </c>
      <c r="Z10" s="1890">
        <f>Worksheet!BT70</f>
        <v>718.95041420270934</v>
      </c>
      <c r="AA10" s="1891">
        <f>Worksheet!BV70</f>
        <v>2956.4396992839397</v>
      </c>
      <c r="AB10" s="94" t="str">
        <f>IF(AND(TAF!Z7="PREDOM",E10&lt;TAF!AF7),TAF!BS7,IF(AND(TAF!Z8="PREDOM",E10&lt;TAF!AF8),TAF!BS8,IF(AND(TAF!Z9="PREDOM",E10&lt;TAF!AF9),TAF!BS9,IF(AND(TAF!Z10="PREDOM",E10&lt;TAF!AF10),TAF!BS10,IF(AND(TAF!Z11="PREDOM",E10&lt;TAF!AF11),TAF!BS11,IF(AND(TAF!Z12="PREDOM",E10&lt;TAF!AF12),TAF!BS12,IF(AND(TAF!Z13="PREDOM",E10&lt;TAF!AF13),TAF!BS13,IF(AND(TAF!Z14="PREDOM",E10&lt;TAF!AF14),TAF!BS14,IF(AND(TAF!Z15="PREDOM",E10&lt;TAF!AF15),TAF!BS15,IF(AND(TAF!Z16="PREDOM",E10&lt;TAF!AE16),TAF!BS16,IF(AND(TAF!Z17="PREDOM",E10&lt;TAF!AF17),TAF!BS17,IF(AND(TAF!Z18="PREDOM",E10&lt;TAF!AF18),TAF!BS18))))))))))))</f>
        <v/>
      </c>
      <c r="AC10" s="898" t="str">
        <f>IF(AB10="","",IF(AND(TAF!$Z$7="PREDOM",E10&lt;TAF!$AF$7),TAF!$BT$7,IF(AND(TAF!$Z$8="PREDOM",E10&lt;TAF!$AF$8),TAF!$BT$8,IF(AND(TAF!$Z$9="PREDOM",E10&lt;TAF!$AF$9),TAF!$BT$9,IF(AND(TAF!$Z$10="PREDOM",E10&lt;TAF!$AF$10),TAF!$BT$10,IF(AND(TAF!$Z$11="PREDOM",E10&lt;TAF!$AF$11),TAF!$BT$11,IF(AND(TAF!$Z$12="PREDOM",E10&lt;TAF!$AF$12),TAF!$BT$12,IF(AND(TAF!$Z$13="PREDOM",E10&lt;TAF!$AF$13),TAF!$BT$13,IF(AND(TAF!$Z$14="PREDOM",E10&lt;TAF!$AF$14),TAF!$BT$14,IF(AND(TAF!$Z$15="PREDOM",E10&lt;TAF!$AF$15),TAF!$BT$15,IF(AND(TAF!$Z$16="PREDOM",E10&lt;TAF!AE18),TAF!$BT$16,IF(AND(TAF!$Z$17="PREDOM",E10&lt;TAF!$AF$17),TAF!$BT$17,IF(AND(TAF!$Z$18="PREDOM",E10&lt;TAF!$AF$18),TAF!$BT$18)))))))))))))</f>
        <v/>
      </c>
      <c r="AD10" s="903" t="str">
        <f>IF(AB10="","",IF(AND(TAF!$Z$7="PREDOM",E10&lt;TAF!$AF$7),TAF!$BU$7,IF(AND(TAF!$Z$8="PREDOM",E10&lt;TAF!$AF$8),TAF!$BU$8,IF(AND(TAF!$Z$9="PREDOM",E10&lt;TAF!$AF$9),TAF!$BU$9,IF(AND(TAF!$Z$10="PREDOM",E10&lt;TAF!$AF$10),TAF!$BU$10,IF(AND(TAF!$Z$11="PREDOM",E10&lt;TAF!$AF$11),TAF!$BU$11,IF(AND(TAF!$Z$12="PREDOM",E10&lt;TAF!$AF$12),TAF!$BU$12,IF(AND(TAF!$Z$13="PREDOM",E10&lt;TAF!$AF$13),TAF!$BU$13,IF(AND(TAF!$Z$14="PREDOM",E10&lt;TAF!$AF$14),TAF!$BU$14,IF(AND(TAF!$Z$15="PREDOM",E10&lt;TAF!$AF$15),TAF!$BU$15,IF(AND(TAF!$Z$16="PREDOM",E10&lt;TAF!AE18),TAF!$BU$16,IF(AND(TAF!$Z$17="PREDOM",E10&lt;TAF!$AF$17),TAF!$BU$17,IF(AND(TAF!$Z$18="PREDOM",E10&lt;TAF!$AF$18),TAF!$BU$18)))))))))))))</f>
        <v/>
      </c>
      <c r="AE10" s="94" t="str">
        <f>IF(AND(TAF!Z7="PREDOM",E10&lt;TAF!AF7),TAF!BV7,IF(AND(TAF!Z8="PREDOM",E10&lt;TAF!AF8),TAF!BV8,IF(AND(TAF!Z9="PREDOM",E10&lt;TAF!AF9),TAF!BV9,IF(AND(TAF!Z10="PREDOM",E10&lt;TAF!AF10),TAF!BV10,IF(AND(TAF!Z11="PREDOM",E10&lt;TAF!AF11),TAF!BV11,IF(AND(TAF!Z12="PREDOM",E10&lt;TAF!AF12),TAF!BV12,IF(AND(TAF!Z13="PREDOM",E10&lt;TAF!AF13),TAF!BV13,IF(AND(TAF!Z14="PREDOM",E10&lt;TAF!AF14),TAF!BV14,IF(AND(TAF!Z15="PREDOM",E10&lt;TAF!AF15),TAF!BV15,IF(AND(TAF!Z16="PREDOM",E10&lt;TAF!AE16),TAF!BV16,IF(AND(TAF!Z17="PREDOM",E10&lt;TAF!AF17),TAF!BV17,IF(AND(TAF!Z18="PREDOM",E10&lt;TAF!AF18),TAF!BV18))))))))))))</f>
        <v/>
      </c>
      <c r="AF10" s="898" t="str">
        <f>IF(AE10="","",IF(AND(TAF!$Z$7="PREDOM",E10&lt;TAF!$AF$7),TAF!$BW$7,IF(AND(TAF!$Z$8="PREDOM",E10&lt;TAF!$AF$8),TAF!$BW$8,IF(AND(TAF!$Z$9="PREDOM",E10&lt;TAF!$AF$9),TAF!$BW$9,IF(AND(TAF!$Z$10="PREDOM",E10&lt;TAF!$AF$10),TAF!$BW$10,IF(AND(TAF!$Z$11="PREDOM",E10&lt;TAF!$AF$11),TAF!$BW$11,IF(AND(TAF!$Z$12="PREDOM",E10&lt;TAF!$AF$12),TAF!$BW$12,IF(AND(TAF!$Z$13="PREDOM",E10&lt;TAF!$AF$13),TAF!$BW$13,IF(AND(TAF!$Z$14="PREDOM",E10&lt;TAF!$AF$14),TAF!$BW$14,IF(AND(TAF!$Z$15="PREDOM",E10&lt;TAF!$AF$15),TAF!$BW$15,IF(AND(TAF!$Z$16="PREDOM",E10&lt;TAF!AE18),TAF!$BW$16,IF(AND(TAF!$Z$17="PREDOM",E10&lt;TAF!$AF$17),TAF!$BW$17,IF(AND(TAF!$Z$18="PREDOM",E10&lt;TAF!$AF$18),TAF!$BW$18)))))))))))))</f>
        <v/>
      </c>
      <c r="AG10" s="903" t="str">
        <f>IF(AE10="","",IF(AND(TAF!$Z$7="PREDOM",E10&lt;TAF!$AF$7),TAF!$BX$7,IF(AND(TAF!$Z$8="PREDOM",E10&lt;TAF!$AF$8),TAF!$BX$8,IF(AND(TAF!$Z$9="PREDOM",E10&lt;TAF!$AF$9),TAF!$BX$9,IF(AND(TAF!$Z$10="PREDOM",E10&lt;TAF!$AF$10),TAF!$BX$10,IF(AND(TAF!$Z$11="PREDOM",E10&lt;TAF!$AF$11),TAF!$BX$11,IF(AND(TAF!$Z$12="PREDOM",E10&lt;TAF!$AF$12),TAF!$BX$12,IF(AND(TAF!$Z$13="PREDOM",E10&lt;TAF!$AF$13),TAF!$BX$13,IF(AND(TAF!$Z$14="PREDOM",E10&lt;TAF!$AF$14),TAF!$BX$14,IF(AND(TAF!$Z$15="PREDOM",E10&lt;TAF!$AF$15),TAF!$BX$15,IF(AND(TAF!$Z$16="PREDOM",E10&lt;TAF!AE18),TAF!$BX$16,IF(AND(TAF!$Z$17="PREDOM",E10&lt;TAF!$AF$17),TAF!$BX$17,IF(AND(TAF!$Z$18="PREDOM",E10&lt;TAF!$AF$18),TAF!$BX$18)))))))))))))</f>
        <v/>
      </c>
      <c r="AH10" s="892" t="str">
        <f>IF(AND(TAF!$Z$7="PREDOM",E10&lt;TAF!$AF$7),TAF!$BY$7,IF(AND(TAF!$Z$8="PREDOM",E10&lt;TAF!$AF$8),TAF!$BY$8,IF(AND(TAF!$Z$9="PREDOM",E10&lt;TAF!$AF$9),TAF!$BY$9,IF(AND(TAF!$Z$10="PREDOM",E10&lt;TAF!$AF$10),TAF!$BY$10,IF(AND(TAF!$Z$11="PREDOM",E10&lt;TAF!$AF$11),TAF!$BY$11,IF(AND(TAF!$Z$12="PREDOM",E10&lt;TAF!$AF$12),TAF!$BY$12,IF(AND(TAF!$Z$13="PREDOM",E10&lt;TAF!$AF$13),TAF!$BY$13,IF(AND(TAF!$Z$14="PREDOM",E10&lt;TAF!$AF$14),TAF!$BY$14,IF(AND(TAF!$Z$15="PREDOM",E10&lt;TAF!$AF$15),TAF!$BY$15,IF(AND(TAF!$Z$16="PREDOM",E10&lt;TAF!$AF$16),TAF!$BY$16,IF(AND(TAF!$Z$17="PREDOM",E10&lt;TAF!$AF$17),TAF!$BY$17,IF(AND(TAF!$Z$18="PREDOM",E10&lt;TAF!$AF$18),TAF!$BY$18))))))))))))</f>
        <v/>
      </c>
      <c r="AI10" s="898" t="str">
        <f>IF(AH10="","",IF(AND(TAF!$Z$7="PREDOM",E10&lt;TAF!$AF$7),TAF!$BZ$7,IF(AND(TAF!$Z$8="PREDOM",E10&lt;TAF!$AF$8),TAF!$BZ$8,IF(AND(TAF!$Z$9="PREDOM",E10&lt;TAF!$AF$9),TAF!$BZ$9,IF(AND(TAF!$Z$10="PREDOM",E10&lt;TAF!$AF$10),TAF!$BZ$10,IF(AND(TAF!$Z$11="PREDOM",E10&lt;TAF!$AF$11),TAF!$BZ$11,IF(AND(TAF!$Z$12="PREDOM",E10&lt;TAF!$AF$12),TAF!$BZ$12,IF(AND(TAF!$Z$13="PREDOM",E10&lt;TAF!$AF$13),TAF!$BZ$13,IF(AND(TAF!$Z$14="PREDOM",E10&lt;TAF!$AF$14),TAF!$BZ$14,IF(AND(TAF!$Z$15="PREDOM",E10&lt;TAF!$AF$15),TAF!$BZ$15,IF(AND(TAF!$Z$16="PREDOM",E10&lt;TAF!AE18),TAF!$BZ$16,IF(AND(TAF!$Z$17="PREDOM",E10&lt;TAF!$AF$17),TAF!$BZ$17,IF(AND(TAF!$Z$18="PREDOM",E10&lt;TAF!$AF$18),TAF!$BZ$18)))))))))))))</f>
        <v/>
      </c>
      <c r="AJ10" s="903" t="str">
        <f>IF(AH10="","",IF(AND(TAF!$Z$7="PREDOM",E10&lt;TAF!$AF$7),TAF!$CA$7,IF(AND(TAF!$Z$8="PREDOM",E10&lt;TAF!$AF$8),TAF!$CA$8,IF(AND(TAF!$Z$9="PREDOM",E10&lt;TAF!$AF$9),TAF!$CA$9,IF(AND(TAF!$Z$10="PREDOM",E10&lt;TAF!$AF$10),TAF!$CA$10,IF(AND(TAF!$Z$11="PREDOM",E10&lt;TAF!$AF$11),TAF!$CA$11,IF(AND(TAF!$Z$12="PREDOM",E10&lt;TAF!$AF$12),TAF!$CA$12,IF(AND(TAF!$Z$13="PREDOM",E10&lt;TAF!$AF$13),TAF!$CA$13,IF(AND(TAF!$Z$14="PREDOM",E10&lt;TAF!$AF$14),TAF!$CA$14,IF(AND(TAF!$Z$15="PREDOM",E10&lt;TAF!$AF$15),TAF!$CA$15,IF(AND(TAF!$Z$16="PREDOM",E10&lt;TAF!AE18),TAF!$CA$16,IF(AND(TAF!$Z$17="PREDOM",E10&lt;TAF!$AF$17),TAF!$CA$17,IF(AND(TAF!$Z$18="PREDOM",E10&lt;TAF!$AF$18),TAF!$CA$18)))))))))))))</f>
        <v/>
      </c>
      <c r="AK10" s="95" t="str">
        <f>IF(AND(TAF!Z7="TEMPO",NOT(E10+0.01&lt;TAF!AC7),E10-0.01&lt;TAF!AF7),TAF!CB7,IF(AND(TAF!Z8="TEMPO",NOT(E10+0.01&lt;TAF!AC8),E10-0.01&lt;TAF!AF8),TAF!CB8,IF(AND(TAF!Z9="TEMPO",NOT(E10+0.01&lt;TAF!AC9),E10-0.01&lt;TAF!AF9),TAF!CB9,IF(AND(TAF!Z10="TEMPO",NOT(E10+0.01&lt;TAF!AC10),E10-0.01&lt;TAF!AF10),TAF!CB10,IF(AND(TAF!Z11="TEMPO",NOT(E10+0.01&lt;TAF!AC11),E10-0.01&lt;TAF!AF11),TAF!CB11,IF(AND(TAF!Z12="TEMPO",NOT(E10+0.01&lt;TAF!AC12),E10-0.01&lt;TAF!AF12),TAF!CB12,IF(AND(TAF!Z13="TEMPO",NOT(E10+0.01&lt;TAF!AC13),E10-0.01&lt;TAF!AF13),TAF!CB13,IF(AND(TAF!Z14="TEMPO",NOT(E10+0.01&lt;TAF!AC14),E10-0.01&lt;TAF!AF14),TAF!CB14,IF(AND(TAF!Z15="TEMPO",NOT(E10+0.01&lt;TAF!AC15),E10-0.01&lt;TAF!AF15),TAF!CB15,IF(AND(TAF!Z16="TEMPO",NOT(E10+0.01&lt;TAF!AC16),E10-0.01&lt;TAF!AE16),TAF!CB16,IF(AND(TAF!Z17="TEMPO",NOT(E10+0.01&lt;TAF!AC17),E10-0.01&lt;TAF!AF17),TAF!CB17,IF(AND(TAF!Z18="TEMPO",NOT(E10+0.01&lt;TAF!AC18),E10-0.01&lt;TAF!AF18),TAF!CB18,""))))))))))))</f>
        <v/>
      </c>
      <c r="AL10" s="94" t="str">
        <f>IF(AND(TAF!Z7="PREDOM",E10&lt;TAF!AF7),TAF!BG7,IF(AND(TAF!Z8="PREDOM",E10&lt;TAF!AF8),TAF!BG8,IF(AND(TAF!Z9="PREDOM",E10&lt;TAF!AF9),TAF!BG9,IF(AND(TAF!Z10="PREDOM",E10&lt;TAF!AF10),TAF!BG10,IF(AND(TAF!Z11="PREDOM",E10&lt;TAF!AF11),TAF!BG11,IF(AND(TAF!Z12="PREDOM",E10&lt;TAF!AF12),TAF!BG12,IF(AND(TAF!Z13="PREDOM",E10&lt;TAF!AF13),TAF!BG13,IF(AND(TAF!Z14="PREDOM",E10&lt;TAF!AF14),TAF!BG14,IF(AND(TAF!Z15="PREDOM",E10&lt;TAF!AF15),TAF!BG15,IF(AND(TAF!Z16="PREDOM",E10&lt;TAF!AE16),TAF!BG16,IF(AND(TAF!Z17="PREDOM",E10&lt;TAF!AF17),TAF!BG17,IF(AND(TAF!Z18="PREDOM",E10&lt;TAF!AF18),TAF!BG18))))))))))))</f>
        <v/>
      </c>
      <c r="AM10" s="898" t="str">
        <f>IF(AL10="","",IF(AND(TAF!Z7="PREDOM",E10&lt;TAF!AF7),TAF!BH7,IF(AND(TAF!Z8="PREDOM",E10&lt;TAF!AF8),TAF!BH8,IF(AND(TAF!Z9="PREDOM",E10&lt;TAF!AF9),TAF!BH9,IF(AND(TAF!Z10="PREDOM",E10&lt;TAF!AF10),TAF!BH10,IF(AND(TAF!Z11="PREDOM",E10&lt;TAF!AF11),TAF!BH11,IF(AND(TAF!Z12="PREDOM",E10&lt;TAF!AF12),TAF!BH12,IF(AND(TAF!Z13="PREDOM",E10&lt;TAF!AF13),TAF!BH13,IF(AND(TAF!Z14="PREDOM",E10&lt;TAF!AF14),TAF!BH14,IF(AND(TAF!Z15="PREDOM",E10&lt;TAF!AF15),TAF!BH15,IF(AND(TAF!Z16="PREDOM",E10&lt;TAF!AE16),TAF!BH16,IF(AND(TAF!Z17="PREDOM",E10&lt;TAF!AF17),TAF!BH17,IF(AND(TAF!Z18="PREDOM",E10&lt;TAF!AF18),TAF!BH18)))))))))))))</f>
        <v/>
      </c>
      <c r="AN10" s="903" t="str">
        <f>IF(AL10="","",IF(AND(TAF!Z7="PREDOM",E10&lt;TAF!AF7),TAF!BI7,IF(AND(TAF!Z8="PREDOM",E10&lt;TAF!AF8),TAF!BI8,IF(AND(TAF!Z9="PREDOM",E10&lt;TAF!AF9),TAF!BI9,IF(AND(TAF!Z10="PREDOM",E10&lt;TAF!AF10),TAF!BI10,IF(AND(TAF!Z11="PREDOM",E10&lt;TAF!AF11),TAF!BI11,IF(AND(TAF!Z12="PREDOM",E10&lt;TAF!AF12),TAF!BI12,IF(AND(TAF!Z13="PREDOM",E10&lt;TAF!AF13),TAF!BI13,IF(AND(TAF!Z14="PREDOM",E10&lt;TAF!AF14),TAF!BI14,IF(AND(TAF!Z15="PREDOM",E10&lt;TAF!AF15),TAF!BI15,IF(AND(TAF!Z16="PREDOM",E10&lt;TAF!AE16),TAF!BI16,IF(AND(TAF!Z17="PREDOM",E10&lt;TAF!AF17),TAF!BI17,IF(AND(TAF!Z18="PREDOM",E10&lt;TAF!AF18),TAF!BI18)))))))))))))</f>
        <v/>
      </c>
      <c r="AO10" s="94" t="str">
        <f>IF(AND(TAF!Z7="PREDOM",E10&lt;TAF!AF7),TAF!BJ7,IF(AND(TAF!Z8="PREDOM",E10&lt;TAF!AF8),TAF!BJ8,IF(AND(TAF!Z9="PREDOM",E10&lt;TAF!AF9),TAF!BJ9,IF(AND(TAF!Z10="PREDOM",E10&lt;TAF!AF10),TAF!BJ10,IF(AND(TAF!Z11="PREDOM",E10&lt;TAF!AF11),TAF!BJ11,IF(AND(TAF!Z12="PREDOM",E10&lt;TAF!AF12),TAF!BJ12,IF(AND(TAF!Z13="PREDOM",E10&lt;TAF!AF13),TAF!BJ13,IF(AND(TAF!Z14="PREDOM",E10&lt;TAF!AF14),TAF!BJ14,IF(AND(TAF!Z15="PREDOM",E10&lt;TAF!AF15),TAF!BJ15,IF(AND(TAF!Z16="PREDOM",E10&lt;TAF!AE16),TAF!BJ16,IF(AND(TAF!Z17="PREDOM",E10&lt;TAF!AF17),TAF!BJ17,IF(AND(TAF!Z18="PREDOM",E10&lt;TAF!AF18),TAF!BJ18))))))))))))</f>
        <v/>
      </c>
      <c r="AP10" s="910" t="str">
        <f>IF(AO10="","",IF(AND(TAF!Z7="PREDOM",E10&lt;TAF!AF7),TAF!BK7,IF(AND(TAF!Z8="PREDOM",E10&lt;TAF!AF8),TAF!BK8,IF(AND(TAF!Z9="PREDOM",E10&lt;TAF!AF9),TAF!BK9,IF(AND(TAF!Z10="PREDOM",E10&lt;TAF!AF10),TAF!BK10,IF(AND(TAF!Z11="PREDOM",E10&lt;TAF!AF11),TAF!BK11,IF(AND(TAF!Z12="PREDOM",E10&lt;TAF!AF12),TAF!BK12,IF(AND(TAF!Z13="PREDOM",E10&lt;TAF!AF13),TAF!BK13,IF(AND(TAF!Z14="PREDOM",E10&lt;TAF!AF14),TAF!BK14,IF(AND(TAF!Z15="PREDOM",E10&lt;TAF!AF15),TAF!BK15,IF(AND(TAF!Z16="PREDOM",E10&lt;TAF!AE16),TAF!BK16,IF(AND(TAF!Z17="PREDOM",E10&lt;TAF!AF17),TAF!BK17,IF(AND(TAF!Z18="PREDOM",E10&lt;TAF!AF18),TAF!BK18)))))))))))))</f>
        <v/>
      </c>
      <c r="AQ10" s="906" t="str">
        <f>IF(AO10="","",IF(AND(TAF!Z7="PREDOM",E10&lt;TAF!AF7),TAF!BL7,IF(AND(TAF!Z8="PREDOM",E10&lt;TAF!AF8),TAF!BL8,IF(AND(TAF!Z9="PREDOM",E10&lt;TAF!AF9),TAF!BL9,IF(AND(TAF!Z10="PREDOM",E10&lt;TAF!AF10),TAF!BL10,IF(AND(TAF!Z11="PREDOM",E10&lt;TAF!AF11),TAF!BL11,IF(AND(TAF!Z12="PREDOM",E10&lt;TAF!AF12),TAF!BL12,IF(AND(TAF!Z13="PREDOM",E10&lt;TAF!AF13),TAF!BL13,IF(AND(TAF!Z14="PREDOM",E10&lt;TAF!AF14),TAF!BL14,IF(AND(TAF!Z15="PREDOM",E10&lt;TAF!AF15),TAF!BL15,IF(AND(TAF!Z16="PREDOM",E10&lt;TAF!AE16),TAF!BL16,IF(AND(TAF!Z17="PREDOM",E10&lt;TAF!AF17),TAF!BL17,IF(AND(TAF!Z18="PREDOM",E10&lt;TAF!AF18),TAF!BL18)))))))))))))</f>
        <v/>
      </c>
      <c r="AR10" s="892" t="str">
        <f>IF(AND(TAF!Z7="PREDOM",E10&lt;TAF!AF7),TAF!BM7,IF(AND(TAF!Z8="PREDOM",E10&lt;TAF!AF8),TAF!BM8,IF(AND(TAF!Z9="PREDOM",E10&lt;TAF!AF9),TAF!BM9,IF(AND(TAF!Z10="PREDOM",E10&lt;TAF!AF10),TAF!BM10,IF(AND(TAF!Z11="PREDOM",E10&lt;TAF!AF11),TAF!BM11,IF(AND(TAF!Z12="PREDOM",E10&lt;TAF!AF12),TAF!BM12,IF(AND(TAF!Z13="PREDOM",E10&lt;TAF!AF13),TAF!BM13,IF(AND(TAF!Z14="PREDOM",E10&lt;TAF!AF14),TAF!BM14,IF(AND(TAF!Z15="PREDOM",E10&lt;TAF!AF15),TAF!BM15,IF(AND(TAF!Z16="PREDOM",E10&lt;TAF!AE16),TAF!BM16,IF(AND(TAF!Z17="PREDOM",E10&lt;TAF!AF17),TAF!BM17,IF(AND(TAF!Z18="PREDOM",E10&lt;TAF!AF18),TAF!BM18))))))))))))</f>
        <v/>
      </c>
      <c r="AS10" s="910" t="str">
        <f>IF(AR10="","",IF(AND(TAF!Z7="PREDOM",E10&lt;TAF!AF7),TAF!BN7,IF(AND(TAF!Z8="PREDOM",E10&lt;TAF!AF8),TAF!BN8,IF(AND(TAF!Z9="PREDOM",E10&lt;TAF!AF9),TAF!BN9,IF(AND(TAF!Z10="PREDOM",E10&lt;TAF!AF10),TAF!BN10,IF(AND(TAF!Z11="PREDOM",E10&lt;TAF!AF11),TAF!BN11,IF(AND(TAF!Z12="PREDOM",E10&lt;TAF!AF12),TAF!BN12,IF(AND(TAF!Z13="PREDOM",E10&lt;TAF!AF13),TAF!BN13,IF(AND(TAF!Z14="PREDOM",E10&lt;TAF!AF14),TAF!BN14,IF(AND(TAF!Z15="PREDOM",E10&lt;TAF!AF15),TAF!BN15,IF(AND(TAF!Z16="PREDOM",E10&lt;TAF!AE16),TAF!BN16,IF(AND(TAF!Z17="PREDOM",E10&lt;TAF!AF17),TAF!BN17,IF(AND(TAF!Z18="PREDOM",E10&lt;TAF!AF18),TAF!BN18)))))))))))))</f>
        <v/>
      </c>
      <c r="AT10" s="906" t="str">
        <f>IF(AR10="","",IF(AND(TAF!Z7="PREDOM",E10&lt;TAF!AF7),TAF!BO7,IF(AND(TAF!Z8="PREDOM",E10&lt;TAF!AF8),TAF!BO8,IF(AND(TAF!Z9="PREDOM",E10&lt;TAF!AF9),TAF!BO9,IF(AND(TAF!Z10="PREDOM",E10&lt;TAF!AF10),TAF!BO10,IF(AND(TAF!Z11="PREDOM",E10&lt;TAF!AF11),TAF!BO11,IF(AND(TAF!Z12="PREDOM",E10&lt;TAF!AF12),TAF!BO12,IF(AND(TAF!Z13="PREDOM",E10&lt;TAF!AF13),TAF!BO13,IF(AND(TAF!Z14="PREDOM",E10&lt;TAF!AF14),TAF!BO14,IF(AND(TAF!Z15="PREDOM",E10&lt;TAF!AF15),TAF!BO15,IF(AND(TAF!Z16="PREDOM",E10&lt;TAF!AE16),TAF!BO16,IF(AND(TAF!Z17="PREDOM",E10&lt;TAF!AF17),TAF!BO17,IF(AND(TAF!Z18="PREDOM",E10&lt;TAF!AF18),TAF!BO18)))))))))))))</f>
        <v/>
      </c>
      <c r="AU10" s="95" t="str">
        <f>IF(AND(TAF!Z7="TEMPO",NOT(E10+0.01&lt;TAF!AC7),E10-0.01&lt;TAF!AF7),TAF!BP7,IF(AND(TAF!Z8="TEMPO",NOT(E10+0.01&lt;TAF!AC8),E10-0.01&lt;TAF!AF8),TAF!BP8,IF(AND(TAF!Z9="TEMPO",NOT(E10+0.01&lt;TAF!AC9),E10-0.01&lt;TAF!AF9),TAF!BP9,IF(AND(TAF!Z10="TEMPO",NOT(E10+0.01&lt;TAF!AC10),E10-0.01&lt;TAF!AF10),TAF!BP10,IF(AND(TAF!Z11="TEMPO",NOT(E10+0.01&lt;TAF!AC11),E10-0.01&lt;TAF!AF11),TAF!BP11,IF(AND(TAF!Z12="TEMPO",NOT(E10+0.01&lt;TAF!AC12),E10-0.01&lt;TAF!AF12),TAF!BP12,IF(AND(TAF!Z13="TEMPO",NOT(E10+0.01&lt;TAF!AC13),E10-0.01&lt;TAF!AF13),TAF!BP13,IF(AND(TAF!Z14="TEMPO",NOT(E10+0.01&lt;TAF!AC14),E10-0.01&lt;TAF!AF14),TAF!BP14,IF(AND(TAF!Z15="TEMPO",NOT(E10+0.01&lt;TAF!AC15),E10-0.01&lt;TAF!AF15),TAF!BP15,IF(AND(TAF!Z16="TEMPO",NOT(E10+0.01&lt;TAF!AC16),E10-0.01&lt;TAF!AE16),TAF!BP16,IF(AND(TAF!Z17="TEMPO",NOT(E10+0.01&lt;TAF!AC17),E10-0.01&lt;TAF!AF17),TAF!BP17,IF(AND(TAF!Z18="TEMPO",NOT(E10+0.01&lt;TAF!AC18),E10-0.01&lt;TAF!AF18),TAF!BP18,""))))))))))))</f>
        <v/>
      </c>
      <c r="AV10" s="96" t="str">
        <f>IF(AND(TAF!Z7="PREDOM",E10&lt;TAF!AF7),TAF!CD7,IF(AND(TAF!Z8="PREDOM",E10&lt;TAF!AF8),TAF!CD8,IF(AND(TAF!Z9="PREDOM",E10&lt;TAF!AF9),TAF!CD9,IF(AND(TAF!Z10="PREDOM",E10&lt;TAF!AF10),TAF!CD10,IF(AND(TAF!Z11="PREDOM",E10&lt;TAF!AF11),TAF!CD11,IF(AND(TAF!Z12="PREDOM",E10&lt;TAF!AF12),TAF!CD12,IF(AND(TAF!Z13="PREDOM",E10&lt;TAF!AF13),TAF!CD13,IF(AND(TAF!Z14="PREDOM",E10&lt;TAF!AF14),TAF!CD14,IF(AND(TAF!Z15="PREDOM",E10&lt;TAF!AF15),TAF!CD15,IF(AND(TAF!Z16="PREDOM",E10&lt;TAF!AE16),TAF!CD16,IF(AND(TAF!Z17="PREDOM",E10&lt;TAF!AF17),TAF!CD17,IF(AND(TAF!Z18="PREDOM",E10&lt;TAF!AF18),TAF!CD18))))))))))))</f>
        <v/>
      </c>
      <c r="AW10" s="97" t="str">
        <f>IF(AND(TAF!Z7="TEMPO",NOT(E10+0.01&lt;TAF!AC7),E10-0.01&lt;TAF!AF7),TAF!CD7,IF(AND(TAF!Z8="TEMPO",NOT(E10+0.01&lt;TAF!AC8),E10-0.01&lt;TAF!AF8),TAF!CD8,IF(AND(TAF!Z9="TEMPO",NOT(E10+0.01&lt;TAF!AC9),E10-0.01&lt;TAF!AF9),TAF!CD9,IF(AND(TAF!Z10="TEMPO",NOT(E10+0.01&lt;TAF!AC10),E10-0.01&lt;TAF!AF10),TAF!CD10,IF(AND(TAF!Z11="TEMPO",NOT(E10+0.01&lt;TAF!AC11),E10-0.01&lt;TAF!AF11),TAF!CD11,IF(AND(TAF!Z12="TEMPO",NOT(E10+0.01&lt;TAF!AC12),E10-0.01&lt;TAF!AF12),TAF!CD12,IF(AND(TAF!Z13="TEMPO",NOT(E10+0.01&lt;TAF!AC13),E10-0.01&lt;TAF!AF13),TAF!CD13,IF(AND(TAF!Z14="TEMPO",NOT(E10+0.01&lt;TAF!AC14),E10-0.01&lt;TAF!AF14),TAF!CD14,IF(AND(TAF!Z15="TEMPO",NOT(E10+0.01&lt;TAF!AC15),E10-0.01&lt;TAF!AF15),TAF!CD15,IF(AND(TAF!Z16="TEMPO",NOT(E10+0.01&lt;TAF!AC16),E10-0.01&lt;TAF!AE16),TAF!CD16,IF(AND(TAF!Z17="TEMPO",NOT(E10+0.01&lt;TAF!AC17),E10-0.01&lt;TAF!AF17),TAF!CD17,IF(AND(TAF!Z18="TEMPO",NOT(E10+0.01&lt;TAF!AC18),E10-0.01&lt;TAF!AF18),TAF!CD18,""))))))))))))</f>
        <v/>
      </c>
      <c r="AX10" s="98" t="str">
        <f>IF(OR(AND(H10&lt;&gt;"",H10&gt;(MLT!$E$5-1)),J10&lt;(MLT!$E$8+0.01),L10="TS",O10="TS",R10&lt;(MLT!$E$9),AND(AB10&lt;&gt;"",AB10&gt;(MLT!$E$6-1)),AL10=MLT!$E$7,AL10=MLT!$F$7),"R",IF(OR(AND(H10&lt;&gt;"",H10&gt;(MLT!$H$5-1)),AND(I10&lt;&gt;"",I10&gt;(MLT!$H$5-1)),J10&lt;MLT!$H$8,K10&lt;MLT!$H$8,L10=MLT!$H$10,O10=MLT!$E$10,O10=MLT!$H$10,R10&lt;MLT!$H$9,S10&lt;MLT!$H$9,AND(AB10&lt;&gt;"",AB10&gt;0),AND(AE10&lt;&gt;"",AE10&gt;0),AND(AH10&lt;&gt;"",AH10&gt;0),AND(AK10&lt;&gt;"",AK10&gt;0),AND(AL10&lt;&gt;"",AL10&lt;&gt;4,AL10&gt;2),AND(AO10&lt;&gt;"",AO10&lt;&gt;4,AO10&gt;2),AND(AR10&lt;&gt;"",AR10&lt;&gt;4,AR10&gt;2),AND(AU10&lt;&gt;"",AU10&lt;&gt;4,AU10&gt;2)),"Y","G"))</f>
        <v>G</v>
      </c>
      <c r="AY10" s="99" t="str">
        <f>IF(OR(AND(H10&lt;&gt;"",H10&gt;(MLT!$E$13-1)),J10&lt;MLT!$E$17,R10&lt;MLT!$E$19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$13-1)),AND(I10&lt;&gt;"",I10&gt;(MLT!$H$13-1)),J10&lt;MLT!$H$17,K10&lt;MLT!$H$17,R10&lt;MLT!$H$19,S10&lt;MLT!$H$19,L10="VCTS",O10="VCTS",AND(AB10&lt;&gt;"",AB10&gt;1),AND(AK10&lt;&gt;"",AK10&gt;0),AND(AL10&lt;&gt;"",AL10&gt;1),AND(AO10&lt;&gt;"",AO10&gt;1),AND(AR10&lt;&gt;"",AR10&gt;1),AU10=3,AND(AU10&lt;&gt;"",AU10&gt;4),AV10="LLWS",AW10="LLWS"),"Y","G"))</f>
        <v>G</v>
      </c>
      <c r="AZ10" s="99" t="str">
        <f>IF(OR(AND(H10&lt;&gt;"",H10&gt;(MLT!$E$13-1)),J10&lt;MLT!$E$16,R10&lt;MLT!$E$18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$13-1)),AND(I10&lt;&gt;"",I10&gt;(MLT!$H$13-1)),J10&lt;MLT!$H$17,K10&lt;MLT!$H$17,R10&lt;MLT!$H$19,S10&lt;MLT!$H$19,L10="VCTS",O10="VCTS",AND(AB10&lt;&gt;"",AB10&gt;1),AND(AK10&lt;&gt;"",AK10&gt;0),AND(AL10&lt;&gt;"",AL10&gt;1),AND(AO10&lt;&gt;"",AO10&gt;1),AND(AR10&lt;&gt;"",AR10&gt;1),AU10=3,AND(AU10&lt;&gt;"",AU10&gt;4),AV10="LLWS",AW10="LLWS"),"Y","G"))</f>
        <v>G</v>
      </c>
      <c r="BA10" s="99" t="str">
        <f>IF(OR(IF(MEF!$AP$14="Hoist",OR(G10&gt;19,AND(H10&lt;&gt;"",H10&gt;19)),AND(H10&lt;&gt;"",H10&gt;(MLT!$E$23-1))),AND(B10&gt;MEF!$Z$11,J10&lt;MLT!$E$26),AND(B10&lt;MEF!$E$53,J10&lt;MLT!$E$26),J10&lt;MLT!$E$27,AND(B10&gt;MEF!$Z$11,R10&lt;MLT!$E$28),AND(B10&lt;MEF!$E$53,R10&lt;MLT!$E$28),R10&lt;MLT!$E$29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H$23-1)),AND(I10&lt;&gt;"",I10&gt;(MLT!$H$23-1)),AND(B10&gt;MEF!$Z$11,J10&lt;MLT!$H$26),AND(B10&lt;MEF!$E$53,J10&lt;MLT!$H$26),AND(B10&gt;MEF!$Z$11,K10&lt;MLT!$H$26),AND(B10&lt;MEF!$E$53,K10&lt;MLT!$H$26),J10&lt;MLT!$H$27,K10&lt;MLT!$H$27,AND(B10&gt;MEF!$Z$11,R10&lt;MLT!$H$28),AND(B10&lt;MEF!$E$53,R10&lt;MLT!$H$28),AND(B10&gt;MEF!$Z$11,S10&lt;MLT!$H$28),AND(B10&lt;MEF!$E$53,S10&lt;MLT!$H$28),R10&lt;MLT!$H$29,S10&lt;MLT!$H$29,L10="VCTS",O10="VCTS",U10&gt;90,U10&lt;-29,AB10&lt;&gt;"",AK10&lt;&gt;"",AND(AL10&lt;&gt;"",AL10&gt;1),AND(AO10&lt;&gt;"",AO10&gt;1),AND(AR10&lt;&gt;"",AR10&gt;1),AU10=3,AND(AU10&lt;&gt;"",AU10&gt;4),AV10="LLWS",AW10="LLWS"),"Y","G"))</f>
        <v>G</v>
      </c>
      <c r="BB10" s="99" t="str">
        <f>IF(OR(AND(H10&lt;&gt;"",H10&gt;(MLT!$E$23-1)),AND(B10&gt;MEF!$Z$11,J10&lt;MLT!$F$26),AND(B10&lt;MEF!$E$53,J10&lt;MLT!$F$26),J10&lt;MLT!$F$27,AND(B10&gt;MEF!$Z$11,R10&lt;MLT!$F$28),AND(B10&lt;MEF!$E$53,R10&lt;MLT!$F$28),R10&lt;MLT!$F$29,L10="TS",O10="TS",AND(AB10&lt;&gt;"",AB10&gt;3,AC10&lt;30),AND(AE10&lt;&gt;"",AE10&gt;3,AF10&lt;30),AND(AH10&lt;&gt;"",AH10&gt;3,AI10&lt;30),AND(OR(AL10=7,AL10=9),AM10&lt;30),AND(OR(AO10=7,AO10=9),AP10&lt;30),AND(OR(AR10=7,AR10=9),AS10&lt;30)),"R",IF(OR(AND(H10&lt;&gt;"",H10&gt;(MLT!$I$23-1)),AND(I10&lt;&gt;"",I10&gt;(MLT!$I$23-1)),AND(B10&gt;MEF!$Z$11,J10&lt;MLT!$I$26),AND(B10&lt;MEF!$E$53,J10&lt;MLT!$I$26),AND(B10&gt;MEF!$Z$11,K10&lt;MLT!$I$26),AND(B10&lt;MEF!$E$53,K10&lt;MLT!$I$26),J10&lt;MLT!$I$27,K10&lt;MLT!$I$27,AND(B10&gt;MEF!$Z$11,R10&lt;MLT!$I$28),AND(B10&lt;MEF!$E$53,R10&lt;MLT!$I$28),AND(B10&gt;MEF!$Z$11,S10&lt;MLT!$I$28),AND(B10&lt;MEF!$E$53,S10&lt;MLT!$I$28),R10&lt;MLT!$I$29,S10&lt;MLT!$I$29,L10="VCTS",O10="VCTS",U10&gt;94,U10&lt;-29,AB10&lt;&gt;"",AK10&lt;&gt;"",AND(AL10&lt;&gt;"",AL10&gt;1),AND(AO10&lt;&gt;"",AO10&gt;1),AND(AR10&lt;&gt;"",AR10&gt;1),AU10=3,AND(AU10&lt;&gt;"",AU10&gt;4),AV10="LLWS",AW10="LLWS",CE10&lt;30,AND(CJ10&lt;25,CJ10&lt;&gt;0)),"Y","G"))</f>
        <v>G</v>
      </c>
      <c r="BC10" s="99" t="str">
        <f>IF(OR(G10&gt;(MLT!F$35-1),AND(H10&lt;&gt;"",H10&gt;(MLT!E$35-1)),J10&lt;MLT!E$38,R10&lt;MLT!E$39,L10="TS",O10="TS",N10="Y",T10&gt;50.49,T10&lt;-20.5,W10&gt;0.9449,AA10&gt;8999,AND(AB10&lt;&gt;"",AB10&gt;0),AND(AL10&lt;&gt;"",AL10&gt;1)),"R",IF(OR(G10&gt;(MLT!I$35-1),AND(H10&lt;&gt;"",H10&gt;(MLT!H$35-1)),AND(I10&lt;&gt;"",I10&gt;(MLT!H$35-1)),J10&lt;MLT!H$38,K10&lt;MLT!H$38,M10&lt;&gt;"",P10&lt;&gt;"",R10&lt;MLT!H$39,S10&lt;MLT!H$39,L10="VCTS",O10="VCTS",T10&gt;45.49,T10&lt;-14,W10&gt;0.8449,AA10&gt;6999,AND(AB10&lt;&gt;"",AB10&gt;0),AND(AK10&lt;&gt;"",AK10&gt;0),AND(AL10&lt;&gt;"",AL10&gt;0),AND(AU10&lt;&gt;"",AU10&gt;0),AV10="LLWS",AW10="LLWS"),"Y","G"))</f>
        <v>G</v>
      </c>
      <c r="BD10" s="98" t="str">
        <f>IF(OR(AND(NOT(H10=""),H10&gt;(MLT!E48-1)),AND(NOT(I10=""),I10&gt;(MLT!E48-1)),J10&lt;0.26,NOT(L10=""),U10&lt;14.5,AND(X5="Wind Chill",X10&lt;-0.5),AND(X5="WBGT",X10&gt;89.49)),"R",IF(OR(AND(NOT(H10=""),H10&gt;(MLT!H48-1)),AND(NOT(I10=""),I10&gt;(MLT!H48-1)),J10&lt;1,NOT(M10=""),NOT(P10=""),NOT(O10=""),U10&lt;31.5,AND(X5="Wind Chill",X10&lt;14.5),AND(X5="WBGT",X10&gt;77.49)),"Y","G"))</f>
        <v>R</v>
      </c>
      <c r="BE10" s="99" t="str">
        <f>IF(OR(AND(H10&lt;&gt;"",H10&gt;(MLT!$E$56)),J10&lt;MLT!$E$59,R10&lt;MLT!$E$60,L10="TS",O10="TS",AND(AB10&lt;&gt;"",AC10&lt;30),AND(AE10&lt;&gt;"",AF10&lt;30),AND(AH10&lt;&gt;"",AI10&lt;30),AND(AL10&lt;&gt;"",AL10&gt;0,AM10&lt;30),AND(AO10&lt;&gt;"",AO10&gt;0,AP10&lt;30),AND(AR10&lt;&gt;"",AR10&gt;0,AS10&lt;30)),"R",IF(OR(AND(H10&lt;&gt;"",H10&gt;MLT!$H$56),AND(I10&lt;&gt;"",I10&gt;MLT!$H$56),J10&lt;MLT!$H$59,K10&lt;MLT!$H$59,R10&lt;MLT!$H$60,S10&lt;MLT!$H$60,L10="VCTS",O10="VCTS",AB10&lt;&gt;"",AK10&lt;&gt;"",AL10&lt;&gt;"",AU10&lt;&gt;"",AV10="LLWS",AW10="LLWS"),"Y","G"))</f>
        <v>G</v>
      </c>
      <c r="BF10" s="99" t="str">
        <f>IF(OR(AND(H10&lt;&gt;"",H10&gt;(MLT!$E$64)),L10="TS",O10="TS",AND(AB10&lt;&gt;"",AB10&gt;3,AC10&lt;30),AND(AE10&lt;&gt;"",AE10&gt;3,AF10&lt;30),AND(AH10&lt;&gt;"",AH10&gt;3,AI10&lt;30),AND(AL10=7,AM10&lt;30),AND(AL10=9,AM10&lt;30),AND(AO10=7,AP10&lt;30),AND(AO10=9,AP10&lt;30),AND(AR10=7,AS10&lt;30),AND(AR10=9,AS10&lt;30)),"R",IF(OR(AND(H10&lt;&gt;"",H10&gt;MLT!$H$64),AND(I10&lt;&gt;"",I10&gt;MLT!$H$64),J10&lt;MLT!$H$67,K10&lt;MLT!$H$67,R10&lt;MLT!$H$68,S10&lt;MLT!$H$68,L10="VCTS",O10="VCTS",calc!U10&gt;90,U10&lt;-29,AB10&lt;&gt;"",AK10&lt;&gt;"",AND(AL10&lt;&gt;"",AL10&gt;1),AND(AO10&lt;&gt;"",AO10&gt;1),AND(AR10&lt;&gt;"",AR10&gt;1),AND(AU10&lt;&gt;"",AU10&gt;1),AV10="LLWS",AW10="LLWS"),"Y","G"))</f>
        <v>G</v>
      </c>
      <c r="BG10" s="98" t="str">
        <f>IF(OR(AND(H10&lt;&gt;"",H10&gt;(MLT!$E$73)),L10="TS",O10="TS",AND(AB10&lt;&gt;"",AC10&lt;30),AND(AE10&lt;&gt;"",AF10&lt;30),AND(AH10&lt;&gt;"",AI10&lt;30),AND(AL10=3,AM10&lt;30),AND(AL10&lt;&gt;"",AL10&gt;4,AM10&lt;30),AND(AO10=3,AP10&lt;30),AND(AO10&lt;&gt;"",AO10&gt;4,AP10&lt;30),AND(AR10=3,AS10&lt;30),AND(AR10&lt;&gt;"",AR10&gt;4,AS10&lt;30)),"R",IF(OR(AND(H10&lt;&gt;"",H10&gt;MLT!$H$73),AND(I10&lt;&gt;"",I10&gt;MLT!$H$73),J10&lt;MLT!$H$76,K10&lt;MLT!$H$76,R10&lt;MLT!$H$77,S10&lt;MLT!$H$77,L10="VCTS",O10="VCTS",AB10&lt;&gt;"",AK10&lt;&gt;"",AL10&lt;&gt;"",AU10&lt;&gt;"",AV10="LLWS",AW10="LLWS"),"Y","G"))</f>
        <v>G</v>
      </c>
      <c r="BH10" s="98" t="str">
        <f>IF(OR(IF(H10="",G10,H10)&gt;MLT!$E$81,IF(H10="",G10,H10)-G10&gt;19,IF(F10="VRB",FALSE(),(IF(AND(F10&gt;89,F10&lt;271),SIN(RADIANS(MAX(180,F10)-MIN(180,F10))),SIN(RADIANS(IF(F10&gt;269,360-F10,F10)))))*(IF(H10="",G10,H10))&gt;MLT!$E$82),J10&lt;MLT!$E$86,L10="TS",L10="VCTS",O10="TS",R10&lt;MLT!$E$87,U10&gt;MLT!$E$88,AND(AB10&lt;&gt;"",AB10&gt;3,AC10&lt;100),AND(AE10&lt;&gt;"",AE10&gt;3,AF10&lt;100),AND(AH10&lt;&gt;"",AH10&gt;3,AI10&lt;100),AND(AL10=7,AM10&lt;100),AND(AL10=9,AM10&lt;100),AND(AO10=7,AP10&lt;100),AND(AO10=9,AP10&lt;100),AND(AR10=7,AS10&lt;100),AND(AR10=9,AS10&lt;100),AV10="LLWS"),"R",IF(OR(AND(H10&lt;&gt;"",H10&gt;14),IF(F10="VRB",FALSE(),(IF(AND(F10&gt;89,F10&lt;271),SIN(RADIANS(MAX(180,F10)-MIN(180,F10))),SIN(RADIANS(IF(F10&gt;269,360-F10,F10)))))*(IF(H10="",G10,H10))&gt;MLT!$H$82),AND(I10&lt;&gt;"",I10&gt;14),J10&lt;MLT!$H$86,K10&lt;MLT!$H$86,R10&lt;MLT!$H$87,S10&lt;MLT!$H$87,O10="VCTS",calc!U10&gt;90,AB10&lt;&gt;"",AK10&lt;&gt;"",AND(AL10&lt;&gt;"",AL10&gt;1),AND(AO10&lt;&gt;"",AO10&gt;1),AND(AR10&lt;&gt;"",AR10&gt;1),AND(AU10&lt;&gt;"",AU10&gt;1),AW10="LLWS"),"Y","G"))</f>
        <v>G</v>
      </c>
      <c r="BI10" s="98" t="str">
        <f>IF(OR(IF(H10="",G10,H10)&gt;MLT!$E$92,J10&lt;MLT!$E$95,L10="TS",L10="VCTS",O10="TS",R10&lt;MLT!$E$96,AND(AB10&lt;&gt;"",AB10&gt;3,AC10&lt;100),AND(AE10&lt;&gt;"",AE10&gt;3,AF10&lt;100),AND(AH10&lt;&gt;"",AH10&gt;3,AI10&lt;100),AND(AL10=7,AM10&lt;100),AND(AL10=9,AM10&lt;100),AND(AO10=7,AP10&lt;100),AND(AO10=9,AP10&lt;100),AND(AR10=7,AS10&lt;100),AND(AR10=9,AS10&lt;100)),"R",IF(OR(AND(H10&lt;&gt;"",H10&gt;14),AND(I10&lt;&gt;"",I10&gt;14),J10&lt;MLT!$H$95,K10&lt;MLT!$H$95,R10&lt;MLT!$H$96,S10&lt;MLT!$H$96,O10="VCTS",AB10&lt;&gt;"",AK10&lt;&gt;"",AND(AL10&lt;&gt;"",AL10&gt;1),AND(AO10&lt;&gt;"",AO10&gt;1),AND(AR10&lt;&gt;"",AR10&gt;1),AND(AU10&lt;&gt;"",AU10&gt;1),AV10="LLWS",AW10="LLWS"),"Y","G"))</f>
        <v>G</v>
      </c>
      <c r="BK10" s="41">
        <f t="shared" si="4"/>
        <v>27.236621524798565</v>
      </c>
      <c r="BL10" s="41">
        <f t="shared" si="5"/>
        <v>27.236621524798565</v>
      </c>
      <c r="BM10" s="41">
        <f>IF(R10&gt;200,T10+(LOOKUP(Worksheet!BD6,BV8:BV10,BW8:BW10)*(CA10/BZ10)),IF(AND(R10&lt;210,R10&gt;29),T10+(0.5*LOOKUP(Worksheet!BD6,BV8:BV10,BW8:BW10)*(CA10/BZ10)),T10+0.25*(LOOKUP(Worksheet!BD6,BV8:BV10,BW8:BW10)*(CA10/BZ10))))</f>
        <v>36.058320243409398</v>
      </c>
      <c r="BN10" s="41">
        <f t="shared" si="6"/>
        <v>35.099295738112602</v>
      </c>
      <c r="BO10" s="42">
        <f t="shared" si="7"/>
        <v>24.444444444444446</v>
      </c>
      <c r="BP10" s="43">
        <f t="shared" si="8"/>
        <v>98.720525016705977</v>
      </c>
      <c r="BQ10" s="44">
        <f t="shared" si="9"/>
        <v>3.0673385033070151</v>
      </c>
      <c r="BR10" s="42">
        <f>BN10+(21*CA10/BZ10)</f>
        <v>49.746215455372727</v>
      </c>
      <c r="BS10" s="42">
        <f t="shared" si="10"/>
        <v>47.30506216916271</v>
      </c>
      <c r="BT10" s="42">
        <f t="shared" si="11"/>
        <v>47.30506216916271</v>
      </c>
      <c r="BU10" s="42"/>
      <c r="BV10" s="1610" t="s">
        <v>481</v>
      </c>
      <c r="BW10" s="834">
        <v>0</v>
      </c>
      <c r="BX10" s="106">
        <f>DEGREES(ASIN(BY10*COS(RADIANS(LOOKUP(Worksheet!Q6,'Light Data '!A3:A377,'Light Data '!J3:J377)))*COS(RADIANS(Worksheet!R2))+SIN(RADIANS(LOOKUP(Worksheet!Q6,'Light Data '!A3:A377,'Light Data '!J3:J377)))*SIN(RADIANS(Worksheet!R2))))</f>
        <v>50.934317855251521</v>
      </c>
      <c r="BY10" s="515">
        <f>COS(RADIANS(15*((MAX(CF5,(HOUR(C10)/24))-MIN(CF5,(HOUR(C10)/24)))*24)))</f>
        <v>0.74168324160663179</v>
      </c>
      <c r="BZ10" s="516">
        <f>IF(BX10&lt;0,0.1,((128*10^3)*(1+0.033412*COS(2*PI()*(((CH4-CH3)-3)/365)))))</f>
        <v>123724.68965631575</v>
      </c>
      <c r="CA10" s="516">
        <f>IF(BX10&lt;0,0,((128*10^3)*(1+0.033412*COS(2*PI()*(((CH4-CH3)-3)/365))))*POWER(EXP(1),0-(CB10*(1/(SIN(RADIANS(BX10+(244/(165+47*(POWER(BX10,1.1)))))))))))</f>
        <v>86294.552211380069</v>
      </c>
      <c r="CB10" s="389">
        <f t="shared" si="12"/>
        <v>0.28000000000000003</v>
      </c>
      <c r="CC10" s="112" t="str">
        <f t="shared" si="18"/>
        <v>&lt;0</v>
      </c>
      <c r="CD10" s="112" t="str">
        <f t="shared" si="19"/>
        <v>(&lt;0)</v>
      </c>
      <c r="CE10" s="112">
        <f t="shared" si="20"/>
        <v>99</v>
      </c>
      <c r="CF10" s="66" t="str">
        <f t="shared" si="21"/>
        <v>D</v>
      </c>
      <c r="CI10" s="834">
        <f>INDEX('Light Data '!$H$3:$H$381,MATCH(ROUNDDOWN(C10,0),'Light Data '!$A$3:$A$381,0))-(((INDEX('Light Data '!$H$3:$H$381,MATCH(ROUNDDOWN(C10,0),'Light Data '!$A$3:$A$381,0))-(INDEX('Light Data '!$H$3:$H$381,MATCH(ROUNDDOWN(C10,0)+1,'Light Data '!$A$3:$A$381,0))))/24)*HOUR(C10))</f>
        <v>45.583333333333336</v>
      </c>
      <c r="CJ10" s="834" t="str">
        <f t="shared" si="22"/>
        <v>NA</v>
      </c>
    </row>
    <row r="11" spans="1:97" ht="15" customHeight="1" thickTop="1" thickBot="1">
      <c r="A11" s="528">
        <f t="shared" ref="A11:A20" si="23">HOUR(C11)</f>
        <v>12</v>
      </c>
      <c r="B11" s="526">
        <f t="shared" si="1"/>
        <v>1200</v>
      </c>
      <c r="C11" s="3640">
        <f>Worksheet!AD71</f>
        <v>44748.499999999993</v>
      </c>
      <c r="D11" s="3640"/>
      <c r="E11" s="521">
        <f>Worksheet!AF71</f>
        <v>44748.666666666664</v>
      </c>
      <c r="F11" s="77" t="str">
        <f>IF(AND(TAF!Z7="PREDOM",E11&lt;TAF!AF7),TAF!AH7,IF(AND(TAF!Z8="PREDOM",E11&lt;TAF!AF8),TAF!AH8,IF(AND(TAF!Z9="PREDOM",E11&lt;TAF!AF9),TAF!AH9,IF(AND(TAF!Z10="PREDOM",E11&lt;TAF!AF10),TAF!AH10,IF(AND(TAF!Z11="PREDOM",E11&lt;TAF!AF11),TAF!AH11,IF(AND(TAF!Z12="PREDOM",E11&lt;TAF!AF12),TAF!AH12,IF(AND(TAF!Z13="PREDOM",E11&lt;TAF!AF13),TAF!AH13,IF(AND(TAF!Z14="PREDOM",E11&lt;TAF!AF14),TAF!AH14,IF(AND(TAF!Z15="PREDOM",E11&lt;TAF!AF15),TAF!AH15,IF(AND(TAF!Z16="PREDOM",E11&lt;TAF!AE16),TAF!AH16,IF(AND(TAF!Z17="PREDOM",E11&lt;TAF!AF17),TAF!AH17,IF(AND(TAF!Z18="PREDOM",E11&lt;TAF!AF18),TAF!AH18))))))))))))</f>
        <v>240</v>
      </c>
      <c r="G11" s="78">
        <f>IF(AND(TAF!Z7="PREDOM",E11&lt;TAF!AF7),TAF!AI7,IF(AND(TAF!Z8="PREDOM",E11&lt;TAF!AF8),TAF!AI8,IF(AND(TAF!Z9="PREDOM",E11&lt;TAF!AF9),TAF!AI9,IF(AND(TAF!Z10="PREDOM",E11&lt;TAF!AF10),TAF!AI10,IF(AND(TAF!Z11="PREDOM",E11&lt;TAF!AF11),TAF!AI11,IF(AND(TAF!Z12="PREDOM",E11&lt;TAF!AF12),TAF!AI12,IF(AND(TAF!Z13="PREDOM",E11&lt;TAF!AF13),TAF!AI13,IF(AND(TAF!Z14="PREDOM",E11&lt;TAF!AF14),TAF!AI14,IF(AND(TAF!Z15="PREDOM",E11&lt;TAF!AF15),TAF!AI15,IF(AND(TAF!Z16="PREDOM",E11&lt;TAF!AE16),TAF!AI16,IF(AND(TAF!Z17="PREDOM",E11&lt;TAF!AF17),TAF!AI17,IF(AND(TAF!Z18="PREDOM",E11&lt;TAF!AF18),TAF!AI18))))))))))))</f>
        <v>10</v>
      </c>
      <c r="H11" s="79" t="str">
        <f>IF(AND(TAF!Z7="PREDOM",E11&lt;TAF!AF7),TAF!AJ7,IF(AND(TAF!Z8="PREDOM",E11&lt;TAF!AF8),TAF!AJ8,IF(AND(TAF!Z9="PREDOM",E11&lt;TAF!AF9),TAF!AJ9,IF(AND(TAF!Z10="PREDOM",E11&lt;TAF!AF10),TAF!AJ10,IF(AND(TAF!Z11="PREDOM",E11&lt;TAF!AF11),TAF!AJ11,IF(AND(TAF!Z12="PREDOM",E11&lt;TAF!AF12),TAF!AJ12,IF(AND(TAF!Z13="PREDOM",E11&lt;TAF!AF13),TAF!AJ13,IF(AND(TAF!Z14="PREDOM",E11&lt;TAF!AF14),TAF!AJ14,IF(AND(TAF!Z15="PREDOM",E11&lt;TAF!AF15),TAF!AJ15,IF(AND(TAF!Z16="PREDOM",E11&lt;TAF!AE16),TAF!AJ16,IF(AND(TAF!Z17="PREDOM",E11&lt;TAF!AF17),TAF!AJ17,IF(AND(TAF!Z18="PREDOM",E11&lt;TAF!AF18),TAF!AJ18))))))))))))</f>
        <v/>
      </c>
      <c r="I11" s="80" t="str">
        <f>IF(AND(TAF!Z7="TEMPO",NOT(E11+0.01&lt;TAF!AC7),E11&lt;TAF!AF7),TAF!AJ7,IF(AND(TAF!Z8="TEMPO",NOT(E11+0.01&lt;TAF!AC8),E11&lt;TAF!AF8),TAF!AJ8,IF(AND(TAF!Z9="TEMPO",NOT(E11+0.01&lt;TAF!AC9),E11&lt;TAF!AF9),TAF!AJ9,IF(AND(TAF!Z10="TEMPO",NOT(E11+0.01&lt;TAF!AC10),E11&lt;TAF!AF10),TAF!AJ10,IF(AND(TAF!Z11="TEMPO",NOT(E11+0.01&lt;TAF!AC11),E11&lt;TAF!AF11),TAF!AJ11,IF(AND(TAF!Z12="TEMPO",NOT(E11+0.01&lt;TAF!AC12),E11&lt;TAF!AF12),TAF!AJ12,IF(AND(TAF!Z13="TEMPO",NOT(E11+0.01&lt;TAF!AC13),E11&lt;TAF!AF13),TAF!AJ13,IF(AND(TAF!Z14="TEMPO",NOT(E11+0.01&lt;TAF!AC14),E11&lt;TAF!AF14),TAF!AJ14,IF(AND(TAF!Z15="TEMPO",NOT(E11+0.01&lt;TAF!AC15),E11&lt;TAF!AF15),TAF!AJ15,IF(AND(TAF!Z16="TEMPO",NOT(E11+0.01&lt;TAF!AC16),E11&lt;TAF!AE16),TAF!AJ16,IF(AND(TAF!Z17="TEMPO",NOT(E11+0.01&lt;TAF!AC17),E11&lt;TAF!AF17),TAF!AJ17,IF(AND(TAF!Z18="TEMPO",NOT(E11+0.01&lt;TAF!AC18),E11&lt;TAF!AF18),TAF!AJ18,""))))))))))))</f>
        <v/>
      </c>
      <c r="J11" s="81">
        <f>IF(AND(TAF!Z7="PREDOM",E11&lt;TAF!AF7),TAF!AN7,IF(AND(TAF!Z8="PREDOM",E11&lt;TAF!AF8),TAF!AN8,IF(AND(TAF!Z9="PREDOM",E11&lt;TAF!AF9),TAF!AN9,IF(AND(TAF!Z10="PREDOM",E11&lt;TAF!AF10),TAF!AN10,IF(AND(TAF!Z11="PREDOM",E11&lt;TAF!AF11),TAF!AN11,IF(AND(TAF!Z12="PREDOM",E11&lt;TAF!AF12),TAF!AN12,IF(AND(TAF!Z13="PREDOM",E11&lt;TAF!AF13),TAF!AN13,IF(AND(TAF!Z14="PREDOM",E11&lt;TAF!AF14),TAF!AN14,IF(AND(TAF!Z15="PREDOM",E11&lt;TAF!AF15),TAF!AN15,IF(AND(TAF!Z16="PREDOM",E11&lt;TAF!AE16),TAF!AN16,IF(AND(TAF!Z17="PREDOM",E11&lt;TAF!AF17),TAF!AN17,IF(AND(TAF!Z18="PREDOM",E11&lt;TAF!AF18),TAF!AN18))))))))))))</f>
        <v>7</v>
      </c>
      <c r="K11" s="82" t="str">
        <f>IF(AND(TAF!Z7="TEMPO",NOT(E11+0.01&lt;TAF!AC7),E11-0.01&lt;TAF!AF7),TAF!AN7,IF(AND(TAF!Z8="TEMPO",NOT(E11+0.01&lt;TAF!AC8),E11-0.01&lt;TAF!AF8),TAF!AN8,IF(AND(TAF!Z9="TEMPO",NOT(E11+0.01&lt;TAF!AC9),E11-0.01&lt;TAF!AF9),TAF!AN9,IF(AND(TAF!Z10="TEMPO",NOT(E11+0.01&lt;TAF!AC10),E11-0.01&lt;TAF!AF10),TAF!AN10,IF(AND(TAF!Z11="TEMPO",NOT(E11+0.01&lt;TAF!AC11),E11-0.01&lt;TAF!AF11),TAF!AN11,IF(AND(TAF!Z12="TEMPO",NOT(E11+0.01&lt;TAF!AC12),E11-0.01&lt;TAF!AF12),TAF!AN12,IF(AND(TAF!Z13="TEMPO",NOT(E11+0.01&lt;TAF!AC13),E11-0.01&lt;TAF!AF13),TAF!AN13,IF(AND(TAF!Z14="TEMPO",NOT(E11+0.01&lt;TAF!AC14),E11-0.01&lt;TAF!AF14),TAF!AN14,IF(AND(TAF!Z15="TEMPO",NOT(E11+0.01&lt;TAF!AC15),E11-0.01&lt;TAF!AF15),TAF!AN15,IF(AND(TAF!Z16="TEMPO",NOT(E11+0.01&lt;TAF!AC16),E11-0.01&lt;TAF!AE16),TAF!AN16,IF(AND(TAF!Z17="TEMPO",NOT(E11+0.01&lt;TAF!AC17),E11-0.01&lt;TAF!AF17),TAF!AN17,IF(AND(TAF!Z18="TEMPO",NOT(E11+0.01&lt;TAF!AC18),E11-0.01&lt;TAF!AF18),TAF!AN18,""))))))))))))</f>
        <v/>
      </c>
      <c r="L11" s="83" t="str">
        <f t="shared" si="13"/>
        <v/>
      </c>
      <c r="M11" s="84" t="str">
        <f>IF(AND(TAF!Z7="PREDOM",E11&lt;TAF!AF7),TAF!AP7,IF(AND(TAF!Z8="PREDOM",E11&lt;TAF!AF8),TAF!AP8,IF(AND(TAF!Z9="PREDOM",E11&lt;TAF!AF9),TAF!AP9,IF(AND(TAF!Z10="PREDOM",E11&lt;TAF!AF10),TAF!AP10,IF(AND(TAF!Z11="PREDOM",E11&lt;TAF!AF11),TAF!AP11,IF(AND(TAF!Z12="PREDOM",E11&lt;TAF!AF12),TAF!AP12,IF(AND(TAF!Z13="PREDOM",E11&lt;TAF!AF13),TAF!AP13,IF(AND(TAF!Z14="PREDOM",E11&lt;TAF!AF14),TAF!AP14,IF(AND(TAF!Z15="PREDOM",E11&lt;TAF!AF15),TAF!AP15,IF(AND(TAF!Z16="PREDOM",E11&lt;TAF!AE16),TAF!AP16,IF(AND(TAF!Z17="PREDOM",E11&lt;TAF!AF17),TAF!AP17,IF(AND(TAF!Z18="PREDOM",E11&lt;TAF!AF18),TAF!AP18))))))))))))</f>
        <v/>
      </c>
      <c r="N11" s="85" t="str">
        <f t="shared" si="14"/>
        <v>N</v>
      </c>
      <c r="O11" s="85" t="str">
        <f t="shared" si="15"/>
        <v/>
      </c>
      <c r="P11" s="84" t="str">
        <f>IF(AND(TAF!Z7="TEMPO",NOT(E11+0.01&lt;TAF!AC7),E11-0.01&lt;TAF!AF7),TAF!AP7,IF(AND(TAF!Z8="TEMPO",NOT(E11+0.01&lt;TAF!AC8),E11-0.01&lt;TAF!AF8),TAF!AP8,IF(AND(TAF!Z9="TEMPO",NOT(E11+0.01&lt;TAF!AC9),E11-0.01&lt;TAF!AF9),TAF!AP9,IF(AND(TAF!Z10="TEMPO",NOT(E11+0.01&lt;TAF!AC10),E11-0.01&lt;TAF!AF10),TAF!AP10,IF(AND(TAF!Z11="TEMPO",NOT(E11+0.01&lt;TAF!AC11),E11-0.01&lt;TAF!AF11),TAF!AP11,IF(AND(TAF!Z12="TEMPO",NOT(E11+0.01&lt;TAF!AC12),E11-0.01&lt;TAF!AF12),TAF!AP12,IF(AND(TAF!Z13="TEMPO",NOT(E11+0.01&lt;TAF!AC13),E11-0.01&lt;TAF!AF13),TAF!AP13,IF(AND(TAF!Z14="TEMPO",NOT(E11+0.01&lt;TAF!AC14),E11-0.01&lt;TAF!AF14),TAF!AP14,IF(AND(TAF!Z15="TEMPO",NOT(E11+0.01&lt;TAF!AC15),E11-0.01&lt;TAF!AF15),TAF!AP15,IF(AND(TAF!Z16="TEMPO",NOT(E11+0.01&lt;TAF!AC16),E11-0.01&lt;TAF!AE16),TAF!AP16,IF(AND(TAF!Z17="TEMPO",NOT(E11+0.01&lt;TAF!AC17),E11-0.01&lt;TAF!AF17),TAF!AP17,IF(AND(TAF!Z18="TEMPO",NOT(E11+0.01&lt;TAF!AC18),E11-0.01&lt;TAF!AF18),TAF!AP18,""))))))))))))</f>
        <v/>
      </c>
      <c r="Q11" s="889" t="str">
        <f t="shared" si="2"/>
        <v>N</v>
      </c>
      <c r="R11" s="86">
        <f>IF(AND(TAF!Z7="PREDOM",E11&lt;TAF!AF7),TAF!AW7,IF(AND(TAF!Z8="PREDOM",E11&lt;TAF!AF8),TAF!AW8,IF(AND(TAF!Z9="PREDOM",E11&lt;TAF!AF9),TAF!AW9,IF(AND(TAF!Z10="PREDOM",E11&lt;TAF!AF10),TAF!AW10,IF(AND(TAF!Z11="PREDOM",E11&lt;TAF!AF11),TAF!AW11,IF(AND(TAF!Z12="PREDOM",E11&lt;TAF!AF12),TAF!AW12,IF(AND(TAF!Z13="PREDOM",E11&lt;TAF!AF13),TAF!AW13,IF(AND(TAF!Z14="PREDOM",E11&lt;TAF!AF14),TAF!AW14,IF(AND(TAF!Z15="PREDOM",E11&lt;TAF!AF15),TAF!AW15,IF(AND(TAF!Z16="PREDOM",E11&lt;TAF!AE16),TAF!AW16,IF(AND(TAF!Z17="PREDOM",E11&lt;TAF!AF17),TAF!AW17,IF(AND(TAF!Z18="PREDOM",E11&lt;TAF!AF18),TAF!AW18))))))))))))</f>
        <v>250</v>
      </c>
      <c r="S11" s="87" t="str">
        <f>IF(AND(TAF!Z7="TEMPO",NOT(E11+0.01&lt;TAF!AC7),E11-0.01&lt;TAF!AF7),TAF!AW7,IF(AND(TAF!Z8="TEMPO",NOT(E11+0.01&lt;TAF!AC8),E11-0.01&lt;TAF!AF8),TAF!AW8,IF(AND(TAF!Z9="TEMPO",NOT(E11+0.01&lt;TAF!AC9),E11-0.01&lt;TAF!AF9),TAF!AW9,IF(AND(TAF!Z10="TEMPO",NOT(E11+0.01&lt;TAF!AC10),E11-0.01&lt;TAF!AF10),TAF!AW10,IF(AND(TAF!Z11="TEMPO",NOT(E11+0.01&lt;TAF!AC11),E11-0.01&lt;TAF!AF11),TAF!AW11,IF(AND(TAF!Z12="TEMPO",NOT(E11+0.01&lt;TAF!AC12),E11-0.01&lt;TAF!AF12),TAF!AW12,IF(AND(TAF!Z13="TEMPO",NOT(E11+0.01&lt;TAF!AC13),E11-0.01&lt;TAF!AF13),TAF!AW13,IF(AND(TAF!Z14="TEMPO",NOT(E11+0.01&lt;TAF!AC14),E11-0.01&lt;TAF!AF14),TAF!AW14,IF(AND(TAF!Z15="TEMPO",NOT(E11+0.01&lt;TAF!AC15),E11-0.01&lt;TAF!AF15),TAF!AW15,IF(AND(TAF!Z16="TEMPO",NOT(E11+0.01&lt;TAF!AC16),E11-0.01&lt;TAF!AE16),TAF!AW16,IF(AND(TAF!Z17="TEMPO",NOT(E11+0.01&lt;TAF!AC17),E11-0.01&lt;TAF!AF17),TAF!AW17,IF(AND(TAF!Z18="TEMPO",NOT(E11+0.01&lt;TAF!AC18),E11-0.01&lt;TAF!AF18),TAF!AW18,""))))))))))))</f>
        <v/>
      </c>
      <c r="T11" s="88">
        <f t="shared" si="3"/>
        <v>33.333333333333336</v>
      </c>
      <c r="U11" s="89">
        <f>Worksheet!AP71</f>
        <v>92</v>
      </c>
      <c r="V11" s="90">
        <f>Worksheet!BB71</f>
        <v>75</v>
      </c>
      <c r="W11" s="91">
        <f t="shared" si="16"/>
        <v>0.57879022943352076</v>
      </c>
      <c r="X11" s="100">
        <f>IF(X5="Wind Chill",IF(G11=0,U11,IF(U11&lt;56,35.74+(0.6215*U11)-(35.75*(G11^0.16))+(0.4275*U11*(G11^0.16)),"NA")),IF(X5="WBGT",1.8*((0.7*BL11)+(0.1*BN11)+(0.2*BT11))+32))</f>
        <v>90.512860674707568</v>
      </c>
      <c r="Y11" s="93">
        <f>Worksheet!BQ71</f>
        <v>29.95</v>
      </c>
      <c r="Z11" s="1890">
        <f>Worksheet!BT71</f>
        <v>728.19027356060712</v>
      </c>
      <c r="AA11" s="1891">
        <f>Worksheet!BV71</f>
        <v>3101.2082825586076</v>
      </c>
      <c r="AB11" s="896" t="str">
        <f>IF(AND(TAF!Z7="PREDOM",E11&lt;TAF!AF7),TAF!BS7,IF(AND(TAF!Z8="PREDOM",E11&lt;TAF!AF8),TAF!BS8,IF(AND(TAF!Z9="PREDOM",E11&lt;TAF!AF9),TAF!BS9,IF(AND(TAF!Z10="PREDOM",E11&lt;TAF!AF10),TAF!BS10,IF(AND(TAF!Z11="PREDOM",E11&lt;TAF!AF11),TAF!BS11,IF(AND(TAF!Z12="PREDOM",E11&lt;TAF!AF12),TAF!BS12,IF(AND(TAF!Z13="PREDOM",E11&lt;TAF!AF13),TAF!BS13,IF(AND(TAF!Z14="PREDOM",E11&lt;TAF!AF14),TAF!BS14,IF(AND(TAF!Z15="PREDOM",E11&lt;TAF!AF15),TAF!BS15,IF(AND(TAF!Z16="PREDOM",E11&lt;TAF!AE16),TAF!BS16,IF(AND(TAF!Z17="PREDOM",E11&lt;TAF!AF17),TAF!BS17,IF(AND(TAF!Z18="PREDOM",E11&lt;TAF!AF18),TAF!BS18))))))))))))</f>
        <v/>
      </c>
      <c r="AC11" s="899" t="str">
        <f>IF(AB11="","",IF(AND(TAF!$Z$7="PREDOM",E11&lt;TAF!$AF$7),TAF!$BT$7,IF(AND(TAF!$Z$8="PREDOM",E11&lt;TAF!$AF$8),TAF!$BT$8,IF(AND(TAF!$Z$9="PREDOM",E11&lt;TAF!$AF$9),TAF!$BT$9,IF(AND(TAF!$Z$10="PREDOM",E11&lt;TAF!$AF$10),TAF!$BT$10,IF(AND(TAF!$Z$11="PREDOM",E11&lt;TAF!$AF$11),TAF!$BT$11,IF(AND(TAF!$Z$12="PREDOM",E11&lt;TAF!$AF$12),TAF!$BT$12,IF(AND(TAF!$Z$13="PREDOM",E11&lt;TAF!$AF$13),TAF!$BT$13,IF(AND(TAF!$Z$14="PREDOM",E11&lt;TAF!$AF$14),TAF!$BT$14,IF(AND(TAF!$Z$15="PREDOM",E11&lt;TAF!$AF$15),TAF!$BT$15,IF(AND(TAF!$Z$16="PREDOM",E11&lt;TAF!AE19),TAF!$BT$16,IF(AND(TAF!$Z$17="PREDOM",E11&lt;TAF!$AF$17),TAF!$BT$17,IF(AND(TAF!$Z$18="PREDOM",E11&lt;TAF!$AF$18),TAF!$BT$18)))))))))))))</f>
        <v/>
      </c>
      <c r="AD11" s="902" t="str">
        <f>IF(AB11="","",IF(AND(TAF!$Z$7="PREDOM",E11&lt;TAF!$AF$7),TAF!$BU$7,IF(AND(TAF!$Z$8="PREDOM",E11&lt;TAF!$AF$8),TAF!$BU$8,IF(AND(TAF!$Z$9="PREDOM",E11&lt;TAF!$AF$9),TAF!$BU$9,IF(AND(TAF!$Z$10="PREDOM",E11&lt;TAF!$AF$10),TAF!$BU$10,IF(AND(TAF!$Z$11="PREDOM",E11&lt;TAF!$AF$11),TAF!$BU$11,IF(AND(TAF!$Z$12="PREDOM",E11&lt;TAF!$AF$12),TAF!$BU$12,IF(AND(TAF!$Z$13="PREDOM",E11&lt;TAF!$AF$13),TAF!$BU$13,IF(AND(TAF!$Z$14="PREDOM",E11&lt;TAF!$AF$14),TAF!$BU$14,IF(AND(TAF!$Z$15="PREDOM",E11&lt;TAF!$AF$15),TAF!$BU$15,IF(AND(TAF!$Z$16="PREDOM",E11&lt;TAF!AE19),TAF!$BU$16,IF(AND(TAF!$Z$17="PREDOM",E11&lt;TAF!$AF$17),TAF!$BU$17,IF(AND(TAF!$Z$18="PREDOM",E11&lt;TAF!$AF$18),TAF!$BU$18)))))))))))))</f>
        <v/>
      </c>
      <c r="AE11" s="896" t="str">
        <f>IF(AND(TAF!Z7="PREDOM",E11&lt;TAF!AF7),TAF!BV7,IF(AND(TAF!Z8="PREDOM",E11&lt;TAF!AF8),TAF!BV8,IF(AND(TAF!Z9="PREDOM",E11&lt;TAF!AF9),TAF!BV9,IF(AND(TAF!Z10="PREDOM",E11&lt;TAF!AF10),TAF!BV10,IF(AND(TAF!Z11="PREDOM",E11&lt;TAF!AF11),TAF!BV11,IF(AND(TAF!Z12="PREDOM",E11&lt;TAF!AF12),TAF!BV12,IF(AND(TAF!Z13="PREDOM",E11&lt;TAF!AF13),TAF!BV13,IF(AND(TAF!Z14="PREDOM",E11&lt;TAF!AF14),TAF!BV14,IF(AND(TAF!Z15="PREDOM",E11&lt;TAF!AF15),TAF!BV15,IF(AND(TAF!Z16="PREDOM",E11&lt;TAF!AE16),TAF!BV16,IF(AND(TAF!Z17="PREDOM",E11&lt;TAF!AF17),TAF!BV17,IF(AND(TAF!Z18="PREDOM",E11&lt;TAF!AF18),TAF!BV18))))))))))))</f>
        <v/>
      </c>
      <c r="AF11" s="899" t="str">
        <f>IF(AE11="","",IF(AND(TAF!$Z$7="PREDOM",E11&lt;TAF!$AF$7),TAF!$BW$7,IF(AND(TAF!$Z$8="PREDOM",E11&lt;TAF!$AF$8),TAF!$BW$8,IF(AND(TAF!$Z$9="PREDOM",E11&lt;TAF!$AF$9),TAF!$BW$9,IF(AND(TAF!$Z$10="PREDOM",E11&lt;TAF!$AF$10),TAF!$BW$10,IF(AND(TAF!$Z$11="PREDOM",E11&lt;TAF!$AF$11),TAF!$BW$11,IF(AND(TAF!$Z$12="PREDOM",E11&lt;TAF!$AF$12),TAF!$BW$12,IF(AND(TAF!$Z$13="PREDOM",E11&lt;TAF!$AF$13),TAF!$BW$13,IF(AND(TAF!$Z$14="PREDOM",E11&lt;TAF!$AF$14),TAF!$BW$14,IF(AND(TAF!$Z$15="PREDOM",E11&lt;TAF!$AF$15),TAF!$BW$15,IF(AND(TAF!$Z$16="PREDOM",E11&lt;TAF!AE19),TAF!$BW$16,IF(AND(TAF!$Z$17="PREDOM",E11&lt;TAF!$AF$17),TAF!$BW$17,IF(AND(TAF!$Z$18="PREDOM",E11&lt;TAF!$AF$18),TAF!$BW$18)))))))))))))</f>
        <v/>
      </c>
      <c r="AG11" s="902" t="str">
        <f>IF(AE11="","",IF(AND(TAF!$Z$7="PREDOM",E11&lt;TAF!$AF$7),TAF!$BX$7,IF(AND(TAF!$Z$8="PREDOM",E11&lt;TAF!$AF$8),TAF!$BX$8,IF(AND(TAF!$Z$9="PREDOM",E11&lt;TAF!$AF$9),TAF!$BX$9,IF(AND(TAF!$Z$10="PREDOM",E11&lt;TAF!$AF$10),TAF!$BX$10,IF(AND(TAF!$Z$11="PREDOM",E11&lt;TAF!$AF$11),TAF!$BX$11,IF(AND(TAF!$Z$12="PREDOM",E11&lt;TAF!$AF$12),TAF!$BX$12,IF(AND(TAF!$Z$13="PREDOM",E11&lt;TAF!$AF$13),TAF!$BX$13,IF(AND(TAF!$Z$14="PREDOM",E11&lt;TAF!$AF$14),TAF!$BX$14,IF(AND(TAF!$Z$15="PREDOM",E11&lt;TAF!$AF$15),TAF!$BX$15,IF(AND(TAF!$Z$16="PREDOM",E11&lt;TAF!AE19),TAF!$BX$16,IF(AND(TAF!$Z$17="PREDOM",E11&lt;TAF!$AF$17),TAF!$BX$17,IF(AND(TAF!$Z$18="PREDOM",E11&lt;TAF!$AF$18),TAF!$BX$18)))))))))))))</f>
        <v/>
      </c>
      <c r="AH11" s="894" t="str">
        <f>IF(AND(TAF!$Z$7="PREDOM",E11&lt;TAF!$AF$7),TAF!$BY$7,IF(AND(TAF!$Z$8="PREDOM",E11&lt;TAF!$AF$8),TAF!$BY$8,IF(AND(TAF!$Z$9="PREDOM",E11&lt;TAF!$AF$9),TAF!$BY$9,IF(AND(TAF!$Z$10="PREDOM",E11&lt;TAF!$AF$10),TAF!$BY$10,IF(AND(TAF!$Z$11="PREDOM",E11&lt;TAF!$AF$11),TAF!$BY$11,IF(AND(TAF!$Z$12="PREDOM",E11&lt;TAF!$AF$12),TAF!$BY$12,IF(AND(TAF!$Z$13="PREDOM",E11&lt;TAF!$AF$13),TAF!$BY$13,IF(AND(TAF!$Z$14="PREDOM",E11&lt;TAF!$AF$14),TAF!$BY$14,IF(AND(TAF!$Z$15="PREDOM",E11&lt;TAF!$AF$15),TAF!$BY$15,IF(AND(TAF!$Z$16="PREDOM",E11&lt;TAF!$AF$16),TAF!$BY$16,IF(AND(TAF!$Z$17="PREDOM",E11&lt;TAF!$AF$17),TAF!$BY$17,IF(AND(TAF!$Z$18="PREDOM",E11&lt;TAF!$AF$18),TAF!$BY$18))))))))))))</f>
        <v/>
      </c>
      <c r="AI11" s="899" t="str">
        <f>IF(AH11="","",IF(AND(TAF!$Z$7="PREDOM",E11&lt;TAF!$AF$7),TAF!$BZ$7,IF(AND(TAF!$Z$8="PREDOM",E11&lt;TAF!$AF$8),TAF!$BZ$8,IF(AND(TAF!$Z$9="PREDOM",E11&lt;TAF!$AF$9),TAF!$BZ$9,IF(AND(TAF!$Z$10="PREDOM",E11&lt;TAF!$AF$10),TAF!$BZ$10,IF(AND(TAF!$Z$11="PREDOM",E11&lt;TAF!$AF$11),TAF!$BZ$11,IF(AND(TAF!$Z$12="PREDOM",E11&lt;TAF!$AF$12),TAF!$BZ$12,IF(AND(TAF!$Z$13="PREDOM",E11&lt;TAF!$AF$13),TAF!$BZ$13,IF(AND(TAF!$Z$14="PREDOM",E11&lt;TAF!$AF$14),TAF!$BZ$14,IF(AND(TAF!$Z$15="PREDOM",E11&lt;TAF!$AF$15),TAF!$BZ$15,IF(AND(TAF!$Z$16="PREDOM",E11&lt;TAF!AE19),TAF!$BZ$16,IF(AND(TAF!$Z$17="PREDOM",E11&lt;TAF!$AF$17),TAF!$BZ$17,IF(AND(TAF!$Z$18="PREDOM",E11&lt;TAF!$AF$18),TAF!$BZ$18)))))))))))))</f>
        <v/>
      </c>
      <c r="AJ11" s="902" t="str">
        <f>IF(AH11="","",IF(AND(TAF!$Z$7="PREDOM",E11&lt;TAF!$AF$7),TAF!$CA$7,IF(AND(TAF!$Z$8="PREDOM",E11&lt;TAF!$AF$8),TAF!$CA$8,IF(AND(TAF!$Z$9="PREDOM",E11&lt;TAF!$AF$9),TAF!$CA$9,IF(AND(TAF!$Z$10="PREDOM",E11&lt;TAF!$AF$10),TAF!$CA$10,IF(AND(TAF!$Z$11="PREDOM",E11&lt;TAF!$AF$11),TAF!$CA$11,IF(AND(TAF!$Z$12="PREDOM",E11&lt;TAF!$AF$12),TAF!$CA$12,IF(AND(TAF!$Z$13="PREDOM",E11&lt;TAF!$AF$13),TAF!$CA$13,IF(AND(TAF!$Z$14="PREDOM",E11&lt;TAF!$AF$14),TAF!$CA$14,IF(AND(TAF!$Z$15="PREDOM",E11&lt;TAF!$AF$15),TAF!$CA$15,IF(AND(TAF!$Z$16="PREDOM",E11&lt;TAF!AE19),TAF!$CA$16,IF(AND(TAF!$Z$17="PREDOM",E11&lt;TAF!$AF$17),TAF!$CA$17,IF(AND(TAF!$Z$18="PREDOM",E11&lt;TAF!$AF$18),TAF!$CA$18)))))))))))))</f>
        <v/>
      </c>
      <c r="AK11" s="95" t="str">
        <f>IF(AND(TAF!Z7="TEMPO",NOT(E11+0.01&lt;TAF!AC7),E11-0.01&lt;TAF!AF7),TAF!CB7,IF(AND(TAF!Z8="TEMPO",NOT(E11+0.01&lt;TAF!AC8),E11-0.01&lt;TAF!AF8),TAF!CB8,IF(AND(TAF!Z9="TEMPO",NOT(E11+0.01&lt;TAF!AC9),E11-0.01&lt;TAF!AF9),TAF!CB9,IF(AND(TAF!Z10="TEMPO",NOT(E11+0.01&lt;TAF!AC10),E11-0.01&lt;TAF!AF10),TAF!CB10,IF(AND(TAF!Z11="TEMPO",NOT(E11+0.01&lt;TAF!AC11),E11-0.01&lt;TAF!AF11),TAF!CB11,IF(AND(TAF!Z12="TEMPO",NOT(E11+0.01&lt;TAF!AC12),E11-0.01&lt;TAF!AF12),TAF!CB12,IF(AND(TAF!Z13="TEMPO",NOT(E11+0.01&lt;TAF!AC13),E11-0.01&lt;TAF!AF13),TAF!CB13,IF(AND(TAF!Z14="TEMPO",NOT(E11+0.01&lt;TAF!AC14),E11-0.01&lt;TAF!AF14),TAF!CB14,IF(AND(TAF!Z15="TEMPO",NOT(E11+0.01&lt;TAF!AC15),E11-0.01&lt;TAF!AF15),TAF!CB15,IF(AND(TAF!Z16="TEMPO",NOT(E11+0.01&lt;TAF!AC16),E11-0.01&lt;TAF!AE16),TAF!CB16,IF(AND(TAF!Z17="TEMPO",NOT(E11+0.01&lt;TAF!AC17),E11-0.01&lt;TAF!AF17),TAF!CB17,IF(AND(TAF!Z18="TEMPO",NOT(E11+0.01&lt;TAF!AC18),E11-0.01&lt;TAF!AF18),TAF!CB18,""))))))))))))</f>
        <v/>
      </c>
      <c r="AL11" s="896" t="str">
        <f>IF(AND(TAF!Z7="PREDOM",E11&lt;TAF!AF7),TAF!BG7,IF(AND(TAF!Z8="PREDOM",E11&lt;TAF!AF8),TAF!BG8,IF(AND(TAF!Z9="PREDOM",E11&lt;TAF!AF9),TAF!BG9,IF(AND(TAF!Z10="PREDOM",E11&lt;TAF!AF10),TAF!BG10,IF(AND(TAF!Z11="PREDOM",E11&lt;TAF!AF11),TAF!BG11,IF(AND(TAF!Z12="PREDOM",E11&lt;TAF!AF12),TAF!BG12,IF(AND(TAF!Z13="PREDOM",E11&lt;TAF!AF13),TAF!BG13,IF(AND(TAF!Z14="PREDOM",E11&lt;TAF!AF14),TAF!BG14,IF(AND(TAF!Z15="PREDOM",E11&lt;TAF!AF15),TAF!BG15,IF(AND(TAF!Z16="PREDOM",E11&lt;TAF!AE16),TAF!BG16,IF(AND(TAF!Z17="PREDOM",E11&lt;TAF!AF17),TAF!BG17,IF(AND(TAF!Z18="PREDOM",E11&lt;TAF!AF18),TAF!BG18))))))))))))</f>
        <v/>
      </c>
      <c r="AM11" s="899" t="str">
        <f>IF(AL11="","",IF(AND(TAF!Z7="PREDOM",E11&lt;TAF!AF7),TAF!BH7,IF(AND(TAF!Z8="PREDOM",E11&lt;TAF!AF8),TAF!BH8,IF(AND(TAF!Z9="PREDOM",E11&lt;TAF!AF9),TAF!BH9,IF(AND(TAF!Z10="PREDOM",E11&lt;TAF!AF10),TAF!BH10,IF(AND(TAF!Z11="PREDOM",E11&lt;TAF!AF11),TAF!BH11,IF(AND(TAF!Z12="PREDOM",E11&lt;TAF!AF12),TAF!BH12,IF(AND(TAF!Z13="PREDOM",E11&lt;TAF!AF13),TAF!BH13,IF(AND(TAF!Z14="PREDOM",E11&lt;TAF!AF14),TAF!BH14,IF(AND(TAF!Z15="PREDOM",E11&lt;TAF!AF15),TAF!BH15,IF(AND(TAF!Z16="PREDOM",E11&lt;TAF!AE16),TAF!BH16,IF(AND(TAF!Z17="PREDOM",E11&lt;TAF!AF17),TAF!BH17,IF(AND(TAF!Z18="PREDOM",E11&lt;TAF!AF18),TAF!BH18)))))))))))))</f>
        <v/>
      </c>
      <c r="AN11" s="902" t="str">
        <f>IF(AL11="","",IF(AND(TAF!Z7="PREDOM",E11&lt;TAF!AF7),TAF!BI7,IF(AND(TAF!Z8="PREDOM",E11&lt;TAF!AF8),TAF!BI8,IF(AND(TAF!Z9="PREDOM",E11&lt;TAF!AF9),TAF!BI9,IF(AND(TAF!Z10="PREDOM",E11&lt;TAF!AF10),TAF!BI10,IF(AND(TAF!Z11="PREDOM",E11&lt;TAF!AF11),TAF!BI11,IF(AND(TAF!Z12="PREDOM",E11&lt;TAF!AF12),TAF!BI12,IF(AND(TAF!Z13="PREDOM",E11&lt;TAF!AF13),TAF!BI13,IF(AND(TAF!Z14="PREDOM",E11&lt;TAF!AF14),TAF!BI14,IF(AND(TAF!Z15="PREDOM",E11&lt;TAF!AF15),TAF!BI15,IF(AND(TAF!Z16="PREDOM",E11&lt;TAF!AE16),TAF!BI16,IF(AND(TAF!Z17="PREDOM",E11&lt;TAF!AF17),TAF!BI17,IF(AND(TAF!Z18="PREDOM",E11&lt;TAF!AF18),TAF!BI18)))))))))))))</f>
        <v/>
      </c>
      <c r="AO11" s="896" t="str">
        <f>IF(AND(TAF!Z7="PREDOM",E11&lt;TAF!AF7),TAF!BJ7,IF(AND(TAF!Z8="PREDOM",E11&lt;TAF!AF8),TAF!BJ8,IF(AND(TAF!Z9="PREDOM",E11&lt;TAF!AF9),TAF!BJ9,IF(AND(TAF!Z10="PREDOM",E11&lt;TAF!AF10),TAF!BJ10,IF(AND(TAF!Z11="PREDOM",E11&lt;TAF!AF11),TAF!BJ11,IF(AND(TAF!Z12="PREDOM",E11&lt;TAF!AF12),TAF!BJ12,IF(AND(TAF!Z13="PREDOM",E11&lt;TAF!AF13),TAF!BJ13,IF(AND(TAF!Z14="PREDOM",E11&lt;TAF!AF14),TAF!BJ14,IF(AND(TAF!Z15="PREDOM",E11&lt;TAF!AF15),TAF!BJ15,IF(AND(TAF!Z16="PREDOM",E11&lt;TAF!AE16),TAF!BJ16,IF(AND(TAF!Z17="PREDOM",E11&lt;TAF!AF17),TAF!BJ17,IF(AND(TAF!Z18="PREDOM",E11&lt;TAF!AF18),TAF!BJ18))))))))))))</f>
        <v/>
      </c>
      <c r="AP11" s="911" t="str">
        <f>IF(AO11="","",IF(AND(TAF!Z7="PREDOM",E11&lt;TAF!AF7),TAF!BK7,IF(AND(TAF!Z8="PREDOM",E11&lt;TAF!AF8),TAF!BK8,IF(AND(TAF!Z9="PREDOM",E11&lt;TAF!AF9),TAF!BK9,IF(AND(TAF!Z10="PREDOM",E11&lt;TAF!AF10),TAF!BK10,IF(AND(TAF!Z11="PREDOM",E11&lt;TAF!AF11),TAF!BK11,IF(AND(TAF!Z12="PREDOM",E11&lt;TAF!AF12),TAF!BK12,IF(AND(TAF!Z13="PREDOM",E11&lt;TAF!AF13),TAF!BK13,IF(AND(TAF!Z14="PREDOM",E11&lt;TAF!AF14),TAF!BK14,IF(AND(TAF!Z15="PREDOM",E11&lt;TAF!AF15),TAF!BK15,IF(AND(TAF!Z16="PREDOM",E11&lt;TAF!AE16),TAF!BK16,IF(AND(TAF!Z17="PREDOM",E11&lt;TAF!AF17),TAF!BK17,IF(AND(TAF!Z18="PREDOM",E11&lt;TAF!AF18),TAF!BK18)))))))))))))</f>
        <v/>
      </c>
      <c r="AQ11" s="907" t="str">
        <f>IF(AO11="","",IF(AND(TAF!Z7="PREDOM",E11&lt;TAF!AF7),TAF!BL7,IF(AND(TAF!Z8="PREDOM",E11&lt;TAF!AF8),TAF!BL8,IF(AND(TAF!Z9="PREDOM",E11&lt;TAF!AF9),TAF!BL9,IF(AND(TAF!Z10="PREDOM",E11&lt;TAF!AF10),TAF!BL10,IF(AND(TAF!Z11="PREDOM",E11&lt;TAF!AF11),TAF!BL11,IF(AND(TAF!Z12="PREDOM",E11&lt;TAF!AF12),TAF!BL12,IF(AND(TAF!Z13="PREDOM",E11&lt;TAF!AF13),TAF!BL13,IF(AND(TAF!Z14="PREDOM",E11&lt;TAF!AF14),TAF!BL14,IF(AND(TAF!Z15="PREDOM",E11&lt;TAF!AF15),TAF!BL15,IF(AND(TAF!Z16="PREDOM",E11&lt;TAF!AE16),TAF!BL16,IF(AND(TAF!Z17="PREDOM",E11&lt;TAF!AF17),TAF!BL17,IF(AND(TAF!Z18="PREDOM",E11&lt;TAF!AF18),TAF!BL18)))))))))))))</f>
        <v/>
      </c>
      <c r="AR11" s="894" t="str">
        <f>IF(AND(TAF!Z7="PREDOM",E11&lt;TAF!AF7),TAF!BM7,IF(AND(TAF!Z8="PREDOM",E11&lt;TAF!AF8),TAF!BM8,IF(AND(TAF!Z9="PREDOM",E11&lt;TAF!AF9),TAF!BM9,IF(AND(TAF!Z10="PREDOM",E11&lt;TAF!AF10),TAF!BM10,IF(AND(TAF!Z11="PREDOM",E11&lt;TAF!AF11),TAF!BM11,IF(AND(TAF!Z12="PREDOM",E11&lt;TAF!AF12),TAF!BM12,IF(AND(TAF!Z13="PREDOM",E11&lt;TAF!AF13),TAF!BM13,IF(AND(TAF!Z14="PREDOM",E11&lt;TAF!AF14),TAF!BM14,IF(AND(TAF!Z15="PREDOM",E11&lt;TAF!AF15),TAF!BM15,IF(AND(TAF!Z16="PREDOM",E11&lt;TAF!AE16),TAF!BM16,IF(AND(TAF!Z17="PREDOM",E11&lt;TAF!AF17),TAF!BM17,IF(AND(TAF!Z18="PREDOM",E11&lt;TAF!AF18),TAF!BM18))))))))))))</f>
        <v/>
      </c>
      <c r="AS11" s="911" t="str">
        <f>IF(AR11="","",IF(AND(TAF!Z7="PREDOM",E11&lt;TAF!AF7),TAF!BN7,IF(AND(TAF!Z8="PREDOM",E11&lt;TAF!AF8),TAF!BN8,IF(AND(TAF!Z9="PREDOM",E11&lt;TAF!AF9),TAF!BN9,IF(AND(TAF!Z10="PREDOM",E11&lt;TAF!AF10),TAF!BN10,IF(AND(TAF!Z11="PREDOM",E11&lt;TAF!AF11),TAF!BN11,IF(AND(TAF!Z12="PREDOM",E11&lt;TAF!AF12),TAF!BN12,IF(AND(TAF!Z13="PREDOM",E11&lt;TAF!AF13),TAF!BN13,IF(AND(TAF!Z14="PREDOM",E11&lt;TAF!AF14),TAF!BN14,IF(AND(TAF!Z15="PREDOM",E11&lt;TAF!AF15),TAF!BN15,IF(AND(TAF!Z16="PREDOM",E11&lt;TAF!AE16),TAF!BN16,IF(AND(TAF!Z17="PREDOM",E11&lt;TAF!AF17),TAF!BN17,IF(AND(TAF!Z18="PREDOM",E11&lt;TAF!AF18),TAF!BN18)))))))))))))</f>
        <v/>
      </c>
      <c r="AT11" s="907" t="str">
        <f>IF(AR11="","",IF(AND(TAF!Z7="PREDOM",E11&lt;TAF!AF7),TAF!BO7,IF(AND(TAF!Z8="PREDOM",E11&lt;TAF!AF8),TAF!BO8,IF(AND(TAF!Z9="PREDOM",E11&lt;TAF!AF9),TAF!BO9,IF(AND(TAF!Z10="PREDOM",E11&lt;TAF!AF10),TAF!BO10,IF(AND(TAF!Z11="PREDOM",E11&lt;TAF!AF11),TAF!BO11,IF(AND(TAF!Z12="PREDOM",E11&lt;TAF!AF12),TAF!BO12,IF(AND(TAF!Z13="PREDOM",E11&lt;TAF!AF13),TAF!BO13,IF(AND(TAF!Z14="PREDOM",E11&lt;TAF!AF14),TAF!BO14,IF(AND(TAF!Z15="PREDOM",E11&lt;TAF!AF15),TAF!BO15,IF(AND(TAF!Z16="PREDOM",E11&lt;TAF!AE16),TAF!BO16,IF(AND(TAF!Z17="PREDOM",E11&lt;TAF!AF17),TAF!BO17,IF(AND(TAF!Z18="PREDOM",E11&lt;TAF!AF18),TAF!BO18)))))))))))))</f>
        <v/>
      </c>
      <c r="AU11" s="95" t="str">
        <f>IF(AND(TAF!Z7="TEMPO",NOT(E11+0.01&lt;TAF!AC7),E11-0.01&lt;TAF!AF7),TAF!BP7,IF(AND(TAF!Z8="TEMPO",NOT(E11+0.01&lt;TAF!AC8),E11-0.01&lt;TAF!AF8),TAF!BP8,IF(AND(TAF!Z9="TEMPO",NOT(E11+0.01&lt;TAF!AC9),E11-0.01&lt;TAF!AF9),TAF!BP9,IF(AND(TAF!Z10="TEMPO",NOT(E11+0.01&lt;TAF!AC10),E11-0.01&lt;TAF!AF10),TAF!BP10,IF(AND(TAF!Z11="TEMPO",NOT(E11+0.01&lt;TAF!AC11),E11-0.01&lt;TAF!AF11),TAF!BP11,IF(AND(TAF!Z12="TEMPO",NOT(E11+0.01&lt;TAF!AC12),E11-0.01&lt;TAF!AF12),TAF!BP12,IF(AND(TAF!Z13="TEMPO",NOT(E11+0.01&lt;TAF!AC13),E11-0.01&lt;TAF!AF13),TAF!BP13,IF(AND(TAF!Z14="TEMPO",NOT(E11+0.01&lt;TAF!AC14),E11-0.01&lt;TAF!AF14),TAF!BP14,IF(AND(TAF!Z15="TEMPO",NOT(E11+0.01&lt;TAF!AC15),E11-0.01&lt;TAF!AF15),TAF!BP15,IF(AND(TAF!Z16="TEMPO",NOT(E11+0.01&lt;TAF!AC16),E11-0.01&lt;TAF!AE16),TAF!BP16,IF(AND(TAF!Z17="TEMPO",NOT(E11+0.01&lt;TAF!AC17),E11-0.01&lt;TAF!AF17),TAF!BP17,IF(AND(TAF!Z18="TEMPO",NOT(E11+0.01&lt;TAF!AC18),E11-0.01&lt;TAF!AF18),TAF!BP18,""))))))))))))</f>
        <v/>
      </c>
      <c r="AV11" s="96" t="str">
        <f>IF(AND(TAF!Z7="PREDOM",E11&lt;TAF!AF7),TAF!CD7,IF(AND(TAF!Z8="PREDOM",E11&lt;TAF!AF8),TAF!CD8,IF(AND(TAF!Z9="PREDOM",E11&lt;TAF!AF9),TAF!CD9,IF(AND(TAF!Z10="PREDOM",E11&lt;TAF!AF10),TAF!CD10,IF(AND(TAF!Z11="PREDOM",E11&lt;TAF!AF11),TAF!CD11,IF(AND(TAF!Z12="PREDOM",E11&lt;TAF!AF12),TAF!CD12,IF(AND(TAF!Z13="PREDOM",E11&lt;TAF!AF13),TAF!CD13,IF(AND(TAF!Z14="PREDOM",E11&lt;TAF!AF14),TAF!CD14,IF(AND(TAF!Z15="PREDOM",E11&lt;TAF!AF15),TAF!CD15,IF(AND(TAF!Z16="PREDOM",E11&lt;TAF!AE16),TAF!CD16,IF(AND(TAF!Z17="PREDOM",E11&lt;TAF!AF17),TAF!CD17,IF(AND(TAF!Z18="PREDOM",E11&lt;TAF!AF18),TAF!CD18))))))))))))</f>
        <v/>
      </c>
      <c r="AW11" s="97" t="str">
        <f>IF(AND(TAF!Z7="TEMPO",NOT(E11+0.01&lt;TAF!AC7),E11-0.01&lt;TAF!AF7),TAF!CD7,IF(AND(TAF!Z8="TEMPO",NOT(E11+0.01&lt;TAF!AC8),E11-0.01&lt;TAF!AF8),TAF!CD8,IF(AND(TAF!Z9="TEMPO",NOT(E11+0.01&lt;TAF!AC9),E11-0.01&lt;TAF!AF9),TAF!CD9,IF(AND(TAF!Z10="TEMPO",NOT(E11+0.01&lt;TAF!AC10),E11-0.01&lt;TAF!AF10),TAF!CD10,IF(AND(TAF!Z11="TEMPO",NOT(E11+0.01&lt;TAF!AC11),E11-0.01&lt;TAF!AF11),TAF!CD11,IF(AND(TAF!Z12="TEMPO",NOT(E11+0.01&lt;TAF!AC12),E11-0.01&lt;TAF!AF12),TAF!CD12,IF(AND(TAF!Z13="TEMPO",NOT(E11+0.01&lt;TAF!AC13),E11-0.01&lt;TAF!AF13),TAF!CD13,IF(AND(TAF!Z14="TEMPO",NOT(E11+0.01&lt;TAF!AC14),E11-0.01&lt;TAF!AF14),TAF!CD14,IF(AND(TAF!Z15="TEMPO",NOT(E11+0.01&lt;TAF!AC15),E11-0.01&lt;TAF!AF15),TAF!CD15,IF(AND(TAF!Z16="TEMPO",NOT(E11+0.01&lt;TAF!AC16),E11-0.01&lt;TAF!AE16),TAF!CD16,IF(AND(TAF!Z17="TEMPO",NOT(E11+0.01&lt;TAF!AC17),E11-0.01&lt;TAF!AF17),TAF!CD17,IF(AND(TAF!Z18="TEMPO",NOT(E11+0.01&lt;TAF!AC18),E11-0.01&lt;TAF!AF18),TAF!CD18,""))))))))))))</f>
        <v/>
      </c>
      <c r="AX11" s="98" t="str">
        <f>IF(OR(AND(H11&lt;&gt;"",H11&gt;(MLT!$E$5-1)),J11&lt;(MLT!$E$8+0.01),L11="TS",O11="TS",R11&lt;(MLT!$E$9),AND(AB11&lt;&gt;"",AB11&gt;(MLT!$E$6-1)),AL11=MLT!$E$7,AL11=MLT!$F$7),"R",IF(OR(AND(H11&lt;&gt;"",H11&gt;(MLT!$H$5-1)),AND(I11&lt;&gt;"",I11&gt;(MLT!$H$5-1)),J11&lt;MLT!$H$8,K11&lt;MLT!$H$8,L11=MLT!$H$10,O11=MLT!$E$10,O11=MLT!$H$10,R11&lt;MLT!$H$9,S11&lt;MLT!$H$9,AND(AB11&lt;&gt;"",AB11&gt;0),AND(AE11&lt;&gt;"",AE11&gt;0),AND(AH11&lt;&gt;"",AH11&gt;0),AND(AK11&lt;&gt;"",AK11&gt;0),AND(AL11&lt;&gt;"",AL11&lt;&gt;4,AL11&gt;2),AND(AO11&lt;&gt;"",AO11&lt;&gt;4,AO11&gt;2),AND(AR11&lt;&gt;"",AR11&lt;&gt;4,AR11&gt;2),AND(AU11&lt;&gt;"",AU11&lt;&gt;4,AU11&gt;2)),"Y","G"))</f>
        <v>G</v>
      </c>
      <c r="AY11" s="99" t="str">
        <f>IF(OR(AND(H11&lt;&gt;"",H11&gt;(MLT!$E$13-1)),J11&lt;MLT!$E$17,R11&lt;MLT!$E$19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$13-1)),AND(I11&lt;&gt;"",I11&gt;(MLT!$H$13-1)),J11&lt;MLT!$H$17,K11&lt;MLT!$H$17,R11&lt;MLT!$H$19,S11&lt;MLT!$H$19,L11="VCTS",O11="VCTS",AND(AB11&lt;&gt;"",AB11&gt;1),AND(AK11&lt;&gt;"",AK11&gt;0),AND(AL11&lt;&gt;"",AL11&gt;1),AND(AO11&lt;&gt;"",AO11&gt;1),AND(AR11&lt;&gt;"",AR11&gt;1),AU11=3,AND(AU11&lt;&gt;"",AU11&gt;4),AV11="LLWS",AW11="LLWS"),"Y","G"))</f>
        <v>G</v>
      </c>
      <c r="AZ11" s="99" t="str">
        <f>IF(OR(AND(H11&lt;&gt;"",H11&gt;(MLT!$E$13-1)),J11&lt;MLT!$E$16,R11&lt;MLT!$E$18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$13-1)),AND(I11&lt;&gt;"",I11&gt;(MLT!$H$13-1)),J11&lt;MLT!$H$17,K11&lt;MLT!$H$17,R11&lt;MLT!$H$19,S11&lt;MLT!$H$19,L11="VCTS",O11="VCTS",AND(AB11&lt;&gt;"",AB11&gt;1),AND(AK11&lt;&gt;"",AK11&gt;0),AND(AL11&lt;&gt;"",AL11&gt;1),AND(AO11&lt;&gt;"",AO11&gt;1),AND(AR11&lt;&gt;"",AR11&gt;1),AU11=3,AND(AU11&lt;&gt;"",AU11&gt;4),AV11="LLWS",AW11="LLWS"),"Y","G"))</f>
        <v>G</v>
      </c>
      <c r="BA11" s="99" t="str">
        <f>IF(OR(IF(MEF!$AP$14="Hoist",OR(G11&gt;19,AND(H11&lt;&gt;"",H11&gt;19)),AND(H11&lt;&gt;"",H11&gt;(MLT!$E$23-1))),AND(B11&gt;MEF!$Z$11,J11&lt;MLT!$E$26),AND(B11&lt;MEF!$E$53,J11&lt;MLT!$E$26),J11&lt;MLT!$E$27,AND(B11&gt;MEF!$Z$11,R11&lt;MLT!$E$28),AND(B11&lt;MEF!$E$53,R11&lt;MLT!$E$28),R11&lt;MLT!$E$29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H$23-1)),AND(I11&lt;&gt;"",I11&gt;(MLT!$H$23-1)),AND(B11&gt;MEF!$Z$11,J11&lt;MLT!$H$26),AND(B11&lt;MEF!$E$53,J11&lt;MLT!$H$26),AND(B11&gt;MEF!$Z$11,K11&lt;MLT!$H$26),AND(B11&lt;MEF!$E$53,K11&lt;MLT!$H$26),J11&lt;MLT!$H$27,K11&lt;MLT!$H$27,AND(B11&gt;MEF!$Z$11,R11&lt;MLT!$H$28),AND(B11&lt;MEF!$E$53,R11&lt;MLT!$H$28),AND(B11&gt;MEF!$Z$11,S11&lt;MLT!$H$28),AND(B11&lt;MEF!$E$53,S11&lt;MLT!$H$28),R11&lt;MLT!$H$29,S11&lt;MLT!$H$29,L11="VCTS",O11="VCTS",U11&gt;90,U11&lt;-29,AB11&lt;&gt;"",AK11&lt;&gt;"",AND(AL11&lt;&gt;"",AL11&gt;1),AND(AO11&lt;&gt;"",AO11&gt;1),AND(AR11&lt;&gt;"",AR11&gt;1),AU11=3,AND(AU11&lt;&gt;"",AU11&gt;4),AV11="LLWS",AW11="LLWS"),"Y","G"))</f>
        <v>Y</v>
      </c>
      <c r="BB11" s="99" t="str">
        <f>IF(OR(AND(H11&lt;&gt;"",H11&gt;(MLT!$E$23-1)),AND(B11&gt;MEF!$Z$11,J11&lt;MLT!$F$26),AND(B11&lt;MEF!$E$53,J11&lt;MLT!$F$26),J11&lt;MLT!$F$27,AND(B11&gt;MEF!$Z$11,R11&lt;MLT!$F$28),AND(B11&lt;MEF!$E$53,R11&lt;MLT!$F$28),R11&lt;MLT!$F$29,L11="TS",O11="TS",AND(AB11&lt;&gt;"",AB11&gt;3,AC11&lt;30),AND(AE11&lt;&gt;"",AE11&gt;3,AF11&lt;30),AND(AH11&lt;&gt;"",AH11&gt;3,AI11&lt;30),AND(OR(AL11=7,AL11=9),AM11&lt;30),AND(OR(AO11=7,AO11=9),AP11&lt;30),AND(OR(AR11=7,AR11=9),AS11&lt;30)),"R",IF(OR(AND(H11&lt;&gt;"",H11&gt;(MLT!$I$23-1)),AND(I11&lt;&gt;"",I11&gt;(MLT!$I$23-1)),AND(B11&gt;MEF!$Z$11,J11&lt;MLT!$I$26),AND(B11&lt;MEF!$E$53,J11&lt;MLT!$I$26),AND(B11&gt;MEF!$Z$11,K11&lt;MLT!$I$26),AND(B11&lt;MEF!$E$53,K11&lt;MLT!$I$26),J11&lt;MLT!$I$27,K11&lt;MLT!$I$27,AND(B11&gt;MEF!$Z$11,R11&lt;MLT!$I$28),AND(B11&lt;MEF!$E$53,R11&lt;MLT!$I$28),AND(B11&gt;MEF!$Z$11,S11&lt;MLT!$I$28),AND(B11&lt;MEF!$E$53,S11&lt;MLT!$I$28),R11&lt;MLT!$I$29,S11&lt;MLT!$I$29,L11="VCTS",O11="VCTS",U11&gt;94,U11&lt;-29,AB11&lt;&gt;"",AK11&lt;&gt;"",AND(AL11&lt;&gt;"",AL11&gt;1),AND(AO11&lt;&gt;"",AO11&gt;1),AND(AR11&lt;&gt;"",AR11&gt;1),AU11=3,AND(AU11&lt;&gt;"",AU11&gt;4),AV11="LLWS",AW11="LLWS",CE11&lt;30,AND(CJ11&lt;25,CJ11&lt;&gt;0)),"Y","G"))</f>
        <v>G</v>
      </c>
      <c r="BC11" s="99" t="str">
        <f>IF(OR(G11&gt;(MLT!F$35-1),AND(H11&lt;&gt;"",H11&gt;(MLT!E$35-1)),J11&lt;MLT!E$38,R11&lt;MLT!E$39,L11="TS",O11="TS",N11="Y",T11&gt;50.49,T11&lt;-20.5,W11&gt;0.9449,AA11&gt;8999,AND(AB11&lt;&gt;"",AB11&gt;0),AND(AL11&lt;&gt;"",AL11&gt;1)),"R",IF(OR(G11&gt;(MLT!I$35-1),AND(H11&lt;&gt;"",H11&gt;(MLT!H$35-1)),AND(I11&lt;&gt;"",I11&gt;(MLT!H$35-1)),J11&lt;MLT!H$38,K11&lt;MLT!H$38,M11&lt;&gt;"",P11&lt;&gt;"",R11&lt;MLT!H$39,S11&lt;MLT!H$39,L11="VCTS",O11="VCTS",T11&gt;45.49,T11&lt;-14,W11&gt;0.8449,AA11&gt;6999,AND(AB11&lt;&gt;"",AB11&gt;0),AND(AK11&lt;&gt;"",AK11&gt;0),AND(AL11&lt;&gt;"",AL11&gt;0),AND(AU11&lt;&gt;"",AU11&gt;0),AV11="LLWS",AW11="LLWS"),"Y","G"))</f>
        <v>G</v>
      </c>
      <c r="BD11" s="98" t="str">
        <f>IF(OR(AND(NOT(H11=""),H11&gt;(MLT!E48-1)),AND(NOT(I11=""),I11&gt;(MLT!E48-1)),J11&lt;0.26,NOT(L11=""),U11&lt;14.5,AND(X5="Wind Chill",X11&lt;-0.5),AND(X5="WBGT",X11&gt;89.49)),"R",IF(OR(AND(NOT(H11=""),H11&gt;(MLT!H48-1)),AND(NOT(I11=""),I11&gt;(MLT!H48-1)),J11&lt;1,NOT(M11=""),NOT(P11=""),NOT(O11=""),U11&lt;31.5,AND(X5="Wind Chill",X11&lt;14.5),AND(X5="WBGT",X11&gt;77.49)),"Y","G"))</f>
        <v>R</v>
      </c>
      <c r="BE11" s="99" t="str">
        <f>IF(OR(AND(H11&lt;&gt;"",H11&gt;(MLT!$E$56)),J11&lt;MLT!$E$59,R11&lt;MLT!$E$60,L11="TS",O11="TS",AND(AB11&lt;&gt;"",AC11&lt;30),AND(AE11&lt;&gt;"",AF11&lt;30),AND(AH11&lt;&gt;"",AI11&lt;30),AND(AL11&lt;&gt;"",AL11&gt;0,AM11&lt;30),AND(AO11&lt;&gt;"",AO11&gt;0,AP11&lt;30),AND(AR11&lt;&gt;"",AR11&gt;0,AS11&lt;30)),"R",IF(OR(AND(H11&lt;&gt;"",H11&gt;MLT!$H$56),AND(I11&lt;&gt;"",I11&gt;MLT!$H$56),J11&lt;MLT!$H$59,K11&lt;MLT!$H$59,R11&lt;MLT!$H$60,S11&lt;MLT!$H$60,L11="VCTS",O11="VCTS",AB11&lt;&gt;"",AK11&lt;&gt;"",AL11&lt;&gt;"",AU11&lt;&gt;"",AV11="LLWS",AW11="LLWS"),"Y","G"))</f>
        <v>G</v>
      </c>
      <c r="BF11" s="99" t="str">
        <f>IF(OR(AND(H11&lt;&gt;"",H11&gt;(MLT!$E$64)),L11="TS",O11="TS",AND(AB11&lt;&gt;"",AB11&gt;3,AC11&lt;30),AND(AE11&lt;&gt;"",AE11&gt;3,AF11&lt;30),AND(AH11&lt;&gt;"",AH11&gt;3,AI11&lt;30),AND(AL11=7,AM11&lt;30),AND(AL11=9,AM11&lt;30),AND(AO11=7,AP11&lt;30),AND(AO11=9,AP11&lt;30),AND(AR11=7,AS11&lt;30),AND(AR11=9,AS11&lt;30)),"R",IF(OR(AND(H11&lt;&gt;"",H11&gt;MLT!$H$64),AND(I11&lt;&gt;"",I11&gt;MLT!$H$64),J11&lt;MLT!$H$67,K11&lt;MLT!$H$67,R11&lt;MLT!$H$68,S11&lt;MLT!$H$68,L11="VCTS",O11="VCTS",calc!U11&gt;90,U11&lt;-29,AB11&lt;&gt;"",AK11&lt;&gt;"",AND(AL11&lt;&gt;"",AL11&gt;1),AND(AO11&lt;&gt;"",AO11&gt;1),AND(AR11&lt;&gt;"",AR11&gt;1),AND(AU11&lt;&gt;"",AU11&gt;1),AV11="LLWS",AW11="LLWS"),"Y","G"))</f>
        <v>Y</v>
      </c>
      <c r="BG11" s="98" t="str">
        <f>IF(OR(AND(H11&lt;&gt;"",H11&gt;(MLT!$E$73)),L11="TS",O11="TS",AND(AB11&lt;&gt;"",AC11&lt;30),AND(AE11&lt;&gt;"",AF11&lt;30),AND(AH11&lt;&gt;"",AI11&lt;30),AND(AL11=3,AM11&lt;30),AND(AL11&lt;&gt;"",AL11&gt;4,AM11&lt;30),AND(AO11=3,AP11&lt;30),AND(AO11&lt;&gt;"",AO11&gt;4,AP11&lt;30),AND(AR11=3,AS11&lt;30),AND(AR11&lt;&gt;"",AR11&gt;4,AS11&lt;30)),"R",IF(OR(AND(H11&lt;&gt;"",H11&gt;MLT!$H$73),AND(I11&lt;&gt;"",I11&gt;MLT!$H$73),J11&lt;MLT!$H$76,K11&lt;MLT!$H$76,R11&lt;MLT!$H$77,S11&lt;MLT!$H$77,L11="VCTS",O11="VCTS",AB11&lt;&gt;"",AK11&lt;&gt;"",AL11&lt;&gt;"",AU11&lt;&gt;"",AV11="LLWS",AW11="LLWS"),"Y","G"))</f>
        <v>G</v>
      </c>
      <c r="BH11" s="98" t="str">
        <f>IF(OR(IF(H11="",G11,H11)&gt;MLT!$E$81,IF(H11="",G11,H11)-G11&gt;19,IF(F11="VRB",FALSE(),(IF(AND(F11&gt;89,F11&lt;271),SIN(RADIANS(MAX(180,F11)-MIN(180,F11))),SIN(RADIANS(IF(F11&gt;269,360-F11,F11)))))*(IF(H11="",G11,H11))&gt;MLT!$E$82),J11&lt;MLT!$E$86,L11="TS",L11="VCTS",O11="TS",R11&lt;MLT!$E$87,U11&gt;MLT!$E$88,AND(AB11&lt;&gt;"",AB11&gt;3,AC11&lt;100),AND(AE11&lt;&gt;"",AE11&gt;3,AF11&lt;100),AND(AH11&lt;&gt;"",AH11&gt;3,AI11&lt;100),AND(AL11=7,AM11&lt;100),AND(AL11=9,AM11&lt;100),AND(AO11=7,AP11&lt;100),AND(AO11=9,AP11&lt;100),AND(AR11=7,AS11&lt;100),AND(AR11=9,AS11&lt;100),AV11="LLWS"),"R",IF(OR(AND(H11&lt;&gt;"",H11&gt;14),IF(F11="VRB",FALSE(),(IF(AND(F11&gt;89,F11&lt;271),SIN(RADIANS(MAX(180,F11)-MIN(180,F11))),SIN(RADIANS(IF(F11&gt;269,360-F11,F11)))))*(IF(H11="",G11,H11))&gt;MLT!$H$82),AND(I11&lt;&gt;"",I11&gt;14),J11&lt;MLT!$H$86,K11&lt;MLT!$H$86,R11&lt;MLT!$H$87,S11&lt;MLT!$H$87,O11="VCTS",calc!U11&gt;90,AB11&lt;&gt;"",AK11&lt;&gt;"",AND(AL11&lt;&gt;"",AL11&gt;1),AND(AO11&lt;&gt;"",AO11&gt;1),AND(AR11&lt;&gt;"",AR11&gt;1),AND(AU11&lt;&gt;"",AU11&gt;1),AW11="LLWS"),"Y","G"))</f>
        <v>Y</v>
      </c>
      <c r="BI11" s="98" t="str">
        <f>IF(OR(IF(H11="",G11,H11)&gt;MLT!$E$92,J11&lt;MLT!$E$95,L11="TS",L11="VCTS",O11="TS",R11&lt;MLT!$E$96,AND(AB11&lt;&gt;"",AB11&gt;3,AC11&lt;100),AND(AE11&lt;&gt;"",AE11&gt;3,AF11&lt;100),AND(AH11&lt;&gt;"",AH11&gt;3,AI11&lt;100),AND(AL11=7,AM11&lt;100),AND(AL11=9,AM11&lt;100),AND(AO11=7,AP11&lt;100),AND(AO11=9,AP11&lt;100),AND(AR11=7,AS11&lt;100),AND(AR11=9,AS11&lt;100)),"R",IF(OR(AND(H11&lt;&gt;"",H11&gt;14),AND(I11&lt;&gt;"",I11&gt;14),J11&lt;MLT!$H$95,K11&lt;MLT!$H$95,R11&lt;MLT!$H$96,S11&lt;MLT!$H$96,O11="VCTS",AB11&lt;&gt;"",AK11&lt;&gt;"",AND(AL11&lt;&gt;"",AL11&gt;1),AND(AO11&lt;&gt;"",AO11&gt;1),AND(AR11&lt;&gt;"",AR11&gt;1),AND(AU11&lt;&gt;"",AU11&gt;1),AV11="LLWS",AW11="LLWS"),"Y","G"))</f>
        <v>G</v>
      </c>
      <c r="BK11" s="41">
        <f t="shared" si="4"/>
        <v>27.220950484636727</v>
      </c>
      <c r="BL11" s="41">
        <f t="shared" si="5"/>
        <v>27.220950484636727</v>
      </c>
      <c r="BM11" s="41">
        <f>IF(R11&gt;200,T11+(LOOKUP(Worksheet!BD6,BV8:BV10,BW8:BW10)*(CA11/BZ11)),IF(AND(R11&lt;210,R11&gt;29),T11+(0.5*LOOKUP(Worksheet!BD6,BV8:BV10,BW8:BW10)*(CA11/BZ11)),T11+0.25*(LOOKUP(Worksheet!BD6,BV8:BV10,BW8:BW10)*(CA11/BZ11))))</f>
        <v>37.341488930209223</v>
      </c>
      <c r="BN11" s="41">
        <f t="shared" si="6"/>
        <v>36.33945003099025</v>
      </c>
      <c r="BO11" s="42">
        <f t="shared" si="7"/>
        <v>23.888888888888889</v>
      </c>
      <c r="BP11" s="43">
        <f t="shared" si="8"/>
        <v>98.687574240665683</v>
      </c>
      <c r="BQ11" s="44">
        <f t="shared" si="9"/>
        <v>2.9672504956654842</v>
      </c>
      <c r="BR11" s="42">
        <f t="shared" si="17"/>
        <v>51.643316855425446</v>
      </c>
      <c r="BS11" s="42">
        <f t="shared" si="10"/>
        <v>49.092672384686246</v>
      </c>
      <c r="BT11" s="42">
        <f t="shared" si="11"/>
        <v>49.092672384686246</v>
      </c>
      <c r="BU11" s="42"/>
      <c r="BV11" s="1610"/>
      <c r="BW11" s="834"/>
      <c r="BX11" s="106">
        <f>DEGREES(ASIN(BY11*COS(RADIANS(LOOKUP(Worksheet!Q6,'Light Data '!A3:A377,'Light Data '!J3:J377)))*COS(RADIANS(Worksheet!R2))+SIN(RADIANS(LOOKUP(Worksheet!Q6,'Light Data '!A3:A377,'Light Data '!J3:J377)))*SIN(RADIANS(Worksheet!R2))))</f>
        <v>62.187011950353124</v>
      </c>
      <c r="BY11" s="515">
        <f>COS(RADIANS(15*((MAX(CF5,(HOUR(C11)/24))-MIN(CF5,(HOUR(C11)/24)))*24)))</f>
        <v>0.890013950924047</v>
      </c>
      <c r="BZ11" s="516">
        <f>IF(BX11&lt;0,0.1,((128*10^3)*(1+0.033412*COS(2*PI()*(((CH4-CH3)-3)/365)))))</f>
        <v>123724.68965631575</v>
      </c>
      <c r="CA11" s="516">
        <f>IF(BX11&lt;0,0,((128*10^3)*(1+0.033412*COS(2*PI()*(((CH4-CH3)-3)/365))))*POWER(EXP(1),0-(CB11*(1/(SIN(RADIANS(BX11+(244/(165+47*(POWER(BX11,1.1)))))))))))</f>
        <v>90165.055875944337</v>
      </c>
      <c r="CB11" s="389">
        <f t="shared" si="12"/>
        <v>0.28000000000000003</v>
      </c>
      <c r="CC11" s="112" t="str">
        <f t="shared" si="18"/>
        <v>&lt;0</v>
      </c>
      <c r="CD11" s="112" t="str">
        <f t="shared" si="19"/>
        <v>(&lt;0)</v>
      </c>
      <c r="CE11" s="112">
        <f t="shared" si="20"/>
        <v>99</v>
      </c>
      <c r="CF11" s="66" t="str">
        <f t="shared" si="21"/>
        <v>D</v>
      </c>
      <c r="CI11" s="834">
        <f>INDEX('Light Data '!$H$3:$H$381,MATCH(ROUNDDOWN(C11,0),'Light Data '!$A$3:$A$381,0))-(((INDEX('Light Data '!$H$3:$H$381,MATCH(ROUNDDOWN(C11,0),'Light Data '!$A$3:$A$381,0))-(INDEX('Light Data '!$H$3:$H$381,MATCH(ROUNDDOWN(C11,0)+1,'Light Data '!$A$3:$A$381,0))))/24)*HOUR(C11))</f>
        <v>46</v>
      </c>
      <c r="CJ11" s="834" t="str">
        <f t="shared" si="22"/>
        <v>NA</v>
      </c>
    </row>
    <row r="12" spans="1:97" ht="15" customHeight="1" thickTop="1" thickBot="1">
      <c r="A12" s="527">
        <f t="shared" si="23"/>
        <v>13</v>
      </c>
      <c r="B12" s="525">
        <f t="shared" si="1"/>
        <v>1300</v>
      </c>
      <c r="C12" s="3639">
        <f>Worksheet!AD72</f>
        <v>44748.541666666657</v>
      </c>
      <c r="D12" s="3639"/>
      <c r="E12" s="524">
        <f>Worksheet!AF72</f>
        <v>44748.708333333328</v>
      </c>
      <c r="F12" s="77" t="str">
        <f>IF(AND(TAF!Z7="PREDOM",E12&lt;TAF!AF7),TAF!AH7,IF(AND(TAF!Z8="PREDOM",E12&lt;TAF!AF8),TAF!AH8,IF(AND(TAF!Z9="PREDOM",E12&lt;TAF!AF9),TAF!AH9,IF(AND(TAF!Z10="PREDOM",E12&lt;TAF!AF10),TAF!AH10,IF(AND(TAF!Z11="PREDOM",E12&lt;TAF!AF11),TAF!AH11,IF(AND(TAF!Z12="PREDOM",E12&lt;TAF!AF12),TAF!AH12,IF(AND(TAF!Z13="PREDOM",E12&lt;TAF!AF13),TAF!AH13,IF(AND(TAF!Z14="PREDOM",E12&lt;TAF!AF14),TAF!AH14,IF(AND(TAF!Z15="PREDOM",E12&lt;TAF!AF15),TAF!AH15,IF(AND(TAF!Z16="PREDOM",E12&lt;TAF!AE16),TAF!AH16,IF(AND(TAF!Z17="PREDOM",E12&lt;TAF!AF17),TAF!AH17,IF(AND(TAF!Z18="PREDOM",E12&lt;TAF!AF18),TAF!AH18))))))))))))</f>
        <v>240</v>
      </c>
      <c r="G12" s="78">
        <f>IF(AND(TAF!Z7="PREDOM",E12&lt;TAF!AF7),TAF!AI7,IF(AND(TAF!Z8="PREDOM",E12&lt;TAF!AF8),TAF!AI8,IF(AND(TAF!Z9="PREDOM",E12&lt;TAF!AF9),TAF!AI9,IF(AND(TAF!Z10="PREDOM",E12&lt;TAF!AF10),TAF!AI10,IF(AND(TAF!Z11="PREDOM",E12&lt;TAF!AF11),TAF!AI11,IF(AND(TAF!Z12="PREDOM",E12&lt;TAF!AF12),TAF!AI12,IF(AND(TAF!Z13="PREDOM",E12&lt;TAF!AF13),TAF!AI13,IF(AND(TAF!Z14="PREDOM",E12&lt;TAF!AF14),TAF!AI14,IF(AND(TAF!Z15="PREDOM",E12&lt;TAF!AF15),TAF!AI15,IF(AND(TAF!Z16="PREDOM",E12&lt;TAF!AE16),TAF!AI16,IF(AND(TAF!Z17="PREDOM",E12&lt;TAF!AF17),TAF!AI17,IF(AND(TAF!Z18="PREDOM",E12&lt;TAF!AF18),TAF!AI18))))))))))))</f>
        <v>10</v>
      </c>
      <c r="H12" s="79" t="str">
        <f>IF(AND(TAF!Z7="PREDOM",E12&lt;TAF!AF7),TAF!AJ7,IF(AND(TAF!Z8="PREDOM",E12&lt;TAF!AF8),TAF!AJ8,IF(AND(TAF!Z9="PREDOM",E12&lt;TAF!AF9),TAF!AJ9,IF(AND(TAF!Z10="PREDOM",E12&lt;TAF!AF10),TAF!AJ10,IF(AND(TAF!Z11="PREDOM",E12&lt;TAF!AF11),TAF!AJ11,IF(AND(TAF!Z12="PREDOM",E12&lt;TAF!AF12),TAF!AJ12,IF(AND(TAF!Z13="PREDOM",E12&lt;TAF!AF13),TAF!AJ13,IF(AND(TAF!Z14="PREDOM",E12&lt;TAF!AF14),TAF!AJ14,IF(AND(TAF!Z15="PREDOM",E12&lt;TAF!AF15),TAF!AJ15,IF(AND(TAF!Z16="PREDOM",E12&lt;TAF!AE16),TAF!AJ16,IF(AND(TAF!Z17="PREDOM",E12&lt;TAF!AF17),TAF!AJ17,IF(AND(TAF!Z18="PREDOM",E12&lt;TAF!AF18),TAF!AJ18))))))))))))</f>
        <v/>
      </c>
      <c r="I12" s="80" t="str">
        <f>IF(AND(TAF!Z7="TEMPO",NOT(E12+0.01&lt;TAF!AC7),E12&lt;TAF!AF7),TAF!AJ7,IF(AND(TAF!Z8="TEMPO",NOT(E12+0.01&lt;TAF!AC8),E12&lt;TAF!AF8),TAF!AJ8,IF(AND(TAF!Z9="TEMPO",NOT(E12+0.01&lt;TAF!AC9),E12&lt;TAF!AF9),TAF!AJ9,IF(AND(TAF!Z10="TEMPO",NOT(E12+0.01&lt;TAF!AC10),E12&lt;TAF!AF10),TAF!AJ10,IF(AND(TAF!Z11="TEMPO",NOT(E12+0.01&lt;TAF!AC11),E12&lt;TAF!AF11),TAF!AJ11,IF(AND(TAF!Z12="TEMPO",NOT(E12+0.01&lt;TAF!AC12),E12&lt;TAF!AF12),TAF!AJ12,IF(AND(TAF!Z13="TEMPO",NOT(E12+0.01&lt;TAF!AC13),E12&lt;TAF!AF13),TAF!AJ13,IF(AND(TAF!Z14="TEMPO",NOT(E12+0.01&lt;TAF!AC14),E12&lt;TAF!AF14),TAF!AJ14,IF(AND(TAF!Z15="TEMPO",NOT(E12+0.01&lt;TAF!AC15),E12&lt;TAF!AF15),TAF!AJ15,IF(AND(TAF!Z16="TEMPO",NOT(E12+0.01&lt;TAF!AC16),E12&lt;TAF!AE16),TAF!AJ16,IF(AND(TAF!Z17="TEMPO",NOT(E12+0.01&lt;TAF!AC17),E12&lt;TAF!AF17),TAF!AJ17,IF(AND(TAF!Z18="TEMPO",NOT(E12+0.01&lt;TAF!AC18),E12&lt;TAF!AF18),TAF!AJ18,""))))))))))))</f>
        <v/>
      </c>
      <c r="J12" s="81">
        <f>IF(AND(TAF!Z7="PREDOM",E12&lt;TAF!AF7),TAF!AN7,IF(AND(TAF!Z8="PREDOM",E12&lt;TAF!AF8),TAF!AN8,IF(AND(TAF!Z9="PREDOM",E12&lt;TAF!AF9),TAF!AN9,IF(AND(TAF!Z10="PREDOM",E12&lt;TAF!AF10),TAF!AN10,IF(AND(TAF!Z11="PREDOM",E12&lt;TAF!AF11),TAF!AN11,IF(AND(TAF!Z12="PREDOM",E12&lt;TAF!AF12),TAF!AN12,IF(AND(TAF!Z13="PREDOM",E12&lt;TAF!AF13),TAF!AN13,IF(AND(TAF!Z14="PREDOM",E12&lt;TAF!AF14),TAF!AN14,IF(AND(TAF!Z15="PREDOM",E12&lt;TAF!AF15),TAF!AN15,IF(AND(TAF!Z16="PREDOM",E12&lt;TAF!AE16),TAF!AN16,IF(AND(TAF!Z17="PREDOM",E12&lt;TAF!AF17),TAF!AN17,IF(AND(TAF!Z18="PREDOM",E12&lt;TAF!AF18),TAF!AN18))))))))))))</f>
        <v>7</v>
      </c>
      <c r="K12" s="82" t="str">
        <f>IF(AND(TAF!Z7="TEMPO",NOT(E12+0.01&lt;TAF!AC7),E12-0.01&lt;TAF!AF7),TAF!AN7,IF(AND(TAF!Z8="TEMPO",NOT(E12+0.01&lt;TAF!AC8),E12-0.01&lt;TAF!AF8),TAF!AN8,IF(AND(TAF!Z9="TEMPO",NOT(E12+0.01&lt;TAF!AC9),E12-0.01&lt;TAF!AF9),TAF!AN9,IF(AND(TAF!Z10="TEMPO",NOT(E12+0.01&lt;TAF!AC10),E12-0.01&lt;TAF!AF10),TAF!AN10,IF(AND(TAF!Z11="TEMPO",NOT(E12+0.01&lt;TAF!AC11),E12-0.01&lt;TAF!AF11),TAF!AN11,IF(AND(TAF!Z12="TEMPO",NOT(E12+0.01&lt;TAF!AC12),E12-0.01&lt;TAF!AF12),TAF!AN12,IF(AND(TAF!Z13="TEMPO",NOT(E12+0.01&lt;TAF!AC13),E12-0.01&lt;TAF!AF13),TAF!AN13,IF(AND(TAF!Z14="TEMPO",NOT(E12+0.01&lt;TAF!AC14),E12-0.01&lt;TAF!AF14),TAF!AN14,IF(AND(TAF!Z15="TEMPO",NOT(E12+0.01&lt;TAF!AC15),E12-0.01&lt;TAF!AF15),TAF!AN15,IF(AND(TAF!Z16="TEMPO",NOT(E12+0.01&lt;TAF!AC16),E12-0.01&lt;TAF!AE16),TAF!AN16,IF(AND(TAF!Z17="TEMPO",NOT(E12+0.01&lt;TAF!AC17),E12-0.01&lt;TAF!AF17),TAF!AN17,IF(AND(TAF!Z18="TEMPO",NOT(E12+0.01&lt;TAF!AC18),E12-0.01&lt;TAF!AF18),TAF!AN18,""))))))))))))</f>
        <v/>
      </c>
      <c r="L12" s="83" t="str">
        <f t="shared" si="13"/>
        <v/>
      </c>
      <c r="M12" s="84" t="str">
        <f>IF(AND(TAF!Z7="PREDOM",E12&lt;TAF!AF7),TAF!AP7,IF(AND(TAF!Z8="PREDOM",E12&lt;TAF!AF8),TAF!AP8,IF(AND(TAF!Z9="PREDOM",E12&lt;TAF!AF9),TAF!AP9,IF(AND(TAF!Z10="PREDOM",E12&lt;TAF!AF10),TAF!AP10,IF(AND(TAF!Z11="PREDOM",E12&lt;TAF!AF11),TAF!AP11,IF(AND(TAF!Z12="PREDOM",E12&lt;TAF!AF12),TAF!AP12,IF(AND(TAF!Z13="PREDOM",E12&lt;TAF!AF13),TAF!AP13,IF(AND(TAF!Z14="PREDOM",E12&lt;TAF!AF14),TAF!AP14,IF(AND(TAF!Z15="PREDOM",E12&lt;TAF!AF15),TAF!AP15,IF(AND(TAF!Z16="PREDOM",E12&lt;TAF!AE16),TAF!AP16,IF(AND(TAF!Z17="PREDOM",E12&lt;TAF!AF17),TAF!AP17,IF(AND(TAF!Z18="PREDOM",E12&lt;TAF!AF18),TAF!AP18))))))))))))</f>
        <v/>
      </c>
      <c r="N12" s="85" t="str">
        <f t="shared" si="14"/>
        <v>N</v>
      </c>
      <c r="O12" s="85" t="str">
        <f t="shared" si="15"/>
        <v/>
      </c>
      <c r="P12" s="84" t="str">
        <f>IF(AND(TAF!Z7="TEMPO",NOT(E12+0.01&lt;TAF!AC7),E12-0.01&lt;TAF!AF7),TAF!AP7,IF(AND(TAF!Z8="TEMPO",NOT(E12+0.01&lt;TAF!AC8),E12-0.01&lt;TAF!AF8),TAF!AP8,IF(AND(TAF!Z9="TEMPO",NOT(E12+0.01&lt;TAF!AC9),E12-0.01&lt;TAF!AF9),TAF!AP9,IF(AND(TAF!Z10="TEMPO",NOT(E12+0.01&lt;TAF!AC10),E12-0.01&lt;TAF!AF10),TAF!AP10,IF(AND(TAF!Z11="TEMPO",NOT(E12+0.01&lt;TAF!AC11),E12-0.01&lt;TAF!AF11),TAF!AP11,IF(AND(TAF!Z12="TEMPO",NOT(E12+0.01&lt;TAF!AC12),E12-0.01&lt;TAF!AF12),TAF!AP12,IF(AND(TAF!Z13="TEMPO",NOT(E12+0.01&lt;TAF!AC13),E12-0.01&lt;TAF!AF13),TAF!AP13,IF(AND(TAF!Z14="TEMPO",NOT(E12+0.01&lt;TAF!AC14),E12-0.01&lt;TAF!AF14),TAF!AP14,IF(AND(TAF!Z15="TEMPO",NOT(E12+0.01&lt;TAF!AC15),E12-0.01&lt;TAF!AF15),TAF!AP15,IF(AND(TAF!Z16="TEMPO",NOT(E12+0.01&lt;TAF!AC16),E12-0.01&lt;TAF!AE16),TAF!AP16,IF(AND(TAF!Z17="TEMPO",NOT(E12+0.01&lt;TAF!AC17),E12-0.01&lt;TAF!AF17),TAF!AP17,IF(AND(TAF!Z18="TEMPO",NOT(E12+0.01&lt;TAF!AC18),E12-0.01&lt;TAF!AF18),TAF!AP18,""))))))))))))</f>
        <v/>
      </c>
      <c r="Q12" s="889" t="str">
        <f t="shared" si="2"/>
        <v>N</v>
      </c>
      <c r="R12" s="86">
        <f>IF(AND(TAF!Z7="PREDOM",E12&lt;TAF!AF7),TAF!AW7,IF(AND(TAF!Z8="PREDOM",E12&lt;TAF!AF8),TAF!AW8,IF(AND(TAF!Z9="PREDOM",E12&lt;TAF!AF9),TAF!AW9,IF(AND(TAF!Z10="PREDOM",E12&lt;TAF!AF10),TAF!AW10,IF(AND(TAF!Z11="PREDOM",E12&lt;TAF!AF11),TAF!AW11,IF(AND(TAF!Z12="PREDOM",E12&lt;TAF!AF12),TAF!AW12,IF(AND(TAF!Z13="PREDOM",E12&lt;TAF!AF13),TAF!AW13,IF(AND(TAF!Z14="PREDOM",E12&lt;TAF!AF14),TAF!AW14,IF(AND(TAF!Z15="PREDOM",E12&lt;TAF!AF15),TAF!AW15,IF(AND(TAF!Z16="PREDOM",E12&lt;TAF!AE16),TAF!AW16,IF(AND(TAF!Z17="PREDOM",E12&lt;TAF!AF17),TAF!AW17,IF(AND(TAF!Z18="PREDOM",E12&lt;TAF!AF18),TAF!AW18))))))))))))</f>
        <v>250</v>
      </c>
      <c r="S12" s="87" t="str">
        <f>IF(AND(TAF!Z7="TEMPO",NOT(E12+0.01&lt;TAF!AC7),E12-0.01&lt;TAF!AF7),TAF!AW7,IF(AND(TAF!Z8="TEMPO",NOT(E12+0.01&lt;TAF!AC8),E12-0.01&lt;TAF!AF8),TAF!AW8,IF(AND(TAF!Z9="TEMPO",NOT(E12+0.01&lt;TAF!AC9),E12-0.01&lt;TAF!AF9),TAF!AW9,IF(AND(TAF!Z10="TEMPO",NOT(E12+0.01&lt;TAF!AC10),E12-0.01&lt;TAF!AF10),TAF!AW10,IF(AND(TAF!Z11="TEMPO",NOT(E12+0.01&lt;TAF!AC11),E12-0.01&lt;TAF!AF11),TAF!AW11,IF(AND(TAF!Z12="TEMPO",NOT(E12+0.01&lt;TAF!AC12),E12-0.01&lt;TAF!AF12),TAF!AW12,IF(AND(TAF!Z13="TEMPO",NOT(E12+0.01&lt;TAF!AC13),E12-0.01&lt;TAF!AF13),TAF!AW13,IF(AND(TAF!Z14="TEMPO",NOT(E12+0.01&lt;TAF!AC14),E12-0.01&lt;TAF!AF14),TAF!AW14,IF(AND(TAF!Z15="TEMPO",NOT(E12+0.01&lt;TAF!AC15),E12-0.01&lt;TAF!AF15),TAF!AW15,IF(AND(TAF!Z16="TEMPO",NOT(E12+0.01&lt;TAF!AC16),E12-0.01&lt;TAF!AE16),TAF!AW16,IF(AND(TAF!Z17="TEMPO",NOT(E12+0.01&lt;TAF!AC17),E12-0.01&lt;TAF!AF17),TAF!AW17,IF(AND(TAF!Z18="TEMPO",NOT(E12+0.01&lt;TAF!AC18),E12-0.01&lt;TAF!AF18),TAF!AW18,""))))))))))))</f>
        <v/>
      </c>
      <c r="T12" s="88">
        <f t="shared" si="3"/>
        <v>34.444444444444443</v>
      </c>
      <c r="U12" s="89">
        <f>Worksheet!AP72</f>
        <v>94</v>
      </c>
      <c r="V12" s="90">
        <f>Worksheet!BB72</f>
        <v>75</v>
      </c>
      <c r="W12" s="91">
        <f t="shared" si="16"/>
        <v>0.54408424981317505</v>
      </c>
      <c r="X12" s="92">
        <f>IF(X5="Wind Chill",IF(G12=0,U12,IF(U12&lt;56,35.74+(0.6215*U12)-(35.75*(G12^0.16))+(0.4275*U12*(G12^0.16)),"NA")),IF(X5="WBGT",1.8*((0.7*BL12)+(0.1*BN12)+(0.2*BT12))+32))</f>
        <v>91.642463066083565</v>
      </c>
      <c r="Y12" s="93">
        <f>Worksheet!BQ72</f>
        <v>29.95</v>
      </c>
      <c r="Z12" s="1890">
        <f>Worksheet!BT72</f>
        <v>728.19027356060712</v>
      </c>
      <c r="AA12" s="1891">
        <f>Worksheet!BV72</f>
        <v>3234.5416158919406</v>
      </c>
      <c r="AB12" s="94" t="str">
        <f>IF(AND(TAF!Z7="PREDOM",E12&lt;TAF!AF7),TAF!BS7,IF(AND(TAF!Z8="PREDOM",E12&lt;TAF!AF8),TAF!BS8,IF(AND(TAF!Z9="PREDOM",E12&lt;TAF!AF9),TAF!BS9,IF(AND(TAF!Z10="PREDOM",E12&lt;TAF!AF10),TAF!BS10,IF(AND(TAF!Z11="PREDOM",E12&lt;TAF!AF11),TAF!BS11,IF(AND(TAF!Z12="PREDOM",E12&lt;TAF!AF12),TAF!BS12,IF(AND(TAF!Z13="PREDOM",E12&lt;TAF!AF13),TAF!BS13,IF(AND(TAF!Z14="PREDOM",E12&lt;TAF!AF14),TAF!BS14,IF(AND(TAF!Z15="PREDOM",E12&lt;TAF!AF15),TAF!BS15,IF(AND(TAF!Z16="PREDOM",E12&lt;TAF!AE16),TAF!BS16,IF(AND(TAF!Z17="PREDOM",E12&lt;TAF!AF17),TAF!BS17,IF(AND(TAF!Z18="PREDOM",E12&lt;TAF!AF18),TAF!BS18))))))))))))</f>
        <v/>
      </c>
      <c r="AC12" s="898" t="str">
        <f>IF(AB12="","",IF(AND(TAF!$Z$7="PREDOM",E12&lt;TAF!$AF$7),TAF!$BT$7,IF(AND(TAF!$Z$8="PREDOM",E12&lt;TAF!$AF$8),TAF!$BT$8,IF(AND(TAF!$Z$9="PREDOM",E12&lt;TAF!$AF$9),TAF!$BT$9,IF(AND(TAF!$Z$10="PREDOM",E12&lt;TAF!$AF$10),TAF!$BT$10,IF(AND(TAF!$Z$11="PREDOM",E12&lt;TAF!$AF$11),TAF!$BT$11,IF(AND(TAF!$Z$12="PREDOM",E12&lt;TAF!$AF$12),TAF!$BT$12,IF(AND(TAF!$Z$13="PREDOM",E12&lt;TAF!$AF$13),TAF!$BT$13,IF(AND(TAF!$Z$14="PREDOM",E12&lt;TAF!$AF$14),TAF!$BT$14,IF(AND(TAF!$Z$15="PREDOM",E12&lt;TAF!$AF$15),TAF!$BT$15,IF(AND(TAF!$Z$16="PREDOM",E12&lt;TAF!AE20),TAF!$BT$16,IF(AND(TAF!$Z$17="PREDOM",E12&lt;TAF!$AF$17),TAF!$BT$17,IF(AND(TAF!$Z$18="PREDOM",E12&lt;TAF!$AF$18),TAF!$BT$18)))))))))))))</f>
        <v/>
      </c>
      <c r="AD12" s="903" t="str">
        <f>IF(AB12="","",IF(AND(TAF!$Z$7="PREDOM",E12&lt;TAF!$AF$7),TAF!$BU$7,IF(AND(TAF!$Z$8="PREDOM",E12&lt;TAF!$AF$8),TAF!$BU$8,IF(AND(TAF!$Z$9="PREDOM",E12&lt;TAF!$AF$9),TAF!$BU$9,IF(AND(TAF!$Z$10="PREDOM",E12&lt;TAF!$AF$10),TAF!$BU$10,IF(AND(TAF!$Z$11="PREDOM",E12&lt;TAF!$AF$11),TAF!$BU$11,IF(AND(TAF!$Z$12="PREDOM",E12&lt;TAF!$AF$12),TAF!$BU$12,IF(AND(TAF!$Z$13="PREDOM",E12&lt;TAF!$AF$13),TAF!$BU$13,IF(AND(TAF!$Z$14="PREDOM",E12&lt;TAF!$AF$14),TAF!$BU$14,IF(AND(TAF!$Z$15="PREDOM",E12&lt;TAF!$AF$15),TAF!$BU$15,IF(AND(TAF!$Z$16="PREDOM",E12&lt;TAF!AE20),TAF!$BU$16,IF(AND(TAF!$Z$17="PREDOM",E12&lt;TAF!$AF$17),TAF!$BU$17,IF(AND(TAF!$Z$18="PREDOM",E12&lt;TAF!$AF$18),TAF!$BU$18)))))))))))))</f>
        <v/>
      </c>
      <c r="AE12" s="94" t="str">
        <f>IF(AND(TAF!Z7="PREDOM",E12&lt;TAF!AF7),TAF!BV7,IF(AND(TAF!Z8="PREDOM",E12&lt;TAF!AF8),TAF!BV8,IF(AND(TAF!Z9="PREDOM",E12&lt;TAF!AF9),TAF!BV9,IF(AND(TAF!Z10="PREDOM",E12&lt;TAF!AF10),TAF!BV10,IF(AND(TAF!Z11="PREDOM",E12&lt;TAF!AF11),TAF!BV11,IF(AND(TAF!Z12="PREDOM",E12&lt;TAF!AF12),TAF!BV12,IF(AND(TAF!Z13="PREDOM",E12&lt;TAF!AF13),TAF!BV13,IF(AND(TAF!Z14="PREDOM",E12&lt;TAF!AF14),TAF!BV14,IF(AND(TAF!Z15="PREDOM",E12&lt;TAF!AF15),TAF!BV15,IF(AND(TAF!Z16="PREDOM",E12&lt;TAF!AE16),TAF!BV16,IF(AND(TAF!Z17="PREDOM",E12&lt;TAF!AF17),TAF!BV17,IF(AND(TAF!Z18="PREDOM",E12&lt;TAF!AF18),TAF!BV18))))))))))))</f>
        <v/>
      </c>
      <c r="AF12" s="898" t="str">
        <f>IF(AE12="","",IF(AND(TAF!$Z$7="PREDOM",E12&lt;TAF!$AF$7),TAF!$BW$7,IF(AND(TAF!$Z$8="PREDOM",E12&lt;TAF!$AF$8),TAF!$BW$8,IF(AND(TAF!$Z$9="PREDOM",E12&lt;TAF!$AF$9),TAF!$BW$9,IF(AND(TAF!$Z$10="PREDOM",E12&lt;TAF!$AF$10),TAF!$BW$10,IF(AND(TAF!$Z$11="PREDOM",E12&lt;TAF!$AF$11),TAF!$BW$11,IF(AND(TAF!$Z$12="PREDOM",E12&lt;TAF!$AF$12),TAF!$BW$12,IF(AND(TAF!$Z$13="PREDOM",E12&lt;TAF!$AF$13),TAF!$BW$13,IF(AND(TAF!$Z$14="PREDOM",E12&lt;TAF!$AF$14),TAF!$BW$14,IF(AND(TAF!$Z$15="PREDOM",E12&lt;TAF!$AF$15),TAF!$BW$15,IF(AND(TAF!$Z$16="PREDOM",E12&lt;TAF!AE20),TAF!$BW$16,IF(AND(TAF!$Z$17="PREDOM",E12&lt;TAF!$AF$17),TAF!$BW$17,IF(AND(TAF!$Z$18="PREDOM",E12&lt;TAF!$AF$18),TAF!$BW$18)))))))))))))</f>
        <v/>
      </c>
      <c r="AG12" s="903" t="str">
        <f>IF(AE12="","",IF(AND(TAF!$Z$7="PREDOM",E12&lt;TAF!$AF$7),TAF!$BX$7,IF(AND(TAF!$Z$8="PREDOM",E12&lt;TAF!$AF$8),TAF!$BX$8,IF(AND(TAF!$Z$9="PREDOM",E12&lt;TAF!$AF$9),TAF!$BX$9,IF(AND(TAF!$Z$10="PREDOM",E12&lt;TAF!$AF$10),TAF!$BX$10,IF(AND(TAF!$Z$11="PREDOM",E12&lt;TAF!$AF$11),TAF!$BX$11,IF(AND(TAF!$Z$12="PREDOM",E12&lt;TAF!$AF$12),TAF!$BX$12,IF(AND(TAF!$Z$13="PREDOM",E12&lt;TAF!$AF$13),TAF!$BX$13,IF(AND(TAF!$Z$14="PREDOM",E12&lt;TAF!$AF$14),TAF!$BX$14,IF(AND(TAF!$Z$15="PREDOM",E12&lt;TAF!$AF$15),TAF!$BX$15,IF(AND(TAF!$Z$16="PREDOM",E12&lt;TAF!AE20),TAF!$BX$16,IF(AND(TAF!$Z$17="PREDOM",E12&lt;TAF!$AF$17),TAF!$BX$17,IF(AND(TAF!$Z$18="PREDOM",E12&lt;TAF!$AF$18),TAF!$BX$18)))))))))))))</f>
        <v/>
      </c>
      <c r="AH12" s="892" t="str">
        <f>IF(AND(TAF!$Z$7="PREDOM",E12&lt;TAF!$AF$7),TAF!$BY$7,IF(AND(TAF!$Z$8="PREDOM",E12&lt;TAF!$AF$8),TAF!$BY$8,IF(AND(TAF!$Z$9="PREDOM",E12&lt;TAF!$AF$9),TAF!$BY$9,IF(AND(TAF!$Z$10="PREDOM",E12&lt;TAF!$AF$10),TAF!$BY$10,IF(AND(TAF!$Z$11="PREDOM",E12&lt;TAF!$AF$11),TAF!$BY$11,IF(AND(TAF!$Z$12="PREDOM",E12&lt;TAF!$AF$12),TAF!$BY$12,IF(AND(TAF!$Z$13="PREDOM",E12&lt;TAF!$AF$13),TAF!$BY$13,IF(AND(TAF!$Z$14="PREDOM",E12&lt;TAF!$AF$14),TAF!$BY$14,IF(AND(TAF!$Z$15="PREDOM",E12&lt;TAF!$AF$15),TAF!$BY$15,IF(AND(TAF!$Z$16="PREDOM",E12&lt;TAF!$AF$16),TAF!$BY$16,IF(AND(TAF!$Z$17="PREDOM",E12&lt;TAF!$AF$17),TAF!$BY$17,IF(AND(TAF!$Z$18="PREDOM",E12&lt;TAF!$AF$18),TAF!$BY$18))))))))))))</f>
        <v/>
      </c>
      <c r="AI12" s="898" t="str">
        <f>IF(AH12="","",IF(AND(TAF!$Z$7="PREDOM",E12&lt;TAF!$AF$7),TAF!$BZ$7,IF(AND(TAF!$Z$8="PREDOM",E12&lt;TAF!$AF$8),TAF!$BZ$8,IF(AND(TAF!$Z$9="PREDOM",E12&lt;TAF!$AF$9),TAF!$BZ$9,IF(AND(TAF!$Z$10="PREDOM",E12&lt;TAF!$AF$10),TAF!$BZ$10,IF(AND(TAF!$Z$11="PREDOM",E12&lt;TAF!$AF$11),TAF!$BZ$11,IF(AND(TAF!$Z$12="PREDOM",E12&lt;TAF!$AF$12),TAF!$BZ$12,IF(AND(TAF!$Z$13="PREDOM",E12&lt;TAF!$AF$13),TAF!$BZ$13,IF(AND(TAF!$Z$14="PREDOM",E12&lt;TAF!$AF$14),TAF!$BZ$14,IF(AND(TAF!$Z$15="PREDOM",E12&lt;TAF!$AF$15),TAF!$BZ$15,IF(AND(TAF!$Z$16="PREDOM",E12&lt;TAF!AE20),TAF!$BZ$16,IF(AND(TAF!$Z$17="PREDOM",E12&lt;TAF!$AF$17),TAF!$BZ$17,IF(AND(TAF!$Z$18="PREDOM",E12&lt;TAF!$AF$18),TAF!$BZ$18)))))))))))))</f>
        <v/>
      </c>
      <c r="AJ12" s="903" t="str">
        <f>IF(AH12="","",IF(AND(TAF!$Z$7="PREDOM",E12&lt;TAF!$AF$7),TAF!$CA$7,IF(AND(TAF!$Z$8="PREDOM",E12&lt;TAF!$AF$8),TAF!$CA$8,IF(AND(TAF!$Z$9="PREDOM",E12&lt;TAF!$AF$9),TAF!$CA$9,IF(AND(TAF!$Z$10="PREDOM",E12&lt;TAF!$AF$10),TAF!$CA$10,IF(AND(TAF!$Z$11="PREDOM",E12&lt;TAF!$AF$11),TAF!$CA$11,IF(AND(TAF!$Z$12="PREDOM",E12&lt;TAF!$AF$12),TAF!$CA$12,IF(AND(TAF!$Z$13="PREDOM",E12&lt;TAF!$AF$13),TAF!$CA$13,IF(AND(TAF!$Z$14="PREDOM",E12&lt;TAF!$AF$14),TAF!$CA$14,IF(AND(TAF!$Z$15="PREDOM",E12&lt;TAF!$AF$15),TAF!$CA$15,IF(AND(TAF!$Z$16="PREDOM",E12&lt;TAF!AE20),TAF!$CA$16,IF(AND(TAF!$Z$17="PREDOM",E12&lt;TAF!$AF$17),TAF!$CA$17,IF(AND(TAF!$Z$18="PREDOM",E12&lt;TAF!$AF$18),TAF!$CA$18)))))))))))))</f>
        <v/>
      </c>
      <c r="AK12" s="95" t="str">
        <f>IF(AND(TAF!Z7="TEMPO",NOT(E12+0.01&lt;TAF!AC7),E12-0.01&lt;TAF!AF7),TAF!CB7,IF(AND(TAF!Z8="TEMPO",NOT(E12+0.01&lt;TAF!AC8),E12-0.01&lt;TAF!AF8),TAF!CB8,IF(AND(TAF!Z9="TEMPO",NOT(E12+0.01&lt;TAF!AC9),E12-0.01&lt;TAF!AF9),TAF!CB9,IF(AND(TAF!Z10="TEMPO",NOT(E12+0.01&lt;TAF!AC10),E12-0.01&lt;TAF!AF10),TAF!CB10,IF(AND(TAF!Z11="TEMPO",NOT(E12+0.01&lt;TAF!AC11),E12-0.01&lt;TAF!AF11),TAF!CB11,IF(AND(TAF!Z12="TEMPO",NOT(E12+0.01&lt;TAF!AC12),E12-0.01&lt;TAF!AF12),TAF!CB12,IF(AND(TAF!Z13="TEMPO",NOT(E12+0.01&lt;TAF!AC13),E12-0.01&lt;TAF!AF13),TAF!CB13,IF(AND(TAF!Z14="TEMPO",NOT(E12+0.01&lt;TAF!AC14),E12-0.01&lt;TAF!AF14),TAF!CB14,IF(AND(TAF!Z15="TEMPO",NOT(E12+0.01&lt;TAF!AC15),E12-0.01&lt;TAF!AF15),TAF!CB15,IF(AND(TAF!Z16="TEMPO",NOT(E12+0.01&lt;TAF!AC16),E12-0.01&lt;TAF!AE16),TAF!CB16,IF(AND(TAF!Z17="TEMPO",NOT(E12+0.01&lt;TAF!AC17),E12-0.01&lt;TAF!AF17),TAF!CB17,IF(AND(TAF!Z18="TEMPO",NOT(E12+0.01&lt;TAF!AC18),E12-0.01&lt;TAF!AF18),TAF!CB18,""))))))))))))</f>
        <v/>
      </c>
      <c r="AL12" s="94" t="str">
        <f>IF(AND(TAF!Z7="PREDOM",E12&lt;TAF!AF7),TAF!BG7,IF(AND(TAF!Z8="PREDOM",E12&lt;TAF!AF8),TAF!BG8,IF(AND(TAF!Z9="PREDOM",E12&lt;TAF!AF9),TAF!BG9,IF(AND(TAF!Z10="PREDOM",E12&lt;TAF!AF10),TAF!BG10,IF(AND(TAF!Z11="PREDOM",E12&lt;TAF!AF11),TAF!BG11,IF(AND(TAF!Z12="PREDOM",E12&lt;TAF!AF12),TAF!BG12,IF(AND(TAF!Z13="PREDOM",E12&lt;TAF!AF13),TAF!BG13,IF(AND(TAF!Z14="PREDOM",E12&lt;TAF!AF14),TAF!BG14,IF(AND(TAF!Z15="PREDOM",E12&lt;TAF!AF15),TAF!BG15,IF(AND(TAF!Z16="PREDOM",E12&lt;TAF!AE16),TAF!BG16,IF(AND(TAF!Z17="PREDOM",E12&lt;TAF!AF17),TAF!BG17,IF(AND(TAF!Z18="PREDOM",E12&lt;TAF!AF18),TAF!BG18))))))))))))</f>
        <v/>
      </c>
      <c r="AM12" s="898" t="str">
        <f>IF(AL12="","",IF(AND(TAF!Z7="PREDOM",E12&lt;TAF!AF7),TAF!BH7,IF(AND(TAF!Z8="PREDOM",E12&lt;TAF!AF8),TAF!BH8,IF(AND(TAF!Z9="PREDOM",E12&lt;TAF!AF9),TAF!BH9,IF(AND(TAF!Z10="PREDOM",E12&lt;TAF!AF10),TAF!BH10,IF(AND(TAF!Z11="PREDOM",E12&lt;TAF!AF11),TAF!BH11,IF(AND(TAF!Z12="PREDOM",E12&lt;TAF!AF12),TAF!BH12,IF(AND(TAF!Z13="PREDOM",E12&lt;TAF!AF13),TAF!BH13,IF(AND(TAF!Z14="PREDOM",E12&lt;TAF!AF14),TAF!BH14,IF(AND(TAF!Z15="PREDOM",E12&lt;TAF!AF15),TAF!BH15,IF(AND(TAF!Z16="PREDOM",E12&lt;TAF!AE16),TAF!BH16,IF(AND(TAF!Z17="PREDOM",E12&lt;TAF!AF17),TAF!BH17,IF(AND(TAF!Z18="PREDOM",E12&lt;TAF!AF18),TAF!BH18)))))))))))))</f>
        <v/>
      </c>
      <c r="AN12" s="903" t="str">
        <f>IF(AL12="","",IF(AND(TAF!Z7="PREDOM",E12&lt;TAF!AF7),TAF!BI7,IF(AND(TAF!Z8="PREDOM",E12&lt;TAF!AF8),TAF!BI8,IF(AND(TAF!Z9="PREDOM",E12&lt;TAF!AF9),TAF!BI9,IF(AND(TAF!Z10="PREDOM",E12&lt;TAF!AF10),TAF!BI10,IF(AND(TAF!Z11="PREDOM",E12&lt;TAF!AF11),TAF!BI11,IF(AND(TAF!Z12="PREDOM",E12&lt;TAF!AF12),TAF!BI12,IF(AND(TAF!Z13="PREDOM",E12&lt;TAF!AF13),TAF!BI13,IF(AND(TAF!Z14="PREDOM",E12&lt;TAF!AF14),TAF!BI14,IF(AND(TAF!Z15="PREDOM",E12&lt;TAF!AF15),TAF!BI15,IF(AND(TAF!Z16="PREDOM",E12&lt;TAF!AE16),TAF!BI16,IF(AND(TAF!Z17="PREDOM",E12&lt;TAF!AF17),TAF!BI17,IF(AND(TAF!Z18="PREDOM",E12&lt;TAF!AF18),TAF!BI18)))))))))))))</f>
        <v/>
      </c>
      <c r="AO12" s="94" t="str">
        <f>IF(AND(TAF!Z7="PREDOM",E12&lt;TAF!AF7),TAF!BJ7,IF(AND(TAF!Z8="PREDOM",E12&lt;TAF!AF8),TAF!BJ8,IF(AND(TAF!Z9="PREDOM",E12&lt;TAF!AF9),TAF!BJ9,IF(AND(TAF!Z10="PREDOM",E12&lt;TAF!AF10),TAF!BJ10,IF(AND(TAF!Z11="PREDOM",E12&lt;TAF!AF11),TAF!BJ11,IF(AND(TAF!Z12="PREDOM",E12&lt;TAF!AF12),TAF!BJ12,IF(AND(TAF!Z13="PREDOM",E12&lt;TAF!AF13),TAF!BJ13,IF(AND(TAF!Z14="PREDOM",E12&lt;TAF!AF14),TAF!BJ14,IF(AND(TAF!Z15="PREDOM",E12&lt;TAF!AF15),TAF!BJ15,IF(AND(TAF!Z16="PREDOM",E12&lt;TAF!AE16),TAF!BJ16,IF(AND(TAF!Z17="PREDOM",E12&lt;TAF!AF17),TAF!BJ17,IF(AND(TAF!Z18="PREDOM",E12&lt;TAF!AF18),TAF!BJ18))))))))))))</f>
        <v/>
      </c>
      <c r="AP12" s="910" t="str">
        <f>IF(AO12="","",IF(AND(TAF!Z7="PREDOM",E12&lt;TAF!AF7),TAF!BK7,IF(AND(TAF!Z8="PREDOM",E12&lt;TAF!AF8),TAF!BK8,IF(AND(TAF!Z9="PREDOM",E12&lt;TAF!AF9),TAF!BK9,IF(AND(TAF!Z10="PREDOM",E12&lt;TAF!AF10),TAF!BK10,IF(AND(TAF!Z11="PREDOM",E12&lt;TAF!AF11),TAF!BK11,IF(AND(TAF!Z12="PREDOM",E12&lt;TAF!AF12),TAF!BK12,IF(AND(TAF!Z13="PREDOM",E12&lt;TAF!AF13),TAF!BK13,IF(AND(TAF!Z14="PREDOM",E12&lt;TAF!AF14),TAF!BK14,IF(AND(TAF!Z15="PREDOM",E12&lt;TAF!AF15),TAF!BK15,IF(AND(TAF!Z16="PREDOM",E12&lt;TAF!AE16),TAF!BK16,IF(AND(TAF!Z17="PREDOM",E12&lt;TAF!AF17),TAF!BK17,IF(AND(TAF!Z18="PREDOM",E12&lt;TAF!AF18),TAF!BK18)))))))))))))</f>
        <v/>
      </c>
      <c r="AQ12" s="906" t="str">
        <f>IF(AO12="","",IF(AND(TAF!Z7="PREDOM",E12&lt;TAF!AF7),TAF!BL7,IF(AND(TAF!Z8="PREDOM",E12&lt;TAF!AF8),TAF!BL8,IF(AND(TAF!Z9="PREDOM",E12&lt;TAF!AF9),TAF!BL9,IF(AND(TAF!Z10="PREDOM",E12&lt;TAF!AF10),TAF!BL10,IF(AND(TAF!Z11="PREDOM",E12&lt;TAF!AF11),TAF!BL11,IF(AND(TAF!Z12="PREDOM",E12&lt;TAF!AF12),TAF!BL12,IF(AND(TAF!Z13="PREDOM",E12&lt;TAF!AF13),TAF!BL13,IF(AND(TAF!Z14="PREDOM",E12&lt;TAF!AF14),TAF!BL14,IF(AND(TAF!Z15="PREDOM",E12&lt;TAF!AF15),TAF!BL15,IF(AND(TAF!Z16="PREDOM",E12&lt;TAF!AE16),TAF!BL16,IF(AND(TAF!Z17="PREDOM",E12&lt;TAF!AF17),TAF!BL17,IF(AND(TAF!Z18="PREDOM",E12&lt;TAF!AF18),TAF!BL18)))))))))))))</f>
        <v/>
      </c>
      <c r="AR12" s="892" t="str">
        <f>IF(AND(TAF!Z7="PREDOM",E12&lt;TAF!AF7),TAF!BM7,IF(AND(TAF!Z8="PREDOM",E12&lt;TAF!AF8),TAF!BM8,IF(AND(TAF!Z9="PREDOM",E12&lt;TAF!AF9),TAF!BM9,IF(AND(TAF!Z10="PREDOM",E12&lt;TAF!AF10),TAF!BM10,IF(AND(TAF!Z11="PREDOM",E12&lt;TAF!AF11),TAF!BM11,IF(AND(TAF!Z12="PREDOM",E12&lt;TAF!AF12),TAF!BM12,IF(AND(TAF!Z13="PREDOM",E12&lt;TAF!AF13),TAF!BM13,IF(AND(TAF!Z14="PREDOM",E12&lt;TAF!AF14),TAF!BM14,IF(AND(TAF!Z15="PREDOM",E12&lt;TAF!AF15),TAF!BM15,IF(AND(TAF!Z16="PREDOM",E12&lt;TAF!AE16),TAF!BM16,IF(AND(TAF!Z17="PREDOM",E12&lt;TAF!AF17),TAF!BM17,IF(AND(TAF!Z18="PREDOM",E12&lt;TAF!AF18),TAF!BM18))))))))))))</f>
        <v/>
      </c>
      <c r="AS12" s="910" t="str">
        <f>IF(AR12="","",IF(AND(TAF!Z7="PREDOM",E12&lt;TAF!AF7),TAF!BN7,IF(AND(TAF!Z8="PREDOM",E12&lt;TAF!AF8),TAF!BN8,IF(AND(TAF!Z9="PREDOM",E12&lt;TAF!AF9),TAF!BN9,IF(AND(TAF!Z10="PREDOM",E12&lt;TAF!AF10),TAF!BN10,IF(AND(TAF!Z11="PREDOM",E12&lt;TAF!AF11),TAF!BN11,IF(AND(TAF!Z12="PREDOM",E12&lt;TAF!AF12),TAF!BN12,IF(AND(TAF!Z13="PREDOM",E12&lt;TAF!AF13),TAF!BN13,IF(AND(TAF!Z14="PREDOM",E12&lt;TAF!AF14),TAF!BN14,IF(AND(TAF!Z15="PREDOM",E12&lt;TAF!AF15),TAF!BN15,IF(AND(TAF!Z16="PREDOM",E12&lt;TAF!AE16),TAF!BN16,IF(AND(TAF!Z17="PREDOM",E12&lt;TAF!AF17),TAF!BN17,IF(AND(TAF!Z18="PREDOM",E12&lt;TAF!AF18),TAF!BN18)))))))))))))</f>
        <v/>
      </c>
      <c r="AT12" s="906" t="str">
        <f>IF(AR12="","",IF(AND(TAF!Z7="PREDOM",E12&lt;TAF!AF7),TAF!BO7,IF(AND(TAF!Z8="PREDOM",E12&lt;TAF!AF8),TAF!BO8,IF(AND(TAF!Z9="PREDOM",E12&lt;TAF!AF9),TAF!BO9,IF(AND(TAF!Z10="PREDOM",E12&lt;TAF!AF10),TAF!BO10,IF(AND(TAF!Z11="PREDOM",E12&lt;TAF!AF11),TAF!BO11,IF(AND(TAF!Z12="PREDOM",E12&lt;TAF!AF12),TAF!BO12,IF(AND(TAF!Z13="PREDOM",E12&lt;TAF!AF13),TAF!BO13,IF(AND(TAF!Z14="PREDOM",E12&lt;TAF!AF14),TAF!BO14,IF(AND(TAF!Z15="PREDOM",E12&lt;TAF!AF15),TAF!BO15,IF(AND(TAF!Z16="PREDOM",E12&lt;TAF!AE16),TAF!BO16,IF(AND(TAF!Z17="PREDOM",E12&lt;TAF!AF17),TAF!BO17,IF(AND(TAF!Z18="PREDOM",E12&lt;TAF!AF18),TAF!BO18)))))))))))))</f>
        <v/>
      </c>
      <c r="AU12" s="95" t="str">
        <f>IF(AND(TAF!Z7="TEMPO",NOT(E12+0.01&lt;TAF!AC7),E12-0.01&lt;TAF!AF7),TAF!BP7,IF(AND(TAF!Z8="TEMPO",NOT(E12+0.01&lt;TAF!AC8),E12-0.01&lt;TAF!AF8),TAF!BP8,IF(AND(TAF!Z9="TEMPO",NOT(E12+0.01&lt;TAF!AC9),E12-0.01&lt;TAF!AF9),TAF!BP9,IF(AND(TAF!Z10="TEMPO",NOT(E12+0.01&lt;TAF!AC10),E12-0.01&lt;TAF!AF10),TAF!BP10,IF(AND(TAF!Z11="TEMPO",NOT(E12+0.01&lt;TAF!AC11),E12-0.01&lt;TAF!AF11),TAF!BP11,IF(AND(TAF!Z12="TEMPO",NOT(E12+0.01&lt;TAF!AC12),E12-0.01&lt;TAF!AF12),TAF!BP12,IF(AND(TAF!Z13="TEMPO",NOT(E12+0.01&lt;TAF!AC13),E12-0.01&lt;TAF!AF13),TAF!BP13,IF(AND(TAF!Z14="TEMPO",NOT(E12+0.01&lt;TAF!AC14),E12-0.01&lt;TAF!AF14),TAF!BP14,IF(AND(TAF!Z15="TEMPO",NOT(E12+0.01&lt;TAF!AC15),E12-0.01&lt;TAF!AF15),TAF!BP15,IF(AND(TAF!Z16="TEMPO",NOT(E12+0.01&lt;TAF!AC16),E12-0.01&lt;TAF!AE16),TAF!BP16,IF(AND(TAF!Z17="TEMPO",NOT(E12+0.01&lt;TAF!AC17),E12-0.01&lt;TAF!AF17),TAF!BP17,IF(AND(TAF!Z18="TEMPO",NOT(E12+0.01&lt;TAF!AC18),E12-0.01&lt;TAF!AF18),TAF!BP18,""))))))))))))</f>
        <v/>
      </c>
      <c r="AV12" s="96" t="str">
        <f>IF(AND(TAF!Z7="PREDOM",E12&lt;TAF!AF7),TAF!CD7,IF(AND(TAF!Z8="PREDOM",E12&lt;TAF!AF8),TAF!CD8,IF(AND(TAF!Z9="PREDOM",E12&lt;TAF!AF9),TAF!CD9,IF(AND(TAF!Z10="PREDOM",E12&lt;TAF!AF10),TAF!CD10,IF(AND(TAF!Z11="PREDOM",E12&lt;TAF!AF11),TAF!CD11,IF(AND(TAF!Z12="PREDOM",E12&lt;TAF!AF12),TAF!CD12,IF(AND(TAF!Z13="PREDOM",E12&lt;TAF!AF13),TAF!CD13,IF(AND(TAF!Z14="PREDOM",E12&lt;TAF!AF14),TAF!CD14,IF(AND(TAF!Z15="PREDOM",E12&lt;TAF!AF15),TAF!CD15,IF(AND(TAF!Z16="PREDOM",E12&lt;TAF!AE16),TAF!CD16,IF(AND(TAF!Z17="PREDOM",E12&lt;TAF!AF17),TAF!CD17,IF(AND(TAF!Z18="PREDOM",E12&lt;TAF!AF18),TAF!CD18))))))))))))</f>
        <v/>
      </c>
      <c r="AW12" s="97" t="str">
        <f>IF(AND(TAF!Z7="TEMPO",NOT(E12+0.01&lt;TAF!AC7),E12-0.01&lt;TAF!AF7),TAF!CD7,IF(AND(TAF!Z8="TEMPO",NOT(E12+0.01&lt;TAF!AC8),E12-0.01&lt;TAF!AF8),TAF!CD8,IF(AND(TAF!Z9="TEMPO",NOT(E12+0.01&lt;TAF!AC9),E12-0.01&lt;TAF!AF9),TAF!CD9,IF(AND(TAF!Z10="TEMPO",NOT(E12+0.01&lt;TAF!AC10),E12-0.01&lt;TAF!AF10),TAF!CD10,IF(AND(TAF!Z11="TEMPO",NOT(E12+0.01&lt;TAF!AC11),E12-0.01&lt;TAF!AF11),TAF!CD11,IF(AND(TAF!Z12="TEMPO",NOT(E12+0.01&lt;TAF!AC12),E12-0.01&lt;TAF!AF12),TAF!CD12,IF(AND(TAF!Z13="TEMPO",NOT(E12+0.01&lt;TAF!AC13),E12-0.01&lt;TAF!AF13),TAF!CD13,IF(AND(TAF!Z14="TEMPO",NOT(E12+0.01&lt;TAF!AC14),E12-0.01&lt;TAF!AF14),TAF!CD14,IF(AND(TAF!Z15="TEMPO",NOT(E12+0.01&lt;TAF!AC15),E12-0.01&lt;TAF!AF15),TAF!CD15,IF(AND(TAF!Z16="TEMPO",NOT(E12+0.01&lt;TAF!AC16),E12-0.01&lt;TAF!AE16),TAF!CD16,IF(AND(TAF!Z17="TEMPO",NOT(E12+0.01&lt;TAF!AC17),E12-0.01&lt;TAF!AF17),TAF!CD17,IF(AND(TAF!Z18="TEMPO",NOT(E12+0.01&lt;TAF!AC18),E12-0.01&lt;TAF!AF18),TAF!CD18,""))))))))))))</f>
        <v/>
      </c>
      <c r="AX12" s="98" t="str">
        <f>IF(OR(AND(H12&lt;&gt;"",H12&gt;(MLT!$E$5-1)),J12&lt;(MLT!$E$8+0.01),L12="TS",O12="TS",R12&lt;(MLT!$E$9),AND(AB12&lt;&gt;"",AB12&gt;(MLT!$E$6-1)),AL12=MLT!$E$7,AL12=MLT!$F$7),"R",IF(OR(AND(H12&lt;&gt;"",H12&gt;(MLT!$H$5-1)),AND(I12&lt;&gt;"",I12&gt;(MLT!$H$5-1)),J12&lt;MLT!$H$8,K12&lt;MLT!$H$8,L12=MLT!$H$10,O12=MLT!$E$10,O12=MLT!$H$10,R12&lt;MLT!$H$9,S12&lt;MLT!$H$9,AND(AB12&lt;&gt;"",AB12&gt;0),AND(AE12&lt;&gt;"",AE12&gt;0),AND(AH12&lt;&gt;"",AH12&gt;0),AND(AK12&lt;&gt;"",AK12&gt;0),AND(AL12&lt;&gt;"",AL12&lt;&gt;4,AL12&gt;2),AND(AO12&lt;&gt;"",AO12&lt;&gt;4,AO12&gt;2),AND(AR12&lt;&gt;"",AR12&lt;&gt;4,AR12&gt;2),AND(AU12&lt;&gt;"",AU12&lt;&gt;4,AU12&gt;2)),"Y","G"))</f>
        <v>G</v>
      </c>
      <c r="AY12" s="99" t="str">
        <f>IF(OR(AND(H12&lt;&gt;"",H12&gt;(MLT!$E$13-1)),J12&lt;MLT!$E$17,R12&lt;MLT!$E$19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$13-1)),AND(I12&lt;&gt;"",I12&gt;(MLT!$H$13-1)),J12&lt;MLT!$H$17,K12&lt;MLT!$H$17,R12&lt;MLT!$H$19,S12&lt;MLT!$H$19,L12="VCTS",O12="VCTS",AND(AB12&lt;&gt;"",AB12&gt;1),AND(AK12&lt;&gt;"",AK12&gt;0),AND(AL12&lt;&gt;"",AL12&gt;1),AND(AO12&lt;&gt;"",AO12&gt;1),AND(AR12&lt;&gt;"",AR12&gt;1),AU12=3,AND(AU12&lt;&gt;"",AU12&gt;4),AV12="LLWS",AW12="LLWS"),"Y","G"))</f>
        <v>G</v>
      </c>
      <c r="AZ12" s="99" t="str">
        <f>IF(OR(AND(H12&lt;&gt;"",H12&gt;(MLT!$E$13-1)),J12&lt;MLT!$E$16,R12&lt;MLT!$E$18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$13-1)),AND(I12&lt;&gt;"",I12&gt;(MLT!$H$13-1)),J12&lt;MLT!$H$17,K12&lt;MLT!$H$17,R12&lt;MLT!$H$19,S12&lt;MLT!$H$19,L12="VCTS",O12="VCTS",AND(AB12&lt;&gt;"",AB12&gt;1),AND(AK12&lt;&gt;"",AK12&gt;0),AND(AL12&lt;&gt;"",AL12&gt;1),AND(AO12&lt;&gt;"",AO12&gt;1),AND(AR12&lt;&gt;"",AR12&gt;1),AU12=3,AND(AU12&lt;&gt;"",AU12&gt;4),AV12="LLWS",AW12="LLWS"),"Y","G"))</f>
        <v>G</v>
      </c>
      <c r="BA12" s="99" t="str">
        <f>IF(OR(IF(MEF!$AP$14="Hoist",OR(G12&gt;19,AND(H12&lt;&gt;"",H12&gt;19)),AND(H12&lt;&gt;"",H12&gt;(MLT!$E$23-1))),AND(B12&gt;MEF!$Z$11,J12&lt;MLT!$E$26),AND(B12&lt;MEF!$E$53,J12&lt;MLT!$E$26),J12&lt;MLT!$E$27,AND(B12&gt;MEF!$Z$11,R12&lt;MLT!$E$28),AND(B12&lt;MEF!$E$53,R12&lt;MLT!$E$28),R12&lt;MLT!$E$29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H$23-1)),AND(I12&lt;&gt;"",I12&gt;(MLT!$H$23-1)),AND(B12&gt;MEF!$Z$11,J12&lt;MLT!$H$26),AND(B12&lt;MEF!$E$53,J12&lt;MLT!$H$26),AND(B12&gt;MEF!$Z$11,K12&lt;MLT!$H$26),AND(B12&lt;MEF!$E$53,K12&lt;MLT!$H$26),J12&lt;MLT!$H$27,K12&lt;MLT!$H$27,AND(B12&gt;MEF!$Z$11,R12&lt;MLT!$H$28),AND(B12&lt;MEF!$E$53,R12&lt;MLT!$H$28),AND(B12&gt;MEF!$Z$11,S12&lt;MLT!$H$28),AND(B12&lt;MEF!$E$53,S12&lt;MLT!$H$28),R12&lt;MLT!$H$29,S12&lt;MLT!$H$29,L12="VCTS",O12="VCTS",U12&gt;90,U12&lt;-29,AB12&lt;&gt;"",AK12&lt;&gt;"",AND(AL12&lt;&gt;"",AL12&gt;1),AND(AO12&lt;&gt;"",AO12&gt;1),AND(AR12&lt;&gt;"",AR12&gt;1),AU12=3,AND(AU12&lt;&gt;"",AU12&gt;4),AV12="LLWS",AW12="LLWS"),"Y","G"))</f>
        <v>Y</v>
      </c>
      <c r="BB12" s="99" t="str">
        <f>IF(OR(AND(H12&lt;&gt;"",H12&gt;(MLT!$E$23-1)),AND(B12&gt;MEF!$Z$11,J12&lt;MLT!$F$26),AND(B12&lt;MEF!$E$53,J12&lt;MLT!$F$26),J12&lt;MLT!$F$27,AND(B12&gt;MEF!$Z$11,R12&lt;MLT!$F$28),AND(B12&lt;MEF!$E$53,R12&lt;MLT!$F$28),R12&lt;MLT!$F$29,L12="TS",O12="TS",AND(AB12&lt;&gt;"",AB12&gt;3,AC12&lt;30),AND(AE12&lt;&gt;"",AE12&gt;3,AF12&lt;30),AND(AH12&lt;&gt;"",AH12&gt;3,AI12&lt;30),AND(OR(AL12=7,AL12=9),AM12&lt;30),AND(OR(AO12=7,AO12=9),AP12&lt;30),AND(OR(AR12=7,AR12=9),AS12&lt;30)),"R",IF(OR(AND(H12&lt;&gt;"",H12&gt;(MLT!$I$23-1)),AND(I12&lt;&gt;"",I12&gt;(MLT!$I$23-1)),AND(B12&gt;MEF!$Z$11,J12&lt;MLT!$I$26),AND(B12&lt;MEF!$E$53,J12&lt;MLT!$I$26),AND(B12&gt;MEF!$Z$11,K12&lt;MLT!$I$26),AND(B12&lt;MEF!$E$53,K12&lt;MLT!$I$26),J12&lt;MLT!$I$27,K12&lt;MLT!$I$27,AND(B12&gt;MEF!$Z$11,R12&lt;MLT!$I$28),AND(B12&lt;MEF!$E$53,R12&lt;MLT!$I$28),AND(B12&gt;MEF!$Z$11,S12&lt;MLT!$I$28),AND(B12&lt;MEF!$E$53,S12&lt;MLT!$I$28),R12&lt;MLT!$I$29,S12&lt;MLT!$I$29,L12="VCTS",O12="VCTS",U12&gt;94,U12&lt;-29,AB12&lt;&gt;"",AK12&lt;&gt;"",AND(AL12&lt;&gt;"",AL12&gt;1),AND(AO12&lt;&gt;"",AO12&gt;1),AND(AR12&lt;&gt;"",AR12&gt;1),AU12=3,AND(AU12&lt;&gt;"",AU12&gt;4),AV12="LLWS",AW12="LLWS",CE12&lt;30,AND(CJ12&lt;25,CJ12&lt;&gt;0)),"Y","G"))</f>
        <v>G</v>
      </c>
      <c r="BC12" s="99" t="str">
        <f>IF(OR(G12&gt;(MLT!F$35-1),AND(H12&lt;&gt;"",H12&gt;(MLT!E$35-1)),J12&lt;MLT!E$38,R12&lt;MLT!E$39,L12="TS",O12="TS",N12="Y",T12&gt;50.49,T12&lt;-20.5,W12&gt;0.9449,AA12&gt;8999,AND(AB12&lt;&gt;"",AB12&gt;0),AND(AL12&lt;&gt;"",AL12&gt;1)),"R",IF(OR(G12&gt;(MLT!I$35-1),AND(H12&lt;&gt;"",H12&gt;(MLT!H$35-1)),AND(I12&lt;&gt;"",I12&gt;(MLT!H$35-1)),J12&lt;MLT!H$38,K12&lt;MLT!H$38,M12&lt;&gt;"",P12&lt;&gt;"",R12&lt;MLT!H$39,S12&lt;MLT!H$39,L12="VCTS",O12="VCTS",T12&gt;45.49,T12&lt;-14,W12&gt;0.8449,AA12&gt;6999,AND(AB12&lt;&gt;"",AB12&gt;0),AND(AK12&lt;&gt;"",AK12&gt;0),AND(AL12&lt;&gt;"",AL12&gt;0),AND(AU12&lt;&gt;"",AU12&gt;0),AV12="LLWS",AW12="LLWS"),"Y","G"))</f>
        <v>G</v>
      </c>
      <c r="BD12" s="98" t="str">
        <f>IF(OR(AND(NOT(H12=""),H12&gt;(MLT!E48-1)),AND(NOT(I12=""),I12&gt;(MLT!E48-1)),J12&lt;0.26,NOT(L12=""),U12&lt;14.5,AND(X5="Wind Chill",X12&lt;-0.5),AND(X5="WBGT",X12&gt;89.49)),"R",IF(OR(AND(NOT(H12=""),H12&gt;(MLT!H48-1)),AND(NOT(I12=""),I12&gt;(MLT!H48-1)),J12&lt;1,NOT(M12=""),NOT(P12=""),NOT(O12=""),U12&lt;31.5,AND(X5="Wind Chill",X12&lt;14.5),AND(X5="WBGT",X12&gt;77.49)),"Y","G"))</f>
        <v>R</v>
      </c>
      <c r="BE12" s="99" t="str">
        <f>IF(OR(AND(H12&lt;&gt;"",H12&gt;(MLT!$E$56)),J12&lt;MLT!$E$59,R12&lt;MLT!$E$60,L12="TS",O12="TS",AND(AB12&lt;&gt;"",AC12&lt;30),AND(AE12&lt;&gt;"",AF12&lt;30),AND(AH12&lt;&gt;"",AI12&lt;30),AND(AL12&lt;&gt;"",AL12&gt;0,AM12&lt;30),AND(AO12&lt;&gt;"",AO12&gt;0,AP12&lt;30),AND(AR12&lt;&gt;"",AR12&gt;0,AS12&lt;30)),"R",IF(OR(AND(H12&lt;&gt;"",H12&gt;MLT!$H$56),AND(I12&lt;&gt;"",I12&gt;MLT!$H$56),J12&lt;MLT!$H$59,K12&lt;MLT!$H$59,R12&lt;MLT!$H$60,S12&lt;MLT!$H$60,L12="VCTS",O12="VCTS",AB12&lt;&gt;"",AK12&lt;&gt;"",AL12&lt;&gt;"",AU12&lt;&gt;"",AV12="LLWS",AW12="LLWS"),"Y","G"))</f>
        <v>G</v>
      </c>
      <c r="BF12" s="99" t="str">
        <f>IF(OR(AND(H12&lt;&gt;"",H12&gt;(MLT!$E$64)),L12="TS",O12="TS",AND(AB12&lt;&gt;"",AB12&gt;3,AC12&lt;30),AND(AE12&lt;&gt;"",AE12&gt;3,AF12&lt;30),AND(AH12&lt;&gt;"",AH12&gt;3,AI12&lt;30),AND(AL12=7,AM12&lt;30),AND(AL12=9,AM12&lt;30),AND(AO12=7,AP12&lt;30),AND(AO12=9,AP12&lt;30),AND(AR12=7,AS12&lt;30),AND(AR12=9,AS12&lt;30)),"R",IF(OR(AND(H12&lt;&gt;"",H12&gt;MLT!$H$64),AND(I12&lt;&gt;"",I12&gt;MLT!$H$64),J12&lt;MLT!$H$67,K12&lt;MLT!$H$67,R12&lt;MLT!$H$68,S12&lt;MLT!$H$68,L12="VCTS",O12="VCTS",calc!U12&gt;90,U12&lt;-29,AB12&lt;&gt;"",AK12&lt;&gt;"",AND(AL12&lt;&gt;"",AL12&gt;1),AND(AO12&lt;&gt;"",AO12&gt;1),AND(AR12&lt;&gt;"",AR12&gt;1),AND(AU12&lt;&gt;"",AU12&gt;1),AV12="LLWS",AW12="LLWS"),"Y","G"))</f>
        <v>Y</v>
      </c>
      <c r="BG12" s="98" t="str">
        <f>IF(OR(AND(H12&lt;&gt;"",H12&gt;(MLT!$E$73)),L12="TS",O12="TS",AND(AB12&lt;&gt;"",AC12&lt;30),AND(AE12&lt;&gt;"",AF12&lt;30),AND(AH12&lt;&gt;"",AI12&lt;30),AND(AL12=3,AM12&lt;30),AND(AL12&lt;&gt;"",AL12&gt;4,AM12&lt;30),AND(AO12=3,AP12&lt;30),AND(AO12&lt;&gt;"",AO12&gt;4,AP12&lt;30),AND(AR12=3,AS12&lt;30),AND(AR12&lt;&gt;"",AR12&gt;4,AS12&lt;30)),"R",IF(OR(AND(H12&lt;&gt;"",H12&gt;MLT!$H$73),AND(I12&lt;&gt;"",I12&gt;MLT!$H$73),J12&lt;MLT!$H$76,K12&lt;MLT!$H$76,R12&lt;MLT!$H$77,S12&lt;MLT!$H$77,L12="VCTS",O12="VCTS",AB12&lt;&gt;"",AK12&lt;&gt;"",AL12&lt;&gt;"",AU12&lt;&gt;"",AV12="LLWS",AW12="LLWS"),"Y","G"))</f>
        <v>G</v>
      </c>
      <c r="BH12" s="98" t="str">
        <f>IF(OR(IF(H12="",G12,H12)&gt;MLT!$E$81,IF(H12="",G12,H12)-G12&gt;19,IF(F12="VRB",FALSE(),(IF(AND(F12&gt;89,F12&lt;271),SIN(RADIANS(MAX(180,F12)-MIN(180,F12))),SIN(RADIANS(IF(F12&gt;269,360-F12,F12)))))*(IF(H12="",G12,H12))&gt;MLT!$E$82),J12&lt;MLT!$E$86,L12="TS",L12="VCTS",O12="TS",R12&lt;MLT!$E$87,U12&gt;MLT!$E$88,AND(AB12&lt;&gt;"",AB12&gt;3,AC12&lt;100),AND(AE12&lt;&gt;"",AE12&gt;3,AF12&lt;100),AND(AH12&lt;&gt;"",AH12&gt;3,AI12&lt;100),AND(AL12=7,AM12&lt;100),AND(AL12=9,AM12&lt;100),AND(AO12=7,AP12&lt;100),AND(AO12=9,AP12&lt;100),AND(AR12=7,AS12&lt;100),AND(AR12=9,AS12&lt;100),AV12="LLWS"),"R",IF(OR(AND(H12&lt;&gt;"",H12&gt;14),IF(F12="VRB",FALSE(),(IF(AND(F12&gt;89,F12&lt;271),SIN(RADIANS(MAX(180,F12)-MIN(180,F12))),SIN(RADIANS(IF(F12&gt;269,360-F12,F12)))))*(IF(H12="",G12,H12))&gt;MLT!$H$82),AND(I12&lt;&gt;"",I12&gt;14),J12&lt;MLT!$H$86,K12&lt;MLT!$H$86,R12&lt;MLT!$H$87,S12&lt;MLT!$H$87,O12="VCTS",calc!U12&gt;90,AB12&lt;&gt;"",AK12&lt;&gt;"",AND(AL12&lt;&gt;"",AL12&gt;1),AND(AO12&lt;&gt;"",AO12&gt;1),AND(AR12&lt;&gt;"",AR12&gt;1),AND(AU12&lt;&gt;"",AU12&gt;1),AW12="LLWS"),"Y","G"))</f>
        <v>Y</v>
      </c>
      <c r="BI12" s="98" t="str">
        <f>IF(OR(IF(H12="",G12,H12)&gt;MLT!$E$92,J12&lt;MLT!$E$95,L12="TS",L12="VCTS",O12="TS",R12&lt;MLT!$E$96,AND(AB12&lt;&gt;"",AB12&gt;3,AC12&lt;100),AND(AE12&lt;&gt;"",AE12&gt;3,AF12&lt;100),AND(AH12&lt;&gt;"",AH12&gt;3,AI12&lt;100),AND(AL12=7,AM12&lt;100),AND(AL12=9,AM12&lt;100),AND(AO12=7,AP12&lt;100),AND(AO12=9,AP12&lt;100),AND(AR12=7,AS12&lt;100),AND(AR12=9,AS12&lt;100)),"R",IF(OR(AND(H12&lt;&gt;"",H12&gt;14),AND(I12&lt;&gt;"",I12&gt;14),J12&lt;MLT!$H$95,K12&lt;MLT!$H$95,R12&lt;MLT!$H$96,S12&lt;MLT!$H$96,O12="VCTS",AB12&lt;&gt;"",AK12&lt;&gt;"",AND(AL12&lt;&gt;"",AL12&gt;1),AND(AO12&lt;&gt;"",AO12&gt;1),AND(AR12&lt;&gt;"",AR12&gt;1),AND(AU12&lt;&gt;"",AU12&gt;1),AV12="LLWS",AW12="LLWS"),"Y","G"))</f>
        <v>G</v>
      </c>
      <c r="BK12" s="41">
        <f t="shared" si="4"/>
        <v>27.535369250871412</v>
      </c>
      <c r="BL12" s="41">
        <f t="shared" si="5"/>
        <v>27.535369250871412</v>
      </c>
      <c r="BM12" s="41">
        <f>IF(R12&gt;200,T12+(LOOKUP(Worksheet!BD6,BV8:BV10,BW8:BW10)*(CA12/BZ12)),IF(AND(R12&lt;210,R12&gt;29),T12+(0.5*LOOKUP(Worksheet!BD6,BV8:BV10,BW8:BW10)*(CA12/BZ12)),T12+0.25*(LOOKUP(Worksheet!BD6,BV8:BV10,BW8:BW10)*(CA12/BZ12))))</f>
        <v>38.538661736138458</v>
      </c>
      <c r="BN12" s="41">
        <f t="shared" si="6"/>
        <v>37.515107413214956</v>
      </c>
      <c r="BO12" s="42">
        <f t="shared" si="7"/>
        <v>23.888888888888889</v>
      </c>
      <c r="BP12" s="43">
        <f t="shared" si="8"/>
        <v>98.687574240665683</v>
      </c>
      <c r="BQ12" s="44">
        <f t="shared" si="9"/>
        <v>2.9674890095351154</v>
      </c>
      <c r="BR12" s="42">
        <f t="shared" si="17"/>
        <v>53.147573436046649</v>
      </c>
      <c r="BS12" s="42">
        <f t="shared" si="10"/>
        <v>50.542162432241369</v>
      </c>
      <c r="BT12" s="42">
        <f t="shared" si="11"/>
        <v>50.542162432241369</v>
      </c>
      <c r="BU12" s="42"/>
      <c r="BV12" s="1610"/>
      <c r="BW12" s="835"/>
      <c r="BX12" s="106">
        <f>DEGREES(ASIN(BY12*COS(RADIANS(LOOKUP(Worksheet!Q6,'Light Data '!A3:A377,'Light Data '!J3:J377)))*COS(RADIANS(Worksheet!R2))+SIN(RADIANS(LOOKUP(Worksheet!Q6,'Light Data '!A3:A377,'Light Data '!J3:J377)))*SIN(RADIANS(Worksheet!R2))))</f>
        <v>71.503655804914487</v>
      </c>
      <c r="BY12" s="515">
        <f>COS(RADIANS(15*((MAX(CF5,(HOUR(C12)/24))-MIN(CF5,(HOUR(C12)/24)))*24)))</f>
        <v>0.97769168032612896</v>
      </c>
      <c r="BZ12" s="516">
        <f>IF(BX12&lt;0,0.1,((128*10^3)*(1+0.033412*COS(2*PI()*(((CH4-CH3)-3)/365)))))</f>
        <v>123724.68965631575</v>
      </c>
      <c r="CA12" s="516">
        <f>IF(BX12&lt;0,0,((128*10^3)*(1+0.033412*COS(2*PI()*(((CH4-CH3)-3)/365))))*POWER(EXP(1),0-(CB12*(1/(SIN(RADIANS(BX12+(244/(165+47*(POWER(BX12,1.1)))))))))))</f>
        <v>92101.047963702455</v>
      </c>
      <c r="CB12" s="389">
        <f t="shared" si="12"/>
        <v>0.28000000000000003</v>
      </c>
      <c r="CC12" s="112" t="str">
        <f t="shared" si="18"/>
        <v>&lt;0</v>
      </c>
      <c r="CD12" s="112" t="str">
        <f t="shared" si="19"/>
        <v>(&lt;0)</v>
      </c>
      <c r="CE12" s="112">
        <f t="shared" si="20"/>
        <v>99</v>
      </c>
      <c r="CF12" s="66" t="str">
        <f t="shared" si="21"/>
        <v>D</v>
      </c>
      <c r="CI12" s="834">
        <f>INDEX('Light Data '!$H$3:$H$381,MATCH(ROUNDDOWN(C12,0),'Light Data '!$A$3:$A$381,0))-(((INDEX('Light Data '!$H$3:$H$381,MATCH(ROUNDDOWN(C12,0),'Light Data '!$A$3:$A$381,0))-(INDEX('Light Data '!$H$3:$H$381,MATCH(ROUNDDOWN(C12,0)+1,'Light Data '!$A$3:$A$381,0))))/24)*HOUR(C12))</f>
        <v>46.416666666666664</v>
      </c>
      <c r="CJ12" s="834" t="str">
        <f t="shared" si="22"/>
        <v>NA</v>
      </c>
    </row>
    <row r="13" spans="1:97" ht="15" customHeight="1" thickTop="1" thickBot="1">
      <c r="A13" s="528">
        <f t="shared" si="23"/>
        <v>14</v>
      </c>
      <c r="B13" s="526">
        <f t="shared" si="1"/>
        <v>1400</v>
      </c>
      <c r="C13" s="3640">
        <f>Worksheet!AD73</f>
        <v>44748.583333333328</v>
      </c>
      <c r="D13" s="3640"/>
      <c r="E13" s="521">
        <f>Worksheet!AF73</f>
        <v>44748.75</v>
      </c>
      <c r="F13" s="77" t="str">
        <f>IF(AND(TAF!Z7="PREDOM",E13&lt;TAF!AF7),TAF!AH7,IF(AND(TAF!Z8="PREDOM",E13&lt;TAF!AF8),TAF!AH8,IF(AND(TAF!Z9="PREDOM",E13&lt;TAF!AF9),TAF!AH9,IF(AND(TAF!Z10="PREDOM",E13&lt;TAF!AF10),TAF!AH10,IF(AND(TAF!Z11="PREDOM",E13&lt;TAF!AF11),TAF!AH11,IF(AND(TAF!Z12="PREDOM",E13&lt;TAF!AF12),TAF!AH12,IF(AND(TAF!Z13="PREDOM",E13&lt;TAF!AF13),TAF!AH13,IF(AND(TAF!Z14="PREDOM",E13&lt;TAF!AF14),TAF!AH14,IF(AND(TAF!Z15="PREDOM",E13&lt;TAF!AF15),TAF!AH15,IF(AND(TAF!Z16="PREDOM",E13&lt;TAF!AE16),TAF!AH16,IF(AND(TAF!Z17="PREDOM",E13&lt;TAF!AF17),TAF!AH17,IF(AND(TAF!Z18="PREDOM",E13&lt;TAF!AF18),TAF!AH18))))))))))))</f>
        <v>240</v>
      </c>
      <c r="G13" s="78">
        <f>IF(AND(TAF!Z7="PREDOM",E13&lt;TAF!AF7),TAF!AI7,IF(AND(TAF!Z8="PREDOM",E13&lt;TAF!AF8),TAF!AI8,IF(AND(TAF!Z9="PREDOM",E13&lt;TAF!AF9),TAF!AI9,IF(AND(TAF!Z10="PREDOM",E13&lt;TAF!AF10),TAF!AI10,IF(AND(TAF!Z11="PREDOM",E13&lt;TAF!AF11),TAF!AI11,IF(AND(TAF!Z12="PREDOM",E13&lt;TAF!AF12),TAF!AI12,IF(AND(TAF!Z13="PREDOM",E13&lt;TAF!AF13),TAF!AI13,IF(AND(TAF!Z14="PREDOM",E13&lt;TAF!AF14),TAF!AI14,IF(AND(TAF!Z15="PREDOM",E13&lt;TAF!AF15),TAF!AI15,IF(AND(TAF!Z16="PREDOM",E13&lt;TAF!AE16),TAF!AI16,IF(AND(TAF!Z17="PREDOM",E13&lt;TAF!AF17),TAF!AI17,IF(AND(TAF!Z18="PREDOM",E13&lt;TAF!AF18),TAF!AI18))))))))))))</f>
        <v>10</v>
      </c>
      <c r="H13" s="79" t="str">
        <f>IF(AND(TAF!Z7="PREDOM",E13&lt;TAF!AF7),TAF!AJ7,IF(AND(TAF!Z8="PREDOM",E13&lt;TAF!AF8),TAF!AJ8,IF(AND(TAF!Z9="PREDOM",E13&lt;TAF!AF9),TAF!AJ9,IF(AND(TAF!Z10="PREDOM",E13&lt;TAF!AF10),TAF!AJ10,IF(AND(TAF!Z11="PREDOM",E13&lt;TAF!AF11),TAF!AJ11,IF(AND(TAF!Z12="PREDOM",E13&lt;TAF!AF12),TAF!AJ12,IF(AND(TAF!Z13="PREDOM",E13&lt;TAF!AF13),TAF!AJ13,IF(AND(TAF!Z14="PREDOM",E13&lt;TAF!AF14),TAF!AJ14,IF(AND(TAF!Z15="PREDOM",E13&lt;TAF!AF15),TAF!AJ15,IF(AND(TAF!Z16="PREDOM",E13&lt;TAF!AE16),TAF!AJ16,IF(AND(TAF!Z17="PREDOM",E13&lt;TAF!AF17),TAF!AJ17,IF(AND(TAF!Z18="PREDOM",E13&lt;TAF!AF18),TAF!AJ18))))))))))))</f>
        <v/>
      </c>
      <c r="I13" s="80" t="str">
        <f>IF(AND(TAF!Z7="TEMPO",NOT(E13+0.01&lt;TAF!AC7),E13&lt;TAF!AF7),TAF!AJ7,IF(AND(TAF!Z8="TEMPO",NOT(E13+0.01&lt;TAF!AC8),E13&lt;TAF!AF8),TAF!AJ8,IF(AND(TAF!Z9="TEMPO",NOT(E13+0.01&lt;TAF!AC9),E13&lt;TAF!AF9),TAF!AJ9,IF(AND(TAF!Z10="TEMPO",NOT(E13+0.01&lt;TAF!AC10),E13&lt;TAF!AF10),TAF!AJ10,IF(AND(TAF!Z11="TEMPO",NOT(E13+0.01&lt;TAF!AC11),E13&lt;TAF!AF11),TAF!AJ11,IF(AND(TAF!Z12="TEMPO",NOT(E13+0.01&lt;TAF!AC12),E13&lt;TAF!AF12),TAF!AJ12,IF(AND(TAF!Z13="TEMPO",NOT(E13+0.01&lt;TAF!AC13),E13&lt;TAF!AF13),TAF!AJ13,IF(AND(TAF!Z14="TEMPO",NOT(E13+0.01&lt;TAF!AC14),E13&lt;TAF!AF14),TAF!AJ14,IF(AND(TAF!Z15="TEMPO",NOT(E13+0.01&lt;TAF!AC15),E13&lt;TAF!AF15),TAF!AJ15,IF(AND(TAF!Z16="TEMPO",NOT(E13+0.01&lt;TAF!AC16),E13&lt;TAF!AE16),TAF!AJ16,IF(AND(TAF!Z17="TEMPO",NOT(E13+0.01&lt;TAF!AC17),E13&lt;TAF!AF17),TAF!AJ17,IF(AND(TAF!Z18="TEMPO",NOT(E13+0.01&lt;TAF!AC18),E13&lt;TAF!AF18),TAF!AJ18,""))))))))))))</f>
        <v/>
      </c>
      <c r="J13" s="81">
        <f>IF(AND(TAF!Z7="PREDOM",E13&lt;TAF!AF7),TAF!AN7,IF(AND(TAF!Z8="PREDOM",E13&lt;TAF!AF8),TAF!AN8,IF(AND(TAF!Z9="PREDOM",E13&lt;TAF!AF9),TAF!AN9,IF(AND(TAF!Z10="PREDOM",E13&lt;TAF!AF10),TAF!AN10,IF(AND(TAF!Z11="PREDOM",E13&lt;TAF!AF11),TAF!AN11,IF(AND(TAF!Z12="PREDOM",E13&lt;TAF!AF12),TAF!AN12,IF(AND(TAF!Z13="PREDOM",E13&lt;TAF!AF13),TAF!AN13,IF(AND(TAF!Z14="PREDOM",E13&lt;TAF!AF14),TAF!AN14,IF(AND(TAF!Z15="PREDOM",E13&lt;TAF!AF15),TAF!AN15,IF(AND(TAF!Z16="PREDOM",E13&lt;TAF!AE16),TAF!AN16,IF(AND(TAF!Z17="PREDOM",E13&lt;TAF!AF17),TAF!AN17,IF(AND(TAF!Z18="PREDOM",E13&lt;TAF!AF18),TAF!AN18))))))))))))</f>
        <v>7</v>
      </c>
      <c r="K13" s="82" t="str">
        <f>IF(AND(TAF!Z7="TEMPO",NOT(E13+0.01&lt;TAF!AC7),E13-0.01&lt;TAF!AF7),TAF!AN7,IF(AND(TAF!Z8="TEMPO",NOT(E13+0.01&lt;TAF!AC8),E13-0.01&lt;TAF!AF8),TAF!AN8,IF(AND(TAF!Z9="TEMPO",NOT(E13+0.01&lt;TAF!AC9),E13-0.01&lt;TAF!AF9),TAF!AN9,IF(AND(TAF!Z10="TEMPO",NOT(E13+0.01&lt;TAF!AC10),E13-0.01&lt;TAF!AF10),TAF!AN10,IF(AND(TAF!Z11="TEMPO",NOT(E13+0.01&lt;TAF!AC11),E13-0.01&lt;TAF!AF11),TAF!AN11,IF(AND(TAF!Z12="TEMPO",NOT(E13+0.01&lt;TAF!AC12),E13-0.01&lt;TAF!AF12),TAF!AN12,IF(AND(TAF!Z13="TEMPO",NOT(E13+0.01&lt;TAF!AC13),E13-0.01&lt;TAF!AF13),TAF!AN13,IF(AND(TAF!Z14="TEMPO",NOT(E13+0.01&lt;TAF!AC14),E13-0.01&lt;TAF!AF14),TAF!AN14,IF(AND(TAF!Z15="TEMPO",NOT(E13+0.01&lt;TAF!AC15),E13-0.01&lt;TAF!AF15),TAF!AN15,IF(AND(TAF!Z16="TEMPO",NOT(E13+0.01&lt;TAF!AC16),E13-0.01&lt;TAF!AE16),TAF!AN16,IF(AND(TAF!Z17="TEMPO",NOT(E13+0.01&lt;TAF!AC17),E13-0.01&lt;TAF!AF17),TAF!AN17,IF(AND(TAF!Z18="TEMPO",NOT(E13+0.01&lt;TAF!AC18),E13-0.01&lt;TAF!AF18),TAF!AN18,""))))))))))))</f>
        <v/>
      </c>
      <c r="L13" s="83" t="str">
        <f t="shared" si="13"/>
        <v/>
      </c>
      <c r="M13" s="84" t="str">
        <f>IF(AND(TAF!Z7="PREDOM",E13&lt;TAF!AF7),TAF!AP7,IF(AND(TAF!Z8="PREDOM",E13&lt;TAF!AF8),TAF!AP8,IF(AND(TAF!Z9="PREDOM",E13&lt;TAF!AF9),TAF!AP9,IF(AND(TAF!Z10="PREDOM",E13&lt;TAF!AF10),TAF!AP10,IF(AND(TAF!Z11="PREDOM",E13&lt;TAF!AF11),TAF!AP11,IF(AND(TAF!Z12="PREDOM",E13&lt;TAF!AF12),TAF!AP12,IF(AND(TAF!Z13="PREDOM",E13&lt;TAF!AF13),TAF!AP13,IF(AND(TAF!Z14="PREDOM",E13&lt;TAF!AF14),TAF!AP14,IF(AND(TAF!Z15="PREDOM",E13&lt;TAF!AF15),TAF!AP15,IF(AND(TAF!Z16="PREDOM",E13&lt;TAF!AE16),TAF!AP16,IF(AND(TAF!Z17="PREDOM",E13&lt;TAF!AF17),TAF!AP17,IF(AND(TAF!Z18="PREDOM",E13&lt;TAF!AF18),TAF!AP18))))))))))))</f>
        <v/>
      </c>
      <c r="N13" s="85" t="str">
        <f t="shared" si="14"/>
        <v>N</v>
      </c>
      <c r="O13" s="85" t="str">
        <f t="shared" si="15"/>
        <v/>
      </c>
      <c r="P13" s="84" t="str">
        <f>IF(AND(TAF!Z7="TEMPO",NOT(E13+0.01&lt;TAF!AC7),E13-0.01&lt;TAF!AF7),TAF!AP7,IF(AND(TAF!Z8="TEMPO",NOT(E13+0.01&lt;TAF!AC8),E13-0.01&lt;TAF!AF8),TAF!AP8,IF(AND(TAF!Z9="TEMPO",NOT(E13+0.01&lt;TAF!AC9),E13-0.01&lt;TAF!AF9),TAF!AP9,IF(AND(TAF!Z10="TEMPO",NOT(E13+0.01&lt;TAF!AC10),E13-0.01&lt;TAF!AF10),TAF!AP10,IF(AND(TAF!Z11="TEMPO",NOT(E13+0.01&lt;TAF!AC11),E13-0.01&lt;TAF!AF11),TAF!AP11,IF(AND(TAF!Z12="TEMPO",NOT(E13+0.01&lt;TAF!AC12),E13-0.01&lt;TAF!AF12),TAF!AP12,IF(AND(TAF!Z13="TEMPO",NOT(E13+0.01&lt;TAF!AC13),E13-0.01&lt;TAF!AF13),TAF!AP13,IF(AND(TAF!Z14="TEMPO",NOT(E13+0.01&lt;TAF!AC14),E13-0.01&lt;TAF!AF14),TAF!AP14,IF(AND(TAF!Z15="TEMPO",NOT(E13+0.01&lt;TAF!AC15),E13-0.01&lt;TAF!AF15),TAF!AP15,IF(AND(TAF!Z16="TEMPO",NOT(E13+0.01&lt;TAF!AC16),E13-0.01&lt;TAF!AE16),TAF!AP16,IF(AND(TAF!Z17="TEMPO",NOT(E13+0.01&lt;TAF!AC17),E13-0.01&lt;TAF!AF17),TAF!AP17,IF(AND(TAF!Z18="TEMPO",NOT(E13+0.01&lt;TAF!AC18),E13-0.01&lt;TAF!AF18),TAF!AP18,""))))))))))))</f>
        <v/>
      </c>
      <c r="Q13" s="889" t="str">
        <f t="shared" si="2"/>
        <v>N</v>
      </c>
      <c r="R13" s="86">
        <f>IF(AND(TAF!Z7="PREDOM",E13&lt;TAF!AF7),TAF!AW7,IF(AND(TAF!Z8="PREDOM",E13&lt;TAF!AF8),TAF!AW8,IF(AND(TAF!Z9="PREDOM",E13&lt;TAF!AF9),TAF!AW9,IF(AND(TAF!Z10="PREDOM",E13&lt;TAF!AF10),TAF!AW10,IF(AND(TAF!Z11="PREDOM",E13&lt;TAF!AF11),TAF!AW11,IF(AND(TAF!Z12="PREDOM",E13&lt;TAF!AF12),TAF!AW12,IF(AND(TAF!Z13="PREDOM",E13&lt;TAF!AF13),TAF!AW13,IF(AND(TAF!Z14="PREDOM",E13&lt;TAF!AF14),TAF!AW14,IF(AND(TAF!Z15="PREDOM",E13&lt;TAF!AF15),TAF!AW15,IF(AND(TAF!Z16="PREDOM",E13&lt;TAF!AE16),TAF!AW16,IF(AND(TAF!Z17="PREDOM",E13&lt;TAF!AF17),TAF!AW17,IF(AND(TAF!Z18="PREDOM",E13&lt;TAF!AF18),TAF!AW18))))))))))))</f>
        <v>250</v>
      </c>
      <c r="S13" s="87" t="str">
        <f>IF(AND(TAF!Z7="TEMPO",NOT(E13+0.01&lt;TAF!AC7),E13-0.01&lt;TAF!AF7),TAF!AW7,IF(AND(TAF!Z8="TEMPO",NOT(E13+0.01&lt;TAF!AC8),E13-0.01&lt;TAF!AF8),TAF!AW8,IF(AND(TAF!Z9="TEMPO",NOT(E13+0.01&lt;TAF!AC9),E13-0.01&lt;TAF!AF9),TAF!AW9,IF(AND(TAF!Z10="TEMPO",NOT(E13+0.01&lt;TAF!AC10),E13-0.01&lt;TAF!AF10),TAF!AW10,IF(AND(TAF!Z11="TEMPO",NOT(E13+0.01&lt;TAF!AC11),E13-0.01&lt;TAF!AF11),TAF!AW11,IF(AND(TAF!Z12="TEMPO",NOT(E13+0.01&lt;TAF!AC12),E13-0.01&lt;TAF!AF12),TAF!AW12,IF(AND(TAF!Z13="TEMPO",NOT(E13+0.01&lt;TAF!AC13),E13-0.01&lt;TAF!AF13),TAF!AW13,IF(AND(TAF!Z14="TEMPO",NOT(E13+0.01&lt;TAF!AC14),E13-0.01&lt;TAF!AF14),TAF!AW14,IF(AND(TAF!Z15="TEMPO",NOT(E13+0.01&lt;TAF!AC15),E13-0.01&lt;TAF!AF15),TAF!AW15,IF(AND(TAF!Z16="TEMPO",NOT(E13+0.01&lt;TAF!AC16),E13-0.01&lt;TAF!AE16),TAF!AW16,IF(AND(TAF!Z17="TEMPO",NOT(E13+0.01&lt;TAF!AC17),E13-0.01&lt;TAF!AF17),TAF!AW17,IF(AND(TAF!Z18="TEMPO",NOT(E13+0.01&lt;TAF!AC18),E13-0.01&lt;TAF!AF18),TAF!AW18,""))))))))))))</f>
        <v/>
      </c>
      <c r="T13" s="88">
        <f t="shared" si="3"/>
        <v>35</v>
      </c>
      <c r="U13" s="89">
        <f>Worksheet!AP73</f>
        <v>95</v>
      </c>
      <c r="V13" s="90">
        <f>Worksheet!BB73</f>
        <v>74</v>
      </c>
      <c r="W13" s="91">
        <f t="shared" si="16"/>
        <v>0.51028899654400484</v>
      </c>
      <c r="X13" s="100">
        <f>IF(X5="Wind Chill",IF(G13=0,U13,IF(U13&lt;56,35.74+(0.6215*U13)-(35.75*(G13^0.16))+(0.4275*U13*(G13^0.16)),"NA")),IF(X5="WBGT",1.8*((0.7*BL13)+(0.1*BN13)+(0.2*BT13))+32))</f>
        <v>91.757242849345033</v>
      </c>
      <c r="Y13" s="93">
        <f>Worksheet!BQ73</f>
        <v>29.94</v>
      </c>
      <c r="Z13" s="1890">
        <f>Worksheet!BT73</f>
        <v>737.43263139606995</v>
      </c>
      <c r="AA13" s="1891">
        <f>Worksheet!BV73</f>
        <v>3312.6466246157765</v>
      </c>
      <c r="AB13" s="896" t="str">
        <f>IF(AND(TAF!Z7="PREDOM",E13&lt;TAF!AF7),TAF!BS7,IF(AND(TAF!Z8="PREDOM",E13&lt;TAF!AF8),TAF!BS8,IF(AND(TAF!Z9="PREDOM",E13&lt;TAF!AF9),TAF!BS9,IF(AND(TAF!Z10="PREDOM",E13&lt;TAF!AF10),TAF!BS10,IF(AND(TAF!Z11="PREDOM",E13&lt;TAF!AF11),TAF!BS11,IF(AND(TAF!Z12="PREDOM",E13&lt;TAF!AF12),TAF!BS12,IF(AND(TAF!Z13="PREDOM",E13&lt;TAF!AF13),TAF!BS13,IF(AND(TAF!Z14="PREDOM",E13&lt;TAF!AF14),TAF!BS14,IF(AND(TAF!Z15="PREDOM",E13&lt;TAF!AF15),TAF!BS15,IF(AND(TAF!Z16="PREDOM",E13&lt;TAF!AE16),TAF!BS16,IF(AND(TAF!Z17="PREDOM",E13&lt;TAF!AF17),TAF!BS17,IF(AND(TAF!Z18="PREDOM",E13&lt;TAF!AF18),TAF!BS18))))))))))))</f>
        <v/>
      </c>
      <c r="AC13" s="899" t="str">
        <f>IF(AB13="","",IF(AND(TAF!$Z$7="PREDOM",E13&lt;TAF!$AF$7),TAF!$BT$7,IF(AND(TAF!$Z$8="PREDOM",E13&lt;TAF!$AF$8),TAF!$BT$8,IF(AND(TAF!$Z$9="PREDOM",E13&lt;TAF!$AF$9),TAF!$BT$9,IF(AND(TAF!$Z$10="PREDOM",E13&lt;TAF!$AF$10),TAF!$BT$10,IF(AND(TAF!$Z$11="PREDOM",E13&lt;TAF!$AF$11),TAF!$BT$11,IF(AND(TAF!$Z$12="PREDOM",E13&lt;TAF!$AF$12),TAF!$BT$12,IF(AND(TAF!$Z$13="PREDOM",E13&lt;TAF!$AF$13),TAF!$BT$13,IF(AND(TAF!$Z$14="PREDOM",E13&lt;TAF!$AF$14),TAF!$BT$14,IF(AND(TAF!$Z$15="PREDOM",E13&lt;TAF!$AF$15),TAF!$BT$15,IF(AND(TAF!$Z$16="PREDOM",E13&lt;TAF!AE21),TAF!$BT$16,IF(AND(TAF!$Z$17="PREDOM",E13&lt;TAF!$AF$17),TAF!$BT$17,IF(AND(TAF!$Z$18="PREDOM",E13&lt;TAF!$AF$18),TAF!$BT$18)))))))))))))</f>
        <v/>
      </c>
      <c r="AD13" s="902" t="str">
        <f>IF(AB13="","",IF(AND(TAF!$Z$7="PREDOM",E13&lt;TAF!$AF$7),TAF!$BU$7,IF(AND(TAF!$Z$8="PREDOM",E13&lt;TAF!$AF$8),TAF!$BU$8,IF(AND(TAF!$Z$9="PREDOM",E13&lt;TAF!$AF$9),TAF!$BU$9,IF(AND(TAF!$Z$10="PREDOM",E13&lt;TAF!$AF$10),TAF!$BU$10,IF(AND(TAF!$Z$11="PREDOM",E13&lt;TAF!$AF$11),TAF!$BU$11,IF(AND(TAF!$Z$12="PREDOM",E13&lt;TAF!$AF$12),TAF!$BU$12,IF(AND(TAF!$Z$13="PREDOM",E13&lt;TAF!$AF$13),TAF!$BU$13,IF(AND(TAF!$Z$14="PREDOM",E13&lt;TAF!$AF$14),TAF!$BU$14,IF(AND(TAF!$Z$15="PREDOM",E13&lt;TAF!$AF$15),TAF!$BU$15,IF(AND(TAF!$Z$16="PREDOM",E13&lt;TAF!AE21),TAF!$BU$16,IF(AND(TAF!$Z$17="PREDOM",E13&lt;TAF!$AF$17),TAF!$BU$17,IF(AND(TAF!$Z$18="PREDOM",E13&lt;TAF!$AF$18),TAF!$BU$18)))))))))))))</f>
        <v/>
      </c>
      <c r="AE13" s="896" t="str">
        <f>IF(AND(TAF!Z7="PREDOM",E13&lt;TAF!AF7),TAF!BV7,IF(AND(TAF!Z8="PREDOM",E13&lt;TAF!AF8),TAF!BV8,IF(AND(TAF!Z9="PREDOM",E13&lt;TAF!AF9),TAF!BV9,IF(AND(TAF!Z10="PREDOM",E13&lt;TAF!AF10),TAF!BV10,IF(AND(TAF!Z11="PREDOM",E13&lt;TAF!AF11),TAF!BV11,IF(AND(TAF!Z12="PREDOM",E13&lt;TAF!AF12),TAF!BV12,IF(AND(TAF!Z13="PREDOM",E13&lt;TAF!AF13),TAF!BV13,IF(AND(TAF!Z14="PREDOM",E13&lt;TAF!AF14),TAF!BV14,IF(AND(TAF!Z15="PREDOM",E13&lt;TAF!AF15),TAF!BV15,IF(AND(TAF!Z16="PREDOM",E13&lt;TAF!AE16),TAF!BV16,IF(AND(TAF!Z17="PREDOM",E13&lt;TAF!AF17),TAF!BV17,IF(AND(TAF!Z18="PREDOM",E13&lt;TAF!AF18),TAF!BV18))))))))))))</f>
        <v/>
      </c>
      <c r="AF13" s="899" t="str">
        <f>IF(AE13="","",IF(AND(TAF!$Z$7="PREDOM",E13&lt;TAF!$AF$7),TAF!$BW$7,IF(AND(TAF!$Z$8="PREDOM",E13&lt;TAF!$AF$8),TAF!$BW$8,IF(AND(TAF!$Z$9="PREDOM",E13&lt;TAF!$AF$9),TAF!$BW$9,IF(AND(TAF!$Z$10="PREDOM",E13&lt;TAF!$AF$10),TAF!$BW$10,IF(AND(TAF!$Z$11="PREDOM",E13&lt;TAF!$AF$11),TAF!$BW$11,IF(AND(TAF!$Z$12="PREDOM",E13&lt;TAF!$AF$12),TAF!$BW$12,IF(AND(TAF!$Z$13="PREDOM",E13&lt;TAF!$AF$13),TAF!$BW$13,IF(AND(TAF!$Z$14="PREDOM",E13&lt;TAF!$AF$14),TAF!$BW$14,IF(AND(TAF!$Z$15="PREDOM",E13&lt;TAF!$AF$15),TAF!$BW$15,IF(AND(TAF!$Z$16="PREDOM",E13&lt;TAF!AE21),TAF!$BW$16,IF(AND(TAF!$Z$17="PREDOM",E13&lt;TAF!$AF$17),TAF!$BW$17,IF(AND(TAF!$Z$18="PREDOM",E13&lt;TAF!$AF$18),TAF!$BW$18)))))))))))))</f>
        <v/>
      </c>
      <c r="AG13" s="902" t="str">
        <f>IF(AE13="","",IF(AND(TAF!$Z$7="PREDOM",E13&lt;TAF!$AF$7),TAF!$BX$7,IF(AND(TAF!$Z$8="PREDOM",E13&lt;TAF!$AF$8),TAF!$BX$8,IF(AND(TAF!$Z$9="PREDOM",E13&lt;TAF!$AF$9),TAF!$BX$9,IF(AND(TAF!$Z$10="PREDOM",E13&lt;TAF!$AF$10),TAF!$BX$10,IF(AND(TAF!$Z$11="PREDOM",E13&lt;TAF!$AF$11),TAF!$BX$11,IF(AND(TAF!$Z$12="PREDOM",E13&lt;TAF!$AF$12),TAF!$BX$12,IF(AND(TAF!$Z$13="PREDOM",E13&lt;TAF!$AF$13),TAF!$BX$13,IF(AND(TAF!$Z$14="PREDOM",E13&lt;TAF!$AF$14),TAF!$BX$14,IF(AND(TAF!$Z$15="PREDOM",E13&lt;TAF!$AF$15),TAF!$BX$15,IF(AND(TAF!$Z$16="PREDOM",E13&lt;TAF!AE21),TAF!$BX$16,IF(AND(TAF!$Z$17="PREDOM",E13&lt;TAF!$AF$17),TAF!$BX$17,IF(AND(TAF!$Z$18="PREDOM",E13&lt;TAF!$AF$18),TAF!$BX$18)))))))))))))</f>
        <v/>
      </c>
      <c r="AH13" s="894" t="str">
        <f>IF(AND(TAF!$Z$7="PREDOM",E13&lt;TAF!$AF$7),TAF!$BY$7,IF(AND(TAF!$Z$8="PREDOM",E13&lt;TAF!$AF$8),TAF!$BY$8,IF(AND(TAF!$Z$9="PREDOM",E13&lt;TAF!$AF$9),TAF!$BY$9,IF(AND(TAF!$Z$10="PREDOM",E13&lt;TAF!$AF$10),TAF!$BY$10,IF(AND(TAF!$Z$11="PREDOM",E13&lt;TAF!$AF$11),TAF!$BY$11,IF(AND(TAF!$Z$12="PREDOM",E13&lt;TAF!$AF$12),TAF!$BY$12,IF(AND(TAF!$Z$13="PREDOM",E13&lt;TAF!$AF$13),TAF!$BY$13,IF(AND(TAF!$Z$14="PREDOM",E13&lt;TAF!$AF$14),TAF!$BY$14,IF(AND(TAF!$Z$15="PREDOM",E13&lt;TAF!$AF$15),TAF!$BY$15,IF(AND(TAF!$Z$16="PREDOM",E13&lt;TAF!$AF$16),TAF!$BY$16,IF(AND(TAF!$Z$17="PREDOM",E13&lt;TAF!$AF$17),TAF!$BY$17,IF(AND(TAF!$Z$18="PREDOM",E13&lt;TAF!$AF$18),TAF!$BY$18))))))))))))</f>
        <v/>
      </c>
      <c r="AI13" s="899" t="str">
        <f>IF(AH13="","",IF(AND(TAF!$Z$7="PREDOM",E13&lt;TAF!$AF$7),TAF!$BZ$7,IF(AND(TAF!$Z$8="PREDOM",E13&lt;TAF!$AF$8),TAF!$BZ$8,IF(AND(TAF!$Z$9="PREDOM",E13&lt;TAF!$AF$9),TAF!$BZ$9,IF(AND(TAF!$Z$10="PREDOM",E13&lt;TAF!$AF$10),TAF!$BZ$10,IF(AND(TAF!$Z$11="PREDOM",E13&lt;TAF!$AF$11),TAF!$BZ$11,IF(AND(TAF!$Z$12="PREDOM",E13&lt;TAF!$AF$12),TAF!$BZ$12,IF(AND(TAF!$Z$13="PREDOM",E13&lt;TAF!$AF$13),TAF!$BZ$13,IF(AND(TAF!$Z$14="PREDOM",E13&lt;TAF!$AF$14),TAF!$BZ$14,IF(AND(TAF!$Z$15="PREDOM",E13&lt;TAF!$AF$15),TAF!$BZ$15,IF(AND(TAF!$Z$16="PREDOM",E13&lt;TAF!AE21),TAF!$BZ$16,IF(AND(TAF!$Z$17="PREDOM",E13&lt;TAF!$AF$17),TAF!$BZ$17,IF(AND(TAF!$Z$18="PREDOM",E13&lt;TAF!$AF$18),TAF!$BZ$18)))))))))))))</f>
        <v/>
      </c>
      <c r="AJ13" s="902" t="str">
        <f>IF(AH13="","",IF(AND(TAF!$Z$7="PREDOM",E13&lt;TAF!$AF$7),TAF!$CA$7,IF(AND(TAF!$Z$8="PREDOM",E13&lt;TAF!$AF$8),TAF!$CA$8,IF(AND(TAF!$Z$9="PREDOM",E13&lt;TAF!$AF$9),TAF!$CA$9,IF(AND(TAF!$Z$10="PREDOM",E13&lt;TAF!$AF$10),TAF!$CA$10,IF(AND(TAF!$Z$11="PREDOM",E13&lt;TAF!$AF$11),TAF!$CA$11,IF(AND(TAF!$Z$12="PREDOM",E13&lt;TAF!$AF$12),TAF!$CA$12,IF(AND(TAF!$Z$13="PREDOM",E13&lt;TAF!$AF$13),TAF!$CA$13,IF(AND(TAF!$Z$14="PREDOM",E13&lt;TAF!$AF$14),TAF!$CA$14,IF(AND(TAF!$Z$15="PREDOM",E13&lt;TAF!$AF$15),TAF!$CA$15,IF(AND(TAF!$Z$16="PREDOM",E13&lt;TAF!AE21),TAF!$CA$16,IF(AND(TAF!$Z$17="PREDOM",E13&lt;TAF!$AF$17),TAF!$CA$17,IF(AND(TAF!$Z$18="PREDOM",E13&lt;TAF!$AF$18),TAF!$CA$18)))))))))))))</f>
        <v/>
      </c>
      <c r="AK13" s="95" t="str">
        <f>IF(AND(TAF!Z7="TEMPO",NOT(E13+0.01&lt;TAF!AC7),E13-0.01&lt;TAF!AF7),TAF!CB7,IF(AND(TAF!Z8="TEMPO",NOT(E13+0.01&lt;TAF!AC8),E13-0.01&lt;TAF!AF8),TAF!CB8,IF(AND(TAF!Z9="TEMPO",NOT(E13+0.01&lt;TAF!AC9),E13-0.01&lt;TAF!AF9),TAF!CB9,IF(AND(TAF!Z10="TEMPO",NOT(E13+0.01&lt;TAF!AC10),E13-0.01&lt;TAF!AF10),TAF!CB10,IF(AND(TAF!Z11="TEMPO",NOT(E13+0.01&lt;TAF!AC11),E13-0.01&lt;TAF!AF11),TAF!CB11,IF(AND(TAF!Z12="TEMPO",NOT(E13+0.01&lt;TAF!AC12),E13-0.01&lt;TAF!AF12),TAF!CB12,IF(AND(TAF!Z13="TEMPO",NOT(E13+0.01&lt;TAF!AC13),E13-0.01&lt;TAF!AF13),TAF!CB13,IF(AND(TAF!Z14="TEMPO",NOT(E13+0.01&lt;TAF!AC14),E13-0.01&lt;TAF!AF14),TAF!CB14,IF(AND(TAF!Z15="TEMPO",NOT(E13+0.01&lt;TAF!AC15),E13-0.01&lt;TAF!AF15),TAF!CB15,IF(AND(TAF!Z16="TEMPO",NOT(E13+0.01&lt;TAF!AC16),E13-0.01&lt;TAF!AE16),TAF!CB16,IF(AND(TAF!Z17="TEMPO",NOT(E13+0.01&lt;TAF!AC17),E13-0.01&lt;TAF!AF17),TAF!CB17,IF(AND(TAF!Z18="TEMPO",NOT(E13+0.01&lt;TAF!AC18),E13-0.01&lt;TAF!AF18),TAF!CB18,""))))))))))))</f>
        <v/>
      </c>
      <c r="AL13" s="896" t="str">
        <f>IF(AND(TAF!Z7="PREDOM",E13&lt;TAF!AF7),TAF!BG7,IF(AND(TAF!Z8="PREDOM",E13&lt;TAF!AF8),TAF!BG8,IF(AND(TAF!Z9="PREDOM",E13&lt;TAF!AF9),TAF!BG9,IF(AND(TAF!Z10="PREDOM",E13&lt;TAF!AF10),TAF!BG10,IF(AND(TAF!Z11="PREDOM",E13&lt;TAF!AF11),TAF!BG11,IF(AND(TAF!Z12="PREDOM",E13&lt;TAF!AF12),TAF!BG12,IF(AND(TAF!Z13="PREDOM",E13&lt;TAF!AF13),TAF!BG13,IF(AND(TAF!Z14="PREDOM",E13&lt;TAF!AF14),TAF!BG14,IF(AND(TAF!Z15="PREDOM",E13&lt;TAF!AF15),TAF!BG15,IF(AND(TAF!Z16="PREDOM",E13&lt;TAF!AE16),TAF!BG16,IF(AND(TAF!Z17="PREDOM",E13&lt;TAF!AF17),TAF!BG17,IF(AND(TAF!Z18="PREDOM",E13&lt;TAF!AF18),TAF!BG18))))))))))))</f>
        <v/>
      </c>
      <c r="AM13" s="899" t="str">
        <f>IF(AL13="","",IF(AND(TAF!Z7="PREDOM",E13&lt;TAF!AF7),TAF!BH7,IF(AND(TAF!Z8="PREDOM",E13&lt;TAF!AF8),TAF!BH8,IF(AND(TAF!Z9="PREDOM",E13&lt;TAF!AF9),TAF!BH9,IF(AND(TAF!Z10="PREDOM",E13&lt;TAF!AF10),TAF!BH10,IF(AND(TAF!Z11="PREDOM",E13&lt;TAF!AF11),TAF!BH11,IF(AND(TAF!Z12="PREDOM",E13&lt;TAF!AF12),TAF!BH12,IF(AND(TAF!Z13="PREDOM",E13&lt;TAF!AF13),TAF!BH13,IF(AND(TAF!Z14="PREDOM",E13&lt;TAF!AF14),TAF!BH14,IF(AND(TAF!Z15="PREDOM",E13&lt;TAF!AF15),TAF!BH15,IF(AND(TAF!Z16="PREDOM",E13&lt;TAF!AE16),TAF!BH16,IF(AND(TAF!Z17="PREDOM",E13&lt;TAF!AF17),TAF!BH17,IF(AND(TAF!Z18="PREDOM",E13&lt;TAF!AF18),TAF!BH18)))))))))))))</f>
        <v/>
      </c>
      <c r="AN13" s="902" t="str">
        <f>IF(AL13="","",IF(AND(TAF!Z7="PREDOM",E13&lt;TAF!AF7),TAF!BI7,IF(AND(TAF!Z8="PREDOM",E13&lt;TAF!AF8),TAF!BI8,IF(AND(TAF!Z9="PREDOM",E13&lt;TAF!AF9),TAF!BI9,IF(AND(TAF!Z10="PREDOM",E13&lt;TAF!AF10),TAF!BI10,IF(AND(TAF!Z11="PREDOM",E13&lt;TAF!AF11),TAF!BI11,IF(AND(TAF!Z12="PREDOM",E13&lt;TAF!AF12),TAF!BI12,IF(AND(TAF!Z13="PREDOM",E13&lt;TAF!AF13),TAF!BI13,IF(AND(TAF!Z14="PREDOM",E13&lt;TAF!AF14),TAF!BI14,IF(AND(TAF!Z15="PREDOM",E13&lt;TAF!AF15),TAF!BI15,IF(AND(TAF!Z16="PREDOM",E13&lt;TAF!AE16),TAF!BI16,IF(AND(TAF!Z17="PREDOM",E13&lt;TAF!AF17),TAF!BI17,IF(AND(TAF!Z18="PREDOM",E13&lt;TAF!AF18),TAF!BI18)))))))))))))</f>
        <v/>
      </c>
      <c r="AO13" s="896" t="str">
        <f>IF(AND(TAF!Z7="PREDOM",E13&lt;TAF!AF7),TAF!BJ7,IF(AND(TAF!Z8="PREDOM",E13&lt;TAF!AF8),TAF!BJ8,IF(AND(TAF!Z9="PREDOM",E13&lt;TAF!AF9),TAF!BJ9,IF(AND(TAF!Z10="PREDOM",E13&lt;TAF!AF10),TAF!BJ10,IF(AND(TAF!Z11="PREDOM",E13&lt;TAF!AF11),TAF!BJ11,IF(AND(TAF!Z12="PREDOM",E13&lt;TAF!AF12),TAF!BJ12,IF(AND(TAF!Z13="PREDOM",E13&lt;TAF!AF13),TAF!BJ13,IF(AND(TAF!Z14="PREDOM",E13&lt;TAF!AF14),TAF!BJ14,IF(AND(TAF!Z15="PREDOM",E13&lt;TAF!AF15),TAF!BJ15,IF(AND(TAF!Z16="PREDOM",E13&lt;TAF!AE16),TAF!BJ16,IF(AND(TAF!Z17="PREDOM",E13&lt;TAF!AF17),TAF!BJ17,IF(AND(TAF!Z18="PREDOM",E13&lt;TAF!AF18),TAF!BJ18))))))))))))</f>
        <v/>
      </c>
      <c r="AP13" s="911" t="str">
        <f>IF(AO13="","",IF(AND(TAF!Z7="PREDOM",E13&lt;TAF!AF7),TAF!BK7,IF(AND(TAF!Z8="PREDOM",E13&lt;TAF!AF8),TAF!BK8,IF(AND(TAF!Z9="PREDOM",E13&lt;TAF!AF9),TAF!BK9,IF(AND(TAF!Z10="PREDOM",E13&lt;TAF!AF10),TAF!BK10,IF(AND(TAF!Z11="PREDOM",E13&lt;TAF!AF11),TAF!BK11,IF(AND(TAF!Z12="PREDOM",E13&lt;TAF!AF12),TAF!BK12,IF(AND(TAF!Z13="PREDOM",E13&lt;TAF!AF13),TAF!BK13,IF(AND(TAF!Z14="PREDOM",E13&lt;TAF!AF14),TAF!BK14,IF(AND(TAF!Z15="PREDOM",E13&lt;TAF!AF15),TAF!BK15,IF(AND(TAF!Z16="PREDOM",E13&lt;TAF!AE16),TAF!BK16,IF(AND(TAF!Z17="PREDOM",E13&lt;TAF!AF17),TAF!BK17,IF(AND(TAF!Z18="PREDOM",E13&lt;TAF!AF18),TAF!BK18)))))))))))))</f>
        <v/>
      </c>
      <c r="AQ13" s="907" t="str">
        <f>IF(AO13="","",IF(AND(TAF!Z7="PREDOM",E13&lt;TAF!AF7),TAF!BL7,IF(AND(TAF!Z8="PREDOM",E13&lt;TAF!AF8),TAF!BL8,IF(AND(TAF!Z9="PREDOM",E13&lt;TAF!AF9),TAF!BL9,IF(AND(TAF!Z10="PREDOM",E13&lt;TAF!AF10),TAF!BL10,IF(AND(TAF!Z11="PREDOM",E13&lt;TAF!AF11),TAF!BL11,IF(AND(TAF!Z12="PREDOM",E13&lt;TAF!AF12),TAF!BL12,IF(AND(TAF!Z13="PREDOM",E13&lt;TAF!AF13),TAF!BL13,IF(AND(TAF!Z14="PREDOM",E13&lt;TAF!AF14),TAF!BL14,IF(AND(TAF!Z15="PREDOM",E13&lt;TAF!AF15),TAF!BL15,IF(AND(TAF!Z16="PREDOM",E13&lt;TAF!AE16),TAF!BL16,IF(AND(TAF!Z17="PREDOM",E13&lt;TAF!AF17),TAF!BL17,IF(AND(TAF!Z18="PREDOM",E13&lt;TAF!AF18),TAF!BL18)))))))))))))</f>
        <v/>
      </c>
      <c r="AR13" s="894" t="str">
        <f>IF(AND(TAF!Z7="PREDOM",E13&lt;TAF!AF7),TAF!BM7,IF(AND(TAF!Z8="PREDOM",E13&lt;TAF!AF8),TAF!BM8,IF(AND(TAF!Z9="PREDOM",E13&lt;TAF!AF9),TAF!BM9,IF(AND(TAF!Z10="PREDOM",E13&lt;TAF!AF10),TAF!BM10,IF(AND(TAF!Z11="PREDOM",E13&lt;TAF!AF11),TAF!BM11,IF(AND(TAF!Z12="PREDOM",E13&lt;TAF!AF12),TAF!BM12,IF(AND(TAF!Z13="PREDOM",E13&lt;TAF!AF13),TAF!BM13,IF(AND(TAF!Z14="PREDOM",E13&lt;TAF!AF14),TAF!BM14,IF(AND(TAF!Z15="PREDOM",E13&lt;TAF!AF15),TAF!BM15,IF(AND(TAF!Z16="PREDOM",E13&lt;TAF!AE16),TAF!BM16,IF(AND(TAF!Z17="PREDOM",E13&lt;TAF!AF17),TAF!BM17,IF(AND(TAF!Z18="PREDOM",E13&lt;TAF!AF18),TAF!BM18))))))))))))</f>
        <v/>
      </c>
      <c r="AS13" s="911" t="str">
        <f>IF(AR13="","",IF(AND(TAF!Z7="PREDOM",E13&lt;TAF!AF7),TAF!BN7,IF(AND(TAF!Z8="PREDOM",E13&lt;TAF!AF8),TAF!BN8,IF(AND(TAF!Z9="PREDOM",E13&lt;TAF!AF9),TAF!BN9,IF(AND(TAF!Z10="PREDOM",E13&lt;TAF!AF10),TAF!BN10,IF(AND(TAF!Z11="PREDOM",E13&lt;TAF!AF11),TAF!BN11,IF(AND(TAF!Z12="PREDOM",E13&lt;TAF!AF12),TAF!BN12,IF(AND(TAF!Z13="PREDOM",E13&lt;TAF!AF13),TAF!BN13,IF(AND(TAF!Z14="PREDOM",E13&lt;TAF!AF14),TAF!BN14,IF(AND(TAF!Z15="PREDOM",E13&lt;TAF!AF15),TAF!BN15,IF(AND(TAF!Z16="PREDOM",E13&lt;TAF!AE16),TAF!BN16,IF(AND(TAF!Z17="PREDOM",E13&lt;TAF!AF17),TAF!BN17,IF(AND(TAF!Z18="PREDOM",E13&lt;TAF!AF18),TAF!BN18)))))))))))))</f>
        <v/>
      </c>
      <c r="AT13" s="907" t="str">
        <f>IF(AR13="","",IF(AND(TAF!Z7="PREDOM",E13&lt;TAF!AF7),TAF!BO7,IF(AND(TAF!Z8="PREDOM",E13&lt;TAF!AF8),TAF!BO8,IF(AND(TAF!Z9="PREDOM",E13&lt;TAF!AF9),TAF!BO9,IF(AND(TAF!Z10="PREDOM",E13&lt;TAF!AF10),TAF!BO10,IF(AND(TAF!Z11="PREDOM",E13&lt;TAF!AF11),TAF!BO11,IF(AND(TAF!Z12="PREDOM",E13&lt;TAF!AF12),TAF!BO12,IF(AND(TAF!Z13="PREDOM",E13&lt;TAF!AF13),TAF!BO13,IF(AND(TAF!Z14="PREDOM",E13&lt;TAF!AF14),TAF!BO14,IF(AND(TAF!Z15="PREDOM",E13&lt;TAF!AF15),TAF!BO15,IF(AND(TAF!Z16="PREDOM",E13&lt;TAF!AE16),TAF!BO16,IF(AND(TAF!Z17="PREDOM",E13&lt;TAF!AF17),TAF!BO17,IF(AND(TAF!Z18="PREDOM",E13&lt;TAF!AF18),TAF!BO18)))))))))))))</f>
        <v/>
      </c>
      <c r="AU13" s="95" t="str">
        <f>IF(AND(TAF!Z7="TEMPO",NOT(E13+0.01&lt;TAF!AC7),E13-0.01&lt;TAF!AF7),TAF!BP7,IF(AND(TAF!Z8="TEMPO",NOT(E13+0.01&lt;TAF!AC8),E13-0.01&lt;TAF!AF8),TAF!BP8,IF(AND(TAF!Z9="TEMPO",NOT(E13+0.01&lt;TAF!AC9),E13-0.01&lt;TAF!AF9),TAF!BP9,IF(AND(TAF!Z10="TEMPO",NOT(E13+0.01&lt;TAF!AC10),E13-0.01&lt;TAF!AF10),TAF!BP10,IF(AND(TAF!Z11="TEMPO",NOT(E13+0.01&lt;TAF!AC11),E13-0.01&lt;TAF!AF11),TAF!BP11,IF(AND(TAF!Z12="TEMPO",NOT(E13+0.01&lt;TAF!AC12),E13-0.01&lt;TAF!AF12),TAF!BP12,IF(AND(TAF!Z13="TEMPO",NOT(E13+0.01&lt;TAF!AC13),E13-0.01&lt;TAF!AF13),TAF!BP13,IF(AND(TAF!Z14="TEMPO",NOT(E13+0.01&lt;TAF!AC14),E13-0.01&lt;TAF!AF14),TAF!BP14,IF(AND(TAF!Z15="TEMPO",NOT(E13+0.01&lt;TAF!AC15),E13-0.01&lt;TAF!AF15),TAF!BP15,IF(AND(TAF!Z16="TEMPO",NOT(E13+0.01&lt;TAF!AC16),E13-0.01&lt;TAF!AE16),TAF!BP16,IF(AND(TAF!Z17="TEMPO",NOT(E13+0.01&lt;TAF!AC17),E13-0.01&lt;TAF!AF17),TAF!BP17,IF(AND(TAF!Z18="TEMPO",NOT(E13+0.01&lt;TAF!AC18),E13-0.01&lt;TAF!AF18),TAF!BP18,""))))))))))))</f>
        <v/>
      </c>
      <c r="AV13" s="96" t="str">
        <f>IF(AND(TAF!Z7="PREDOM",E13&lt;TAF!AF7),TAF!CD7,IF(AND(TAF!Z8="PREDOM",E13&lt;TAF!AF8),TAF!CD8,IF(AND(TAF!Z9="PREDOM",E13&lt;TAF!AF9),TAF!CD9,IF(AND(TAF!Z10="PREDOM",E13&lt;TAF!AF10),TAF!CD10,IF(AND(TAF!Z11="PREDOM",E13&lt;TAF!AF11),TAF!CD11,IF(AND(TAF!Z12="PREDOM",E13&lt;TAF!AF12),TAF!CD12,IF(AND(TAF!Z13="PREDOM",E13&lt;TAF!AF13),TAF!CD13,IF(AND(TAF!Z14="PREDOM",E13&lt;TAF!AF14),TAF!CD14,IF(AND(TAF!Z15="PREDOM",E13&lt;TAF!AF15),TAF!CD15,IF(AND(TAF!Z16="PREDOM",E13&lt;TAF!AE16),TAF!CD16,IF(AND(TAF!Z17="PREDOM",E13&lt;TAF!AF17),TAF!CD17,IF(AND(TAF!Z18="PREDOM",E13&lt;TAF!AF18),TAF!CD18))))))))))))</f>
        <v/>
      </c>
      <c r="AW13" s="97" t="str">
        <f>IF(AND(TAF!Z7="TEMPO",NOT(E13+0.01&lt;TAF!AC7),E13-0.01&lt;TAF!AF7),TAF!CD7,IF(AND(TAF!Z8="TEMPO",NOT(E13+0.01&lt;TAF!AC8),E13-0.01&lt;TAF!AF8),TAF!CD8,IF(AND(TAF!Z9="TEMPO",NOT(E13+0.01&lt;TAF!AC9),E13-0.01&lt;TAF!AF9),TAF!CD9,IF(AND(TAF!Z10="TEMPO",NOT(E13+0.01&lt;TAF!AC10),E13-0.01&lt;TAF!AF10),TAF!CD10,IF(AND(TAF!Z11="TEMPO",NOT(E13+0.01&lt;TAF!AC11),E13-0.01&lt;TAF!AF11),TAF!CD11,IF(AND(TAF!Z12="TEMPO",NOT(E13+0.01&lt;TAF!AC12),E13-0.01&lt;TAF!AF12),TAF!CD12,IF(AND(TAF!Z13="TEMPO",NOT(E13+0.01&lt;TAF!AC13),E13-0.01&lt;TAF!AF13),TAF!CD13,IF(AND(TAF!Z14="TEMPO",NOT(E13+0.01&lt;TAF!AC14),E13-0.01&lt;TAF!AF14),TAF!CD14,IF(AND(TAF!Z15="TEMPO",NOT(E13+0.01&lt;TAF!AC15),E13-0.01&lt;TAF!AF15),TAF!CD15,IF(AND(TAF!Z16="TEMPO",NOT(E13+0.01&lt;TAF!AC16),E13-0.01&lt;TAF!AE16),TAF!CD16,IF(AND(TAF!Z17="TEMPO",NOT(E13+0.01&lt;TAF!AC17),E13-0.01&lt;TAF!AF17),TAF!CD17,IF(AND(TAF!Z18="TEMPO",NOT(E13+0.01&lt;TAF!AC18),E13-0.01&lt;TAF!AF18),TAF!CD18,""))))))))))))</f>
        <v/>
      </c>
      <c r="AX13" s="98" t="str">
        <f>IF(OR(AND(H13&lt;&gt;"",H13&gt;(MLT!$E$5-1)),J13&lt;(MLT!$E$8+0.01),L13="TS",O13="TS",R13&lt;(MLT!$E$9),AND(AB13&lt;&gt;"",AB13&gt;(MLT!$E$6-1)),AL13=MLT!$E$7,AL13=MLT!$F$7),"R",IF(OR(AND(H13&lt;&gt;"",H13&gt;(MLT!$H$5-1)),AND(I13&lt;&gt;"",I13&gt;(MLT!$H$5-1)),J13&lt;MLT!$H$8,K13&lt;MLT!$H$8,L13=MLT!$H$10,O13=MLT!$E$10,O13=MLT!$H$10,R13&lt;MLT!$H$9,S13&lt;MLT!$H$9,AND(AB13&lt;&gt;"",AB13&gt;0),AND(AE13&lt;&gt;"",AE13&gt;0),AND(AH13&lt;&gt;"",AH13&gt;0),AND(AK13&lt;&gt;"",AK13&gt;0),AND(AL13&lt;&gt;"",AL13&lt;&gt;4,AL13&gt;2),AND(AO13&lt;&gt;"",AO13&lt;&gt;4,AO13&gt;2),AND(AR13&lt;&gt;"",AR13&lt;&gt;4,AR13&gt;2),AND(AU13&lt;&gt;"",AU13&lt;&gt;4,AU13&gt;2)),"Y","G"))</f>
        <v>G</v>
      </c>
      <c r="AY13" s="99" t="str">
        <f>IF(OR(AND(H13&lt;&gt;"",H13&gt;(MLT!$E$13-1)),J13&lt;MLT!$E$17,R13&lt;MLT!$E$19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$13-1)),AND(I13&lt;&gt;"",I13&gt;(MLT!$H$13-1)),J13&lt;MLT!$H$17,K13&lt;MLT!$H$17,R13&lt;MLT!$H$19,S13&lt;MLT!$H$19,L13="VCTS",O13="VCTS",AND(AB13&lt;&gt;"",AB13&gt;1),AND(AK13&lt;&gt;"",AK13&gt;0),AND(AL13&lt;&gt;"",AL13&gt;1),AND(AO13&lt;&gt;"",AO13&gt;1),AND(AR13&lt;&gt;"",AR13&gt;1),AU13=3,AND(AU13&lt;&gt;"",AU13&gt;4),AV13="LLWS",AW13="LLWS"),"Y","G"))</f>
        <v>G</v>
      </c>
      <c r="AZ13" s="99" t="str">
        <f>IF(OR(AND(H13&lt;&gt;"",H13&gt;(MLT!$E$13-1)),J13&lt;MLT!$E$16,R13&lt;MLT!$E$18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$13-1)),AND(I13&lt;&gt;"",I13&gt;(MLT!$H$13-1)),J13&lt;MLT!$H$17,K13&lt;MLT!$H$17,R13&lt;MLT!$H$19,S13&lt;MLT!$H$19,L13="VCTS",O13="VCTS",AND(AB13&lt;&gt;"",AB13&gt;1),AND(AK13&lt;&gt;"",AK13&gt;0),AND(AL13&lt;&gt;"",AL13&gt;1),AND(AO13&lt;&gt;"",AO13&gt;1),AND(AR13&lt;&gt;"",AR13&gt;1),AU13=3,AND(AU13&lt;&gt;"",AU13&gt;4),AV13="LLWS",AW13="LLWS"),"Y","G"))</f>
        <v>G</v>
      </c>
      <c r="BA13" s="99" t="str">
        <f>IF(OR(IF(MEF!$AP$14="Hoist",OR(G13&gt;19,AND(H13&lt;&gt;"",H13&gt;19)),AND(H13&lt;&gt;"",H13&gt;(MLT!$E$23-1))),AND(B13&gt;MEF!$Z$11,J13&lt;MLT!$E$26),AND(B13&lt;MEF!$E$53,J13&lt;MLT!$E$26),J13&lt;MLT!$E$27,AND(B13&gt;MEF!$Z$11,R13&lt;MLT!$E$28),AND(B13&lt;MEF!$E$53,R13&lt;MLT!$E$28),R13&lt;MLT!$E$29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H$23-1)),AND(I13&lt;&gt;"",I13&gt;(MLT!$H$23-1)),AND(B13&gt;MEF!$Z$11,J13&lt;MLT!$H$26),AND(B13&lt;MEF!$E$53,J13&lt;MLT!$H$26),AND(B13&gt;MEF!$Z$11,K13&lt;MLT!$H$26),AND(B13&lt;MEF!$E$53,K13&lt;MLT!$H$26),J13&lt;MLT!$H$27,K13&lt;MLT!$H$27,AND(B13&gt;MEF!$Z$11,R13&lt;MLT!$H$28),AND(B13&lt;MEF!$E$53,R13&lt;MLT!$H$28),AND(B13&gt;MEF!$Z$11,S13&lt;MLT!$H$28),AND(B13&lt;MEF!$E$53,S13&lt;MLT!$H$28),R13&lt;MLT!$H$29,S13&lt;MLT!$H$29,L13="VCTS",O13="VCTS",U13&gt;90,U13&lt;-29,AB13&lt;&gt;"",AK13&lt;&gt;"",AND(AL13&lt;&gt;"",AL13&gt;1),AND(AO13&lt;&gt;"",AO13&gt;1),AND(AR13&lt;&gt;"",AR13&gt;1),AU13=3,AND(AU13&lt;&gt;"",AU13&gt;4),AV13="LLWS",AW13="LLWS"),"Y","G"))</f>
        <v>Y</v>
      </c>
      <c r="BB13" s="99" t="str">
        <f>IF(OR(AND(H13&lt;&gt;"",H13&gt;(MLT!$E$23-1)),AND(B13&gt;MEF!$Z$11,J13&lt;MLT!$F$26),AND(B13&lt;MEF!$E$53,J13&lt;MLT!$F$26),J13&lt;MLT!$F$27,AND(B13&gt;MEF!$Z$11,R13&lt;MLT!$F$28),AND(B13&lt;MEF!$E$53,R13&lt;MLT!$F$28),R13&lt;MLT!$F$29,L13="TS",O13="TS",AND(AB13&lt;&gt;"",AB13&gt;3,AC13&lt;30),AND(AE13&lt;&gt;"",AE13&gt;3,AF13&lt;30),AND(AH13&lt;&gt;"",AH13&gt;3,AI13&lt;30),AND(OR(AL13=7,AL13=9),AM13&lt;30),AND(OR(AO13=7,AO13=9),AP13&lt;30),AND(OR(AR13=7,AR13=9),AS13&lt;30)),"R",IF(OR(AND(H13&lt;&gt;"",H13&gt;(MLT!$I$23-1)),AND(I13&lt;&gt;"",I13&gt;(MLT!$I$23-1)),AND(B13&gt;MEF!$Z$11,J13&lt;MLT!$I$26),AND(B13&lt;MEF!$E$53,J13&lt;MLT!$I$26),AND(B13&gt;MEF!$Z$11,K13&lt;MLT!$I$26),AND(B13&lt;MEF!$E$53,K13&lt;MLT!$I$26),J13&lt;MLT!$I$27,K13&lt;MLT!$I$27,AND(B13&gt;MEF!$Z$11,R13&lt;MLT!$I$28),AND(B13&lt;MEF!$E$53,R13&lt;MLT!$I$28),AND(B13&gt;MEF!$Z$11,S13&lt;MLT!$I$28),AND(B13&lt;MEF!$E$53,S13&lt;MLT!$I$28),R13&lt;MLT!$I$29,S13&lt;MLT!$I$29,L13="VCTS",O13="VCTS",U13&gt;94,U13&lt;-29,AB13&lt;&gt;"",AK13&lt;&gt;"",AND(AL13&lt;&gt;"",AL13&gt;1),AND(AO13&lt;&gt;"",AO13&gt;1),AND(AR13&lt;&gt;"",AR13&gt;1),AU13=3,AND(AU13&lt;&gt;"",AU13&gt;4),AV13="LLWS",AW13="LLWS",CE13&lt;30,AND(CJ13&lt;25,CJ13&lt;&gt;0)),"Y","G"))</f>
        <v>Y</v>
      </c>
      <c r="BC13" s="99" t="str">
        <f>IF(OR(G13&gt;(MLT!F$35-1),AND(H13&lt;&gt;"",H13&gt;(MLT!E$35-1)),J13&lt;MLT!E$38,R13&lt;MLT!E$39,L13="TS",O13="TS",N13="Y",T13&gt;50.49,T13&lt;-20.5,W13&gt;0.9449,AA13&gt;8999,AND(AB13&lt;&gt;"",AB13&gt;0),AND(AL13&lt;&gt;"",AL13&gt;1)),"R",IF(OR(G13&gt;(MLT!I$35-1),AND(H13&lt;&gt;"",H13&gt;(MLT!H$35-1)),AND(I13&lt;&gt;"",I13&gt;(MLT!H$35-1)),J13&lt;MLT!H$38,K13&lt;MLT!H$38,M13&lt;&gt;"",P13&lt;&gt;"",R13&lt;MLT!H$39,S13&lt;MLT!H$39,L13="VCTS",O13="VCTS",T13&gt;45.49,T13&lt;-14,W13&gt;0.8449,AA13&gt;6999,AND(AB13&lt;&gt;"",AB13&gt;0),AND(AK13&lt;&gt;"",AK13&gt;0),AND(AL13&lt;&gt;"",AL13&gt;0),AND(AU13&lt;&gt;"",AU13&gt;0),AV13="LLWS",AW13="LLWS"),"Y","G"))</f>
        <v>G</v>
      </c>
      <c r="BD13" s="98" t="str">
        <f>IF(OR(AND(NOT(H13=""),H13&gt;(MLT!E48-1)),AND(NOT(I13=""),I13&gt;(MLT!E48-1)),J13&lt;0.26,NOT(L13=""),U13&lt;14.5,AND(X5="Wind Chill",X13&lt;-0.5),AND(X5="WBGT",X13&gt;89.49)),"R",IF(OR(AND(NOT(H13=""),H13&gt;(MLT!H48-1)),AND(NOT(I13=""),I13&gt;(MLT!H48-1)),J13&lt;1,NOT(M13=""),NOT(P13=""),NOT(O13=""),U13&lt;31.5,AND(X5="Wind Chill",X13&lt;14.5),AND(X5="WBGT",X13&gt;77.49)),"Y","G"))</f>
        <v>R</v>
      </c>
      <c r="BE13" s="99" t="str">
        <f>IF(OR(AND(H13&lt;&gt;"",H13&gt;(MLT!$E$56)),J13&lt;MLT!$E$59,R13&lt;MLT!$E$60,L13="TS",O13="TS",AND(AB13&lt;&gt;"",AC13&lt;30),AND(AE13&lt;&gt;"",AF13&lt;30),AND(AH13&lt;&gt;"",AI13&lt;30),AND(AL13&lt;&gt;"",AL13&gt;0,AM13&lt;30),AND(AO13&lt;&gt;"",AO13&gt;0,AP13&lt;30),AND(AR13&lt;&gt;"",AR13&gt;0,AS13&lt;30)),"R",IF(OR(AND(H13&lt;&gt;"",H13&gt;MLT!$H$56),AND(I13&lt;&gt;"",I13&gt;MLT!$H$56),J13&lt;MLT!$H$59,K13&lt;MLT!$H$59,R13&lt;MLT!$H$60,S13&lt;MLT!$H$60,L13="VCTS",O13="VCTS",AB13&lt;&gt;"",AK13&lt;&gt;"",AL13&lt;&gt;"",AU13&lt;&gt;"",AV13="LLWS",AW13="LLWS"),"Y","G"))</f>
        <v>G</v>
      </c>
      <c r="BF13" s="99" t="str">
        <f>IF(OR(AND(H13&lt;&gt;"",H13&gt;(MLT!$E$64)),L13="TS",O13="TS",AND(AB13&lt;&gt;"",AB13&gt;3,AC13&lt;30),AND(AE13&lt;&gt;"",AE13&gt;3,AF13&lt;30),AND(AH13&lt;&gt;"",AH13&gt;3,AI13&lt;30),AND(AL13=7,AM13&lt;30),AND(AL13=9,AM13&lt;30),AND(AO13=7,AP13&lt;30),AND(AO13=9,AP13&lt;30),AND(AR13=7,AS13&lt;30),AND(AR13=9,AS13&lt;30)),"R",IF(OR(AND(H13&lt;&gt;"",H13&gt;MLT!$H$64),AND(I13&lt;&gt;"",I13&gt;MLT!$H$64),J13&lt;MLT!$H$67,K13&lt;MLT!$H$67,R13&lt;MLT!$H$68,S13&lt;MLT!$H$68,L13="VCTS",O13="VCTS",calc!U13&gt;90,U13&lt;-29,AB13&lt;&gt;"",AK13&lt;&gt;"",AND(AL13&lt;&gt;"",AL13&gt;1),AND(AO13&lt;&gt;"",AO13&gt;1),AND(AR13&lt;&gt;"",AR13&gt;1),AND(AU13&lt;&gt;"",AU13&gt;1),AV13="LLWS",AW13="LLWS"),"Y","G"))</f>
        <v>Y</v>
      </c>
      <c r="BG13" s="98" t="str">
        <f>IF(OR(AND(H13&lt;&gt;"",H13&gt;(MLT!$E$73)),L13="TS",O13="TS",AND(AB13&lt;&gt;"",AC13&lt;30),AND(AE13&lt;&gt;"",AF13&lt;30),AND(AH13&lt;&gt;"",AI13&lt;30),AND(AL13=3,AM13&lt;30),AND(AL13&lt;&gt;"",AL13&gt;4,AM13&lt;30),AND(AO13=3,AP13&lt;30),AND(AO13&lt;&gt;"",AO13&gt;4,AP13&lt;30),AND(AR13=3,AS13&lt;30),AND(AR13&lt;&gt;"",AR13&gt;4,AS13&lt;30)),"R",IF(OR(AND(H13&lt;&gt;"",H13&gt;MLT!$H$73),AND(I13&lt;&gt;"",I13&gt;MLT!$H$73),J13&lt;MLT!$H$76,K13&lt;MLT!$H$76,R13&lt;MLT!$H$77,S13&lt;MLT!$H$77,L13="VCTS",O13="VCTS",AB13&lt;&gt;"",AK13&lt;&gt;"",AL13&lt;&gt;"",AU13&lt;&gt;"",AV13="LLWS",AW13="LLWS"),"Y","G"))</f>
        <v>G</v>
      </c>
      <c r="BH13" s="98" t="str">
        <f>IF(OR(IF(H13="",G13,H13)&gt;MLT!$E$81,IF(H13="",G13,H13)-G13&gt;19,IF(F13="VRB",FALSE(),(IF(AND(F13&gt;89,F13&lt;271),SIN(RADIANS(MAX(180,F13)-MIN(180,F13))),SIN(RADIANS(IF(F13&gt;269,360-F13,F13)))))*(IF(H13="",G13,H13))&gt;MLT!$E$82),J13&lt;MLT!$E$86,L13="TS",L13="VCTS",O13="TS",R13&lt;MLT!$E$87,U13&gt;MLT!$E$88,AND(AB13&lt;&gt;"",AB13&gt;3,AC13&lt;100),AND(AE13&lt;&gt;"",AE13&gt;3,AF13&lt;100),AND(AH13&lt;&gt;"",AH13&gt;3,AI13&lt;100),AND(AL13=7,AM13&lt;100),AND(AL13=9,AM13&lt;100),AND(AO13=7,AP13&lt;100),AND(AO13=9,AP13&lt;100),AND(AR13=7,AS13&lt;100),AND(AR13=9,AS13&lt;100),AV13="LLWS"),"R",IF(OR(AND(H13&lt;&gt;"",H13&gt;14),IF(F13="VRB",FALSE(),(IF(AND(F13&gt;89,F13&lt;271),SIN(RADIANS(MAX(180,F13)-MIN(180,F13))),SIN(RADIANS(IF(F13&gt;269,360-F13,F13)))))*(IF(H13="",G13,H13))&gt;MLT!$H$82),AND(I13&lt;&gt;"",I13&gt;14),J13&lt;MLT!$H$86,K13&lt;MLT!$H$86,R13&lt;MLT!$H$87,S13&lt;MLT!$H$87,O13="VCTS",calc!U13&gt;90,AB13&lt;&gt;"",AK13&lt;&gt;"",AND(AL13&lt;&gt;"",AL13&gt;1),AND(AO13&lt;&gt;"",AO13&gt;1),AND(AR13&lt;&gt;"",AR13&gt;1),AND(AU13&lt;&gt;"",AU13&gt;1),AW13="LLWS"),"Y","G"))</f>
        <v>Y</v>
      </c>
      <c r="BI13" s="98" t="str">
        <f>IF(OR(IF(H13="",G13,H13)&gt;MLT!$E$92,J13&lt;MLT!$E$95,L13="TS",L13="VCTS",O13="TS",R13&lt;MLT!$E$96,AND(AB13&lt;&gt;"",AB13&gt;3,AC13&lt;100),AND(AE13&lt;&gt;"",AE13&gt;3,AF13&lt;100),AND(AH13&lt;&gt;"",AH13&gt;3,AI13&lt;100),AND(AL13=7,AM13&lt;100),AND(AL13=9,AM13&lt;100),AND(AO13=7,AP13&lt;100),AND(AO13=9,AP13&lt;100),AND(AR13=7,AS13&lt;100),AND(AR13=9,AS13&lt;100)),"R",IF(OR(AND(H13&lt;&gt;"",H13&gt;14),AND(I13&lt;&gt;"",I13&gt;14),J13&lt;MLT!$H$95,K13&lt;MLT!$H$95,R13&lt;MLT!$H$96,S13&lt;MLT!$H$96,O13="VCTS",AB13&lt;&gt;"",AK13&lt;&gt;"",AND(AL13&lt;&gt;"",AL13&gt;1),AND(AO13&lt;&gt;"",AO13&gt;1),AND(AR13&lt;&gt;"",AR13&gt;1),AND(AU13&lt;&gt;"",AU13&gt;1),AV13="LLWS",AW13="LLWS"),"Y","G"))</f>
        <v>G</v>
      </c>
      <c r="BK13" s="41">
        <f t="shared" si="4"/>
        <v>27.364733230958549</v>
      </c>
      <c r="BL13" s="41">
        <f t="shared" si="5"/>
        <v>27.364733230958549</v>
      </c>
      <c r="BM13" s="41">
        <f>IF(R13&gt;200,T13+(LOOKUP(Worksheet!BD6,BV8:BV10,BW8:BW10)*(CA13/BZ13)),IF(AND(R13&lt;210,R13&gt;29),T13+(0.5*LOOKUP(Worksheet!BD6,BV8:BV10,BW8:BW10)*(CA13/BZ13)),T13+0.25*(LOOKUP(Worksheet!BD6,BV8:BV10,BW8:BW10)*(CA13/BZ13))))</f>
        <v>39.113425315843443</v>
      </c>
      <c r="BN13" s="41">
        <f t="shared" si="6"/>
        <v>38.085068986882582</v>
      </c>
      <c r="BO13" s="42">
        <f t="shared" si="7"/>
        <v>23.333333333333336</v>
      </c>
      <c r="BP13" s="43">
        <f t="shared" si="8"/>
        <v>98.654623464625388</v>
      </c>
      <c r="BQ13" s="44">
        <f t="shared" si="9"/>
        <v>2.870131853774168</v>
      </c>
      <c r="BR13" s="42">
        <f t="shared" si="17"/>
        <v>53.79087473828482</v>
      </c>
      <c r="BS13" s="42">
        <f t="shared" si="10"/>
        <v>51.173240446384447</v>
      </c>
      <c r="BT13" s="42">
        <f t="shared" si="11"/>
        <v>51.173240446384447</v>
      </c>
      <c r="BU13" s="42"/>
      <c r="BV13" s="1610"/>
      <c r="BW13" s="835"/>
      <c r="BX13" s="106">
        <f>DEGREES(ASIN(BY13*COS(RADIANS(LOOKUP(Worksheet!Q6,'Light Data '!A3:A377,'Light Data '!J3:J377)))*COS(RADIANS(Worksheet!R2))+SIN(RADIANS(LOOKUP(Worksheet!Q6,'Light Data '!A3:A377,'Light Data '!J3:J377)))*SIN(RADIANS(Worksheet!R2))))</f>
        <v>74.510085808924416</v>
      </c>
      <c r="BY13" s="515">
        <f>COS(RADIANS(15*((MAX(CF5,(HOUR(C13)/24))-MIN(CF5,(HOUR(C13)/24)))*24)))</f>
        <v>0.9987413374448062</v>
      </c>
      <c r="BZ13" s="516">
        <f>IF(BX13&lt;0,0.1,((128*10^3)*(1+0.033412*COS(2*PI()*(((CH4-CH3)-3)/365)))))</f>
        <v>123724.68965631575</v>
      </c>
      <c r="CA13" s="516">
        <f>IF(BX13&lt;0,0,((128*10^3)*(1+0.033412*COS(2*PI()*(((CH4-CH3)-3)/365))))*POWER(EXP(1),0-(CB13*(1/(SIN(RADIANS(BX13+(244/(165+47*(POWER(BX13,1.1)))))))))))</f>
        <v>92533.140114029564</v>
      </c>
      <c r="CB13" s="389">
        <f t="shared" si="12"/>
        <v>0.28000000000000003</v>
      </c>
      <c r="CC13" s="112">
        <f t="shared" si="18"/>
        <v>5.8741784218851603</v>
      </c>
      <c r="CD13" s="112" t="str">
        <f t="shared" si="19"/>
        <v>(6)</v>
      </c>
      <c r="CE13" s="112">
        <f t="shared" si="20"/>
        <v>99</v>
      </c>
      <c r="CF13" s="66" t="str">
        <f t="shared" si="21"/>
        <v>U1</v>
      </c>
      <c r="CI13" s="834">
        <f>INDEX('Light Data '!$H$3:$H$381,MATCH(ROUNDDOWN(C13,0),'Light Data '!$A$3:$A$381,0))-(((INDEX('Light Data '!$H$3:$H$381,MATCH(ROUNDDOWN(C13,0),'Light Data '!$A$3:$A$381,0))-(INDEX('Light Data '!$H$3:$H$381,MATCH(ROUNDDOWN(C13,0)+1,'Light Data '!$A$3:$A$381,0))))/24)*HOUR(C13))</f>
        <v>46.833333333333336</v>
      </c>
      <c r="CJ13" s="834" t="str">
        <f t="shared" si="22"/>
        <v>NA</v>
      </c>
    </row>
    <row r="14" spans="1:97" ht="15" customHeight="1" thickTop="1" thickBot="1">
      <c r="A14" s="527">
        <f t="shared" si="23"/>
        <v>15</v>
      </c>
      <c r="B14" s="525">
        <f t="shared" si="1"/>
        <v>1500</v>
      </c>
      <c r="C14" s="3639">
        <f>Worksheet!AD74</f>
        <v>44748.624999999993</v>
      </c>
      <c r="D14" s="3639"/>
      <c r="E14" s="524">
        <f>Worksheet!AF74</f>
        <v>44748.791666666664</v>
      </c>
      <c r="F14" s="77" t="str">
        <f>IF(AND(TAF!Z7="PREDOM",E14&lt;TAF!AF7),TAF!AH7,IF(AND(TAF!Z8="PREDOM",E14&lt;TAF!AF8),TAF!AH8,IF(AND(TAF!Z9="PREDOM",E14&lt;TAF!AF9),TAF!AH9,IF(AND(TAF!Z10="PREDOM",E14&lt;TAF!AF10),TAF!AH10,IF(AND(TAF!Z11="PREDOM",E14&lt;TAF!AF11),TAF!AH11,IF(AND(TAF!Z12="PREDOM",E14&lt;TAF!AF12),TAF!AH12,IF(AND(TAF!Z13="PREDOM",E14&lt;TAF!AF13),TAF!AH13,IF(AND(TAF!Z14="PREDOM",E14&lt;TAF!AF14),TAF!AH14,IF(AND(TAF!Z15="PREDOM",E14&lt;TAF!AF15),TAF!AH15,IF(AND(TAF!Z16="PREDOM",E14&lt;TAF!AE16),TAF!AH16,IF(AND(TAF!Z17="PREDOM",E14&lt;TAF!AF17),TAF!AH17,IF(AND(TAF!Z18="PREDOM",E14&lt;TAF!AF18),TAF!AH18))))))))))))</f>
        <v>240</v>
      </c>
      <c r="G14" s="78">
        <f>IF(AND(TAF!Z7="PREDOM",E14&lt;TAF!AF7),TAF!AI7,IF(AND(TAF!Z8="PREDOM",E14&lt;TAF!AF8),TAF!AI8,IF(AND(TAF!Z9="PREDOM",E14&lt;TAF!AF9),TAF!AI9,IF(AND(TAF!Z10="PREDOM",E14&lt;TAF!AF10),TAF!AI10,IF(AND(TAF!Z11="PREDOM",E14&lt;TAF!AF11),TAF!AI11,IF(AND(TAF!Z12="PREDOM",E14&lt;TAF!AF12),TAF!AI12,IF(AND(TAF!Z13="PREDOM",E14&lt;TAF!AF13),TAF!AI13,IF(AND(TAF!Z14="PREDOM",E14&lt;TAF!AF14),TAF!AI14,IF(AND(TAF!Z15="PREDOM",E14&lt;TAF!AF15),TAF!AI15,IF(AND(TAF!Z16="PREDOM",E14&lt;TAF!AE16),TAF!AI16,IF(AND(TAF!Z17="PREDOM",E14&lt;TAF!AF17),TAF!AI17,IF(AND(TAF!Z18="PREDOM",E14&lt;TAF!AF18),TAF!AI18))))))))))))</f>
        <v>10</v>
      </c>
      <c r="H14" s="79" t="str">
        <f>IF(AND(TAF!Z7="PREDOM",E14&lt;TAF!AF7),TAF!AJ7,IF(AND(TAF!Z8="PREDOM",E14&lt;TAF!AF8),TAF!AJ8,IF(AND(TAF!Z9="PREDOM",E14&lt;TAF!AF9),TAF!AJ9,IF(AND(TAF!Z10="PREDOM",E14&lt;TAF!AF10),TAF!AJ10,IF(AND(TAF!Z11="PREDOM",E14&lt;TAF!AF11),TAF!AJ11,IF(AND(TAF!Z12="PREDOM",E14&lt;TAF!AF12),TAF!AJ12,IF(AND(TAF!Z13="PREDOM",E14&lt;TAF!AF13),TAF!AJ13,IF(AND(TAF!Z14="PREDOM",E14&lt;TAF!AF14),TAF!AJ14,IF(AND(TAF!Z15="PREDOM",E14&lt;TAF!AF15),TAF!AJ15,IF(AND(TAF!Z16="PREDOM",E14&lt;TAF!AE16),TAF!AJ16,IF(AND(TAF!Z17="PREDOM",E14&lt;TAF!AF17),TAF!AJ17,IF(AND(TAF!Z18="PREDOM",E14&lt;TAF!AF18),TAF!AJ18))))))))))))</f>
        <v/>
      </c>
      <c r="I14" s="80" t="str">
        <f>IF(AND(TAF!Z7="TEMPO",NOT(E14+0.01&lt;TAF!AC7),E14&lt;TAF!AF7),TAF!AJ7,IF(AND(TAF!Z8="TEMPO",NOT(E14+0.01&lt;TAF!AC8),E14&lt;TAF!AF8),TAF!AJ8,IF(AND(TAF!Z9="TEMPO",NOT(E14+0.01&lt;TAF!AC9),E14&lt;TAF!AF9),TAF!AJ9,IF(AND(TAF!Z10="TEMPO",NOT(E14+0.01&lt;TAF!AC10),E14&lt;TAF!AF10),TAF!AJ10,IF(AND(TAF!Z11="TEMPO",NOT(E14+0.01&lt;TAF!AC11),E14&lt;TAF!AF11),TAF!AJ11,IF(AND(TAF!Z12="TEMPO",NOT(E14+0.01&lt;TAF!AC12),E14&lt;TAF!AF12),TAF!AJ12,IF(AND(TAF!Z13="TEMPO",NOT(E14+0.01&lt;TAF!AC13),E14&lt;TAF!AF13),TAF!AJ13,IF(AND(TAF!Z14="TEMPO",NOT(E14+0.01&lt;TAF!AC14),E14&lt;TAF!AF14),TAF!AJ14,IF(AND(TAF!Z15="TEMPO",NOT(E14+0.01&lt;TAF!AC15),E14&lt;TAF!AF15),TAF!AJ15,IF(AND(TAF!Z16="TEMPO",NOT(E14+0.01&lt;TAF!AC16),E14&lt;TAF!AE16),TAF!AJ16,IF(AND(TAF!Z17="TEMPO",NOT(E14+0.01&lt;TAF!AC17),E14&lt;TAF!AF17),TAF!AJ17,IF(AND(TAF!Z18="TEMPO",NOT(E14+0.01&lt;TAF!AC18),E14&lt;TAF!AF18),TAF!AJ18,""))))))))))))</f>
        <v/>
      </c>
      <c r="J14" s="81">
        <f>IF(AND(TAF!Z7="PREDOM",E14&lt;TAF!AF7),TAF!AN7,IF(AND(TAF!Z8="PREDOM",E14&lt;TAF!AF8),TAF!AN8,IF(AND(TAF!Z9="PREDOM",E14&lt;TAF!AF9),TAF!AN9,IF(AND(TAF!Z10="PREDOM",E14&lt;TAF!AF10),TAF!AN10,IF(AND(TAF!Z11="PREDOM",E14&lt;TAF!AF11),TAF!AN11,IF(AND(TAF!Z12="PREDOM",E14&lt;TAF!AF12),TAF!AN12,IF(AND(TAF!Z13="PREDOM",E14&lt;TAF!AF13),TAF!AN13,IF(AND(TAF!Z14="PREDOM",E14&lt;TAF!AF14),TAF!AN14,IF(AND(TAF!Z15="PREDOM",E14&lt;TAF!AF15),TAF!AN15,IF(AND(TAF!Z16="PREDOM",E14&lt;TAF!AE16),TAF!AN16,IF(AND(TAF!Z17="PREDOM",E14&lt;TAF!AF17),TAF!AN17,IF(AND(TAF!Z18="PREDOM",E14&lt;TAF!AF18),TAF!AN18))))))))))))</f>
        <v>7</v>
      </c>
      <c r="K14" s="82" t="str">
        <f>IF(AND(TAF!Z7="TEMPO",NOT(E14+0.01&lt;TAF!AC7),E14-0.01&lt;TAF!AF7),TAF!AN7,IF(AND(TAF!Z8="TEMPO",NOT(E14+0.01&lt;TAF!AC8),E14-0.01&lt;TAF!AF8),TAF!AN8,IF(AND(TAF!Z9="TEMPO",NOT(E14+0.01&lt;TAF!AC9),E14-0.01&lt;TAF!AF9),TAF!AN9,IF(AND(TAF!Z10="TEMPO",NOT(E14+0.01&lt;TAF!AC10),E14-0.01&lt;TAF!AF10),TAF!AN10,IF(AND(TAF!Z11="TEMPO",NOT(E14+0.01&lt;TAF!AC11),E14-0.01&lt;TAF!AF11),TAF!AN11,IF(AND(TAF!Z12="TEMPO",NOT(E14+0.01&lt;TAF!AC12),E14-0.01&lt;TAF!AF12),TAF!AN12,IF(AND(TAF!Z13="TEMPO",NOT(E14+0.01&lt;TAF!AC13),E14-0.01&lt;TAF!AF13),TAF!AN13,IF(AND(TAF!Z14="TEMPO",NOT(E14+0.01&lt;TAF!AC14),E14-0.01&lt;TAF!AF14),TAF!AN14,IF(AND(TAF!Z15="TEMPO",NOT(E14+0.01&lt;TAF!AC15),E14-0.01&lt;TAF!AF15),TAF!AN15,IF(AND(TAF!Z16="TEMPO",NOT(E14+0.01&lt;TAF!AC16),E14-0.01&lt;TAF!AE16),TAF!AN16,IF(AND(TAF!Z17="TEMPO",NOT(E14+0.01&lt;TAF!AC17),E14-0.01&lt;TAF!AF17),TAF!AN17,IF(AND(TAF!Z18="TEMPO",NOT(E14+0.01&lt;TAF!AC18),E14-0.01&lt;TAF!AF18),TAF!AN18,""))))))))))))</f>
        <v/>
      </c>
      <c r="L14" s="83" t="str">
        <f t="shared" si="13"/>
        <v/>
      </c>
      <c r="M14" s="84" t="str">
        <f>IF(AND(TAF!Z7="PREDOM",E14&lt;TAF!AF7),TAF!AP7,IF(AND(TAF!Z8="PREDOM",E14&lt;TAF!AF8),TAF!AP8,IF(AND(TAF!Z9="PREDOM",E14&lt;TAF!AF9),TAF!AP9,IF(AND(TAF!Z10="PREDOM",E14&lt;TAF!AF10),TAF!AP10,IF(AND(TAF!Z11="PREDOM",E14&lt;TAF!AF11),TAF!AP11,IF(AND(TAF!Z12="PREDOM",E14&lt;TAF!AF12),TAF!AP12,IF(AND(TAF!Z13="PREDOM",E14&lt;TAF!AF13),TAF!AP13,IF(AND(TAF!Z14="PREDOM",E14&lt;TAF!AF14),TAF!AP14,IF(AND(TAF!Z15="PREDOM",E14&lt;TAF!AF15),TAF!AP15,IF(AND(TAF!Z16="PREDOM",E14&lt;TAF!AE16),TAF!AP16,IF(AND(TAF!Z17="PREDOM",E14&lt;TAF!AF17),TAF!AP17,IF(AND(TAF!Z18="PREDOM",E14&lt;TAF!AF18),TAF!AP18))))))))))))</f>
        <v/>
      </c>
      <c r="N14" s="85" t="str">
        <f t="shared" si="14"/>
        <v>N</v>
      </c>
      <c r="O14" s="85" t="str">
        <f t="shared" si="15"/>
        <v/>
      </c>
      <c r="P14" s="84" t="str">
        <f>IF(AND(TAF!Z7="TEMPO",NOT(E14+0.01&lt;TAF!AC7),E14-0.01&lt;TAF!AF7),TAF!AP7,IF(AND(TAF!Z8="TEMPO",NOT(E14+0.01&lt;TAF!AC8),E14-0.01&lt;TAF!AF8),TAF!AP8,IF(AND(TAF!Z9="TEMPO",NOT(E14+0.01&lt;TAF!AC9),E14-0.01&lt;TAF!AF9),TAF!AP9,IF(AND(TAF!Z10="TEMPO",NOT(E14+0.01&lt;TAF!AC10),E14-0.01&lt;TAF!AF10),TAF!AP10,IF(AND(TAF!Z11="TEMPO",NOT(E14+0.01&lt;TAF!AC11),E14-0.01&lt;TAF!AF11),TAF!AP11,IF(AND(TAF!Z12="TEMPO",NOT(E14+0.01&lt;TAF!AC12),E14-0.01&lt;TAF!AF12),TAF!AP12,IF(AND(TAF!Z13="TEMPO",NOT(E14+0.01&lt;TAF!AC13),E14-0.01&lt;TAF!AF13),TAF!AP13,IF(AND(TAF!Z14="TEMPO",NOT(E14+0.01&lt;TAF!AC14),E14-0.01&lt;TAF!AF14),TAF!AP14,IF(AND(TAF!Z15="TEMPO",NOT(E14+0.01&lt;TAF!AC15),E14-0.01&lt;TAF!AF15),TAF!AP15,IF(AND(TAF!Z16="TEMPO",NOT(E14+0.01&lt;TAF!AC16),E14-0.01&lt;TAF!AE16),TAF!AP16,IF(AND(TAF!Z17="TEMPO",NOT(E14+0.01&lt;TAF!AC17),E14-0.01&lt;TAF!AF17),TAF!AP17,IF(AND(TAF!Z18="TEMPO",NOT(E14+0.01&lt;TAF!AC18),E14-0.01&lt;TAF!AF18),TAF!AP18,""))))))))))))</f>
        <v/>
      </c>
      <c r="Q14" s="889" t="str">
        <f t="shared" si="2"/>
        <v>N</v>
      </c>
      <c r="R14" s="86">
        <f>IF(AND(TAF!Z7="PREDOM",E14&lt;TAF!AF7),TAF!AW7,IF(AND(TAF!Z8="PREDOM",E14&lt;TAF!AF8),TAF!AW8,IF(AND(TAF!Z9="PREDOM",E14&lt;TAF!AF9),TAF!AW9,IF(AND(TAF!Z10="PREDOM",E14&lt;TAF!AF10),TAF!AW10,IF(AND(TAF!Z11="PREDOM",E14&lt;TAF!AF11),TAF!AW11,IF(AND(TAF!Z12="PREDOM",E14&lt;TAF!AF12),TAF!AW12,IF(AND(TAF!Z13="PREDOM",E14&lt;TAF!AF13),TAF!AW13,IF(AND(TAF!Z14="PREDOM",E14&lt;TAF!AF14),TAF!AW14,IF(AND(TAF!Z15="PREDOM",E14&lt;TAF!AF15),TAF!AW15,IF(AND(TAF!Z16="PREDOM",E14&lt;TAF!AE16),TAF!AW16,IF(AND(TAF!Z17="PREDOM",E14&lt;TAF!AF17),TAF!AW17,IF(AND(TAF!Z18="PREDOM",E14&lt;TAF!AF18),TAF!AW18))))))))))))</f>
        <v>250</v>
      </c>
      <c r="S14" s="87" t="str">
        <f>IF(AND(TAF!Z7="TEMPO",NOT(E14+0.01&lt;TAF!AC7),E14-0.01&lt;TAF!AF7),TAF!AW7,IF(AND(TAF!Z8="TEMPO",NOT(E14+0.01&lt;TAF!AC8),E14-0.01&lt;TAF!AF8),TAF!AW8,IF(AND(TAF!Z9="TEMPO",NOT(E14+0.01&lt;TAF!AC9),E14-0.01&lt;TAF!AF9),TAF!AW9,IF(AND(TAF!Z10="TEMPO",NOT(E14+0.01&lt;TAF!AC10),E14-0.01&lt;TAF!AF10),TAF!AW10,IF(AND(TAF!Z11="TEMPO",NOT(E14+0.01&lt;TAF!AC11),E14-0.01&lt;TAF!AF11),TAF!AW11,IF(AND(TAF!Z12="TEMPO",NOT(E14+0.01&lt;TAF!AC12),E14-0.01&lt;TAF!AF12),TAF!AW12,IF(AND(TAF!Z13="TEMPO",NOT(E14+0.01&lt;TAF!AC13),E14-0.01&lt;TAF!AF13),TAF!AW13,IF(AND(TAF!Z14="TEMPO",NOT(E14+0.01&lt;TAF!AC14),E14-0.01&lt;TAF!AF14),TAF!AW14,IF(AND(TAF!Z15="TEMPO",NOT(E14+0.01&lt;TAF!AC15),E14-0.01&lt;TAF!AF15),TAF!AW15,IF(AND(TAF!Z16="TEMPO",NOT(E14+0.01&lt;TAF!AC16),E14-0.01&lt;TAF!AE16),TAF!AW16,IF(AND(TAF!Z17="TEMPO",NOT(E14+0.01&lt;TAF!AC17),E14-0.01&lt;TAF!AF17),TAF!AW17,IF(AND(TAF!Z18="TEMPO",NOT(E14+0.01&lt;TAF!AC18),E14-0.01&lt;TAF!AF18),TAF!AW18,""))))))))))))</f>
        <v/>
      </c>
      <c r="T14" s="88">
        <f t="shared" si="3"/>
        <v>36.111111111111114</v>
      </c>
      <c r="U14" s="89">
        <f>Worksheet!AP74</f>
        <v>97</v>
      </c>
      <c r="V14" s="90">
        <f>Worksheet!BB74</f>
        <v>74</v>
      </c>
      <c r="W14" s="91">
        <f t="shared" si="16"/>
        <v>0.48005142428918723</v>
      </c>
      <c r="X14" s="92">
        <f>IF(X5="Wind Chill",IF(G14=0,U14,IF(U14&lt;56,35.74+(0.6215*U14)-(35.75*(G14^0.16))+(0.4275*U14*(G14^0.16)),"NA")),IF(X5="WBGT",1.8*((0.7*BL14)+(0.1*BN14)+(0.2*BT14))+32))</f>
        <v>92.659264043406395</v>
      </c>
      <c r="Y14" s="93">
        <f>Worksheet!BQ74</f>
        <v>29.93</v>
      </c>
      <c r="Z14" s="1890">
        <f>Worksheet!BT74</f>
        <v>746.67748921956763</v>
      </c>
      <c r="AA14" s="1891">
        <f>Worksheet!BV74</f>
        <v>3457.4213939914707</v>
      </c>
      <c r="AB14" s="94" t="str">
        <f>IF(AND(TAF!Z7="PREDOM",E14&lt;TAF!AF7),TAF!BS7,IF(AND(TAF!Z8="PREDOM",E14&lt;TAF!AF8),TAF!BS8,IF(AND(TAF!Z9="PREDOM",E14&lt;TAF!AF9),TAF!BS9,IF(AND(TAF!Z10="PREDOM",E14&lt;TAF!AF10),TAF!BS10,IF(AND(TAF!Z11="PREDOM",E14&lt;TAF!AF11),TAF!BS11,IF(AND(TAF!Z12="PREDOM",E14&lt;TAF!AF12),TAF!BS12,IF(AND(TAF!Z13="PREDOM",E14&lt;TAF!AF13),TAF!BS13,IF(AND(TAF!Z14="PREDOM",E14&lt;TAF!AF14),TAF!BS14,IF(AND(TAF!Z15="PREDOM",E14&lt;TAF!AF15),TAF!BS15,IF(AND(TAF!Z16="PREDOM",E14&lt;TAF!AE16),TAF!BS16,IF(AND(TAF!Z17="PREDOM",E14&lt;TAF!AF17),TAF!BS17,IF(AND(TAF!Z18="PREDOM",E14&lt;TAF!AF18),TAF!BS18))))))))))))</f>
        <v/>
      </c>
      <c r="AC14" s="898" t="str">
        <f>IF(AB14="","",IF(AND(TAF!$Z$7="PREDOM",E14&lt;TAF!$AF$7),TAF!$BT$7,IF(AND(TAF!$Z$8="PREDOM",E14&lt;TAF!$AF$8),TAF!$BT$8,IF(AND(TAF!$Z$9="PREDOM",E14&lt;TAF!$AF$9),TAF!$BT$9,IF(AND(TAF!$Z$10="PREDOM",E14&lt;TAF!$AF$10),TAF!$BT$10,IF(AND(TAF!$Z$11="PREDOM",E14&lt;TAF!$AF$11),TAF!$BT$11,IF(AND(TAF!$Z$12="PREDOM",E14&lt;TAF!$AF$12),TAF!$BT$12,IF(AND(TAF!$Z$13="PREDOM",E14&lt;TAF!$AF$13),TAF!$BT$13,IF(AND(TAF!$Z$14="PREDOM",E14&lt;TAF!$AF$14),TAF!$BT$14,IF(AND(TAF!$Z$15="PREDOM",E14&lt;TAF!$AF$15),TAF!$BT$15,IF(AND(TAF!$Z$16="PREDOM",E14&lt;TAF!AE22),TAF!$BT$16,IF(AND(TAF!$Z$17="PREDOM",E14&lt;TAF!$AF$17),TAF!$BT$17,IF(AND(TAF!$Z$18="PREDOM",E14&lt;TAF!$AF$18),TAF!$BT$18)))))))))))))</f>
        <v/>
      </c>
      <c r="AD14" s="903" t="str">
        <f>IF(AB14="","",IF(AND(TAF!$Z$7="PREDOM",E14&lt;TAF!$AF$7),TAF!$BU$7,IF(AND(TAF!$Z$8="PREDOM",E14&lt;TAF!$AF$8),TAF!$BU$8,IF(AND(TAF!$Z$9="PREDOM",E14&lt;TAF!$AF$9),TAF!$BU$9,IF(AND(TAF!$Z$10="PREDOM",E14&lt;TAF!$AF$10),TAF!$BU$10,IF(AND(TAF!$Z$11="PREDOM",E14&lt;TAF!$AF$11),TAF!$BU$11,IF(AND(TAF!$Z$12="PREDOM",E14&lt;TAF!$AF$12),TAF!$BU$12,IF(AND(TAF!$Z$13="PREDOM",E14&lt;TAF!$AF$13),TAF!$BU$13,IF(AND(TAF!$Z$14="PREDOM",E14&lt;TAF!$AF$14),TAF!$BU$14,IF(AND(TAF!$Z$15="PREDOM",E14&lt;TAF!$AF$15),TAF!$BU$15,IF(AND(TAF!$Z$16="PREDOM",E14&lt;TAF!AE22),TAF!$BU$16,IF(AND(TAF!$Z$17="PREDOM",E14&lt;TAF!$AF$17),TAF!$BU$17,IF(AND(TAF!$Z$18="PREDOM",E14&lt;TAF!$AF$18),TAF!$BU$18)))))))))))))</f>
        <v/>
      </c>
      <c r="AE14" s="94" t="str">
        <f>IF(AND(TAF!Z7="PREDOM",E14&lt;TAF!AF7),TAF!BV7,IF(AND(TAF!Z8="PREDOM",E14&lt;TAF!AF8),TAF!BV8,IF(AND(TAF!Z9="PREDOM",E14&lt;TAF!AF9),TAF!BV9,IF(AND(TAF!Z10="PREDOM",E14&lt;TAF!AF10),TAF!BV10,IF(AND(TAF!Z11="PREDOM",E14&lt;TAF!AF11),TAF!BV11,IF(AND(TAF!Z12="PREDOM",E14&lt;TAF!AF12),TAF!BV12,IF(AND(TAF!Z13="PREDOM",E14&lt;TAF!AF13),TAF!BV13,IF(AND(TAF!Z14="PREDOM",E14&lt;TAF!AF14),TAF!BV14,IF(AND(TAF!Z15="PREDOM",E14&lt;TAF!AF15),TAF!BV15,IF(AND(TAF!Z16="PREDOM",E14&lt;TAF!AE16),TAF!BV16,IF(AND(TAF!Z17="PREDOM",E14&lt;TAF!AF17),TAF!BV17,IF(AND(TAF!Z18="PREDOM",E14&lt;TAF!AF18),TAF!BV18))))))))))))</f>
        <v/>
      </c>
      <c r="AF14" s="898" t="str">
        <f>IF(AE14="","",IF(AND(TAF!$Z$7="PREDOM",E14&lt;TAF!$AF$7),TAF!$BW$7,IF(AND(TAF!$Z$8="PREDOM",E14&lt;TAF!$AF$8),TAF!$BW$8,IF(AND(TAF!$Z$9="PREDOM",E14&lt;TAF!$AF$9),TAF!$BW$9,IF(AND(TAF!$Z$10="PREDOM",E14&lt;TAF!$AF$10),TAF!$BW$10,IF(AND(TAF!$Z$11="PREDOM",E14&lt;TAF!$AF$11),TAF!$BW$11,IF(AND(TAF!$Z$12="PREDOM",E14&lt;TAF!$AF$12),TAF!$BW$12,IF(AND(TAF!$Z$13="PREDOM",E14&lt;TAF!$AF$13),TAF!$BW$13,IF(AND(TAF!$Z$14="PREDOM",E14&lt;TAF!$AF$14),TAF!$BW$14,IF(AND(TAF!$Z$15="PREDOM",E14&lt;TAF!$AF$15),TAF!$BW$15,IF(AND(TAF!$Z$16="PREDOM",E14&lt;TAF!AE22),TAF!$BW$16,IF(AND(TAF!$Z$17="PREDOM",E14&lt;TAF!$AF$17),TAF!$BW$17,IF(AND(TAF!$Z$18="PREDOM",E14&lt;TAF!$AF$18),TAF!$BW$18)))))))))))))</f>
        <v/>
      </c>
      <c r="AG14" s="903" t="str">
        <f>IF(AE14="","",IF(AND(TAF!$Z$7="PREDOM",E14&lt;TAF!$AF$7),TAF!$BX$7,IF(AND(TAF!$Z$8="PREDOM",E14&lt;TAF!$AF$8),TAF!$BX$8,IF(AND(TAF!$Z$9="PREDOM",E14&lt;TAF!$AF$9),TAF!$BX$9,IF(AND(TAF!$Z$10="PREDOM",E14&lt;TAF!$AF$10),TAF!$BX$10,IF(AND(TAF!$Z$11="PREDOM",E14&lt;TAF!$AF$11),TAF!$BX$11,IF(AND(TAF!$Z$12="PREDOM",E14&lt;TAF!$AF$12),TAF!$BX$12,IF(AND(TAF!$Z$13="PREDOM",E14&lt;TAF!$AF$13),TAF!$BX$13,IF(AND(TAF!$Z$14="PREDOM",E14&lt;TAF!$AF$14),TAF!$BX$14,IF(AND(TAF!$Z$15="PREDOM",E14&lt;TAF!$AF$15),TAF!$BX$15,IF(AND(TAF!$Z$16="PREDOM",E14&lt;TAF!AE22),TAF!$BX$16,IF(AND(TAF!$Z$17="PREDOM",E14&lt;TAF!$AF$17),TAF!$BX$17,IF(AND(TAF!$Z$18="PREDOM",E14&lt;TAF!$AF$18),TAF!$BX$18)))))))))))))</f>
        <v/>
      </c>
      <c r="AH14" s="892" t="str">
        <f>IF(AND(TAF!$Z$7="PREDOM",E14&lt;TAF!$AF$7),TAF!$BY$7,IF(AND(TAF!$Z$8="PREDOM",E14&lt;TAF!$AF$8),TAF!$BY$8,IF(AND(TAF!$Z$9="PREDOM",E14&lt;TAF!$AF$9),TAF!$BY$9,IF(AND(TAF!$Z$10="PREDOM",E14&lt;TAF!$AF$10),TAF!$BY$10,IF(AND(TAF!$Z$11="PREDOM",E14&lt;TAF!$AF$11),TAF!$BY$11,IF(AND(TAF!$Z$12="PREDOM",E14&lt;TAF!$AF$12),TAF!$BY$12,IF(AND(TAF!$Z$13="PREDOM",E14&lt;TAF!$AF$13),TAF!$BY$13,IF(AND(TAF!$Z$14="PREDOM",E14&lt;TAF!$AF$14),TAF!$BY$14,IF(AND(TAF!$Z$15="PREDOM",E14&lt;TAF!$AF$15),TAF!$BY$15,IF(AND(TAF!$Z$16="PREDOM",E14&lt;TAF!$AF$16),TAF!$BY$16,IF(AND(TAF!$Z$17="PREDOM",E14&lt;TAF!$AF$17),TAF!$BY$17,IF(AND(TAF!$Z$18="PREDOM",E14&lt;TAF!$AF$18),TAF!$BY$18))))))))))))</f>
        <v/>
      </c>
      <c r="AI14" s="898" t="str">
        <f>IF(AH14="","",IF(AND(TAF!$Z$7="PREDOM",E14&lt;TAF!$AF$7),TAF!$BZ$7,IF(AND(TAF!$Z$8="PREDOM",E14&lt;TAF!$AF$8),TAF!$BZ$8,IF(AND(TAF!$Z$9="PREDOM",E14&lt;TAF!$AF$9),TAF!$BZ$9,IF(AND(TAF!$Z$10="PREDOM",E14&lt;TAF!$AF$10),TAF!$BZ$10,IF(AND(TAF!$Z$11="PREDOM",E14&lt;TAF!$AF$11),TAF!$BZ$11,IF(AND(TAF!$Z$12="PREDOM",E14&lt;TAF!$AF$12),TAF!$BZ$12,IF(AND(TAF!$Z$13="PREDOM",E14&lt;TAF!$AF$13),TAF!$BZ$13,IF(AND(TAF!$Z$14="PREDOM",E14&lt;TAF!$AF$14),TAF!$BZ$14,IF(AND(TAF!$Z$15="PREDOM",E14&lt;TAF!$AF$15),TAF!$BZ$15,IF(AND(TAF!$Z$16="PREDOM",E14&lt;TAF!AE22),TAF!$BZ$16,IF(AND(TAF!$Z$17="PREDOM",E14&lt;TAF!$AF$17),TAF!$BZ$17,IF(AND(TAF!$Z$18="PREDOM",E14&lt;TAF!$AF$18),TAF!$BZ$18)))))))))))))</f>
        <v/>
      </c>
      <c r="AJ14" s="903" t="str">
        <f>IF(AH14="","",IF(AND(TAF!$Z$7="PREDOM",E14&lt;TAF!$AF$7),TAF!$CA$7,IF(AND(TAF!$Z$8="PREDOM",E14&lt;TAF!$AF$8),TAF!$CA$8,IF(AND(TAF!$Z$9="PREDOM",E14&lt;TAF!$AF$9),TAF!$CA$9,IF(AND(TAF!$Z$10="PREDOM",E14&lt;TAF!$AF$10),TAF!$CA$10,IF(AND(TAF!$Z$11="PREDOM",E14&lt;TAF!$AF$11),TAF!$CA$11,IF(AND(TAF!$Z$12="PREDOM",E14&lt;TAF!$AF$12),TAF!$CA$12,IF(AND(TAF!$Z$13="PREDOM",E14&lt;TAF!$AF$13),TAF!$CA$13,IF(AND(TAF!$Z$14="PREDOM",E14&lt;TAF!$AF$14),TAF!$CA$14,IF(AND(TAF!$Z$15="PREDOM",E14&lt;TAF!$AF$15),TAF!$CA$15,IF(AND(TAF!$Z$16="PREDOM",E14&lt;TAF!AE22),TAF!$CA$16,IF(AND(TAF!$Z$17="PREDOM",E14&lt;TAF!$AF$17),TAF!$CA$17,IF(AND(TAF!$Z$18="PREDOM",E14&lt;TAF!$AF$18),TAF!$CA$18)))))))))))))</f>
        <v/>
      </c>
      <c r="AK14" s="95" t="str">
        <f>IF(AND(TAF!Z7="TEMPO",NOT(E14+0.01&lt;TAF!AC7),E14-0.01&lt;TAF!AF7),TAF!CB7,IF(AND(TAF!Z8="TEMPO",NOT(E14+0.01&lt;TAF!AC8),E14-0.01&lt;TAF!AF8),TAF!CB8,IF(AND(TAF!Z9="TEMPO",NOT(E14+0.01&lt;TAF!AC9),E14-0.01&lt;TAF!AF9),TAF!CB9,IF(AND(TAF!Z10="TEMPO",NOT(E14+0.01&lt;TAF!AC10),E14-0.01&lt;TAF!AF10),TAF!CB10,IF(AND(TAF!Z11="TEMPO",NOT(E14+0.01&lt;TAF!AC11),E14-0.01&lt;TAF!AF11),TAF!CB11,IF(AND(TAF!Z12="TEMPO",NOT(E14+0.01&lt;TAF!AC12),E14-0.01&lt;TAF!AF12),TAF!CB12,IF(AND(TAF!Z13="TEMPO",NOT(E14+0.01&lt;TAF!AC13),E14-0.01&lt;TAF!AF13),TAF!CB13,IF(AND(TAF!Z14="TEMPO",NOT(E14+0.01&lt;TAF!AC14),E14-0.01&lt;TAF!AF14),TAF!CB14,IF(AND(TAF!Z15="TEMPO",NOT(E14+0.01&lt;TAF!AC15),E14-0.01&lt;TAF!AF15),TAF!CB15,IF(AND(TAF!Z16="TEMPO",NOT(E14+0.01&lt;TAF!AC16),E14-0.01&lt;TAF!AE16),TAF!CB16,IF(AND(TAF!Z17="TEMPO",NOT(E14+0.01&lt;TAF!AC17),E14-0.01&lt;TAF!AF17),TAF!CB17,IF(AND(TAF!Z18="TEMPO",NOT(E14+0.01&lt;TAF!AC18),E14-0.01&lt;TAF!AF18),TAF!CB18,""))))))))))))</f>
        <v/>
      </c>
      <c r="AL14" s="94" t="str">
        <f>IF(AND(TAF!Z7="PREDOM",E14&lt;TAF!AF7),TAF!BG7,IF(AND(TAF!Z8="PREDOM",E14&lt;TAF!AF8),TAF!BG8,IF(AND(TAF!Z9="PREDOM",E14&lt;TAF!AF9),TAF!BG9,IF(AND(TAF!Z10="PREDOM",E14&lt;TAF!AF10),TAF!BG10,IF(AND(TAF!Z11="PREDOM",E14&lt;TAF!AF11),TAF!BG11,IF(AND(TAF!Z12="PREDOM",E14&lt;TAF!AF12),TAF!BG12,IF(AND(TAF!Z13="PREDOM",E14&lt;TAF!AF13),TAF!BG13,IF(AND(TAF!Z14="PREDOM",E14&lt;TAF!AF14),TAF!BG14,IF(AND(TAF!Z15="PREDOM",E14&lt;TAF!AF15),TAF!BG15,IF(AND(TAF!Z16="PREDOM",E14&lt;TAF!AE16),TAF!BG16,IF(AND(TAF!Z17="PREDOM",E14&lt;TAF!AF17),TAF!BG17,IF(AND(TAF!Z18="PREDOM",E14&lt;TAF!AF18),TAF!BG18))))))))))))</f>
        <v/>
      </c>
      <c r="AM14" s="898" t="str">
        <f>IF(AL14="","",IF(AND(TAF!Z7="PREDOM",E14&lt;TAF!AF7),TAF!BH7,IF(AND(TAF!Z8="PREDOM",E14&lt;TAF!AF8),TAF!BH8,IF(AND(TAF!Z9="PREDOM",E14&lt;TAF!AF9),TAF!BH9,IF(AND(TAF!Z10="PREDOM",E14&lt;TAF!AF10),TAF!BH10,IF(AND(TAF!Z11="PREDOM",E14&lt;TAF!AF11),TAF!BH11,IF(AND(TAF!Z12="PREDOM",E14&lt;TAF!AF12),TAF!BH12,IF(AND(TAF!Z13="PREDOM",E14&lt;TAF!AF13),TAF!BH13,IF(AND(TAF!Z14="PREDOM",E14&lt;TAF!AF14),TAF!BH14,IF(AND(TAF!Z15="PREDOM",E14&lt;TAF!AF15),TAF!BH15,IF(AND(TAF!Z16="PREDOM",E14&lt;TAF!AE16),TAF!BH16,IF(AND(TAF!Z17="PREDOM",E14&lt;TAF!AF17),TAF!BH17,IF(AND(TAF!Z18="PREDOM",E14&lt;TAF!AF18),TAF!BH18)))))))))))))</f>
        <v/>
      </c>
      <c r="AN14" s="903" t="str">
        <f>IF(AND(TAF!Z7="PREDOM",E14&lt;TAF!AF7),TAF!BI7,IF(AND(TAF!Z8="PREDOM",E14&lt;TAF!AF8),TAF!BI8,IF(AND(TAF!Z9="PREDOM",E14&lt;TAF!AF9),TAF!BI9,IF(AND(TAF!Z10="PREDOM",E14&lt;TAF!AF10),TAF!BI10,IF(AND(TAF!Z11="PREDOM",E14&lt;TAF!AF11),TAF!BI11,IF(AND(TAF!Z12="PREDOM",E14&lt;TAF!AF12),TAF!BI12,IF(AND(TAF!Z13="PREDOM",E14&lt;TAF!AF13),TAF!BI13,IF(AND(TAF!Z14="PREDOM",E14&lt;TAF!AF14),TAF!BI14,IF(AND(TAF!Z15="PREDOM",E14&lt;TAF!AF15),TAF!BI15,IF(AND(TAF!Z16="PREDOM",E14&lt;TAF!AE16),TAF!BI16,IF(AND(TAF!Z17="PREDOM",E14&lt;TAF!AF17),TAF!BI17,IF(AND(TAF!Z18="PREDOM",E14&lt;TAF!AF18),TAF!BI18))))))))))))</f>
        <v/>
      </c>
      <c r="AO14" s="94" t="str">
        <f>IF(AND(TAF!Z7="PREDOM",E14&lt;TAF!AF7),TAF!BJ7,IF(AND(TAF!Z8="PREDOM",E14&lt;TAF!AF8),TAF!BJ8,IF(AND(TAF!Z9="PREDOM",E14&lt;TAF!AF9),TAF!BJ9,IF(AND(TAF!Z10="PREDOM",E14&lt;TAF!AF10),TAF!BJ10,IF(AND(TAF!Z11="PREDOM",E14&lt;TAF!AF11),TAF!BJ11,IF(AND(TAF!Z12="PREDOM",E14&lt;TAF!AF12),TAF!BJ12,IF(AND(TAF!Z13="PREDOM",E14&lt;TAF!AF13),TAF!BJ13,IF(AND(TAF!Z14="PREDOM",E14&lt;TAF!AF14),TAF!BJ14,IF(AND(TAF!Z15="PREDOM",E14&lt;TAF!AF15),TAF!BJ15,IF(AND(TAF!Z16="PREDOM",E14&lt;TAF!AE16),TAF!BJ16,IF(AND(TAF!Z17="PREDOM",E14&lt;TAF!AF17),TAF!BJ17,IF(AND(TAF!Z18="PREDOM",E14&lt;TAF!AF18),TAF!BJ18))))))))))))</f>
        <v/>
      </c>
      <c r="AP14" s="910" t="str">
        <f>IF(AND(TAF!Z7="PREDOM",E14&lt;TAF!AF7),TAF!BK7,IF(AND(TAF!Z8="PREDOM",E14&lt;TAF!AF8),TAF!BK8,IF(AND(TAF!Z9="PREDOM",E14&lt;TAF!AF9),TAF!BK9,IF(AND(TAF!Z10="PREDOM",E14&lt;TAF!AF10),TAF!BK10,IF(AND(TAF!Z11="PREDOM",E14&lt;TAF!AF11),TAF!BK11,IF(AND(TAF!Z12="PREDOM",E14&lt;TAF!AF12),TAF!BK12,IF(AND(TAF!Z13="PREDOM",E14&lt;TAF!AF13),TAF!BK13,IF(AND(TAF!Z14="PREDOM",E14&lt;TAF!AF14),TAF!BK14,IF(AND(TAF!Z15="PREDOM",E14&lt;TAF!AF15),TAF!BK15,IF(AND(TAF!Z16="PREDOM",E14&lt;TAF!AE16),TAF!BK16,IF(AND(TAF!Z17="PREDOM",E14&lt;TAF!AF17),TAF!BK17,IF(AND(TAF!Z18="PREDOM",E14&lt;TAF!AF18),TAF!BK18))))))))))))</f>
        <v/>
      </c>
      <c r="AQ14" s="906" t="str">
        <f>IF(AND(TAF!Z7="PREDOM",E14&lt;TAF!AF7),TAF!BL7,IF(AND(TAF!Z8="PREDOM",E14&lt;TAF!AF8),TAF!BL8,IF(AND(TAF!Z9="PREDOM",E14&lt;TAF!AF9),TAF!BL9,IF(AND(TAF!Z10="PREDOM",E14&lt;TAF!AF10),TAF!BL10,IF(AND(TAF!Z11="PREDOM",E14&lt;TAF!AF11),TAF!BL11,IF(AND(TAF!Z12="PREDOM",E14&lt;TAF!AF12),TAF!BL12,IF(AND(TAF!Z13="PREDOM",E14&lt;TAF!AF13),TAF!BL13,IF(AND(TAF!Z14="PREDOM",E14&lt;TAF!AF14),TAF!BL14,IF(AND(TAF!Z15="PREDOM",E14&lt;TAF!AF15),TAF!BL15,IF(AND(TAF!Z16="PREDOM",E14&lt;TAF!AE16),TAF!BL16,IF(AND(TAF!Z17="PREDOM",E14&lt;TAF!AF17),TAF!BL17,IF(AND(TAF!Z18="PREDOM",E14&lt;TAF!AF18),TAF!BL18))))))))))))</f>
        <v/>
      </c>
      <c r="AR14" s="892" t="str">
        <f>IF(AND(TAF!Z7="PREDOM",E14&lt;TAF!AF7),TAF!BM7,IF(AND(TAF!Z8="PREDOM",E14&lt;TAF!AF8),TAF!BM8,IF(AND(TAF!Z9="PREDOM",E14&lt;TAF!AF9),TAF!BM9,IF(AND(TAF!Z10="PREDOM",E14&lt;TAF!AF10),TAF!BM10,IF(AND(TAF!Z11="PREDOM",E14&lt;TAF!AF11),TAF!BM11,IF(AND(TAF!Z12="PREDOM",E14&lt;TAF!AF12),TAF!BM12,IF(AND(TAF!Z13="PREDOM",E14&lt;TAF!AF13),TAF!BM13,IF(AND(TAF!Z14="PREDOM",E14&lt;TAF!AF14),TAF!BM14,IF(AND(TAF!Z15="PREDOM",E14&lt;TAF!AF15),TAF!BM15,IF(AND(TAF!Z16="PREDOM",E14&lt;TAF!AE16),TAF!BM16,IF(AND(TAF!Z17="PREDOM",E14&lt;TAF!AF17),TAF!BM17,IF(AND(TAF!Z18="PREDOM",E14&lt;TAF!AF18),TAF!BM18))))))))))))</f>
        <v/>
      </c>
      <c r="AS14" s="910" t="str">
        <f>IF(AND(TAF!Z7="PREDOM",E14&lt;TAF!AF7),TAF!BN7,IF(AND(TAF!Z8="PREDOM",E14&lt;TAF!AF8),TAF!BN8,IF(AND(TAF!Z9="PREDOM",E14&lt;TAF!AF9),TAF!BN9,IF(AND(TAF!Z10="PREDOM",E14&lt;TAF!AF10),TAF!BN10,IF(AND(TAF!Z11="PREDOM",E14&lt;TAF!AF11),TAF!BN11,IF(AND(TAF!Z12="PREDOM",E14&lt;TAF!AF12),TAF!BN12,IF(AND(TAF!Z13="PREDOM",E14&lt;TAF!AF13),TAF!BN13,IF(AND(TAF!Z14="PREDOM",E14&lt;TAF!AF14),TAF!BN14,IF(AND(TAF!Z15="PREDOM",E14&lt;TAF!AF15),TAF!BN15,IF(AND(TAF!Z16="PREDOM",E14&lt;TAF!AE16),TAF!BN16,IF(AND(TAF!Z17="PREDOM",E14&lt;TAF!AF17),TAF!BN17,IF(AND(TAF!Z18="PREDOM",E14&lt;TAF!AF18),TAF!BN18))))))))))))</f>
        <v/>
      </c>
      <c r="AT14" s="906" t="str">
        <f>IF(AND(TAF!Z7="PREDOM",E14&lt;TAF!AF7),TAF!BO7,IF(AND(TAF!Z8="PREDOM",E14&lt;TAF!AF8),TAF!BO8,IF(AND(TAF!Z9="PREDOM",E14&lt;TAF!AF9),TAF!BO9,IF(AND(TAF!Z10="PREDOM",E14&lt;TAF!AF10),TAF!BO10,IF(AND(TAF!Z11="PREDOM",E14&lt;TAF!AF11),TAF!BO11,IF(AND(TAF!Z12="PREDOM",E14&lt;TAF!AF12),TAF!BO12,IF(AND(TAF!Z13="PREDOM",E14&lt;TAF!AF13),TAF!BO13,IF(AND(TAF!Z14="PREDOM",E14&lt;TAF!AF14),TAF!BO14,IF(AND(TAF!Z15="PREDOM",E14&lt;TAF!AF15),TAF!BO15,IF(AND(TAF!Z16="PREDOM",E14&lt;TAF!AE16),TAF!BO16,IF(AND(TAF!Z17="PREDOM",E14&lt;TAF!AF17),TAF!BO17,IF(AND(TAF!Z18="PREDOM",E14&lt;TAF!AF18),TAF!BO18))))))))))))</f>
        <v/>
      </c>
      <c r="AU14" s="95" t="str">
        <f>IF(AND(TAF!Z7="TEMPO",NOT(E14+0.01&lt;TAF!AC7),E14-0.01&lt;TAF!AF7),TAF!BP7,IF(AND(TAF!Z8="TEMPO",NOT(E14+0.01&lt;TAF!AC8),E14-0.01&lt;TAF!AF8),TAF!BP8,IF(AND(TAF!Z9="TEMPO",NOT(E14+0.01&lt;TAF!AC9),E14-0.01&lt;TAF!AF9),TAF!BP9,IF(AND(TAF!Z10="TEMPO",NOT(E14+0.01&lt;TAF!AC10),E14-0.01&lt;TAF!AF10),TAF!BP10,IF(AND(TAF!Z11="TEMPO",NOT(E14+0.01&lt;TAF!AC11),E14-0.01&lt;TAF!AF11),TAF!BP11,IF(AND(TAF!Z12="TEMPO",NOT(E14+0.01&lt;TAF!AC12),E14-0.01&lt;TAF!AF12),TAF!BP12,IF(AND(TAF!Z13="TEMPO",NOT(E14+0.01&lt;TAF!AC13),E14-0.01&lt;TAF!AF13),TAF!BP13,IF(AND(TAF!Z14="TEMPO",NOT(E14+0.01&lt;TAF!AC14),E14-0.01&lt;TAF!AF14),TAF!BP14,IF(AND(TAF!Z15="TEMPO",NOT(E14+0.01&lt;TAF!AC15),E14-0.01&lt;TAF!AF15),TAF!BP15,IF(AND(TAF!Z16="TEMPO",NOT(E14+0.01&lt;TAF!AC16),E14-0.01&lt;TAF!AE16),TAF!BP16,IF(AND(TAF!Z17="TEMPO",NOT(E14+0.01&lt;TAF!AC17),E14-0.01&lt;TAF!AF17),TAF!BP17,IF(AND(TAF!Z18="TEMPO",NOT(E14+0.01&lt;TAF!AC18),E14-0.01&lt;TAF!AF18),TAF!BP18,""))))))))))))</f>
        <v/>
      </c>
      <c r="AV14" s="96" t="str">
        <f>IF(AND(TAF!Z7="PREDOM",E14&lt;TAF!AF7),TAF!CD7,IF(AND(TAF!Z8="PREDOM",E14&lt;TAF!AF8),TAF!CD8,IF(AND(TAF!Z9="PREDOM",E14&lt;TAF!AF9),TAF!CD9,IF(AND(TAF!Z10="PREDOM",E14&lt;TAF!AF10),TAF!CD10,IF(AND(TAF!Z11="PREDOM",E14&lt;TAF!AF11),TAF!CD11,IF(AND(TAF!Z12="PREDOM",E14&lt;TAF!AF12),TAF!CD12,IF(AND(TAF!Z13="PREDOM",E14&lt;TAF!AF13),TAF!CD13,IF(AND(TAF!Z14="PREDOM",E14&lt;TAF!AF14),TAF!CD14,IF(AND(TAF!Z15="PREDOM",E14&lt;TAF!AF15),TAF!CD15,IF(AND(TAF!Z16="PREDOM",E14&lt;TAF!AE16),TAF!CD16,IF(AND(TAF!Z17="PREDOM",E14&lt;TAF!AF17),TAF!CD17,IF(AND(TAF!Z18="PREDOM",E14&lt;TAF!AF18),TAF!CD18))))))))))))</f>
        <v/>
      </c>
      <c r="AW14" s="97" t="str">
        <f>IF(AND(TAF!Z7="TEMPO",NOT(E14+0.01&lt;TAF!AC7),E14-0.01&lt;TAF!AF7),TAF!CD7,IF(AND(TAF!Z8="TEMPO",NOT(E14+0.01&lt;TAF!AC8),E14-0.01&lt;TAF!AF8),TAF!CD8,IF(AND(TAF!Z9="TEMPO",NOT(E14+0.01&lt;TAF!AC9),E14-0.01&lt;TAF!AF9),TAF!CD9,IF(AND(TAF!Z10="TEMPO",NOT(E14+0.01&lt;TAF!AC10),E14-0.01&lt;TAF!AF10),TAF!CD10,IF(AND(TAF!Z11="TEMPO",NOT(E14+0.01&lt;TAF!AC11),E14-0.01&lt;TAF!AF11),TAF!CD11,IF(AND(TAF!Z12="TEMPO",NOT(E14+0.01&lt;TAF!AC12),E14-0.01&lt;TAF!AF12),TAF!CD12,IF(AND(TAF!Z13="TEMPO",NOT(E14+0.01&lt;TAF!AC13),E14-0.01&lt;TAF!AF13),TAF!CD13,IF(AND(TAF!Z14="TEMPO",NOT(E14+0.01&lt;TAF!AC14),E14-0.01&lt;TAF!AF14),TAF!CD14,IF(AND(TAF!Z15="TEMPO",NOT(E14+0.01&lt;TAF!AC15),E14-0.01&lt;TAF!AF15),TAF!CD15,IF(AND(TAF!Z16="TEMPO",NOT(E14+0.01&lt;TAF!AC16),E14-0.01&lt;TAF!AE16),TAF!CD16,IF(AND(TAF!Z17="TEMPO",NOT(E14+0.01&lt;TAF!AC17),E14-0.01&lt;TAF!AF17),TAF!CD17,IF(AND(TAF!Z18="TEMPO",NOT(E14+0.01&lt;TAF!AC18),E14-0.01&lt;TAF!AF18),TAF!CD18,""))))))))))))</f>
        <v/>
      </c>
      <c r="AX14" s="98" t="str">
        <f>IF(OR(AND(H14&lt;&gt;"",H14&gt;(MLT!$E$5-1)),J14&lt;(MLT!$E$8+0.01),L14="TS",O14="TS",R14&lt;(MLT!$E$9),AND(AB14&lt;&gt;"",AB14&gt;(MLT!$E$6-1)),AL14=MLT!$E$7,AL14=MLT!$F$7),"R",IF(OR(AND(H14&lt;&gt;"",H14&gt;(MLT!$H$5-1)),AND(I14&lt;&gt;"",I14&gt;(MLT!$H$5-1)),J14&lt;MLT!$H$8,K14&lt;MLT!$H$8,L14=MLT!$H$10,O14=MLT!$E$10,O14=MLT!$H$10,R14&lt;MLT!$H$9,S14&lt;MLT!$H$9,AND(AB14&lt;&gt;"",AB14&gt;0),AND(AE14&lt;&gt;"",AE14&gt;0),AND(AH14&lt;&gt;"",AH14&gt;0),AND(AK14&lt;&gt;"",AK14&gt;0),AND(AL14&lt;&gt;"",AL14&lt;&gt;4,AL14&gt;2),AND(AO14&lt;&gt;"",AO14&lt;&gt;4,AO14&gt;2),AND(AR14&lt;&gt;"",AR14&lt;&gt;4,AR14&gt;2),AND(AU14&lt;&gt;"",AU14&lt;&gt;4,AU14&gt;2)),"Y","G"))</f>
        <v>G</v>
      </c>
      <c r="AY14" s="99" t="str">
        <f>IF(OR(AND(H14&lt;&gt;"",H14&gt;(MLT!$E$13-1)),J14&lt;MLT!$E$17,R14&lt;MLT!$E$19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$13-1)),AND(I14&lt;&gt;"",I14&gt;(MLT!$H$13-1)),J14&lt;MLT!$H$17,K14&lt;MLT!$H$17,R14&lt;MLT!$H$19,S14&lt;MLT!$H$19,L14="VCTS",O14="VCTS",AND(AB14&lt;&gt;"",AB14&gt;1),AND(AK14&lt;&gt;"",AK14&gt;0),AND(AL14&lt;&gt;"",AL14&gt;1),AND(AO14&lt;&gt;"",AO14&gt;1),AND(AR14&lt;&gt;"",AR14&gt;1),AU14=3,AND(AU14&lt;&gt;"",AU14&gt;4),AV14="LLWS",AW14="LLWS"),"Y","G"))</f>
        <v>G</v>
      </c>
      <c r="AZ14" s="99" t="str">
        <f>IF(OR(AND(H14&lt;&gt;"",H14&gt;(MLT!$E$13-1)),J14&lt;MLT!$E$16,R14&lt;MLT!$E$18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$13-1)),AND(I14&lt;&gt;"",I14&gt;(MLT!$H$13-1)),J14&lt;MLT!$H$17,K14&lt;MLT!$H$17,R14&lt;MLT!$H$19,S14&lt;MLT!$H$19,L14="VCTS",O14="VCTS",AND(AB14&lt;&gt;"",AB14&gt;1),AND(AK14&lt;&gt;"",AK14&gt;0),AND(AL14&lt;&gt;"",AL14&gt;1),AND(AO14&lt;&gt;"",AO14&gt;1),AND(AR14&lt;&gt;"",AR14&gt;1),AU14=3,AND(AU14&lt;&gt;"",AU14&gt;4),AV14="LLWS",AW14="LLWS"),"Y","G"))</f>
        <v>G</v>
      </c>
      <c r="BA14" s="99" t="str">
        <f>IF(OR(IF(MEF!$AP$14="Hoist",OR(G14&gt;19,AND(H14&lt;&gt;"",H14&gt;19)),AND(H14&lt;&gt;"",H14&gt;(MLT!$E$23-1))),AND(B14&gt;MEF!$Z$11,J14&lt;MLT!$E$26),AND(B14&lt;MEF!$E$53,J14&lt;MLT!$E$26),J14&lt;MLT!$E$27,AND(B14&gt;MEF!$Z$11,R14&lt;MLT!$E$28),AND(B14&lt;MEF!$E$53,R14&lt;MLT!$E$28),R14&lt;MLT!$E$29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H$23-1)),AND(I14&lt;&gt;"",I14&gt;(MLT!$H$23-1)),AND(B14&gt;MEF!$Z$11,J14&lt;MLT!$H$26),AND(B14&lt;MEF!$E$53,J14&lt;MLT!$H$26),AND(B14&gt;MEF!$Z$11,K14&lt;MLT!$H$26),AND(B14&lt;MEF!$E$53,K14&lt;MLT!$H$26),J14&lt;MLT!$H$27,K14&lt;MLT!$H$27,AND(B14&gt;MEF!$Z$11,R14&lt;MLT!$H$28),AND(B14&lt;MEF!$E$53,R14&lt;MLT!$H$28),AND(B14&gt;MEF!$Z$11,S14&lt;MLT!$H$28),AND(B14&lt;MEF!$E$53,S14&lt;MLT!$H$28),R14&lt;MLT!$H$29,S14&lt;MLT!$H$29,L14="VCTS",O14="VCTS",U14&gt;90,U14&lt;-29,AB14&lt;&gt;"",AK14&lt;&gt;"",AND(AL14&lt;&gt;"",AL14&gt;1),AND(AO14&lt;&gt;"",AO14&gt;1),AND(AR14&lt;&gt;"",AR14&gt;1),AU14=3,AND(AU14&lt;&gt;"",AU14&gt;4),AV14="LLWS",AW14="LLWS"),"Y","G"))</f>
        <v>Y</v>
      </c>
      <c r="BB14" s="99" t="str">
        <f>IF(OR(AND(H14&lt;&gt;"",H14&gt;(MLT!$E$23-1)),AND(B14&gt;MEF!$Z$11,J14&lt;MLT!$F$26),AND(B14&lt;MEF!$E$53,J14&lt;MLT!$F$26),J14&lt;MLT!$F$27,AND(B14&gt;MEF!$Z$11,R14&lt;MLT!$F$28),AND(B14&lt;MEF!$E$53,R14&lt;MLT!$F$28),R14&lt;MLT!$F$29,L14="TS",O14="TS",AND(AB14&lt;&gt;"",AB14&gt;3,AC14&lt;30),AND(AE14&lt;&gt;"",AE14&gt;3,AF14&lt;30),AND(AH14&lt;&gt;"",AH14&gt;3,AI14&lt;30),AND(OR(AL14=7,AL14=9),AM14&lt;30),AND(OR(AO14=7,AO14=9),AP14&lt;30),AND(OR(AR14=7,AR14=9),AS14&lt;30)),"R",IF(OR(AND(H14&lt;&gt;"",H14&gt;(MLT!$I$23-1)),AND(I14&lt;&gt;"",I14&gt;(MLT!$I$23-1)),AND(B14&gt;MEF!$Z$11,J14&lt;MLT!$I$26),AND(B14&lt;MEF!$E$53,J14&lt;MLT!$I$26),AND(B14&gt;MEF!$Z$11,K14&lt;MLT!$I$26),AND(B14&lt;MEF!$E$53,K14&lt;MLT!$I$26),J14&lt;MLT!$I$27,K14&lt;MLT!$I$27,AND(B14&gt;MEF!$Z$11,R14&lt;MLT!$I$28),AND(B14&lt;MEF!$E$53,R14&lt;MLT!$I$28),AND(B14&gt;MEF!$Z$11,S14&lt;MLT!$I$28),AND(B14&lt;MEF!$E$53,S14&lt;MLT!$I$28),R14&lt;MLT!$I$29,S14&lt;MLT!$I$29,L14="VCTS",O14="VCTS",U14&gt;94,U14&lt;-29,AB14&lt;&gt;"",AK14&lt;&gt;"",AND(AL14&lt;&gt;"",AL14&gt;1),AND(AO14&lt;&gt;"",AO14&gt;1),AND(AR14&lt;&gt;"",AR14&gt;1),AU14=3,AND(AU14&lt;&gt;"",AU14&gt;4),AV14="LLWS",AW14="LLWS",CE14&lt;30,AND(CJ14&lt;25,CJ14&lt;&gt;0)),"Y","G"))</f>
        <v>Y</v>
      </c>
      <c r="BC14" s="99" t="str">
        <f>IF(OR(G14&gt;(MLT!F$35-1),AND(H14&lt;&gt;"",H14&gt;(MLT!E$35-1)),J14&lt;MLT!E$38,R14&lt;MLT!E$39,L14="TS",O14="TS",N14="Y",T14&gt;50.49,T14&lt;-20.5,W14&gt;0.9449,AA14&gt;8999,AND(AB14&lt;&gt;"",AB14&gt;0),AND(AL14&lt;&gt;"",AL14&gt;1)),"R",IF(OR(G14&gt;(MLT!I$35-1),AND(H14&lt;&gt;"",H14&gt;(MLT!H$35-1)),AND(I14&lt;&gt;"",I14&gt;(MLT!H$35-1)),J14&lt;MLT!H$38,K14&lt;MLT!H$38,M14&lt;&gt;"",P14&lt;&gt;"",R14&lt;MLT!H$39,S14&lt;MLT!H$39,L14="VCTS",O14="VCTS",T14&gt;45.49,T14&lt;-14,W14&gt;0.8449,AA14&gt;6999,AND(AB14&lt;&gt;"",AB14&gt;0),AND(AK14&lt;&gt;"",AK14&gt;0),AND(AL14&lt;&gt;"",AL14&gt;0),AND(AU14&lt;&gt;"",AU14&gt;0),AV14="LLWS",AW14="LLWS"),"Y","G"))</f>
        <v>G</v>
      </c>
      <c r="BD14" s="98" t="str">
        <f>IF(OR(AND(NOT(H14=""),H14&gt;(MLT!E48-1)),AND(NOT(I14=""),I14&gt;(MLT!E48-1)),J14&lt;0.26,NOT(L14=""),U14&lt;14.5,AND(X5="Wind Chill",X14&lt;-0.5),AND(X5="WBGT",X14&gt;89.49)),"R",IF(OR(AND(NOT(H14=""),H14&gt;(MLT!H48-1)),AND(NOT(I14=""),I14&gt;(MLT!H48-1)),J14&lt;1,NOT(M14=""),NOT(P14=""),NOT(O14=""),U14&lt;31.5,AND(X5="Wind Chill",X14&lt;14.5),AND(X5="WBGT",X14&gt;77.49)),"Y","G"))</f>
        <v>R</v>
      </c>
      <c r="BE14" s="99" t="str">
        <f>IF(OR(AND(H14&lt;&gt;"",H14&gt;(MLT!$E$56)),J14&lt;MLT!$E$59,R14&lt;MLT!$E$60,L14="TS",O14="TS",AND(AB14&lt;&gt;"",AC14&lt;30),AND(AE14&lt;&gt;"",AF14&lt;30),AND(AH14&lt;&gt;"",AI14&lt;30),AND(AL14&lt;&gt;"",AL14&gt;0,AM14&lt;30),AND(AO14&lt;&gt;"",AO14&gt;0,AP14&lt;30),AND(AR14&lt;&gt;"",AR14&gt;0,AS14&lt;30)),"R",IF(OR(AND(H14&lt;&gt;"",H14&gt;MLT!$H$56),AND(I14&lt;&gt;"",I14&gt;MLT!$H$56),J14&lt;MLT!$H$59,K14&lt;MLT!$H$59,R14&lt;MLT!$H$60,S14&lt;MLT!$H$60,L14="VCTS",O14="VCTS",AB14&lt;&gt;"",AK14&lt;&gt;"",AL14&lt;&gt;"",AU14&lt;&gt;"",AV14="LLWS",AW14="LLWS"),"Y","G"))</f>
        <v>G</v>
      </c>
      <c r="BF14" s="99" t="str">
        <f>IF(OR(AND(H14&lt;&gt;"",H14&gt;(MLT!$E$64)),L14="TS",O14="TS",AND(AB14&lt;&gt;"",AB14&gt;3,AC14&lt;30),AND(AE14&lt;&gt;"",AE14&gt;3,AF14&lt;30),AND(AH14&lt;&gt;"",AH14&gt;3,AI14&lt;30),AND(AL14=7,AM14&lt;30),AND(AL14=9,AM14&lt;30),AND(AO14=7,AP14&lt;30),AND(AO14=9,AP14&lt;30),AND(AR14=7,AS14&lt;30),AND(AR14=9,AS14&lt;30)),"R",IF(OR(AND(H14&lt;&gt;"",H14&gt;MLT!$H$64),AND(I14&lt;&gt;"",I14&gt;MLT!$H$64),J14&lt;MLT!$H$67,K14&lt;MLT!$H$67,R14&lt;MLT!$H$68,S14&lt;MLT!$H$68,L14="VCTS",O14="VCTS",calc!U14&gt;90,U14&lt;-29,AB14&lt;&gt;"",AK14&lt;&gt;"",AND(AL14&lt;&gt;"",AL14&gt;1),AND(AO14&lt;&gt;"",AO14&gt;1),AND(AR14&lt;&gt;"",AR14&gt;1),AND(AU14&lt;&gt;"",AU14&gt;1),AV14="LLWS",AW14="LLWS"),"Y","G"))</f>
        <v>Y</v>
      </c>
      <c r="BG14" s="98" t="str">
        <f>IF(OR(AND(H14&lt;&gt;"",H14&gt;(MLT!$E$73)),L14="TS",O14="TS",AND(AB14&lt;&gt;"",AC14&lt;30),AND(AE14&lt;&gt;"",AF14&lt;30),AND(AH14&lt;&gt;"",AI14&lt;30),AND(AL14=3,AM14&lt;30),AND(AL14&lt;&gt;"",AL14&gt;4,AM14&lt;30),AND(AO14=3,AP14&lt;30),AND(AO14&lt;&gt;"",AO14&gt;4,AP14&lt;30),AND(AR14=3,AS14&lt;30),AND(AR14&lt;&gt;"",AR14&gt;4,AS14&lt;30)),"R",IF(OR(AND(H14&lt;&gt;"",H14&gt;MLT!$H$73),AND(I14&lt;&gt;"",I14&gt;MLT!$H$73),J14&lt;MLT!$H$76,K14&lt;MLT!$H$76,R14&lt;MLT!$H$77,S14&lt;MLT!$H$77,L14="VCTS",O14="VCTS",AB14&lt;&gt;"",AK14&lt;&gt;"",AL14&lt;&gt;"",AU14&lt;&gt;"",AV14="LLWS",AW14="LLWS"),"Y","G"))</f>
        <v>G</v>
      </c>
      <c r="BH14" s="98" t="str">
        <f>IF(OR(IF(H14="",G14,H14)&gt;MLT!$E$81,IF(H14="",G14,H14)-G14&gt;19,IF(F14="VRB",FALSE(),(IF(AND(F14&gt;89,F14&lt;271),SIN(RADIANS(MAX(180,F14)-MIN(180,F14))),SIN(RADIANS(IF(F14&gt;269,360-F14,F14)))))*(IF(H14="",G14,H14))&gt;MLT!$E$82),J14&lt;MLT!$E$86,L14="TS",L14="VCTS",O14="TS",R14&lt;MLT!$E$87,U14&gt;MLT!$E$88,AND(AB14&lt;&gt;"",AB14&gt;3,AC14&lt;100),AND(AE14&lt;&gt;"",AE14&gt;3,AF14&lt;100),AND(AH14&lt;&gt;"",AH14&gt;3,AI14&lt;100),AND(AL14=7,AM14&lt;100),AND(AL14=9,AM14&lt;100),AND(AO14=7,AP14&lt;100),AND(AO14=9,AP14&lt;100),AND(AR14=7,AS14&lt;100),AND(AR14=9,AS14&lt;100),AV14="LLWS"),"R",IF(OR(AND(H14&lt;&gt;"",H14&gt;14),IF(F14="VRB",FALSE(),(IF(AND(F14&gt;89,F14&lt;271),SIN(RADIANS(MAX(180,F14)-MIN(180,F14))),SIN(RADIANS(IF(F14&gt;269,360-F14,F14)))))*(IF(H14="",G14,H14))&gt;MLT!$H$82),AND(I14&lt;&gt;"",I14&gt;14),J14&lt;MLT!$H$86,K14&lt;MLT!$H$86,R14&lt;MLT!$H$87,S14&lt;MLT!$H$87,O14="VCTS",calc!U14&gt;90,AB14&lt;&gt;"",AK14&lt;&gt;"",AND(AL14&lt;&gt;"",AL14&gt;1),AND(AO14&lt;&gt;"",AO14&gt;1),AND(AR14&lt;&gt;"",AR14&gt;1),AND(AU14&lt;&gt;"",AU14&gt;1),AW14="LLWS"),"Y","G"))</f>
        <v>R</v>
      </c>
      <c r="BI14" s="98" t="str">
        <f>IF(OR(IF(H14="",G14,H14)&gt;MLT!$E$92,J14&lt;MLT!$E$95,L14="TS",L14="VCTS",O14="TS",R14&lt;MLT!$E$96,AND(AB14&lt;&gt;"",AB14&gt;3,AC14&lt;100),AND(AE14&lt;&gt;"",AE14&gt;3,AF14&lt;100),AND(AH14&lt;&gt;"",AH14&gt;3,AI14&lt;100),AND(AL14=7,AM14&lt;100),AND(AL14=9,AM14&lt;100),AND(AO14=7,AP14&lt;100),AND(AO14=9,AP14&lt;100),AND(AR14=7,AS14&lt;100),AND(AR14=9,AS14&lt;100)),"R",IF(OR(AND(H14&lt;&gt;"",H14&gt;14),AND(I14&lt;&gt;"",I14&gt;14),J14&lt;MLT!$H$95,K14&lt;MLT!$H$95,R14&lt;MLT!$H$96,S14&lt;MLT!$H$96,O14="VCTS",AB14&lt;&gt;"",AK14&lt;&gt;"",AND(AL14&lt;&gt;"",AL14&gt;1),AND(AO14&lt;&gt;"",AO14&gt;1),AND(AR14&lt;&gt;"",AR14&gt;1),AND(AU14&lt;&gt;"",AU14&gt;1),AV14="LLWS",AW14="LLWS"),"Y","G"))</f>
        <v>G</v>
      </c>
      <c r="BK14" s="41">
        <f t="shared" si="4"/>
        <v>27.658139165150907</v>
      </c>
      <c r="BL14" s="41">
        <f t="shared" si="5"/>
        <v>27.658139165150907</v>
      </c>
      <c r="BM14" s="41">
        <f>IF(R14&gt;200,T14+(LOOKUP(Worksheet!BD6,BV8:BV10,BW8:BW10)*(CA14/BZ14)),IF(AND(R14&lt;210,R14&gt;29),T14+(0.5*LOOKUP(Worksheet!BD6,BV8:BV10,BW8:BW10)*(CA14/BZ14)),T14+0.25*(LOOKUP(Worksheet!BD6,BV8:BV10,BW8:BW10)*(CA14/BZ14))))</f>
        <v>40.1808909790958</v>
      </c>
      <c r="BN14" s="41">
        <f t="shared" si="6"/>
        <v>39.163446012099627</v>
      </c>
      <c r="BO14" s="42">
        <f t="shared" si="7"/>
        <v>23.333333333333336</v>
      </c>
      <c r="BP14" s="43">
        <f t="shared" si="8"/>
        <v>98.621672688585093</v>
      </c>
      <c r="BQ14" s="44">
        <f t="shared" si="9"/>
        <v>2.8703565963760709</v>
      </c>
      <c r="BR14" s="42">
        <f t="shared" si="17"/>
        <v>54.70260550804116</v>
      </c>
      <c r="BS14" s="42">
        <f t="shared" si="10"/>
        <v>52.112745592050906</v>
      </c>
      <c r="BT14" s="42">
        <f t="shared" si="11"/>
        <v>52.112745592050906</v>
      </c>
      <c r="BU14" s="42"/>
      <c r="BV14" s="1610"/>
      <c r="BW14" s="835"/>
      <c r="BX14" s="106">
        <f>DEGREES(ASIN(BY14*COS(RADIANS(LOOKUP(Worksheet!Q6,'Light Data '!A3:A377,'Light Data '!J3:J377)))*COS(RADIANS(Worksheet!R2))+SIN(RADIANS(LOOKUP(Worksheet!Q6,'Light Data '!A3:A377,'Light Data '!J3:J377)))*SIN(RADIANS(Worksheet!R2))))</f>
        <v>68.346293731068968</v>
      </c>
      <c r="BY14" s="515">
        <f>COS(RADIANS(15*((MAX(CF5,(HOUR(C14)/24))-MIN(CF5,(HOUR(C14)/24)))*24)))</f>
        <v>0.95172842291556381</v>
      </c>
      <c r="BZ14" s="516">
        <f>IF(BX14&lt;0,0.1,((128*10^3)*(1+0.033412*COS(2*PI()*(((CH4-CH3)-3)/365)))))</f>
        <v>123724.68965631575</v>
      </c>
      <c r="CA14" s="516">
        <f>IF(BX14&lt;0,0,((128*10^3)*(1+0.033412*COS(2*PI()*(((CH4-CH3)-3)/365))))*POWER(EXP(1),0-(CB14*(1/(SIN(RADIANS(BX14+(244/(165+47*(POWER(BX14,1.1)))))))))))</f>
        <v>91551.318388350366</v>
      </c>
      <c r="CB14" s="389">
        <f t="shared" si="12"/>
        <v>0.28000000000000003</v>
      </c>
      <c r="CC14" s="112">
        <f t="shared" ref="CC14:CC26" si="24">IF(CF14="D","&lt;0",IF(CF14="U1",SIN(((C14-$CF$2)/(INDEX($CK$5:$CP$5,1,MATCH("U1",$CK$4:$CP$4,0)+1)-$CF$2))*(PI()/2))*(IF($CN$4="M2",$CK$7,$CE$7)),IF(CF14="M1",SIN(((INDEX($CK$5:$CP$5,1,MATCH("M1",$CK$4:$CP$4,0)+1)-C14)/(INDEX($CK$5:$CP$5,1,MATCH("M1",$CK$4:$CP$4,0)+1)-$CJ$2))*(PI()/2))*$CE$7,IF(CF14="U2",SIN(((C14-$CH$2)/($CK$2-$CH$2))*(PI()/2))*$CK$7,SIN(((INDEX($CK$5:$CP$5,1,MATCH("M2",$CK$4:$CP$4,0)+1)-C14)/(INDEX($CK$5:$CP$5,1,MATCH("M2",$CK$4:$CP$4,0)+1)-$CK$2))*(PI()/2))*$CK$7))))</f>
        <v>18.069383626719606</v>
      </c>
      <c r="CD14" s="112" t="str">
        <f t="shared" si="19"/>
        <v>(18)</v>
      </c>
      <c r="CE14" s="112">
        <f t="shared" si="20"/>
        <v>99</v>
      </c>
      <c r="CF14" s="66" t="str">
        <f t="shared" si="21"/>
        <v>U1</v>
      </c>
      <c r="CI14" s="834">
        <f>INDEX('Light Data '!$H$3:$H$381,MATCH(ROUNDDOWN(C14,0),'Light Data '!$A$3:$A$381,0))-(((INDEX('Light Data '!$H$3:$H$381,MATCH(ROUNDDOWN(C14,0),'Light Data '!$A$3:$A$381,0))-(INDEX('Light Data '!$H$3:$H$381,MATCH(ROUNDDOWN(C14,0)+1,'Light Data '!$A$3:$A$381,0))))/24)*HOUR(C14))</f>
        <v>47.25</v>
      </c>
      <c r="CJ14" s="834" t="str">
        <f t="shared" si="22"/>
        <v>NA</v>
      </c>
    </row>
    <row r="15" spans="1:97" ht="15" customHeight="1" thickTop="1" thickBot="1">
      <c r="A15" s="528">
        <f t="shared" si="23"/>
        <v>16</v>
      </c>
      <c r="B15" s="526">
        <f t="shared" si="1"/>
        <v>1600</v>
      </c>
      <c r="C15" s="3640">
        <f>Worksheet!AD75</f>
        <v>44748.666666666657</v>
      </c>
      <c r="D15" s="3640"/>
      <c r="E15" s="521">
        <f>Worksheet!AF75</f>
        <v>44748.833333333328</v>
      </c>
      <c r="F15" s="77" t="str">
        <f>IF(AND(TAF!Z7="PREDOM",E15&lt;TAF!AF7),TAF!AH7,IF(AND(TAF!Z8="PREDOM",E15&lt;TAF!AF8),TAF!AH8,IF(AND(TAF!Z9="PREDOM",E15&lt;TAF!AF9),TAF!AH9,IF(AND(TAF!Z10="PREDOM",E15&lt;TAF!AF10),TAF!AH10,IF(AND(TAF!Z11="PREDOM",E15&lt;TAF!AF11),TAF!AH11,IF(AND(TAF!Z12="PREDOM",E15&lt;TAF!AF12),TAF!AH12,IF(AND(TAF!Z13="PREDOM",E15&lt;TAF!AF13),TAF!AH13,IF(AND(TAF!Z14="PREDOM",E15&lt;TAF!AF14),TAF!AH14,IF(AND(TAF!Z15="PREDOM",E15&lt;TAF!AF15),TAF!AH15,IF(AND(TAF!Z16="PREDOM",E15&lt;TAF!AE16),TAF!AH16,IF(AND(TAF!Z17="PREDOM",E15&lt;TAF!AF17),TAF!AH17,IF(AND(TAF!Z18="PREDOM",E15&lt;TAF!AF18),TAF!AH18))))))))))))</f>
        <v>240</v>
      </c>
      <c r="G15" s="78">
        <f>IF(AND(TAF!Z7="PREDOM",E15&lt;TAF!AF7),TAF!AI7,IF(AND(TAF!Z8="PREDOM",E15&lt;TAF!AF8),TAF!AI8,IF(AND(TAF!Z9="PREDOM",E15&lt;TAF!AF9),TAF!AI9,IF(AND(TAF!Z10="PREDOM",E15&lt;TAF!AF10),TAF!AI10,IF(AND(TAF!Z11="PREDOM",E15&lt;TAF!AF11),TAF!AI11,IF(AND(TAF!Z12="PREDOM",E15&lt;TAF!AF12),TAF!AI12,IF(AND(TAF!Z13="PREDOM",E15&lt;TAF!AF13),TAF!AI13,IF(AND(TAF!Z14="PREDOM",E15&lt;TAF!AF14),TAF!AI14,IF(AND(TAF!Z15="PREDOM",E15&lt;TAF!AF15),TAF!AI15,IF(AND(TAF!Z16="PREDOM",E15&lt;TAF!AE16),TAF!AI16,IF(AND(TAF!Z17="PREDOM",E15&lt;TAF!AF17),TAF!AI17,IF(AND(TAF!Z18="PREDOM",E15&lt;TAF!AF18),TAF!AI18))))))))))))</f>
        <v>10</v>
      </c>
      <c r="H15" s="79" t="str">
        <f>IF(AND(TAF!Z7="PREDOM",E15&lt;TAF!AF7),TAF!AJ7,IF(AND(TAF!Z8="PREDOM",E15&lt;TAF!AF8),TAF!AJ8,IF(AND(TAF!Z9="PREDOM",E15&lt;TAF!AF9),TAF!AJ9,IF(AND(TAF!Z10="PREDOM",E15&lt;TAF!AF10),TAF!AJ10,IF(AND(TAF!Z11="PREDOM",E15&lt;TAF!AF11),TAF!AJ11,IF(AND(TAF!Z12="PREDOM",E15&lt;TAF!AF12),TAF!AJ12,IF(AND(TAF!Z13="PREDOM",E15&lt;TAF!AF13),TAF!AJ13,IF(AND(TAF!Z14="PREDOM",E15&lt;TAF!AF14),TAF!AJ14,IF(AND(TAF!Z15="PREDOM",E15&lt;TAF!AF15),TAF!AJ15,IF(AND(TAF!Z16="PREDOM",E15&lt;TAF!AE16),TAF!AJ16,IF(AND(TAF!Z17="PREDOM",E15&lt;TAF!AF17),TAF!AJ17,IF(AND(TAF!Z18="PREDOM",E15&lt;TAF!AF18),TAF!AJ18))))))))))))</f>
        <v/>
      </c>
      <c r="I15" s="80">
        <f>IF(AND(TAF!Z7="TEMPO",NOT(E15+0.01&lt;TAF!AC7),E15&lt;TAF!AF7),TAF!AJ7,IF(AND(TAF!Z8="TEMPO",NOT(E15+0.01&lt;TAF!AC8),E15&lt;TAF!AF8),TAF!AJ8,IF(AND(TAF!Z9="TEMPO",NOT(E15+0.01&lt;TAF!AC9),E15&lt;TAF!AF9),TAF!AJ9,IF(AND(TAF!Z10="TEMPO",NOT(E15+0.01&lt;TAF!AC10),E15&lt;TAF!AF10),TAF!AJ10,IF(AND(TAF!Z11="TEMPO",NOT(E15+0.01&lt;TAF!AC11),E15&lt;TAF!AF11),TAF!AJ11,IF(AND(TAF!Z12="TEMPO",NOT(E15+0.01&lt;TAF!AC12),E15&lt;TAF!AF12),TAF!AJ12,IF(AND(TAF!Z13="TEMPO",NOT(E15+0.01&lt;TAF!AC13),E15&lt;TAF!AF13),TAF!AJ13,IF(AND(TAF!Z14="TEMPO",NOT(E15+0.01&lt;TAF!AC14),E15&lt;TAF!AF14),TAF!AJ14,IF(AND(TAF!Z15="TEMPO",NOT(E15+0.01&lt;TAF!AC15),E15&lt;TAF!AF15),TAF!AJ15,IF(AND(TAF!Z16="TEMPO",NOT(E15+0.01&lt;TAF!AC16),E15&lt;TAF!AE16),TAF!AJ16,IF(AND(TAF!Z17="TEMPO",NOT(E15+0.01&lt;TAF!AC17),E15&lt;TAF!AF17),TAF!AJ17,IF(AND(TAF!Z18="TEMPO",NOT(E15+0.01&lt;TAF!AC18),E15&lt;TAF!AF18),TAF!AJ18,""))))))))))))</f>
        <v>20</v>
      </c>
      <c r="J15" s="81">
        <f>IF(AND(TAF!Z7="PREDOM",E15&lt;TAF!AF7),TAF!AN7,IF(AND(TAF!Z8="PREDOM",E15&lt;TAF!AF8),TAF!AN8,IF(AND(TAF!Z9="PREDOM",E15&lt;TAF!AF9),TAF!AN9,IF(AND(TAF!Z10="PREDOM",E15&lt;TAF!AF10),TAF!AN10,IF(AND(TAF!Z11="PREDOM",E15&lt;TAF!AF11),TAF!AN11,IF(AND(TAF!Z12="PREDOM",E15&lt;TAF!AF12),TAF!AN12,IF(AND(TAF!Z13="PREDOM",E15&lt;TAF!AF13),TAF!AN13,IF(AND(TAF!Z14="PREDOM",E15&lt;TAF!AF14),TAF!AN14,IF(AND(TAF!Z15="PREDOM",E15&lt;TAF!AF15),TAF!AN15,IF(AND(TAF!Z16="PREDOM",E15&lt;TAF!AE16),TAF!AN16,IF(AND(TAF!Z17="PREDOM",E15&lt;TAF!AF17),TAF!AN17,IF(AND(TAF!Z18="PREDOM",E15&lt;TAF!AF18),TAF!AN18))))))))))))</f>
        <v>7</v>
      </c>
      <c r="K15" s="82">
        <f>IF(AND(TAF!Z7="TEMPO",NOT(E15+0.01&lt;TAF!AC7),E15-0.01&lt;TAF!AF7),TAF!AN7,IF(AND(TAF!Z8="TEMPO",NOT(E15+0.01&lt;TAF!AC8),E15-0.01&lt;TAF!AF8),TAF!AN8,IF(AND(TAF!Z9="TEMPO",NOT(E15+0.01&lt;TAF!AC9),E15-0.01&lt;TAF!AF9),TAF!AN9,IF(AND(TAF!Z10="TEMPO",NOT(E15+0.01&lt;TAF!AC10),E15-0.01&lt;TAF!AF10),TAF!AN10,IF(AND(TAF!Z11="TEMPO",NOT(E15+0.01&lt;TAF!AC11),E15-0.01&lt;TAF!AF11),TAF!AN11,IF(AND(TAF!Z12="TEMPO",NOT(E15+0.01&lt;TAF!AC12),E15-0.01&lt;TAF!AF12),TAF!AN12,IF(AND(TAF!Z13="TEMPO",NOT(E15+0.01&lt;TAF!AC13),E15-0.01&lt;TAF!AF13),TAF!AN13,IF(AND(TAF!Z14="TEMPO",NOT(E15+0.01&lt;TAF!AC14),E15-0.01&lt;TAF!AF14),TAF!AN14,IF(AND(TAF!Z15="TEMPO",NOT(E15+0.01&lt;TAF!AC15),E15-0.01&lt;TAF!AF15),TAF!AN15,IF(AND(TAF!Z16="TEMPO",NOT(E15+0.01&lt;TAF!AC16),E15-0.01&lt;TAF!AE16),TAF!AN16,IF(AND(TAF!Z17="TEMPO",NOT(E15+0.01&lt;TAF!AC17),E15-0.01&lt;TAF!AF17),TAF!AN17,IF(AND(TAF!Z18="TEMPO",NOT(E15+0.01&lt;TAF!AC18),E15-0.01&lt;TAF!AF18),TAF!AN18,""))))))))))))</f>
        <v>3</v>
      </c>
      <c r="L15" s="83" t="str">
        <f t="shared" si="13"/>
        <v/>
      </c>
      <c r="M15" s="84" t="str">
        <f>IF(AND(TAF!Z7="PREDOM",E15&lt;TAF!AF7),TAF!AP7,IF(AND(TAF!Z8="PREDOM",E15&lt;TAF!AF8),TAF!AP8,IF(AND(TAF!Z9="PREDOM",E15&lt;TAF!AF9),TAF!AP9,IF(AND(TAF!Z10="PREDOM",E15&lt;TAF!AF10),TAF!AP10,IF(AND(TAF!Z11="PREDOM",E15&lt;TAF!AF11),TAF!AP11,IF(AND(TAF!Z12="PREDOM",E15&lt;TAF!AF12),TAF!AP12,IF(AND(TAF!Z13="PREDOM",E15&lt;TAF!AF13),TAF!AP13,IF(AND(TAF!Z14="PREDOM",E15&lt;TAF!AF14),TAF!AP14,IF(AND(TAF!Z15="PREDOM",E15&lt;TAF!AF15),TAF!AP15,IF(AND(TAF!Z16="PREDOM",E15&lt;TAF!AE16),TAF!AP16,IF(AND(TAF!Z17="PREDOM",E15&lt;TAF!AF17),TAF!AP17,IF(AND(TAF!Z18="PREDOM",E15&lt;TAF!AF18),TAF!AP18))))))))))))</f>
        <v/>
      </c>
      <c r="N15" s="85" t="str">
        <f t="shared" si="14"/>
        <v>N</v>
      </c>
      <c r="O15" s="85" t="str">
        <f t="shared" si="15"/>
        <v>TS</v>
      </c>
      <c r="P15" s="84" t="str">
        <f>IF(AND(TAF!Z7="TEMPO",NOT(E15+0.01&lt;TAF!AC7),E15-0.01&lt;TAF!AF7),TAF!AP7,IF(AND(TAF!Z8="TEMPO",NOT(E15+0.01&lt;TAF!AC8),E15-0.01&lt;TAF!AF8),TAF!AP8,IF(AND(TAF!Z9="TEMPO",NOT(E15+0.01&lt;TAF!AC9),E15-0.01&lt;TAF!AF9),TAF!AP9,IF(AND(TAF!Z10="TEMPO",NOT(E15+0.01&lt;TAF!AC10),E15-0.01&lt;TAF!AF10),TAF!AP10,IF(AND(TAF!Z11="TEMPO",NOT(E15+0.01&lt;TAF!AC11),E15-0.01&lt;TAF!AF11),TAF!AP11,IF(AND(TAF!Z12="TEMPO",NOT(E15+0.01&lt;TAF!AC12),E15-0.01&lt;TAF!AF12),TAF!AP12,IF(AND(TAF!Z13="TEMPO",NOT(E15+0.01&lt;TAF!AC13),E15-0.01&lt;TAF!AF13),TAF!AP13,IF(AND(TAF!Z14="TEMPO",NOT(E15+0.01&lt;TAF!AC14),E15-0.01&lt;TAF!AF14),TAF!AP14,IF(AND(TAF!Z15="TEMPO",NOT(E15+0.01&lt;TAF!AC15),E15-0.01&lt;TAF!AF15),TAF!AP15,IF(AND(TAF!Z16="TEMPO",NOT(E15+0.01&lt;TAF!AC16),E15-0.01&lt;TAF!AE16),TAF!AP16,IF(AND(TAF!Z17="TEMPO",NOT(E15+0.01&lt;TAF!AC17),E15-0.01&lt;TAF!AF17),TAF!AP17,IF(AND(TAF!Z18="TEMPO",NOT(E15+0.01&lt;TAF!AC18),E15-0.01&lt;TAF!AF18),TAF!AP18,""))))))))))))</f>
        <v>-TSRA</v>
      </c>
      <c r="Q15" s="889" t="str">
        <f t="shared" si="2"/>
        <v>Y</v>
      </c>
      <c r="R15" s="86">
        <f>IF(AND(TAF!Z7="PREDOM",E15&lt;TAF!AF7),TAF!AW7,IF(AND(TAF!Z8="PREDOM",E15&lt;TAF!AF8),TAF!AW8,IF(AND(TAF!Z9="PREDOM",E15&lt;TAF!AF9),TAF!AW9,IF(AND(TAF!Z10="PREDOM",E15&lt;TAF!AF10),TAF!AW10,IF(AND(TAF!Z11="PREDOM",E15&lt;TAF!AF11),TAF!AW11,IF(AND(TAF!Z12="PREDOM",E15&lt;TAF!AF12),TAF!AW12,IF(AND(TAF!Z13="PREDOM",E15&lt;TAF!AF13),TAF!AW13,IF(AND(TAF!Z14="PREDOM",E15&lt;TAF!AF14),TAF!AW14,IF(AND(TAF!Z15="PREDOM",E15&lt;TAF!AF15),TAF!AW15,IF(AND(TAF!Z16="PREDOM",E15&lt;TAF!AE16),TAF!AW16,IF(AND(TAF!Z17="PREDOM",E15&lt;TAF!AF17),TAF!AW17,IF(AND(TAF!Z18="PREDOM",E15&lt;TAF!AF18),TAF!AW18))))))))))))</f>
        <v>250</v>
      </c>
      <c r="S15" s="87">
        <f>IF(AND(TAF!Z7="TEMPO",NOT(E15+0.01&lt;TAF!AC7),E15-0.01&lt;TAF!AF7),TAF!AW7,IF(AND(TAF!Z8="TEMPO",NOT(E15+0.01&lt;TAF!AC8),E15-0.01&lt;TAF!AF8),TAF!AW8,IF(AND(TAF!Z9="TEMPO",NOT(E15+0.01&lt;TAF!AC9),E15-0.01&lt;TAF!AF9),TAF!AW9,IF(AND(TAF!Z10="TEMPO",NOT(E15+0.01&lt;TAF!AC10),E15-0.01&lt;TAF!AF10),TAF!AW10,IF(AND(TAF!Z11="TEMPO",NOT(E15+0.01&lt;TAF!AC11),E15-0.01&lt;TAF!AF11),TAF!AW11,IF(AND(TAF!Z12="TEMPO",NOT(E15+0.01&lt;TAF!AC12),E15-0.01&lt;TAF!AF12),TAF!AW12,IF(AND(TAF!Z13="TEMPO",NOT(E15+0.01&lt;TAF!AC13),E15-0.01&lt;TAF!AF13),TAF!AW13,IF(AND(TAF!Z14="TEMPO",NOT(E15+0.01&lt;TAF!AC14),E15-0.01&lt;TAF!AF14),TAF!AW14,IF(AND(TAF!Z15="TEMPO",NOT(E15+0.01&lt;TAF!AC15),E15-0.01&lt;TAF!AF15),TAF!AW15,IF(AND(TAF!Z16="TEMPO",NOT(E15+0.01&lt;TAF!AC16),E15-0.01&lt;TAF!AE16),TAF!AW16,IF(AND(TAF!Z17="TEMPO",NOT(E15+0.01&lt;TAF!AC17),E15-0.01&lt;TAF!AF17),TAF!AW17,IF(AND(TAF!Z18="TEMPO",NOT(E15+0.01&lt;TAF!AC18),E15-0.01&lt;TAF!AF18),TAF!AW18,""))))))))))))</f>
        <v>40</v>
      </c>
      <c r="T15" s="88">
        <f t="shared" si="3"/>
        <v>36.666666666666671</v>
      </c>
      <c r="U15" s="89">
        <f>Worksheet!AP75</f>
        <v>98</v>
      </c>
      <c r="V15" s="90">
        <f>Worksheet!BB75</f>
        <v>73</v>
      </c>
      <c r="W15" s="91">
        <f t="shared" si="16"/>
        <v>0.4503371222797285</v>
      </c>
      <c r="X15" s="100">
        <f>IF(X5="Wind Chill",IF(G15=0,U15,IF(U15&lt;56,35.74+(0.6215*U15)-(35.75*(G15^0.16))+(0.4275*U15*(G15^0.16)),"NA")),IF(X5="WBGT",1.8*((0.7*BL15)+(0.1*BN15)+(0.2*BT15))+32))</f>
        <v>92.555102510704486</v>
      </c>
      <c r="Y15" s="93">
        <f>Worksheet!BQ75</f>
        <v>29.92</v>
      </c>
      <c r="Z15" s="1890">
        <f>Worksheet!BT75</f>
        <v>755.92484854294287</v>
      </c>
      <c r="AA15" s="1891">
        <f>Worksheet!BV75</f>
        <v>3535.5325925567472</v>
      </c>
      <c r="AB15" s="896" t="str">
        <f>IF(AND(TAF!Z7="PREDOM",E15&lt;TAF!AF7),TAF!BS7,IF(AND(TAF!Z8="PREDOM",E15&lt;TAF!AF8),TAF!BS8,IF(AND(TAF!Z9="PREDOM",E15&lt;TAF!AF9),TAF!BS9,IF(AND(TAF!Z10="PREDOM",E15&lt;TAF!AF10),TAF!BS10,IF(AND(TAF!Z11="PREDOM",E15&lt;TAF!AF11),TAF!BS11,IF(AND(TAF!Z12="PREDOM",E15&lt;TAF!AF12),TAF!BS12,IF(AND(TAF!Z13="PREDOM",E15&lt;TAF!AF13),TAF!BS13,IF(AND(TAF!Z14="PREDOM",E15&lt;TAF!AF14),TAF!BS14,IF(AND(TAF!Z15="PREDOM",E15&lt;TAF!AF15),TAF!BS15,IF(AND(TAF!Z16="PREDOM",E15&lt;TAF!AE16),TAF!BS16,IF(AND(TAF!Z17="PREDOM",E15&lt;TAF!AF17),TAF!BS17,IF(AND(TAF!Z18="PREDOM",E15&lt;TAF!AF18),TAF!BS18))))))))))))</f>
        <v/>
      </c>
      <c r="AC15" s="899" t="str">
        <f>IF(AB15="","",IF(AND(TAF!$Z$7="PREDOM",E15&lt;TAF!$AF$7),TAF!$BT$7,IF(AND(TAF!$Z$8="PREDOM",E15&lt;TAF!$AF$8),TAF!$BT$8,IF(AND(TAF!$Z$9="PREDOM",E15&lt;TAF!$AF$9),TAF!$BT$9,IF(AND(TAF!$Z$10="PREDOM",E15&lt;TAF!$AF$10),TAF!$BT$10,IF(AND(TAF!$Z$11="PREDOM",E15&lt;TAF!$AF$11),TAF!$BT$11,IF(AND(TAF!$Z$12="PREDOM",E15&lt;TAF!$AF$12),TAF!$BT$12,IF(AND(TAF!$Z$13="PREDOM",E15&lt;TAF!$AF$13),TAF!$BT$13,IF(AND(TAF!$Z$14="PREDOM",E15&lt;TAF!$AF$14),TAF!$BT$14,IF(AND(TAF!$Z$15="PREDOM",E15&lt;TAF!$AF$15),TAF!$BT$15,IF(AND(TAF!$Z$16="PREDOM",E15&lt;TAF!AE23),TAF!$BT$16,IF(AND(TAF!$Z$17="PREDOM",E15&lt;TAF!$AF$17),TAF!$BT$17,IF(AND(TAF!$Z$18="PREDOM",E15&lt;TAF!$AF$18),TAF!$BT$18)))))))))))))</f>
        <v/>
      </c>
      <c r="AD15" s="902" t="str">
        <f>IF(AB15="","",IF(AND(TAF!$Z$7="PREDOM",E15&lt;TAF!$AF$7),TAF!$BU$7,IF(AND(TAF!$Z$8="PREDOM",E15&lt;TAF!$AF$8),TAF!$BU$8,IF(AND(TAF!$Z$9="PREDOM",E15&lt;TAF!$AF$9),TAF!$BU$9,IF(AND(TAF!$Z$10="PREDOM",E15&lt;TAF!$AF$10),TAF!$BU$10,IF(AND(TAF!$Z$11="PREDOM",E15&lt;TAF!$AF$11),TAF!$BU$11,IF(AND(TAF!$Z$12="PREDOM",E15&lt;TAF!$AF$12),TAF!$BU$12,IF(AND(TAF!$Z$13="PREDOM",E15&lt;TAF!$AF$13),TAF!$BU$13,IF(AND(TAF!$Z$14="PREDOM",E15&lt;TAF!$AF$14),TAF!$BU$14,IF(AND(TAF!$Z$15="PREDOM",E15&lt;TAF!$AF$15),TAF!$BU$15,IF(AND(TAF!$Z$16="PREDOM",E15&lt;TAF!AE23),TAF!$BU$16,IF(AND(TAF!$Z$17="PREDOM",E15&lt;TAF!$AF$17),TAF!$BU$17,IF(AND(TAF!$Z$18="PREDOM",E15&lt;TAF!$AF$18),TAF!$BU$18)))))))))))))</f>
        <v/>
      </c>
      <c r="AE15" s="896" t="str">
        <f>IF(AND(TAF!Z7="PREDOM",E15&lt;TAF!AF7),TAF!BV7,IF(AND(TAF!Z8="PREDOM",E15&lt;TAF!AF8),TAF!BV8,IF(AND(TAF!Z9="PREDOM",E15&lt;TAF!AF9),TAF!BV9,IF(AND(TAF!Z10="PREDOM",E15&lt;TAF!AF10),TAF!BV10,IF(AND(TAF!Z11="PREDOM",E15&lt;TAF!AF11),TAF!BV11,IF(AND(TAF!Z12="PREDOM",E15&lt;TAF!AF12),TAF!BV12,IF(AND(TAF!Z13="PREDOM",E15&lt;TAF!AF13),TAF!BV13,IF(AND(TAF!Z14="PREDOM",E15&lt;TAF!AF14),TAF!BV14,IF(AND(TAF!Z15="PREDOM",E15&lt;TAF!AF15),TAF!BV15,IF(AND(TAF!Z16="PREDOM",E15&lt;TAF!AE16),TAF!BV16,IF(AND(TAF!Z17="PREDOM",E15&lt;TAF!AF17),TAF!BV17,IF(AND(TAF!Z18="PREDOM",E15&lt;TAF!AF18),TAF!BV18))))))))))))</f>
        <v/>
      </c>
      <c r="AF15" s="899" t="str">
        <f>IF(AE15="","",IF(AND(TAF!$Z$7="PREDOM",E15&lt;TAF!$AF$7),TAF!$BW$7,IF(AND(TAF!$Z$8="PREDOM",E15&lt;TAF!$AF$8),TAF!$BW$8,IF(AND(TAF!$Z$9="PREDOM",E15&lt;TAF!$AF$9),TAF!$BW$9,IF(AND(TAF!$Z$10="PREDOM",E15&lt;TAF!$AF$10),TAF!$BW$10,IF(AND(TAF!$Z$11="PREDOM",E15&lt;TAF!$AF$11),TAF!$BW$11,IF(AND(TAF!$Z$12="PREDOM",E15&lt;TAF!$AF$12),TAF!$BW$12,IF(AND(TAF!$Z$13="PREDOM",E15&lt;TAF!$AF$13),TAF!$BW$13,IF(AND(TAF!$Z$14="PREDOM",E15&lt;TAF!$AF$14),TAF!$BW$14,IF(AND(TAF!$Z$15="PREDOM",E15&lt;TAF!$AF$15),TAF!$BW$15,IF(AND(TAF!$Z$16="PREDOM",E15&lt;TAF!AE23),TAF!$BW$16,IF(AND(TAF!$Z$17="PREDOM",E15&lt;TAF!$AF$17),TAF!$BW$17,IF(AND(TAF!$Z$18="PREDOM",E15&lt;TAF!$AF$18),TAF!$BW$18)))))))))))))</f>
        <v/>
      </c>
      <c r="AG15" s="902" t="str">
        <f>IF(AE15="","",IF(AND(TAF!$Z$7="PREDOM",E15&lt;TAF!$AF$7),TAF!$BX$7,IF(AND(TAF!$Z$8="PREDOM",E15&lt;TAF!$AF$8),TAF!$BX$8,IF(AND(TAF!$Z$9="PREDOM",E15&lt;TAF!$AF$9),TAF!$BX$9,IF(AND(TAF!$Z$10="PREDOM",E15&lt;TAF!$AF$10),TAF!$BX$10,IF(AND(TAF!$Z$11="PREDOM",E15&lt;TAF!$AF$11),TAF!$BX$11,IF(AND(TAF!$Z$12="PREDOM",E15&lt;TAF!$AF$12),TAF!$BX$12,IF(AND(TAF!$Z$13="PREDOM",E15&lt;TAF!$AF$13),TAF!$BX$13,IF(AND(TAF!$Z$14="PREDOM",E15&lt;TAF!$AF$14),TAF!$BX$14,IF(AND(TAF!$Z$15="PREDOM",E15&lt;TAF!$AF$15),TAF!$BX$15,IF(AND(TAF!$Z$16="PREDOM",E15&lt;TAF!AE23),TAF!$BX$16,IF(AND(TAF!$Z$17="PREDOM",E15&lt;TAF!$AF$17),TAF!$BX$17,IF(AND(TAF!$Z$18="PREDOM",E15&lt;TAF!$AF$18),TAF!$BX$18)))))))))))))</f>
        <v/>
      </c>
      <c r="AH15" s="894" t="str">
        <f>IF(AND(TAF!$Z$7="PREDOM",E15&lt;TAF!$AF$7),TAF!$BY$7,IF(AND(TAF!$Z$8="PREDOM",E15&lt;TAF!$AF$8),TAF!$BY$8,IF(AND(TAF!$Z$9="PREDOM",E15&lt;TAF!$AF$9),TAF!$BY$9,IF(AND(TAF!$Z$10="PREDOM",E15&lt;TAF!$AF$10),TAF!$BY$10,IF(AND(TAF!$Z$11="PREDOM",E15&lt;TAF!$AF$11),TAF!$BY$11,IF(AND(TAF!$Z$12="PREDOM",E15&lt;TAF!$AF$12),TAF!$BY$12,IF(AND(TAF!$Z$13="PREDOM",E15&lt;TAF!$AF$13),TAF!$BY$13,IF(AND(TAF!$Z$14="PREDOM",E15&lt;TAF!$AF$14),TAF!$BY$14,IF(AND(TAF!$Z$15="PREDOM",E15&lt;TAF!$AF$15),TAF!$BY$15,IF(AND(TAF!$Z$16="PREDOM",E15&lt;TAF!$AF$16),TAF!$BY$16,IF(AND(TAF!$Z$17="PREDOM",E15&lt;TAF!$AF$17),TAF!$BY$17,IF(AND(TAF!$Z$18="PREDOM",E15&lt;TAF!$AF$18),TAF!$BY$18))))))))))))</f>
        <v/>
      </c>
      <c r="AI15" s="899" t="str">
        <f>IF(AH15="","",IF(AND(TAF!$Z$7="PREDOM",E15&lt;TAF!$AF$7),TAF!$BZ$7,IF(AND(TAF!$Z$8="PREDOM",E15&lt;TAF!$AF$8),TAF!$BZ$8,IF(AND(TAF!$Z$9="PREDOM",E15&lt;TAF!$AF$9),TAF!$BZ$9,IF(AND(TAF!$Z$10="PREDOM",E15&lt;TAF!$AF$10),TAF!$BZ$10,IF(AND(TAF!$Z$11="PREDOM",E15&lt;TAF!$AF$11),TAF!$BZ$11,IF(AND(TAF!$Z$12="PREDOM",E15&lt;TAF!$AF$12),TAF!$BZ$12,IF(AND(TAF!$Z$13="PREDOM",E15&lt;TAF!$AF$13),TAF!$BZ$13,IF(AND(TAF!$Z$14="PREDOM",E15&lt;TAF!$AF$14),TAF!$BZ$14,IF(AND(TAF!$Z$15="PREDOM",E15&lt;TAF!$AF$15),TAF!$BZ$15,IF(AND(TAF!$Z$16="PREDOM",E15&lt;TAF!AE23),TAF!$BZ$16,IF(AND(TAF!$Z$17="PREDOM",E15&lt;TAF!$AF$17),TAF!$BZ$17,IF(AND(TAF!$Z$18="PREDOM",E15&lt;TAF!$AF$18),TAF!$BZ$18)))))))))))))</f>
        <v/>
      </c>
      <c r="AJ15" s="902" t="str">
        <f>IF(AH15="","",IF(AND(TAF!$Z$7="PREDOM",E15&lt;TAF!$AF$7),TAF!$CA$7,IF(AND(TAF!$Z$8="PREDOM",E15&lt;TAF!$AF$8),TAF!$CA$8,IF(AND(TAF!$Z$9="PREDOM",E15&lt;TAF!$AF$9),TAF!$CA$9,IF(AND(TAF!$Z$10="PREDOM",E15&lt;TAF!$AF$10),TAF!$CA$10,IF(AND(TAF!$Z$11="PREDOM",E15&lt;TAF!$AF$11),TAF!$CA$11,IF(AND(TAF!$Z$12="PREDOM",E15&lt;TAF!$AF$12),TAF!$CA$12,IF(AND(TAF!$Z$13="PREDOM",E15&lt;TAF!$AF$13),TAF!$CA$13,IF(AND(TAF!$Z$14="PREDOM",E15&lt;TAF!$AF$14),TAF!$CA$14,IF(AND(TAF!$Z$15="PREDOM",E15&lt;TAF!$AF$15),TAF!$CA$15,IF(AND(TAF!$Z$16="PREDOM",E15&lt;TAF!AE23),TAF!$CA$16,IF(AND(TAF!$Z$17="PREDOM",E15&lt;TAF!$AF$17),TAF!$CA$17,IF(AND(TAF!$Z$18="PREDOM",E15&lt;TAF!$AF$18),TAF!$CA$18)))))))))))))</f>
        <v/>
      </c>
      <c r="AK15" s="95" t="str">
        <f>IF(AND(TAF!Z7="TEMPO",NOT(E15+0.01&lt;TAF!AC7),E15-0.01&lt;TAF!AF7),TAF!CB7,IF(AND(TAF!Z8="TEMPO",NOT(E15+0.01&lt;TAF!AC8),E15-0.01&lt;TAF!AF8),TAF!CB8,IF(AND(TAF!Z9="TEMPO",NOT(E15+0.01&lt;TAF!AC9),E15-0.01&lt;TAF!AF9),TAF!CB9,IF(AND(TAF!Z10="TEMPO",NOT(E15+0.01&lt;TAF!AC10),E15-0.01&lt;TAF!AF10),TAF!CB10,IF(AND(TAF!Z11="TEMPO",NOT(E15+0.01&lt;TAF!AC11),E15-0.01&lt;TAF!AF11),TAF!CB11,IF(AND(TAF!Z12="TEMPO",NOT(E15+0.01&lt;TAF!AC12),E15-0.01&lt;TAF!AF12),TAF!CB12,IF(AND(TAF!Z13="TEMPO",NOT(E15+0.01&lt;TAF!AC13),E15-0.01&lt;TAF!AF13),TAF!CB13,IF(AND(TAF!Z14="TEMPO",NOT(E15+0.01&lt;TAF!AC14),E15-0.01&lt;TAF!AF14),TAF!CB14,IF(AND(TAF!Z15="TEMPO",NOT(E15+0.01&lt;TAF!AC15),E15-0.01&lt;TAF!AF15),TAF!CB15,IF(AND(TAF!Z16="TEMPO",NOT(E15+0.01&lt;TAF!AC16),E15-0.01&lt;TAF!AE16),TAF!CB16,IF(AND(TAF!Z17="TEMPO",NOT(E15+0.01&lt;TAF!AC17),E15-0.01&lt;TAF!AF17),TAF!CB17,IF(AND(TAF!Z18="TEMPO",NOT(E15+0.01&lt;TAF!AC18),E15-0.01&lt;TAF!AF18),TAF!CB18,""))))))))))))</f>
        <v/>
      </c>
      <c r="AL15" s="896" t="str">
        <f>IF(AND(TAF!Z7="PREDOM",E15&lt;TAF!AF7),TAF!BG7,IF(AND(TAF!Z8="PREDOM",E15&lt;TAF!AF8),TAF!BG8,IF(AND(TAF!Z9="PREDOM",E15&lt;TAF!AF9),TAF!BG9,IF(AND(TAF!Z10="PREDOM",E15&lt;TAF!AF10),TAF!BG10,IF(AND(TAF!Z11="PREDOM",E15&lt;TAF!AF11),TAF!BG11,IF(AND(TAF!Z12="PREDOM",E15&lt;TAF!AF12),TAF!BG12,IF(AND(TAF!Z13="PREDOM",E15&lt;TAF!AF13),TAF!BG13,IF(AND(TAF!Z14="PREDOM",E15&lt;TAF!AF14),TAF!BG14,IF(AND(TAF!Z15="PREDOM",E15&lt;TAF!AF15),TAF!BG15,IF(AND(TAF!Z16="PREDOM",E15&lt;TAF!AE16),TAF!BG16,IF(AND(TAF!Z17="PREDOM",E15&lt;TAF!AF17),TAF!BG17,IF(AND(TAF!Z18="PREDOM",E15&lt;TAF!AF18),TAF!BG18))))))))))))</f>
        <v/>
      </c>
      <c r="AM15" s="899" t="str">
        <f>IF(AND(TAF!Z7="PREDOM",E15&lt;TAF!AF7),TAF!BH7,IF(AND(TAF!Z8="PREDOM",E15&lt;TAF!AF8),TAF!BH8,IF(AND(TAF!Z9="PREDOM",E15&lt;TAF!AF9),TAF!BH9,IF(AND(TAF!Z10="PREDOM",E15&lt;TAF!AF10),TAF!BH10,IF(AND(TAF!Z11="PREDOM",E15&lt;TAF!AF11),TAF!BH11,IF(AND(TAF!Z12="PREDOM",E15&lt;TAF!AF12),TAF!BH12,IF(AND(TAF!Z13="PREDOM",E15&lt;TAF!AF13),TAF!BH13,IF(AND(TAF!Z14="PREDOM",E15&lt;TAF!AF14),TAF!BH14,IF(AND(TAF!Z15="PREDOM",E15&lt;TAF!AF15),TAF!BH15,IF(AND(TAF!Z16="PREDOM",E15&lt;TAF!AE16),TAF!BH16,IF(AND(TAF!Z17="PREDOM",E15&lt;TAF!AF17),TAF!BH17,IF(AND(TAF!Z18="PREDOM",E15&lt;TAF!AF18),TAF!BH18))))))))))))</f>
        <v/>
      </c>
      <c r="AN15" s="902" t="str">
        <f>IF(AND(TAF!Z7="PREDOM",E15&lt;TAF!AF7),TAF!BI7,IF(AND(TAF!Z8="PREDOM",E15&lt;TAF!AF8),TAF!BI8,IF(AND(TAF!Z9="PREDOM",E15&lt;TAF!AF9),TAF!BI9,IF(AND(TAF!Z10="PREDOM",E15&lt;TAF!AF10),TAF!BI10,IF(AND(TAF!Z11="PREDOM",E15&lt;TAF!AF11),TAF!BI11,IF(AND(TAF!Z12="PREDOM",E15&lt;TAF!AF12),TAF!BI12,IF(AND(TAF!Z13="PREDOM",E15&lt;TAF!AF13),TAF!BI13,IF(AND(TAF!Z14="PREDOM",E15&lt;TAF!AF14),TAF!BI14,IF(AND(TAF!Z15="PREDOM",E15&lt;TAF!AF15),TAF!BI15,IF(AND(TAF!Z16="PREDOM",E15&lt;TAF!AE16),TAF!BI16,IF(AND(TAF!Z17="PREDOM",E15&lt;TAF!AF17),TAF!BI17,IF(AND(TAF!Z18="PREDOM",E15&lt;TAF!AF18),TAF!BI18))))))))))))</f>
        <v/>
      </c>
      <c r="AO15" s="896" t="str">
        <f>IF(AND(TAF!Z7="PREDOM",E15&lt;TAF!AF7),TAF!BJ7,IF(AND(TAF!Z8="PREDOM",E15&lt;TAF!AF8),TAF!BJ8,IF(AND(TAF!Z9="PREDOM",E15&lt;TAF!AF9),TAF!BJ9,IF(AND(TAF!Z10="PREDOM",E15&lt;TAF!AF10),TAF!BJ10,IF(AND(TAF!Z11="PREDOM",E15&lt;TAF!AF11),TAF!BJ11,IF(AND(TAF!Z12="PREDOM",E15&lt;TAF!AF12),TAF!BJ12,IF(AND(TAF!Z13="PREDOM",E15&lt;TAF!AF13),TAF!BJ13,IF(AND(TAF!Z14="PREDOM",E15&lt;TAF!AF14),TAF!BJ14,IF(AND(TAF!Z15="PREDOM",E15&lt;TAF!AF15),TAF!BJ15,IF(AND(TAF!Z16="PREDOM",E15&lt;TAF!AE16),TAF!BJ16,IF(AND(TAF!Z17="PREDOM",E15&lt;TAF!AF17),TAF!BJ17,IF(AND(TAF!Z18="PREDOM",E15&lt;TAF!AF18),TAF!BJ18))))))))))))</f>
        <v/>
      </c>
      <c r="AP15" s="911" t="str">
        <f>IF(AND(TAF!Z7="PREDOM",E15&lt;TAF!AF7),TAF!BK7,IF(AND(TAF!Z8="PREDOM",E15&lt;TAF!AF8),TAF!BK8,IF(AND(TAF!Z9="PREDOM",E15&lt;TAF!AF9),TAF!BK9,IF(AND(TAF!Z10="PREDOM",E15&lt;TAF!AF10),TAF!BK10,IF(AND(TAF!Z11="PREDOM",E15&lt;TAF!AF11),TAF!BK11,IF(AND(TAF!Z12="PREDOM",E15&lt;TAF!AF12),TAF!BK12,IF(AND(TAF!Z13="PREDOM",E15&lt;TAF!AF13),TAF!BK13,IF(AND(TAF!Z14="PREDOM",E15&lt;TAF!AF14),TAF!BK14,IF(AND(TAF!Z15="PREDOM",E15&lt;TAF!AF15),TAF!BK15,IF(AND(TAF!Z16="PREDOM",E15&lt;TAF!AE16),TAF!BK16,IF(AND(TAF!Z17="PREDOM",E15&lt;TAF!AF17),TAF!BK17,IF(AND(TAF!Z18="PREDOM",E15&lt;TAF!AF18),TAF!BK18))))))))))))</f>
        <v/>
      </c>
      <c r="AQ15" s="907" t="str">
        <f>IF(AND(TAF!Z7="PREDOM",E15&lt;TAF!AF7),TAF!BL7,IF(AND(TAF!Z8="PREDOM",E15&lt;TAF!AF8),TAF!BL8,IF(AND(TAF!Z9="PREDOM",E15&lt;TAF!AF9),TAF!BL9,IF(AND(TAF!Z10="PREDOM",E15&lt;TAF!AF10),TAF!BL10,IF(AND(TAF!Z11="PREDOM",E15&lt;TAF!AF11),TAF!BL11,IF(AND(TAF!Z12="PREDOM",E15&lt;TAF!AF12),TAF!BL12,IF(AND(TAF!Z13="PREDOM",E15&lt;TAF!AF13),TAF!BL13,IF(AND(TAF!Z14="PREDOM",E15&lt;TAF!AF14),TAF!BL14,IF(AND(TAF!Z15="PREDOM",E15&lt;TAF!AF15),TAF!BL15,IF(AND(TAF!Z16="PREDOM",E15&lt;TAF!AE16),TAF!BL16,IF(AND(TAF!Z17="PREDOM",E15&lt;TAF!AF17),TAF!BL17,IF(AND(TAF!Z18="PREDOM",E15&lt;TAF!AF18),TAF!BL18))))))))))))</f>
        <v/>
      </c>
      <c r="AR15" s="894" t="str">
        <f>IF(AND(TAF!Z7="PREDOM",E15&lt;TAF!AF7),TAF!BM7,IF(AND(TAF!Z8="PREDOM",E15&lt;TAF!AF8),TAF!BM8,IF(AND(TAF!Z9="PREDOM",E15&lt;TAF!AF9),TAF!BM9,IF(AND(TAF!Z10="PREDOM",E15&lt;TAF!AF10),TAF!BM10,IF(AND(TAF!Z11="PREDOM",E15&lt;TAF!AF11),TAF!BM11,IF(AND(TAF!Z12="PREDOM",E15&lt;TAF!AF12),TAF!BM12,IF(AND(TAF!Z13="PREDOM",E15&lt;TAF!AF13),TAF!BM13,IF(AND(TAF!Z14="PREDOM",E15&lt;TAF!AF14),TAF!BM14,IF(AND(TAF!Z15="PREDOM",E15&lt;TAF!AF15),TAF!BM15,IF(AND(TAF!Z16="PREDOM",E15&lt;TAF!AE16),TAF!BM16,IF(AND(TAF!Z17="PREDOM",E15&lt;TAF!AF17),TAF!BM17,IF(AND(TAF!Z18="PREDOM",E15&lt;TAF!AF18),TAF!BM18))))))))))))</f>
        <v/>
      </c>
      <c r="AS15" s="911" t="str">
        <f>IF(AND(TAF!Z7="PREDOM",E15&lt;TAF!AF7),TAF!BN7,IF(AND(TAF!Z8="PREDOM",E15&lt;TAF!AF8),TAF!BN8,IF(AND(TAF!Z9="PREDOM",E15&lt;TAF!AF9),TAF!BN9,IF(AND(TAF!Z10="PREDOM",E15&lt;TAF!AF10),TAF!BN10,IF(AND(TAF!Z11="PREDOM",E15&lt;TAF!AF11),TAF!BN11,IF(AND(TAF!Z12="PREDOM",E15&lt;TAF!AF12),TAF!BN12,IF(AND(TAF!Z13="PREDOM",E15&lt;TAF!AF13),TAF!BN13,IF(AND(TAF!Z14="PREDOM",E15&lt;TAF!AF14),TAF!BN14,IF(AND(TAF!Z15="PREDOM",E15&lt;TAF!AF15),TAF!BN15,IF(AND(TAF!Z16="PREDOM",E15&lt;TAF!AE16),TAF!BN16,IF(AND(TAF!Z17="PREDOM",E15&lt;TAF!AF17),TAF!BN17,IF(AND(TAF!Z18="PREDOM",E15&lt;TAF!AF18),TAF!BN18))))))))))))</f>
        <v/>
      </c>
      <c r="AT15" s="907" t="str">
        <f>IF(AND(TAF!Z7="PREDOM",E15&lt;TAF!AF7),TAF!BO7,IF(AND(TAF!Z8="PREDOM",E15&lt;TAF!AF8),TAF!BO8,IF(AND(TAF!Z9="PREDOM",E15&lt;TAF!AF9),TAF!BO9,IF(AND(TAF!Z10="PREDOM",E15&lt;TAF!AF10),TAF!BO10,IF(AND(TAF!Z11="PREDOM",E15&lt;TAF!AF11),TAF!BO11,IF(AND(TAF!Z12="PREDOM",E15&lt;TAF!AF12),TAF!BO12,IF(AND(TAF!Z13="PREDOM",E15&lt;TAF!AF13),TAF!BO13,IF(AND(TAF!Z14="PREDOM",E15&lt;TAF!AF14),TAF!BO14,IF(AND(TAF!Z15="PREDOM",E15&lt;TAF!AF15),TAF!BO15,IF(AND(TAF!Z16="PREDOM",E15&lt;TAF!AE16),TAF!BO16,IF(AND(TAF!Z17="PREDOM",E15&lt;TAF!AF17),TAF!BO17,IF(AND(TAF!Z18="PREDOM",E15&lt;TAF!AF18),TAF!BO18))))))))))))</f>
        <v/>
      </c>
      <c r="AU15" s="95" t="str">
        <f>IF(AND(TAF!Z7="TEMPO",NOT(E15+0.01&lt;TAF!AC7),E15-0.01&lt;TAF!AF7),TAF!BP7,IF(AND(TAF!Z8="TEMPO",NOT(E15+0.01&lt;TAF!AC8),E15-0.01&lt;TAF!AF8),TAF!BP8,IF(AND(TAF!Z9="TEMPO",NOT(E15+0.01&lt;TAF!AC9),E15-0.01&lt;TAF!AF9),TAF!BP9,IF(AND(TAF!Z10="TEMPO",NOT(E15+0.01&lt;TAF!AC10),E15-0.01&lt;TAF!AF10),TAF!BP10,IF(AND(TAF!Z11="TEMPO",NOT(E15+0.01&lt;TAF!AC11),E15-0.01&lt;TAF!AF11),TAF!BP11,IF(AND(TAF!Z12="TEMPO",NOT(E15+0.01&lt;TAF!AC12),E15-0.01&lt;TAF!AF12),TAF!BP12,IF(AND(TAF!Z13="TEMPO",NOT(E15+0.01&lt;TAF!AC13),E15-0.01&lt;TAF!AF13),TAF!BP13,IF(AND(TAF!Z14="TEMPO",NOT(E15+0.01&lt;TAF!AC14),E15-0.01&lt;TAF!AF14),TAF!BP14,IF(AND(TAF!Z15="TEMPO",NOT(E15+0.01&lt;TAF!AC15),E15-0.01&lt;TAF!AF15),TAF!BP15,IF(AND(TAF!Z16="TEMPO",NOT(E15+0.01&lt;TAF!AC16),E15-0.01&lt;TAF!AE16),TAF!BP16,IF(AND(TAF!Z17="TEMPO",NOT(E15+0.01&lt;TAF!AC17),E15-0.01&lt;TAF!AF17),TAF!BP17,IF(AND(TAF!Z18="TEMPO",NOT(E15+0.01&lt;TAF!AC18),E15-0.01&lt;TAF!AF18),TAF!BP18,""))))))))))))</f>
        <v/>
      </c>
      <c r="AV15" s="96" t="str">
        <f>IF(AND(TAF!Z7="PREDOM",E15&lt;TAF!AF7),TAF!CD7,IF(AND(TAF!Z8="PREDOM",E15&lt;TAF!AF8),TAF!CD8,IF(AND(TAF!Z9="PREDOM",E15&lt;TAF!AF9),TAF!CD9,IF(AND(TAF!Z10="PREDOM",E15&lt;TAF!AF10),TAF!CD10,IF(AND(TAF!Z11="PREDOM",E15&lt;TAF!AF11),TAF!CD11,IF(AND(TAF!Z12="PREDOM",E15&lt;TAF!AF12),TAF!CD12,IF(AND(TAF!Z13="PREDOM",E15&lt;TAF!AF13),TAF!CD13,IF(AND(TAF!Z14="PREDOM",E15&lt;TAF!AF14),TAF!CD14,IF(AND(TAF!Z15="PREDOM",E15&lt;TAF!AF15),TAF!CD15,IF(AND(TAF!Z16="PREDOM",E15&lt;TAF!AE16),TAF!CD16,IF(AND(TAF!Z17="PREDOM",E15&lt;TAF!AF17),TAF!CD17,IF(AND(TAF!Z18="PREDOM",E15&lt;TAF!AF18),TAF!CD18))))))))))))</f>
        <v/>
      </c>
      <c r="AW15" s="97" t="str">
        <f>IF(AND(TAF!Z7="TEMPO",NOT(E15+0.01&lt;TAF!AC7),E15-0.01&lt;TAF!AF7),TAF!CD7,IF(AND(TAF!Z8="TEMPO",NOT(E15+0.01&lt;TAF!AC8),E15-0.01&lt;TAF!AF8),TAF!CD8,IF(AND(TAF!Z9="TEMPO",NOT(E15+0.01&lt;TAF!AC9),E15-0.01&lt;TAF!AF9),TAF!CD9,IF(AND(TAF!Z10="TEMPO",NOT(E15+0.01&lt;TAF!AC10),E15-0.01&lt;TAF!AF10),TAF!CD10,IF(AND(TAF!Z11="TEMPO",NOT(E15+0.01&lt;TAF!AC11),E15-0.01&lt;TAF!AF11),TAF!CD11,IF(AND(TAF!Z12="TEMPO",NOT(E15+0.01&lt;TAF!AC12),E15-0.01&lt;TAF!AF12),TAF!CD12,IF(AND(TAF!Z13="TEMPO",NOT(E15+0.01&lt;TAF!AC13),E15-0.01&lt;TAF!AF13),TAF!CD13,IF(AND(TAF!Z14="TEMPO",NOT(E15+0.01&lt;TAF!AC14),E15-0.01&lt;TAF!AF14),TAF!CD14,IF(AND(TAF!Z15="TEMPO",NOT(E15+0.01&lt;TAF!AC15),E15-0.01&lt;TAF!AF15),TAF!CD15,IF(AND(TAF!Z16="TEMPO",NOT(E15+0.01&lt;TAF!AC16),E15-0.01&lt;TAF!AE16),TAF!CD16,IF(AND(TAF!Z17="TEMPO",NOT(E15+0.01&lt;TAF!AC17),E15-0.01&lt;TAF!AF17),TAF!CD17,IF(AND(TAF!Z18="TEMPO",NOT(E15+0.01&lt;TAF!AC18),E15-0.01&lt;TAF!AF18),TAF!CD18,""))))))))))))</f>
        <v/>
      </c>
      <c r="AX15" s="98" t="str">
        <f>IF(OR(AND(H15&lt;&gt;"",H15&gt;(MLT!$E$5-1)),J15&lt;(MLT!$E$8+0.01),L15="TS",O15="TS",R15&lt;(MLT!$E$9),AND(AB15&lt;&gt;"",AB15&gt;(MLT!$E$6-1)),AL15=MLT!$E$7,AL15=MLT!$F$7),"R",IF(OR(AND(H15&lt;&gt;"",H15&gt;(MLT!$H$5-1)),AND(I15&lt;&gt;"",I15&gt;(MLT!$H$5-1)),J15&lt;MLT!$H$8,K15&lt;MLT!$H$8,L15=MLT!$H$10,O15=MLT!$E$10,O15=MLT!$H$10,R15&lt;MLT!$H$9,S15&lt;MLT!$H$9,AND(AB15&lt;&gt;"",AB15&gt;0),AND(AE15&lt;&gt;"",AE15&gt;0),AND(AH15&lt;&gt;"",AH15&gt;0),AND(AK15&lt;&gt;"",AK15&gt;0),AND(AL15&lt;&gt;"",AL15&lt;&gt;4,AL15&gt;2),AND(AO15&lt;&gt;"",AO15&lt;&gt;4,AO15&gt;2),AND(AR15&lt;&gt;"",AR15&lt;&gt;4,AR15&gt;2),AND(AU15&lt;&gt;"",AU15&lt;&gt;4,AU15&gt;2)),"Y","G"))</f>
        <v>R</v>
      </c>
      <c r="AY15" s="99" t="str">
        <f>IF(OR(AND(H15&lt;&gt;"",H15&gt;(MLT!$E$13-1)),J15&lt;MLT!$E$17,R15&lt;MLT!$E$19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$13-1)),AND(I15&lt;&gt;"",I15&gt;(MLT!$H$13-1)),J15&lt;MLT!$H$17,K15&lt;MLT!$H$17,R15&lt;MLT!$H$19,S15&lt;MLT!$H$19,L15="VCTS",O15="VCTS",AND(AB15&lt;&gt;"",AB15&gt;1),AND(AK15&lt;&gt;"",AK15&gt;0),AND(AL15&lt;&gt;"",AL15&gt;1),AND(AO15&lt;&gt;"",AO15&gt;1),AND(AR15&lt;&gt;"",AR15&gt;1),AU15=3,AND(AU15&lt;&gt;"",AU15&gt;4),AV15="LLWS",AW15="LLWS"),"Y","G"))</f>
        <v>R</v>
      </c>
      <c r="AZ15" s="99" t="str">
        <f>IF(OR(AND(H15&lt;&gt;"",H15&gt;(MLT!$E$13-1)),J15&lt;MLT!$E$16,R15&lt;MLT!$E$18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$13-1)),AND(I15&lt;&gt;"",I15&gt;(MLT!$H$13-1)),J15&lt;MLT!$H$17,K15&lt;MLT!$H$17,R15&lt;MLT!$H$19,S15&lt;MLT!$H$19,L15="VCTS",O15="VCTS",AND(AB15&lt;&gt;"",AB15&gt;1),AND(AK15&lt;&gt;"",AK15&gt;0),AND(AL15&lt;&gt;"",AL15&gt;1),AND(AO15&lt;&gt;"",AO15&gt;1),AND(AR15&lt;&gt;"",AR15&gt;1),AU15=3,AND(AU15&lt;&gt;"",AU15&gt;4),AV15="LLWS",AW15="LLWS"),"Y","G"))</f>
        <v>R</v>
      </c>
      <c r="BA15" s="99" t="str">
        <f>IF(OR(IF(MEF!$AP$14="Hoist",OR(G15&gt;19,AND(H15&lt;&gt;"",H15&gt;19)),AND(H15&lt;&gt;"",H15&gt;(MLT!$E$23-1))),AND(B15&gt;MEF!$Z$11,J15&lt;MLT!$E$26),AND(B15&lt;MEF!$E$53,J15&lt;MLT!$E$26),J15&lt;MLT!$E$27,AND(B15&gt;MEF!$Z$11,R15&lt;MLT!$E$28),AND(B15&lt;MEF!$E$53,R15&lt;MLT!$E$28),R15&lt;MLT!$E$29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H$23-1)),AND(I15&lt;&gt;"",I15&gt;(MLT!$H$23-1)),AND(B15&gt;MEF!$Z$11,J15&lt;MLT!$H$26),AND(B15&lt;MEF!$E$53,J15&lt;MLT!$H$26),AND(B15&gt;MEF!$Z$11,K15&lt;MLT!$H$26),AND(B15&lt;MEF!$E$53,K15&lt;MLT!$H$26),J15&lt;MLT!$H$27,K15&lt;MLT!$H$27,AND(B15&gt;MEF!$Z$11,R15&lt;MLT!$H$28),AND(B15&lt;MEF!$E$53,R15&lt;MLT!$H$28),AND(B15&gt;MEF!$Z$11,S15&lt;MLT!$H$28),AND(B15&lt;MEF!$E$53,S15&lt;MLT!$H$28),R15&lt;MLT!$H$29,S15&lt;MLT!$H$29,L15="VCTS",O15="VCTS",U15&gt;90,U15&lt;-29,AB15&lt;&gt;"",AK15&lt;&gt;"",AND(AL15&lt;&gt;"",AL15&gt;1),AND(AO15&lt;&gt;"",AO15&gt;1),AND(AR15&lt;&gt;"",AR15&gt;1),AU15=3,AND(AU15&lt;&gt;"",AU15&gt;4),AV15="LLWS",AW15="LLWS"),"Y","G"))</f>
        <v>R</v>
      </c>
      <c r="BB15" s="99" t="str">
        <f>IF(OR(AND(H15&lt;&gt;"",H15&gt;(MLT!$E$23-1)),AND(B15&gt;MEF!$Z$11,J15&lt;MLT!$F$26),AND(B15&lt;MEF!$E$53,J15&lt;MLT!$F$26),J15&lt;MLT!$F$27,AND(B15&gt;MEF!$Z$11,R15&lt;MLT!$F$28),AND(B15&lt;MEF!$E$53,R15&lt;MLT!$F$28),R15&lt;MLT!$F$29,L15="TS",O15="TS",AND(AB15&lt;&gt;"",AB15&gt;3,AC15&lt;30),AND(AE15&lt;&gt;"",AE15&gt;3,AF15&lt;30),AND(AH15&lt;&gt;"",AH15&gt;3,AI15&lt;30),AND(OR(AL15=7,AL15=9),AM15&lt;30),AND(OR(AO15=7,AO15=9),AP15&lt;30),AND(OR(AR15=7,AR15=9),AS15&lt;30)),"R",IF(OR(AND(H15&lt;&gt;"",H15&gt;(MLT!$I$23-1)),AND(I15&lt;&gt;"",I15&gt;(MLT!$I$23-1)),AND(B15&gt;MEF!$Z$11,J15&lt;MLT!$I$26),AND(B15&lt;MEF!$E$53,J15&lt;MLT!$I$26),AND(B15&gt;MEF!$Z$11,K15&lt;MLT!$I$26),AND(B15&lt;MEF!$E$53,K15&lt;MLT!$I$26),J15&lt;MLT!$I$27,K15&lt;MLT!$I$27,AND(B15&gt;MEF!$Z$11,R15&lt;MLT!$I$28),AND(B15&lt;MEF!$E$53,R15&lt;MLT!$I$28),AND(B15&gt;MEF!$Z$11,S15&lt;MLT!$I$28),AND(B15&lt;MEF!$E$53,S15&lt;MLT!$I$28),R15&lt;MLT!$I$29,S15&lt;MLT!$I$29,L15="VCTS",O15="VCTS",U15&gt;94,U15&lt;-29,AB15&lt;&gt;"",AK15&lt;&gt;"",AND(AL15&lt;&gt;"",AL15&gt;1),AND(AO15&lt;&gt;"",AO15&gt;1),AND(AR15&lt;&gt;"",AR15&gt;1),AU15=3,AND(AU15&lt;&gt;"",AU15&gt;4),AV15="LLWS",AW15="LLWS",CE15&lt;30,AND(CJ15&lt;25,CJ15&lt;&gt;0)),"Y","G"))</f>
        <v>R</v>
      </c>
      <c r="BC15" s="99" t="str">
        <f>IF(OR(G15&gt;(MLT!F$35-1),AND(H15&lt;&gt;"",H15&gt;(MLT!E$35-1)),J15&lt;MLT!E$38,R15&lt;MLT!E$39,L15="TS",O15="TS",N15="Y",T15&gt;50.49,T15&lt;-20.5,W15&gt;0.9449,AA15&gt;8999,AND(AB15&lt;&gt;"",AB15&gt;0),AND(AL15&lt;&gt;"",AL15&gt;1)),"R",IF(OR(G15&gt;(MLT!I$35-1),AND(H15&lt;&gt;"",H15&gt;(MLT!H$35-1)),AND(I15&lt;&gt;"",I15&gt;(MLT!H$35-1)),J15&lt;MLT!H$38,K15&lt;MLT!H$38,M15&lt;&gt;"",P15&lt;&gt;"",R15&lt;MLT!H$39,S15&lt;MLT!H$39,L15="VCTS",O15="VCTS",T15&gt;45.49,T15&lt;-14,W15&gt;0.8449,AA15&gt;6999,AND(AB15&lt;&gt;"",AB15&gt;0),AND(AK15&lt;&gt;"",AK15&gt;0),AND(AL15&lt;&gt;"",AL15&gt;0),AND(AU15&lt;&gt;"",AU15&gt;0),AV15="LLWS",AW15="LLWS"),"Y","G"))</f>
        <v>R</v>
      </c>
      <c r="BD15" s="98" t="str">
        <f>IF(OR(AND(NOT(H15=""),H15&gt;(MLT!E48-1)),AND(NOT(I15=""),I15&gt;(MLT!E48-1)),J15&lt;0.26,NOT(L15=""),U15&lt;14.5,AND(X5="Wind Chill",X15&lt;-0.5),AND(X5="WBGT",X15&gt;89.49)),"R",IF(OR(AND(NOT(H15=""),H15&gt;(MLT!H48-1)),AND(NOT(I15=""),I15&gt;(MLT!H48-1)),J15&lt;1,NOT(M15=""),NOT(P15=""),NOT(O15=""),U15&lt;31.5,AND(X5="Wind Chill",X15&lt;14.5),AND(X5="WBGT",X15&gt;77.49)),"Y","G"))</f>
        <v>R</v>
      </c>
      <c r="BE15" s="99" t="str">
        <f>IF(OR(AND(H15&lt;&gt;"",H15&gt;(MLT!$E$56)),J15&lt;MLT!$E$59,R15&lt;MLT!$E$60,L15="TS",O15="TS",AND(AB15&lt;&gt;"",AC15&lt;30),AND(AE15&lt;&gt;"",AF15&lt;30),AND(AH15&lt;&gt;"",AI15&lt;30),AND(AL15&lt;&gt;"",AL15&gt;0,AM15&lt;30),AND(AO15&lt;&gt;"",AO15&gt;0,AP15&lt;30),AND(AR15&lt;&gt;"",AR15&gt;0,AS15&lt;30)),"R",IF(OR(AND(H15&lt;&gt;"",H15&gt;MLT!$H$56),AND(I15&lt;&gt;"",I15&gt;MLT!$H$56),J15&lt;MLT!$H$59,K15&lt;MLT!$H$59,R15&lt;MLT!$H$60,S15&lt;MLT!$H$60,L15="VCTS",O15="VCTS",AB15&lt;&gt;"",AK15&lt;&gt;"",AL15&lt;&gt;"",AU15&lt;&gt;"",AV15="LLWS",AW15="LLWS"),"Y","G"))</f>
        <v>R</v>
      </c>
      <c r="BF15" s="99" t="str">
        <f>IF(OR(AND(H15&lt;&gt;"",H15&gt;(MLT!$E$64)),L15="TS",O15="TS",AND(AB15&lt;&gt;"",AB15&gt;3,AC15&lt;30),AND(AE15&lt;&gt;"",AE15&gt;3,AF15&lt;30),AND(AH15&lt;&gt;"",AH15&gt;3,AI15&lt;30),AND(AL15=7,AM15&lt;30),AND(AL15=9,AM15&lt;30),AND(AO15=7,AP15&lt;30),AND(AO15=9,AP15&lt;30),AND(AR15=7,AS15&lt;30),AND(AR15=9,AS15&lt;30)),"R",IF(OR(AND(H15&lt;&gt;"",H15&gt;MLT!$H$64),AND(I15&lt;&gt;"",I15&gt;MLT!$H$64),J15&lt;MLT!$H$67,K15&lt;MLT!$H$67,R15&lt;MLT!$H$68,S15&lt;MLT!$H$68,L15="VCTS",O15="VCTS",calc!U15&gt;90,U15&lt;-29,AB15&lt;&gt;"",AK15&lt;&gt;"",AND(AL15&lt;&gt;"",AL15&gt;1),AND(AO15&lt;&gt;"",AO15&gt;1),AND(AR15&lt;&gt;"",AR15&gt;1),AND(AU15&lt;&gt;"",AU15&gt;1),AV15="LLWS",AW15="LLWS"),"Y","G"))</f>
        <v>R</v>
      </c>
      <c r="BG15" s="98" t="str">
        <f>IF(OR(AND(H15&lt;&gt;"",H15&gt;(MLT!$E$73)),L15="TS",O15="TS",AND(AB15&lt;&gt;"",AC15&lt;30),AND(AE15&lt;&gt;"",AF15&lt;30),AND(AH15&lt;&gt;"",AI15&lt;30),AND(AL15=3,AM15&lt;30),AND(AL15&lt;&gt;"",AL15&gt;4,AM15&lt;30),AND(AO15=3,AP15&lt;30),AND(AO15&lt;&gt;"",AO15&gt;4,AP15&lt;30),AND(AR15=3,AS15&lt;30),AND(AR15&lt;&gt;"",AR15&gt;4,AS15&lt;30)),"R",IF(OR(AND(H15&lt;&gt;"",H15&gt;MLT!$H$73),AND(I15&lt;&gt;"",I15&gt;MLT!$H$73),J15&lt;MLT!$H$76,K15&lt;MLT!$H$76,R15&lt;MLT!$H$77,S15&lt;MLT!$H$77,L15="VCTS",O15="VCTS",AB15&lt;&gt;"",AK15&lt;&gt;"",AL15&lt;&gt;"",AU15&lt;&gt;"",AV15="LLWS",AW15="LLWS"),"Y","G"))</f>
        <v>R</v>
      </c>
      <c r="BH15" s="98" t="str">
        <f>IF(OR(IF(H15="",G15,H15)&gt;MLT!$E$81,IF(H15="",G15,H15)-G15&gt;19,IF(F15="VRB",FALSE(),(IF(AND(F15&gt;89,F15&lt;271),SIN(RADIANS(MAX(180,F15)-MIN(180,F15))),SIN(RADIANS(IF(F15&gt;269,360-F15,F15)))))*(IF(H15="",G15,H15))&gt;MLT!$E$82),J15&lt;MLT!$E$86,L15="TS",L15="VCTS",O15="TS",R15&lt;MLT!$E$87,U15&gt;MLT!$E$88,AND(AB15&lt;&gt;"",AB15&gt;3,AC15&lt;100),AND(AE15&lt;&gt;"",AE15&gt;3,AF15&lt;100),AND(AH15&lt;&gt;"",AH15&gt;3,AI15&lt;100),AND(AL15=7,AM15&lt;100),AND(AL15=9,AM15&lt;100),AND(AO15=7,AP15&lt;100),AND(AO15=9,AP15&lt;100),AND(AR15=7,AS15&lt;100),AND(AR15=9,AS15&lt;100),AV15="LLWS"),"R",IF(OR(AND(H15&lt;&gt;"",H15&gt;14),IF(F15="VRB",FALSE(),(IF(AND(F15&gt;89,F15&lt;271),SIN(RADIANS(MAX(180,F15)-MIN(180,F15))),SIN(RADIANS(IF(F15&gt;269,360-F15,F15)))))*(IF(H15="",G15,H15))&gt;MLT!$H$82),AND(I15&lt;&gt;"",I15&gt;14),J15&lt;MLT!$H$86,K15&lt;MLT!$H$86,R15&lt;MLT!$H$87,S15&lt;MLT!$H$87,O15="VCTS",calc!U15&gt;90,AB15&lt;&gt;"",AK15&lt;&gt;"",AND(AL15&lt;&gt;"",AL15&gt;1),AND(AO15&lt;&gt;"",AO15&gt;1),AND(AR15&lt;&gt;"",AR15&gt;1),AND(AU15&lt;&gt;"",AU15&gt;1),AW15="LLWS"),"Y","G"))</f>
        <v>R</v>
      </c>
      <c r="BI15" s="98" t="str">
        <f>IF(OR(IF(H15="",G15,H15)&gt;MLT!$E$92,J15&lt;MLT!$E$95,L15="TS",L15="VCTS",O15="TS",R15&lt;MLT!$E$96,AND(AB15&lt;&gt;"",AB15&gt;3,AC15&lt;100),AND(AE15&lt;&gt;"",AE15&gt;3,AF15&lt;100),AND(AH15&lt;&gt;"",AH15&gt;3,AI15&lt;100),AND(AL15=7,AM15&lt;100),AND(AL15=9,AM15&lt;100),AND(AO15=7,AP15&lt;100),AND(AO15=9,AP15&lt;100),AND(AR15=7,AS15&lt;100),AND(AR15=9,AS15&lt;100)),"R",IF(OR(AND(H15&lt;&gt;"",H15&gt;14),AND(I15&lt;&gt;"",I15&gt;14),J15&lt;MLT!$H$95,K15&lt;MLT!$H$95,R15&lt;MLT!$H$96,S15&lt;MLT!$H$96,O15="VCTS",AB15&lt;&gt;"",AK15&lt;&gt;"",AND(AL15&lt;&gt;"",AL15&gt;1),AND(AO15&lt;&gt;"",AO15&gt;1),AND(AR15&lt;&gt;"",AR15&gt;1),AND(AU15&lt;&gt;"",AU15&gt;1),AV15="LLWS",AW15="LLWS"),"Y","G"))</f>
        <v>R</v>
      </c>
      <c r="BK15" s="41">
        <f t="shared" si="4"/>
        <v>27.479777441130175</v>
      </c>
      <c r="BL15" s="41">
        <f t="shared" si="5"/>
        <v>27.479777441130175</v>
      </c>
      <c r="BM15" s="41">
        <f>IF(R15&gt;200,T15+(LOOKUP(Worksheet!BD6,BV8:BV10,BW8:BW10)*(CA15/BZ15)),IF(AND(R15&lt;210,R15&gt;29),T15+(0.5*LOOKUP(Worksheet!BD6,BV8:BV10,BW8:BW10)*(CA15/BZ15)),T15+0.25*(LOOKUP(Worksheet!BD6,BV8:BV10,BW8:BW10)*(CA15/BZ15))))</f>
        <v>40.620721916369696</v>
      </c>
      <c r="BN15" s="41">
        <f t="shared" si="6"/>
        <v>39.632208103943938</v>
      </c>
      <c r="BO15" s="42">
        <f t="shared" si="7"/>
        <v>22.777777777777779</v>
      </c>
      <c r="BP15" s="43">
        <f t="shared" si="8"/>
        <v>98.588721912544827</v>
      </c>
      <c r="BQ15" s="44">
        <f t="shared" si="9"/>
        <v>2.7757878312732625</v>
      </c>
      <c r="BR15" s="42">
        <f t="shared" si="17"/>
        <v>54.729509966446393</v>
      </c>
      <c r="BS15" s="42">
        <f t="shared" si="10"/>
        <v>52.21329298936265</v>
      </c>
      <c r="BT15" s="42">
        <f t="shared" si="11"/>
        <v>52.21329298936265</v>
      </c>
      <c r="BU15" s="42"/>
      <c r="BV15" s="1610"/>
      <c r="BW15" s="835"/>
      <c r="BX15" s="106">
        <f>DEGREES(ASIN(BY15*COS(RADIANS(LOOKUP(Worksheet!Q6,'Light Data '!A3:A377,'Light Data '!J3:J377)))*COS(RADIANS(Worksheet!R2))+SIN(RADIANS(LOOKUP(Worksheet!Q6,'Light Data '!A3:A377,'Light Data '!J3:J377)))*SIN(RADIANS(Worksheet!R2))))</f>
        <v>57.988135414079579</v>
      </c>
      <c r="BY15" s="515">
        <f>COS(RADIANS(15*((MAX(CF5,(HOUR(C15)/24))-MIN(CF5,(HOUR(C15)/24)))*24)))</f>
        <v>0.839856789162721</v>
      </c>
      <c r="BZ15" s="516">
        <f>IF(BX15&lt;0,0.1,((128*10^3)*(1+0.033412*COS(2*PI()*(((CH4-CH3)-3)/365)))))</f>
        <v>123724.68965631575</v>
      </c>
      <c r="CA15" s="516">
        <f>IF(BX15&lt;0,0,((128*10^3)*(1+0.033412*COS(2*PI()*(((CH4-CH3)-3)/365))))*POWER(EXP(1),0-(CB15*(1/(SIN(RADIANS(BX15+(244/(165+47*(POWER(BX15,1.1)))))))))))</f>
        <v>88948.047027896871</v>
      </c>
      <c r="CB15" s="389">
        <f t="shared" si="12"/>
        <v>0.28000000000000003</v>
      </c>
      <c r="CC15" s="112">
        <f t="shared" si="24"/>
        <v>29.073011452167986</v>
      </c>
      <c r="CD15" s="112" t="str">
        <f t="shared" si="19"/>
        <v>(29)</v>
      </c>
      <c r="CE15" s="112">
        <f t="shared" si="20"/>
        <v>99</v>
      </c>
      <c r="CF15" s="66" t="str">
        <f t="shared" si="21"/>
        <v>U1</v>
      </c>
      <c r="CI15" s="834">
        <f>INDEX('Light Data '!$H$3:$H$381,MATCH(ROUNDDOWN(C15,0),'Light Data '!$A$3:$A$381,0))-(((INDEX('Light Data '!$H$3:$H$381,MATCH(ROUNDDOWN(C15,0),'Light Data '!$A$3:$A$381,0))-(INDEX('Light Data '!$H$3:$H$381,MATCH(ROUNDDOWN(C15,0)+1,'Light Data '!$A$3:$A$381,0))))/24)*HOUR(C15))</f>
        <v>47.666666666666664</v>
      </c>
      <c r="CJ15" s="834" t="str">
        <f t="shared" si="22"/>
        <v>NA</v>
      </c>
    </row>
    <row r="16" spans="1:97" ht="15" customHeight="1" thickTop="1" thickBot="1">
      <c r="A16" s="527">
        <f t="shared" si="23"/>
        <v>17</v>
      </c>
      <c r="B16" s="525">
        <f t="shared" si="1"/>
        <v>1700</v>
      </c>
      <c r="C16" s="3639">
        <f>Worksheet!AD76</f>
        <v>44748.708333333328</v>
      </c>
      <c r="D16" s="3639"/>
      <c r="E16" s="524">
        <f>Worksheet!AF76</f>
        <v>44748.875</v>
      </c>
      <c r="F16" s="77" t="str">
        <f>IF(AND(TAF!Z7="PREDOM",E16&lt;TAF!AF7),TAF!AH7,IF(AND(TAF!Z8="PREDOM",E16&lt;TAF!AF8),TAF!AH8,IF(AND(TAF!Z9="PREDOM",E16&lt;TAF!AF9),TAF!AH9,IF(AND(TAF!Z10="PREDOM",E16&lt;TAF!AF10),TAF!AH10,IF(AND(TAF!Z11="PREDOM",E16&lt;TAF!AF11),TAF!AH11,IF(AND(TAF!Z12="PREDOM",E16&lt;TAF!AF12),TAF!AH12,IF(AND(TAF!Z13="PREDOM",E16&lt;TAF!AF13),TAF!AH13,IF(AND(TAF!Z14="PREDOM",E16&lt;TAF!AF14),TAF!AH14,IF(AND(TAF!Z15="PREDOM",E16&lt;TAF!AF15),TAF!AH15,IF(AND(TAF!Z16="PREDOM",E16&lt;TAF!AE16),TAF!AH16,IF(AND(TAF!Z17="PREDOM",E16&lt;TAF!AF17),TAF!AH17,IF(AND(TAF!Z18="PREDOM",E16&lt;TAF!AF18),TAF!AH18))))))))))))</f>
        <v>240</v>
      </c>
      <c r="G16" s="78">
        <f>IF(AND(TAF!Z7="PREDOM",E16&lt;TAF!AF7),TAF!AI7,IF(AND(TAF!Z8="PREDOM",E16&lt;TAF!AF8),TAF!AI8,IF(AND(TAF!Z9="PREDOM",E16&lt;TAF!AF9),TAF!AI9,IF(AND(TAF!Z10="PREDOM",E16&lt;TAF!AF10),TAF!AI10,IF(AND(TAF!Z11="PREDOM",E16&lt;TAF!AF11),TAF!AI11,IF(AND(TAF!Z12="PREDOM",E16&lt;TAF!AF12),TAF!AI12,IF(AND(TAF!Z13="PREDOM",E16&lt;TAF!AF13),TAF!AI13,IF(AND(TAF!Z14="PREDOM",E16&lt;TAF!AF14),TAF!AI14,IF(AND(TAF!Z15="PREDOM",E16&lt;TAF!AF15),TAF!AI15,IF(AND(TAF!Z16="PREDOM",E16&lt;TAF!AE16),TAF!AI16,IF(AND(TAF!Z17="PREDOM",E16&lt;TAF!AF17),TAF!AI17,IF(AND(TAF!Z18="PREDOM",E16&lt;TAF!AF18),TAF!AI18))))))))))))</f>
        <v>10</v>
      </c>
      <c r="H16" s="79" t="str">
        <f>IF(AND(TAF!Z7="PREDOM",E16&lt;TAF!AF7),TAF!AJ7,IF(AND(TAF!Z8="PREDOM",E16&lt;TAF!AF8),TAF!AJ8,IF(AND(TAF!Z9="PREDOM",E16&lt;TAF!AF9),TAF!AJ9,IF(AND(TAF!Z10="PREDOM",E16&lt;TAF!AF10),TAF!AJ10,IF(AND(TAF!Z11="PREDOM",E16&lt;TAF!AF11),TAF!AJ11,IF(AND(TAF!Z12="PREDOM",E16&lt;TAF!AF12),TAF!AJ12,IF(AND(TAF!Z13="PREDOM",E16&lt;TAF!AF13),TAF!AJ13,IF(AND(TAF!Z14="PREDOM",E16&lt;TAF!AF14),TAF!AJ14,IF(AND(TAF!Z15="PREDOM",E16&lt;TAF!AF15),TAF!AJ15,IF(AND(TAF!Z16="PREDOM",E16&lt;TAF!AE16),TAF!AJ16,IF(AND(TAF!Z17="PREDOM",E16&lt;TAF!AF17),TAF!AJ17,IF(AND(TAF!Z18="PREDOM",E16&lt;TAF!AF18),TAF!AJ18))))))))))))</f>
        <v/>
      </c>
      <c r="I16" s="80">
        <f>IF(AND(TAF!Z7="TEMPO",NOT(E16+0.01&lt;TAF!AC7),E16&lt;TAF!AF7),TAF!AJ7,IF(AND(TAF!Z8="TEMPO",NOT(E16+0.01&lt;TAF!AC8),E16&lt;TAF!AF8),TAF!AJ8,IF(AND(TAF!Z9="TEMPO",NOT(E16+0.01&lt;TAF!AC9),E16&lt;TAF!AF9),TAF!AJ9,IF(AND(TAF!Z10="TEMPO",NOT(E16+0.01&lt;TAF!AC10),E16&lt;TAF!AF10),TAF!AJ10,IF(AND(TAF!Z11="TEMPO",NOT(E16+0.01&lt;TAF!AC11),E16&lt;TAF!AF11),TAF!AJ11,IF(AND(TAF!Z12="TEMPO",NOT(E16+0.01&lt;TAF!AC12),E16&lt;TAF!AF12),TAF!AJ12,IF(AND(TAF!Z13="TEMPO",NOT(E16+0.01&lt;TAF!AC13),E16&lt;TAF!AF13),TAF!AJ13,IF(AND(TAF!Z14="TEMPO",NOT(E16+0.01&lt;TAF!AC14),E16&lt;TAF!AF14),TAF!AJ14,IF(AND(TAF!Z15="TEMPO",NOT(E16+0.01&lt;TAF!AC15),E16&lt;TAF!AF15),TAF!AJ15,IF(AND(TAF!Z16="TEMPO",NOT(E16+0.01&lt;TAF!AC16),E16&lt;TAF!AE16),TAF!AJ16,IF(AND(TAF!Z17="TEMPO",NOT(E16+0.01&lt;TAF!AC17),E16&lt;TAF!AF17),TAF!AJ17,IF(AND(TAF!Z18="TEMPO",NOT(E16+0.01&lt;TAF!AC18),E16&lt;TAF!AF18),TAF!AJ18,""))))))))))))</f>
        <v>20</v>
      </c>
      <c r="J16" s="81">
        <f>IF(AND(TAF!Z7="PREDOM",E16&lt;TAF!AF7),TAF!AN7,IF(AND(TAF!Z8="PREDOM",E16&lt;TAF!AF8),TAF!AN8,IF(AND(TAF!Z9="PREDOM",E16&lt;TAF!AF9),TAF!AN9,IF(AND(TAF!Z10="PREDOM",E16&lt;TAF!AF10),TAF!AN10,IF(AND(TAF!Z11="PREDOM",E16&lt;TAF!AF11),TAF!AN11,IF(AND(TAF!Z12="PREDOM",E16&lt;TAF!AF12),TAF!AN12,IF(AND(TAF!Z13="PREDOM",E16&lt;TAF!AF13),TAF!AN13,IF(AND(TAF!Z14="PREDOM",E16&lt;TAF!AF14),TAF!AN14,IF(AND(TAF!Z15="PREDOM",E16&lt;TAF!AF15),TAF!AN15,IF(AND(TAF!Z16="PREDOM",E16&lt;TAF!AE16),TAF!AN16,IF(AND(TAF!Z17="PREDOM",E16&lt;TAF!AF17),TAF!AN17,IF(AND(TAF!Z18="PREDOM",E16&lt;TAF!AF18),TAF!AN18))))))))))))</f>
        <v>7</v>
      </c>
      <c r="K16" s="82">
        <f>IF(AND(TAF!Z7="TEMPO",NOT(E16+0.01&lt;TAF!AC7),E16-0.01&lt;TAF!AF7),TAF!AN7,IF(AND(TAF!Z8="TEMPO",NOT(E16+0.01&lt;TAF!AC8),E16-0.01&lt;TAF!AF8),TAF!AN8,IF(AND(TAF!Z9="TEMPO",NOT(E16+0.01&lt;TAF!AC9),E16-0.01&lt;TAF!AF9),TAF!AN9,IF(AND(TAF!Z10="TEMPO",NOT(E16+0.01&lt;TAF!AC10),E16-0.01&lt;TAF!AF10),TAF!AN10,IF(AND(TAF!Z11="TEMPO",NOT(E16+0.01&lt;TAF!AC11),E16-0.01&lt;TAF!AF11),TAF!AN11,IF(AND(TAF!Z12="TEMPO",NOT(E16+0.01&lt;TAF!AC12),E16-0.01&lt;TAF!AF12),TAF!AN12,IF(AND(TAF!Z13="TEMPO",NOT(E16+0.01&lt;TAF!AC13),E16-0.01&lt;TAF!AF13),TAF!AN13,IF(AND(TAF!Z14="TEMPO",NOT(E16+0.01&lt;TAF!AC14),E16-0.01&lt;TAF!AF14),TAF!AN14,IF(AND(TAF!Z15="TEMPO",NOT(E16+0.01&lt;TAF!AC15),E16-0.01&lt;TAF!AF15),TAF!AN15,IF(AND(TAF!Z16="TEMPO",NOT(E16+0.01&lt;TAF!AC16),E16-0.01&lt;TAF!AE16),TAF!AN16,IF(AND(TAF!Z17="TEMPO",NOT(E16+0.01&lt;TAF!AC17),E16-0.01&lt;TAF!AF17),TAF!AN17,IF(AND(TAF!Z18="TEMPO",NOT(E16+0.01&lt;TAF!AC18),E16-0.01&lt;TAF!AF18),TAF!AN18,""))))))))))))</f>
        <v>3</v>
      </c>
      <c r="L16" s="83" t="str">
        <f t="shared" si="13"/>
        <v/>
      </c>
      <c r="M16" s="84" t="str">
        <f>IF(AND(TAF!Z7="PREDOM",E16&lt;TAF!AF7),TAF!AP7,IF(AND(TAF!Z8="PREDOM",E16&lt;TAF!AF8),TAF!AP8,IF(AND(TAF!Z9="PREDOM",E16&lt;TAF!AF9),TAF!AP9,IF(AND(TAF!Z10="PREDOM",E16&lt;TAF!AF10),TAF!AP10,IF(AND(TAF!Z11="PREDOM",E16&lt;TAF!AF11),TAF!AP11,IF(AND(TAF!Z12="PREDOM",E16&lt;TAF!AF12),TAF!AP12,IF(AND(TAF!Z13="PREDOM",E16&lt;TAF!AF13),TAF!AP13,IF(AND(TAF!Z14="PREDOM",E16&lt;TAF!AF14),TAF!AP14,IF(AND(TAF!Z15="PREDOM",E16&lt;TAF!AF15),TAF!AP15,IF(AND(TAF!Z16="PREDOM",E16&lt;TAF!AE16),TAF!AP16,IF(AND(TAF!Z17="PREDOM",E16&lt;TAF!AF17),TAF!AP17,IF(AND(TAF!Z18="PREDOM",E16&lt;TAF!AF18),TAF!AP18))))))))))))</f>
        <v/>
      </c>
      <c r="N16" s="85" t="str">
        <f t="shared" si="14"/>
        <v>N</v>
      </c>
      <c r="O16" s="85" t="str">
        <f t="shared" si="15"/>
        <v>TS</v>
      </c>
      <c r="P16" s="84" t="str">
        <f>IF(AND(TAF!Z7="TEMPO",NOT(E16+0.01&lt;TAF!AC7),E16-0.01&lt;TAF!AF7),TAF!AP7,IF(AND(TAF!Z8="TEMPO",NOT(E16+0.01&lt;TAF!AC8),E16-0.01&lt;TAF!AF8),TAF!AP8,IF(AND(TAF!Z9="TEMPO",NOT(E16+0.01&lt;TAF!AC9),E16-0.01&lt;TAF!AF9),TAF!AP9,IF(AND(TAF!Z10="TEMPO",NOT(E16+0.01&lt;TAF!AC10),E16-0.01&lt;TAF!AF10),TAF!AP10,IF(AND(TAF!Z11="TEMPO",NOT(E16+0.01&lt;TAF!AC11),E16-0.01&lt;TAF!AF11),TAF!AP11,IF(AND(TAF!Z12="TEMPO",NOT(E16+0.01&lt;TAF!AC12),E16-0.01&lt;TAF!AF12),TAF!AP12,IF(AND(TAF!Z13="TEMPO",NOT(E16+0.01&lt;TAF!AC13),E16-0.01&lt;TAF!AF13),TAF!AP13,IF(AND(TAF!Z14="TEMPO",NOT(E16+0.01&lt;TAF!AC14),E16-0.01&lt;TAF!AF14),TAF!AP14,IF(AND(TAF!Z15="TEMPO",NOT(E16+0.01&lt;TAF!AC15),E16-0.01&lt;TAF!AF15),TAF!AP15,IF(AND(TAF!Z16="TEMPO",NOT(E16+0.01&lt;TAF!AC16),E16-0.01&lt;TAF!AE16),TAF!AP16,IF(AND(TAF!Z17="TEMPO",NOT(E16+0.01&lt;TAF!AC17),E16-0.01&lt;TAF!AF17),TAF!AP17,IF(AND(TAF!Z18="TEMPO",NOT(E16+0.01&lt;TAF!AC18),E16-0.01&lt;TAF!AF18),TAF!AP18,""))))))))))))</f>
        <v>-TSRA</v>
      </c>
      <c r="Q16" s="889" t="str">
        <f t="shared" si="2"/>
        <v>Y</v>
      </c>
      <c r="R16" s="86">
        <f>IF(AND(TAF!Z7="PREDOM",E16&lt;TAF!AF7),TAF!AW7,IF(AND(TAF!Z8="PREDOM",E16&lt;TAF!AF8),TAF!AW8,IF(AND(TAF!Z9="PREDOM",E16&lt;TAF!AF9),TAF!AW9,IF(AND(TAF!Z10="PREDOM",E16&lt;TAF!AF10),TAF!AW10,IF(AND(TAF!Z11="PREDOM",E16&lt;TAF!AF11),TAF!AW11,IF(AND(TAF!Z12="PREDOM",E16&lt;TAF!AF12),TAF!AW12,IF(AND(TAF!Z13="PREDOM",E16&lt;TAF!AF13),TAF!AW13,IF(AND(TAF!Z14="PREDOM",E16&lt;TAF!AF14),TAF!AW14,IF(AND(TAF!Z15="PREDOM",E16&lt;TAF!AF15),TAF!AW15,IF(AND(TAF!Z16="PREDOM",E16&lt;TAF!AE16),TAF!AW16,IF(AND(TAF!Z17="PREDOM",E16&lt;TAF!AF17),TAF!AW17,IF(AND(TAF!Z18="PREDOM",E16&lt;TAF!AF18),TAF!AW18))))))))))))</f>
        <v>250</v>
      </c>
      <c r="S16" s="87">
        <f>IF(AND(TAF!Z7="TEMPO",NOT(E16+0.01&lt;TAF!AC7),E16-0.01&lt;TAF!AF7),TAF!AW7,IF(AND(TAF!Z8="TEMPO",NOT(E16+0.01&lt;TAF!AC8),E16-0.01&lt;TAF!AF8),TAF!AW8,IF(AND(TAF!Z9="TEMPO",NOT(E16+0.01&lt;TAF!AC9),E16-0.01&lt;TAF!AF9),TAF!AW9,IF(AND(TAF!Z10="TEMPO",NOT(E16+0.01&lt;TAF!AC10),E16-0.01&lt;TAF!AF10),TAF!AW10,IF(AND(TAF!Z11="TEMPO",NOT(E16+0.01&lt;TAF!AC11),E16-0.01&lt;TAF!AF11),TAF!AW11,IF(AND(TAF!Z12="TEMPO",NOT(E16+0.01&lt;TAF!AC12),E16-0.01&lt;TAF!AF12),TAF!AW12,IF(AND(TAF!Z13="TEMPO",NOT(E16+0.01&lt;TAF!AC13),E16-0.01&lt;TAF!AF13),TAF!AW13,IF(AND(TAF!Z14="TEMPO",NOT(E16+0.01&lt;TAF!AC14),E16-0.01&lt;TAF!AF14),TAF!AW14,IF(AND(TAF!Z15="TEMPO",NOT(E16+0.01&lt;TAF!AC15),E16-0.01&lt;TAF!AF15),TAF!AW15,IF(AND(TAF!Z16="TEMPO",NOT(E16+0.01&lt;TAF!AC16),E16-0.01&lt;TAF!AE16),TAF!AW16,IF(AND(TAF!Z17="TEMPO",NOT(E16+0.01&lt;TAF!AC17),E16-0.01&lt;TAF!AF17),TAF!AW17,IF(AND(TAF!Z18="TEMPO",NOT(E16+0.01&lt;TAF!AC18),E16-0.01&lt;TAF!AF18),TAF!AW18,""))))))))))))</f>
        <v>40</v>
      </c>
      <c r="T16" s="88">
        <f t="shared" si="3"/>
        <v>36.666666666666671</v>
      </c>
      <c r="U16" s="89">
        <f>Worksheet!AP76</f>
        <v>98</v>
      </c>
      <c r="V16" s="90">
        <f>Worksheet!BB76</f>
        <v>73</v>
      </c>
      <c r="W16" s="91">
        <f t="shared" si="16"/>
        <v>0.4503371222797285</v>
      </c>
      <c r="X16" s="92">
        <f>IF(X5="Wind Chill",IF(G16=0,U16,IF(U16&lt;56,35.74+(0.6215*U16)-(35.75*(G16^0.16))+(0.4275*U16*(G16^0.16)),"NA")),IF(X5="WBGT",1.8*((0.7*BL16)+(0.1*BN16)+(0.2*BT16))+32))</f>
        <v>92.16393048981034</v>
      </c>
      <c r="Y16" s="93">
        <f>Worksheet!BQ76</f>
        <v>29.91</v>
      </c>
      <c r="Z16" s="1890">
        <f>Worksheet!BT76</f>
        <v>765.17471087945876</v>
      </c>
      <c r="AA16" s="1891">
        <f>Worksheet!BV76</f>
        <v>3546.9802221844188</v>
      </c>
      <c r="AB16" s="94" t="str">
        <f>IF(AND(TAF!Z7="PREDOM",E16&lt;TAF!AF7),TAF!BS7,IF(AND(TAF!Z8="PREDOM",E16&lt;TAF!AF8),TAF!BS8,IF(AND(TAF!Z9="PREDOM",E16&lt;TAF!AF9),TAF!BS9,IF(AND(TAF!Z10="PREDOM",E16&lt;TAF!AF10),TAF!BS10,IF(AND(TAF!Z11="PREDOM",E16&lt;TAF!AF11),TAF!BS11,IF(AND(TAF!Z12="PREDOM",E16&lt;TAF!AF12),TAF!BS12,IF(AND(TAF!Z13="PREDOM",E16&lt;TAF!AF13),TAF!BS13,IF(AND(TAF!Z14="PREDOM",E16&lt;TAF!AF14),TAF!BS14,IF(AND(TAF!Z15="PREDOM",E16&lt;TAF!AF15),TAF!BS15,IF(AND(TAF!Z16="PREDOM",E16&lt;TAF!AE16),TAF!BS16,IF(AND(TAF!Z17="PREDOM",E16&lt;TAF!AF17),TAF!BS17,IF(AND(TAF!Z18="PREDOM",E16&lt;TAF!AF18),TAF!BS18))))))))))))</f>
        <v/>
      </c>
      <c r="AC16" s="898" t="str">
        <f>IF(AB16="","",IF(AND(TAF!$Z$7="PREDOM",E16&lt;TAF!$AF$7),TAF!$BT$7,IF(AND(TAF!$Z$8="PREDOM",E16&lt;TAF!$AF$8),TAF!$BT$8,IF(AND(TAF!$Z$9="PREDOM",E16&lt;TAF!$AF$9),TAF!$BT$9,IF(AND(TAF!$Z$10="PREDOM",E16&lt;TAF!$AF$10),TAF!$BT$10,IF(AND(TAF!$Z$11="PREDOM",E16&lt;TAF!$AF$11),TAF!$BT$11,IF(AND(TAF!$Z$12="PREDOM",E16&lt;TAF!$AF$12),TAF!$BT$12,IF(AND(TAF!$Z$13="PREDOM",E16&lt;TAF!$AF$13),TAF!$BT$13,IF(AND(TAF!$Z$14="PREDOM",E16&lt;TAF!$AF$14),TAF!$BT$14,IF(AND(TAF!$Z$15="PREDOM",E16&lt;TAF!$AF$15),TAF!$BT$15,IF(AND(TAF!$Z$16="PREDOM",E16&lt;TAF!AE24),TAF!$BT$16,IF(AND(TAF!$Z$17="PREDOM",E16&lt;TAF!$AF$17),TAF!$BT$17,IF(AND(TAF!$Z$18="PREDOM",E16&lt;TAF!$AF$18),TAF!$BT$18)))))))))))))</f>
        <v/>
      </c>
      <c r="AD16" s="903" t="str">
        <f>IF(AB16="","",IF(AND(TAF!$Z$7="PREDOM",E16&lt;TAF!$AF$7),TAF!$BU$7,IF(AND(TAF!$Z$8="PREDOM",E16&lt;TAF!$AF$8),TAF!$BU$8,IF(AND(TAF!$Z$9="PREDOM",E16&lt;TAF!$AF$9),TAF!$BU$9,IF(AND(TAF!$Z$10="PREDOM",E16&lt;TAF!$AF$10),TAF!$BU$10,IF(AND(TAF!$Z$11="PREDOM",E16&lt;TAF!$AF$11),TAF!$BU$11,IF(AND(TAF!$Z$12="PREDOM",E16&lt;TAF!$AF$12),TAF!$BU$12,IF(AND(TAF!$Z$13="PREDOM",E16&lt;TAF!$AF$13),TAF!$BU$13,IF(AND(TAF!$Z$14="PREDOM",E16&lt;TAF!$AF$14),TAF!$BU$14,IF(AND(TAF!$Z$15="PREDOM",E16&lt;TAF!$AF$15),TAF!$BU$15,IF(AND(TAF!$Z$16="PREDOM",E16&lt;TAF!AE24),TAF!$BU$16,IF(AND(TAF!$Z$17="PREDOM",E16&lt;TAF!$AF$17),TAF!$BU$17,IF(AND(TAF!$Z$18="PREDOM",E16&lt;TAF!$AF$18),TAF!$BU$18)))))))))))))</f>
        <v/>
      </c>
      <c r="AE16" s="94" t="str">
        <f>IF(AND(TAF!Z7="PREDOM",E16&lt;TAF!AF7),TAF!BV7,IF(AND(TAF!Z8="PREDOM",E16&lt;TAF!AF8),TAF!BV8,IF(AND(TAF!Z9="PREDOM",E16&lt;TAF!AF9),TAF!BV9,IF(AND(TAF!Z10="PREDOM",E16&lt;TAF!AF10),TAF!BV10,IF(AND(TAF!Z11="PREDOM",E16&lt;TAF!AF11),TAF!BV11,IF(AND(TAF!Z12="PREDOM",E16&lt;TAF!AF12),TAF!BV12,IF(AND(TAF!Z13="PREDOM",E16&lt;TAF!AF13),TAF!BV13,IF(AND(TAF!Z14="PREDOM",E16&lt;TAF!AF14),TAF!BV14,IF(AND(TAF!Z15="PREDOM",E16&lt;TAF!AF15),TAF!BV15,IF(AND(TAF!Z16="PREDOM",E16&lt;TAF!AE16),TAF!BV16,IF(AND(TAF!Z17="PREDOM",E16&lt;TAF!AF17),TAF!BV17,IF(AND(TAF!Z18="PREDOM",E16&lt;TAF!AF18),TAF!BV18))))))))))))</f>
        <v/>
      </c>
      <c r="AF16" s="898" t="str">
        <f>IF(AE16="","",IF(AND(TAF!$Z$7="PREDOM",E16&lt;TAF!$AF$7),TAF!$BW$7,IF(AND(TAF!$Z$8="PREDOM",E16&lt;TAF!$AF$8),TAF!$BW$8,IF(AND(TAF!$Z$9="PREDOM",E16&lt;TAF!$AF$9),TAF!$BW$9,IF(AND(TAF!$Z$10="PREDOM",E16&lt;TAF!$AF$10),TAF!$BW$10,IF(AND(TAF!$Z$11="PREDOM",E16&lt;TAF!$AF$11),TAF!$BW$11,IF(AND(TAF!$Z$12="PREDOM",E16&lt;TAF!$AF$12),TAF!$BW$12,IF(AND(TAF!$Z$13="PREDOM",E16&lt;TAF!$AF$13),TAF!$BW$13,IF(AND(TAF!$Z$14="PREDOM",E16&lt;TAF!$AF$14),TAF!$BW$14,IF(AND(TAF!$Z$15="PREDOM",E16&lt;TAF!$AF$15),TAF!$BW$15,IF(AND(TAF!$Z$16="PREDOM",E16&lt;TAF!AE24),TAF!$BW$16,IF(AND(TAF!$Z$17="PREDOM",E16&lt;TAF!$AF$17),TAF!$BW$17,IF(AND(TAF!$Z$18="PREDOM",E16&lt;TAF!$AF$18),TAF!$BW$18)))))))))))))</f>
        <v/>
      </c>
      <c r="AG16" s="903" t="str">
        <f>IF(AE16="","",IF(AND(TAF!$Z$7="PREDOM",E16&lt;TAF!$AF$7),TAF!$BX$7,IF(AND(TAF!$Z$8="PREDOM",E16&lt;TAF!$AF$8),TAF!$BX$8,IF(AND(TAF!$Z$9="PREDOM",E16&lt;TAF!$AF$9),TAF!$BX$9,IF(AND(TAF!$Z$10="PREDOM",E16&lt;TAF!$AF$10),TAF!$BX$10,IF(AND(TAF!$Z$11="PREDOM",E16&lt;TAF!$AF$11),TAF!$BX$11,IF(AND(TAF!$Z$12="PREDOM",E16&lt;TAF!$AF$12),TAF!$BX$12,IF(AND(TAF!$Z$13="PREDOM",E16&lt;TAF!$AF$13),TAF!$BX$13,IF(AND(TAF!$Z$14="PREDOM",E16&lt;TAF!$AF$14),TAF!$BX$14,IF(AND(TAF!$Z$15="PREDOM",E16&lt;TAF!$AF$15),TAF!$BX$15,IF(AND(TAF!$Z$16="PREDOM",E16&lt;TAF!AE24),TAF!$BX$16,IF(AND(TAF!$Z$17="PREDOM",E16&lt;TAF!$AF$17),TAF!$BX$17,IF(AND(TAF!$Z$18="PREDOM",E16&lt;TAF!$AF$18),TAF!$BX$18)))))))))))))</f>
        <v/>
      </c>
      <c r="AH16" s="892" t="str">
        <f>IF(AND(TAF!$Z$7="PREDOM",E16&lt;TAF!$AF$7),TAF!$BY$7,IF(AND(TAF!$Z$8="PREDOM",E16&lt;TAF!$AF$8),TAF!$BY$8,IF(AND(TAF!$Z$9="PREDOM",E16&lt;TAF!$AF$9),TAF!$BY$9,IF(AND(TAF!$Z$10="PREDOM",E16&lt;TAF!$AF$10),TAF!$BY$10,IF(AND(TAF!$Z$11="PREDOM",E16&lt;TAF!$AF$11),TAF!$BY$11,IF(AND(TAF!$Z$12="PREDOM",E16&lt;TAF!$AF$12),TAF!$BY$12,IF(AND(TAF!$Z$13="PREDOM",E16&lt;TAF!$AF$13),TAF!$BY$13,IF(AND(TAF!$Z$14="PREDOM",E16&lt;TAF!$AF$14),TAF!$BY$14,IF(AND(TAF!$Z$15="PREDOM",E16&lt;TAF!$AF$15),TAF!$BY$15,IF(AND(TAF!$Z$16="PREDOM",E16&lt;TAF!$AF$16),TAF!$BY$16,IF(AND(TAF!$Z$17="PREDOM",E16&lt;TAF!$AF$17),TAF!$BY$17,IF(AND(TAF!$Z$18="PREDOM",E16&lt;TAF!$AF$18),TAF!$BY$18))))))))))))</f>
        <v/>
      </c>
      <c r="AI16" s="898" t="str">
        <f>IF(AH16="","",IF(AND(TAF!$Z$7="PREDOM",E16&lt;TAF!$AF$7),TAF!$BZ$7,IF(AND(TAF!$Z$8="PREDOM",E16&lt;TAF!$AF$8),TAF!$BZ$8,IF(AND(TAF!$Z$9="PREDOM",E16&lt;TAF!$AF$9),TAF!$BZ$9,IF(AND(TAF!$Z$10="PREDOM",E16&lt;TAF!$AF$10),TAF!$BZ$10,IF(AND(TAF!$Z$11="PREDOM",E16&lt;TAF!$AF$11),TAF!$BZ$11,IF(AND(TAF!$Z$12="PREDOM",E16&lt;TAF!$AF$12),TAF!$BZ$12,IF(AND(TAF!$Z$13="PREDOM",E16&lt;TAF!$AF$13),TAF!$BZ$13,IF(AND(TAF!$Z$14="PREDOM",E16&lt;TAF!$AF$14),TAF!$BZ$14,IF(AND(TAF!$Z$15="PREDOM",E16&lt;TAF!$AF$15),TAF!$BZ$15,IF(AND(TAF!$Z$16="PREDOM",E16&lt;TAF!AE24),TAF!$BZ$16,IF(AND(TAF!$Z$17="PREDOM",E16&lt;TAF!$AF$17),TAF!$BZ$17,IF(AND(TAF!$Z$18="PREDOM",E16&lt;TAF!$AF$18),TAF!$BZ$18)))))))))))))</f>
        <v/>
      </c>
      <c r="AJ16" s="903" t="str">
        <f>IF(AH16="","",IF(AND(TAF!$Z$7="PREDOM",E16&lt;TAF!$AF$7),TAF!$CA$7,IF(AND(TAF!$Z$8="PREDOM",E16&lt;TAF!$AF$8),TAF!$CA$8,IF(AND(TAF!$Z$9="PREDOM",E16&lt;TAF!$AF$9),TAF!$CA$9,IF(AND(TAF!$Z$10="PREDOM",E16&lt;TAF!$AF$10),TAF!$CA$10,IF(AND(TAF!$Z$11="PREDOM",E16&lt;TAF!$AF$11),TAF!$CA$11,IF(AND(TAF!$Z$12="PREDOM",E16&lt;TAF!$AF$12),TAF!$CA$12,IF(AND(TAF!$Z$13="PREDOM",E16&lt;TAF!$AF$13),TAF!$CA$13,IF(AND(TAF!$Z$14="PREDOM",E16&lt;TAF!$AF$14),TAF!$CA$14,IF(AND(TAF!$Z$15="PREDOM",E16&lt;TAF!$AF$15),TAF!$CA$15,IF(AND(TAF!$Z$16="PREDOM",E16&lt;TAF!AE24),TAF!$CA$16,IF(AND(TAF!$Z$17="PREDOM",E16&lt;TAF!$AF$17),TAF!$CA$17,IF(AND(TAF!$Z$18="PREDOM",E16&lt;TAF!$AF$18),TAF!$CA$18)))))))))))))</f>
        <v/>
      </c>
      <c r="AK16" s="95" t="str">
        <f>IF(AND(TAF!Z7="TEMPO",NOT(E16+0.01&lt;TAF!AC7),E16-0.01&lt;TAF!AF7),TAF!CB7,IF(AND(TAF!Z8="TEMPO",NOT(E16+0.01&lt;TAF!AC8),E16-0.01&lt;TAF!AF8),TAF!CB8,IF(AND(TAF!Z9="TEMPO",NOT(E16+0.01&lt;TAF!AC9),E16-0.01&lt;TAF!AF9),TAF!CB9,IF(AND(TAF!Z10="TEMPO",NOT(E16+0.01&lt;TAF!AC10),E16-0.01&lt;TAF!AF10),TAF!CB10,IF(AND(TAF!Z11="TEMPO",NOT(E16+0.01&lt;TAF!AC11),E16-0.01&lt;TAF!AF11),TAF!CB11,IF(AND(TAF!Z12="TEMPO",NOT(E16+0.01&lt;TAF!AC12),E16-0.01&lt;TAF!AF12),TAF!CB12,IF(AND(TAF!Z13="TEMPO",NOT(E16+0.01&lt;TAF!AC13),E16-0.01&lt;TAF!AF13),TAF!CB13,IF(AND(TAF!Z14="TEMPO",NOT(E16+0.01&lt;TAF!AC14),E16-0.01&lt;TAF!AF14),TAF!CB14,IF(AND(TAF!Z15="TEMPO",NOT(E16+0.01&lt;TAF!AC15),E16-0.01&lt;TAF!AF15),TAF!CB15,IF(AND(TAF!Z16="TEMPO",NOT(E16+0.01&lt;TAF!AC16),E16-0.01&lt;TAF!AE16),TAF!CB16,IF(AND(TAF!Z17="TEMPO",NOT(E16+0.01&lt;TAF!AC17),E16-0.01&lt;TAF!AF17),TAF!CB17,IF(AND(TAF!Z18="TEMPO",NOT(E16+0.01&lt;TAF!AC18),E16-0.01&lt;TAF!AF18),TAF!CB18,""))))))))))))</f>
        <v/>
      </c>
      <c r="AL16" s="94" t="str">
        <f>IF(AND(TAF!Z7="PREDOM",E16&lt;TAF!AF7),TAF!BG7,IF(AND(TAF!Z8="PREDOM",E16&lt;TAF!AF8),TAF!BG8,IF(AND(TAF!Z9="PREDOM",E16&lt;TAF!AF9),TAF!BG9,IF(AND(TAF!Z10="PREDOM",E16&lt;TAF!AF10),TAF!BG10,IF(AND(TAF!Z11="PREDOM",E16&lt;TAF!AF11),TAF!BG11,IF(AND(TAF!Z12="PREDOM",E16&lt;TAF!AF12),TAF!BG12,IF(AND(TAF!Z13="PREDOM",E16&lt;TAF!AF13),TAF!BG13,IF(AND(TAF!Z14="PREDOM",E16&lt;TAF!AF14),TAF!BG14,IF(AND(TAF!Z15="PREDOM",E16&lt;TAF!AF15),TAF!BG15,IF(AND(TAF!Z16="PREDOM",E16&lt;TAF!AE16),TAF!BG16,IF(AND(TAF!Z17="PREDOM",E16&lt;TAF!AF17),TAF!BG17,IF(AND(TAF!Z18="PREDOM",E16&lt;TAF!AF18),TAF!BG18))))))))))))</f>
        <v/>
      </c>
      <c r="AM16" s="898" t="str">
        <f>IF(AND(TAF!Z7="PREDOM",E16&lt;TAF!AF7),TAF!BH7,IF(AND(TAF!Z8="PREDOM",E16&lt;TAF!AF8),TAF!BH8,IF(AND(TAF!Z9="PREDOM",E16&lt;TAF!AF9),TAF!BH9,IF(AND(TAF!Z10="PREDOM",E16&lt;TAF!AF10),TAF!BH10,IF(AND(TAF!Z11="PREDOM",E16&lt;TAF!AF11),TAF!BH11,IF(AND(TAF!Z12="PREDOM",E16&lt;TAF!AF12),TAF!BH12,IF(AND(TAF!Z13="PREDOM",E16&lt;TAF!AF13),TAF!BH13,IF(AND(TAF!Z14="PREDOM",E16&lt;TAF!AF14),TAF!BH14,IF(AND(TAF!Z15="PREDOM",E16&lt;TAF!AF15),TAF!BH15,IF(AND(TAF!Z16="PREDOM",E16&lt;TAF!AE16),TAF!BH16,IF(AND(TAF!Z17="PREDOM",E16&lt;TAF!AF17),TAF!BH17,IF(AND(TAF!Z18="PREDOM",E16&lt;TAF!AF18),TAF!BH18))))))))))))</f>
        <v/>
      </c>
      <c r="AN16" s="903" t="str">
        <f>IF(AND(TAF!Z7="PREDOM",E16&lt;TAF!AF7),TAF!BI7,IF(AND(TAF!Z8="PREDOM",E16&lt;TAF!AF8),TAF!BI8,IF(AND(TAF!Z9="PREDOM",E16&lt;TAF!AF9),TAF!BI9,IF(AND(TAF!Z10="PREDOM",E16&lt;TAF!AF10),TAF!BI10,IF(AND(TAF!Z11="PREDOM",E16&lt;TAF!AF11),TAF!BI11,IF(AND(TAF!Z12="PREDOM",E16&lt;TAF!AF12),TAF!BI12,IF(AND(TAF!Z13="PREDOM",E16&lt;TAF!AF13),TAF!BI13,IF(AND(TAF!Z14="PREDOM",E16&lt;TAF!AF14),TAF!BI14,IF(AND(TAF!Z15="PREDOM",E16&lt;TAF!AF15),TAF!BI15,IF(AND(TAF!Z16="PREDOM",E16&lt;TAF!AE16),TAF!BI16,IF(AND(TAF!Z17="PREDOM",E16&lt;TAF!AF17),TAF!BI17,IF(AND(TAF!Z18="PREDOM",E16&lt;TAF!AF18),TAF!BI18))))))))))))</f>
        <v/>
      </c>
      <c r="AO16" s="94" t="str">
        <f>IF(AND(TAF!Z7="PREDOM",E16&lt;TAF!AF7),TAF!BJ7,IF(AND(TAF!Z8="PREDOM",E16&lt;TAF!AF8),TAF!BJ8,IF(AND(TAF!Z9="PREDOM",E16&lt;TAF!AF9),TAF!BJ9,IF(AND(TAF!Z10="PREDOM",E16&lt;TAF!AF10),TAF!BJ10,IF(AND(TAF!Z11="PREDOM",E16&lt;TAF!AF11),TAF!BJ11,IF(AND(TAF!Z12="PREDOM",E16&lt;TAF!AF12),TAF!BJ12,IF(AND(TAF!Z13="PREDOM",E16&lt;TAF!AF13),TAF!BJ13,IF(AND(TAF!Z14="PREDOM",E16&lt;TAF!AF14),TAF!BJ14,IF(AND(TAF!Z15="PREDOM",E16&lt;TAF!AF15),TAF!BJ15,IF(AND(TAF!Z16="PREDOM",E16&lt;TAF!AE16),TAF!BJ16,IF(AND(TAF!Z17="PREDOM",E16&lt;TAF!AF17),TAF!BJ17,IF(AND(TAF!Z18="PREDOM",E16&lt;TAF!AF18),TAF!BJ18))))))))))))</f>
        <v/>
      </c>
      <c r="AP16" s="910" t="str">
        <f>IF(AND(TAF!Z7="PREDOM",E16&lt;TAF!AF7),TAF!BK7,IF(AND(TAF!Z8="PREDOM",E16&lt;TAF!AF8),TAF!BK8,IF(AND(TAF!Z9="PREDOM",E16&lt;TAF!AF9),TAF!BK9,IF(AND(TAF!Z10="PREDOM",E16&lt;TAF!AF10),TAF!BK10,IF(AND(TAF!Z11="PREDOM",E16&lt;TAF!AF11),TAF!BK11,IF(AND(TAF!Z12="PREDOM",E16&lt;TAF!AF12),TAF!BK12,IF(AND(TAF!Z13="PREDOM",E16&lt;TAF!AF13),TAF!BK13,IF(AND(TAF!Z14="PREDOM",E16&lt;TAF!AF14),TAF!BK14,IF(AND(TAF!Z15="PREDOM",E16&lt;TAF!AF15),TAF!BK15,IF(AND(TAF!Z16="PREDOM",E16&lt;TAF!AE16),TAF!BK16,IF(AND(TAF!Z17="PREDOM",E16&lt;TAF!AF17),TAF!BK17,IF(AND(TAF!Z18="PREDOM",E16&lt;TAF!AF18),TAF!BK18))))))))))))</f>
        <v/>
      </c>
      <c r="AQ16" s="906" t="str">
        <f>IF(AND(TAF!Z7="PREDOM",E16&lt;TAF!AF7),TAF!BL7,IF(AND(TAF!Z8="PREDOM",E16&lt;TAF!AF8),TAF!BL8,IF(AND(TAF!Z9="PREDOM",E16&lt;TAF!AF9),TAF!BL9,IF(AND(TAF!Z10="PREDOM",E16&lt;TAF!AF10),TAF!BL10,IF(AND(TAF!Z11="PREDOM",E16&lt;TAF!AF11),TAF!BL11,IF(AND(TAF!Z12="PREDOM",E16&lt;TAF!AF12),TAF!BL12,IF(AND(TAF!Z13="PREDOM",E16&lt;TAF!AF13),TAF!BL13,IF(AND(TAF!Z14="PREDOM",E16&lt;TAF!AF14),TAF!BL14,IF(AND(TAF!Z15="PREDOM",E16&lt;TAF!AF15),TAF!BL15,IF(AND(TAF!Z16="PREDOM",E16&lt;TAF!AE16),TAF!BL16,IF(AND(TAF!Z17="PREDOM",E16&lt;TAF!AF17),TAF!BL17,IF(AND(TAF!Z18="PREDOM",E16&lt;TAF!AF18),TAF!BL18))))))))))))</f>
        <v/>
      </c>
      <c r="AR16" s="892" t="str">
        <f>IF(AND(TAF!Z7="PREDOM",E16&lt;TAF!AF7),TAF!BM7,IF(AND(TAF!Z8="PREDOM",E16&lt;TAF!AF8),TAF!BM8,IF(AND(TAF!Z9="PREDOM",E16&lt;TAF!AF9),TAF!BM9,IF(AND(TAF!Z10="PREDOM",E16&lt;TAF!AF10),TAF!BM10,IF(AND(TAF!Z11="PREDOM",E16&lt;TAF!AF11),TAF!BM11,IF(AND(TAF!Z12="PREDOM",E16&lt;TAF!AF12),TAF!BM12,IF(AND(TAF!Z13="PREDOM",E16&lt;TAF!AF13),TAF!BM13,IF(AND(TAF!Z14="PREDOM",E16&lt;TAF!AF14),TAF!BM14,IF(AND(TAF!Z15="PREDOM",E16&lt;TAF!AF15),TAF!BM15,IF(AND(TAF!Z16="PREDOM",E16&lt;TAF!AE16),TAF!BM16,IF(AND(TAF!Z17="PREDOM",E16&lt;TAF!AF17),TAF!BM17,IF(AND(TAF!Z18="PREDOM",E16&lt;TAF!AF18),TAF!BM18))))))))))))</f>
        <v/>
      </c>
      <c r="AS16" s="910" t="str">
        <f>IF(AND(TAF!Z7="PREDOM",E16&lt;TAF!AF7),TAF!BN7,IF(AND(TAF!Z8="PREDOM",E16&lt;TAF!AF8),TAF!BN8,IF(AND(TAF!Z9="PREDOM",E16&lt;TAF!AF9),TAF!BN9,IF(AND(TAF!Z10="PREDOM",E16&lt;TAF!AF10),TAF!BN10,IF(AND(TAF!Z11="PREDOM",E16&lt;TAF!AF11),TAF!BN11,IF(AND(TAF!Z12="PREDOM",E16&lt;TAF!AF12),TAF!BN12,IF(AND(TAF!Z13="PREDOM",E16&lt;TAF!AF13),TAF!BN13,IF(AND(TAF!Z14="PREDOM",E16&lt;TAF!AF14),TAF!BN14,IF(AND(TAF!Z15="PREDOM",E16&lt;TAF!AF15),TAF!BN15,IF(AND(TAF!Z16="PREDOM",E16&lt;TAF!AE16),TAF!BN16,IF(AND(TAF!Z17="PREDOM",E16&lt;TAF!AF17),TAF!BN17,IF(AND(TAF!Z18="PREDOM",E16&lt;TAF!AF18),TAF!BN18))))))))))))</f>
        <v/>
      </c>
      <c r="AT16" s="906" t="str">
        <f>IF(AND(TAF!Z7="PREDOM",E16&lt;TAF!AF7),TAF!BO7,IF(AND(TAF!Z8="PREDOM",E16&lt;TAF!AF8),TAF!BO8,IF(AND(TAF!Z9="PREDOM",E16&lt;TAF!AF9),TAF!BO9,IF(AND(TAF!Z10="PREDOM",E16&lt;TAF!AF10),TAF!BO10,IF(AND(TAF!Z11="PREDOM",E16&lt;TAF!AF11),TAF!BO11,IF(AND(TAF!Z12="PREDOM",E16&lt;TAF!AF12),TAF!BO12,IF(AND(TAF!Z13="PREDOM",E16&lt;TAF!AF13),TAF!BO13,IF(AND(TAF!Z14="PREDOM",E16&lt;TAF!AF14),TAF!BO14,IF(AND(TAF!Z15="PREDOM",E16&lt;TAF!AF15),TAF!BO15,IF(AND(TAF!Z16="PREDOM",E16&lt;TAF!AE16),TAF!BO16,IF(AND(TAF!Z17="PREDOM",E16&lt;TAF!AF17),TAF!BO17,IF(AND(TAF!Z18="PREDOM",E16&lt;TAF!AF18),TAF!BO18))))))))))))</f>
        <v/>
      </c>
      <c r="AU16" s="95" t="str">
        <f>IF(AND(TAF!Z7="TEMPO",NOT(E16+0.01&lt;TAF!AC7),E16-0.01&lt;TAF!AF7),TAF!BP7,IF(AND(TAF!Z8="TEMPO",NOT(E16+0.01&lt;TAF!AC8),E16-0.01&lt;TAF!AF8),TAF!BP8,IF(AND(TAF!Z9="TEMPO",NOT(E16+0.01&lt;TAF!AC9),E16-0.01&lt;TAF!AF9),TAF!BP9,IF(AND(TAF!Z10="TEMPO",NOT(E16+0.01&lt;TAF!AC10),E16-0.01&lt;TAF!AF10),TAF!BP10,IF(AND(TAF!Z11="TEMPO",NOT(E16+0.01&lt;TAF!AC11),E16-0.01&lt;TAF!AF11),TAF!BP11,IF(AND(TAF!Z12="TEMPO",NOT(E16+0.01&lt;TAF!AC12),E16-0.01&lt;TAF!AF12),TAF!BP12,IF(AND(TAF!Z13="TEMPO",NOT(E16+0.01&lt;TAF!AC13),E16-0.01&lt;TAF!AF13),TAF!BP13,IF(AND(TAF!Z14="TEMPO",NOT(E16+0.01&lt;TAF!AC14),E16-0.01&lt;TAF!AF14),TAF!BP14,IF(AND(TAF!Z15="TEMPO",NOT(E16+0.01&lt;TAF!AC15),E16-0.01&lt;TAF!AF15),TAF!BP15,IF(AND(TAF!Z16="TEMPO",NOT(E16+0.01&lt;TAF!AC16),E16-0.01&lt;TAF!AE16),TAF!BP16,IF(AND(TAF!Z17="TEMPO",NOT(E16+0.01&lt;TAF!AC17),E16-0.01&lt;TAF!AF17),TAF!BP17,IF(AND(TAF!Z18="TEMPO",NOT(E16+0.01&lt;TAF!AC18),E16-0.01&lt;TAF!AF18),TAF!BP18,""))))))))))))</f>
        <v/>
      </c>
      <c r="AV16" s="96" t="str">
        <f>IF(AND(TAF!Z7="PREDOM",E16&lt;TAF!AF7),TAF!CD7,IF(AND(TAF!Z8="PREDOM",E16&lt;TAF!AF8),TAF!CD8,IF(AND(TAF!Z9="PREDOM",E16&lt;TAF!AF9),TAF!CD9,IF(AND(TAF!Z10="PREDOM",E16&lt;TAF!AF10),TAF!CD10,IF(AND(TAF!Z11="PREDOM",E16&lt;TAF!AF11),TAF!CD11,IF(AND(TAF!Z12="PREDOM",E16&lt;TAF!AF12),TAF!CD12,IF(AND(TAF!Z13="PREDOM",E16&lt;TAF!AF13),TAF!CD13,IF(AND(TAF!Z14="PREDOM",E16&lt;TAF!AF14),TAF!CD14,IF(AND(TAF!Z15="PREDOM",E16&lt;TAF!AF15),TAF!CD15,IF(AND(TAF!Z16="PREDOM",E16&lt;TAF!AE16),TAF!CD16,IF(AND(TAF!Z17="PREDOM",E16&lt;TAF!AF17),TAF!CD17,IF(AND(TAF!Z18="PREDOM",E16&lt;TAF!AF18),TAF!CD18))))))))))))</f>
        <v/>
      </c>
      <c r="AW16" s="97" t="str">
        <f>IF(AND(TAF!Z7="TEMPO",NOT(E16+0.01&lt;TAF!AC7),E16-0.01&lt;TAF!AF7),TAF!CD7,IF(AND(TAF!Z8="TEMPO",NOT(E16+0.01&lt;TAF!AC8),E16-0.01&lt;TAF!AF8),TAF!CD8,IF(AND(TAF!Z9="TEMPO",NOT(E16+0.01&lt;TAF!AC9),E16-0.01&lt;TAF!AF9),TAF!CD9,IF(AND(TAF!Z10="TEMPO",NOT(E16+0.01&lt;TAF!AC10),E16-0.01&lt;TAF!AF10),TAF!CD10,IF(AND(TAF!Z11="TEMPO",NOT(E16+0.01&lt;TAF!AC11),E16-0.01&lt;TAF!AF11),TAF!CD11,IF(AND(TAF!Z12="TEMPO",NOT(E16+0.01&lt;TAF!AC12),E16-0.01&lt;TAF!AF12),TAF!CD12,IF(AND(TAF!Z13="TEMPO",NOT(E16+0.01&lt;TAF!AC13),E16-0.01&lt;TAF!AF13),TAF!CD13,IF(AND(TAF!Z14="TEMPO",NOT(E16+0.01&lt;TAF!AC14),E16-0.01&lt;TAF!AF14),TAF!CD14,IF(AND(TAF!Z15="TEMPO",NOT(E16+0.01&lt;TAF!AC15),E16-0.01&lt;TAF!AF15),TAF!CD15,IF(AND(TAF!Z16="TEMPO",NOT(E16+0.01&lt;TAF!AC16),E16-0.01&lt;TAF!AE16),TAF!CD16,IF(AND(TAF!Z17="TEMPO",NOT(E16+0.01&lt;TAF!AC17),E16-0.01&lt;TAF!AF17),TAF!CD17,IF(AND(TAF!Z18="TEMPO",NOT(E16+0.01&lt;TAF!AC18),E16-0.01&lt;TAF!AF18),TAF!CD18,""))))))))))))</f>
        <v/>
      </c>
      <c r="AX16" s="98" t="str">
        <f>IF(OR(AND(H16&lt;&gt;"",H16&gt;(MLT!$E$5-1)),J16&lt;(MLT!$E$8+0.01),L16="TS",O16="TS",R16&lt;(MLT!$E$9),AND(AB16&lt;&gt;"",AB16&gt;(MLT!$E$6-1)),AL16=MLT!$E$7,AL16=MLT!$F$7),"R",IF(OR(AND(H16&lt;&gt;"",H16&gt;(MLT!$H$5-1)),AND(I16&lt;&gt;"",I16&gt;(MLT!$H$5-1)),J16&lt;MLT!$H$8,K16&lt;MLT!$H$8,L16=MLT!$H$10,O16=MLT!$E$10,O16=MLT!$H$10,R16&lt;MLT!$H$9,S16&lt;MLT!$H$9,AND(AB16&lt;&gt;"",AB16&gt;0),AND(AE16&lt;&gt;"",AE16&gt;0),AND(AH16&lt;&gt;"",AH16&gt;0),AND(AK16&lt;&gt;"",AK16&gt;0),AND(AL16&lt;&gt;"",AL16&lt;&gt;4,AL16&gt;2),AND(AO16&lt;&gt;"",AO16&lt;&gt;4,AO16&gt;2),AND(AR16&lt;&gt;"",AR16&lt;&gt;4,AR16&gt;2),AND(AU16&lt;&gt;"",AU16&lt;&gt;4,AU16&gt;2)),"Y","G"))</f>
        <v>R</v>
      </c>
      <c r="AY16" s="99" t="str">
        <f>IF(OR(AND(H16&lt;&gt;"",H16&gt;(MLT!$E$13-1)),J16&lt;MLT!$E$17,R16&lt;MLT!$E$19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$13-1)),AND(I16&lt;&gt;"",I16&gt;(MLT!$H$13-1)),J16&lt;MLT!$H$17,K16&lt;MLT!$H$17,R16&lt;MLT!$H$19,S16&lt;MLT!$H$19,L16="VCTS",O16="VCTS",AND(AB16&lt;&gt;"",AB16&gt;1),AND(AK16&lt;&gt;"",AK16&gt;0),AND(AL16&lt;&gt;"",AL16&gt;1),AND(AO16&lt;&gt;"",AO16&gt;1),AND(AR16&lt;&gt;"",AR16&gt;1),AU16=3,AND(AU16&lt;&gt;"",AU16&gt;4),AV16="LLWS",AW16="LLWS"),"Y","G"))</f>
        <v>R</v>
      </c>
      <c r="AZ16" s="99" t="str">
        <f>IF(OR(AND(H16&lt;&gt;"",H16&gt;(MLT!$E$13-1)),J16&lt;MLT!$E$16,R16&lt;MLT!$E$18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$13-1)),AND(I16&lt;&gt;"",I16&gt;(MLT!$H$13-1)),J16&lt;MLT!$H$17,K16&lt;MLT!$H$17,R16&lt;MLT!$H$19,S16&lt;MLT!$H$19,L16="VCTS",O16="VCTS",AND(AB16&lt;&gt;"",AB16&gt;1),AND(AK16&lt;&gt;"",AK16&gt;0),AND(AL16&lt;&gt;"",AL16&gt;1),AND(AO16&lt;&gt;"",AO16&gt;1),AND(AR16&lt;&gt;"",AR16&gt;1),AU16=3,AND(AU16&lt;&gt;"",AU16&gt;4),AV16="LLWS",AW16="LLWS"),"Y","G"))</f>
        <v>R</v>
      </c>
      <c r="BA16" s="99" t="str">
        <f>IF(OR(IF(MEF!$AP$14="Hoist",OR(G16&gt;19,AND(H16&lt;&gt;"",H16&gt;19)),AND(H16&lt;&gt;"",H16&gt;(MLT!$E$23-1))),AND(B16&gt;MEF!$Z$11,J16&lt;MLT!$E$26),AND(B16&lt;MEF!$E$53,J16&lt;MLT!$E$26),J16&lt;MLT!$E$27,AND(B16&gt;MEF!$Z$11,R16&lt;MLT!$E$28),AND(B16&lt;MEF!$E$53,R16&lt;MLT!$E$28),R16&lt;MLT!$E$29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H$23-1)),AND(I16&lt;&gt;"",I16&gt;(MLT!$H$23-1)),AND(B16&gt;MEF!$Z$11,J16&lt;MLT!$H$26),AND(B16&lt;MEF!$E$53,J16&lt;MLT!$H$26),AND(B16&gt;MEF!$Z$11,K16&lt;MLT!$H$26),AND(B16&lt;MEF!$E$53,K16&lt;MLT!$H$26),J16&lt;MLT!$H$27,K16&lt;MLT!$H$27,AND(B16&gt;MEF!$Z$11,R16&lt;MLT!$H$28),AND(B16&lt;MEF!$E$53,R16&lt;MLT!$H$28),AND(B16&gt;MEF!$Z$11,S16&lt;MLT!$H$28),AND(B16&lt;MEF!$E$53,S16&lt;MLT!$H$28),R16&lt;MLT!$H$29,S16&lt;MLT!$H$29,L16="VCTS",O16="VCTS",U16&gt;90,U16&lt;-29,AB16&lt;&gt;"",AK16&lt;&gt;"",AND(AL16&lt;&gt;"",AL16&gt;1),AND(AO16&lt;&gt;"",AO16&gt;1),AND(AR16&lt;&gt;"",AR16&gt;1),AU16=3,AND(AU16&lt;&gt;"",AU16&gt;4),AV16="LLWS",AW16="LLWS"),"Y","G"))</f>
        <v>R</v>
      </c>
      <c r="BB16" s="99" t="str">
        <f>IF(OR(AND(H16&lt;&gt;"",H16&gt;(MLT!$E$23-1)),AND(B16&gt;MEF!$Z$11,J16&lt;MLT!$F$26),AND(B16&lt;MEF!$E$53,J16&lt;MLT!$F$26),J16&lt;MLT!$F$27,AND(B16&gt;MEF!$Z$11,R16&lt;MLT!$F$28),AND(B16&lt;MEF!$E$53,R16&lt;MLT!$F$28),R16&lt;MLT!$F$29,L16="TS",O16="TS",AND(AB16&lt;&gt;"",AB16&gt;3,AC16&lt;30),AND(AE16&lt;&gt;"",AE16&gt;3,AF16&lt;30),AND(AH16&lt;&gt;"",AH16&gt;3,AI16&lt;30),AND(OR(AL16=7,AL16=9),AM16&lt;30),AND(OR(AO16=7,AO16=9),AP16&lt;30),AND(OR(AR16=7,AR16=9),AS16&lt;30)),"R",IF(OR(AND(H16&lt;&gt;"",H16&gt;(MLT!$I$23-1)),AND(I16&lt;&gt;"",I16&gt;(MLT!$I$23-1)),AND(B16&gt;MEF!$Z$11,J16&lt;MLT!$I$26),AND(B16&lt;MEF!$E$53,J16&lt;MLT!$I$26),AND(B16&gt;MEF!$Z$11,K16&lt;MLT!$I$26),AND(B16&lt;MEF!$E$53,K16&lt;MLT!$I$26),J16&lt;MLT!$I$27,K16&lt;MLT!$I$27,AND(B16&gt;MEF!$Z$11,R16&lt;MLT!$I$28),AND(B16&lt;MEF!$E$53,R16&lt;MLT!$I$28),AND(B16&gt;MEF!$Z$11,S16&lt;MLT!$I$28),AND(B16&lt;MEF!$E$53,S16&lt;MLT!$I$28),R16&lt;MLT!$I$29,S16&lt;MLT!$I$29,L16="VCTS",O16="VCTS",U16&gt;94,U16&lt;-29,AB16&lt;&gt;"",AK16&lt;&gt;"",AND(AL16&lt;&gt;"",AL16&gt;1),AND(AO16&lt;&gt;"",AO16&gt;1),AND(AR16&lt;&gt;"",AR16&gt;1),AU16=3,AND(AU16&lt;&gt;"",AU16&gt;4),AV16="LLWS",AW16="LLWS",CE16&lt;30,AND(CJ16&lt;25,CJ16&lt;&gt;0)),"Y","G"))</f>
        <v>R</v>
      </c>
      <c r="BC16" s="99" t="str">
        <f>IF(OR(G16&gt;(MLT!F$35-1),AND(H16&lt;&gt;"",H16&gt;(MLT!E$35-1)),J16&lt;MLT!E$38,R16&lt;MLT!E$39,L16="TS",O16="TS",N16="Y",T16&gt;50.49,T16&lt;-20.5,W16&gt;0.9449,AA16&gt;8999,AND(AB16&lt;&gt;"",AB16&gt;0),AND(AL16&lt;&gt;"",AL16&gt;1)),"R",IF(OR(G16&gt;(MLT!I$35-1),AND(H16&lt;&gt;"",H16&gt;(MLT!H$35-1)),AND(I16&lt;&gt;"",I16&gt;(MLT!H$35-1)),J16&lt;MLT!H$38,K16&lt;MLT!H$38,M16&lt;&gt;"",P16&lt;&gt;"",R16&lt;MLT!H$39,S16&lt;MLT!H$39,L16="VCTS",O16="VCTS",T16&gt;45.49,T16&lt;-14,W16&gt;0.8449,AA16&gt;6999,AND(AB16&lt;&gt;"",AB16&gt;0),AND(AK16&lt;&gt;"",AK16&gt;0),AND(AL16&lt;&gt;"",AL16&gt;0),AND(AU16&lt;&gt;"",AU16&gt;0),AV16="LLWS",AW16="LLWS"),"Y","G"))</f>
        <v>R</v>
      </c>
      <c r="BD16" s="98" t="str">
        <f>IF(OR(AND(NOT(H16=""),H16&gt;(MLT!E48-1)),AND(NOT(I16=""),I16&gt;(MLT!E48-1)),J16&lt;0.26,NOT(L16=""),U16&lt;14.5,AND(X5="Wind Chill",X16&lt;-0.5),AND(X5="WBGT",X16&gt;89.49)),"R",IF(OR(AND(NOT(H16=""),H16&gt;(MLT!H48-1)),AND(NOT(I16=""),I16&gt;(MLT!H48-1)),J16&lt;1,NOT(M16=""),NOT(P16=""),NOT(O16=""),U16&lt;31.5,AND(X5="Wind Chill",X16&lt;14.5),AND(X5="WBGT",X16&gt;77.49)),"Y","G"))</f>
        <v>R</v>
      </c>
      <c r="BE16" s="99" t="str">
        <f>IF(OR(AND(H16&lt;&gt;"",H16&gt;(MLT!$E$56)),J16&lt;MLT!$E$59,R16&lt;MLT!$E$60,L16="TS",O16="TS",AND(AB16&lt;&gt;"",AC16&lt;30),AND(AE16&lt;&gt;"",AF16&lt;30),AND(AH16&lt;&gt;"",AI16&lt;30),AND(AL16&lt;&gt;"",AL16&gt;0,AM16&lt;30),AND(AO16&lt;&gt;"",AO16&gt;0,AP16&lt;30),AND(AR16&lt;&gt;"",AR16&gt;0,AS16&lt;30)),"R",IF(OR(AND(H16&lt;&gt;"",H16&gt;MLT!$H$56),AND(I16&lt;&gt;"",I16&gt;MLT!$H$56),J16&lt;MLT!$H$59,K16&lt;MLT!$H$59,R16&lt;MLT!$H$60,S16&lt;MLT!$H$60,L16="VCTS",O16="VCTS",AB16&lt;&gt;"",AK16&lt;&gt;"",AL16&lt;&gt;"",AU16&lt;&gt;"",AV16="LLWS",AW16="LLWS"),"Y","G"))</f>
        <v>R</v>
      </c>
      <c r="BF16" s="99" t="str">
        <f>IF(OR(AND(H16&lt;&gt;"",H16&gt;(MLT!$E$64)),L16="TS",O16="TS",AND(AB16&lt;&gt;"",AB16&gt;3,AC16&lt;30),AND(AE16&lt;&gt;"",AE16&gt;3,AF16&lt;30),AND(AH16&lt;&gt;"",AH16&gt;3,AI16&lt;30),AND(AL16=7,AM16&lt;30),AND(AL16=9,AM16&lt;30),AND(AO16=7,AP16&lt;30),AND(AO16=9,AP16&lt;30),AND(AR16=7,AS16&lt;30),AND(AR16=9,AS16&lt;30)),"R",IF(OR(AND(H16&lt;&gt;"",H16&gt;MLT!$H$64),AND(I16&lt;&gt;"",I16&gt;MLT!$H$64),J16&lt;MLT!$H$67,K16&lt;MLT!$H$67,R16&lt;MLT!$H$68,S16&lt;MLT!$H$68,L16="VCTS",O16="VCTS",calc!U16&gt;90,U16&lt;-29,AB16&lt;&gt;"",AK16&lt;&gt;"",AND(AL16&lt;&gt;"",AL16&gt;1),AND(AO16&lt;&gt;"",AO16&gt;1),AND(AR16&lt;&gt;"",AR16&gt;1),AND(AU16&lt;&gt;"",AU16&gt;1),AV16="LLWS",AW16="LLWS"),"Y","G"))</f>
        <v>R</v>
      </c>
      <c r="BG16" s="98" t="str">
        <f>IF(OR(AND(H16&lt;&gt;"",H16&gt;(MLT!$E$73)),L16="TS",O16="TS",AND(AB16&lt;&gt;"",AC16&lt;30),AND(AE16&lt;&gt;"",AF16&lt;30),AND(AH16&lt;&gt;"",AI16&lt;30),AND(AL16=3,AM16&lt;30),AND(AL16&lt;&gt;"",AL16&gt;4,AM16&lt;30),AND(AO16=3,AP16&lt;30),AND(AO16&lt;&gt;"",AO16&gt;4,AP16&lt;30),AND(AR16=3,AS16&lt;30),AND(AR16&lt;&gt;"",AR16&gt;4,AS16&lt;30)),"R",IF(OR(AND(H16&lt;&gt;"",H16&gt;MLT!$H$73),AND(I16&lt;&gt;"",I16&gt;MLT!$H$73),J16&lt;MLT!$H$76,K16&lt;MLT!$H$76,R16&lt;MLT!$H$77,S16&lt;MLT!$H$77,L16="VCTS",O16="VCTS",AB16&lt;&gt;"",AK16&lt;&gt;"",AL16&lt;&gt;"",AU16&lt;&gt;"",AV16="LLWS",AW16="LLWS"),"Y","G"))</f>
        <v>R</v>
      </c>
      <c r="BH16" s="98" t="str">
        <f>IF(OR(IF(H16="",G16,H16)&gt;MLT!$E$81,IF(H16="",G16,H16)-G16&gt;19,IF(F16="VRB",FALSE(),(IF(AND(F16&gt;89,F16&lt;271),SIN(RADIANS(MAX(180,F16)-MIN(180,F16))),SIN(RADIANS(IF(F16&gt;269,360-F16,F16)))))*(IF(H16="",G16,H16))&gt;MLT!$E$82),J16&lt;MLT!$E$86,L16="TS",L16="VCTS",O16="TS",R16&lt;MLT!$E$87,U16&gt;MLT!$E$88,AND(AB16&lt;&gt;"",AB16&gt;3,AC16&lt;100),AND(AE16&lt;&gt;"",AE16&gt;3,AF16&lt;100),AND(AH16&lt;&gt;"",AH16&gt;3,AI16&lt;100),AND(AL16=7,AM16&lt;100),AND(AL16=9,AM16&lt;100),AND(AO16=7,AP16&lt;100),AND(AO16=9,AP16&lt;100),AND(AR16=7,AS16&lt;100),AND(AR16=9,AS16&lt;100),AV16="LLWS"),"R",IF(OR(AND(H16&lt;&gt;"",H16&gt;14),IF(F16="VRB",FALSE(),(IF(AND(F16&gt;89,F16&lt;271),SIN(RADIANS(MAX(180,F16)-MIN(180,F16))),SIN(RADIANS(IF(F16&gt;269,360-F16,F16)))))*(IF(H16="",G16,H16))&gt;MLT!$H$82),AND(I16&lt;&gt;"",I16&gt;14),J16&lt;MLT!$H$86,K16&lt;MLT!$H$86,R16&lt;MLT!$H$87,S16&lt;MLT!$H$87,O16="VCTS",calc!U16&gt;90,AB16&lt;&gt;"",AK16&lt;&gt;"",AND(AL16&lt;&gt;"",AL16&gt;1),AND(AO16&lt;&gt;"",AO16&gt;1),AND(AR16&lt;&gt;"",AR16&gt;1),AND(AU16&lt;&gt;"",AU16&gt;1),AW16="LLWS"),"Y","G"))</f>
        <v>R</v>
      </c>
      <c r="BI16" s="98" t="str">
        <f>IF(OR(IF(H16="",G16,H16)&gt;MLT!$E$92,J16&lt;MLT!$E$95,L16="TS",L16="VCTS",O16="TS",R16&lt;MLT!$E$96,AND(AB16&lt;&gt;"",AB16&gt;3,AC16&lt;100),AND(AE16&lt;&gt;"",AE16&gt;3,AF16&lt;100),AND(AH16&lt;&gt;"",AH16&gt;3,AI16&lt;100),AND(AL16=7,AM16&lt;100),AND(AL16=9,AM16&lt;100),AND(AO16=7,AP16&lt;100),AND(AO16=9,AP16&lt;100),AND(AR16=7,AS16&lt;100),AND(AR16=9,AS16&lt;100)),"R",IF(OR(AND(H16&lt;&gt;"",H16&gt;14),AND(I16&lt;&gt;"",I16&gt;14),J16&lt;MLT!$H$95,K16&lt;MLT!$H$95,R16&lt;MLT!$H$96,S16&lt;MLT!$H$96,O16="VCTS",AB16&lt;&gt;"",AK16&lt;&gt;"",AND(AL16&lt;&gt;"",AL16&gt;1),AND(AO16&lt;&gt;"",AO16&gt;1),AND(AR16&lt;&gt;"",AR16&gt;1),AND(AU16&lt;&gt;"",AU16&gt;1),AV16="LLWS",AW16="LLWS"),"Y","G"))</f>
        <v>R</v>
      </c>
      <c r="BK16" s="41">
        <f t="shared" si="4"/>
        <v>27.433701275887969</v>
      </c>
      <c r="BL16" s="41">
        <f t="shared" si="5"/>
        <v>27.433701275887969</v>
      </c>
      <c r="BM16" s="41">
        <f>IF(R16&gt;200,T16+(LOOKUP(Worksheet!BD6,BV8:BV10,BW8:BW10)*(CA16/BZ16)),IF(AND(R16&lt;210,R16&gt;29),T16+(0.5*LOOKUP(Worksheet!BD6,BV8:BV10,BW8:BW10)*(CA16/BZ16)),T16+0.25*(LOOKUP(Worksheet!BD6,BV8:BV10,BW8:BW10)*(CA16/BZ16))))</f>
        <v>40.405871340023829</v>
      </c>
      <c r="BN16" s="41">
        <f t="shared" si="6"/>
        <v>39.471070171684538</v>
      </c>
      <c r="BO16" s="42">
        <f t="shared" si="7"/>
        <v>22.777777777777779</v>
      </c>
      <c r="BP16" s="43">
        <f t="shared" si="8"/>
        <v>98.555771136504532</v>
      </c>
      <c r="BQ16" s="44">
        <f t="shared" si="9"/>
        <v>2.7757878312732625</v>
      </c>
      <c r="BR16" s="42">
        <f t="shared" si="17"/>
        <v>53.748033469957321</v>
      </c>
      <c r="BS16" s="42">
        <f t="shared" si="10"/>
        <v>51.368539586911858</v>
      </c>
      <c r="BT16" s="42">
        <f t="shared" si="11"/>
        <v>51.368539586911858</v>
      </c>
      <c r="BU16" s="42"/>
      <c r="BV16" s="1610"/>
      <c r="BW16" s="835"/>
      <c r="BX16" s="106">
        <f>DEGREES(ASIN(BY16*COS(RADIANS(LOOKUP(Worksheet!Q6,'Light Data '!A3:A377,'Light Data '!J3:J377)))*COS(RADIANS(Worksheet!R2))+SIN(RADIANS(LOOKUP(Worksheet!Q6,'Light Data '!A3:A377,'Light Data '!J3:J377)))*SIN(RADIANS(Worksheet!R2))))</f>
        <v>46.448309038663659</v>
      </c>
      <c r="BY16" s="515">
        <f>COS(RADIANS(15*((MAX(CF5,(HOUR(C16)/24))-MIN(CF5,(HOUR(C16)/24)))*24)))</f>
        <v>0.67075030311020289</v>
      </c>
      <c r="BZ16" s="516">
        <f>IF(BX16&lt;0,0.1,((128*10^3)*(1+0.033412*COS(2*PI()*(((CH4-CH3)-3)/365)))))</f>
        <v>123724.68965631575</v>
      </c>
      <c r="CA16" s="516">
        <f>IF(BX16&lt;0,0,((128*10^3)*(1+0.033412*COS(2*PI()*(((CH4-CH3)-3)/365))))*POWER(EXP(1),0-(CB16*(1/(SIN(RADIANS(BX16+(244/(165+47*(POWER(BX16,1.1)))))))))))</f>
        <v>84114.89777682905</v>
      </c>
      <c r="CB16" s="389">
        <f t="shared" si="12"/>
        <v>0.28000000000000003</v>
      </c>
      <c r="CC16" s="112">
        <f t="shared" si="24"/>
        <v>38.159432609823185</v>
      </c>
      <c r="CD16" s="112" t="str">
        <f t="shared" si="19"/>
        <v>(38)</v>
      </c>
      <c r="CE16" s="112">
        <f t="shared" si="20"/>
        <v>99</v>
      </c>
      <c r="CF16" s="66" t="str">
        <f t="shared" si="21"/>
        <v>U1</v>
      </c>
      <c r="CI16" s="834">
        <f>INDEX('Light Data '!$H$3:$H$381,MATCH(ROUNDDOWN(C16,0),'Light Data '!$A$3:$A$381,0))-(((INDEX('Light Data '!$H$3:$H$381,MATCH(ROUNDDOWN(C16,0),'Light Data '!$A$3:$A$381,0))-(INDEX('Light Data '!$H$3:$H$381,MATCH(ROUNDDOWN(C16,0)+1,'Light Data '!$A$3:$A$381,0))))/24)*HOUR(C16))</f>
        <v>48.083333333333336</v>
      </c>
      <c r="CJ16" s="834" t="str">
        <f t="shared" si="22"/>
        <v>NA</v>
      </c>
    </row>
    <row r="17" spans="1:88" ht="15" customHeight="1" thickTop="1" thickBot="1">
      <c r="A17" s="528">
        <f t="shared" si="23"/>
        <v>18</v>
      </c>
      <c r="B17" s="526">
        <f t="shared" si="1"/>
        <v>1800</v>
      </c>
      <c r="C17" s="3640">
        <f>Worksheet!AD77</f>
        <v>44748.749999999993</v>
      </c>
      <c r="D17" s="3640"/>
      <c r="E17" s="521">
        <f>Worksheet!AF77</f>
        <v>44748.916666666664</v>
      </c>
      <c r="F17" s="77" t="str">
        <f>IF(AND(TAF!Z7="PREDOM",E17&lt;TAF!AF7),TAF!AH7,IF(AND(TAF!Z8="PREDOM",E17&lt;TAF!AF8),TAF!AH8,IF(AND(TAF!Z9="PREDOM",E17&lt;TAF!AF9),TAF!AH9,IF(AND(TAF!Z10="PREDOM",E17&lt;TAF!AF10),TAF!AH10,IF(AND(TAF!Z11="PREDOM",E17&lt;TAF!AF11),TAF!AH11,IF(AND(TAF!Z12="PREDOM",E17&lt;TAF!AF12),TAF!AH12,IF(AND(TAF!Z13="PREDOM",E17&lt;TAF!AF13),TAF!AH13,IF(AND(TAF!Z14="PREDOM",E17&lt;TAF!AF14),TAF!AH14,IF(AND(TAF!Z15="PREDOM",E17&lt;TAF!AF15),TAF!AH15,IF(AND(TAF!Z16="PREDOM",E17&lt;TAF!AE16),TAF!AH16,IF(AND(TAF!Z17="PREDOM",E17&lt;TAF!AF17),TAF!AH17,IF(AND(TAF!Z18="PREDOM",E17&lt;TAF!AF18),TAF!AH18))))))))))))</f>
        <v>240</v>
      </c>
      <c r="G17" s="78">
        <f>IF(AND(TAF!Z7="PREDOM",E17&lt;TAF!AF7),TAF!AI7,IF(AND(TAF!Z8="PREDOM",E17&lt;TAF!AF8),TAF!AI8,IF(AND(TAF!Z9="PREDOM",E17&lt;TAF!AF9),TAF!AI9,IF(AND(TAF!Z10="PREDOM",E17&lt;TAF!AF10),TAF!AI10,IF(AND(TAF!Z11="PREDOM",E17&lt;TAF!AF11),TAF!AI11,IF(AND(TAF!Z12="PREDOM",E17&lt;TAF!AF12),TAF!AI12,IF(AND(TAF!Z13="PREDOM",E17&lt;TAF!AF13),TAF!AI13,IF(AND(TAF!Z14="PREDOM",E17&lt;TAF!AF14),TAF!AI14,IF(AND(TAF!Z15="PREDOM",E17&lt;TAF!AF15),TAF!AI15,IF(AND(TAF!Z16="PREDOM",E17&lt;TAF!AE16),TAF!AI16,IF(AND(TAF!Z17="PREDOM",E17&lt;TAF!AF17),TAF!AI17,IF(AND(TAF!Z18="PREDOM",E17&lt;TAF!AF18),TAF!AI18))))))))))))</f>
        <v>10</v>
      </c>
      <c r="H17" s="79" t="str">
        <f>IF(AND(TAF!Z7="PREDOM",E17&lt;TAF!AF7),TAF!AJ7,IF(AND(TAF!Z8="PREDOM",E17&lt;TAF!AF8),TAF!AJ8,IF(AND(TAF!Z9="PREDOM",E17&lt;TAF!AF9),TAF!AJ9,IF(AND(TAF!Z10="PREDOM",E17&lt;TAF!AF10),TAF!AJ10,IF(AND(TAF!Z11="PREDOM",E17&lt;TAF!AF11),TAF!AJ11,IF(AND(TAF!Z12="PREDOM",E17&lt;TAF!AF12),TAF!AJ12,IF(AND(TAF!Z13="PREDOM",E17&lt;TAF!AF13),TAF!AJ13,IF(AND(TAF!Z14="PREDOM",E17&lt;TAF!AF14),TAF!AJ14,IF(AND(TAF!Z15="PREDOM",E17&lt;TAF!AF15),TAF!AJ15,IF(AND(TAF!Z16="PREDOM",E17&lt;TAF!AE16),TAF!AJ16,IF(AND(TAF!Z17="PREDOM",E17&lt;TAF!AF17),TAF!AJ17,IF(AND(TAF!Z18="PREDOM",E17&lt;TAF!AF18),TAF!AJ18))))))))))))</f>
        <v/>
      </c>
      <c r="I17" s="80">
        <f>IF(AND(TAF!Z7="TEMPO",NOT(E17+0.01&lt;TAF!AC7),E17&lt;TAF!AF7),TAF!AJ7,IF(AND(TAF!Z8="TEMPO",NOT(E17+0.01&lt;TAF!AC8),E17&lt;TAF!AF8),TAF!AJ8,IF(AND(TAF!Z9="TEMPO",NOT(E17+0.01&lt;TAF!AC9),E17&lt;TAF!AF9),TAF!AJ9,IF(AND(TAF!Z10="TEMPO",NOT(E17+0.01&lt;TAF!AC10),E17&lt;TAF!AF10),TAF!AJ10,IF(AND(TAF!Z11="TEMPO",NOT(E17+0.01&lt;TAF!AC11),E17&lt;TAF!AF11),TAF!AJ11,IF(AND(TAF!Z12="TEMPO",NOT(E17+0.01&lt;TAF!AC12),E17&lt;TAF!AF12),TAF!AJ12,IF(AND(TAF!Z13="TEMPO",NOT(E17+0.01&lt;TAF!AC13),E17&lt;TAF!AF13),TAF!AJ13,IF(AND(TAF!Z14="TEMPO",NOT(E17+0.01&lt;TAF!AC14),E17&lt;TAF!AF14),TAF!AJ14,IF(AND(TAF!Z15="TEMPO",NOT(E17+0.01&lt;TAF!AC15),E17&lt;TAF!AF15),TAF!AJ15,IF(AND(TAF!Z16="TEMPO",NOT(E17+0.01&lt;TAF!AC16),E17&lt;TAF!AE16),TAF!AJ16,IF(AND(TAF!Z17="TEMPO",NOT(E17+0.01&lt;TAF!AC17),E17&lt;TAF!AF17),TAF!AJ17,IF(AND(TAF!Z18="TEMPO",NOT(E17+0.01&lt;TAF!AC18),E17&lt;TAF!AF18),TAF!AJ18,""))))))))))))</f>
        <v>20</v>
      </c>
      <c r="J17" s="81">
        <f>IF(AND(TAF!Z7="PREDOM",E17&lt;TAF!AF7),TAF!AN7,IF(AND(TAF!Z8="PREDOM",E17&lt;TAF!AF8),TAF!AN8,IF(AND(TAF!Z9="PREDOM",E17&lt;TAF!AF9),TAF!AN9,IF(AND(TAF!Z10="PREDOM",E17&lt;TAF!AF10),TAF!AN10,IF(AND(TAF!Z11="PREDOM",E17&lt;TAF!AF11),TAF!AN11,IF(AND(TAF!Z12="PREDOM",E17&lt;TAF!AF12),TAF!AN12,IF(AND(TAF!Z13="PREDOM",E17&lt;TAF!AF13),TAF!AN13,IF(AND(TAF!Z14="PREDOM",E17&lt;TAF!AF14),TAF!AN14,IF(AND(TAF!Z15="PREDOM",E17&lt;TAF!AF15),TAF!AN15,IF(AND(TAF!Z16="PREDOM",E17&lt;TAF!AE16),TAF!AN16,IF(AND(TAF!Z17="PREDOM",E17&lt;TAF!AF17),TAF!AN17,IF(AND(TAF!Z18="PREDOM",E17&lt;TAF!AF18),TAF!AN18))))))))))))</f>
        <v>7</v>
      </c>
      <c r="K17" s="82">
        <f>IF(AND(TAF!Z7="TEMPO",NOT(E17+0.01&lt;TAF!AC7),E17-0.01&lt;TAF!AF7),TAF!AN7,IF(AND(TAF!Z8="TEMPO",NOT(E17+0.01&lt;TAF!AC8),E17-0.01&lt;TAF!AF8),TAF!AN8,IF(AND(TAF!Z9="TEMPO",NOT(E17+0.01&lt;TAF!AC9),E17-0.01&lt;TAF!AF9),TAF!AN9,IF(AND(TAF!Z10="TEMPO",NOT(E17+0.01&lt;TAF!AC10),E17-0.01&lt;TAF!AF10),TAF!AN10,IF(AND(TAF!Z11="TEMPO",NOT(E17+0.01&lt;TAF!AC11),E17-0.01&lt;TAF!AF11),TAF!AN11,IF(AND(TAF!Z12="TEMPO",NOT(E17+0.01&lt;TAF!AC12),E17-0.01&lt;TAF!AF12),TAF!AN12,IF(AND(TAF!Z13="TEMPO",NOT(E17+0.01&lt;TAF!AC13),E17-0.01&lt;TAF!AF13),TAF!AN13,IF(AND(TAF!Z14="TEMPO",NOT(E17+0.01&lt;TAF!AC14),E17-0.01&lt;TAF!AF14),TAF!AN14,IF(AND(TAF!Z15="TEMPO",NOT(E17+0.01&lt;TAF!AC15),E17-0.01&lt;TAF!AF15),TAF!AN15,IF(AND(TAF!Z16="TEMPO",NOT(E17+0.01&lt;TAF!AC16),E17-0.01&lt;TAF!AE16),TAF!AN16,IF(AND(TAF!Z17="TEMPO",NOT(E17+0.01&lt;TAF!AC17),E17-0.01&lt;TAF!AF17),TAF!AN17,IF(AND(TAF!Z18="TEMPO",NOT(E17+0.01&lt;TAF!AC18),E17-0.01&lt;TAF!AF18),TAF!AN18,""))))))))))))</f>
        <v>3</v>
      </c>
      <c r="L17" s="83" t="str">
        <f t="shared" si="13"/>
        <v/>
      </c>
      <c r="M17" s="84" t="str">
        <f>IF(AND(TAF!Z7="PREDOM",E17&lt;TAF!AF7),TAF!AP7,IF(AND(TAF!Z8="PREDOM",E17&lt;TAF!AF8),TAF!AP8,IF(AND(TAF!Z9="PREDOM",E17&lt;TAF!AF9),TAF!AP9,IF(AND(TAF!Z10="PREDOM",E17&lt;TAF!AF10),TAF!AP10,IF(AND(TAF!Z11="PREDOM",E17&lt;TAF!AF11),TAF!AP11,IF(AND(TAF!Z12="PREDOM",E17&lt;TAF!AF12),TAF!AP12,IF(AND(TAF!Z13="PREDOM",E17&lt;TAF!AF13),TAF!AP13,IF(AND(TAF!Z14="PREDOM",E17&lt;TAF!AF14),TAF!AP14,IF(AND(TAF!Z15="PREDOM",E17&lt;TAF!AF15),TAF!AP15,IF(AND(TAF!Z16="PREDOM",E17&lt;TAF!AE16),TAF!AP16,IF(AND(TAF!Z17="PREDOM",E17&lt;TAF!AF17),TAF!AP17,IF(AND(TAF!Z18="PREDOM",E17&lt;TAF!AF18),TAF!AP18))))))))))))</f>
        <v/>
      </c>
      <c r="N17" s="85" t="str">
        <f t="shared" si="14"/>
        <v>N</v>
      </c>
      <c r="O17" s="85" t="str">
        <f t="shared" si="15"/>
        <v>TS</v>
      </c>
      <c r="P17" s="84" t="str">
        <f>IF(AND(TAF!Z7="TEMPO",NOT(E17+0.01&lt;TAF!AC7),E17-0.01&lt;TAF!AF7),TAF!AP7,IF(AND(TAF!Z8="TEMPO",NOT(E17+0.01&lt;TAF!AC8),E17-0.01&lt;TAF!AF8),TAF!AP8,IF(AND(TAF!Z9="TEMPO",NOT(E17+0.01&lt;TAF!AC9),E17-0.01&lt;TAF!AF9),TAF!AP9,IF(AND(TAF!Z10="TEMPO",NOT(E17+0.01&lt;TAF!AC10),E17-0.01&lt;TAF!AF10),TAF!AP10,IF(AND(TAF!Z11="TEMPO",NOT(E17+0.01&lt;TAF!AC11),E17-0.01&lt;TAF!AF11),TAF!AP11,IF(AND(TAF!Z12="TEMPO",NOT(E17+0.01&lt;TAF!AC12),E17-0.01&lt;TAF!AF12),TAF!AP12,IF(AND(TAF!Z13="TEMPO",NOT(E17+0.01&lt;TAF!AC13),E17-0.01&lt;TAF!AF13),TAF!AP13,IF(AND(TAF!Z14="TEMPO",NOT(E17+0.01&lt;TAF!AC14),E17-0.01&lt;TAF!AF14),TAF!AP14,IF(AND(TAF!Z15="TEMPO",NOT(E17+0.01&lt;TAF!AC15),E17-0.01&lt;TAF!AF15),TAF!AP15,IF(AND(TAF!Z16="TEMPO",NOT(E17+0.01&lt;TAF!AC16),E17-0.01&lt;TAF!AE16),TAF!AP16,IF(AND(TAF!Z17="TEMPO",NOT(E17+0.01&lt;TAF!AC17),E17-0.01&lt;TAF!AF17),TAF!AP17,IF(AND(TAF!Z18="TEMPO",NOT(E17+0.01&lt;TAF!AC18),E17-0.01&lt;TAF!AF18),TAF!AP18,""))))))))))))</f>
        <v>-TSRA</v>
      </c>
      <c r="Q17" s="889" t="str">
        <f t="shared" si="2"/>
        <v>Y</v>
      </c>
      <c r="R17" s="86">
        <f>IF(AND(TAF!Z7="PREDOM",E17&lt;TAF!AF7),TAF!AW7,IF(AND(TAF!Z8="PREDOM",E17&lt;TAF!AF8),TAF!AW8,IF(AND(TAF!Z9="PREDOM",E17&lt;TAF!AF9),TAF!AW9,IF(AND(TAF!Z10="PREDOM",E17&lt;TAF!AF10),TAF!AW10,IF(AND(TAF!Z11="PREDOM",E17&lt;TAF!AF11),TAF!AW11,IF(AND(TAF!Z12="PREDOM",E17&lt;TAF!AF12),TAF!AW12,IF(AND(TAF!Z13="PREDOM",E17&lt;TAF!AF13),TAF!AW13,IF(AND(TAF!Z14="PREDOM",E17&lt;TAF!AF14),TAF!AW14,IF(AND(TAF!Z15="PREDOM",E17&lt;TAF!AF15),TAF!AW15,IF(AND(TAF!Z16="PREDOM",E17&lt;TAF!AE16),TAF!AW16,IF(AND(TAF!Z17="PREDOM",E17&lt;TAF!AF17),TAF!AW17,IF(AND(TAF!Z18="PREDOM",E17&lt;TAF!AF18),TAF!AW18))))))))))))</f>
        <v>250</v>
      </c>
      <c r="S17" s="87">
        <f>IF(AND(TAF!Z7="TEMPO",NOT(E17+0.01&lt;TAF!AC7),E17-0.01&lt;TAF!AF7),TAF!AW7,IF(AND(TAF!Z8="TEMPO",NOT(E17+0.01&lt;TAF!AC8),E17-0.01&lt;TAF!AF8),TAF!AW8,IF(AND(TAF!Z9="TEMPO",NOT(E17+0.01&lt;TAF!AC9),E17-0.01&lt;TAF!AF9),TAF!AW9,IF(AND(TAF!Z10="TEMPO",NOT(E17+0.01&lt;TAF!AC10),E17-0.01&lt;TAF!AF10),TAF!AW10,IF(AND(TAF!Z11="TEMPO",NOT(E17+0.01&lt;TAF!AC11),E17-0.01&lt;TAF!AF11),TAF!AW11,IF(AND(TAF!Z12="TEMPO",NOT(E17+0.01&lt;TAF!AC12),E17-0.01&lt;TAF!AF12),TAF!AW12,IF(AND(TAF!Z13="TEMPO",NOT(E17+0.01&lt;TAF!AC13),E17-0.01&lt;TAF!AF13),TAF!AW13,IF(AND(TAF!Z14="TEMPO",NOT(E17+0.01&lt;TAF!AC14),E17-0.01&lt;TAF!AF14),TAF!AW14,IF(AND(TAF!Z15="TEMPO",NOT(E17+0.01&lt;TAF!AC15),E17-0.01&lt;TAF!AF15),TAF!AW15,IF(AND(TAF!Z16="TEMPO",NOT(E17+0.01&lt;TAF!AC16),E17-0.01&lt;TAF!AE16),TAF!AW16,IF(AND(TAF!Z17="TEMPO",NOT(E17+0.01&lt;TAF!AC17),E17-0.01&lt;TAF!AF17),TAF!AW17,IF(AND(TAF!Z18="TEMPO",NOT(E17+0.01&lt;TAF!AC18),E17-0.01&lt;TAF!AF18),TAF!AW18,""))))))))))))</f>
        <v>40</v>
      </c>
      <c r="T17" s="88">
        <f t="shared" si="3"/>
        <v>36.111111111111114</v>
      </c>
      <c r="U17" s="89">
        <f>Worksheet!AP77</f>
        <v>97</v>
      </c>
      <c r="V17" s="90">
        <f>Worksheet!BB77</f>
        <v>73</v>
      </c>
      <c r="W17" s="91">
        <f t="shared" si="16"/>
        <v>0.46421737778362049</v>
      </c>
      <c r="X17" s="100">
        <f>IF(X5="Wind Chill",IF(G17=0,U17,IF(U17&lt;56,35.74+(0.6215*U17)-(35.75*(G17^0.16))+(0.4275*U17*(G17^0.16)),"NA")),IF(X5="WBGT",1.8*((0.7*BL17)+(0.1*BN17)+(0.2*BT17))+32))</f>
        <v>90.987562967957643</v>
      </c>
      <c r="Y17" s="93">
        <f>Worksheet!BQ77</f>
        <v>29.9</v>
      </c>
      <c r="Z17" s="1890">
        <f>Worksheet!BT77</f>
        <v>774.42707774380006</v>
      </c>
      <c r="AA17" s="1891">
        <f>Worksheet!BV77</f>
        <v>3491.7642847490606</v>
      </c>
      <c r="AB17" s="896" t="str">
        <f>IF(AND(TAF!Z7="PREDOM",E17&lt;TAF!AF7),TAF!BS7,IF(AND(TAF!Z8="PREDOM",E17&lt;TAF!AF8),TAF!BS8,IF(AND(TAF!Z9="PREDOM",E17&lt;TAF!AF9),TAF!BS9,IF(AND(TAF!Z10="PREDOM",E17&lt;TAF!AF10),TAF!BS10,IF(AND(TAF!Z11="PREDOM",E17&lt;TAF!AF11),TAF!BS11,IF(AND(TAF!Z12="PREDOM",E17&lt;TAF!AF12),TAF!BS12,IF(AND(TAF!Z13="PREDOM",E17&lt;TAF!AF13),TAF!BS13,IF(AND(TAF!Z14="PREDOM",E17&lt;TAF!AF14),TAF!BS14,IF(AND(TAF!Z15="PREDOM",E17&lt;TAF!AF15),TAF!BS15,IF(AND(TAF!Z16="PREDOM",E17&lt;TAF!AE16),TAF!BS16,IF(AND(TAF!Z17="PREDOM",E17&lt;TAF!AF17),TAF!BS17,IF(AND(TAF!Z18="PREDOM",E17&lt;TAF!AF18),TAF!BS18))))))))))))</f>
        <v/>
      </c>
      <c r="AC17" s="899" t="str">
        <f>IF(AB17="","",IF(AND(TAF!$Z$7="PREDOM",E17&lt;TAF!$AF$7),TAF!$BT$7,IF(AND(TAF!$Z$8="PREDOM",E17&lt;TAF!$AF$8),TAF!$BT$8,IF(AND(TAF!$Z$9="PREDOM",E17&lt;TAF!$AF$9),TAF!$BT$9,IF(AND(TAF!$Z$10="PREDOM",E17&lt;TAF!$AF$10),TAF!$BT$10,IF(AND(TAF!$Z$11="PREDOM",E17&lt;TAF!$AF$11),TAF!$BT$11,IF(AND(TAF!$Z$12="PREDOM",E17&lt;TAF!$AF$12),TAF!$BT$12,IF(AND(TAF!$Z$13="PREDOM",E17&lt;TAF!$AF$13),TAF!$BT$13,IF(AND(TAF!$Z$14="PREDOM",E17&lt;TAF!$AF$14),TAF!$BT$14,IF(AND(TAF!$Z$15="PREDOM",E17&lt;TAF!$AF$15),TAF!$BT$15,IF(AND(TAF!$Z$16="PREDOM",E17&lt;TAF!AE25),TAF!$BT$16,IF(AND(TAF!$Z$17="PREDOM",E17&lt;TAF!$AF$17),TAF!$BT$17,IF(AND(TAF!$Z$18="PREDOM",E17&lt;TAF!$AF$18),TAF!$BT$18)))))))))))))</f>
        <v/>
      </c>
      <c r="AD17" s="902" t="str">
        <f>IF(AB17="","",IF(AND(TAF!$Z$7="PREDOM",E17&lt;TAF!$AF$7),TAF!$BU$7,IF(AND(TAF!$Z$8="PREDOM",E17&lt;TAF!$AF$8),TAF!$BU$8,IF(AND(TAF!$Z$9="PREDOM",E17&lt;TAF!$AF$9),TAF!$BU$9,IF(AND(TAF!$Z$10="PREDOM",E17&lt;TAF!$AF$10),TAF!$BU$10,IF(AND(TAF!$Z$11="PREDOM",E17&lt;TAF!$AF$11),TAF!$BU$11,IF(AND(TAF!$Z$12="PREDOM",E17&lt;TAF!$AF$12),TAF!$BU$12,IF(AND(TAF!$Z$13="PREDOM",E17&lt;TAF!$AF$13),TAF!$BU$13,IF(AND(TAF!$Z$14="PREDOM",E17&lt;TAF!$AF$14),TAF!$BU$14,IF(AND(TAF!$Z$15="PREDOM",E17&lt;TAF!$AF$15),TAF!$BU$15,IF(AND(TAF!$Z$16="PREDOM",E17&lt;TAF!AE25),TAF!$BU$16,IF(AND(TAF!$Z$17="PREDOM",E17&lt;TAF!$AF$17),TAF!$BU$17,IF(AND(TAF!$Z$18="PREDOM",E17&lt;TAF!$AF$18),TAF!$BU$18)))))))))))))</f>
        <v/>
      </c>
      <c r="AE17" s="896" t="str">
        <f>IF(AND(TAF!Z7="PREDOM",E17&lt;TAF!AF7),TAF!BV7,IF(AND(TAF!Z8="PREDOM",E17&lt;TAF!AF8),TAF!BV8,IF(AND(TAF!Z9="PREDOM",E17&lt;TAF!AF9),TAF!BV9,IF(AND(TAF!Z10="PREDOM",E17&lt;TAF!AF10),TAF!BV10,IF(AND(TAF!Z11="PREDOM",E17&lt;TAF!AF11),TAF!BV11,IF(AND(TAF!Z12="PREDOM",E17&lt;TAF!AF12),TAF!BV12,IF(AND(TAF!Z13="PREDOM",E17&lt;TAF!AF13),TAF!BV13,IF(AND(TAF!Z14="PREDOM",E17&lt;TAF!AF14),TAF!BV14,IF(AND(TAF!Z15="PREDOM",E17&lt;TAF!AF15),TAF!BV15,IF(AND(TAF!Z16="PREDOM",E17&lt;TAF!AE16),TAF!BV16,IF(AND(TAF!Z17="PREDOM",E17&lt;TAF!AF17),TAF!BV17,IF(AND(TAF!Z18="PREDOM",E17&lt;TAF!AF18),TAF!BV18))))))))))))</f>
        <v/>
      </c>
      <c r="AF17" s="899" t="str">
        <f>IF(AE17="","",IF(AND(TAF!$Z$7="PREDOM",E17&lt;TAF!$AF$7),TAF!$BW$7,IF(AND(TAF!$Z$8="PREDOM",E17&lt;TAF!$AF$8),TAF!$BW$8,IF(AND(TAF!$Z$9="PREDOM",E17&lt;TAF!$AF$9),TAF!$BW$9,IF(AND(TAF!$Z$10="PREDOM",E17&lt;TAF!$AF$10),TAF!$BW$10,IF(AND(TAF!$Z$11="PREDOM",E17&lt;TAF!$AF$11),TAF!$BW$11,IF(AND(TAF!$Z$12="PREDOM",E17&lt;TAF!$AF$12),TAF!$BW$12,IF(AND(TAF!$Z$13="PREDOM",E17&lt;TAF!$AF$13),TAF!$BW$13,IF(AND(TAF!$Z$14="PREDOM",E17&lt;TAF!$AF$14),TAF!$BW$14,IF(AND(TAF!$Z$15="PREDOM",E17&lt;TAF!$AF$15),TAF!$BW$15,IF(AND(TAF!$Z$16="PREDOM",E17&lt;TAF!AE25),TAF!$BW$16,IF(AND(TAF!$Z$17="PREDOM",E17&lt;TAF!$AF$17),TAF!$BW$17,IF(AND(TAF!$Z$18="PREDOM",E17&lt;TAF!$AF$18),TAF!$BW$18)))))))))))))</f>
        <v/>
      </c>
      <c r="AG17" s="902" t="str">
        <f>IF(AE17="","",IF(AND(TAF!$Z$7="PREDOM",E17&lt;TAF!$AF$7),TAF!$BX$7,IF(AND(TAF!$Z$8="PREDOM",E17&lt;TAF!$AF$8),TAF!$BX$8,IF(AND(TAF!$Z$9="PREDOM",E17&lt;TAF!$AF$9),TAF!$BX$9,IF(AND(TAF!$Z$10="PREDOM",E17&lt;TAF!$AF$10),TAF!$BX$10,IF(AND(TAF!$Z$11="PREDOM",E17&lt;TAF!$AF$11),TAF!$BX$11,IF(AND(TAF!$Z$12="PREDOM",E17&lt;TAF!$AF$12),TAF!$BX$12,IF(AND(TAF!$Z$13="PREDOM",E17&lt;TAF!$AF$13),TAF!$BX$13,IF(AND(TAF!$Z$14="PREDOM",E17&lt;TAF!$AF$14),TAF!$BX$14,IF(AND(TAF!$Z$15="PREDOM",E17&lt;TAF!$AF$15),TAF!$BX$15,IF(AND(TAF!$Z$16="PREDOM",E17&lt;TAF!AE25),TAF!$BX$16,IF(AND(TAF!$Z$17="PREDOM",E17&lt;TAF!$AF$17),TAF!$BX$17,IF(AND(TAF!$Z$18="PREDOM",E17&lt;TAF!$AF$18),TAF!$BX$18)))))))))))))</f>
        <v/>
      </c>
      <c r="AH17" s="894" t="str">
        <f>IF(AND(TAF!$Z$7="PREDOM",E17&lt;TAF!$AF$7),TAF!$BY$7,IF(AND(TAF!$Z$8="PREDOM",E17&lt;TAF!$AF$8),TAF!$BY$8,IF(AND(TAF!$Z$9="PREDOM",E17&lt;TAF!$AF$9),TAF!$BY$9,IF(AND(TAF!$Z$10="PREDOM",E17&lt;TAF!$AF$10),TAF!$BY$10,IF(AND(TAF!$Z$11="PREDOM",E17&lt;TAF!$AF$11),TAF!$BY$11,IF(AND(TAF!$Z$12="PREDOM",E17&lt;TAF!$AF$12),TAF!$BY$12,IF(AND(TAF!$Z$13="PREDOM",E17&lt;TAF!$AF$13),TAF!$BY$13,IF(AND(TAF!$Z$14="PREDOM",E17&lt;TAF!$AF$14),TAF!$BY$14,IF(AND(TAF!$Z$15="PREDOM",E17&lt;TAF!$AF$15),TAF!$BY$15,IF(AND(TAF!$Z$16="PREDOM",E17&lt;TAF!$AF$16),TAF!$BY$16,IF(AND(TAF!$Z$17="PREDOM",E17&lt;TAF!$AF$17),TAF!$BY$17,IF(AND(TAF!$Z$18="PREDOM",E17&lt;TAF!$AF$18),TAF!$BY$18))))))))))))</f>
        <v/>
      </c>
      <c r="AI17" s="899" t="str">
        <f>IF(AH17="","",IF(AND(TAF!$Z$7="PREDOM",E17&lt;TAF!$AF$7),TAF!$BZ$7,IF(AND(TAF!$Z$8="PREDOM",E17&lt;TAF!$AF$8),TAF!$BZ$8,IF(AND(TAF!$Z$9="PREDOM",E17&lt;TAF!$AF$9),TAF!$BZ$9,IF(AND(TAF!$Z$10="PREDOM",E17&lt;TAF!$AF$10),TAF!$BZ$10,IF(AND(TAF!$Z$11="PREDOM",E17&lt;TAF!$AF$11),TAF!$BZ$11,IF(AND(TAF!$Z$12="PREDOM",E17&lt;TAF!$AF$12),TAF!$BZ$12,IF(AND(TAF!$Z$13="PREDOM",E17&lt;TAF!$AF$13),TAF!$BZ$13,IF(AND(TAF!$Z$14="PREDOM",E17&lt;TAF!$AF$14),TAF!$BZ$14,IF(AND(TAF!$Z$15="PREDOM",E17&lt;TAF!$AF$15),TAF!$BZ$15,IF(AND(TAF!$Z$16="PREDOM",E17&lt;TAF!AE25),TAF!$BZ$16,IF(AND(TAF!$Z$17="PREDOM",E17&lt;TAF!$AF$17),TAF!$BZ$17,IF(AND(TAF!$Z$18="PREDOM",E17&lt;TAF!$AF$18),TAF!$BZ$18)))))))))))))</f>
        <v/>
      </c>
      <c r="AJ17" s="902" t="str">
        <f>IF(AH17="","",IF(AND(TAF!$Z$7="PREDOM",E17&lt;TAF!$AF$7),TAF!$CA$7,IF(AND(TAF!$Z$8="PREDOM",E17&lt;TAF!$AF$8),TAF!$CA$8,IF(AND(TAF!$Z$9="PREDOM",E17&lt;TAF!$AF$9),TAF!$CA$9,IF(AND(TAF!$Z$10="PREDOM",E17&lt;TAF!$AF$10),TAF!$CA$10,IF(AND(TAF!$Z$11="PREDOM",E17&lt;TAF!$AF$11),TAF!$CA$11,IF(AND(TAF!$Z$12="PREDOM",E17&lt;TAF!$AF$12),TAF!$CA$12,IF(AND(TAF!$Z$13="PREDOM",E17&lt;TAF!$AF$13),TAF!$CA$13,IF(AND(TAF!$Z$14="PREDOM",E17&lt;TAF!$AF$14),TAF!$CA$14,IF(AND(TAF!$Z$15="PREDOM",E17&lt;TAF!$AF$15),TAF!$CA$15,IF(AND(TAF!$Z$16="PREDOM",E17&lt;TAF!AE25),TAF!$CA$16,IF(AND(TAF!$Z$17="PREDOM",E17&lt;TAF!$AF$17),TAF!$CA$17,IF(AND(TAF!$Z$18="PREDOM",E17&lt;TAF!$AF$18),TAF!$CA$18)))))))))))))</f>
        <v/>
      </c>
      <c r="AK17" s="95" t="str">
        <f>IF(AND(TAF!Z7="TEMPO",NOT(E17+0.01&lt;TAF!AC7),E17-0.01&lt;TAF!AF7),TAF!CB7,IF(AND(TAF!Z8="TEMPO",NOT(E17+0.01&lt;TAF!AC8),E17-0.01&lt;TAF!AF8),TAF!CB8,IF(AND(TAF!Z9="TEMPO",NOT(E17+0.01&lt;TAF!AC9),E17-0.01&lt;TAF!AF9),TAF!CB9,IF(AND(TAF!Z10="TEMPO",NOT(E17+0.01&lt;TAF!AC10),E17-0.01&lt;TAF!AF10),TAF!CB10,IF(AND(TAF!Z11="TEMPO",NOT(E17+0.01&lt;TAF!AC11),E17-0.01&lt;TAF!AF11),TAF!CB11,IF(AND(TAF!Z12="TEMPO",NOT(E17+0.01&lt;TAF!AC12),E17-0.01&lt;TAF!AF12),TAF!CB12,IF(AND(TAF!Z13="TEMPO",NOT(E17+0.01&lt;TAF!AC13),E17-0.01&lt;TAF!AF13),TAF!CB13,IF(AND(TAF!Z14="TEMPO",NOT(E17+0.01&lt;TAF!AC14),E17-0.01&lt;TAF!AF14),TAF!CB14,IF(AND(TAF!Z15="TEMPO",NOT(E17+0.01&lt;TAF!AC15),E17-0.01&lt;TAF!AF15),TAF!CB15,IF(AND(TAF!Z16="TEMPO",NOT(E17+0.01&lt;TAF!AC16),E17-0.01&lt;TAF!AE16),TAF!CB16,IF(AND(TAF!Z17="TEMPO",NOT(E17+0.01&lt;TAF!AC17),E17-0.01&lt;TAF!AF17),TAF!CB17,IF(AND(TAF!Z18="TEMPO",NOT(E17+0.01&lt;TAF!AC18),E17-0.01&lt;TAF!AF18),TAF!CB18,""))))))))))))</f>
        <v/>
      </c>
      <c r="AL17" s="896" t="str">
        <f>IF(AND(TAF!Z7="PREDOM",E17&lt;TAF!AF7),TAF!BG7,IF(AND(TAF!Z8="PREDOM",E17&lt;TAF!AF8),TAF!BG8,IF(AND(TAF!Z9="PREDOM",E17&lt;TAF!AF9),TAF!BG9,IF(AND(TAF!Z10="PREDOM",E17&lt;TAF!AF10),TAF!BG10,IF(AND(TAF!Z11="PREDOM",E17&lt;TAF!AF11),TAF!BG11,IF(AND(TAF!Z12="PREDOM",E17&lt;TAF!AF12),TAF!BG12,IF(AND(TAF!Z13="PREDOM",E17&lt;TAF!AF13),TAF!BG13,IF(AND(TAF!Z14="PREDOM",E17&lt;TAF!AF14),TAF!BG14,IF(AND(TAF!Z15="PREDOM",E17&lt;TAF!AF15),TAF!BG15,IF(AND(TAF!Z16="PREDOM",E17&lt;TAF!AE16),TAF!BG16,IF(AND(TAF!Z17="PREDOM",E17&lt;TAF!AF17),TAF!BG17,IF(AND(TAF!Z18="PREDOM",E17&lt;TAF!AF18),TAF!BG18))))))))))))</f>
        <v/>
      </c>
      <c r="AM17" s="899" t="str">
        <f>IF(AND(TAF!Z7="PREDOM",E17&lt;TAF!AF7),TAF!BH7,IF(AND(TAF!Z8="PREDOM",E17&lt;TAF!AF8),TAF!BH8,IF(AND(TAF!Z9="PREDOM",E17&lt;TAF!AF9),TAF!BH9,IF(AND(TAF!Z10="PREDOM",E17&lt;TAF!AF10),TAF!BH10,IF(AND(TAF!Z11="PREDOM",E17&lt;TAF!AF11),TAF!BH11,IF(AND(TAF!Z12="PREDOM",E17&lt;TAF!AF12),TAF!BH12,IF(AND(TAF!Z13="PREDOM",E17&lt;TAF!AF13),TAF!BH13,IF(AND(TAF!Z14="PREDOM",E17&lt;TAF!AF14),TAF!BH14,IF(AND(TAF!Z15="PREDOM",E17&lt;TAF!AF15),TAF!BH15,IF(AND(TAF!Z16="PREDOM",E17&lt;TAF!AE16),TAF!BH16,IF(AND(TAF!Z17="PREDOM",E17&lt;TAF!AF17),TAF!BH17,IF(AND(TAF!Z18="PREDOM",E17&lt;TAF!AF18),TAF!BH18))))))))))))</f>
        <v/>
      </c>
      <c r="AN17" s="902" t="str">
        <f>IF(AND(TAF!Z7="PREDOM",E17&lt;TAF!AF7),TAF!BI7,IF(AND(TAF!Z8="PREDOM",E17&lt;TAF!AF8),TAF!BI8,IF(AND(TAF!Z9="PREDOM",E17&lt;TAF!AF9),TAF!BI9,IF(AND(TAF!Z10="PREDOM",E17&lt;TAF!AF10),TAF!BI10,IF(AND(TAF!Z11="PREDOM",E17&lt;TAF!AF11),TAF!BI11,IF(AND(TAF!Z12="PREDOM",E17&lt;TAF!AF12),TAF!BI12,IF(AND(TAF!Z13="PREDOM",E17&lt;TAF!AF13),TAF!BI13,IF(AND(TAF!Z14="PREDOM",E17&lt;TAF!AF14),TAF!BI14,IF(AND(TAF!Z15="PREDOM",E17&lt;TAF!AF15),TAF!BI15,IF(AND(TAF!Z16="PREDOM",E17&lt;TAF!AE16),TAF!BI16,IF(AND(TAF!Z17="PREDOM",E17&lt;TAF!AF17),TAF!BI17,IF(AND(TAF!Z18="PREDOM",E17&lt;TAF!AF18),TAF!BI18))))))))))))</f>
        <v/>
      </c>
      <c r="AO17" s="896" t="str">
        <f>IF(AND(TAF!Z7="PREDOM",E17&lt;TAF!AF7),TAF!BJ7,IF(AND(TAF!Z8="PREDOM",E17&lt;TAF!AF8),TAF!BJ8,IF(AND(TAF!Z9="PREDOM",E17&lt;TAF!AF9),TAF!BJ9,IF(AND(TAF!Z10="PREDOM",E17&lt;TAF!AF10),TAF!BJ10,IF(AND(TAF!Z11="PREDOM",E17&lt;TAF!AF11),TAF!BJ11,IF(AND(TAF!Z12="PREDOM",E17&lt;TAF!AF12),TAF!BJ12,IF(AND(TAF!Z13="PREDOM",E17&lt;TAF!AF13),TAF!BJ13,IF(AND(TAF!Z14="PREDOM",E17&lt;TAF!AF14),TAF!BJ14,IF(AND(TAF!Z15="PREDOM",E17&lt;TAF!AF15),TAF!BJ15,IF(AND(TAF!Z16="PREDOM",E17&lt;TAF!AE16),TAF!BJ16,IF(AND(TAF!Z17="PREDOM",E17&lt;TAF!AF17),TAF!BJ17,IF(AND(TAF!Z18="PREDOM",E17&lt;TAF!AF18),TAF!BJ18))))))))))))</f>
        <v/>
      </c>
      <c r="AP17" s="911" t="str">
        <f>IF(AND(TAF!Z7="PREDOM",E17&lt;TAF!AF7),TAF!BK7,IF(AND(TAF!Z8="PREDOM",E17&lt;TAF!AF8),TAF!BK8,IF(AND(TAF!Z9="PREDOM",E17&lt;TAF!AF9),TAF!BK9,IF(AND(TAF!Z10="PREDOM",E17&lt;TAF!AF10),TAF!BK10,IF(AND(TAF!Z11="PREDOM",E17&lt;TAF!AF11),TAF!BK11,IF(AND(TAF!Z12="PREDOM",E17&lt;TAF!AF12),TAF!BK12,IF(AND(TAF!Z13="PREDOM",E17&lt;TAF!AF13),TAF!BK13,IF(AND(TAF!Z14="PREDOM",E17&lt;TAF!AF14),TAF!BK14,IF(AND(TAF!Z15="PREDOM",E17&lt;TAF!AF15),TAF!BK15,IF(AND(TAF!Z16="PREDOM",E17&lt;TAF!AE16),TAF!BK16,IF(AND(TAF!Z17="PREDOM",E17&lt;TAF!AF17),TAF!BK17,IF(AND(TAF!Z18="PREDOM",E17&lt;TAF!AF18),TAF!BK18))))))))))))</f>
        <v/>
      </c>
      <c r="AQ17" s="907" t="str">
        <f>IF(AND(TAF!Z7="PREDOM",E17&lt;TAF!AF7),TAF!BL7,IF(AND(TAF!Z8="PREDOM",E17&lt;TAF!AF8),TAF!BL8,IF(AND(TAF!Z9="PREDOM",E17&lt;TAF!AF9),TAF!BL9,IF(AND(TAF!Z10="PREDOM",E17&lt;TAF!AF10),TAF!BL10,IF(AND(TAF!Z11="PREDOM",E17&lt;TAF!AF11),TAF!BL11,IF(AND(TAF!Z12="PREDOM",E17&lt;TAF!AF12),TAF!BL12,IF(AND(TAF!Z13="PREDOM",E17&lt;TAF!AF13),TAF!BL13,IF(AND(TAF!Z14="PREDOM",E17&lt;TAF!AF14),TAF!BL14,IF(AND(TAF!Z15="PREDOM",E17&lt;TAF!AF15),TAF!BL15,IF(AND(TAF!Z16="PREDOM",E17&lt;TAF!AE16),TAF!BL16,IF(AND(TAF!Z17="PREDOM",E17&lt;TAF!AF17),TAF!BL17,IF(AND(TAF!Z18="PREDOM",E17&lt;TAF!AF18),TAF!BL18))))))))))))</f>
        <v/>
      </c>
      <c r="AR17" s="894" t="str">
        <f>IF(AND(TAF!Z7="PREDOM",E17&lt;TAF!AF7),TAF!BM7,IF(AND(TAF!Z8="PREDOM",E17&lt;TAF!AF8),TAF!BM8,IF(AND(TAF!Z9="PREDOM",E17&lt;TAF!AF9),TAF!BM9,IF(AND(TAF!Z10="PREDOM",E17&lt;TAF!AF10),TAF!BM10,IF(AND(TAF!Z11="PREDOM",E17&lt;TAF!AF11),TAF!BM11,IF(AND(TAF!Z12="PREDOM",E17&lt;TAF!AF12),TAF!BM12,IF(AND(TAF!Z13="PREDOM",E17&lt;TAF!AF13),TAF!BM13,IF(AND(TAF!Z14="PREDOM",E17&lt;TAF!AF14),TAF!BM14,IF(AND(TAF!Z15="PREDOM",E17&lt;TAF!AF15),TAF!BM15,IF(AND(TAF!Z16="PREDOM",E17&lt;TAF!AE16),TAF!BM16,IF(AND(TAF!Z17="PREDOM",E17&lt;TAF!AF17),TAF!BM17,IF(AND(TAF!Z18="PREDOM",E17&lt;TAF!AF18),TAF!BM18))))))))))))</f>
        <v/>
      </c>
      <c r="AS17" s="911" t="str">
        <f>IF(AND(TAF!Z7="PREDOM",E17&lt;TAF!AF7),TAF!BN7,IF(AND(TAF!Z8="PREDOM",E17&lt;TAF!AF8),TAF!BN8,IF(AND(TAF!Z9="PREDOM",E17&lt;TAF!AF9),TAF!BN9,IF(AND(TAF!Z10="PREDOM",E17&lt;TAF!AF10),TAF!BN10,IF(AND(TAF!Z11="PREDOM",E17&lt;TAF!AF11),TAF!BN11,IF(AND(TAF!Z12="PREDOM",E17&lt;TAF!AF12),TAF!BN12,IF(AND(TAF!Z13="PREDOM",E17&lt;TAF!AF13),TAF!BN13,IF(AND(TAF!Z14="PREDOM",E17&lt;TAF!AF14),TAF!BN14,IF(AND(TAF!Z15="PREDOM",E17&lt;TAF!AF15),TAF!BN15,IF(AND(TAF!Z16="PREDOM",E17&lt;TAF!AE16),TAF!BN16,IF(AND(TAF!Z17="PREDOM",E17&lt;TAF!AF17),TAF!BN17,IF(AND(TAF!Z18="PREDOM",E17&lt;TAF!AF18),TAF!BN18))))))))))))</f>
        <v/>
      </c>
      <c r="AT17" s="907" t="str">
        <f>IF(AND(TAF!Z7="PREDOM",E17&lt;TAF!AF7),TAF!BO7,IF(AND(TAF!Z8="PREDOM",E17&lt;TAF!AF8),TAF!BO8,IF(AND(TAF!Z9="PREDOM",E17&lt;TAF!AF9),TAF!BO9,IF(AND(TAF!Z10="PREDOM",E17&lt;TAF!AF10),TAF!BO10,IF(AND(TAF!Z11="PREDOM",E17&lt;TAF!AF11),TAF!BO11,IF(AND(TAF!Z12="PREDOM",E17&lt;TAF!AF12),TAF!BO12,IF(AND(TAF!Z13="PREDOM",E17&lt;TAF!AF13),TAF!BO13,IF(AND(TAF!Z14="PREDOM",E17&lt;TAF!AF14),TAF!BO14,IF(AND(TAF!Z15="PREDOM",E17&lt;TAF!AF15),TAF!BO15,IF(AND(TAF!Z16="PREDOM",E17&lt;TAF!AE16),TAF!BO16,IF(AND(TAF!Z17="PREDOM",E17&lt;TAF!AF17),TAF!BO17,IF(AND(TAF!Z18="PREDOM",E17&lt;TAF!AF18),TAF!BO18))))))))))))</f>
        <v/>
      </c>
      <c r="AU17" s="95" t="str">
        <f>IF(AND(TAF!Z7="TEMPO",NOT(E17+0.01&lt;TAF!AC7),E17-0.01&lt;TAF!AF7),TAF!BP7,IF(AND(TAF!Z8="TEMPO",NOT(E17+0.01&lt;TAF!AC8),E17-0.01&lt;TAF!AF8),TAF!BP8,IF(AND(TAF!Z9="TEMPO",NOT(E17+0.01&lt;TAF!AC9),E17-0.01&lt;TAF!AF9),TAF!BP9,IF(AND(TAF!Z10="TEMPO",NOT(E17+0.01&lt;TAF!AC10),E17-0.01&lt;TAF!AF10),TAF!BP10,IF(AND(TAF!Z11="TEMPO",NOT(E17+0.01&lt;TAF!AC11),E17-0.01&lt;TAF!AF11),TAF!BP11,IF(AND(TAF!Z12="TEMPO",NOT(E17+0.01&lt;TAF!AC12),E17-0.01&lt;TAF!AF12),TAF!BP12,IF(AND(TAF!Z13="TEMPO",NOT(E17+0.01&lt;TAF!AC13),E17-0.01&lt;TAF!AF13),TAF!BP13,IF(AND(TAF!Z14="TEMPO",NOT(E17+0.01&lt;TAF!AC14),E17-0.01&lt;TAF!AF14),TAF!BP14,IF(AND(TAF!Z15="TEMPO",NOT(E17+0.01&lt;TAF!AC15),E17-0.01&lt;TAF!AF15),TAF!BP15,IF(AND(TAF!Z16="TEMPO",NOT(E17+0.01&lt;TAF!AC16),E17-0.01&lt;TAF!AE16),TAF!BP16,IF(AND(TAF!Z17="TEMPO",NOT(E17+0.01&lt;TAF!AC17),E17-0.01&lt;TAF!AF17),TAF!BP17,IF(AND(TAF!Z18="TEMPO",NOT(E17+0.01&lt;TAF!AC18),E17-0.01&lt;TAF!AF18),TAF!BP18,""))))))))))))</f>
        <v/>
      </c>
      <c r="AV17" s="96" t="str">
        <f>IF(AND(TAF!Z7="PREDOM",E17&lt;TAF!AF7),TAF!CD7,IF(AND(TAF!Z8="PREDOM",E17&lt;TAF!AF8),TAF!CD8,IF(AND(TAF!Z9="PREDOM",E17&lt;TAF!AF9),TAF!CD9,IF(AND(TAF!Z10="PREDOM",E17&lt;TAF!AF10),TAF!CD10,IF(AND(TAF!Z11="PREDOM",E17&lt;TAF!AF11),TAF!CD11,IF(AND(TAF!Z12="PREDOM",E17&lt;TAF!AF12),TAF!CD12,IF(AND(TAF!Z13="PREDOM",E17&lt;TAF!AF13),TAF!CD13,IF(AND(TAF!Z14="PREDOM",E17&lt;TAF!AF14),TAF!CD14,IF(AND(TAF!Z15="PREDOM",E17&lt;TAF!AF15),TAF!CD15,IF(AND(TAF!Z16="PREDOM",E17&lt;TAF!AE16),TAF!CD16,IF(AND(TAF!Z17="PREDOM",E17&lt;TAF!AF17),TAF!CD17,IF(AND(TAF!Z18="PREDOM",E17&lt;TAF!AF18),TAF!CD18))))))))))))</f>
        <v/>
      </c>
      <c r="AW17" s="97" t="str">
        <f>IF(AND(TAF!Z7="TEMPO",NOT(E17+0.01&lt;TAF!AC7),E17-0.01&lt;TAF!AF7),TAF!CD7,IF(AND(TAF!Z8="TEMPO",NOT(E17+0.01&lt;TAF!AC8),E17-0.01&lt;TAF!AF8),TAF!CD8,IF(AND(TAF!Z9="TEMPO",NOT(E17+0.01&lt;TAF!AC9),E17-0.01&lt;TAF!AF9),TAF!CD9,IF(AND(TAF!Z10="TEMPO",NOT(E17+0.01&lt;TAF!AC10),E17-0.01&lt;TAF!AF10),TAF!CD10,IF(AND(TAF!Z11="TEMPO",NOT(E17+0.01&lt;TAF!AC11),E17-0.01&lt;TAF!AF11),TAF!CD11,IF(AND(TAF!Z12="TEMPO",NOT(E17+0.01&lt;TAF!AC12),E17-0.01&lt;TAF!AF12),TAF!CD12,IF(AND(TAF!Z13="TEMPO",NOT(E17+0.01&lt;TAF!AC13),E17-0.01&lt;TAF!AF13),TAF!CD13,IF(AND(TAF!Z14="TEMPO",NOT(E17+0.01&lt;TAF!AC14),E17-0.01&lt;TAF!AF14),TAF!CD14,IF(AND(TAF!Z15="TEMPO",NOT(E17+0.01&lt;TAF!AC15),E17-0.01&lt;TAF!AF15),TAF!CD15,IF(AND(TAF!Z16="TEMPO",NOT(E17+0.01&lt;TAF!AC16),E17-0.01&lt;TAF!AE16),TAF!CD16,IF(AND(TAF!Z17="TEMPO",NOT(E17+0.01&lt;TAF!AC17),E17-0.01&lt;TAF!AF17),TAF!CD17,IF(AND(TAF!Z18="TEMPO",NOT(E17+0.01&lt;TAF!AC18),E17-0.01&lt;TAF!AF18),TAF!CD18,""))))))))))))</f>
        <v/>
      </c>
      <c r="AX17" s="98" t="str">
        <f>IF(OR(AND(H17&lt;&gt;"",H17&gt;(MLT!$E$5-1)),J17&lt;(MLT!$E$8+0.01),L17="TS",O17="TS",R17&lt;(MLT!$E$9),AND(AB17&lt;&gt;"",AB17&gt;(MLT!$E$6-1)),AL17=MLT!$E$7,AL17=MLT!$F$7),"R",IF(OR(AND(H17&lt;&gt;"",H17&gt;(MLT!$H$5-1)),AND(I17&lt;&gt;"",I17&gt;(MLT!$H$5-1)),J17&lt;MLT!$H$8,K17&lt;MLT!$H$8,L17=MLT!$H$10,O17=MLT!$E$10,O17=MLT!$H$10,R17&lt;MLT!$H$9,S17&lt;MLT!$H$9,AND(AB17&lt;&gt;"",AB17&gt;0),AND(AE17&lt;&gt;"",AE17&gt;0),AND(AH17&lt;&gt;"",AH17&gt;0),AND(AK17&lt;&gt;"",AK17&gt;0),AND(AL17&lt;&gt;"",AL17&lt;&gt;4,AL17&gt;2),AND(AO17&lt;&gt;"",AO17&lt;&gt;4,AO17&gt;2),AND(AR17&lt;&gt;"",AR17&lt;&gt;4,AR17&gt;2),AND(AU17&lt;&gt;"",AU17&lt;&gt;4,AU17&gt;2)),"Y","G"))</f>
        <v>R</v>
      </c>
      <c r="AY17" s="99" t="str">
        <f>IF(OR(AND(H17&lt;&gt;"",H17&gt;(MLT!$E$13-1)),J17&lt;MLT!$E$17,R17&lt;MLT!$E$19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$13-1)),AND(I17&lt;&gt;"",I17&gt;(MLT!$H$13-1)),J17&lt;MLT!$H$17,K17&lt;MLT!$H$17,R17&lt;MLT!$H$19,S17&lt;MLT!$H$19,L17="VCTS",O17="VCTS",AND(AB17&lt;&gt;"",AB17&gt;1),AND(AK17&lt;&gt;"",AK17&gt;0),AND(AL17&lt;&gt;"",AL17&gt;1),AND(AO17&lt;&gt;"",AO17&gt;1),AND(AR17&lt;&gt;"",AR17&gt;1),AU17=3,AND(AU17&lt;&gt;"",AU17&gt;4),AV17="LLWS",AW17="LLWS"),"Y","G"))</f>
        <v>R</v>
      </c>
      <c r="AZ17" s="99" t="str">
        <f>IF(OR(AND(H17&lt;&gt;"",H17&gt;(MLT!$E$13-1)),J17&lt;MLT!$E$16,R17&lt;MLT!$E$18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$13-1)),AND(I17&lt;&gt;"",I17&gt;(MLT!$H$13-1)),J17&lt;MLT!$H$17,K17&lt;MLT!$H$17,R17&lt;MLT!$H$19,S17&lt;MLT!$H$19,L17="VCTS",O17="VCTS",AND(AB17&lt;&gt;"",AB17&gt;1),AND(AK17&lt;&gt;"",AK17&gt;0),AND(AL17&lt;&gt;"",AL17&gt;1),AND(AO17&lt;&gt;"",AO17&gt;1),AND(AR17&lt;&gt;"",AR17&gt;1),AU17=3,AND(AU17&lt;&gt;"",AU17&gt;4),AV17="LLWS",AW17="LLWS"),"Y","G"))</f>
        <v>R</v>
      </c>
      <c r="BA17" s="99" t="str">
        <f>IF(OR(IF(MEF!$AP$14="Hoist",OR(G17&gt;19,AND(H17&lt;&gt;"",H17&gt;19)),AND(H17&lt;&gt;"",H17&gt;(MLT!$E$23-1))),AND(B17&gt;MEF!$Z$11,J17&lt;MLT!$E$26),AND(B17&lt;MEF!$E$53,J17&lt;MLT!$E$26),J17&lt;MLT!$E$27,AND(B17&gt;MEF!$Z$11,R17&lt;MLT!$E$28),AND(B17&lt;MEF!$E$53,R17&lt;MLT!$E$28),R17&lt;MLT!$E$29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H$23-1)),AND(I17&lt;&gt;"",I17&gt;(MLT!$H$23-1)),AND(B17&gt;MEF!$Z$11,J17&lt;MLT!$H$26),AND(B17&lt;MEF!$E$53,J17&lt;MLT!$H$26),AND(B17&gt;MEF!$Z$11,K17&lt;MLT!$H$26),AND(B17&lt;MEF!$E$53,K17&lt;MLT!$H$26),J17&lt;MLT!$H$27,K17&lt;MLT!$H$27,AND(B17&gt;MEF!$Z$11,R17&lt;MLT!$H$28),AND(B17&lt;MEF!$E$53,R17&lt;MLT!$H$28),AND(B17&gt;MEF!$Z$11,S17&lt;MLT!$H$28),AND(B17&lt;MEF!$E$53,S17&lt;MLT!$H$28),R17&lt;MLT!$H$29,S17&lt;MLT!$H$29,L17="VCTS",O17="VCTS",U17&gt;90,U17&lt;-29,AB17&lt;&gt;"",AK17&lt;&gt;"",AND(AL17&lt;&gt;"",AL17&gt;1),AND(AO17&lt;&gt;"",AO17&gt;1),AND(AR17&lt;&gt;"",AR17&gt;1),AU17=3,AND(AU17&lt;&gt;"",AU17&gt;4),AV17="LLWS",AW17="LLWS"),"Y","G"))</f>
        <v>R</v>
      </c>
      <c r="BB17" s="99" t="str">
        <f>IF(OR(AND(H17&lt;&gt;"",H17&gt;(MLT!$E$23-1)),AND(B17&gt;MEF!$Z$11,J17&lt;MLT!$F$26),AND(B17&lt;MEF!$E$53,J17&lt;MLT!$F$26),J17&lt;MLT!$F$27,AND(B17&gt;MEF!$Z$11,R17&lt;MLT!$F$28),AND(B17&lt;MEF!$E$53,R17&lt;MLT!$F$28),R17&lt;MLT!$F$29,L17="TS",O17="TS",AND(AB17&lt;&gt;"",AB17&gt;3,AC17&lt;30),AND(AE17&lt;&gt;"",AE17&gt;3,AF17&lt;30),AND(AH17&lt;&gt;"",AH17&gt;3,AI17&lt;30),AND(OR(AL17=7,AL17=9),AM17&lt;30),AND(OR(AO17=7,AO17=9),AP17&lt;30),AND(OR(AR17=7,AR17=9),AS17&lt;30)),"R",IF(OR(AND(H17&lt;&gt;"",H17&gt;(MLT!$I$23-1)),AND(I17&lt;&gt;"",I17&gt;(MLT!$I$23-1)),AND(B17&gt;MEF!$Z$11,J17&lt;MLT!$I$26),AND(B17&lt;MEF!$E$53,J17&lt;MLT!$I$26),AND(B17&gt;MEF!$Z$11,K17&lt;MLT!$I$26),AND(B17&lt;MEF!$E$53,K17&lt;MLT!$I$26),J17&lt;MLT!$I$27,K17&lt;MLT!$I$27,AND(B17&gt;MEF!$Z$11,R17&lt;MLT!$I$28),AND(B17&lt;MEF!$E$53,R17&lt;MLT!$I$28),AND(B17&gt;MEF!$Z$11,S17&lt;MLT!$I$28),AND(B17&lt;MEF!$E$53,S17&lt;MLT!$I$28),R17&lt;MLT!$I$29,S17&lt;MLT!$I$29,L17="VCTS",O17="VCTS",U17&gt;94,U17&lt;-29,AB17&lt;&gt;"",AK17&lt;&gt;"",AND(AL17&lt;&gt;"",AL17&gt;1),AND(AO17&lt;&gt;"",AO17&gt;1),AND(AR17&lt;&gt;"",AR17&gt;1),AU17=3,AND(AU17&lt;&gt;"",AU17&gt;4),AV17="LLWS",AW17="LLWS",CE17&lt;30,AND(CJ17&lt;25,CJ17&lt;&gt;0)),"Y","G"))</f>
        <v>R</v>
      </c>
      <c r="BC17" s="99" t="str">
        <f>IF(OR(G17&gt;(MLT!F$35-1),AND(H17&lt;&gt;"",H17&gt;(MLT!E$35-1)),J17&lt;MLT!E$38,R17&lt;MLT!E$39,L17="TS",O17="TS",N17="Y",T17&gt;50.49,T17&lt;-20.5,W17&gt;0.9449,AA17&gt;8999,AND(AB17&lt;&gt;"",AB17&gt;0),AND(AL17&lt;&gt;"",AL17&gt;1)),"R",IF(OR(G17&gt;(MLT!I$35-1),AND(H17&lt;&gt;"",H17&gt;(MLT!H$35-1)),AND(I17&lt;&gt;"",I17&gt;(MLT!H$35-1)),J17&lt;MLT!H$38,K17&lt;MLT!H$38,M17&lt;&gt;"",P17&lt;&gt;"",R17&lt;MLT!H$39,S17&lt;MLT!H$39,L17="VCTS",O17="VCTS",T17&gt;45.49,T17&lt;-14,W17&gt;0.8449,AA17&gt;6999,AND(AB17&lt;&gt;"",AB17&gt;0),AND(AK17&lt;&gt;"",AK17&gt;0),AND(AL17&lt;&gt;"",AL17&gt;0),AND(AU17&lt;&gt;"",AU17&gt;0),AV17="LLWS",AW17="LLWS"),"Y","G"))</f>
        <v>R</v>
      </c>
      <c r="BD17" s="98" t="str">
        <f>IF(OR(AND(NOT(H17=""),H17&gt;(MLT!E48-1)),AND(NOT(I17=""),I17&gt;(MLT!E48-1)),J17&lt;0.26,NOT(L17=""),U17&lt;14.5,AND(X5="Wind Chill",X17&lt;-0.5),AND(X5="WBGT",X17&gt;89.49)),"R",IF(OR(AND(NOT(H17=""),H17&gt;(MLT!H48-1)),AND(NOT(I17=""),I17&gt;(MLT!H48-1)),J17&lt;1,NOT(M17=""),NOT(P17=""),NOT(O17=""),U17&lt;31.5,AND(X5="Wind Chill",X17&lt;14.5),AND(X5="WBGT",X17&gt;77.49)),"Y","G"))</f>
        <v>R</v>
      </c>
      <c r="BE17" s="99" t="str">
        <f>IF(OR(AND(H17&lt;&gt;"",H17&gt;(MLT!$E$56)),J17&lt;MLT!$E$59,R17&lt;MLT!$E$60,L17="TS",O17="TS",AND(AB17&lt;&gt;"",AC17&lt;30),AND(AE17&lt;&gt;"",AF17&lt;30),AND(AH17&lt;&gt;"",AI17&lt;30),AND(AL17&lt;&gt;"",AL17&gt;0,AM17&lt;30),AND(AO17&lt;&gt;"",AO17&gt;0,AP17&lt;30),AND(AR17&lt;&gt;"",AR17&gt;0,AS17&lt;30)),"R",IF(OR(AND(H17&lt;&gt;"",H17&gt;MLT!$H$56),AND(I17&lt;&gt;"",I17&gt;MLT!$H$56),J17&lt;MLT!$H$59,K17&lt;MLT!$H$59,R17&lt;MLT!$H$60,S17&lt;MLT!$H$60,L17="VCTS",O17="VCTS",AB17&lt;&gt;"",AK17&lt;&gt;"",AL17&lt;&gt;"",AU17&lt;&gt;"",AV17="LLWS",AW17="LLWS"),"Y","G"))</f>
        <v>R</v>
      </c>
      <c r="BF17" s="99" t="str">
        <f>IF(OR(AND(H17&lt;&gt;"",H17&gt;(MLT!$E$64)),L17="TS",O17="TS",AND(AB17&lt;&gt;"",AB17&gt;3,AC17&lt;30),AND(AE17&lt;&gt;"",AE17&gt;3,AF17&lt;30),AND(AH17&lt;&gt;"",AH17&gt;3,AI17&lt;30),AND(AL17=7,AM17&lt;30),AND(AL17=9,AM17&lt;30),AND(AO17=7,AP17&lt;30),AND(AO17=9,AP17&lt;30),AND(AR17=7,AS17&lt;30),AND(AR17=9,AS17&lt;30)),"R",IF(OR(AND(H17&lt;&gt;"",H17&gt;MLT!$H$64),AND(I17&lt;&gt;"",I17&gt;MLT!$H$64),J17&lt;MLT!$H$67,K17&lt;MLT!$H$67,R17&lt;MLT!$H$68,S17&lt;MLT!$H$68,L17="VCTS",O17="VCTS",calc!U17&gt;90,U17&lt;-29,AB17&lt;&gt;"",AK17&lt;&gt;"",AND(AL17&lt;&gt;"",AL17&gt;1),AND(AO17&lt;&gt;"",AO17&gt;1),AND(AR17&lt;&gt;"",AR17&gt;1),AND(AU17&lt;&gt;"",AU17&gt;1),AV17="LLWS",AW17="LLWS"),"Y","G"))</f>
        <v>R</v>
      </c>
      <c r="BG17" s="98" t="str">
        <f>IF(OR(AND(H17&lt;&gt;"",H17&gt;(MLT!$E$73)),L17="TS",O17="TS",AND(AB17&lt;&gt;"",AC17&lt;30),AND(AE17&lt;&gt;"",AF17&lt;30),AND(AH17&lt;&gt;"",AI17&lt;30),AND(AL17=3,AM17&lt;30),AND(AL17&lt;&gt;"",AL17&gt;4,AM17&lt;30),AND(AO17=3,AP17&lt;30),AND(AO17&lt;&gt;"",AO17&gt;4,AP17&lt;30),AND(AR17=3,AS17&lt;30),AND(AR17&lt;&gt;"",AR17&gt;4,AS17&lt;30)),"R",IF(OR(AND(H17&lt;&gt;"",H17&gt;MLT!$H$73),AND(I17&lt;&gt;"",I17&gt;MLT!$H$73),J17&lt;MLT!$H$76,K17&lt;MLT!$H$76,R17&lt;MLT!$H$77,S17&lt;MLT!$H$77,L17="VCTS",O17="VCTS",AB17&lt;&gt;"",AK17&lt;&gt;"",AL17&lt;&gt;"",AU17&lt;&gt;"",AV17="LLWS",AW17="LLWS"),"Y","G"))</f>
        <v>R</v>
      </c>
      <c r="BH17" s="98" t="str">
        <f>IF(OR(IF(H17="",G17,H17)&gt;MLT!$E$81,IF(H17="",G17,H17)-G17&gt;19,IF(F17="VRB",FALSE(),(IF(AND(F17&gt;89,F17&lt;271),SIN(RADIANS(MAX(180,F17)-MIN(180,F17))),SIN(RADIANS(IF(F17&gt;269,360-F17,F17)))))*(IF(H17="",G17,H17))&gt;MLT!$E$82),J17&lt;MLT!$E$86,L17="TS",L17="VCTS",O17="TS",R17&lt;MLT!$E$87,U17&gt;MLT!$E$88,AND(AB17&lt;&gt;"",AB17&gt;3,AC17&lt;100),AND(AE17&lt;&gt;"",AE17&gt;3,AF17&lt;100),AND(AH17&lt;&gt;"",AH17&gt;3,AI17&lt;100),AND(AL17=7,AM17&lt;100),AND(AL17=9,AM17&lt;100),AND(AO17=7,AP17&lt;100),AND(AO17=9,AP17&lt;100),AND(AR17=7,AS17&lt;100),AND(AR17=9,AS17&lt;100),AV17="LLWS"),"R",IF(OR(AND(H17&lt;&gt;"",H17&gt;14),IF(F17="VRB",FALSE(),(IF(AND(F17&gt;89,F17&lt;271),SIN(RADIANS(MAX(180,F17)-MIN(180,F17))),SIN(RADIANS(IF(F17&gt;269,360-F17,F17)))))*(IF(H17="",G17,H17))&gt;MLT!$H$82),AND(I17&lt;&gt;"",I17&gt;14),J17&lt;MLT!$H$86,K17&lt;MLT!$H$86,R17&lt;MLT!$H$87,S17&lt;MLT!$H$87,O17="VCTS",calc!U17&gt;90,AB17&lt;&gt;"",AK17&lt;&gt;"",AND(AL17&lt;&gt;"",AL17&gt;1),AND(AO17&lt;&gt;"",AO17&gt;1),AND(AR17&lt;&gt;"",AR17&gt;1),AND(AU17&lt;&gt;"",AU17&gt;1),AW17="LLWS"),"Y","G"))</f>
        <v>R</v>
      </c>
      <c r="BI17" s="98" t="str">
        <f>IF(OR(IF(H17="",G17,H17)&gt;MLT!$E$92,J17&lt;MLT!$E$95,L17="TS",L17="VCTS",O17="TS",R17&lt;MLT!$E$96,AND(AB17&lt;&gt;"",AB17&gt;3,AC17&lt;100),AND(AE17&lt;&gt;"",AE17&gt;3,AF17&lt;100),AND(AH17&lt;&gt;"",AH17&gt;3,AI17&lt;100),AND(AL17=7,AM17&lt;100),AND(AL17=9,AM17&lt;100),AND(AO17=7,AP17&lt;100),AND(AO17=9,AP17&lt;100),AND(AR17=7,AS17&lt;100),AND(AR17=9,AS17&lt;100)),"R",IF(OR(AND(H17&lt;&gt;"",H17&gt;14),AND(I17&lt;&gt;"",I17&gt;14),J17&lt;MLT!$H$95,K17&lt;MLT!$H$95,R17&lt;MLT!$H$96,S17&lt;MLT!$H$96,O17="VCTS",AB17&lt;&gt;"",AK17&lt;&gt;"",AND(AL17&lt;&gt;"",AL17&gt;1),AND(AO17&lt;&gt;"",AO17&gt;1),AND(AR17&lt;&gt;"",AR17&gt;1),AND(AU17&lt;&gt;"",AU17&gt;1),AV17="LLWS",AW17="LLWS"),"Y","G"))</f>
        <v>R</v>
      </c>
      <c r="BK17" s="41">
        <f t="shared" si="4"/>
        <v>27.199401397299685</v>
      </c>
      <c r="BL17" s="41">
        <f t="shared" si="5"/>
        <v>27.199401397299685</v>
      </c>
      <c r="BM17" s="41">
        <f>IF(R17&gt;200,T17+(LOOKUP(Worksheet!BD6,BV8:BV10,BW8:BW10)*(CA17/BZ17)),IF(AND(R17&lt;210,R17&gt;29),T17+(0.5*LOOKUP(Worksheet!BD6,BV8:BV10,BW8:BW10)*(CA17/BZ17)),T17+0.25*(LOOKUP(Worksheet!BD6,BV8:BV10,BW8:BW10)*(CA17/BZ17))))</f>
        <v>39.47549042984231</v>
      </c>
      <c r="BN17" s="41">
        <f t="shared" si="6"/>
        <v>38.634395600159507</v>
      </c>
      <c r="BO17" s="42">
        <f t="shared" si="7"/>
        <v>22.777777777777779</v>
      </c>
      <c r="BP17" s="43">
        <f t="shared" si="8"/>
        <v>98.522820360464223</v>
      </c>
      <c r="BQ17" s="44">
        <f t="shared" si="9"/>
        <v>2.7756805730690344</v>
      </c>
      <c r="BR17" s="42">
        <f t="shared" si="17"/>
        <v>51.480207544405886</v>
      </c>
      <c r="BS17" s="42">
        <f t="shared" si="10"/>
        <v>49.339238887031492</v>
      </c>
      <c r="BT17" s="42">
        <f t="shared" si="11"/>
        <v>49.339238887031492</v>
      </c>
      <c r="BU17" s="42"/>
      <c r="BV17" s="1610"/>
      <c r="BW17" s="835"/>
      <c r="BX17" s="106">
        <f>DEGREES(ASIN(BY17*COS(RADIANS(LOOKUP(Worksheet!Q6,'Light Data '!A3:A377,'Light Data '!J3:J377)))*COS(RADIANS(Worksheet!R2))+SIN(RADIANS(LOOKUP(Worksheet!Q6,'Light Data '!A3:A377,'Light Data '!J3:J377)))*SIN(RADIANS(Worksheet!R2))))</f>
        <v>34.629677570671319</v>
      </c>
      <c r="BY17" s="515">
        <f>COS(RADIANS(15*((MAX(CF5,(HOUR(C17)/24))-MIN(CF5,(HOUR(C17)/24)))*24)))</f>
        <v>0.45593329244819175</v>
      </c>
      <c r="BZ17" s="516">
        <f>IF(BX17&lt;0,0.1,((128*10^3)*(1+0.033412*COS(2*PI()*(((CH4-CH3)-3)/365)))))</f>
        <v>123724.68965631575</v>
      </c>
      <c r="CA17" s="516">
        <f>IF(BX17&lt;0,0,((128*10^3)*(1+0.033412*COS(2*PI()*(((CH4-CH3)-3)/365))))*POWER(EXP(1),0-(CB17*(1/(SIN(RADIANS(BX17+(244/(165+47*(POWER(BX17,1.1)))))))))))</f>
        <v>75683.052199298909</v>
      </c>
      <c r="CB17" s="389">
        <f t="shared" si="12"/>
        <v>0.28000000000000003</v>
      </c>
      <c r="CC17" s="112">
        <f>IF(CF17="D","&lt;0",IF(CF17="U1",SIN(((C17-$CF$2)/(INDEX($CK$5:$CP$5,1,MATCH("U1",$CK$4:$CP$4,0)+1)-$CF$2))*(PI()/2))*(IF($CN$4="M2",$CK$7,$CE$7)),IF(CF17="M1",SIN(((INDEX($CK$5:$CP$5,1,MATCH("M1",$CK$4:$CP$4,0)+1)-C17)/(INDEX($CK$5:$CP$5,1,MATCH("M1",$CK$4:$CP$4,0)+1)-$CJ$2))*(PI()/2))*$CE$7,IF(CF17="U2",SIN(((C17-$CH$2)/($CK$2-$CH$2))*(PI()/2))*$CK$7,SIN(((INDEX($CK$5:$CP$5,1,MATCH("M2",$CK$4:$CP$4,0)+1)-C17)/(INDEX($CK$5:$CP$5,1,MATCH("M2",$CK$4:$CP$4,0)+1)-$CK$2))*(PI()/2))*$CK$7))))</f>
        <v>44.729447138483941</v>
      </c>
      <c r="CD17" s="112" t="str">
        <f t="shared" si="19"/>
        <v>(45)</v>
      </c>
      <c r="CE17" s="112">
        <f t="shared" si="20"/>
        <v>99</v>
      </c>
      <c r="CF17" s="66" t="str">
        <f t="shared" si="21"/>
        <v>U1</v>
      </c>
      <c r="CI17" s="834">
        <f>INDEX('Light Data '!$H$3:$H$381,MATCH(ROUNDDOWN(C17,0),'Light Data '!$A$3:$A$381,0))-(((INDEX('Light Data '!$H$3:$H$381,MATCH(ROUNDDOWN(C17,0),'Light Data '!$A$3:$A$381,0))-(INDEX('Light Data '!$H$3:$H$381,MATCH(ROUNDDOWN(C17,0)+1,'Light Data '!$A$3:$A$381,0))))/24)*HOUR(C17))</f>
        <v>48.5</v>
      </c>
      <c r="CJ17" s="834" t="str">
        <f t="shared" si="22"/>
        <v>NA</v>
      </c>
    </row>
    <row r="18" spans="1:88" ht="15" customHeight="1" thickTop="1" thickBot="1">
      <c r="A18" s="527">
        <f t="shared" si="23"/>
        <v>19</v>
      </c>
      <c r="B18" s="525">
        <f t="shared" si="1"/>
        <v>1900</v>
      </c>
      <c r="C18" s="3639">
        <f>Worksheet!AD78</f>
        <v>44748.791666666657</v>
      </c>
      <c r="D18" s="3639"/>
      <c r="E18" s="524">
        <f>Worksheet!AF78</f>
        <v>44748.958333333328</v>
      </c>
      <c r="F18" s="77" t="str">
        <f>IF(AND(TAF!Z7="PREDOM",E18&lt;TAF!AF7),TAF!AH7,IF(AND(TAF!Z8="PREDOM",E18&lt;TAF!AF8),TAF!AH8,IF(AND(TAF!Z9="PREDOM",E18&lt;TAF!AF9),TAF!AH9,IF(AND(TAF!Z10="PREDOM",E18&lt;TAF!AF10),TAF!AH10,IF(AND(TAF!Z11="PREDOM",E18&lt;TAF!AF11),TAF!AH11,IF(AND(TAF!Z12="PREDOM",E18&lt;TAF!AF12),TAF!AH12,IF(AND(TAF!Z13="PREDOM",E18&lt;TAF!AF13),TAF!AH13,IF(AND(TAF!Z14="PREDOM",E18&lt;TAF!AF14),TAF!AH14,IF(AND(TAF!Z15="PREDOM",E18&lt;TAF!AF15),TAF!AH15,IF(AND(TAF!Z16="PREDOM",E18&lt;TAF!AE16),TAF!AH16,IF(AND(TAF!Z17="PREDOM",E18&lt;TAF!AF17),TAF!AH17,IF(AND(TAF!Z18="PREDOM",E18&lt;TAF!AF18),TAF!AH18))))))))))))</f>
        <v>240</v>
      </c>
      <c r="G18" s="78">
        <f>IF(AND(TAF!Z7="PREDOM",E18&lt;TAF!AF7),TAF!AI7,IF(AND(TAF!Z8="PREDOM",E18&lt;TAF!AF8),TAF!AI8,IF(AND(TAF!Z9="PREDOM",E18&lt;TAF!AF9),TAF!AI9,IF(AND(TAF!Z10="PREDOM",E18&lt;TAF!AF10),TAF!AI10,IF(AND(TAF!Z11="PREDOM",E18&lt;TAF!AF11),TAF!AI11,IF(AND(TAF!Z12="PREDOM",E18&lt;TAF!AF12),TAF!AI12,IF(AND(TAF!Z13="PREDOM",E18&lt;TAF!AF13),TAF!AI13,IF(AND(TAF!Z14="PREDOM",E18&lt;TAF!AF14),TAF!AI14,IF(AND(TAF!Z15="PREDOM",E18&lt;TAF!AF15),TAF!AI15,IF(AND(TAF!Z16="PREDOM",E18&lt;TAF!AE16),TAF!AI16,IF(AND(TAF!Z17="PREDOM",E18&lt;TAF!AF17),TAF!AI17,IF(AND(TAF!Z18="PREDOM",E18&lt;TAF!AF18),TAF!AI18))))))))))))</f>
        <v>10</v>
      </c>
      <c r="H18" s="79" t="str">
        <f>IF(AND(TAF!Z7="PREDOM",E18&lt;TAF!AF7),TAF!AJ7,IF(AND(TAF!Z8="PREDOM",E18&lt;TAF!AF8),TAF!AJ8,IF(AND(TAF!Z9="PREDOM",E18&lt;TAF!AF9),TAF!AJ9,IF(AND(TAF!Z10="PREDOM",E18&lt;TAF!AF10),TAF!AJ10,IF(AND(TAF!Z11="PREDOM",E18&lt;TAF!AF11),TAF!AJ11,IF(AND(TAF!Z12="PREDOM",E18&lt;TAF!AF12),TAF!AJ12,IF(AND(TAF!Z13="PREDOM",E18&lt;TAF!AF13),TAF!AJ13,IF(AND(TAF!Z14="PREDOM",E18&lt;TAF!AF14),TAF!AJ14,IF(AND(TAF!Z15="PREDOM",E18&lt;TAF!AF15),TAF!AJ15,IF(AND(TAF!Z16="PREDOM",E18&lt;TAF!AE16),TAF!AJ16,IF(AND(TAF!Z17="PREDOM",E18&lt;TAF!AF17),TAF!AJ17,IF(AND(TAF!Z18="PREDOM",E18&lt;TAF!AF18),TAF!AJ18))))))))))))</f>
        <v/>
      </c>
      <c r="I18" s="80">
        <f>IF(AND(TAF!Z7="TEMPO",NOT(E18+0.01&lt;TAF!AC7),E18&lt;TAF!AF7),TAF!AJ7,IF(AND(TAF!Z8="TEMPO",NOT(E18+0.01&lt;TAF!AC8),E18&lt;TAF!AF8),TAF!AJ8,IF(AND(TAF!Z9="TEMPO",NOT(E18+0.01&lt;TAF!AC9),E18&lt;TAF!AF9),TAF!AJ9,IF(AND(TAF!Z10="TEMPO",NOT(E18+0.01&lt;TAF!AC10),E18&lt;TAF!AF10),TAF!AJ10,IF(AND(TAF!Z11="TEMPO",NOT(E18+0.01&lt;TAF!AC11),E18&lt;TAF!AF11),TAF!AJ11,IF(AND(TAF!Z12="TEMPO",NOT(E18+0.01&lt;TAF!AC12),E18&lt;TAF!AF12),TAF!AJ12,IF(AND(TAF!Z13="TEMPO",NOT(E18+0.01&lt;TAF!AC13),E18&lt;TAF!AF13),TAF!AJ13,IF(AND(TAF!Z14="TEMPO",NOT(E18+0.01&lt;TAF!AC14),E18&lt;TAF!AF14),TAF!AJ14,IF(AND(TAF!Z15="TEMPO",NOT(E18+0.01&lt;TAF!AC15),E18&lt;TAF!AF15),TAF!AJ15,IF(AND(TAF!Z16="TEMPO",NOT(E18+0.01&lt;TAF!AC16),E18&lt;TAF!AE16),TAF!AJ16,IF(AND(TAF!Z17="TEMPO",NOT(E18+0.01&lt;TAF!AC17),E18&lt;TAF!AF17),TAF!AJ17,IF(AND(TAF!Z18="TEMPO",NOT(E18+0.01&lt;TAF!AC18),E18&lt;TAF!AF18),TAF!AJ18,""))))))))))))</f>
        <v>20</v>
      </c>
      <c r="J18" s="81">
        <f>IF(AND(TAF!Z7="PREDOM",E18&lt;TAF!AF7),TAF!AN7,IF(AND(TAF!Z8="PREDOM",E18&lt;TAF!AF8),TAF!AN8,IF(AND(TAF!Z9="PREDOM",E18&lt;TAF!AF9),TAF!AN9,IF(AND(TAF!Z10="PREDOM",E18&lt;TAF!AF10),TAF!AN10,IF(AND(TAF!Z11="PREDOM",E18&lt;TAF!AF11),TAF!AN11,IF(AND(TAF!Z12="PREDOM",E18&lt;TAF!AF12),TAF!AN12,IF(AND(TAF!Z13="PREDOM",E18&lt;TAF!AF13),TAF!AN13,IF(AND(TAF!Z14="PREDOM",E18&lt;TAF!AF14),TAF!AN14,IF(AND(TAF!Z15="PREDOM",E18&lt;TAF!AF15),TAF!AN15,IF(AND(TAF!Z16="PREDOM",E18&lt;TAF!AE16),TAF!AN16,IF(AND(TAF!Z17="PREDOM",E18&lt;TAF!AF17),TAF!AN17,IF(AND(TAF!Z18="PREDOM",E18&lt;TAF!AF18),TAF!AN18))))))))))))</f>
        <v>7</v>
      </c>
      <c r="K18" s="82">
        <f>IF(AND(TAF!Z7="TEMPO",NOT(E18+0.01&lt;TAF!AC7),E18-0.01&lt;TAF!AF7),TAF!AN7,IF(AND(TAF!Z8="TEMPO",NOT(E18+0.01&lt;TAF!AC8),E18-0.01&lt;TAF!AF8),TAF!AN8,IF(AND(TAF!Z9="TEMPO",NOT(E18+0.01&lt;TAF!AC9),E18-0.01&lt;TAF!AF9),TAF!AN9,IF(AND(TAF!Z10="TEMPO",NOT(E18+0.01&lt;TAF!AC10),E18-0.01&lt;TAF!AF10),TAF!AN10,IF(AND(TAF!Z11="TEMPO",NOT(E18+0.01&lt;TAF!AC11),E18-0.01&lt;TAF!AF11),TAF!AN11,IF(AND(TAF!Z12="TEMPO",NOT(E18+0.01&lt;TAF!AC12),E18-0.01&lt;TAF!AF12),TAF!AN12,IF(AND(TAF!Z13="TEMPO",NOT(E18+0.01&lt;TAF!AC13),E18-0.01&lt;TAF!AF13),TAF!AN13,IF(AND(TAF!Z14="TEMPO",NOT(E18+0.01&lt;TAF!AC14),E18-0.01&lt;TAF!AF14),TAF!AN14,IF(AND(TAF!Z15="TEMPO",NOT(E18+0.01&lt;TAF!AC15),E18-0.01&lt;TAF!AF15),TAF!AN15,IF(AND(TAF!Z16="TEMPO",NOT(E18+0.01&lt;TAF!AC16),E18-0.01&lt;TAF!AE16),TAF!AN16,IF(AND(TAF!Z17="TEMPO",NOT(E18+0.01&lt;TAF!AC17),E18-0.01&lt;TAF!AF17),TAF!AN17,IF(AND(TAF!Z18="TEMPO",NOT(E18+0.01&lt;TAF!AC18),E18-0.01&lt;TAF!AF18),TAF!AN18,""))))))))))))</f>
        <v>3</v>
      </c>
      <c r="L18" s="83" t="str">
        <f t="shared" si="13"/>
        <v/>
      </c>
      <c r="M18" s="84" t="str">
        <f>IF(AND(TAF!Z7="PREDOM",E18&lt;TAF!AF7),TAF!AP7,IF(AND(TAF!Z8="PREDOM",E18&lt;TAF!AF8),TAF!AP8,IF(AND(TAF!Z9="PREDOM",E18&lt;TAF!AF9),TAF!AP9,IF(AND(TAF!Z10="PREDOM",E18&lt;TAF!AF10),TAF!AP10,IF(AND(TAF!Z11="PREDOM",E18&lt;TAF!AF11),TAF!AP11,IF(AND(TAF!Z12="PREDOM",E18&lt;TAF!AF12),TAF!AP12,IF(AND(TAF!Z13="PREDOM",E18&lt;TAF!AF13),TAF!AP13,IF(AND(TAF!Z14="PREDOM",E18&lt;TAF!AF14),TAF!AP14,IF(AND(TAF!Z15="PREDOM",E18&lt;TAF!AF15),TAF!AP15,IF(AND(TAF!Z16="PREDOM",E18&lt;TAF!AE16),TAF!AP16,IF(AND(TAF!Z17="PREDOM",E18&lt;TAF!AF17),TAF!AP17,IF(AND(TAF!Z18="PREDOM",E18&lt;TAF!AF18),TAF!AP18))))))))))))</f>
        <v/>
      </c>
      <c r="N18" s="85" t="str">
        <f t="shared" si="14"/>
        <v>N</v>
      </c>
      <c r="O18" s="85" t="str">
        <f t="shared" si="15"/>
        <v>TS</v>
      </c>
      <c r="P18" s="84" t="str">
        <f>IF(AND(TAF!Z7="TEMPO",NOT(E18+0.01&lt;TAF!AC7),E18-0.01&lt;TAF!AF7),TAF!AP7,IF(AND(TAF!Z8="TEMPO",NOT(E18+0.01&lt;TAF!AC8),E18-0.01&lt;TAF!AF8),TAF!AP8,IF(AND(TAF!Z9="TEMPO",NOT(E18+0.01&lt;TAF!AC9),E18-0.01&lt;TAF!AF9),TAF!AP9,IF(AND(TAF!Z10="TEMPO",NOT(E18+0.01&lt;TAF!AC10),E18-0.01&lt;TAF!AF10),TAF!AP10,IF(AND(TAF!Z11="TEMPO",NOT(E18+0.01&lt;TAF!AC11),E18-0.01&lt;TAF!AF11),TAF!AP11,IF(AND(TAF!Z12="TEMPO",NOT(E18+0.01&lt;TAF!AC12),E18-0.01&lt;TAF!AF12),TAF!AP12,IF(AND(TAF!Z13="TEMPO",NOT(E18+0.01&lt;TAF!AC13),E18-0.01&lt;TAF!AF13),TAF!AP13,IF(AND(TAF!Z14="TEMPO",NOT(E18+0.01&lt;TAF!AC14),E18-0.01&lt;TAF!AF14),TAF!AP14,IF(AND(TAF!Z15="TEMPO",NOT(E18+0.01&lt;TAF!AC15),E18-0.01&lt;TAF!AF15),TAF!AP15,IF(AND(TAF!Z16="TEMPO",NOT(E18+0.01&lt;TAF!AC16),E18-0.01&lt;TAF!AE16),TAF!AP16,IF(AND(TAF!Z17="TEMPO",NOT(E18+0.01&lt;TAF!AC17),E18-0.01&lt;TAF!AF17),TAF!AP17,IF(AND(TAF!Z18="TEMPO",NOT(E18+0.01&lt;TAF!AC18),E18-0.01&lt;TAF!AF18),TAF!AP18,""))))))))))))</f>
        <v>-TSRA</v>
      </c>
      <c r="Q18" s="889" t="str">
        <f t="shared" si="2"/>
        <v>Y</v>
      </c>
      <c r="R18" s="86">
        <f>IF(AND(TAF!Z7="PREDOM",E18&lt;TAF!AF7),TAF!AW7,IF(AND(TAF!Z8="PREDOM",E18&lt;TAF!AF8),TAF!AW8,IF(AND(TAF!Z9="PREDOM",E18&lt;TAF!AF9),TAF!AW9,IF(AND(TAF!Z10="PREDOM",E18&lt;TAF!AF10),TAF!AW10,IF(AND(TAF!Z11="PREDOM",E18&lt;TAF!AF11),TAF!AW11,IF(AND(TAF!Z12="PREDOM",E18&lt;TAF!AF12),TAF!AW12,IF(AND(TAF!Z13="PREDOM",E18&lt;TAF!AF13),TAF!AW13,IF(AND(TAF!Z14="PREDOM",E18&lt;TAF!AF14),TAF!AW14,IF(AND(TAF!Z15="PREDOM",E18&lt;TAF!AF15),TAF!AW15,IF(AND(TAF!Z16="PREDOM",E18&lt;TAF!AE16),TAF!AW16,IF(AND(TAF!Z17="PREDOM",E18&lt;TAF!AF17),TAF!AW17,IF(AND(TAF!Z18="PREDOM",E18&lt;TAF!AF18),TAF!AW18))))))))))))</f>
        <v>250</v>
      </c>
      <c r="S18" s="87">
        <f>IF(AND(TAF!Z7="TEMPO",NOT(E18+0.01&lt;TAF!AC7),E18-0.01&lt;TAF!AF7),TAF!AW7,IF(AND(TAF!Z8="TEMPO",NOT(E18+0.01&lt;TAF!AC8),E18-0.01&lt;TAF!AF8),TAF!AW8,IF(AND(TAF!Z9="TEMPO",NOT(E18+0.01&lt;TAF!AC9),E18-0.01&lt;TAF!AF9),TAF!AW9,IF(AND(TAF!Z10="TEMPO",NOT(E18+0.01&lt;TAF!AC10),E18-0.01&lt;TAF!AF10),TAF!AW10,IF(AND(TAF!Z11="TEMPO",NOT(E18+0.01&lt;TAF!AC11),E18-0.01&lt;TAF!AF11),TAF!AW11,IF(AND(TAF!Z12="TEMPO",NOT(E18+0.01&lt;TAF!AC12),E18-0.01&lt;TAF!AF12),TAF!AW12,IF(AND(TAF!Z13="TEMPO",NOT(E18+0.01&lt;TAF!AC13),E18-0.01&lt;TAF!AF13),TAF!AW13,IF(AND(TAF!Z14="TEMPO",NOT(E18+0.01&lt;TAF!AC14),E18-0.01&lt;TAF!AF14),TAF!AW14,IF(AND(TAF!Z15="TEMPO",NOT(E18+0.01&lt;TAF!AC15),E18-0.01&lt;TAF!AF15),TAF!AW15,IF(AND(TAF!Z16="TEMPO",NOT(E18+0.01&lt;TAF!AC16),E18-0.01&lt;TAF!AE16),TAF!AW16,IF(AND(TAF!Z17="TEMPO",NOT(E18+0.01&lt;TAF!AC17),E18-0.01&lt;TAF!AF17),TAF!AW17,IF(AND(TAF!Z18="TEMPO",NOT(E18+0.01&lt;TAF!AC18),E18-0.01&lt;TAF!AF18),TAF!AW18,""))))))))))))</f>
        <v>40</v>
      </c>
      <c r="T18" s="88">
        <f t="shared" si="3"/>
        <v>35</v>
      </c>
      <c r="U18" s="89">
        <f>Worksheet!AP78</f>
        <v>95</v>
      </c>
      <c r="V18" s="90">
        <f>Worksheet!BB78</f>
        <v>74</v>
      </c>
      <c r="W18" s="91">
        <f t="shared" si="16"/>
        <v>0.51028899654400484</v>
      </c>
      <c r="X18" s="92">
        <f>IF(X5="Wind Chill",IF(G18=0,U18,IF(U18&lt;56,35.74+(0.6215*U18)-(35.75*(G18^0.16))+(0.4275*U18*(G18^0.16)),"NA")),IF(X5="WBGT",1.8*((0.7*BL18)+(0.1*BN18)+(0.2*BT18))+32))</f>
        <v>89.178578468182565</v>
      </c>
      <c r="Y18" s="93">
        <f>Worksheet!BQ78</f>
        <v>29.9</v>
      </c>
      <c r="Z18" s="1890">
        <f>Worksheet!BT78</f>
        <v>774.42707774380006</v>
      </c>
      <c r="AA18" s="1891">
        <f>Worksheet!BV78</f>
        <v>3358.4309514157267</v>
      </c>
      <c r="AB18" s="94" t="str">
        <f>IF(AND(TAF!Z7="PREDOM",E18&lt;TAF!AF7),TAF!BS7,IF(AND(TAF!Z8="PREDOM",E18&lt;TAF!AF8),TAF!BS8,IF(AND(TAF!Z9="PREDOM",E18&lt;TAF!AF9),TAF!BS9,IF(AND(TAF!Z10="PREDOM",E18&lt;TAF!AF10),TAF!BS10,IF(AND(TAF!Z11="PREDOM",E18&lt;TAF!AF11),TAF!BS11,IF(AND(TAF!Z12="PREDOM",E18&lt;TAF!AF12),TAF!BS12,IF(AND(TAF!Z13="PREDOM",E18&lt;TAF!AF13),TAF!BS13,IF(AND(TAF!Z14="PREDOM",E18&lt;TAF!AF14),TAF!BS14,IF(AND(TAF!Z15="PREDOM",E18&lt;TAF!AF15),TAF!BS15,IF(AND(TAF!Z16="PREDOM",E18&lt;TAF!AE16),TAF!BS16,IF(AND(TAF!Z17="PREDOM",E18&lt;TAF!AF17),TAF!BS17,IF(AND(TAF!Z18="PREDOM",E18&lt;TAF!AF18),TAF!BS18))))))))))))</f>
        <v/>
      </c>
      <c r="AC18" s="898" t="str">
        <f>IF(AB18="","",IF(AND(TAF!$Z$7="PREDOM",E18&lt;TAF!$AF$7),TAF!$BT$7,IF(AND(TAF!$Z$8="PREDOM",E18&lt;TAF!$AF$8),TAF!$BT$8,IF(AND(TAF!$Z$9="PREDOM",E18&lt;TAF!$AF$9),TAF!$BT$9,IF(AND(TAF!$Z$10="PREDOM",E18&lt;TAF!$AF$10),TAF!$BT$10,IF(AND(TAF!$Z$11="PREDOM",E18&lt;TAF!$AF$11),TAF!$BT$11,IF(AND(TAF!$Z$12="PREDOM",E18&lt;TAF!$AF$12),TAF!$BT$12,IF(AND(TAF!$Z$13="PREDOM",E18&lt;TAF!$AF$13),TAF!$BT$13,IF(AND(TAF!$Z$14="PREDOM",E18&lt;TAF!$AF$14),TAF!$BT$14,IF(AND(TAF!$Z$15="PREDOM",E18&lt;TAF!$AF$15),TAF!$BT$15,IF(AND(TAF!$Z$16="PREDOM",E18&lt;TAF!AE26),TAF!$BT$16,IF(AND(TAF!$Z$17="PREDOM",E18&lt;TAF!$AF$17),TAF!$BT$17,IF(AND(TAF!$Z$18="PREDOM",E18&lt;TAF!$AF$18),TAF!$BT$18)))))))))))))</f>
        <v/>
      </c>
      <c r="AD18" s="903" t="str">
        <f>IF(AB18="","",IF(AND(TAF!$Z$7="PREDOM",E18&lt;TAF!$AF$7),TAF!$BU$7,IF(AND(TAF!$Z$8="PREDOM",E18&lt;TAF!$AF$8),TAF!$BU$8,IF(AND(TAF!$Z$9="PREDOM",E18&lt;TAF!$AF$9),TAF!$BU$9,IF(AND(TAF!$Z$10="PREDOM",E18&lt;TAF!$AF$10),TAF!$BU$10,IF(AND(TAF!$Z$11="PREDOM",E18&lt;TAF!$AF$11),TAF!$BU$11,IF(AND(TAF!$Z$12="PREDOM",E18&lt;TAF!$AF$12),TAF!$BU$12,IF(AND(TAF!$Z$13="PREDOM",E18&lt;TAF!$AF$13),TAF!$BU$13,IF(AND(TAF!$Z$14="PREDOM",E18&lt;TAF!$AF$14),TAF!$BU$14,IF(AND(TAF!$Z$15="PREDOM",E18&lt;TAF!$AF$15),TAF!$BU$15,IF(AND(TAF!$Z$16="PREDOM",E18&lt;TAF!AE26),TAF!$BU$16,IF(AND(TAF!$Z$17="PREDOM",E18&lt;TAF!$AF$17),TAF!$BU$17,IF(AND(TAF!$Z$18="PREDOM",E18&lt;TAF!$AF$18),TAF!$BU$18)))))))))))))</f>
        <v/>
      </c>
      <c r="AE18" s="94" t="str">
        <f>IF(AND(TAF!Z7="PREDOM",E18&lt;TAF!AF7),TAF!BV7,IF(AND(TAF!Z8="PREDOM",E18&lt;TAF!AF8),TAF!BV8,IF(AND(TAF!Z9="PREDOM",E18&lt;TAF!AF9),TAF!BV9,IF(AND(TAF!Z10="PREDOM",E18&lt;TAF!AF10),TAF!BV10,IF(AND(TAF!Z11="PREDOM",E18&lt;TAF!AF11),TAF!BV11,IF(AND(TAF!Z12="PREDOM",E18&lt;TAF!AF12),TAF!BV12,IF(AND(TAF!Z13="PREDOM",E18&lt;TAF!AF13),TAF!BV13,IF(AND(TAF!Z14="PREDOM",E18&lt;TAF!AF14),TAF!BV14,IF(AND(TAF!Z15="PREDOM",E18&lt;TAF!AF15),TAF!BV15,IF(AND(TAF!Z16="PREDOM",E18&lt;TAF!AE16),TAF!BV16,IF(AND(TAF!Z17="PREDOM",E18&lt;TAF!AF17),TAF!BV17,IF(AND(TAF!Z18="PREDOM",E18&lt;TAF!AF18),TAF!BV18))))))))))))</f>
        <v/>
      </c>
      <c r="AF18" s="898" t="str">
        <f>IF(AE18="","",IF(AND(TAF!$Z$7="PREDOM",E18&lt;TAF!$AF$7),TAF!$BW$7,IF(AND(TAF!$Z$8="PREDOM",E18&lt;TAF!$AF$8),TAF!$BW$8,IF(AND(TAF!$Z$9="PREDOM",E18&lt;TAF!$AF$9),TAF!$BW$9,IF(AND(TAF!$Z$10="PREDOM",E18&lt;TAF!$AF$10),TAF!$BW$10,IF(AND(TAF!$Z$11="PREDOM",E18&lt;TAF!$AF$11),TAF!$BW$11,IF(AND(TAF!$Z$12="PREDOM",E18&lt;TAF!$AF$12),TAF!$BW$12,IF(AND(TAF!$Z$13="PREDOM",E18&lt;TAF!$AF$13),TAF!$BW$13,IF(AND(TAF!$Z$14="PREDOM",E18&lt;TAF!$AF$14),TAF!$BW$14,IF(AND(TAF!$Z$15="PREDOM",E18&lt;TAF!$AF$15),TAF!$BW$15,IF(AND(TAF!$Z$16="PREDOM",E18&lt;TAF!AE26),TAF!$BW$16,IF(AND(TAF!$Z$17="PREDOM",E18&lt;TAF!$AF$17),TAF!$BW$17,IF(AND(TAF!$Z$18="PREDOM",E18&lt;TAF!$AF$18),TAF!$BW$18)))))))))))))</f>
        <v/>
      </c>
      <c r="AG18" s="903" t="str">
        <f>IF(AE18="","",IF(AND(TAF!$Z$7="PREDOM",E18&lt;TAF!$AF$7),TAF!$BX$7,IF(AND(TAF!$Z$8="PREDOM",E18&lt;TAF!$AF$8),TAF!$BX$8,IF(AND(TAF!$Z$9="PREDOM",E18&lt;TAF!$AF$9),TAF!$BX$9,IF(AND(TAF!$Z$10="PREDOM",E18&lt;TAF!$AF$10),TAF!$BX$10,IF(AND(TAF!$Z$11="PREDOM",E18&lt;TAF!$AF$11),TAF!$BX$11,IF(AND(TAF!$Z$12="PREDOM",E18&lt;TAF!$AF$12),TAF!$BX$12,IF(AND(TAF!$Z$13="PREDOM",E18&lt;TAF!$AF$13),TAF!$BX$13,IF(AND(TAF!$Z$14="PREDOM",E18&lt;TAF!$AF$14),TAF!$BX$14,IF(AND(TAF!$Z$15="PREDOM",E18&lt;TAF!$AF$15),TAF!$BX$15,IF(AND(TAF!$Z$16="PREDOM",E18&lt;TAF!AE26),TAF!$BX$16,IF(AND(TAF!$Z$17="PREDOM",E18&lt;TAF!$AF$17),TAF!$BX$17,IF(AND(TAF!$Z$18="PREDOM",E18&lt;TAF!$AF$18),TAF!$BX$18)))))))))))))</f>
        <v/>
      </c>
      <c r="AH18" s="892" t="str">
        <f>IF(AND(TAF!$Z$7="PREDOM",E18&lt;TAF!$AF$7),TAF!$BY$7,IF(AND(TAF!$Z$8="PREDOM",E18&lt;TAF!$AF$8),TAF!$BY$8,IF(AND(TAF!$Z$9="PREDOM",E18&lt;TAF!$AF$9),TAF!$BY$9,IF(AND(TAF!$Z$10="PREDOM",E18&lt;TAF!$AF$10),TAF!$BY$10,IF(AND(TAF!$Z$11="PREDOM",E18&lt;TAF!$AF$11),TAF!$BY$11,IF(AND(TAF!$Z$12="PREDOM",E18&lt;TAF!$AF$12),TAF!$BY$12,IF(AND(TAF!$Z$13="PREDOM",E18&lt;TAF!$AF$13),TAF!$BY$13,IF(AND(TAF!$Z$14="PREDOM",E18&lt;TAF!$AF$14),TAF!$BY$14,IF(AND(TAF!$Z$15="PREDOM",E18&lt;TAF!$AF$15),TAF!$BY$15,IF(AND(TAF!$Z$16="PREDOM",E18&lt;TAF!$AF$16),TAF!$BY$16,IF(AND(TAF!$Z$17="PREDOM",E18&lt;TAF!$AF$17),TAF!$BY$17,IF(AND(TAF!$Z$18="PREDOM",E18&lt;TAF!$AF$18),TAF!$BY$18))))))))))))</f>
        <v/>
      </c>
      <c r="AI18" s="898" t="str">
        <f>IF(AH18="","",IF(AND(TAF!$Z$7="PREDOM",E18&lt;TAF!$AF$7),TAF!$BZ$7,IF(AND(TAF!$Z$8="PREDOM",E18&lt;TAF!$AF$8),TAF!$BZ$8,IF(AND(TAF!$Z$9="PREDOM",E18&lt;TAF!$AF$9),TAF!$BZ$9,IF(AND(TAF!$Z$10="PREDOM",E18&lt;TAF!$AF$10),TAF!$BZ$10,IF(AND(TAF!$Z$11="PREDOM",E18&lt;TAF!$AF$11),TAF!$BZ$11,IF(AND(TAF!$Z$12="PREDOM",E18&lt;TAF!$AF$12),TAF!$BZ$12,IF(AND(TAF!$Z$13="PREDOM",E18&lt;TAF!$AF$13),TAF!$BZ$13,IF(AND(TAF!$Z$14="PREDOM",E18&lt;TAF!$AF$14),TAF!$BZ$14,IF(AND(TAF!$Z$15="PREDOM",E18&lt;TAF!$AF$15),TAF!$BZ$15,IF(AND(TAF!$Z$16="PREDOM",E18&lt;TAF!AE26),TAF!$BZ$16,IF(AND(TAF!$Z$17="PREDOM",E18&lt;TAF!$AF$17),TAF!$BZ$17,IF(AND(TAF!$Z$18="PREDOM",E18&lt;TAF!$AF$18),TAF!$BZ$18)))))))))))))</f>
        <v/>
      </c>
      <c r="AJ18" s="903" t="str">
        <f>IF(AH18="","",IF(AND(TAF!$Z$7="PREDOM",E18&lt;TAF!$AF$7),TAF!$CA$7,IF(AND(TAF!$Z$8="PREDOM",E18&lt;TAF!$AF$8),TAF!$CA$8,IF(AND(TAF!$Z$9="PREDOM",E18&lt;TAF!$AF$9),TAF!$CA$9,IF(AND(TAF!$Z$10="PREDOM",E18&lt;TAF!$AF$10),TAF!$CA$10,IF(AND(TAF!$Z$11="PREDOM",E18&lt;TAF!$AF$11),TAF!$CA$11,IF(AND(TAF!$Z$12="PREDOM",E18&lt;TAF!$AF$12),TAF!$CA$12,IF(AND(TAF!$Z$13="PREDOM",E18&lt;TAF!$AF$13),TAF!$CA$13,IF(AND(TAF!$Z$14="PREDOM",E18&lt;TAF!$AF$14),TAF!$CA$14,IF(AND(TAF!$Z$15="PREDOM",E18&lt;TAF!$AF$15),TAF!$CA$15,IF(AND(TAF!$Z$16="PREDOM",E18&lt;TAF!AE26),TAF!$CA$16,IF(AND(TAF!$Z$17="PREDOM",E18&lt;TAF!$AF$17),TAF!$CA$17,IF(AND(TAF!$Z$18="PREDOM",E18&lt;TAF!$AF$18),TAF!$CA$18)))))))))))))</f>
        <v/>
      </c>
      <c r="AK18" s="95" t="str">
        <f>IF(AND(TAF!Z7="TEMPO",NOT(E18+0.01&lt;TAF!AC7),E18-0.01&lt;TAF!AF7),TAF!CB7,IF(AND(TAF!Z8="TEMPO",NOT(E18+0.01&lt;TAF!AC8),E18-0.01&lt;TAF!AF8),TAF!CB8,IF(AND(TAF!Z9="TEMPO",NOT(E18+0.01&lt;TAF!AC9),E18-0.01&lt;TAF!AF9),TAF!CB9,IF(AND(TAF!Z10="TEMPO",NOT(E18+0.01&lt;TAF!AC10),E18-0.01&lt;TAF!AF10),TAF!CB10,IF(AND(TAF!Z11="TEMPO",NOT(E18+0.01&lt;TAF!AC11),E18-0.01&lt;TAF!AF11),TAF!CB11,IF(AND(TAF!Z12="TEMPO",NOT(E18+0.01&lt;TAF!AC12),E18-0.01&lt;TAF!AF12),TAF!CB12,IF(AND(TAF!Z13="TEMPO",NOT(E18+0.01&lt;TAF!AC13),E18-0.01&lt;TAF!AF13),TAF!CB13,IF(AND(TAF!Z14="TEMPO",NOT(E18+0.01&lt;TAF!AC14),E18-0.01&lt;TAF!AF14),TAF!CB14,IF(AND(TAF!Z15="TEMPO",NOT(E18+0.01&lt;TAF!AC15),E18-0.01&lt;TAF!AF15),TAF!CB15,IF(AND(TAF!Z16="TEMPO",NOT(E18+0.01&lt;TAF!AC16),E18-0.01&lt;TAF!AE16),TAF!CB16,IF(AND(TAF!Z17="TEMPO",NOT(E18+0.01&lt;TAF!AC17),E18-0.01&lt;TAF!AF17),TAF!CB17,IF(AND(TAF!Z18="TEMPO",NOT(E18+0.01&lt;TAF!AC18),E18-0.01&lt;TAF!AF18),TAF!CB18,""))))))))))))</f>
        <v/>
      </c>
      <c r="AL18" s="94" t="str">
        <f>IF(AND(TAF!Z7="PREDOM",E18&lt;TAF!AF7),TAF!BG7,IF(AND(TAF!Z8="PREDOM",E18&lt;TAF!AF8),TAF!BG8,IF(AND(TAF!Z9="PREDOM",E18&lt;TAF!AF9),TAF!BG9,IF(AND(TAF!Z10="PREDOM",E18&lt;TAF!AF10),TAF!BG10,IF(AND(TAF!Z11="PREDOM",E18&lt;TAF!AF11),TAF!BG11,IF(AND(TAF!Z12="PREDOM",E18&lt;TAF!AF12),TAF!BG12,IF(AND(TAF!Z13="PREDOM",E18&lt;TAF!AF13),TAF!BG13,IF(AND(TAF!Z14="PREDOM",E18&lt;TAF!AF14),TAF!BG14,IF(AND(TAF!Z15="PREDOM",E18&lt;TAF!AF15),TAF!BG15,IF(AND(TAF!Z16="PREDOM",E18&lt;TAF!AE16),TAF!BG16,IF(AND(TAF!Z17="PREDOM",E18&lt;TAF!AF17),TAF!BG17,IF(AND(TAF!Z18="PREDOM",E18&lt;TAF!AF18),TAF!BG18))))))))))))</f>
        <v/>
      </c>
      <c r="AM18" s="898" t="str">
        <f>IF(AND(TAF!Z7="PREDOM",E18&lt;TAF!AF7),TAF!BH7,IF(AND(TAF!Z8="PREDOM",E18&lt;TAF!AF8),TAF!BH8,IF(AND(TAF!Z9="PREDOM",E18&lt;TAF!AF9),TAF!BH9,IF(AND(TAF!Z10="PREDOM",E18&lt;TAF!AF10),TAF!BH10,IF(AND(TAF!Z11="PREDOM",E18&lt;TAF!AF11),TAF!BH11,IF(AND(TAF!Z12="PREDOM",E18&lt;TAF!AF12),TAF!BH12,IF(AND(TAF!Z13="PREDOM",E18&lt;TAF!AF13),TAF!BH13,IF(AND(TAF!Z14="PREDOM",E18&lt;TAF!AF14),TAF!BH14,IF(AND(TAF!Z15="PREDOM",E18&lt;TAF!AF15),TAF!BH15,IF(AND(TAF!Z16="PREDOM",E18&lt;TAF!AE16),TAF!BH16,IF(AND(TAF!Z17="PREDOM",E18&lt;TAF!AF17),TAF!BH17,IF(AND(TAF!Z18="PREDOM",E18&lt;TAF!AF18),TAF!BH18))))))))))))</f>
        <v/>
      </c>
      <c r="AN18" s="903" t="str">
        <f>IF(AND(TAF!Z7="PREDOM",E18&lt;TAF!AF7),TAF!BI7,IF(AND(TAF!Z8="PREDOM",E18&lt;TAF!AF8),TAF!BI8,IF(AND(TAF!Z9="PREDOM",E18&lt;TAF!AF9),TAF!BI9,IF(AND(TAF!Z10="PREDOM",E18&lt;TAF!AF10),TAF!BI10,IF(AND(TAF!Z11="PREDOM",E18&lt;TAF!AF11),TAF!BI11,IF(AND(TAF!Z12="PREDOM",E18&lt;TAF!AF12),TAF!BI12,IF(AND(TAF!Z13="PREDOM",E18&lt;TAF!AF13),TAF!BI13,IF(AND(TAF!Z14="PREDOM",E18&lt;TAF!AF14),TAF!BI14,IF(AND(TAF!Z15="PREDOM",E18&lt;TAF!AF15),TAF!BI15,IF(AND(TAF!Z16="PREDOM",E18&lt;TAF!AE16),TAF!BI16,IF(AND(TAF!Z17="PREDOM",E18&lt;TAF!AF17),TAF!BI17,IF(AND(TAF!Z18="PREDOM",E18&lt;TAF!AF18),TAF!BI18))))))))))))</f>
        <v/>
      </c>
      <c r="AO18" s="94" t="str">
        <f>IF(AND(TAF!Z7="PREDOM",E18&lt;TAF!AF7),TAF!BJ7,IF(AND(TAF!Z8="PREDOM",E18&lt;TAF!AF8),TAF!BJ8,IF(AND(TAF!Z9="PREDOM",E18&lt;TAF!AF9),TAF!BJ9,IF(AND(TAF!Z10="PREDOM",E18&lt;TAF!AF10),TAF!BJ10,IF(AND(TAF!Z11="PREDOM",E18&lt;TAF!AF11),TAF!BJ11,IF(AND(TAF!Z12="PREDOM",E18&lt;TAF!AF12),TAF!BJ12,IF(AND(TAF!Z13="PREDOM",E18&lt;TAF!AF13),TAF!BJ13,IF(AND(TAF!Z14="PREDOM",E18&lt;TAF!AF14),TAF!BJ14,IF(AND(TAF!Z15="PREDOM",E18&lt;TAF!AF15),TAF!BJ15,IF(AND(TAF!Z16="PREDOM",E18&lt;TAF!AE16),TAF!BJ16,IF(AND(TAF!Z17="PREDOM",E18&lt;TAF!AF17),TAF!BJ17,IF(AND(TAF!Z18="PREDOM",E18&lt;TAF!AF18),TAF!BJ18))))))))))))</f>
        <v/>
      </c>
      <c r="AP18" s="910" t="str">
        <f>IF(AND(TAF!Z7="PREDOM",E18&lt;TAF!AF7),TAF!BK7,IF(AND(TAF!Z8="PREDOM",E18&lt;TAF!AF8),TAF!BK8,IF(AND(TAF!Z9="PREDOM",E18&lt;TAF!AF9),TAF!BK9,IF(AND(TAF!Z10="PREDOM",E18&lt;TAF!AF10),TAF!BK10,IF(AND(TAF!Z11="PREDOM",E18&lt;TAF!AF11),TAF!BK11,IF(AND(TAF!Z12="PREDOM",E18&lt;TAF!AF12),TAF!BK12,IF(AND(TAF!Z13="PREDOM",E18&lt;TAF!AF13),TAF!BK13,IF(AND(TAF!Z14="PREDOM",E18&lt;TAF!AF14),TAF!BK14,IF(AND(TAF!Z15="PREDOM",E18&lt;TAF!AF15),TAF!BK15,IF(AND(TAF!Z16="PREDOM",E18&lt;TAF!AE16),TAF!BK16,IF(AND(TAF!Z17="PREDOM",E18&lt;TAF!AF17),TAF!BK17,IF(AND(TAF!Z18="PREDOM",E18&lt;TAF!AF18),TAF!BK18))))))))))))</f>
        <v/>
      </c>
      <c r="AQ18" s="906" t="str">
        <f>IF(AND(TAF!Z7="PREDOM",E18&lt;TAF!AF7),TAF!BL7,IF(AND(TAF!Z8="PREDOM",E18&lt;TAF!AF8),TAF!BL8,IF(AND(TAF!Z9="PREDOM",E18&lt;TAF!AF9),TAF!BL9,IF(AND(TAF!Z10="PREDOM",E18&lt;TAF!AF10),TAF!BL10,IF(AND(TAF!Z11="PREDOM",E18&lt;TAF!AF11),TAF!BL11,IF(AND(TAF!Z12="PREDOM",E18&lt;TAF!AF12),TAF!BL12,IF(AND(TAF!Z13="PREDOM",E18&lt;TAF!AF13),TAF!BL13,IF(AND(TAF!Z14="PREDOM",E18&lt;TAF!AF14),TAF!BL14,IF(AND(TAF!Z15="PREDOM",E18&lt;TAF!AF15),TAF!BL15,IF(AND(TAF!Z16="PREDOM",E18&lt;TAF!AE16),TAF!BL16,IF(AND(TAF!Z17="PREDOM",E18&lt;TAF!AF17),TAF!BL17,IF(AND(TAF!Z18="PREDOM",E18&lt;TAF!AF18),TAF!BL18))))))))))))</f>
        <v/>
      </c>
      <c r="AR18" s="892" t="str">
        <f>IF(AND(TAF!Z7="PREDOM",E18&lt;TAF!AF7),TAF!BM7,IF(AND(TAF!Z8="PREDOM",E18&lt;TAF!AF8),TAF!BM8,IF(AND(TAF!Z9="PREDOM",E18&lt;TAF!AF9),TAF!BM9,IF(AND(TAF!Z10="PREDOM",E18&lt;TAF!AF10),TAF!BM10,IF(AND(TAF!Z11="PREDOM",E18&lt;TAF!AF11),TAF!BM11,IF(AND(TAF!Z12="PREDOM",E18&lt;TAF!AF12),TAF!BM12,IF(AND(TAF!Z13="PREDOM",E18&lt;TAF!AF13),TAF!BM13,IF(AND(TAF!Z14="PREDOM",E18&lt;TAF!AF14),TAF!BM14,IF(AND(TAF!Z15="PREDOM",E18&lt;TAF!AF15),TAF!BM15,IF(AND(TAF!Z16="PREDOM",E18&lt;TAF!AE16),TAF!BM16,IF(AND(TAF!Z17="PREDOM",E18&lt;TAF!AF17),TAF!BM17,IF(AND(TAF!Z18="PREDOM",E18&lt;TAF!AF18),TAF!BM18))))))))))))</f>
        <v/>
      </c>
      <c r="AS18" s="910" t="str">
        <f>IF(AND(TAF!Z7="PREDOM",E18&lt;TAF!AF7),TAF!BN7,IF(AND(TAF!Z8="PREDOM",E18&lt;TAF!AF8),TAF!BN8,IF(AND(TAF!Z9="PREDOM",E18&lt;TAF!AF9),TAF!BN9,IF(AND(TAF!Z10="PREDOM",E18&lt;TAF!AF10),TAF!BN10,IF(AND(TAF!Z11="PREDOM",E18&lt;TAF!AF11),TAF!BN11,IF(AND(TAF!Z12="PREDOM",E18&lt;TAF!AF12),TAF!BN12,IF(AND(TAF!Z13="PREDOM",E18&lt;TAF!AF13),TAF!BN13,IF(AND(TAF!Z14="PREDOM",E18&lt;TAF!AF14),TAF!BN14,IF(AND(TAF!Z15="PREDOM",E18&lt;TAF!AF15),TAF!BN15,IF(AND(TAF!Z16="PREDOM",E18&lt;TAF!AE16),TAF!BN16,IF(AND(TAF!Z17="PREDOM",E18&lt;TAF!AF17),TAF!BN17,IF(AND(TAF!Z18="PREDOM",E18&lt;TAF!AF18),TAF!BN18))))))))))))</f>
        <v/>
      </c>
      <c r="AT18" s="906" t="str">
        <f>IF(AND(TAF!Z7="PREDOM",E18&lt;TAF!AF7),TAF!BO7,IF(AND(TAF!Z8="PREDOM",E18&lt;TAF!AF8),TAF!BO8,IF(AND(TAF!Z9="PREDOM",E18&lt;TAF!AF9),TAF!BO9,IF(AND(TAF!Z10="PREDOM",E18&lt;TAF!AF10),TAF!BO10,IF(AND(TAF!Z11="PREDOM",E18&lt;TAF!AF11),TAF!BO11,IF(AND(TAF!Z12="PREDOM",E18&lt;TAF!AF12),TAF!BO12,IF(AND(TAF!Z13="PREDOM",E18&lt;TAF!AF13),TAF!BO13,IF(AND(TAF!Z14="PREDOM",E18&lt;TAF!AF14),TAF!BO14,IF(AND(TAF!Z15="PREDOM",E18&lt;TAF!AF15),TAF!BO15,IF(AND(TAF!Z16="PREDOM",E18&lt;TAF!AE16),TAF!BO16,IF(AND(TAF!Z17="PREDOM",E18&lt;TAF!AF17),TAF!BO17,IF(AND(TAF!Z18="PREDOM",E18&lt;TAF!AF18),TAF!BO18))))))))))))</f>
        <v/>
      </c>
      <c r="AU18" s="95" t="str">
        <f>IF(AND(TAF!Z7="TEMPO",NOT(E18+0.01&lt;TAF!AC7),E18-0.01&lt;TAF!AF7),TAF!BP7,IF(AND(TAF!Z8="TEMPO",NOT(E18+0.01&lt;TAF!AC8),E18-0.01&lt;TAF!AF8),TAF!BP8,IF(AND(TAF!Z9="TEMPO",NOT(E18+0.01&lt;TAF!AC9),E18-0.01&lt;TAF!AF9),TAF!BP9,IF(AND(TAF!Z10="TEMPO",NOT(E18+0.01&lt;TAF!AC10),E18-0.01&lt;TAF!AF10),TAF!BP10,IF(AND(TAF!Z11="TEMPO",NOT(E18+0.01&lt;TAF!AC11),E18-0.01&lt;TAF!AF11),TAF!BP11,IF(AND(TAF!Z12="TEMPO",NOT(E18+0.01&lt;TAF!AC12),E18-0.01&lt;TAF!AF12),TAF!BP12,IF(AND(TAF!Z13="TEMPO",NOT(E18+0.01&lt;TAF!AC13),E18-0.01&lt;TAF!AF13),TAF!BP13,IF(AND(TAF!Z14="TEMPO",NOT(E18+0.01&lt;TAF!AC14),E18-0.01&lt;TAF!AF14),TAF!BP14,IF(AND(TAF!Z15="TEMPO",NOT(E18+0.01&lt;TAF!AC15),E18-0.01&lt;TAF!AF15),TAF!BP15,IF(AND(TAF!Z16="TEMPO",NOT(E18+0.01&lt;TAF!AC16),E18-0.01&lt;TAF!AE16),TAF!BP16,IF(AND(TAF!Z17="TEMPO",NOT(E18+0.01&lt;TAF!AC17),E18-0.01&lt;TAF!AF17),TAF!BP17,IF(AND(TAF!Z18="TEMPO",NOT(E18+0.01&lt;TAF!AC18),E18-0.01&lt;TAF!AF18),TAF!BP18,""))))))))))))</f>
        <v/>
      </c>
      <c r="AV18" s="96" t="str">
        <f>IF(AND(TAF!Z7="PREDOM",E18&lt;TAF!AF7),TAF!CD7,IF(AND(TAF!Z8="PREDOM",E18&lt;TAF!AF8),TAF!CD8,IF(AND(TAF!Z9="PREDOM",E18&lt;TAF!AF9),TAF!CD9,IF(AND(TAF!Z10="PREDOM",E18&lt;TAF!AF10),TAF!CD10,IF(AND(TAF!Z11="PREDOM",E18&lt;TAF!AF11),TAF!CD11,IF(AND(TAF!Z12="PREDOM",E18&lt;TAF!AF12),TAF!CD12,IF(AND(TAF!Z13="PREDOM",E18&lt;TAF!AF13),TAF!CD13,IF(AND(TAF!Z14="PREDOM",E18&lt;TAF!AF14),TAF!CD14,IF(AND(TAF!Z15="PREDOM",E18&lt;TAF!AF15),TAF!CD15,IF(AND(TAF!Z16="PREDOM",E18&lt;TAF!AE16),TAF!CD16,IF(AND(TAF!Z17="PREDOM",E18&lt;TAF!AF17),TAF!CD17,IF(AND(TAF!Z18="PREDOM",E18&lt;TAF!AF18),TAF!CD18))))))))))))</f>
        <v/>
      </c>
      <c r="AW18" s="97" t="str">
        <f>IF(AND(TAF!Z7="TEMPO",NOT(E18+0.01&lt;TAF!AC7),E18-0.01&lt;TAF!AF7),TAF!CD7,IF(AND(TAF!Z8="TEMPO",NOT(E18+0.01&lt;TAF!AC8),E18-0.01&lt;TAF!AF8),TAF!CD8,IF(AND(TAF!Z9="TEMPO",NOT(E18+0.01&lt;TAF!AC9),E18-0.01&lt;TAF!AF9),TAF!CD9,IF(AND(TAF!Z10="TEMPO",NOT(E18+0.01&lt;TAF!AC10),E18-0.01&lt;TAF!AF10),TAF!CD10,IF(AND(TAF!Z11="TEMPO",NOT(E18+0.01&lt;TAF!AC11),E18-0.01&lt;TAF!AF11),TAF!CD11,IF(AND(TAF!Z12="TEMPO",NOT(E18+0.01&lt;TAF!AC12),E18-0.01&lt;TAF!AF12),TAF!CD12,IF(AND(TAF!Z13="TEMPO",NOT(E18+0.01&lt;TAF!AC13),E18-0.01&lt;TAF!AF13),TAF!CD13,IF(AND(TAF!Z14="TEMPO",NOT(E18+0.01&lt;TAF!AC14),E18-0.01&lt;TAF!AF14),TAF!CD14,IF(AND(TAF!Z15="TEMPO",NOT(E18+0.01&lt;TAF!AC15),E18-0.01&lt;TAF!AF15),TAF!CD15,IF(AND(TAF!Z16="TEMPO",NOT(E18+0.01&lt;TAF!AC16),E18-0.01&lt;TAF!AE16),TAF!CD16,IF(AND(TAF!Z17="TEMPO",NOT(E18+0.01&lt;TAF!AC17),E18-0.01&lt;TAF!AF17),TAF!CD17,IF(AND(TAF!Z18="TEMPO",NOT(E18+0.01&lt;TAF!AC18),E18-0.01&lt;TAF!AF18),TAF!CD18,""))))))))))))</f>
        <v/>
      </c>
      <c r="AX18" s="98" t="str">
        <f>IF(OR(AND(H18&lt;&gt;"",H18&gt;(MLT!$E$5-1)),J18&lt;(MLT!$E$8+0.01),L18="TS",O18="TS",R18&lt;(MLT!$E$9),AND(AB18&lt;&gt;"",AB18&gt;(MLT!$E$6-1)),AL18=MLT!$E$7,AL18=MLT!$F$7),"R",IF(OR(AND(H18&lt;&gt;"",H18&gt;(MLT!$H$5-1)),AND(I18&lt;&gt;"",I18&gt;(MLT!$H$5-1)),J18&lt;MLT!$H$8,K18&lt;MLT!$H$8,L18=MLT!$H$10,O18=MLT!$E$10,O18=MLT!$H$10,R18&lt;MLT!$H$9,S18&lt;MLT!$H$9,AND(AB18&lt;&gt;"",AB18&gt;0),AND(AE18&lt;&gt;"",AE18&gt;0),AND(AH18&lt;&gt;"",AH18&gt;0),AND(AK18&lt;&gt;"",AK18&gt;0),AND(AL18&lt;&gt;"",AL18&lt;&gt;4,AL18&gt;2),AND(AO18&lt;&gt;"",AO18&lt;&gt;4,AO18&gt;2),AND(AR18&lt;&gt;"",AR18&lt;&gt;4,AR18&gt;2),AND(AU18&lt;&gt;"",AU18&lt;&gt;4,AU18&gt;2)),"Y","G"))</f>
        <v>R</v>
      </c>
      <c r="AY18" s="99" t="str">
        <f>IF(OR(AND(H18&lt;&gt;"",H18&gt;(MLT!$E$13-1)),J18&lt;MLT!$E$17,R18&lt;MLT!$E$19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$13-1)),AND(I18&lt;&gt;"",I18&gt;(MLT!$H$13-1)),J18&lt;MLT!$H$17,K18&lt;MLT!$H$17,R18&lt;MLT!$H$19,S18&lt;MLT!$H$19,L18="VCTS",O18="VCTS",AND(AB18&lt;&gt;"",AB18&gt;1),AND(AK18&lt;&gt;"",AK18&gt;0),AND(AL18&lt;&gt;"",AL18&gt;1),AND(AO18&lt;&gt;"",AO18&gt;1),AND(AR18&lt;&gt;"",AR18&gt;1),AU18=3,AND(AU18&lt;&gt;"",AU18&gt;4),AV18="LLWS",AW18="LLWS"),"Y","G"))</f>
        <v>R</v>
      </c>
      <c r="AZ18" s="99" t="str">
        <f>IF(OR(AND(H18&lt;&gt;"",H18&gt;(MLT!$E$13-1)),J18&lt;MLT!$E$16,R18&lt;MLT!$E$18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$13-1)),AND(I18&lt;&gt;"",I18&gt;(MLT!$H$13-1)),J18&lt;MLT!$H$17,K18&lt;MLT!$H$17,R18&lt;MLT!$H$19,S18&lt;MLT!$H$19,L18="VCTS",O18="VCTS",AND(AB18&lt;&gt;"",AB18&gt;1),AND(AK18&lt;&gt;"",AK18&gt;0),AND(AL18&lt;&gt;"",AL18&gt;1),AND(AO18&lt;&gt;"",AO18&gt;1),AND(AR18&lt;&gt;"",AR18&gt;1),AU18=3,AND(AU18&lt;&gt;"",AU18&gt;4),AV18="LLWS",AW18="LLWS"),"Y","G"))</f>
        <v>R</v>
      </c>
      <c r="BA18" s="99" t="str">
        <f>IF(OR(IF(MEF!$AP$14="Hoist",OR(G18&gt;19,AND(H18&lt;&gt;"",H18&gt;19)),AND(H18&lt;&gt;"",H18&gt;(MLT!$E$23-1))),AND(B18&gt;MEF!$Z$11,J18&lt;MLT!$E$26),AND(B18&lt;MEF!$E$53,J18&lt;MLT!$E$26),J18&lt;MLT!$E$27,AND(B18&gt;MEF!$Z$11,R18&lt;MLT!$E$28),AND(B18&lt;MEF!$E$53,R18&lt;MLT!$E$28),R18&lt;MLT!$E$29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H$23-1)),AND(I18&lt;&gt;"",I18&gt;(MLT!$H$23-1)),AND(B18&gt;MEF!$Z$11,J18&lt;MLT!$H$26),AND(B18&lt;MEF!$E$53,J18&lt;MLT!$H$26),AND(B18&gt;MEF!$Z$11,K18&lt;MLT!$H$26),AND(B18&lt;MEF!$E$53,K18&lt;MLT!$H$26),J18&lt;MLT!$H$27,K18&lt;MLT!$H$27,AND(B18&gt;MEF!$Z$11,R18&lt;MLT!$H$28),AND(B18&lt;MEF!$E$53,R18&lt;MLT!$H$28),AND(B18&gt;MEF!$Z$11,S18&lt;MLT!$H$28),AND(B18&lt;MEF!$E$53,S18&lt;MLT!$H$28),R18&lt;MLT!$H$29,S18&lt;MLT!$H$29,L18="VCTS",O18="VCTS",U18&gt;90,U18&lt;-29,AB18&lt;&gt;"",AK18&lt;&gt;"",AND(AL18&lt;&gt;"",AL18&gt;1),AND(AO18&lt;&gt;"",AO18&gt;1),AND(AR18&lt;&gt;"",AR18&gt;1),AU18=3,AND(AU18&lt;&gt;"",AU18&gt;4),AV18="LLWS",AW18="LLWS"),"Y","G"))</f>
        <v>R</v>
      </c>
      <c r="BB18" s="99" t="str">
        <f>IF(OR(AND(H18&lt;&gt;"",H18&gt;(MLT!$E$23-1)),AND(B18&gt;MEF!$Z$11,J18&lt;MLT!$F$26),AND(B18&lt;MEF!$E$53,J18&lt;MLT!$F$26),J18&lt;MLT!$F$27,AND(B18&gt;MEF!$Z$11,R18&lt;MLT!$F$28),AND(B18&lt;MEF!$E$53,R18&lt;MLT!$F$28),R18&lt;MLT!$F$29,L18="TS",O18="TS",AND(AB18&lt;&gt;"",AB18&gt;3,AC18&lt;30),AND(AE18&lt;&gt;"",AE18&gt;3,AF18&lt;30),AND(AH18&lt;&gt;"",AH18&gt;3,AI18&lt;30),AND(OR(AL18=7,AL18=9),AM18&lt;30),AND(OR(AO18=7,AO18=9),AP18&lt;30),AND(OR(AR18=7,AR18=9),AS18&lt;30)),"R",IF(OR(AND(H18&lt;&gt;"",H18&gt;(MLT!$I$23-1)),AND(I18&lt;&gt;"",I18&gt;(MLT!$I$23-1)),AND(B18&gt;MEF!$Z$11,J18&lt;MLT!$I$26),AND(B18&lt;MEF!$E$53,J18&lt;MLT!$I$26),AND(B18&gt;MEF!$Z$11,K18&lt;MLT!$I$26),AND(B18&lt;MEF!$E$53,K18&lt;MLT!$I$26),J18&lt;MLT!$I$27,K18&lt;MLT!$I$27,AND(B18&gt;MEF!$Z$11,R18&lt;MLT!$I$28),AND(B18&lt;MEF!$E$53,R18&lt;MLT!$I$28),AND(B18&gt;MEF!$Z$11,S18&lt;MLT!$I$28),AND(B18&lt;MEF!$E$53,S18&lt;MLT!$I$28),R18&lt;MLT!$I$29,S18&lt;MLT!$I$29,L18="VCTS",O18="VCTS",U18&gt;94,U18&lt;-29,AB18&lt;&gt;"",AK18&lt;&gt;"",AND(AL18&lt;&gt;"",AL18&gt;1),AND(AO18&lt;&gt;"",AO18&gt;1),AND(AR18&lt;&gt;"",AR18&gt;1),AU18=3,AND(AU18&lt;&gt;"",AU18&gt;4),AV18="LLWS",AW18="LLWS",CE18&lt;30,AND(CJ18&lt;25,CJ18&lt;&gt;0)),"Y","G"))</f>
        <v>R</v>
      </c>
      <c r="BC18" s="99" t="str">
        <f>IF(OR(G18&gt;(MLT!F$35-1),AND(H18&lt;&gt;"",H18&gt;(MLT!E$35-1)),J18&lt;MLT!E$38,R18&lt;MLT!E$39,L18="TS",O18="TS",N18="Y",T18&gt;50.49,T18&lt;-20.5,W18&gt;0.9449,AA18&gt;8999,AND(AB18&lt;&gt;"",AB18&gt;0),AND(AL18&lt;&gt;"",AL18&gt;1)),"R",IF(OR(G18&gt;(MLT!I$35-1),AND(H18&lt;&gt;"",H18&gt;(MLT!H$35-1)),AND(I18&lt;&gt;"",I18&gt;(MLT!H$35-1)),J18&lt;MLT!H$38,K18&lt;MLT!H$38,M18&lt;&gt;"",P18&lt;&gt;"",R18&lt;MLT!H$39,S18&lt;MLT!H$39,L18="VCTS",O18="VCTS",T18&gt;45.49,T18&lt;-14,W18&gt;0.8449,AA18&gt;6999,AND(AB18&lt;&gt;"",AB18&gt;0),AND(AK18&lt;&gt;"",AK18&gt;0),AND(AL18&lt;&gt;"",AL18&gt;0),AND(AU18&lt;&gt;"",AU18&gt;0),AV18="LLWS",AW18="LLWS"),"Y","G"))</f>
        <v>R</v>
      </c>
      <c r="BD18" s="98" t="str">
        <f>IF(OR(AND(NOT(H18=""),H18&gt;(MLT!E48-1)),AND(NOT(I18=""),I18&gt;(MLT!E48-1)),J18&lt;0.26,NOT(L18=""),U18&lt;14.5,AND(X5="Wind Chill",X18&lt;-0.5),AND(X5="WBGT",X18&gt;89.49)),"R",IF(OR(AND(NOT(H18=""),H18&gt;(MLT!H48-1)),AND(NOT(I18=""),I18&gt;(MLT!H48-1)),J18&lt;1,NOT(M18=""),NOT(P18=""),NOT(O18=""),U18&lt;31.5,AND(X5="Wind Chill",X18&lt;14.5),AND(X5="WBGT",X18&gt;77.49)),"Y","G"))</f>
        <v>Y</v>
      </c>
      <c r="BE18" s="99" t="str">
        <f>IF(OR(AND(H18&lt;&gt;"",H18&gt;(MLT!$E$56)),J18&lt;MLT!$E$59,R18&lt;MLT!$E$60,L18="TS",O18="TS",AND(AB18&lt;&gt;"",AC18&lt;30),AND(AE18&lt;&gt;"",AF18&lt;30),AND(AH18&lt;&gt;"",AI18&lt;30),AND(AL18&lt;&gt;"",AL18&gt;0,AM18&lt;30),AND(AO18&lt;&gt;"",AO18&gt;0,AP18&lt;30),AND(AR18&lt;&gt;"",AR18&gt;0,AS18&lt;30)),"R",IF(OR(AND(H18&lt;&gt;"",H18&gt;MLT!$H$56),AND(I18&lt;&gt;"",I18&gt;MLT!$H$56),J18&lt;MLT!$H$59,K18&lt;MLT!$H$59,R18&lt;MLT!$H$60,S18&lt;MLT!$H$60,L18="VCTS",O18="VCTS",AB18&lt;&gt;"",AK18&lt;&gt;"",AL18&lt;&gt;"",AU18&lt;&gt;"",AV18="LLWS",AW18="LLWS"),"Y","G"))</f>
        <v>R</v>
      </c>
      <c r="BF18" s="99" t="str">
        <f>IF(OR(AND(H18&lt;&gt;"",H18&gt;(MLT!$E$64)),L18="TS",O18="TS",AND(AB18&lt;&gt;"",AB18&gt;3,AC18&lt;30),AND(AE18&lt;&gt;"",AE18&gt;3,AF18&lt;30),AND(AH18&lt;&gt;"",AH18&gt;3,AI18&lt;30),AND(AL18=7,AM18&lt;30),AND(AL18=9,AM18&lt;30),AND(AO18=7,AP18&lt;30),AND(AO18=9,AP18&lt;30),AND(AR18=7,AS18&lt;30),AND(AR18=9,AS18&lt;30)),"R",IF(OR(AND(H18&lt;&gt;"",H18&gt;MLT!$H$64),AND(I18&lt;&gt;"",I18&gt;MLT!$H$64),J18&lt;MLT!$H$67,K18&lt;MLT!$H$67,R18&lt;MLT!$H$68,S18&lt;MLT!$H$68,L18="VCTS",O18="VCTS",calc!U18&gt;90,U18&lt;-29,AB18&lt;&gt;"",AK18&lt;&gt;"",AND(AL18&lt;&gt;"",AL18&gt;1),AND(AO18&lt;&gt;"",AO18&gt;1),AND(AR18&lt;&gt;"",AR18&gt;1),AND(AU18&lt;&gt;"",AU18&gt;1),AV18="LLWS",AW18="LLWS"),"Y","G"))</f>
        <v>R</v>
      </c>
      <c r="BG18" s="98" t="str">
        <f>IF(OR(AND(H18&lt;&gt;"",H18&gt;(MLT!$E$73)),L18="TS",O18="TS",AND(AB18&lt;&gt;"",AC18&lt;30),AND(AE18&lt;&gt;"",AF18&lt;30),AND(AH18&lt;&gt;"",AI18&lt;30),AND(AL18=3,AM18&lt;30),AND(AL18&lt;&gt;"",AL18&gt;4,AM18&lt;30),AND(AO18=3,AP18&lt;30),AND(AO18&lt;&gt;"",AO18&gt;4,AP18&lt;30),AND(AR18=3,AS18&lt;30),AND(AR18&lt;&gt;"",AR18&gt;4,AS18&lt;30)),"R",IF(OR(AND(H18&lt;&gt;"",H18&gt;MLT!$H$73),AND(I18&lt;&gt;"",I18&gt;MLT!$H$73),J18&lt;MLT!$H$76,K18&lt;MLT!$H$76,R18&lt;MLT!$H$77,S18&lt;MLT!$H$77,L18="VCTS",O18="VCTS",AB18&lt;&gt;"",AK18&lt;&gt;"",AL18&lt;&gt;"",AU18&lt;&gt;"",AV18="LLWS",AW18="LLWS"),"Y","G"))</f>
        <v>R</v>
      </c>
      <c r="BH18" s="98" t="str">
        <f>IF(OR(IF(H18="",G18,H18)&gt;MLT!$E$81,IF(H18="",G18,H18)-G18&gt;19,IF(F18="VRB",FALSE(),(IF(AND(F18&gt;89,F18&lt;271),SIN(RADIANS(MAX(180,F18)-MIN(180,F18))),SIN(RADIANS(IF(F18&gt;269,360-F18,F18)))))*(IF(H18="",G18,H18))&gt;MLT!$E$82),J18&lt;MLT!$E$86,L18="TS",L18="VCTS",O18="TS",R18&lt;MLT!$E$87,U18&gt;MLT!$E$88,AND(AB18&lt;&gt;"",AB18&gt;3,AC18&lt;100),AND(AE18&lt;&gt;"",AE18&gt;3,AF18&lt;100),AND(AH18&lt;&gt;"",AH18&gt;3,AI18&lt;100),AND(AL18=7,AM18&lt;100),AND(AL18=9,AM18&lt;100),AND(AO18=7,AP18&lt;100),AND(AO18=9,AP18&lt;100),AND(AR18=7,AS18&lt;100),AND(AR18=9,AS18&lt;100),AV18="LLWS"),"R",IF(OR(AND(H18&lt;&gt;"",H18&gt;14),IF(F18="VRB",FALSE(),(IF(AND(F18&gt;89,F18&lt;271),SIN(RADIANS(MAX(180,F18)-MIN(180,F18))),SIN(RADIANS(IF(F18&gt;269,360-F18,F18)))))*(IF(H18="",G18,H18))&gt;MLT!$H$82),AND(I18&lt;&gt;"",I18&gt;14),J18&lt;MLT!$H$86,K18&lt;MLT!$H$86,R18&lt;MLT!$H$87,S18&lt;MLT!$H$87,O18="VCTS",calc!U18&gt;90,AB18&lt;&gt;"",AK18&lt;&gt;"",AND(AL18&lt;&gt;"",AL18&gt;1),AND(AO18&lt;&gt;"",AO18&gt;1),AND(AR18&lt;&gt;"",AR18&gt;1),AND(AU18&lt;&gt;"",AU18&gt;1),AW18="LLWS"),"Y","G"))</f>
        <v>R</v>
      </c>
      <c r="BI18" s="98" t="str">
        <f>IF(OR(IF(H18="",G18,H18)&gt;MLT!$E$92,J18&lt;MLT!$E$95,L18="TS",L18="VCTS",O18="TS",R18&lt;MLT!$E$96,AND(AB18&lt;&gt;"",AB18&gt;3,AC18&lt;100),AND(AE18&lt;&gt;"",AE18&gt;3,AF18&lt;100),AND(AH18&lt;&gt;"",AH18&gt;3,AI18&lt;100),AND(AL18=7,AM18&lt;100),AND(AL18=9,AM18&lt;100),AND(AO18=7,AP18&lt;100),AND(AO18=9,AP18&lt;100),AND(AR18=7,AS18&lt;100),AND(AR18=9,AS18&lt;100)),"R",IF(OR(AND(H18&lt;&gt;"",H18&gt;14),AND(I18&lt;&gt;"",I18&gt;14),J18&lt;MLT!$H$95,K18&lt;MLT!$H$95,R18&lt;MLT!$H$96,S18&lt;MLT!$H$96,O18="VCTS",AB18&lt;&gt;"",AK18&lt;&gt;"",AND(AL18&lt;&gt;"",AL18&gt;1),AND(AO18&lt;&gt;"",AO18&gt;1),AND(AR18&lt;&gt;"",AR18&gt;1),AND(AU18&lt;&gt;"",AU18&gt;1),AV18="LLWS",AW18="LLWS"),"Y","G"))</f>
        <v>R</v>
      </c>
      <c r="BK18" s="41">
        <f t="shared" si="4"/>
        <v>27.069405925961838</v>
      </c>
      <c r="BL18" s="41">
        <f t="shared" si="5"/>
        <v>27.069405925961838</v>
      </c>
      <c r="BM18" s="41">
        <f>IF(R18&gt;200,T18+(LOOKUP(Worksheet!BD6,BV8:BV10,BW8:BW10)*(CA18/BZ18)),IF(AND(R18&lt;210,R18&gt;29),T18+(0.5*LOOKUP(Worksheet!BD6,BV8:BV10,BW8:BW10)*(CA18/BZ18)),T18+0.25*(LOOKUP(Worksheet!BD6,BV8:BV10,BW8:BW10)*(CA18/BZ18))))</f>
        <v>37.690260745598181</v>
      </c>
      <c r="BN18" s="41">
        <f t="shared" si="6"/>
        <v>37.017695559198636</v>
      </c>
      <c r="BO18" s="42">
        <f t="shared" si="7"/>
        <v>23.333333333333336</v>
      </c>
      <c r="BP18" s="43">
        <f t="shared" si="8"/>
        <v>98.522820360464223</v>
      </c>
      <c r="BQ18" s="44">
        <f t="shared" si="9"/>
        <v>2.870131853774168</v>
      </c>
      <c r="BR18" s="42">
        <f t="shared" si="17"/>
        <v>47.289600224209877</v>
      </c>
      <c r="BS18" s="42">
        <f t="shared" si="10"/>
        <v>45.577616113374674</v>
      </c>
      <c r="BT18" s="42">
        <f t="shared" si="11"/>
        <v>45.577616113374674</v>
      </c>
      <c r="BU18" s="42"/>
      <c r="BV18" s="1610"/>
      <c r="BW18" s="835"/>
      <c r="BX18" s="106">
        <f>DEGREES(ASIN(BY18*COS(RADIANS(LOOKUP(Worksheet!Q6,'Light Data '!A3:A377,'Light Data '!J3:J377)))*COS(RADIANS(Worksheet!R2))+SIN(RADIANS(LOOKUP(Worksheet!Q6,'Light Data '!A3:A377,'Light Data '!J3:J377)))*SIN(RADIANS(Worksheet!R2))))</f>
        <v>22.901826754555593</v>
      </c>
      <c r="BY18" s="515">
        <f>COS(RADIANS(15*((MAX(CF5,(HOUR(C18)/24))-MIN(CF5,(HOUR(C18)/24)))*24)))</f>
        <v>0.21004518132586672</v>
      </c>
      <c r="BZ18" s="516">
        <f>IF(BX18&lt;0,0.1,((128*10^3)*(1+0.033412*COS(2*PI()*(((CH4-CH3)-3)/365)))))</f>
        <v>123724.68965631575</v>
      </c>
      <c r="CA18" s="516">
        <f>IF(BX18&lt;0,0,((128*10^3)*(1+0.033412*COS(2*PI()*(((CH4-CH3)-3)/365))))*POWER(EXP(1),0-(CB18*(1/(SIN(RADIANS(BX18+(244/(165+47*(POWER(BX18,1.1)))))))))))</f>
        <v>60518.486517037069</v>
      </c>
      <c r="CB18" s="389">
        <f t="shared" si="12"/>
        <v>0.28000000000000003</v>
      </c>
      <c r="CC18" s="112">
        <f t="shared" si="24"/>
        <v>48.349798385667377</v>
      </c>
      <c r="CD18" s="112" t="str">
        <f t="shared" si="19"/>
        <v>(48)</v>
      </c>
      <c r="CE18" s="112">
        <f t="shared" si="20"/>
        <v>99</v>
      </c>
      <c r="CF18" s="66" t="str">
        <f t="shared" si="21"/>
        <v>U1</v>
      </c>
      <c r="CI18" s="834">
        <f>INDEX('Light Data '!$H$3:$H$381,MATCH(ROUNDDOWN(C18,0),'Light Data '!$A$3:$A$381,0))-(((INDEX('Light Data '!$H$3:$H$381,MATCH(ROUNDDOWN(C18,0),'Light Data '!$A$3:$A$381,0))-(INDEX('Light Data '!$H$3:$H$381,MATCH(ROUNDDOWN(C18,0)+1,'Light Data '!$A$3:$A$381,0))))/24)*HOUR(C18))</f>
        <v>48.916666666666664</v>
      </c>
      <c r="CJ18" s="834" t="str">
        <f t="shared" si="22"/>
        <v>NA</v>
      </c>
    </row>
    <row r="19" spans="1:88" ht="15" customHeight="1" thickTop="1" thickBot="1">
      <c r="A19" s="528">
        <f t="shared" si="23"/>
        <v>20</v>
      </c>
      <c r="B19" s="526">
        <f t="shared" si="1"/>
        <v>2000</v>
      </c>
      <c r="C19" s="3640">
        <f>Worksheet!AD79</f>
        <v>44748.833333333328</v>
      </c>
      <c r="D19" s="3640"/>
      <c r="E19" s="521">
        <f>Worksheet!AF79</f>
        <v>44749</v>
      </c>
      <c r="F19" s="77" t="str">
        <f>IF(AND(TAF!Z7="PREDOM",E19&lt;TAF!AF7),TAF!AH7,IF(AND(TAF!Z8="PREDOM",E19&lt;TAF!AF8),TAF!AH8,IF(AND(TAF!Z9="PREDOM",E19&lt;TAF!AF9),TAF!AH9,IF(AND(TAF!Z10="PREDOM",E19&lt;TAF!AF10),TAF!AH10,IF(AND(TAF!Z11="PREDOM",E19&lt;TAF!AF11),TAF!AH11,IF(AND(TAF!Z12="PREDOM",E19&lt;TAF!AF12),TAF!AH12,IF(AND(TAF!Z13="PREDOM",E19&lt;TAF!AF13),TAF!AH13,IF(AND(TAF!Z14="PREDOM",E19&lt;TAF!AF14),TAF!AH14,IF(AND(TAF!Z15="PREDOM",E19&lt;TAF!AF15),TAF!AH15,IF(AND(TAF!Z16="PREDOM",E19&lt;TAF!AE16),TAF!AH16,IF(AND(TAF!Z17="PREDOM",E19&lt;TAF!AF17),TAF!AH17,IF(AND(TAF!Z18="PREDOM",E19&lt;TAF!AF18),TAF!AH18))))))))))))</f>
        <v>240</v>
      </c>
      <c r="G19" s="78">
        <f>IF(AND(TAF!Z7="PREDOM",E19&lt;TAF!AF7),TAF!AI7,IF(AND(TAF!Z8="PREDOM",E19&lt;TAF!AF8),TAF!AI8,IF(AND(TAF!Z9="PREDOM",E19&lt;TAF!AF9),TAF!AI9,IF(AND(TAF!Z10="PREDOM",E19&lt;TAF!AF10),TAF!AI10,IF(AND(TAF!Z11="PREDOM",E19&lt;TAF!AF11),TAF!AI11,IF(AND(TAF!Z12="PREDOM",E19&lt;TAF!AF12),TAF!AI12,IF(AND(TAF!Z13="PREDOM",E19&lt;TAF!AF13),TAF!AI13,IF(AND(TAF!Z14="PREDOM",E19&lt;TAF!AF14),TAF!AI14,IF(AND(TAF!Z15="PREDOM",E19&lt;TAF!AF15),TAF!AI15,IF(AND(TAF!Z16="PREDOM",E19&lt;TAF!AE16),TAF!AI16,IF(AND(TAF!Z17="PREDOM",E19&lt;TAF!AF17),TAF!AI17,IF(AND(TAF!Z18="PREDOM",E19&lt;TAF!AF18),TAF!AI18))))))))))))</f>
        <v>10</v>
      </c>
      <c r="H19" s="79" t="str">
        <f>IF(AND(TAF!Z7="PREDOM",E19&lt;TAF!AF7),TAF!AJ7,IF(AND(TAF!Z8="PREDOM",E19&lt;TAF!AF8),TAF!AJ8,IF(AND(TAF!Z9="PREDOM",E19&lt;TAF!AF9),TAF!AJ9,IF(AND(TAF!Z10="PREDOM",E19&lt;TAF!AF10),TAF!AJ10,IF(AND(TAF!Z11="PREDOM",E19&lt;TAF!AF11),TAF!AJ11,IF(AND(TAF!Z12="PREDOM",E19&lt;TAF!AF12),TAF!AJ12,IF(AND(TAF!Z13="PREDOM",E19&lt;TAF!AF13),TAF!AJ13,IF(AND(TAF!Z14="PREDOM",E19&lt;TAF!AF14),TAF!AJ14,IF(AND(TAF!Z15="PREDOM",E19&lt;TAF!AF15),TAF!AJ15,IF(AND(TAF!Z16="PREDOM",E19&lt;TAF!AE16),TAF!AJ16,IF(AND(TAF!Z17="PREDOM",E19&lt;TAF!AF17),TAF!AJ17,IF(AND(TAF!Z18="PREDOM",E19&lt;TAF!AF18),TAF!AJ18))))))))))))</f>
        <v/>
      </c>
      <c r="I19" s="80">
        <f>IF(AND(TAF!Z7="TEMPO",NOT(E19+0.01&lt;TAF!AC7),E19&lt;TAF!AF7),TAF!AJ7,IF(AND(TAF!Z8="TEMPO",NOT(E19+0.01&lt;TAF!AC8),E19&lt;TAF!AF8),TAF!AJ8,IF(AND(TAF!Z9="TEMPO",NOT(E19+0.01&lt;TAF!AC9),E19&lt;TAF!AF9),TAF!AJ9,IF(AND(TAF!Z10="TEMPO",NOT(E19+0.01&lt;TAF!AC10),E19&lt;TAF!AF10),TAF!AJ10,IF(AND(TAF!Z11="TEMPO",NOT(E19+0.01&lt;TAF!AC11),E19&lt;TAF!AF11),TAF!AJ11,IF(AND(TAF!Z12="TEMPO",NOT(E19+0.01&lt;TAF!AC12),E19&lt;TAF!AF12),TAF!AJ12,IF(AND(TAF!Z13="TEMPO",NOT(E19+0.01&lt;TAF!AC13),E19&lt;TAF!AF13),TAF!AJ13,IF(AND(TAF!Z14="TEMPO",NOT(E19+0.01&lt;TAF!AC14),E19&lt;TAF!AF14),TAF!AJ14,IF(AND(TAF!Z15="TEMPO",NOT(E19+0.01&lt;TAF!AC15),E19&lt;TAF!AF15),TAF!AJ15,IF(AND(TAF!Z16="TEMPO",NOT(E19+0.01&lt;TAF!AC16),E19&lt;TAF!AE16),TAF!AJ16,IF(AND(TAF!Z17="TEMPO",NOT(E19+0.01&lt;TAF!AC17),E19&lt;TAF!AF17),TAF!AJ17,IF(AND(TAF!Z18="TEMPO",NOT(E19+0.01&lt;TAF!AC18),E19&lt;TAF!AF18),TAF!AJ18,""))))))))))))</f>
        <v>20</v>
      </c>
      <c r="J19" s="81">
        <f>IF(AND(TAF!Z7="PREDOM",E19&lt;TAF!AF7),TAF!AN7,IF(AND(TAF!Z8="PREDOM",E19&lt;TAF!AF8),TAF!AN8,IF(AND(TAF!Z9="PREDOM",E19&lt;TAF!AF9),TAF!AN9,IF(AND(TAF!Z10="PREDOM",E19&lt;TAF!AF10),TAF!AN10,IF(AND(TAF!Z11="PREDOM",E19&lt;TAF!AF11),TAF!AN11,IF(AND(TAF!Z12="PREDOM",E19&lt;TAF!AF12),TAF!AN12,IF(AND(TAF!Z13="PREDOM",E19&lt;TAF!AF13),TAF!AN13,IF(AND(TAF!Z14="PREDOM",E19&lt;TAF!AF14),TAF!AN14,IF(AND(TAF!Z15="PREDOM",E19&lt;TAF!AF15),TAF!AN15,IF(AND(TAF!Z16="PREDOM",E19&lt;TAF!AE16),TAF!AN16,IF(AND(TAF!Z17="PREDOM",E19&lt;TAF!AF17),TAF!AN17,IF(AND(TAF!Z18="PREDOM",E19&lt;TAF!AF18),TAF!AN18))))))))))))</f>
        <v>7</v>
      </c>
      <c r="K19" s="82">
        <f>IF(AND(TAF!Z7="TEMPO",NOT(E19+0.01&lt;TAF!AC7),E19-0.01&lt;TAF!AF7),TAF!AN7,IF(AND(TAF!Z8="TEMPO",NOT(E19+0.01&lt;TAF!AC8),E19-0.01&lt;TAF!AF8),TAF!AN8,IF(AND(TAF!Z9="TEMPO",NOT(E19+0.01&lt;TAF!AC9),E19-0.01&lt;TAF!AF9),TAF!AN9,IF(AND(TAF!Z10="TEMPO",NOT(E19+0.01&lt;TAF!AC10),E19-0.01&lt;TAF!AF10),TAF!AN10,IF(AND(TAF!Z11="TEMPO",NOT(E19+0.01&lt;TAF!AC11),E19-0.01&lt;TAF!AF11),TAF!AN11,IF(AND(TAF!Z12="TEMPO",NOT(E19+0.01&lt;TAF!AC12),E19-0.01&lt;TAF!AF12),TAF!AN12,IF(AND(TAF!Z13="TEMPO",NOT(E19+0.01&lt;TAF!AC13),E19-0.01&lt;TAF!AF13),TAF!AN13,IF(AND(TAF!Z14="TEMPO",NOT(E19+0.01&lt;TAF!AC14),E19-0.01&lt;TAF!AF14),TAF!AN14,IF(AND(TAF!Z15="TEMPO",NOT(E19+0.01&lt;TAF!AC15),E19-0.01&lt;TAF!AF15),TAF!AN15,IF(AND(TAF!Z16="TEMPO",NOT(E19+0.01&lt;TAF!AC16),E19-0.01&lt;TAF!AE16),TAF!AN16,IF(AND(TAF!Z17="TEMPO",NOT(E19+0.01&lt;TAF!AC17),E19-0.01&lt;TAF!AF17),TAF!AN17,IF(AND(TAF!Z18="TEMPO",NOT(E19+0.01&lt;TAF!AC18),E19-0.01&lt;TAF!AF18),TAF!AN18,""))))))))))))</f>
        <v>3</v>
      </c>
      <c r="L19" s="83" t="str">
        <f t="shared" si="13"/>
        <v/>
      </c>
      <c r="M19" s="84" t="str">
        <f>IF(AND(TAF!Z7="PREDOM",E19&lt;TAF!AF7),TAF!AP7,IF(AND(TAF!Z8="PREDOM",E19&lt;TAF!AF8),TAF!AP8,IF(AND(TAF!Z9="PREDOM",E19&lt;TAF!AF9),TAF!AP9,IF(AND(TAF!Z10="PREDOM",E19&lt;TAF!AF10),TAF!AP10,IF(AND(TAF!Z11="PREDOM",E19&lt;TAF!AF11),TAF!AP11,IF(AND(TAF!Z12="PREDOM",E19&lt;TAF!AF12),TAF!AP12,IF(AND(TAF!Z13="PREDOM",E19&lt;TAF!AF13),TAF!AP13,IF(AND(TAF!Z14="PREDOM",E19&lt;TAF!AF14),TAF!AP14,IF(AND(TAF!Z15="PREDOM",E19&lt;TAF!AF15),TAF!AP15,IF(AND(TAF!Z16="PREDOM",E19&lt;TAF!AE16),TAF!AP16,IF(AND(TAF!Z17="PREDOM",E19&lt;TAF!AF17),TAF!AP17,IF(AND(TAF!Z18="PREDOM",E19&lt;TAF!AF18),TAF!AP18))))))))))))</f>
        <v/>
      </c>
      <c r="N19" s="85" t="str">
        <f t="shared" si="14"/>
        <v>N</v>
      </c>
      <c r="O19" s="85" t="str">
        <f t="shared" si="15"/>
        <v>TS</v>
      </c>
      <c r="P19" s="84" t="str">
        <f>IF(AND(TAF!Z7="TEMPO",NOT(E19+0.01&lt;TAF!AC7),E19-0.01&lt;TAF!AF7),TAF!AP7,IF(AND(TAF!Z8="TEMPO",NOT(E19+0.01&lt;TAF!AC8),E19-0.01&lt;TAF!AF8),TAF!AP8,IF(AND(TAF!Z9="TEMPO",NOT(E19+0.01&lt;TAF!AC9),E19-0.01&lt;TAF!AF9),TAF!AP9,IF(AND(TAF!Z10="TEMPO",NOT(E19+0.01&lt;TAF!AC10),E19-0.01&lt;TAF!AF10),TAF!AP10,IF(AND(TAF!Z11="TEMPO",NOT(E19+0.01&lt;TAF!AC11),E19-0.01&lt;TAF!AF11),TAF!AP11,IF(AND(TAF!Z12="TEMPO",NOT(E19+0.01&lt;TAF!AC12),E19-0.01&lt;TAF!AF12),TAF!AP12,IF(AND(TAF!Z13="TEMPO",NOT(E19+0.01&lt;TAF!AC13),E19-0.01&lt;TAF!AF13),TAF!AP13,IF(AND(TAF!Z14="TEMPO",NOT(E19+0.01&lt;TAF!AC14),E19-0.01&lt;TAF!AF14),TAF!AP14,IF(AND(TAF!Z15="TEMPO",NOT(E19+0.01&lt;TAF!AC15),E19-0.01&lt;TAF!AF15),TAF!AP15,IF(AND(TAF!Z16="TEMPO",NOT(E19+0.01&lt;TAF!AC16),E19-0.01&lt;TAF!AE16),TAF!AP16,IF(AND(TAF!Z17="TEMPO",NOT(E19+0.01&lt;TAF!AC17),E19-0.01&lt;TAF!AF17),TAF!AP17,IF(AND(TAF!Z18="TEMPO",NOT(E19+0.01&lt;TAF!AC18),E19-0.01&lt;TAF!AF18),TAF!AP18,""))))))))))))</f>
        <v>-TSRA</v>
      </c>
      <c r="Q19" s="889" t="str">
        <f t="shared" si="2"/>
        <v>Y</v>
      </c>
      <c r="R19" s="86">
        <f>IF(AND(TAF!Z7="PREDOM",E19&lt;TAF!AF7),TAF!AW7,IF(AND(TAF!Z8="PREDOM",E19&lt;TAF!AF8),TAF!AW8,IF(AND(TAF!Z9="PREDOM",E19&lt;TAF!AF9),TAF!AW9,IF(AND(TAF!Z10="PREDOM",E19&lt;TAF!AF10),TAF!AW10,IF(AND(TAF!Z11="PREDOM",E19&lt;TAF!AF11),TAF!AW11,IF(AND(TAF!Z12="PREDOM",E19&lt;TAF!AF12),TAF!AW12,IF(AND(TAF!Z13="PREDOM",E19&lt;TAF!AF13),TAF!AW13,IF(AND(TAF!Z14="PREDOM",E19&lt;TAF!AF14),TAF!AW14,IF(AND(TAF!Z15="PREDOM",E19&lt;TAF!AF15),TAF!AW15,IF(AND(TAF!Z16="PREDOM",E19&lt;TAF!AE16),TAF!AW16,IF(AND(TAF!Z17="PREDOM",E19&lt;TAF!AF17),TAF!AW17,IF(AND(TAF!Z18="PREDOM",E19&lt;TAF!AF18),TAF!AW18))))))))))))</f>
        <v>250</v>
      </c>
      <c r="S19" s="87">
        <f>IF(AND(TAF!Z7="TEMPO",NOT(E19+0.01&lt;TAF!AC7),E19-0.01&lt;TAF!AF7),TAF!AW7,IF(AND(TAF!Z8="TEMPO",NOT(E19+0.01&lt;TAF!AC8),E19-0.01&lt;TAF!AF8),TAF!AW8,IF(AND(TAF!Z9="TEMPO",NOT(E19+0.01&lt;TAF!AC9),E19-0.01&lt;TAF!AF9),TAF!AW9,IF(AND(TAF!Z10="TEMPO",NOT(E19+0.01&lt;TAF!AC10),E19-0.01&lt;TAF!AF10),TAF!AW10,IF(AND(TAF!Z11="TEMPO",NOT(E19+0.01&lt;TAF!AC11),E19-0.01&lt;TAF!AF11),TAF!AW11,IF(AND(TAF!Z12="TEMPO",NOT(E19+0.01&lt;TAF!AC12),E19-0.01&lt;TAF!AF12),TAF!AW12,IF(AND(TAF!Z13="TEMPO",NOT(E19+0.01&lt;TAF!AC13),E19-0.01&lt;TAF!AF13),TAF!AW13,IF(AND(TAF!Z14="TEMPO",NOT(E19+0.01&lt;TAF!AC14),E19-0.01&lt;TAF!AF14),TAF!AW14,IF(AND(TAF!Z15="TEMPO",NOT(E19+0.01&lt;TAF!AC15),E19-0.01&lt;TAF!AF15),TAF!AW15,IF(AND(TAF!Z16="TEMPO",NOT(E19+0.01&lt;TAF!AC16),E19-0.01&lt;TAF!AE16),TAF!AW16,IF(AND(TAF!Z17="TEMPO",NOT(E19+0.01&lt;TAF!AC17),E19-0.01&lt;TAF!AF17),TAF!AW17,IF(AND(TAF!Z18="TEMPO",NOT(E19+0.01&lt;TAF!AC18),E19-0.01&lt;TAF!AF18),TAF!AW18,""))))))))))))</f>
        <v>40</v>
      </c>
      <c r="T19" s="88">
        <f t="shared" si="3"/>
        <v>32.222222222222221</v>
      </c>
      <c r="U19" s="89">
        <f>Worksheet!AP79</f>
        <v>90</v>
      </c>
      <c r="V19" s="90">
        <f>Worksheet!BB79</f>
        <v>74</v>
      </c>
      <c r="W19" s="91">
        <f t="shared" si="16"/>
        <v>0.59578947092021739</v>
      </c>
      <c r="X19" s="100">
        <f>IF(X5="Wind Chill",IF(G19=0,U19,IF(U19&lt;56,35.74+(0.6215*U19)-(35.75*(G19^0.16))+(0.4275*U19*(G19^0.16)),"NA")),IF(X5="WBGT",1.8*((0.7*BL19)+(0.1*BN19)+(0.2*BT19))+32))</f>
        <v>84.388344330912034</v>
      </c>
      <c r="Y19" s="93">
        <f>Worksheet!BQ79</f>
        <v>29.91</v>
      </c>
      <c r="Z19" s="1890">
        <f>Worksheet!BT79</f>
        <v>765.17471087945876</v>
      </c>
      <c r="AA19" s="1890">
        <f>Worksheet!BV79</f>
        <v>3013.6468888510849</v>
      </c>
      <c r="AB19" s="897" t="str">
        <f>IF(AND(TAF!Z7="PREDOM",E19&lt;TAF!AF7),TAF!BS7,IF(AND(TAF!Z8="PREDOM",E19&lt;TAF!AF8),TAF!BS8,IF(AND(TAF!Z9="PREDOM",E19&lt;TAF!AF9),TAF!BS9,IF(AND(TAF!Z10="PREDOM",E19&lt;TAF!AF10),TAF!BS10,IF(AND(TAF!Z11="PREDOM",E19&lt;TAF!AF11),TAF!BS11,IF(AND(TAF!Z12="PREDOM",E19&lt;TAF!AF12),TAF!BS12,IF(AND(TAF!Z13="PREDOM",E19&lt;TAF!AF13),TAF!BS13,IF(AND(TAF!Z14="PREDOM",E19&lt;TAF!AF14),TAF!BS14,IF(AND(TAF!Z15="PREDOM",E19&lt;TAF!AF15),TAF!BS15,IF(AND(TAF!Z16="PREDOM",E19&lt;TAF!AE16),TAF!BS16,IF(AND(TAF!Z17="PREDOM",E19&lt;TAF!AF17),TAF!BS17,IF(AND(TAF!Z18="PREDOM",E19&lt;TAF!AF18),TAF!BS18))))))))))))</f>
        <v/>
      </c>
      <c r="AC19" s="900" t="str">
        <f>IF(AB19="","",IF(AND(TAF!$Z$7="PREDOM",E19&lt;TAF!$AF$7),TAF!$BT$7,IF(AND(TAF!$Z$8="PREDOM",E19&lt;TAF!$AF$8),TAF!$BT$8,IF(AND(TAF!$Z$9="PREDOM",E19&lt;TAF!$AF$9),TAF!$BT$9,IF(AND(TAF!$Z$10="PREDOM",E19&lt;TAF!$AF$10),TAF!$BT$10,IF(AND(TAF!$Z$11="PREDOM",E19&lt;TAF!$AF$11),TAF!$BT$11,IF(AND(TAF!$Z$12="PREDOM",E19&lt;TAF!$AF$12),TAF!$BT$12,IF(AND(TAF!$Z$13="PREDOM",E19&lt;TAF!$AF$13),TAF!$BT$13,IF(AND(TAF!$Z$14="PREDOM",E19&lt;TAF!$AF$14),TAF!$BT$14,IF(AND(TAF!$Z$15="PREDOM",E19&lt;TAF!$AF$15),TAF!$BT$15,IF(AND(TAF!$Z$16="PREDOM",E19&lt;TAF!AE27),TAF!$BT$16,IF(AND(TAF!$Z$17="PREDOM",E19&lt;TAF!$AF$17),TAF!$BT$17,IF(AND(TAF!$Z$18="PREDOM",E19&lt;TAF!$AF$18),TAF!$BT$18)))))))))))))</f>
        <v/>
      </c>
      <c r="AD19" s="904" t="str">
        <f>IF(AB19="","",IF(AND(TAF!$Z$7="PREDOM",E19&lt;TAF!$AF$7),TAF!$BU$7,IF(AND(TAF!$Z$8="PREDOM",E19&lt;TAF!$AF$8),TAF!$BU$8,IF(AND(TAF!$Z$9="PREDOM",E19&lt;TAF!$AF$9),TAF!$BU$9,IF(AND(TAF!$Z$10="PREDOM",E19&lt;TAF!$AF$10),TAF!$BU$10,IF(AND(TAF!$Z$11="PREDOM",E19&lt;TAF!$AF$11),TAF!$BU$11,IF(AND(TAF!$Z$12="PREDOM",E19&lt;TAF!$AF$12),TAF!$BU$12,IF(AND(TAF!$Z$13="PREDOM",E19&lt;TAF!$AF$13),TAF!$BU$13,IF(AND(TAF!$Z$14="PREDOM",E19&lt;TAF!$AF$14),TAF!$BU$14,IF(AND(TAF!$Z$15="PREDOM",E19&lt;TAF!$AF$15),TAF!$BU$15,IF(AND(TAF!$Z$16="PREDOM",E19&lt;TAF!AE27),TAF!$BU$16,IF(AND(TAF!$Z$17="PREDOM",E19&lt;TAF!$AF$17),TAF!$BU$17,IF(AND(TAF!$Z$18="PREDOM",E19&lt;TAF!$AF$18),TAF!$BU$18)))))))))))))</f>
        <v/>
      </c>
      <c r="AE19" s="897" t="str">
        <f>IF(AND(TAF!Z7="PREDOM",E19&lt;TAF!AF7),TAF!BV7,IF(AND(TAF!Z8="PREDOM",E19&lt;TAF!AF8),TAF!BV8,IF(AND(TAF!Z9="PREDOM",E19&lt;TAF!AF9),TAF!BV9,IF(AND(TAF!Z10="PREDOM",E19&lt;TAF!AF10),TAF!BV10,IF(AND(TAF!Z11="PREDOM",E19&lt;TAF!AF11),TAF!BV11,IF(AND(TAF!Z12="PREDOM",E19&lt;TAF!AF12),TAF!BV12,IF(AND(TAF!Z13="PREDOM",E19&lt;TAF!AF13),TAF!BV13,IF(AND(TAF!Z14="PREDOM",E19&lt;TAF!AF14),TAF!BV14,IF(AND(TAF!Z15="PREDOM",E19&lt;TAF!AF15),TAF!BV15,IF(AND(TAF!Z16="PREDOM",E19&lt;TAF!AE16),TAF!BV16,IF(AND(TAF!Z17="PREDOM",E19&lt;TAF!AF17),TAF!BV17,IF(AND(TAF!Z18="PREDOM",E19&lt;TAF!AF18),TAF!BV18))))))))))))</f>
        <v/>
      </c>
      <c r="AF19" s="900" t="str">
        <f>IF(AE19="","",IF(AND(TAF!$Z$7="PREDOM",E19&lt;TAF!$AF$7),TAF!$BW$7,IF(AND(TAF!$Z$8="PREDOM",E19&lt;TAF!$AF$8),TAF!$BW$8,IF(AND(TAF!$Z$9="PREDOM",E19&lt;TAF!$AF$9),TAF!$BW$9,IF(AND(TAF!$Z$10="PREDOM",E19&lt;TAF!$AF$10),TAF!$BW$10,IF(AND(TAF!$Z$11="PREDOM",E19&lt;TAF!$AF$11),TAF!$BW$11,IF(AND(TAF!$Z$12="PREDOM",E19&lt;TAF!$AF$12),TAF!$BW$12,IF(AND(TAF!$Z$13="PREDOM",E19&lt;TAF!$AF$13),TAF!$BW$13,IF(AND(TAF!$Z$14="PREDOM",E19&lt;TAF!$AF$14),TAF!$BW$14,IF(AND(TAF!$Z$15="PREDOM",E19&lt;TAF!$AF$15),TAF!$BW$15,IF(AND(TAF!$Z$16="PREDOM",E19&lt;TAF!AE27),TAF!$BW$16,IF(AND(TAF!$Z$17="PREDOM",E19&lt;TAF!$AF$17),TAF!$BW$17,IF(AND(TAF!$Z$18="PREDOM",E19&lt;TAF!$AF$18),TAF!$BW$18)))))))))))))</f>
        <v/>
      </c>
      <c r="AG19" s="904" t="str">
        <f>IF(AE19="","",IF(AND(TAF!$Z$7="PREDOM",E19&lt;TAF!$AF$7),TAF!$BX$7,IF(AND(TAF!$Z$8="PREDOM",E19&lt;TAF!$AF$8),TAF!$BX$8,IF(AND(TAF!$Z$9="PREDOM",E19&lt;TAF!$AF$9),TAF!$BX$9,IF(AND(TAF!$Z$10="PREDOM",E19&lt;TAF!$AF$10),TAF!$BX$10,IF(AND(TAF!$Z$11="PREDOM",E19&lt;TAF!$AF$11),TAF!$BX$11,IF(AND(TAF!$Z$12="PREDOM",E19&lt;TAF!$AF$12),TAF!$BX$12,IF(AND(TAF!$Z$13="PREDOM",E19&lt;TAF!$AF$13),TAF!$BX$13,IF(AND(TAF!$Z$14="PREDOM",E19&lt;TAF!$AF$14),TAF!$BX$14,IF(AND(TAF!$Z$15="PREDOM",E19&lt;TAF!$AF$15),TAF!$BX$15,IF(AND(TAF!$Z$16="PREDOM",E19&lt;TAF!AE27),TAF!$BX$16,IF(AND(TAF!$Z$17="PREDOM",E19&lt;TAF!$AF$17),TAF!$BX$17,IF(AND(TAF!$Z$18="PREDOM",E19&lt;TAF!$AF$18),TAF!$BX$18)))))))))))))</f>
        <v/>
      </c>
      <c r="AH19" s="895" t="str">
        <f>IF(AND(TAF!$Z$7="PREDOM",E19&lt;TAF!$AF$7),TAF!$BY$7,IF(AND(TAF!$Z$8="PREDOM",E19&lt;TAF!$AF$8),TAF!$BY$8,IF(AND(TAF!$Z$9="PREDOM",E19&lt;TAF!$AF$9),TAF!$BY$9,IF(AND(TAF!$Z$10="PREDOM",E19&lt;TAF!$AF$10),TAF!$BY$10,IF(AND(TAF!$Z$11="PREDOM",E19&lt;TAF!$AF$11),TAF!$BY$11,IF(AND(TAF!$Z$12="PREDOM",E19&lt;TAF!$AF$12),TAF!$BY$12,IF(AND(TAF!$Z$13="PREDOM",E19&lt;TAF!$AF$13),TAF!$BY$13,IF(AND(TAF!$Z$14="PREDOM",E19&lt;TAF!$AF$14),TAF!$BY$14,IF(AND(TAF!$Z$15="PREDOM",E19&lt;TAF!$AF$15),TAF!$BY$15,IF(AND(TAF!$Z$16="PREDOM",E19&lt;TAF!$AF$16),TAF!$BY$16,IF(AND(TAF!$Z$17="PREDOM",E19&lt;TAF!$AF$17),TAF!$BY$17,IF(AND(TAF!$Z$18="PREDOM",E19&lt;TAF!$AF$18),TAF!$BY$18))))))))))))</f>
        <v/>
      </c>
      <c r="AI19" s="900" t="str">
        <f>IF(AH19="","",IF(AND(TAF!$Z$7="PREDOM",E19&lt;TAF!$AF$7),TAF!$BZ$7,IF(AND(TAF!$Z$8="PREDOM",E19&lt;TAF!$AF$8),TAF!$BZ$8,IF(AND(TAF!$Z$9="PREDOM",E19&lt;TAF!$AF$9),TAF!$BZ$9,IF(AND(TAF!$Z$10="PREDOM",E19&lt;TAF!$AF$10),TAF!$BZ$10,IF(AND(TAF!$Z$11="PREDOM",E19&lt;TAF!$AF$11),TAF!$BZ$11,IF(AND(TAF!$Z$12="PREDOM",E19&lt;TAF!$AF$12),TAF!$BZ$12,IF(AND(TAF!$Z$13="PREDOM",E19&lt;TAF!$AF$13),TAF!$BZ$13,IF(AND(TAF!$Z$14="PREDOM",E19&lt;TAF!$AF$14),TAF!$BZ$14,IF(AND(TAF!$Z$15="PREDOM",E19&lt;TAF!$AF$15),TAF!$BZ$15,IF(AND(TAF!$Z$16="PREDOM",E19&lt;TAF!AE27),TAF!$BZ$16,IF(AND(TAF!$Z$17="PREDOM",E19&lt;TAF!$AF$17),TAF!$BZ$17,IF(AND(TAF!$Z$18="PREDOM",E19&lt;TAF!$AF$18),TAF!$BZ$18)))))))))))))</f>
        <v/>
      </c>
      <c r="AJ19" s="904" t="str">
        <f>IF(AH19="","",IF(AND(TAF!$Z$7="PREDOM",E19&lt;TAF!$AF$7),TAF!$CA$7,IF(AND(TAF!$Z$8="PREDOM",E19&lt;TAF!$AF$8),TAF!$CA$8,IF(AND(TAF!$Z$9="PREDOM",E19&lt;TAF!$AF$9),TAF!$CA$9,IF(AND(TAF!$Z$10="PREDOM",E19&lt;TAF!$AF$10),TAF!$CA$10,IF(AND(TAF!$Z$11="PREDOM",E19&lt;TAF!$AF$11),TAF!$CA$11,IF(AND(TAF!$Z$12="PREDOM",E19&lt;TAF!$AF$12),TAF!$CA$12,IF(AND(TAF!$Z$13="PREDOM",E19&lt;TAF!$AF$13),TAF!$CA$13,IF(AND(TAF!$Z$14="PREDOM",E19&lt;TAF!$AF$14),TAF!$CA$14,IF(AND(TAF!$Z$15="PREDOM",E19&lt;TAF!$AF$15),TAF!$CA$15,IF(AND(TAF!$Z$16="PREDOM",E19&lt;TAF!AE27),TAF!$CA$16,IF(AND(TAF!$Z$17="PREDOM",E19&lt;TAF!$AF$17),TAF!$CA$17,IF(AND(TAF!$Z$18="PREDOM",E19&lt;TAF!$AF$18),TAF!$CA$18)))))))))))))</f>
        <v/>
      </c>
      <c r="AK19" s="102" t="str">
        <f>IF(AND(TAF!Z7="TEMPO",NOT(E19+0.01&lt;TAF!AC7),E19-0.01&lt;TAF!AF7),TAF!CB7,IF(AND(TAF!Z8="TEMPO",NOT(E19+0.01&lt;TAF!AC8),E19-0.01&lt;TAF!AF8),TAF!CB8,IF(AND(TAF!Z9="TEMPO",NOT(E19+0.01&lt;TAF!AC9),E19-0.01&lt;TAF!AF9),TAF!CB9,IF(AND(TAF!Z10="TEMPO",NOT(E19+0.01&lt;TAF!AC10),E19-0.01&lt;TAF!AF10),TAF!CB10,IF(AND(TAF!Z11="TEMPO",NOT(E19+0.01&lt;TAF!AC11),E19-0.01&lt;TAF!AF11),TAF!CB11,IF(AND(TAF!Z12="TEMPO",NOT(E19+0.01&lt;TAF!AC12),E19-0.01&lt;TAF!AF12),TAF!CB12,IF(AND(TAF!Z13="TEMPO",NOT(E19+0.01&lt;TAF!AC13),E19-0.01&lt;TAF!AF13),TAF!CB13,IF(AND(TAF!Z14="TEMPO",NOT(E19+0.01&lt;TAF!AC14),E19-0.01&lt;TAF!AF14),TAF!CB14,IF(AND(TAF!Z15="TEMPO",NOT(E19+0.01&lt;TAF!AC15),E19-0.01&lt;TAF!AF15),TAF!CB15,IF(AND(TAF!Z16="TEMPO",NOT(E19+0.01&lt;TAF!AC16),E19-0.01&lt;TAF!AE16),TAF!CB16,IF(AND(TAF!Z17="TEMPO",NOT(E19+0.01&lt;TAF!AC17),E19-0.01&lt;TAF!AF17),TAF!CB17,IF(AND(TAF!Z18="TEMPO",NOT(E19+0.01&lt;TAF!AC18),E19-0.01&lt;TAF!AF18),TAF!CB18,""))))))))))))</f>
        <v/>
      </c>
      <c r="AL19" s="897" t="str">
        <f>IF(AND(TAF!Z7="PREDOM",E19&lt;TAF!AF7),TAF!BG7,IF(AND(TAF!Z8="PREDOM",E19&lt;TAF!AF8),TAF!BG8,IF(AND(TAF!Z9="PREDOM",E19&lt;TAF!AF9),TAF!BG9,IF(AND(TAF!Z10="PREDOM",E19&lt;TAF!AF10),TAF!BG10,IF(AND(TAF!Z11="PREDOM",E19&lt;TAF!AF11),TAF!BG11,IF(AND(TAF!Z12="PREDOM",E19&lt;TAF!AF12),TAF!BG12,IF(AND(TAF!Z13="PREDOM",E19&lt;TAF!AF13),TAF!BG13,IF(AND(TAF!Z14="PREDOM",E19&lt;TAF!AF14),TAF!BG14,IF(AND(TAF!Z15="PREDOM",E19&lt;TAF!AF15),TAF!BG15,IF(AND(TAF!Z16="PREDOM",E19&lt;TAF!AE16),TAF!BG16,IF(AND(TAF!Z17="PREDOM",E19&lt;TAF!AF17),TAF!BG17,IF(AND(TAF!Z18="PREDOM",E19&lt;TAF!AF18),TAF!BG18))))))))))))</f>
        <v/>
      </c>
      <c r="AM19" s="900" t="str">
        <f>IF(AND(TAF!Z7="PREDOM",E19&lt;TAF!AF7),TAF!BH7,IF(AND(TAF!Z8="PREDOM",E19&lt;TAF!AF8),TAF!BH8,IF(AND(TAF!Z9="PREDOM",E19&lt;TAF!AF9),TAF!BH9,IF(AND(TAF!Z10="PREDOM",E19&lt;TAF!AF10),TAF!BH10,IF(AND(TAF!Z11="PREDOM",E19&lt;TAF!AF11),TAF!BH11,IF(AND(TAF!Z12="PREDOM",E19&lt;TAF!AF12),TAF!BH12,IF(AND(TAF!Z13="PREDOM",E19&lt;TAF!AF13),TAF!BH13,IF(AND(TAF!Z14="PREDOM",E19&lt;TAF!AF14),TAF!BH14,IF(AND(TAF!Z15="PREDOM",E19&lt;TAF!AF15),TAF!BH15,IF(AND(TAF!Z16="PREDOM",E19&lt;TAF!AE16),TAF!BH16,IF(AND(TAF!Z17="PREDOM",E19&lt;TAF!AF17),TAF!BH17,IF(AND(TAF!Z18="PREDOM",E19&lt;TAF!AF18),TAF!BH18))))))))))))</f>
        <v/>
      </c>
      <c r="AN19" s="904" t="str">
        <f>IF(AND(TAF!Z7="PREDOM",E19&lt;TAF!AF7),TAF!BI7,IF(AND(TAF!Z8="PREDOM",E19&lt;TAF!AF8),TAF!BI8,IF(AND(TAF!Z9="PREDOM",E19&lt;TAF!AF9),TAF!BI9,IF(AND(TAF!Z10="PREDOM",E19&lt;TAF!AF10),TAF!BI10,IF(AND(TAF!Z11="PREDOM",E19&lt;TAF!AF11),TAF!BI11,IF(AND(TAF!Z12="PREDOM",E19&lt;TAF!AF12),TAF!BI12,IF(AND(TAF!Z13="PREDOM",E19&lt;TAF!AF13),TAF!BI13,IF(AND(TAF!Z14="PREDOM",E19&lt;TAF!AF14),TAF!BI14,IF(AND(TAF!Z15="PREDOM",E19&lt;TAF!AF15),TAF!BI15,IF(AND(TAF!Z16="PREDOM",E19&lt;TAF!AE16),TAF!BI16,IF(AND(TAF!Z17="PREDOM",E19&lt;TAF!AF17),TAF!BI17,IF(AND(TAF!Z18="PREDOM",E19&lt;TAF!AF18),TAF!BI18))))))))))))</f>
        <v/>
      </c>
      <c r="AO19" s="897" t="str">
        <f>IF(AND(TAF!Z7="PREDOM",E19&lt;TAF!AF7),TAF!BJ7,IF(AND(TAF!Z8="PREDOM",E19&lt;TAF!AF8),TAF!BJ8,IF(AND(TAF!Z9="PREDOM",E19&lt;TAF!AF9),TAF!BJ9,IF(AND(TAF!Z10="PREDOM",E19&lt;TAF!AF10),TAF!BJ10,IF(AND(TAF!Z11="PREDOM",E19&lt;TAF!AF11),TAF!BJ11,IF(AND(TAF!Z12="PREDOM",E19&lt;TAF!AF12),TAF!BJ12,IF(AND(TAF!Z13="PREDOM",E19&lt;TAF!AF13),TAF!BJ13,IF(AND(TAF!Z14="PREDOM",E19&lt;TAF!AF14),TAF!BJ14,IF(AND(TAF!Z15="PREDOM",E19&lt;TAF!AF15),TAF!BJ15,IF(AND(TAF!Z16="PREDOM",E19&lt;TAF!AE16),TAF!BJ16,IF(AND(TAF!Z17="PREDOM",E19&lt;TAF!AF17),TAF!BJ17,IF(AND(TAF!Z18="PREDOM",E19&lt;TAF!AF18),TAF!BJ18))))))))))))</f>
        <v/>
      </c>
      <c r="AP19" s="912" t="str">
        <f>IF(AND(TAF!Z7="PREDOM",E19&lt;TAF!AF7),TAF!BK7,IF(AND(TAF!Z8="PREDOM",E19&lt;TAF!AF8),TAF!BK8,IF(AND(TAF!Z9="PREDOM",E19&lt;TAF!AF9),TAF!BK9,IF(AND(TAF!Z10="PREDOM",E19&lt;TAF!AF10),TAF!BK10,IF(AND(TAF!Z11="PREDOM",E19&lt;TAF!AF11),TAF!BK11,IF(AND(TAF!Z12="PREDOM",E19&lt;TAF!AF12),TAF!BK12,IF(AND(TAF!Z13="PREDOM",E19&lt;TAF!AF13),TAF!BK13,IF(AND(TAF!Z14="PREDOM",E19&lt;TAF!AF14),TAF!BK14,IF(AND(TAF!Z15="PREDOM",E19&lt;TAF!AF15),TAF!BK15,IF(AND(TAF!Z16="PREDOM",E19&lt;TAF!AE16),TAF!BK16,IF(AND(TAF!Z17="PREDOM",E19&lt;TAF!AF17),TAF!BK17,IF(AND(TAF!Z18="PREDOM",E19&lt;TAF!AF18),TAF!BK18))))))))))))</f>
        <v/>
      </c>
      <c r="AQ19" s="908" t="str">
        <f>IF(AND(TAF!Z7="PREDOM",E19&lt;TAF!AF7),TAF!BL7,IF(AND(TAF!Z8="PREDOM",E19&lt;TAF!AF8),TAF!BL8,IF(AND(TAF!Z9="PREDOM",E19&lt;TAF!AF9),TAF!BL9,IF(AND(TAF!Z10="PREDOM",E19&lt;TAF!AF10),TAF!BL10,IF(AND(TAF!Z11="PREDOM",E19&lt;TAF!AF11),TAF!BL11,IF(AND(TAF!Z12="PREDOM",E19&lt;TAF!AF12),TAF!BL12,IF(AND(TAF!Z13="PREDOM",E19&lt;TAF!AF13),TAF!BL13,IF(AND(TAF!Z14="PREDOM",E19&lt;TAF!AF14),TAF!BL14,IF(AND(TAF!Z15="PREDOM",E19&lt;TAF!AF15),TAF!BL15,IF(AND(TAF!Z16="PREDOM",E19&lt;TAF!AE16),TAF!BL16,IF(AND(TAF!Z17="PREDOM",E19&lt;TAF!AF17),TAF!BL17,IF(AND(TAF!Z18="PREDOM",E19&lt;TAF!AF18),TAF!BL18))))))))))))</f>
        <v/>
      </c>
      <c r="AR19" s="895" t="str">
        <f>IF(AND(TAF!Z7="PREDOM",E19&lt;TAF!AF7),TAF!BM7,IF(AND(TAF!Z8="PREDOM",E19&lt;TAF!AF8),TAF!BM8,IF(AND(TAF!Z9="PREDOM",E19&lt;TAF!AF9),TAF!BM9,IF(AND(TAF!Z10="PREDOM",E19&lt;TAF!AF10),TAF!BM10,IF(AND(TAF!Z11="PREDOM",E19&lt;TAF!AF11),TAF!BM11,IF(AND(TAF!Z12="PREDOM",E19&lt;TAF!AF12),TAF!BM12,IF(AND(TAF!Z13="PREDOM",E19&lt;TAF!AF13),TAF!BM13,IF(AND(TAF!Z14="PREDOM",E19&lt;TAF!AF14),TAF!BM14,IF(AND(TAF!Z15="PREDOM",E19&lt;TAF!AF15),TAF!BM15,IF(AND(TAF!Z16="PREDOM",E19&lt;TAF!AE16),TAF!BM16,IF(AND(TAF!Z17="PREDOM",E19&lt;TAF!AF17),TAF!BM17,IF(AND(TAF!Z18="PREDOM",E19&lt;TAF!AF18),TAF!BM18))))))))))))</f>
        <v/>
      </c>
      <c r="AS19" s="912" t="str">
        <f>IF(AND(TAF!Z7="PREDOM",E19&lt;TAF!AF7),TAF!BN7,IF(AND(TAF!Z8="PREDOM",E19&lt;TAF!AF8),TAF!BN8,IF(AND(TAF!Z9="PREDOM",E19&lt;TAF!AF9),TAF!BN9,IF(AND(TAF!Z10="PREDOM",E19&lt;TAF!AF10),TAF!BN10,IF(AND(TAF!Z11="PREDOM",E19&lt;TAF!AF11),TAF!BN11,IF(AND(TAF!Z12="PREDOM",E19&lt;TAF!AF12),TAF!BN12,IF(AND(TAF!Z13="PREDOM",E19&lt;TAF!AF13),TAF!BN13,IF(AND(TAF!Z14="PREDOM",E19&lt;TAF!AF14),TAF!BN14,IF(AND(TAF!Z15="PREDOM",E19&lt;TAF!AF15),TAF!BN15,IF(AND(TAF!Z16="PREDOM",E19&lt;TAF!AE16),TAF!BN16,IF(AND(TAF!Z17="PREDOM",E19&lt;TAF!AF17),TAF!BN17,IF(AND(TAF!Z18="PREDOM",E19&lt;TAF!AF18),TAF!BN18))))))))))))</f>
        <v/>
      </c>
      <c r="AT19" s="908" t="str">
        <f>IF(AND(TAF!Z7="PREDOM",E19&lt;TAF!AF7),TAF!BO7,IF(AND(TAF!Z8="PREDOM",E19&lt;TAF!AF8),TAF!BO8,IF(AND(TAF!Z9="PREDOM",E19&lt;TAF!AF9),TAF!BO9,IF(AND(TAF!Z10="PREDOM",E19&lt;TAF!AF10),TAF!BO10,IF(AND(TAF!Z11="PREDOM",E19&lt;TAF!AF11),TAF!BO11,IF(AND(TAF!Z12="PREDOM",E19&lt;TAF!AF12),TAF!BO12,IF(AND(TAF!Z13="PREDOM",E19&lt;TAF!AF13),TAF!BO13,IF(AND(TAF!Z14="PREDOM",E19&lt;TAF!AF14),TAF!BO14,IF(AND(TAF!Z15="PREDOM",E19&lt;TAF!AF15),TAF!BO15,IF(AND(TAF!Z16="PREDOM",E19&lt;TAF!AE16),TAF!BO16,IF(AND(TAF!Z17="PREDOM",E19&lt;TAF!AF17),TAF!BO17,IF(AND(TAF!Z18="PREDOM",E19&lt;TAF!AF18),TAF!BO18))))))))))))</f>
        <v/>
      </c>
      <c r="AU19" s="102" t="str">
        <f>IF(AND(TAF!Z7="TEMPO",NOT(E19+0.01&lt;TAF!AC7),E19-0.01&lt;TAF!AF7),TAF!BP7,IF(AND(TAF!Z8="TEMPO",NOT(E19+0.01&lt;TAF!AC8),E19-0.01&lt;TAF!AF8),TAF!BP8,IF(AND(TAF!Z9="TEMPO",NOT(E19+0.01&lt;TAF!AC9),E19-0.01&lt;TAF!AF9),TAF!BP9,IF(AND(TAF!Z10="TEMPO",NOT(E19+0.01&lt;TAF!AC10),E19-0.01&lt;TAF!AF10),TAF!BP10,IF(AND(TAF!Z11="TEMPO",NOT(E19+0.01&lt;TAF!AC11),E19-0.01&lt;TAF!AF11),TAF!BP11,IF(AND(TAF!Z12="TEMPO",NOT(E19+0.01&lt;TAF!AC12),E19-0.01&lt;TAF!AF12),TAF!BP12,IF(AND(TAF!Z13="TEMPO",NOT(E19+0.01&lt;TAF!AC13),E19-0.01&lt;TAF!AF13),TAF!BP13,IF(AND(TAF!Z14="TEMPO",NOT(E19+0.01&lt;TAF!AC14),E19-0.01&lt;TAF!AF14),TAF!BP14,IF(AND(TAF!Z15="TEMPO",NOT(E19+0.01&lt;TAF!AC15),E19-0.01&lt;TAF!AF15),TAF!BP15,IF(AND(TAF!Z16="TEMPO",NOT(E19+0.01&lt;TAF!AC16),E19-0.01&lt;TAF!AE16),TAF!BP16,IF(AND(TAF!Z17="TEMPO",NOT(E19+0.01&lt;TAF!AC17),E19-0.01&lt;TAF!AF17),TAF!BP17,IF(AND(TAF!Z18="TEMPO",NOT(E19+0.01&lt;TAF!AC18),E19-0.01&lt;TAF!AF18),TAF!BP18,""))))))))))))</f>
        <v/>
      </c>
      <c r="AV19" s="96" t="str">
        <f>IF(AND(TAF!Z7="PREDOM",E19&lt;TAF!AF7),TAF!CD7,IF(AND(TAF!Z8="PREDOM",E19&lt;TAF!AF8),TAF!CD8,IF(AND(TAF!Z9="PREDOM",E19&lt;TAF!AF9),TAF!CD9,IF(AND(TAF!Z10="PREDOM",E19&lt;TAF!AF10),TAF!CD10,IF(AND(TAF!Z11="PREDOM",E19&lt;TAF!AF11),TAF!CD11,IF(AND(TAF!Z12="PREDOM",E19&lt;TAF!AF12),TAF!CD12,IF(AND(TAF!Z13="PREDOM",E19&lt;TAF!AF13),TAF!CD13,IF(AND(TAF!Z14="PREDOM",E19&lt;TAF!AF14),TAF!CD14,IF(AND(TAF!Z15="PREDOM",E19&lt;TAF!AF15),TAF!CD15,IF(AND(TAF!Z16="PREDOM",E19&lt;TAF!AE16),TAF!CD16,IF(AND(TAF!Z17="PREDOM",E19&lt;TAF!AF17),TAF!CD17,IF(AND(TAF!Z18="PREDOM",E19&lt;TAF!AF18),TAF!CD18))))))))))))</f>
        <v/>
      </c>
      <c r="AW19" s="97" t="str">
        <f>IF(AND(TAF!Z7="TEMPO",NOT(E19+0.01&lt;TAF!AC7),E19-0.01&lt;TAF!AF7),TAF!CD7,IF(AND(TAF!Z8="TEMPO",NOT(E19+0.01&lt;TAF!AC8),E19-0.01&lt;TAF!AF8),TAF!CD8,IF(AND(TAF!Z9="TEMPO",NOT(E19+0.01&lt;TAF!AC9),E19-0.01&lt;TAF!AF9),TAF!CD9,IF(AND(TAF!Z10="TEMPO",NOT(E19+0.01&lt;TAF!AC10),E19-0.01&lt;TAF!AF10),TAF!CD10,IF(AND(TAF!Z11="TEMPO",NOT(E19+0.01&lt;TAF!AC11),E19-0.01&lt;TAF!AF11),TAF!CD11,IF(AND(TAF!Z12="TEMPO",NOT(E19+0.01&lt;TAF!AC12),E19-0.01&lt;TAF!AF12),TAF!CD12,IF(AND(TAF!Z13="TEMPO",NOT(E19+0.01&lt;TAF!AC13),E19-0.01&lt;TAF!AF13),TAF!CD13,IF(AND(TAF!Z14="TEMPO",NOT(E19+0.01&lt;TAF!AC14),E19-0.01&lt;TAF!AF14),TAF!CD14,IF(AND(TAF!Z15="TEMPO",NOT(E19+0.01&lt;TAF!AC15),E19-0.01&lt;TAF!AF15),TAF!CD15,IF(AND(TAF!Z16="TEMPO",NOT(E19+0.01&lt;TAF!AC16),E19-0.01&lt;TAF!AE16),TAF!CD16,IF(AND(TAF!Z17="TEMPO",NOT(E19+0.01&lt;TAF!AC17),E19-0.01&lt;TAF!AF17),TAF!CD17,IF(AND(TAF!Z18="TEMPO",NOT(E19+0.01&lt;TAF!AC18),E19-0.01&lt;TAF!AF18),TAF!CD18,""))))))))))))</f>
        <v/>
      </c>
      <c r="AX19" s="99" t="str">
        <f>IF(OR(AND(H19&lt;&gt;"",H19&gt;(MLT!$E$5-1)),J19&lt;(MLT!$E$8+0.01),L19="TS",O19="TS",R19&lt;(MLT!$E$9),AND(AB19&lt;&gt;"",AB19&gt;(MLT!$E$6-1)),AL19=MLT!$E$7,AL19=MLT!$F$7),"R",IF(OR(AND(H19&lt;&gt;"",H19&gt;(MLT!$H$5-1)),AND(I19&lt;&gt;"",I19&gt;(MLT!$H$5-1)),J19&lt;MLT!$H$8,K19&lt;MLT!$H$8,L19=MLT!$H$10,O19=MLT!$E$10,O19=MLT!$H$10,R19&lt;MLT!$H$9,S19&lt;MLT!$H$9,AND(AB19&lt;&gt;"",AB19&gt;0),AND(AE19&lt;&gt;"",AE19&gt;0),AND(AH19&lt;&gt;"",AH19&gt;0),AND(AK19&lt;&gt;"",AK19&gt;0),AND(AL19&lt;&gt;"",AL19&lt;&gt;4,AL19&gt;2),AND(AO19&lt;&gt;"",AO19&lt;&gt;4,AO19&gt;2),AND(AR19&lt;&gt;"",AR19&lt;&gt;4,AR19&gt;2),AND(AU19&lt;&gt;"",AU19&lt;&gt;4,AU19&gt;2)),"Y","G"))</f>
        <v>R</v>
      </c>
      <c r="AY19" s="99" t="str">
        <f>IF(OR(AND(H19&lt;&gt;"",H19&gt;(MLT!$E$13-1)),J19&lt;MLT!$E$17,R19&lt;MLT!$E$19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$13-1)),AND(I19&lt;&gt;"",I19&gt;(MLT!$H$13-1)),J19&lt;MLT!$H$17,K19&lt;MLT!$H$17,R19&lt;MLT!$H$19,S19&lt;MLT!$H$19,L19="VCTS",O19="VCTS",AND(AB19&lt;&gt;"",AB19&gt;1),AND(AK19&lt;&gt;"",AK19&gt;0),AND(AL19&lt;&gt;"",AL19&gt;1),AND(AO19&lt;&gt;"",AO19&gt;1),AND(AR19&lt;&gt;"",AR19&gt;1),AU19=3,AND(AU19&lt;&gt;"",AU19&gt;4),AV19="LLWS",AW19="LLWS"),"Y","G"))</f>
        <v>R</v>
      </c>
      <c r="AZ19" s="99" t="str">
        <f>IF(OR(AND(H19&lt;&gt;"",H19&gt;(MLT!$E$13-1)),J19&lt;MLT!$E$16,R19&lt;MLT!$E$18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$13-1)),AND(I19&lt;&gt;"",I19&gt;(MLT!$H$13-1)),J19&lt;MLT!$H$17,K19&lt;MLT!$H$17,R19&lt;MLT!$H$19,S19&lt;MLT!$H$19,L19="VCTS",O19="VCTS",AND(AB19&lt;&gt;"",AB19&gt;1),AND(AK19&lt;&gt;"",AK19&gt;0),AND(AL19&lt;&gt;"",AL19&gt;1),AND(AO19&lt;&gt;"",AO19&gt;1),AND(AR19&lt;&gt;"",AR19&gt;1),AU19=3,AND(AU19&lt;&gt;"",AU19&gt;4),AV19="LLWS",AW19="LLWS"),"Y","G"))</f>
        <v>R</v>
      </c>
      <c r="BA19" s="99" t="str">
        <f>IF(OR(IF(MEF!$AP$14="Hoist",OR(G19&gt;19,AND(H19&lt;&gt;"",H19&gt;19)),AND(H19&lt;&gt;"",H19&gt;(MLT!$E$23-1))),AND(B19&gt;MEF!$Z$11,J19&lt;MLT!$E$26),AND(B19&lt;MEF!$E$53,J19&lt;MLT!$E$26),J19&lt;MLT!$E$27,AND(B19&gt;MEF!$Z$11,R19&lt;MLT!$E$28),AND(B19&lt;MEF!$E$53,R19&lt;MLT!$E$28),R19&lt;MLT!$E$29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H$23-1)),AND(I19&lt;&gt;"",I19&gt;(MLT!$H$23-1)),AND(B19&gt;MEF!$Z$11,J19&lt;MLT!$H$26),AND(B19&lt;MEF!$E$53,J19&lt;MLT!$H$26),AND(B19&gt;MEF!$Z$11,K19&lt;MLT!$H$26),AND(B19&lt;MEF!$E$53,K19&lt;MLT!$H$26),J19&lt;MLT!$H$27,K19&lt;MLT!$H$27,AND(B19&gt;MEF!$Z$11,R19&lt;MLT!$H$28),AND(B19&lt;MEF!$E$53,R19&lt;MLT!$H$28),AND(B19&gt;MEF!$Z$11,S19&lt;MLT!$H$28),AND(B19&lt;MEF!$E$53,S19&lt;MLT!$H$28),R19&lt;MLT!$H$29,S19&lt;MLT!$H$29,L19="VCTS",O19="VCTS",U19&gt;90,U19&lt;-29,AB19&lt;&gt;"",AK19&lt;&gt;"",AND(AL19&lt;&gt;"",AL19&gt;1),AND(AO19&lt;&gt;"",AO19&gt;1),AND(AR19&lt;&gt;"",AR19&gt;1),AU19=3,AND(AU19&lt;&gt;"",AU19&gt;4),AV19="LLWS",AW19="LLWS"),"Y","G"))</f>
        <v>R</v>
      </c>
      <c r="BB19" s="99" t="str">
        <f>IF(OR(AND(H19&lt;&gt;"",H19&gt;(MLT!$E$23-1)),AND(B19&gt;MEF!$Z$11,J19&lt;MLT!$F$26),AND(B19&lt;MEF!$E$53,J19&lt;MLT!$F$26),J19&lt;MLT!$F$27,AND(B19&gt;MEF!$Z$11,R19&lt;MLT!$F$28),AND(B19&lt;MEF!$E$53,R19&lt;MLT!$F$28),R19&lt;MLT!$F$29,L19="TS",O19="TS",AND(AB19&lt;&gt;"",AB19&gt;3,AC19&lt;30),AND(AE19&lt;&gt;"",AE19&gt;3,AF19&lt;30),AND(AH19&lt;&gt;"",AH19&gt;3,AI19&lt;30),AND(OR(AL19=7,AL19=9),AM19&lt;30),AND(OR(AO19=7,AO19=9),AP19&lt;30),AND(OR(AR19=7,AR19=9),AS19&lt;30)),"R",IF(OR(AND(H19&lt;&gt;"",H19&gt;(MLT!$I$23-1)),AND(I19&lt;&gt;"",I19&gt;(MLT!$I$23-1)),AND(B19&gt;MEF!$Z$11,J19&lt;MLT!$I$26),AND(B19&lt;MEF!$E$53,J19&lt;MLT!$I$26),AND(B19&gt;MEF!$Z$11,K19&lt;MLT!$I$26),AND(B19&lt;MEF!$E$53,K19&lt;MLT!$I$26),J19&lt;MLT!$I$27,K19&lt;MLT!$I$27,AND(B19&gt;MEF!$Z$11,R19&lt;MLT!$I$28),AND(B19&lt;MEF!$E$53,R19&lt;MLT!$I$28),AND(B19&gt;MEF!$Z$11,S19&lt;MLT!$I$28),AND(B19&lt;MEF!$E$53,S19&lt;MLT!$I$28),R19&lt;MLT!$I$29,S19&lt;MLT!$I$29,L19="VCTS",O19="VCTS",U19&gt;94,U19&lt;-29,AB19&lt;&gt;"",AK19&lt;&gt;"",AND(AL19&lt;&gt;"",AL19&gt;1),AND(AO19&lt;&gt;"",AO19&gt;1),AND(AR19&lt;&gt;"",AR19&gt;1),AU19=3,AND(AU19&lt;&gt;"",AU19&gt;4),AV19="LLWS",AW19="LLWS",CE19&lt;30,AND(CJ19&lt;25,CJ19&lt;&gt;0)),"Y","G"))</f>
        <v>R</v>
      </c>
      <c r="BC19" s="99" t="str">
        <f>IF(OR(G19&gt;(MLT!F$35-1),AND(H19&lt;&gt;"",H19&gt;(MLT!E$35-1)),J19&lt;MLT!E$38,R19&lt;MLT!E$39,L19="TS",O19="TS",N19="Y",T19&gt;50.49,T19&lt;-20.5,W19&gt;0.9449,AA19&gt;8999,AND(AB19&lt;&gt;"",AB19&gt;0),AND(AL19&lt;&gt;"",AL19&gt;1)),"R",IF(OR(G19&gt;(MLT!I$35-1),AND(H19&lt;&gt;"",H19&gt;(MLT!H$35-1)),AND(I19&lt;&gt;"",I19&gt;(MLT!H$35-1)),J19&lt;MLT!H$38,K19&lt;MLT!H$38,M19&lt;&gt;"",P19&lt;&gt;"",R19&lt;MLT!H$39,S19&lt;MLT!H$39,L19="VCTS",O19="VCTS",T19&gt;45.49,T19&lt;-14,W19&gt;0.8449,AA19&gt;6999,AND(AB19&lt;&gt;"",AB19&gt;0),AND(AK19&lt;&gt;"",AK19&gt;0),AND(AL19&lt;&gt;"",AL19&gt;0),AND(AU19&lt;&gt;"",AU19&gt;0),AV19="LLWS",AW19="LLWS"),"Y","G"))</f>
        <v>R</v>
      </c>
      <c r="BD19" s="99" t="str">
        <f>IF(OR(AND(NOT(H19=""),H19&gt;(MLT!E48-1)),AND(NOT(I19=""),I19&gt;(MLT!E48-1)),J19&lt;0.26,NOT(L19=""),U19&lt;14.5,AND(X5="Wind Chill",X19&lt;-0.5),AND(X5="WBGT",X19&gt;89.49)),"R",IF(OR(AND(NOT(H19=""),H19&gt;(MLT!H48-1)),AND(NOT(I19=""),I19&gt;(MLT!H48-1)),J19&lt;1,NOT(M19=""),NOT(P19=""),NOT(O19=""),U19&lt;31.5,AND(X5="Wind Chill",X19&lt;14.5),AND(X5="WBGT",X19&gt;77.49)),"Y","G"))</f>
        <v>Y</v>
      </c>
      <c r="BE19" s="99" t="str">
        <f>IF(OR(AND(H19&lt;&gt;"",H19&gt;(MLT!$E$56)),J19&lt;MLT!$E$59,R19&lt;MLT!$E$60,L19="TS",O19="TS",AND(AB19&lt;&gt;"",AC19&lt;30),AND(AE19&lt;&gt;"",AF19&lt;30),AND(AH19&lt;&gt;"",AI19&lt;30),AND(AL19&lt;&gt;"",AL19&gt;0,AM19&lt;30),AND(AO19&lt;&gt;"",AO19&gt;0,AP19&lt;30),AND(AR19&lt;&gt;"",AR19&gt;0,AS19&lt;30)),"R",IF(OR(AND(H19&lt;&gt;"",H19&gt;MLT!$H$56),AND(I19&lt;&gt;"",I19&gt;MLT!$H$56),J19&lt;MLT!$H$59,K19&lt;MLT!$H$59,R19&lt;MLT!$H$60,S19&lt;MLT!$H$60,L19="VCTS",O19="VCTS",AB19&lt;&gt;"",AK19&lt;&gt;"",AL19&lt;&gt;"",AU19&lt;&gt;"",AV19="LLWS",AW19="LLWS"),"Y","G"))</f>
        <v>R</v>
      </c>
      <c r="BF19" s="99" t="str">
        <f>IF(OR(AND(H19&lt;&gt;"",H19&gt;(MLT!$E$64)),L19="TS",O19="TS",AND(AB19&lt;&gt;"",AB19&gt;3,AC19&lt;30),AND(AE19&lt;&gt;"",AE19&gt;3,AF19&lt;30),AND(AH19&lt;&gt;"",AH19&gt;3,AI19&lt;30),AND(AL19=7,AM19&lt;30),AND(AL19=9,AM19&lt;30),AND(AO19=7,AP19&lt;30),AND(AO19=9,AP19&lt;30),AND(AR19=7,AS19&lt;30),AND(AR19=9,AS19&lt;30)),"R",IF(OR(AND(H19&lt;&gt;"",H19&gt;MLT!$H$64),AND(I19&lt;&gt;"",I19&gt;MLT!$H$64),J19&lt;MLT!$H$67,K19&lt;MLT!$H$67,R19&lt;MLT!$H$68,S19&lt;MLT!$H$68,L19="VCTS",O19="VCTS",calc!U19&gt;90,U19&lt;-29,AB19&lt;&gt;"",AK19&lt;&gt;"",AND(AL19&lt;&gt;"",AL19&gt;1),AND(AO19&lt;&gt;"",AO19&gt;1),AND(AR19&lt;&gt;"",AR19&gt;1),AND(AU19&lt;&gt;"",AU19&gt;1),AV19="LLWS",AW19="LLWS"),"Y","G"))</f>
        <v>R</v>
      </c>
      <c r="BG19" s="99" t="str">
        <f>IF(OR(AND(H19&lt;&gt;"",H19&gt;(MLT!$E$73)),L19="TS",O19="TS",AND(AB19&lt;&gt;"",AC19&lt;30),AND(AE19&lt;&gt;"",AF19&lt;30),AND(AH19&lt;&gt;"",AI19&lt;30),AND(AL19=3,AM19&lt;30),AND(AL19&lt;&gt;"",AL19&gt;4,AM19&lt;30),AND(AO19=3,AP19&lt;30),AND(AO19&lt;&gt;"",AO19&gt;4,AP19&lt;30),AND(AR19=3,AS19&lt;30),AND(AR19&lt;&gt;"",AR19&gt;4,AS19&lt;30)),"R",IF(OR(AND(H19&lt;&gt;"",H19&gt;MLT!$H$73),AND(I19&lt;&gt;"",I19&gt;MLT!$H$73),J19&lt;MLT!$H$76,K19&lt;MLT!$H$76,R19&lt;MLT!$H$77,S19&lt;MLT!$H$77,L19="VCTS",O19="VCTS",AB19&lt;&gt;"",AK19&lt;&gt;"",AL19&lt;&gt;"",AU19&lt;&gt;"",AV19="LLWS",AW19="LLWS"),"Y","G"))</f>
        <v>R</v>
      </c>
      <c r="BH19" s="99" t="str">
        <f>IF(OR(IF(H19="",G19,H19)&gt;MLT!$E$81,IF(H19="",G19,H19)-G19&gt;19,IF(F19="VRB",FALSE(),(IF(AND(F19&gt;89,F19&lt;271),SIN(RADIANS(MAX(180,F19)-MIN(180,F19))),SIN(RADIANS(IF(F19&gt;269,360-F19,F19)))))*(IF(H19="",G19,H19))&gt;MLT!$E$82),J19&lt;MLT!$E$86,L19="TS",L19="VCTS",O19="TS",R19&lt;MLT!$E$87,U19&gt;MLT!$E$88,AND(AB19&lt;&gt;"",AB19&gt;3,AC19&lt;100),AND(AE19&lt;&gt;"",AE19&gt;3,AF19&lt;100),AND(AH19&lt;&gt;"",AH19&gt;3,AI19&lt;100),AND(AL19=7,AM19&lt;100),AND(AL19=9,AM19&lt;100),AND(AO19=7,AP19&lt;100),AND(AO19=9,AP19&lt;100),AND(AR19=7,AS19&lt;100),AND(AR19=9,AS19&lt;100),AV19="LLWS"),"R",IF(OR(AND(H19&lt;&gt;"",H19&gt;14),IF(F19="VRB",FALSE(),(IF(AND(F19&gt;89,F19&lt;271),SIN(RADIANS(MAX(180,F19)-MIN(180,F19))),SIN(RADIANS(IF(F19&gt;269,360-F19,F19)))))*(IF(H19="",G19,H19))&gt;MLT!$H$82),AND(I19&lt;&gt;"",I19&gt;14),J19&lt;MLT!$H$86,K19&lt;MLT!$H$86,R19&lt;MLT!$H$87,S19&lt;MLT!$H$87,O19="VCTS",calc!U19&gt;90,AB19&lt;&gt;"",AK19&lt;&gt;"",AND(AL19&lt;&gt;"",AL19&gt;1),AND(AO19&lt;&gt;"",AO19&gt;1),AND(AR19&lt;&gt;"",AR19&gt;1),AND(AU19&lt;&gt;"",AU19&gt;1),AW19="LLWS"),"Y","G"))</f>
        <v>R</v>
      </c>
      <c r="BI19" s="99" t="str">
        <f>IF(OR(IF(H19="",G19,H19)&gt;MLT!$E$92,J19&lt;MLT!$E$95,L19="TS",L19="VCTS",O19="TS",R19&lt;MLT!$E$96,AND(AB19&lt;&gt;"",AB19&gt;3,AC19&lt;100),AND(AE19&lt;&gt;"",AE19&gt;3,AF19&lt;100),AND(AH19&lt;&gt;"",AH19&gt;3,AI19&lt;100),AND(AL19=7,AM19&lt;100),AND(AL19=9,AM19&lt;100),AND(AO19=7,AP19&lt;100),AND(AO19=9,AP19&lt;100),AND(AR19=7,AS19&lt;100),AND(AR19=9,AS19&lt;100)),"R",IF(OR(AND(H19&lt;&gt;"",H19&gt;14),AND(I19&lt;&gt;"",I19&gt;14),J19&lt;MLT!$H$95,K19&lt;MLT!$H$95,R19&lt;MLT!$H$96,S19&lt;MLT!$H$96,O19="VCTS",AB19&lt;&gt;"",AK19&lt;&gt;"",AND(AL19&lt;&gt;"",AL19&gt;1),AND(AO19&lt;&gt;"",AO19&gt;1),AND(AR19&lt;&gt;"",AR19&gt;1),AND(AU19&lt;&gt;"",AU19&gt;1),AV19="LLWS",AW19="LLWS"),"Y","G"))</f>
        <v>R</v>
      </c>
      <c r="BK19" s="41">
        <f t="shared" si="4"/>
        <v>26.047586144473744</v>
      </c>
      <c r="BL19" s="41">
        <f t="shared" si="5"/>
        <v>26.047586144473744</v>
      </c>
      <c r="BM19" s="41">
        <f>IF(R19&gt;200,T19+(LOOKUP(Worksheet!BD6,BV8:BV10,BW8:BW10)*(CA19/BZ19)),IF(AND(R19&lt;210,R19&gt;29),T19+(0.5*LOOKUP(Worksheet!BD6,BV8:BV10,BW8:BW10)*(CA19/BZ19)),T19+0.25*(LOOKUP(Worksheet!BD6,BV8:BV10,BW8:BW10)*(CA19/BZ19))))</f>
        <v>33.620770664182125</v>
      </c>
      <c r="BN19" s="41">
        <f t="shared" si="6"/>
        <v>33.271133553692152</v>
      </c>
      <c r="BO19" s="42">
        <f t="shared" si="7"/>
        <v>23.333333333333336</v>
      </c>
      <c r="BP19" s="43">
        <f t="shared" si="8"/>
        <v>98.555771136504532</v>
      </c>
      <c r="BQ19" s="44">
        <f t="shared" si="9"/>
        <v>2.8695525993461519</v>
      </c>
      <c r="BR19" s="42">
        <f t="shared" si="17"/>
        <v>38.611045786629973</v>
      </c>
      <c r="BS19" s="42">
        <f t="shared" si="10"/>
        <v>37.721060414473669</v>
      </c>
      <c r="BT19" s="42">
        <f t="shared" si="11"/>
        <v>37.721060414473669</v>
      </c>
      <c r="BU19" s="42"/>
      <c r="BV19" s="1610"/>
      <c r="BW19" s="835"/>
      <c r="BX19" s="106">
        <f>DEGREES(ASIN(BY19*COS(RADIANS(LOOKUP(Worksheet!Q6,'Light Data '!A3:A377,'Light Data '!J3:J377)))*COS(RADIANS(Worksheet!R2))+SIN(RADIANS(LOOKUP(Worksheet!Q6,'Light Data '!A3:A377,'Light Data '!J3:J377)))*SIN(RADIANS(Worksheet!R2))))</f>
        <v>11.514120848769945</v>
      </c>
      <c r="BY19" s="515">
        <f>COS(RADIANS(15*((MAX(CF5,(HOUR(C19)/24))-MIN(CF5,(HOUR(C19)/24)))*24)))</f>
        <v>-5.0157161788750106E-2</v>
      </c>
      <c r="BZ19" s="516">
        <f>IF(BX19&lt;0,0.1,((128*10^3)*(1+0.033412*COS(2*PI()*(((CH4-CH3)-3)/365)))))</f>
        <v>123724.68965631575</v>
      </c>
      <c r="CA19" s="516">
        <f>IF(BX19&lt;0,0,((128*10^3)*(1+0.033412*COS(2*PI()*(((CH4-CH3)-3)/365))))*POWER(EXP(1),0-(CB19*(1/(SIN(RADIANS(BX19+(244/(165+47*(POWER(BX19,1.1)))))))))))</f>
        <v>31460.903991056963</v>
      </c>
      <c r="CB19" s="389">
        <f t="shared" si="12"/>
        <v>0.28000000000000003</v>
      </c>
      <c r="CC19" s="112">
        <f t="shared" si="24"/>
        <v>48.771888125515503</v>
      </c>
      <c r="CD19" s="112" t="str">
        <f t="shared" si="19"/>
        <v>(49)</v>
      </c>
      <c r="CE19" s="112">
        <f t="shared" si="20"/>
        <v>99</v>
      </c>
      <c r="CF19" s="66" t="str">
        <f t="shared" si="21"/>
        <v>M1</v>
      </c>
      <c r="CI19" s="834">
        <f>INDEX('Light Data '!$H$3:$H$381,MATCH(ROUNDDOWN(C19,0),'Light Data '!$A$3:$A$381,0))-(((INDEX('Light Data '!$H$3:$H$381,MATCH(ROUNDDOWN(C19,0),'Light Data '!$A$3:$A$381,0))-(INDEX('Light Data '!$H$3:$H$381,MATCH(ROUNDDOWN(C19,0)+1,'Light Data '!$A$3:$A$381,0))))/24)*HOUR(C19))</f>
        <v>49.333333333333336</v>
      </c>
      <c r="CJ19" s="834" t="str">
        <f t="shared" si="22"/>
        <v>NA</v>
      </c>
    </row>
    <row r="20" spans="1:88" ht="15" thickTop="1" thickBot="1">
      <c r="A20" s="527">
        <f t="shared" si="23"/>
        <v>21</v>
      </c>
      <c r="B20" s="525">
        <f t="shared" si="1"/>
        <v>2100</v>
      </c>
      <c r="C20" s="3639">
        <f>Worksheet!AD80</f>
        <v>44748.874999999993</v>
      </c>
      <c r="D20" s="3639"/>
      <c r="E20" s="524">
        <f>Worksheet!AF80</f>
        <v>44749.041666666664</v>
      </c>
      <c r="F20" s="77" t="str">
        <f>IF(AND(TAF!Z7="PREDOM",E20&lt;TAF!AF7),TAF!AH7,IF(AND(TAF!Z8="PREDOM",E20&lt;TAF!AF8),TAF!AH8,IF(AND(TAF!Z9="PREDOM",E20&lt;TAF!AF9),TAF!AH9,IF(AND(TAF!Z10="PREDOM",E20&lt;TAF!AF10),TAF!AH10,IF(AND(TAF!Z11="PREDOM",E20&lt;TAF!AF11),TAF!AH11,IF(AND(TAF!Z12="PREDOM",E20&lt;TAF!AF12),TAF!AH12,IF(AND(TAF!Z13="PREDOM",E20&lt;TAF!AF13),TAF!AH13,IF(AND(TAF!Z14="PREDOM",E20&lt;TAF!AF14),TAF!AH14,IF(AND(TAF!Z15="PREDOM",E20&lt;TAF!AF15),TAF!AH15,IF(AND(TAF!Z16="PREDOM",E20&lt;TAF!AE16),TAF!AH16,IF(AND(TAF!Z17="PREDOM",E20&lt;TAF!AF17),TAF!AH17,IF(AND(TAF!Z18="PREDOM",E20&lt;TAF!AF18),TAF!AH18))))))))))))</f>
        <v>240</v>
      </c>
      <c r="G20" s="78">
        <f>IF(AND(TAF!Z7="PREDOM",E20&lt;TAF!AF7),TAF!AI7,IF(AND(TAF!Z8="PREDOM",E20&lt;TAF!AF8),TAF!AI8,IF(AND(TAF!Z9="PREDOM",E20&lt;TAF!AF9),TAF!AI9,IF(AND(TAF!Z10="PREDOM",E20&lt;TAF!AF10),TAF!AI10,IF(AND(TAF!Z11="PREDOM",E20&lt;TAF!AF11),TAF!AI11,IF(AND(TAF!Z12="PREDOM",E20&lt;TAF!AF12),TAF!AI12,IF(AND(TAF!Z13="PREDOM",E20&lt;TAF!AF13),TAF!AI13,IF(AND(TAF!Z14="PREDOM",E20&lt;TAF!AF14),TAF!AI14,IF(AND(TAF!Z15="PREDOM",E20&lt;TAF!AF15),TAF!AI15,IF(AND(TAF!Z16="PREDOM",E20&lt;TAF!AE16),TAF!AI16,IF(AND(TAF!Z17="PREDOM",E20&lt;TAF!AF17),TAF!AI17,IF(AND(TAF!Z18="PREDOM",E20&lt;TAF!AF18),TAF!AI18))))))))))))</f>
        <v>10</v>
      </c>
      <c r="H20" s="79" t="str">
        <f>IF(AND(TAF!Z7="PREDOM",E20&lt;TAF!AF7),TAF!AJ7,IF(AND(TAF!Z8="PREDOM",E20&lt;TAF!AF8),TAF!AJ8,IF(AND(TAF!Z9="PREDOM",E20&lt;TAF!AF9),TAF!AJ9,IF(AND(TAF!Z10="PREDOM",E20&lt;TAF!AF10),TAF!AJ10,IF(AND(TAF!Z11="PREDOM",E20&lt;TAF!AF11),TAF!AJ11,IF(AND(TAF!Z12="PREDOM",E20&lt;TAF!AF12),TAF!AJ12,IF(AND(TAF!Z13="PREDOM",E20&lt;TAF!AF13),TAF!AJ13,IF(AND(TAF!Z14="PREDOM",E20&lt;TAF!AF14),TAF!AJ14,IF(AND(TAF!Z15="PREDOM",E20&lt;TAF!AF15),TAF!AJ15,IF(AND(TAF!Z16="PREDOM",E20&lt;TAF!AE16),TAF!AJ16,IF(AND(TAF!Z17="PREDOM",E20&lt;TAF!AF17),TAF!AJ17,IF(AND(TAF!Z18="PREDOM",E20&lt;TAF!AF18),TAF!AJ18))))))))))))</f>
        <v/>
      </c>
      <c r="I20" s="80">
        <f>IF(AND(TAF!Z7="TEMPO",NOT(E20+0.01&lt;TAF!AC7),E20&lt;TAF!AF7),TAF!AJ7,IF(AND(TAF!Z8="TEMPO",NOT(E20+0.01&lt;TAF!AC8),E20&lt;TAF!AF8),TAF!AJ8,IF(AND(TAF!Z9="TEMPO",NOT(E20+0.01&lt;TAF!AC9),E20&lt;TAF!AF9),TAF!AJ9,IF(AND(TAF!Z10="TEMPO",NOT(E20+0.01&lt;TAF!AC10),E20&lt;TAF!AF10),TAF!AJ10,IF(AND(TAF!Z11="TEMPO",NOT(E20+0.01&lt;TAF!AC11),E20&lt;TAF!AF11),TAF!AJ11,IF(AND(TAF!Z12="TEMPO",NOT(E20+0.01&lt;TAF!AC12),E20&lt;TAF!AF12),TAF!AJ12,IF(AND(TAF!Z13="TEMPO",NOT(E20+0.01&lt;TAF!AC13),E20&lt;TAF!AF13),TAF!AJ13,IF(AND(TAF!Z14="TEMPO",NOT(E20+0.01&lt;TAF!AC14),E20&lt;TAF!AF14),TAF!AJ14,IF(AND(TAF!Z15="TEMPO",NOT(E20+0.01&lt;TAF!AC15),E20&lt;TAF!AF15),TAF!AJ15,IF(AND(TAF!Z16="TEMPO",NOT(E20+0.01&lt;TAF!AC16),E20&lt;TAF!AE16),TAF!AJ16,IF(AND(TAF!Z17="TEMPO",NOT(E20+0.01&lt;TAF!AC17),E20&lt;TAF!AF17),TAF!AJ17,IF(AND(TAF!Z18="TEMPO",NOT(E20+0.01&lt;TAF!AC18),E20&lt;TAF!AF18),TAF!AJ18,""))))))))))))</f>
        <v>20</v>
      </c>
      <c r="J20" s="81">
        <f>IF(AND(TAF!Z7="PREDOM",E20&lt;TAF!AF7),TAF!AN7,IF(AND(TAF!Z8="PREDOM",E20&lt;TAF!AF8),TAF!AN8,IF(AND(TAF!Z9="PREDOM",E20&lt;TAF!AF9),TAF!AN9,IF(AND(TAF!Z10="PREDOM",E20&lt;TAF!AF10),TAF!AN10,IF(AND(TAF!Z11="PREDOM",E20&lt;TAF!AF11),TAF!AN11,IF(AND(TAF!Z12="PREDOM",E20&lt;TAF!AF12),TAF!AN12,IF(AND(TAF!Z13="PREDOM",E20&lt;TAF!AF13),TAF!AN13,IF(AND(TAF!Z14="PREDOM",E20&lt;TAF!AF14),TAF!AN14,IF(AND(TAF!Z15="PREDOM",E20&lt;TAF!AF15),TAF!AN15,IF(AND(TAF!Z16="PREDOM",E20&lt;TAF!AE16),TAF!AN16,IF(AND(TAF!Z17="PREDOM",E20&lt;TAF!AF17),TAF!AN17,IF(AND(TAF!Z18="PREDOM",E20&lt;TAF!AF18),TAF!AN18))))))))))))</f>
        <v>7</v>
      </c>
      <c r="K20" s="82">
        <f>IF(AND(TAF!Z7="TEMPO",NOT(E20+0.01&lt;TAF!AC7),E20-0.01&lt;TAF!AF7),TAF!AN7,IF(AND(TAF!Z8="TEMPO",NOT(E20+0.01&lt;TAF!AC8),E20-0.01&lt;TAF!AF8),TAF!AN8,IF(AND(TAF!Z9="TEMPO",NOT(E20+0.01&lt;TAF!AC9),E20-0.01&lt;TAF!AF9),TAF!AN9,IF(AND(TAF!Z10="TEMPO",NOT(E20+0.01&lt;TAF!AC10),E20-0.01&lt;TAF!AF10),TAF!AN10,IF(AND(TAF!Z11="TEMPO",NOT(E20+0.01&lt;TAF!AC11),E20-0.01&lt;TAF!AF11),TAF!AN11,IF(AND(TAF!Z12="TEMPO",NOT(E20+0.01&lt;TAF!AC12),E20-0.01&lt;TAF!AF12),TAF!AN12,IF(AND(TAF!Z13="TEMPO",NOT(E20+0.01&lt;TAF!AC13),E20-0.01&lt;TAF!AF13),TAF!AN13,IF(AND(TAF!Z14="TEMPO",NOT(E20+0.01&lt;TAF!AC14),E20-0.01&lt;TAF!AF14),TAF!AN14,IF(AND(TAF!Z15="TEMPO",NOT(E20+0.01&lt;TAF!AC15),E20-0.01&lt;TAF!AF15),TAF!AN15,IF(AND(TAF!Z16="TEMPO",NOT(E20+0.01&lt;TAF!AC16),E20-0.01&lt;TAF!AE16),TAF!AN16,IF(AND(TAF!Z17="TEMPO",NOT(E20+0.01&lt;TAF!AC17),E20-0.01&lt;TAF!AF17),TAF!AN17,IF(AND(TAF!Z18="TEMPO",NOT(E20+0.01&lt;TAF!AC18),E20-0.01&lt;TAF!AF18),TAF!AN18,""))))))))))))</f>
        <v>3</v>
      </c>
      <c r="L20" s="83" t="str">
        <f t="shared" si="13"/>
        <v/>
      </c>
      <c r="M20" s="84" t="str">
        <f>IF(AND(TAF!Z7="PREDOM",E20&lt;TAF!AF7),TAF!AP7,IF(AND(TAF!Z8="PREDOM",E20&lt;TAF!AF8),TAF!AP8,IF(AND(TAF!Z9="PREDOM",E20&lt;TAF!AF9),TAF!AP9,IF(AND(TAF!Z10="PREDOM",E20&lt;TAF!AF10),TAF!AP10,IF(AND(TAF!Z11="PREDOM",E20&lt;TAF!AF11),TAF!AP11,IF(AND(TAF!Z12="PREDOM",E20&lt;TAF!AF12),TAF!AP12,IF(AND(TAF!Z13="PREDOM",E20&lt;TAF!AF13),TAF!AP13,IF(AND(TAF!Z14="PREDOM",E20&lt;TAF!AF14),TAF!AP14,IF(AND(TAF!Z15="PREDOM",E20&lt;TAF!AF15),TAF!AP15,IF(AND(TAF!Z16="PREDOM",E20&lt;TAF!AE16),TAF!AP16,IF(AND(TAF!Z17="PREDOM",E20&lt;TAF!AF17),TAF!AP17,IF(AND(TAF!Z18="PREDOM",E20&lt;TAF!AF18),TAF!AP18))))))))))))</f>
        <v/>
      </c>
      <c r="N20" s="85" t="str">
        <f t="shared" si="14"/>
        <v>N</v>
      </c>
      <c r="O20" s="85" t="str">
        <f t="shared" si="15"/>
        <v>TS</v>
      </c>
      <c r="P20" s="84" t="str">
        <f>IF(AND(TAF!Z7="TEMPO",NOT(E20+0.01&lt;TAF!AC7),E20-0.01&lt;TAF!AF7),TAF!AP7,IF(AND(TAF!Z8="TEMPO",NOT(E20+0.01&lt;TAF!AC8),E20-0.01&lt;TAF!AF8),TAF!AP8,IF(AND(TAF!Z9="TEMPO",NOT(E20+0.01&lt;TAF!AC9),E20-0.01&lt;TAF!AF9),TAF!AP9,IF(AND(TAF!Z10="TEMPO",NOT(E20+0.01&lt;TAF!AC10),E20-0.01&lt;TAF!AF10),TAF!AP10,IF(AND(TAF!Z11="TEMPO",NOT(E20+0.01&lt;TAF!AC11),E20-0.01&lt;TAF!AF11),TAF!AP11,IF(AND(TAF!Z12="TEMPO",NOT(E20+0.01&lt;TAF!AC12),E20-0.01&lt;TAF!AF12),TAF!AP12,IF(AND(TAF!Z13="TEMPO",NOT(E20+0.01&lt;TAF!AC13),E20-0.01&lt;TAF!AF13),TAF!AP13,IF(AND(TAF!Z14="TEMPO",NOT(E20+0.01&lt;TAF!AC14),E20-0.01&lt;TAF!AF14),TAF!AP14,IF(AND(TAF!Z15="TEMPO",NOT(E20+0.01&lt;TAF!AC15),E20-0.01&lt;TAF!AF15),TAF!AP15,IF(AND(TAF!Z16="TEMPO",NOT(E20+0.01&lt;TAF!AC16),E20-0.01&lt;TAF!AE16),TAF!AP16,IF(AND(TAF!Z17="TEMPO",NOT(E20+0.01&lt;TAF!AC17),E20-0.01&lt;TAF!AF17),TAF!AP17,IF(AND(TAF!Z18="TEMPO",NOT(E20+0.01&lt;TAF!AC18),E20-0.01&lt;TAF!AF18),TAF!AP18,""))))))))))))</f>
        <v>-TSRA</v>
      </c>
      <c r="Q20" s="889" t="str">
        <f>IF(OR(ISNUMBER(FIND("DZ",P20)),ISNUMBER(FIND("RA",P20)),ISNUMBER(FIND("SN",P20)),ISNUMBER(FIND("SG",P20)),ISNUMBER(FIND("IC",P20)),ISNUMBER(FIND("PL",P20)),ISNUMBER(FIND("GS",P20))),"Y","N")</f>
        <v>Y</v>
      </c>
      <c r="R20" s="86">
        <f>IF(AND(TAF!Z7="PREDOM",E20&lt;TAF!AF7),TAF!AW7,IF(AND(TAF!Z8="PREDOM",E20&lt;TAF!AF8),TAF!AW8,IF(AND(TAF!Z9="PREDOM",E20&lt;TAF!AF9),TAF!AW9,IF(AND(TAF!Z10="PREDOM",E20&lt;TAF!AF10),TAF!AW10,IF(AND(TAF!Z11="PREDOM",E20&lt;TAF!AF11),TAF!AW11,IF(AND(TAF!Z12="PREDOM",E20&lt;TAF!AF12),TAF!AW12,IF(AND(TAF!Z13="PREDOM",E20&lt;TAF!AF13),TAF!AW13,IF(AND(TAF!Z14="PREDOM",E20&lt;TAF!AF14),TAF!AW14,IF(AND(TAF!Z15="PREDOM",E20&lt;TAF!AF15),TAF!AW15,IF(AND(TAF!Z16="PREDOM",E20&lt;TAF!AE16),TAF!AW16,IF(AND(TAF!Z17="PREDOM",E20&lt;TAF!AF17),TAF!AW17,IF(AND(TAF!Z18="PREDOM",E20&lt;TAF!AF18),TAF!AW18))))))))))))</f>
        <v>250</v>
      </c>
      <c r="S20" s="87">
        <f>IF(AND(TAF!Z7="TEMPO",NOT(E20+0.01&lt;TAF!AC7),E20-0.01&lt;TAF!AF7),TAF!AW7,IF(AND(TAF!Z8="TEMPO",NOT(E20+0.01&lt;TAF!AC8),E20-0.01&lt;TAF!AF8),TAF!AW8,IF(AND(TAF!Z9="TEMPO",NOT(E20+0.01&lt;TAF!AC9),E20-0.01&lt;TAF!AF9),TAF!AW9,IF(AND(TAF!Z10="TEMPO",NOT(E20+0.01&lt;TAF!AC10),E20-0.01&lt;TAF!AF10),TAF!AW10,IF(AND(TAF!Z11="TEMPO",NOT(E20+0.01&lt;TAF!AC11),E20-0.01&lt;TAF!AF11),TAF!AW11,IF(AND(TAF!Z12="TEMPO",NOT(E20+0.01&lt;TAF!AC12),E20-0.01&lt;TAF!AF12),TAF!AW12,IF(AND(TAF!Z13="TEMPO",NOT(E20+0.01&lt;TAF!AC13),E20-0.01&lt;TAF!AF13),TAF!AW13,IF(AND(TAF!Z14="TEMPO",NOT(E20+0.01&lt;TAF!AC14),E20-0.01&lt;TAF!AF14),TAF!AW14,IF(AND(TAF!Z15="TEMPO",NOT(E20+0.01&lt;TAF!AC15),E20-0.01&lt;TAF!AF15),TAF!AW15,IF(AND(TAF!Z16="TEMPO",NOT(E20+0.01&lt;TAF!AC16),E20-0.01&lt;TAF!AE16),TAF!AW16,IF(AND(TAF!Z17="TEMPO",NOT(E20+0.01&lt;TAF!AC17),E20-0.01&lt;TAF!AF17),TAF!AW17,IF(AND(TAF!Z18="TEMPO",NOT(E20+0.01&lt;TAF!AC18),E20-0.01&lt;TAF!AF18),TAF!AW18,""))))))))))))</f>
        <v>40</v>
      </c>
      <c r="T20" s="88">
        <f>5/9*(U20-32)</f>
        <v>31.111111111111114</v>
      </c>
      <c r="U20" s="89">
        <f>Worksheet!AP80</f>
        <v>88</v>
      </c>
      <c r="V20" s="90">
        <f>Worksheet!BB80</f>
        <v>74</v>
      </c>
      <c r="W20" s="91">
        <f t="shared" si="16"/>
        <v>0.63444326022348041</v>
      </c>
      <c r="X20" s="92">
        <f>IF(X5="Wind Chill",IF(G20=0,U20,IF(U20&lt;56,35.74+(0.6215*U20)-(35.75*(G20^0.16))+(0.4275*U20*(G20^0.16)),"NA")),IF(X5="WBGT",1.8*((0.7*BL20)+(0.1*BN20)+(0.2*BT20))+32))</f>
        <v>80.880122802835544</v>
      </c>
      <c r="Y20" s="93">
        <f>Worksheet!BQ80</f>
        <v>29.92</v>
      </c>
      <c r="Z20" s="1890">
        <f>Worksheet!BT80</f>
        <v>755.92484854294287</v>
      </c>
      <c r="AA20" s="1891">
        <f>Worksheet!BV80</f>
        <v>2868.8659258900802</v>
      </c>
      <c r="AB20" s="101" t="str">
        <f>IF(AND(TAF!Z7="PREDOM",E20&lt;TAF!AF7),TAF!BS7,IF(AND(TAF!Z8="PREDOM",E20&lt;TAF!AF8),TAF!BS8,IF(AND(TAF!Z9="PREDOM",E20&lt;TAF!AF9),TAF!BS9,IF(AND(TAF!Z10="PREDOM",E20&lt;TAF!AF10),TAF!BS10,IF(AND(TAF!Z11="PREDOM",E20&lt;TAF!AF11),TAF!BS11,IF(AND(TAF!Z12="PREDOM",E20&lt;TAF!AF12),TAF!BS12,IF(AND(TAF!Z13="PREDOM",E20&lt;TAF!AF13),TAF!BS13,IF(AND(TAF!Z14="PREDOM",E20&lt;TAF!AF14),TAF!BS14,IF(AND(TAF!Z15="PREDOM",E20&lt;TAF!AF15),TAF!BS15,IF(AND(TAF!Z16="PREDOM",E20&lt;TAF!AE16),TAF!BS16,IF(AND(TAF!Z17="PREDOM",E20&lt;TAF!AF17),TAF!BS17,IF(AND(TAF!Z18="PREDOM",E20&lt;TAF!AF18),TAF!BS18))))))))))))</f>
        <v/>
      </c>
      <c r="AC20" s="901" t="str">
        <f>IF(AB20="","",IF(AND(TAF!$Z$7="PREDOM",E20&lt;TAF!$AF$7),TAF!$BT$7,IF(AND(TAF!$Z$8="PREDOM",E20&lt;TAF!$AF$8),TAF!$BT$8,IF(AND(TAF!$Z$9="PREDOM",E20&lt;TAF!$AF$9),TAF!$BT$9,IF(AND(TAF!$Z$10="PREDOM",E20&lt;TAF!$AF$10),TAF!$BT$10,IF(AND(TAF!$Z$11="PREDOM",E20&lt;TAF!$AF$11),TAF!$BT$11,IF(AND(TAF!$Z$12="PREDOM",E20&lt;TAF!$AF$12),TAF!$BT$12,IF(AND(TAF!$Z$13="PREDOM",E20&lt;TAF!$AF$13),TAF!$BT$13,IF(AND(TAF!$Z$14="PREDOM",E20&lt;TAF!$AF$14),TAF!$BT$14,IF(AND(TAF!$Z$15="PREDOM",E20&lt;TAF!$AF$15),TAF!$BT$15,IF(AND(TAF!$Z$16="PREDOM",E20&lt;TAF!AE28),TAF!$BT$16,IF(AND(TAF!$Z$17="PREDOM",E20&lt;TAF!$AF$17),TAF!$BT$17,IF(AND(TAF!$Z$18="PREDOM",E20&lt;TAF!$AF$18),TAF!$BT$18)))))))))))))</f>
        <v/>
      </c>
      <c r="AD20" s="905" t="str">
        <f>IF(AB20="","",IF(AND(TAF!$Z$7="PREDOM",E20&lt;TAF!$AF$7),TAF!$BU$7,IF(AND(TAF!$Z$8="PREDOM",E20&lt;TAF!$AF$8),TAF!$BU$8,IF(AND(TAF!$Z$9="PREDOM",E20&lt;TAF!$AF$9),TAF!$BU$9,IF(AND(TAF!$Z$10="PREDOM",E20&lt;TAF!$AF$10),TAF!$BU$10,IF(AND(TAF!$Z$11="PREDOM",E20&lt;TAF!$AF$11),TAF!$BU$11,IF(AND(TAF!$Z$12="PREDOM",E20&lt;TAF!$AF$12),TAF!$BU$12,IF(AND(TAF!$Z$13="PREDOM",E20&lt;TAF!$AF$13),TAF!$BU$13,IF(AND(TAF!$Z$14="PREDOM",E20&lt;TAF!$AF$14),TAF!$BU$14,IF(AND(TAF!$Z$15="PREDOM",E20&lt;TAF!$AF$15),TAF!$BU$15,IF(AND(TAF!$Z$16="PREDOM",E20&lt;TAF!AE28),TAF!$BU$16,IF(AND(TAF!$Z$17="PREDOM",E20&lt;TAF!$AF$17),TAF!$BU$17,IF(AND(TAF!$Z$18="PREDOM",E20&lt;TAF!$AF$18),TAF!$BU$18)))))))))))))</f>
        <v/>
      </c>
      <c r="AE20" s="101" t="str">
        <f>IF(AND(TAF!Z7="PREDOM",E20&lt;TAF!AF7),TAF!BV7,IF(AND(TAF!Z8="PREDOM",E20&lt;TAF!AF8),TAF!BV8,IF(AND(TAF!Z9="PREDOM",E20&lt;TAF!AF9),TAF!BV9,IF(AND(TAF!Z10="PREDOM",E20&lt;TAF!AF10),TAF!BV10,IF(AND(TAF!Z11="PREDOM",E20&lt;TAF!AF11),TAF!BV11,IF(AND(TAF!Z12="PREDOM",E20&lt;TAF!AF12),TAF!BV12,IF(AND(TAF!Z13="PREDOM",E20&lt;TAF!AF13),TAF!BV13,IF(AND(TAF!Z14="PREDOM",E20&lt;TAF!AF14),TAF!BV14,IF(AND(TAF!Z15="PREDOM",E20&lt;TAF!AF15),TAF!BV15,IF(AND(TAF!Z16="PREDOM",E20&lt;TAF!AE16),TAF!BV16,IF(AND(TAF!Z17="PREDOM",E20&lt;TAF!AF17),TAF!BV17,IF(AND(TAF!Z18="PREDOM",E20&lt;TAF!AF18),TAF!BV18))))))))))))</f>
        <v/>
      </c>
      <c r="AF20" s="901" t="str">
        <f>IF(AE20="","",IF(AND(TAF!$Z$7="PREDOM",E20&lt;TAF!$AF$7),TAF!$BW$7,IF(AND(TAF!$Z$8="PREDOM",E20&lt;TAF!$AF$8),TAF!$BW$8,IF(AND(TAF!$Z$9="PREDOM",E20&lt;TAF!$AF$9),TAF!$BW$9,IF(AND(TAF!$Z$10="PREDOM",E20&lt;TAF!$AF$10),TAF!$BW$10,IF(AND(TAF!$Z$11="PREDOM",E20&lt;TAF!$AF$11),TAF!$BW$11,IF(AND(TAF!$Z$12="PREDOM",E20&lt;TAF!$AF$12),TAF!$BW$12,IF(AND(TAF!$Z$13="PREDOM",E20&lt;TAF!$AF$13),TAF!$BW$13,IF(AND(TAF!$Z$14="PREDOM",E20&lt;TAF!$AF$14),TAF!$BW$14,IF(AND(TAF!$Z$15="PREDOM",E20&lt;TAF!$AF$15),TAF!$BW$15,IF(AND(TAF!$Z$16="PREDOM",E20&lt;TAF!AE28),TAF!$BW$16,IF(AND(TAF!$Z$17="PREDOM",E20&lt;TAF!$AF$17),TAF!$BW$17,IF(AND(TAF!$Z$18="PREDOM",E20&lt;TAF!$AF$18),TAF!$BW$18)))))))))))))</f>
        <v/>
      </c>
      <c r="AG20" s="905" t="str">
        <f>IF(AE20="","",IF(AND(TAF!$Z$7="PREDOM",E20&lt;TAF!$AF$7),TAF!$BX$7,IF(AND(TAF!$Z$8="PREDOM",E20&lt;TAF!$AF$8),TAF!$BX$8,IF(AND(TAF!$Z$9="PREDOM",E20&lt;TAF!$AF$9),TAF!$BX$9,IF(AND(TAF!$Z$10="PREDOM",E20&lt;TAF!$AF$10),TAF!$BX$10,IF(AND(TAF!$Z$11="PREDOM",E20&lt;TAF!$AF$11),TAF!$BX$11,IF(AND(TAF!$Z$12="PREDOM",E20&lt;TAF!$AF$12),TAF!$BX$12,IF(AND(TAF!$Z$13="PREDOM",E20&lt;TAF!$AF$13),TAF!$BX$13,IF(AND(TAF!$Z$14="PREDOM",E20&lt;TAF!$AF$14),TAF!$BX$14,IF(AND(TAF!$Z$15="PREDOM",E20&lt;TAF!$AF$15),TAF!$BX$15,IF(AND(TAF!$Z$16="PREDOM",E20&lt;TAF!AE28),TAF!$BX$16,IF(AND(TAF!$Z$17="PREDOM",E20&lt;TAF!$AF$17),TAF!$BX$17,IF(AND(TAF!$Z$18="PREDOM",E20&lt;TAF!$AF$18),TAF!$BX$18)))))))))))))</f>
        <v/>
      </c>
      <c r="AH20" s="893" t="str">
        <f>IF(AND(TAF!$Z$7="PREDOM",E20&lt;TAF!$AF$7),TAF!$BY$7,IF(AND(TAF!$Z$8="PREDOM",E20&lt;TAF!$AF$8),TAF!$BY$8,IF(AND(TAF!$Z$9="PREDOM",E20&lt;TAF!$AF$9),TAF!$BY$9,IF(AND(TAF!$Z$10="PREDOM",E20&lt;TAF!$AF$10),TAF!$BY$10,IF(AND(TAF!$Z$11="PREDOM",E20&lt;TAF!$AF$11),TAF!$BY$11,IF(AND(TAF!$Z$12="PREDOM",E20&lt;TAF!$AF$12),TAF!$BY$12,IF(AND(TAF!$Z$13="PREDOM",E20&lt;TAF!$AF$13),TAF!$BY$13,IF(AND(TAF!$Z$14="PREDOM",E20&lt;TAF!$AF$14),TAF!$BY$14,IF(AND(TAF!$Z$15="PREDOM",E20&lt;TAF!$AF$15),TAF!$BY$15,IF(AND(TAF!$Z$16="PREDOM",E20&lt;TAF!$AF$16),TAF!$BY$16,IF(AND(TAF!$Z$17="PREDOM",E20&lt;TAF!$AF$17),TAF!$BY$17,IF(AND(TAF!$Z$18="PREDOM",E20&lt;TAF!$AF$18),TAF!$BY$18))))))))))))</f>
        <v/>
      </c>
      <c r="AI20" s="901" t="str">
        <f>IF(AH20="","",IF(AND(TAF!$Z$7="PREDOM",E20&lt;TAF!$AF$7),TAF!$BZ$7,IF(AND(TAF!$Z$8="PREDOM",E20&lt;TAF!$AF$8),TAF!$BZ$8,IF(AND(TAF!$Z$9="PREDOM",E20&lt;TAF!$AF$9),TAF!$BZ$9,IF(AND(TAF!$Z$10="PREDOM",E20&lt;TAF!$AF$10),TAF!$BZ$10,IF(AND(TAF!$Z$11="PREDOM",E20&lt;TAF!$AF$11),TAF!$BZ$11,IF(AND(TAF!$Z$12="PREDOM",E20&lt;TAF!$AF$12),TAF!$BZ$12,IF(AND(TAF!$Z$13="PREDOM",E20&lt;TAF!$AF$13),TAF!$BZ$13,IF(AND(TAF!$Z$14="PREDOM",E20&lt;TAF!$AF$14),TAF!$BZ$14,IF(AND(TAF!$Z$15="PREDOM",E20&lt;TAF!$AF$15),TAF!$BZ$15,IF(AND(TAF!$Z$16="PREDOM",E20&lt;TAF!AE28),TAF!$BZ$16,IF(AND(TAF!$Z$17="PREDOM",E20&lt;TAF!$AF$17),TAF!$BZ$17,IF(AND(TAF!$Z$18="PREDOM",E20&lt;TAF!$AF$18),TAF!$BZ$18)))))))))))))</f>
        <v/>
      </c>
      <c r="AJ20" s="905" t="str">
        <f>IF(AH20="","",IF(AND(TAF!$Z$7="PREDOM",E20&lt;TAF!$AF$7),TAF!$CA$7,IF(AND(TAF!$Z$8="PREDOM",E20&lt;TAF!$AF$8),TAF!$CA$8,IF(AND(TAF!$Z$9="PREDOM",E20&lt;TAF!$AF$9),TAF!$CA$9,IF(AND(TAF!$Z$10="PREDOM",E20&lt;TAF!$AF$10),TAF!$CA$10,IF(AND(TAF!$Z$11="PREDOM",E20&lt;TAF!$AF$11),TAF!$CA$11,IF(AND(TAF!$Z$12="PREDOM",E20&lt;TAF!$AF$12),TAF!$CA$12,IF(AND(TAF!$Z$13="PREDOM",E20&lt;TAF!$AF$13),TAF!$CA$13,IF(AND(TAF!$Z$14="PREDOM",E20&lt;TAF!$AF$14),TAF!$CA$14,IF(AND(TAF!$Z$15="PREDOM",E20&lt;TAF!$AF$15),TAF!$CA$15,IF(AND(TAF!$Z$16="PREDOM",E20&lt;TAF!AE28),TAF!$CA$16,IF(AND(TAF!$Z$17="PREDOM",E20&lt;TAF!$AF$17),TAF!$CA$17,IF(AND(TAF!$Z$18="PREDOM",E20&lt;TAF!$AF$18),TAF!$CA$18)))))))))))))</f>
        <v/>
      </c>
      <c r="AK20" s="102" t="str">
        <f>IF(AND(TAF!Z7="TEMPO",NOT(E20+0.01&lt;TAF!AC7),E20-0.01&lt;TAF!AF7),TAF!CB7,IF(AND(TAF!Z8="TEMPO",NOT(E20+0.01&lt;TAF!AC8),E20-0.01&lt;TAF!AF8),TAF!CB8,IF(AND(TAF!Z9="TEMPO",NOT(E20+0.01&lt;TAF!AC9),E20-0.01&lt;TAF!AF9),TAF!CB9,IF(AND(TAF!Z10="TEMPO",NOT(E20+0.01&lt;TAF!AC10),E20-0.01&lt;TAF!AF10),TAF!CB10,IF(AND(TAF!Z11="TEMPO",NOT(E20+0.01&lt;TAF!AC11),E20-0.01&lt;TAF!AF11),TAF!CB11,IF(AND(TAF!Z12="TEMPO",NOT(E20+0.01&lt;TAF!AC12),E20-0.01&lt;TAF!AF12),TAF!CB12,IF(AND(TAF!Z13="TEMPO",NOT(E20+0.01&lt;TAF!AC13),E20-0.01&lt;TAF!AF13),TAF!CB13,IF(AND(TAF!Z14="TEMPO",NOT(E20+0.01&lt;TAF!AC14),E20-0.01&lt;TAF!AF14),TAF!CB14,IF(AND(TAF!Z15="TEMPO",NOT(E20+0.01&lt;TAF!AC15),E20-0.01&lt;TAF!AF15),TAF!CB15,IF(AND(TAF!Z16="TEMPO",NOT(E20+0.01&lt;TAF!AC16),E20-0.01&lt;TAF!AE16),TAF!CB16,IF(AND(TAF!Z17="TEMPO",NOT(E20+0.01&lt;TAF!AC17),E20-0.01&lt;TAF!AF17),TAF!CB17,IF(AND(TAF!Z18="TEMPO",NOT(E20+0.01&lt;TAF!AC18),E20-0.01&lt;TAF!AF18),TAF!CB18,""))))))))))))</f>
        <v/>
      </c>
      <c r="AL20" s="101" t="str">
        <f>IF(AND(TAF!Z7="PREDOM",E20&lt;TAF!AF7),TAF!BG7,IF(AND(TAF!Z8="PREDOM",E20&lt;TAF!AF8),TAF!BG8,IF(AND(TAF!Z9="PREDOM",E20&lt;TAF!AF9),TAF!BG9,IF(AND(TAF!Z10="PREDOM",E20&lt;TAF!AF10),TAF!BG10,IF(AND(TAF!Z11="PREDOM",E20&lt;TAF!AF11),TAF!BG11,IF(AND(TAF!Z12="PREDOM",E20&lt;TAF!AF12),TAF!BG12,IF(AND(TAF!Z13="PREDOM",E20&lt;TAF!AF13),TAF!BG13,IF(AND(TAF!Z14="PREDOM",E20&lt;TAF!AF14),TAF!BG14,IF(AND(TAF!Z15="PREDOM",E20&lt;TAF!AF15),TAF!BG15,IF(AND(TAF!Z16="PREDOM",E20&lt;TAF!AE16),TAF!BG16,IF(AND(TAF!Z17="PREDOM",E20&lt;TAF!AF17),TAF!BG17,IF(AND(TAF!Z18="PREDOM",E20&lt;TAF!AF18),TAF!BG18))))))))))))</f>
        <v/>
      </c>
      <c r="AM20" s="901" t="str">
        <f>IF(AND(TAF!Z7="PREDOM",E20&lt;TAF!AF7),TAF!BH7,IF(AND(TAF!Z8="PREDOM",E20&lt;TAF!AF8),TAF!BH8,IF(AND(TAF!Z9="PREDOM",E20&lt;TAF!AF9),TAF!BH9,IF(AND(TAF!Z10="PREDOM",E20&lt;TAF!AF10),TAF!BH10,IF(AND(TAF!Z11="PREDOM",E20&lt;TAF!AF11),TAF!BH11,IF(AND(TAF!Z12="PREDOM",E20&lt;TAF!AF12),TAF!BH12,IF(AND(TAF!Z13="PREDOM",E20&lt;TAF!AF13),TAF!BH13,IF(AND(TAF!Z14="PREDOM",E20&lt;TAF!AF14),TAF!BH14,IF(AND(TAF!Z15="PREDOM",E20&lt;TAF!AF15),TAF!BH15,IF(AND(TAF!Z16="PREDOM",E20&lt;TAF!AE16),TAF!BH16,IF(AND(TAF!Z17="PREDOM",E20&lt;TAF!AF17),TAF!BH17,IF(AND(TAF!Z18="PREDOM",E20&lt;TAF!AF18),TAF!BH18))))))))))))</f>
        <v/>
      </c>
      <c r="AN20" s="905" t="str">
        <f>IF(AND(TAF!Z7="PREDOM",E20&lt;TAF!AF7),TAF!BI7,IF(AND(TAF!Z8="PREDOM",E20&lt;TAF!AF8),TAF!BI8,IF(AND(TAF!Z9="PREDOM",E20&lt;TAF!AF9),TAF!BI9,IF(AND(TAF!Z10="PREDOM",E20&lt;TAF!AF10),TAF!BI10,IF(AND(TAF!Z11="PREDOM",E20&lt;TAF!AF11),TAF!BI11,IF(AND(TAF!Z12="PREDOM",E20&lt;TAF!AF12),TAF!BI12,IF(AND(TAF!Z13="PREDOM",E20&lt;TAF!AF13),TAF!BI13,IF(AND(TAF!Z14="PREDOM",E20&lt;TAF!AF14),TAF!BI14,IF(AND(TAF!Z15="PREDOM",E20&lt;TAF!AF15),TAF!BI15,IF(AND(TAF!Z16="PREDOM",E20&lt;TAF!AE16),TAF!BI16,IF(AND(TAF!Z17="PREDOM",E20&lt;TAF!AF17),TAF!BI17,IF(AND(TAF!Z18="PREDOM",E20&lt;TAF!AF18),TAF!BI18))))))))))))</f>
        <v/>
      </c>
      <c r="AO20" s="101" t="str">
        <f>IF(AND(TAF!Z7="PREDOM",E20&lt;TAF!AF7),TAF!BJ7,IF(AND(TAF!Z8="PREDOM",E20&lt;TAF!AF8),TAF!BJ8,IF(AND(TAF!Z9="PREDOM",E20&lt;TAF!AF9),TAF!BJ9,IF(AND(TAF!Z10="PREDOM",E20&lt;TAF!AF10),TAF!BJ10,IF(AND(TAF!Z11="PREDOM",E20&lt;TAF!AF11),TAF!BJ11,IF(AND(TAF!Z12="PREDOM",E20&lt;TAF!AF12),TAF!BJ12,IF(AND(TAF!Z13="PREDOM",E20&lt;TAF!AF13),TAF!BJ13,IF(AND(TAF!Z14="PREDOM",E20&lt;TAF!AF14),TAF!BJ14,IF(AND(TAF!Z15="PREDOM",E20&lt;TAF!AF15),TAF!BJ15,IF(AND(TAF!Z16="PREDOM",E20&lt;TAF!AE16),TAF!BJ16,IF(AND(TAF!Z17="PREDOM",E20&lt;TAF!AF17),TAF!BJ17,IF(AND(TAF!Z18="PREDOM",E20&lt;TAF!AF18),TAF!BJ18))))))))))))</f>
        <v/>
      </c>
      <c r="AP20" s="913" t="str">
        <f>IF(AND(TAF!Z7="PREDOM",E20&lt;TAF!AF7),TAF!BK7,IF(AND(TAF!Z8="PREDOM",E20&lt;TAF!AF8),TAF!BK8,IF(AND(TAF!Z9="PREDOM",E20&lt;TAF!AF9),TAF!BK9,IF(AND(TAF!Z10="PREDOM",E20&lt;TAF!AF10),TAF!BK10,IF(AND(TAF!Z11="PREDOM",E20&lt;TAF!AF11),TAF!BK11,IF(AND(TAF!Z12="PREDOM",E20&lt;TAF!AF12),TAF!BK12,IF(AND(TAF!Z13="PREDOM",E20&lt;TAF!AF13),TAF!BK13,IF(AND(TAF!Z14="PREDOM",E20&lt;TAF!AF14),TAF!BK14,IF(AND(TAF!Z15="PREDOM",E20&lt;TAF!AF15),TAF!BK15,IF(AND(TAF!Z16="PREDOM",E20&lt;TAF!AE16),TAF!BK16,IF(AND(TAF!Z17="PREDOM",E20&lt;TAF!AF17),TAF!BK17,IF(AND(TAF!Z18="PREDOM",E20&lt;TAF!AF18),TAF!BK18))))))))))))</f>
        <v/>
      </c>
      <c r="AQ20" s="909" t="str">
        <f>IF(AND(TAF!Z7="PREDOM",E20&lt;TAF!AF7),TAF!BL7,IF(AND(TAF!Z8="PREDOM",E20&lt;TAF!AF8),TAF!BL8,IF(AND(TAF!Z9="PREDOM",E20&lt;TAF!AF9),TAF!BL9,IF(AND(TAF!Z10="PREDOM",E20&lt;TAF!AF10),TAF!BL10,IF(AND(TAF!Z11="PREDOM",E20&lt;TAF!AF11),TAF!BL11,IF(AND(TAF!Z12="PREDOM",E20&lt;TAF!AF12),TAF!BL12,IF(AND(TAF!Z13="PREDOM",E20&lt;TAF!AF13),TAF!BL13,IF(AND(TAF!Z14="PREDOM",E20&lt;TAF!AF14),TAF!BL14,IF(AND(TAF!Z15="PREDOM",E20&lt;TAF!AF15),TAF!BL15,IF(AND(TAF!Z16="PREDOM",E20&lt;TAF!AE16),TAF!BL16,IF(AND(TAF!Z17="PREDOM",E20&lt;TAF!AF17),TAF!BL17,IF(AND(TAF!Z18="PREDOM",E20&lt;TAF!AF18),TAF!BL18))))))))))))</f>
        <v/>
      </c>
      <c r="AR20" s="893" t="str">
        <f>IF(AND(TAF!Z7="PREDOM",E20&lt;TAF!AF7),TAF!BM7,IF(AND(TAF!Z8="PREDOM",E20&lt;TAF!AF8),TAF!BM8,IF(AND(TAF!Z9="PREDOM",E20&lt;TAF!AF9),TAF!BM9,IF(AND(TAF!Z10="PREDOM",E20&lt;TAF!AF10),TAF!BM10,IF(AND(TAF!Z11="PREDOM",E20&lt;TAF!AF11),TAF!BM11,IF(AND(TAF!Z12="PREDOM",E20&lt;TAF!AF12),TAF!BM12,IF(AND(TAF!Z13="PREDOM",E20&lt;TAF!AF13),TAF!BM13,IF(AND(TAF!Z14="PREDOM",E20&lt;TAF!AF14),TAF!BM14,IF(AND(TAF!Z15="PREDOM",E20&lt;TAF!AF15),TAF!BM15,IF(AND(TAF!Z16="PREDOM",E20&lt;TAF!AE16),TAF!BM16,IF(AND(TAF!Z17="PREDOM",E20&lt;TAF!AF17),TAF!BM17,IF(AND(TAF!Z18="PREDOM",E20&lt;TAF!AF18),TAF!BM18))))))))))))</f>
        <v/>
      </c>
      <c r="AS20" s="913" t="str">
        <f>IF(AND(TAF!Z7="PREDOM",E20&lt;TAF!AF7),TAF!BN7,IF(AND(TAF!Z8="PREDOM",E20&lt;TAF!AF8),TAF!BN8,IF(AND(TAF!Z9="PREDOM",E20&lt;TAF!AF9),TAF!BN9,IF(AND(TAF!Z10="PREDOM",E20&lt;TAF!AF10),TAF!BN10,IF(AND(TAF!Z11="PREDOM",E20&lt;TAF!AF11),TAF!BN11,IF(AND(TAF!Z12="PREDOM",E20&lt;TAF!AF12),TAF!BN12,IF(AND(TAF!Z13="PREDOM",E20&lt;TAF!AF13),TAF!BN13,IF(AND(TAF!Z14="PREDOM",E20&lt;TAF!AF14),TAF!BN14,IF(AND(TAF!Z15="PREDOM",E20&lt;TAF!AF15),TAF!BN15,IF(AND(TAF!Z16="PREDOM",E20&lt;TAF!AE16),TAF!BN16,IF(AND(TAF!Z17="PREDOM",E20&lt;TAF!AF17),TAF!BN17,IF(AND(TAF!Z18="PREDOM",E20&lt;TAF!AF18),TAF!BN18))))))))))))</f>
        <v/>
      </c>
      <c r="AT20" s="909" t="str">
        <f>IF(AND(TAF!Z7="PREDOM",E20&lt;TAF!AF7),TAF!BO7,IF(AND(TAF!Z8="PREDOM",E20&lt;TAF!AF8),TAF!BO8,IF(AND(TAF!Z9="PREDOM",E20&lt;TAF!AF9),TAF!BO9,IF(AND(TAF!Z10="PREDOM",E20&lt;TAF!AF10),TAF!BO10,IF(AND(TAF!Z11="PREDOM",E20&lt;TAF!AF11),TAF!BO11,IF(AND(TAF!Z12="PREDOM",E20&lt;TAF!AF12),TAF!BO12,IF(AND(TAF!Z13="PREDOM",E20&lt;TAF!AF13),TAF!BO13,IF(AND(TAF!Z14="PREDOM",E20&lt;TAF!AF14),TAF!BO14,IF(AND(TAF!Z15="PREDOM",E20&lt;TAF!AF15),TAF!BO15,IF(AND(TAF!Z16="PREDOM",E20&lt;TAF!AE16),TAF!BO16,IF(AND(TAF!Z17="PREDOM",E20&lt;TAF!AF17),TAF!BO17,IF(AND(TAF!Z18="PREDOM",E20&lt;TAF!AF18),TAF!BO18))))))))))))</f>
        <v/>
      </c>
      <c r="AU20" s="102" t="str">
        <f>IF(AND(TAF!Z7="TEMPO",NOT(E20+0.01&lt;TAF!AC7),E20-0.01&lt;TAF!AF7),TAF!BP7,IF(AND(TAF!Z8="TEMPO",NOT(E20+0.01&lt;TAF!AC8),E20-0.01&lt;TAF!AF8),TAF!BP8,IF(AND(TAF!Z9="TEMPO",NOT(E20+0.01&lt;TAF!AC9),E20-0.01&lt;TAF!AF9),TAF!BP9,IF(AND(TAF!Z10="TEMPO",NOT(E20+0.01&lt;TAF!AC10),E20-0.01&lt;TAF!AF10),TAF!BP10,IF(AND(TAF!Z11="TEMPO",NOT(E20+0.01&lt;TAF!AC11),E20-0.01&lt;TAF!AF11),TAF!BP11,IF(AND(TAF!Z12="TEMPO",NOT(E20+0.01&lt;TAF!AC12),E20-0.01&lt;TAF!AF12),TAF!BP12,IF(AND(TAF!Z13="TEMPO",NOT(E20+0.01&lt;TAF!AC13),E20-0.01&lt;TAF!AF13),TAF!BP13,IF(AND(TAF!Z14="TEMPO",NOT(E20+0.01&lt;TAF!AC14),E20-0.01&lt;TAF!AF14),TAF!BP14,IF(AND(TAF!Z15="TEMPO",NOT(E20+0.01&lt;TAF!AC15),E20-0.01&lt;TAF!AF15),TAF!BP15,IF(AND(TAF!Z16="TEMPO",NOT(E20+0.01&lt;TAF!AC16),E20-0.01&lt;TAF!AE16),TAF!BP16,IF(AND(TAF!Z17="TEMPO",NOT(E20+0.01&lt;TAF!AC17),E20-0.01&lt;TAF!AF17),TAF!BP17,IF(AND(TAF!Z18="TEMPO",NOT(E20+0.01&lt;TAF!AC18),E20-0.01&lt;TAF!AF18),TAF!BP18,""))))))))))))</f>
        <v/>
      </c>
      <c r="AV20" s="103" t="str">
        <f>IF(AND(TAF!Z7="PREDOM",E20&lt;TAF!AF7),TAF!CD7,IF(AND(TAF!Z8="PREDOM",E20&lt;TAF!AF8),TAF!CD8,IF(AND(TAF!Z9="PREDOM",E20&lt;TAF!AF9),TAF!CD9,IF(AND(TAF!Z10="PREDOM",E20&lt;TAF!AF10),TAF!CD10,IF(AND(TAF!Z11="PREDOM",E20&lt;TAF!AF11),TAF!CD11,IF(AND(TAF!Z12="PREDOM",E20&lt;TAF!AF12),TAF!CD12,IF(AND(TAF!Z13="PREDOM",E20&lt;TAF!AF13),TAF!CD13,IF(AND(TAF!Z14="PREDOM",E20&lt;TAF!AF14),TAF!CD14,IF(AND(TAF!Z15="PREDOM",E20&lt;TAF!AF15),TAF!CD15,IF(AND(TAF!Z16="PREDOM",E20&lt;TAF!AE16),TAF!CD16,IF(AND(TAF!Z17="PREDOM",E20&lt;TAF!AF17),TAF!CD17,IF(AND(TAF!Z18="PREDOM",E20&lt;TAF!AF18),TAF!CD18))))))))))))</f>
        <v/>
      </c>
      <c r="AW20" s="97" t="str">
        <f>IF(AND(TAF!Z7="TEMPO",NOT(E20+0.01&lt;TAF!AC7),E20-0.01&lt;TAF!AF7),TAF!CD7,IF(AND(TAF!Z8="TEMPO",NOT(E20+0.01&lt;TAF!AC8),E20-0.01&lt;TAF!AF8),TAF!CD8,IF(AND(TAF!Z9="TEMPO",NOT(E20+0.01&lt;TAF!AC9),E20-0.01&lt;TAF!AF9),TAF!CD9,IF(AND(TAF!Z10="TEMPO",NOT(E20+0.01&lt;TAF!AC10),E20-0.01&lt;TAF!AF10),TAF!CD10,IF(AND(TAF!Z11="TEMPO",NOT(E20+0.01&lt;TAF!AC11),E20-0.01&lt;TAF!AF11),TAF!CD11,IF(AND(TAF!Z12="TEMPO",NOT(E20+0.01&lt;TAF!AC12),E20-0.01&lt;TAF!AF12),TAF!CD12,IF(AND(TAF!Z13="TEMPO",NOT(E20+0.01&lt;TAF!AC13),E20-0.01&lt;TAF!AF13),TAF!CD13,IF(AND(TAF!Z14="TEMPO",NOT(E20+0.01&lt;TAF!AC14),E20-0.01&lt;TAF!AF14),TAF!CD14,IF(AND(TAF!Z15="TEMPO",NOT(E20+0.01&lt;TAF!AC15),E20-0.01&lt;TAF!AF15),TAF!CD15,IF(AND(TAF!Z16="TEMPO",NOT(E20+0.01&lt;TAF!AC16),E20-0.01&lt;TAF!AE16),TAF!CD16,IF(AND(TAF!Z17="TEMPO",NOT(E20+0.01&lt;TAF!AC17),E20-0.01&lt;TAF!AF17),TAF!CD17,IF(AND(TAF!Z18="TEMPO",NOT(E20+0.01&lt;TAF!AC18),E20-0.01&lt;TAF!AF18),TAF!CD18,""))))))))))))</f>
        <v/>
      </c>
      <c r="AX20" s="99" t="str">
        <f>IF(OR(AND(H20&lt;&gt;"",H20&gt;(MLT!$E$5-1)),J20&lt;(MLT!$E$8+0.01),L20="TS",O20="TS",R20&lt;(MLT!$E$9),AND(AB20&lt;&gt;"",AB20&gt;(MLT!$E$6-1)),AL20=MLT!$E$7,AL20=MLT!$F$7),"R",IF(OR(AND(H20&lt;&gt;"",H20&gt;(MLT!$H$5-1)),AND(I20&lt;&gt;"",I20&gt;(MLT!$H$5-1)),J20&lt;MLT!$H$8,K20&lt;MLT!$H$8,L20=MLT!$H$10,O20=MLT!$E$10,O20=MLT!$H$10,R20&lt;MLT!$H$9,S20&lt;MLT!$H$9,AND(AB20&lt;&gt;"",AB20&gt;0),AND(AE20&lt;&gt;"",AE20&gt;0),AND(AH20&lt;&gt;"",AH20&gt;0),AND(AK20&lt;&gt;"",AK20&gt;0),AND(AL20&lt;&gt;"",AL20&lt;&gt;4,AL20&gt;2),AND(AO20&lt;&gt;"",AO20&lt;&gt;4,AO20&gt;2),AND(AR20&lt;&gt;"",AR20&lt;&gt;4,AR20&gt;2),AND(AU20&lt;&gt;"",AU20&lt;&gt;4,AU20&gt;2)),"Y","G"))</f>
        <v>R</v>
      </c>
      <c r="AY20" s="99" t="str">
        <f>IF(OR(AND(H20&lt;&gt;"",H20&gt;(MLT!$E$13-1)),J20&lt;MLT!$E$17,R20&lt;MLT!$E$19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$13-1)),AND(I20&lt;&gt;"",I20&gt;(MLT!$H$13-1)),J20&lt;MLT!$H$17,K20&lt;MLT!$H$17,R20&lt;MLT!$H$19,S20&lt;MLT!$H$19,L20="VCTS",O20="VCTS",AND(AB20&lt;&gt;"",AB20&gt;1),AND(AK20&lt;&gt;"",AK20&gt;0),AND(AL20&lt;&gt;"",AL20&gt;1),AND(AO20&lt;&gt;"",AO20&gt;1),AND(AR20&lt;&gt;"",AR20&gt;1),AU20=3,AND(AU20&lt;&gt;"",AU20&gt;4),AV20="LLWS",AW20="LLWS"),"Y","G"))</f>
        <v>R</v>
      </c>
      <c r="AZ20" s="99" t="str">
        <f>IF(OR(AND(H20&lt;&gt;"",H20&gt;(MLT!$E$13-1)),J20&lt;MLT!$E$16,R20&lt;MLT!$E$18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$13-1)),AND(I20&lt;&gt;"",I20&gt;(MLT!$H$13-1)),J20&lt;MLT!$H$17,K20&lt;MLT!$H$17,R20&lt;MLT!$H$19,S20&lt;MLT!$H$19,L20="VCTS",O20="VCTS",AND(AB20&lt;&gt;"",AB20&gt;1),AND(AK20&lt;&gt;"",AK20&gt;0),AND(AL20&lt;&gt;"",AL20&gt;1),AND(AO20&lt;&gt;"",AO20&gt;1),AND(AR20&lt;&gt;"",AR20&gt;1),AU20=3,AND(AU20&lt;&gt;"",AU20&gt;4),AV20="LLWS",AW20="LLWS"),"Y","G"))</f>
        <v>R</v>
      </c>
      <c r="BA20" s="99" t="str">
        <f>IF(OR(IF(MEF!$AP$14="Hoist",OR(G20&gt;19,AND(H20&lt;&gt;"",H20&gt;19)),AND(H20&lt;&gt;"",H20&gt;(MLT!$E$23-1))),AND(B20&gt;MEF!$Z$11,J20&lt;MLT!$E$26),AND(B20&lt;MEF!$E$53,J20&lt;MLT!$E$26),J20&lt;MLT!$E$27,AND(B20&gt;MEF!$Z$11,R20&lt;MLT!$E$28),AND(B20&lt;MEF!$E$53,R20&lt;MLT!$E$28),R20&lt;MLT!$E$29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H$23-1)),AND(I20&lt;&gt;"",I20&gt;(MLT!$H$23-1)),AND(B20&gt;MEF!$Z$11,J20&lt;MLT!$H$26),AND(B20&lt;MEF!$E$53,J20&lt;MLT!$H$26),AND(B20&gt;MEF!$Z$11,K20&lt;MLT!$H$26),AND(B20&lt;MEF!$E$53,K20&lt;MLT!$H$26),J20&lt;MLT!$H$27,K20&lt;MLT!$H$27,AND(B20&gt;MEF!$Z$11,R20&lt;MLT!$H$28),AND(B20&lt;MEF!$E$53,R20&lt;MLT!$H$28),AND(B20&gt;MEF!$Z$11,S20&lt;MLT!$H$28),AND(B20&lt;MEF!$E$53,S20&lt;MLT!$H$28),R20&lt;MLT!$H$29,S20&lt;MLT!$H$29,L20="VCTS",O20="VCTS",U20&gt;90,U20&lt;-29,AB20&lt;&gt;"",AK20&lt;&gt;"",AND(AL20&lt;&gt;"",AL20&gt;1),AND(AO20&lt;&gt;"",AO20&gt;1),AND(AR20&lt;&gt;"",AR20&gt;1),AU20=3,AND(AU20&lt;&gt;"",AU20&gt;4),AV20="LLWS",AW20="LLWS"),"Y","G"))</f>
        <v>R</v>
      </c>
      <c r="BB20" s="99" t="str">
        <f>IF(OR(AND(H20&lt;&gt;"",H20&gt;(MLT!$E$23-1)),AND(B20&gt;MEF!$Z$11,J20&lt;MLT!$F$26),AND(B20&lt;MEF!$E$53,J20&lt;MLT!$F$26),J20&lt;MLT!$F$27,AND(B20&gt;MEF!$Z$11,R20&lt;MLT!$F$28),AND(B20&lt;MEF!$E$53,R20&lt;MLT!$F$28),R20&lt;MLT!$F$29,L20="TS",O20="TS",AND(AB20&lt;&gt;"",AB20&gt;3,AC20&lt;30),AND(AE20&lt;&gt;"",AE20&gt;3,AF20&lt;30),AND(AH20&lt;&gt;"",AH20&gt;3,AI20&lt;30),AND(OR(AL20=7,AL20=9),AM20&lt;30),AND(OR(AO20=7,AO20=9),AP20&lt;30),AND(OR(AR20=7,AR20=9),AS20&lt;30)),"R",IF(OR(AND(H20&lt;&gt;"",H20&gt;(MLT!$I$23-1)),AND(I20&lt;&gt;"",I20&gt;(MLT!$I$23-1)),AND(B20&gt;MEF!$Z$11,J20&lt;MLT!$I$26),AND(B20&lt;MEF!$E$53,J20&lt;MLT!$I$26),AND(B20&gt;MEF!$Z$11,K20&lt;MLT!$I$26),AND(B20&lt;MEF!$E$53,K20&lt;MLT!$I$26),J20&lt;MLT!$I$27,K20&lt;MLT!$I$27,AND(B20&gt;MEF!$Z$11,R20&lt;MLT!$I$28),AND(B20&lt;MEF!$E$53,R20&lt;MLT!$I$28),AND(B20&gt;MEF!$Z$11,S20&lt;MLT!$I$28),AND(B20&lt;MEF!$E$53,S20&lt;MLT!$I$28),R20&lt;MLT!$I$29,S20&lt;MLT!$I$29,L20="VCTS",O20="VCTS",U20&gt;94,U20&lt;-29,AB20&lt;&gt;"",AK20&lt;&gt;"",AND(AL20&lt;&gt;"",AL20&gt;1),AND(AO20&lt;&gt;"",AO20&gt;1),AND(AR20&lt;&gt;"",AR20&gt;1),AU20=3,AND(AU20&lt;&gt;"",AU20&gt;4),AV20="LLWS",AW20="LLWS",CE20&lt;30,AND(CJ20&lt;25,CJ20&lt;&gt;0)),"Y","G"))</f>
        <v>R</v>
      </c>
      <c r="BC20" s="99" t="str">
        <f>IF(OR(G20&gt;(MLT!F$35-1),AND(H20&lt;&gt;"",H20&gt;(MLT!E$35-1)),J20&lt;MLT!E$38,R20&lt;MLT!E$39,L20="TS",O20="TS",N20="Y",T20&gt;50.49,T20&lt;-20.5,W20&gt;0.9449,AA20&gt;8999,AND(AB20&lt;&gt;"",AB20&gt;0),AND(AL20&lt;&gt;"",AL20&gt;1)),"R",IF(OR(G20&gt;(MLT!I$35-1),AND(H20&lt;&gt;"",H20&gt;(MLT!H$35-1)),AND(I20&lt;&gt;"",I20&gt;(MLT!H$35-1)),J20&lt;MLT!H$38,K20&lt;MLT!H$38,M20&lt;&gt;"",P20&lt;&gt;"",R20&lt;MLT!H$39,S20&lt;MLT!H$39,L20="VCTS",O20="VCTS",T20&gt;45.49,T20&lt;-14,W20&gt;0.8449,AA20&gt;6999,AND(AB20&lt;&gt;"",AB20&gt;0),AND(AK20&lt;&gt;"",AK20&gt;0),AND(AL20&lt;&gt;"",AL20&gt;0),AND(AU20&lt;&gt;"",AU20&gt;0),AV20="LLWS",AW20="LLWS"),"Y","G"))</f>
        <v>R</v>
      </c>
      <c r="BD20" s="99" t="str">
        <f>IF(OR(AND(NOT(H20=""),H20&gt;(MLT!E48-1)),AND(NOT(I20=""),I20&gt;(MLT!E48-1)),J20&lt;0.26,NOT(L20=""),U20&lt;14.5,AND(X5="Wind Chill",X20&lt;-0.5),AND(X5="WBGT",X20&gt;89.49)),"R",IF(OR(AND(NOT(H20=""),H20&gt;(MLT!H48-1)),AND(NOT(I20=""),I20&gt;(MLT!H48-1)),J20&lt;1,NOT(M20=""),NOT(P20=""),NOT(O20=""),U20&lt;31.5,AND(X5="Wind Chill",X20&lt;14.5),AND(X5="WBGT",X20&gt;77.49)),"Y","G"))</f>
        <v>Y</v>
      </c>
      <c r="BE20" s="99" t="str">
        <f>IF(OR(AND(H20&lt;&gt;"",H20&gt;(MLT!$E$56)),J20&lt;MLT!$E$59,R20&lt;MLT!$E$60,L20="TS",O20="TS",AND(AB20&lt;&gt;"",AC20&lt;30),AND(AE20&lt;&gt;"",AF20&lt;30),AND(AH20&lt;&gt;"",AI20&lt;30),AND(AL20&lt;&gt;"",AL20&gt;0,AM20&lt;30),AND(AO20&lt;&gt;"",AO20&gt;0,AP20&lt;30),AND(AR20&lt;&gt;"",AR20&gt;0,AS20&lt;30)),"R",IF(OR(AND(H20&lt;&gt;"",H20&gt;MLT!$H$56),AND(I20&lt;&gt;"",I20&gt;MLT!$H$56),J20&lt;MLT!$H$59,K20&lt;MLT!$H$59,R20&lt;MLT!$H$60,S20&lt;MLT!$H$60,L20="VCTS",O20="VCTS",AB20&lt;&gt;"",AK20&lt;&gt;"",AL20&lt;&gt;"",AU20&lt;&gt;"",AV20="LLWS",AW20="LLWS"),"Y","G"))</f>
        <v>R</v>
      </c>
      <c r="BF20" s="99" t="str">
        <f>IF(OR(AND(H20&lt;&gt;"",H20&gt;(MLT!$E$64)),L20="TS",O20="TS",AND(AB20&lt;&gt;"",AB20&gt;3,AC20&lt;30),AND(AE20&lt;&gt;"",AE20&gt;3,AF20&lt;30),AND(AH20&lt;&gt;"",AH20&gt;3,AI20&lt;30),AND(AL20=7,AM20&lt;30),AND(AL20=9,AM20&lt;30),AND(AO20=7,AP20&lt;30),AND(AO20=9,AP20&lt;30),AND(AR20=7,AS20&lt;30),AND(AR20=9,AS20&lt;30)),"R",IF(OR(AND(H20&lt;&gt;"",H20&gt;MLT!$H$64),AND(I20&lt;&gt;"",I20&gt;MLT!$H$64),J20&lt;MLT!$H$67,K20&lt;MLT!$H$67,R20&lt;MLT!$H$68,S20&lt;MLT!$H$68,L20="VCTS",O20="VCTS",calc!U20&gt;90,U20&lt;-29,AB20&lt;&gt;"",AK20&lt;&gt;"",AND(AL20&lt;&gt;"",AL20&gt;1),AND(AO20&lt;&gt;"",AO20&gt;1),AND(AR20&lt;&gt;"",AR20&gt;1),AND(AU20&lt;&gt;"",AU20&gt;1),AV20="LLWS",AW20="LLWS"),"Y","G"))</f>
        <v>R</v>
      </c>
      <c r="BG20" s="99" t="str">
        <f>IF(OR(AND(H20&lt;&gt;"",H20&gt;(MLT!$E$73)),L20="TS",O20="TS",AND(AB20&lt;&gt;"",AC20&lt;30),AND(AE20&lt;&gt;"",AF20&lt;30),AND(AH20&lt;&gt;"",AI20&lt;30),AND(AL20=3,AM20&lt;30),AND(AL20&lt;&gt;"",AL20&gt;4,AM20&lt;30),AND(AO20=3,AP20&lt;30),AND(AO20&lt;&gt;"",AO20&gt;4,AP20&lt;30),AND(AR20=3,AS20&lt;30),AND(AR20&lt;&gt;"",AR20&gt;4,AS20&lt;30)),"R",IF(OR(AND(H20&lt;&gt;"",H20&gt;MLT!$H$73),AND(I20&lt;&gt;"",I20&gt;MLT!$H$73),J20&lt;MLT!$H$76,K20&lt;MLT!$H$76,R20&lt;MLT!$H$77,S20&lt;MLT!$H$77,L20="VCTS",O20="VCTS",AB20&lt;&gt;"",AK20&lt;&gt;"",AL20&lt;&gt;"",AU20&lt;&gt;"",AV20="LLWS",AW20="LLWS"),"Y","G"))</f>
        <v>R</v>
      </c>
      <c r="BH20" s="99" t="str">
        <f>IF(OR(IF(H20="",G20,H20)&gt;MLT!$E$81,IF(H20="",G20,H20)-G20&gt;19,IF(F20="VRB",FALSE(),(IF(AND(F20&gt;89,F20&lt;271),SIN(RADIANS(MAX(180,F20)-MIN(180,F20))),SIN(RADIANS(IF(F20&gt;269,360-F20,F20)))))*(IF(H20="",G20,H20))&gt;MLT!$E$82),J20&lt;MLT!$E$86,L20="TS",L20="VCTS",O20="TS",R20&lt;MLT!$E$87,U20&gt;MLT!$E$88,AND(AB20&lt;&gt;"",AB20&gt;3,AC20&lt;100),AND(AE20&lt;&gt;"",AE20&gt;3,AF20&lt;100),AND(AH20&lt;&gt;"",AH20&gt;3,AI20&lt;100),AND(AL20=7,AM20&lt;100),AND(AL20=9,AM20&lt;100),AND(AO20=7,AP20&lt;100),AND(AO20=9,AP20&lt;100),AND(AR20=7,AS20&lt;100),AND(AR20=9,AS20&lt;100),AV20="LLWS"),"R",IF(OR(AND(H20&lt;&gt;"",H20&gt;14),IF(F20="VRB",FALSE(),(IF(AND(F20&gt;89,F20&lt;271),SIN(RADIANS(MAX(180,F20)-MIN(180,F20))),SIN(RADIANS(IF(F20&gt;269,360-F20,F20)))))*(IF(H20="",G20,H20))&gt;MLT!$H$82),AND(I20&lt;&gt;"",I20&gt;14),J20&lt;MLT!$H$86,K20&lt;MLT!$H$86,R20&lt;MLT!$H$87,S20&lt;MLT!$H$87,O20="VCTS",calc!U20&gt;90,AB20&lt;&gt;"",AK20&lt;&gt;"",AND(AL20&lt;&gt;"",AL20&gt;1),AND(AO20&lt;&gt;"",AO20&gt;1),AND(AR20&lt;&gt;"",AR20&gt;1),AND(AU20&lt;&gt;"",AU20&gt;1),AW20="LLWS"),"Y","G"))</f>
        <v>R</v>
      </c>
      <c r="BI20" s="99" t="str">
        <f>IF(OR(IF(H20="",G20,H20)&gt;MLT!$E$92,J20&lt;MLT!$E$95,L20="TS",L20="VCTS",O20="TS",R20&lt;MLT!$E$96,AND(AB20&lt;&gt;"",AB20&gt;3,AC20&lt;100),AND(AE20&lt;&gt;"",AE20&gt;3,AF20&lt;100),AND(AH20&lt;&gt;"",AH20&gt;3,AI20&lt;100),AND(AL20=7,AM20&lt;100),AND(AL20=9,AM20&lt;100),AND(AO20=7,AP20&lt;100),AND(AO20=9,AP20&lt;100),AND(AR20=7,AS20&lt;100),AND(AR20=9,AS20&lt;100)),"R",IF(OR(AND(H20&lt;&gt;"",H20&gt;14),AND(I20&lt;&gt;"",I20&gt;14),J20&lt;MLT!$H$95,K20&lt;MLT!$H$95,R20&lt;MLT!$H$96,S20&lt;MLT!$H$96,O20="VCTS",AB20&lt;&gt;"",AK20&lt;&gt;"",AND(AL20&lt;&gt;"",AL20&gt;1),AND(AO20&lt;&gt;"",AO20&gt;1),AND(AR20&lt;&gt;"",AR20&gt;1),AND(AU20&lt;&gt;"",AU20&gt;1),AV20="LLWS",AW20="LLWS"),"Y","G"))</f>
        <v>R</v>
      </c>
      <c r="BK20" s="41">
        <f t="shared" si="4"/>
        <v>25.458581930977957</v>
      </c>
      <c r="BL20" s="41">
        <f t="shared" si="5"/>
        <v>25.458581930977957</v>
      </c>
      <c r="BM20" s="41">
        <f>IF(R20&gt;200,T20+(LOOKUP(Worksheet!BD6,BV8:BV10,BW8:BW10)*(CA20/BZ20)),IF(AND(R20&lt;210,R20&gt;29),T20+(0.5*LOOKUP(Worksheet!BD6,BV8:BV10,BW8:BW10)*(CA20/BZ20)),T20+0.25*(LOOKUP(Worksheet!BD6,BV8:BV10,BW8:BW10)*(CA20/BZ20))))</f>
        <v>31.112600719310258</v>
      </c>
      <c r="BN20" s="41">
        <f t="shared" si="6"/>
        <v>31.112228317260474</v>
      </c>
      <c r="BO20" s="42">
        <f t="shared" si="7"/>
        <v>23.333333333333336</v>
      </c>
      <c r="BP20" s="43">
        <f t="shared" si="8"/>
        <v>98.588721912544827</v>
      </c>
      <c r="BQ20" s="44">
        <f t="shared" si="9"/>
        <v>2.8693137407464717</v>
      </c>
      <c r="BR20" s="42">
        <f t="shared" si="17"/>
        <v>31.117915912202665</v>
      </c>
      <c r="BS20" s="42">
        <f t="shared" si="10"/>
        <v>31.1169679797123</v>
      </c>
      <c r="BT20" s="42">
        <f t="shared" si="11"/>
        <v>31.1169679797123</v>
      </c>
      <c r="BU20" s="42"/>
      <c r="BV20" s="1610"/>
      <c r="BW20" s="835"/>
      <c r="BX20" s="106">
        <f>DEGREES(ASIN(BY20*COS(RADIANS(LOOKUP(Worksheet!Q6,'Light Data '!A3:A377,'Light Data '!J3:J377)))*COS(RADIANS(Worksheet!R2))+SIN(RADIANS(LOOKUP(Worksheet!Q6,'Light Data '!A3:A377,'Light Data '!J3:J377)))*SIN(RADIANS(Worksheet!R2))))</f>
        <v>0.71939494025902462</v>
      </c>
      <c r="BY20" s="515">
        <f>COS(RADIANS(15*((MAX(CF5,(HOUR(C20)/24))-MIN(CF5,(HOUR(C20)/24)))*24)))</f>
        <v>-0.30694137716045389</v>
      </c>
      <c r="BZ20" s="516">
        <f>IF(BX20&lt;0,0.1,((128*10^3)*(1+0.033412*COS(2*PI()*(((CH4-CH3)-3)/365)))))</f>
        <v>123724.68965631575</v>
      </c>
      <c r="CA20" s="516">
        <f>IF(BX20&lt;0,0,((128*10^3)*(1+0.033412*COS(2*PI()*(((CH4-CH3)-3)/365))))*POWER(EXP(1),0-(CB20*(1/(SIN(RADIANS(BX20+(244/(165+47*(POWER(BX20,1.1)))))))))))</f>
        <v>33.509329481596978</v>
      </c>
      <c r="CB20" s="389">
        <f t="shared" si="12"/>
        <v>0.28000000000000003</v>
      </c>
      <c r="CC20" s="112">
        <f t="shared" si="24"/>
        <v>45.86254517893876</v>
      </c>
      <c r="CD20" s="112" t="str">
        <f t="shared" si="19"/>
        <v>(46)</v>
      </c>
      <c r="CE20" s="112">
        <f t="shared" si="20"/>
        <v>99</v>
      </c>
      <c r="CF20" s="66" t="str">
        <f t="shared" si="21"/>
        <v>M1</v>
      </c>
      <c r="CI20" s="834">
        <f>INDEX('Light Data '!$H$3:$H$381,MATCH(ROUNDDOWN(C20,0),'Light Data '!$A$3:$A$381,0))-(((INDEX('Light Data '!$H$3:$H$381,MATCH(ROUNDDOWN(C20,0),'Light Data '!$A$3:$A$381,0))-(INDEX('Light Data '!$H$3:$H$381,MATCH(ROUNDDOWN(C20,0)+1,'Light Data '!$A$3:$A$381,0))))/24)*HOUR(C20))</f>
        <v>49.75</v>
      </c>
      <c r="CJ20" s="834" t="str">
        <f t="shared" si="22"/>
        <v>NA</v>
      </c>
    </row>
    <row r="21" spans="1:88" ht="14.5" thickTop="1">
      <c r="A21" s="970">
        <f t="shared" ref="A21:A26" si="25">HOUR(C21)</f>
        <v>22</v>
      </c>
      <c r="B21" s="971">
        <f t="shared" ref="B21:B26" si="26">VALUE(TEXT(C21,"HHMM"))</f>
        <v>2200</v>
      </c>
      <c r="C21" s="3640">
        <f>C20+1/24</f>
        <v>44748.916666666657</v>
      </c>
      <c r="D21" s="3640"/>
      <c r="E21" s="521">
        <f>E20+1/24</f>
        <v>44749.083333333328</v>
      </c>
      <c r="F21" s="77" t="str">
        <f>IF(AND(TAF!Z7="PREDOM",E21&lt;TAF!AF7),TAF!AH7,IF(AND(TAF!Z8="PREDOM",E21&lt;TAF!AF8),TAF!AH8,IF(AND(TAF!Z9="PREDOM",E21&lt;TAF!AF9),TAF!AH9,IF(AND(TAF!Z10="PREDOM",E21&lt;TAF!AF10),TAF!AH10,IF(AND(TAF!Z11="PREDOM",E21&lt;TAF!AF11),TAF!AH11,IF(AND(TAF!Z12="PREDOM",E21&lt;TAF!AF12),TAF!AH12,IF(AND(TAF!Z13="PREDOM",E21&lt;TAF!AF13),TAF!AH13,IF(AND(TAF!Z14="PREDOM",E21&lt;TAF!AF14),TAF!AH14,IF(AND(TAF!Z15="PREDOM",E21&lt;TAF!AF15),TAF!AH15,IF(AND(TAF!Z16="PREDOM",E21&lt;TAF!AE16),TAF!AH16,IF(AND(TAF!Z17="PREDOM",E21&lt;TAF!AF17),TAF!AH17,IF(AND(TAF!Z18="PREDOM",E21&lt;TAF!AF18),TAF!AH18))))))))))))</f>
        <v>240</v>
      </c>
      <c r="G21" s="78">
        <f>IF(AND(TAF!Z7="PREDOM",E21&lt;TAF!AF7),TAF!AI7,IF(AND(TAF!Z8="PREDOM",E21&lt;TAF!AF8),TAF!AI8,IF(AND(TAF!Z9="PREDOM",E21&lt;TAF!AF9),TAF!AI9,IF(AND(TAF!Z10="PREDOM",E21&lt;TAF!AF10),TAF!AI10,IF(AND(TAF!Z11="PREDOM",E21&lt;TAF!AF11),TAF!AI11,IF(AND(TAF!Z12="PREDOM",E21&lt;TAF!AF12),TAF!AI12,IF(AND(TAF!Z13="PREDOM",E21&lt;TAF!AF13),TAF!AI13,IF(AND(TAF!Z14="PREDOM",E21&lt;TAF!AF14),TAF!AI14,IF(AND(TAF!Z15="PREDOM",E21&lt;TAF!AF15),TAF!AI15,IF(AND(TAF!Z16="PREDOM",E21&lt;TAF!AE16),TAF!AI16,IF(AND(TAF!Z17="PREDOM",E21&lt;TAF!AF17),TAF!AI17,IF(AND(TAF!Z18="PREDOM",E21&lt;TAF!AF18),TAF!AI18))))))))))))</f>
        <v>10</v>
      </c>
      <c r="H21" s="79" t="str">
        <f>IF(AND(TAF!Z7="PREDOM",E21&lt;TAF!AF7),TAF!AJ7,IF(AND(TAF!Z8="PREDOM",E21&lt;TAF!AF8),TAF!AJ8,IF(AND(TAF!Z9="PREDOM",E21&lt;TAF!AF9),TAF!AJ9,IF(AND(TAF!Z10="PREDOM",E21&lt;TAF!AF10),TAF!AJ10,IF(AND(TAF!Z11="PREDOM",E21&lt;TAF!AF11),TAF!AJ11,IF(AND(TAF!Z12="PREDOM",E21&lt;TAF!AF12),TAF!AJ12,IF(AND(TAF!Z13="PREDOM",E21&lt;TAF!AF13),TAF!AJ13,IF(AND(TAF!Z14="PREDOM",E21&lt;TAF!AF14),TAF!AJ14,IF(AND(TAF!Z15="PREDOM",E21&lt;TAF!AF15),TAF!AJ15,IF(AND(TAF!Z16="PREDOM",E21&lt;TAF!AE16),TAF!AJ16,IF(AND(TAF!Z17="PREDOM",E21&lt;TAF!AF17),TAF!AJ17,IF(AND(TAF!Z18="PREDOM",E21&lt;TAF!AF18),TAF!AJ18))))))))))))</f>
        <v/>
      </c>
      <c r="I21" s="80" t="str">
        <f>IF(AND(TAF!Z7="TEMPO",NOT(E21+0.01&lt;TAF!AC7),E21&lt;TAF!AF7),TAF!AJ7,IF(AND(TAF!Z8="TEMPO",NOT(E21+0.01&lt;TAF!AC8),E21&lt;TAF!AF8),TAF!AJ8,IF(AND(TAF!Z9="TEMPO",NOT(E21+0.01&lt;TAF!AC9),E21&lt;TAF!AF9),TAF!AJ9,IF(AND(TAF!Z10="TEMPO",NOT(E21+0.01&lt;TAF!AC10),E21&lt;TAF!AF10),TAF!AJ10,IF(AND(TAF!Z11="TEMPO",NOT(E21+0.01&lt;TAF!AC11),E21&lt;TAF!AF11),TAF!AJ11,IF(AND(TAF!Z12="TEMPO",NOT(E21+0.01&lt;TAF!AC12),E21&lt;TAF!AF12),TAF!AJ12,IF(AND(TAF!Z13="TEMPO",NOT(E21+0.01&lt;TAF!AC13),E21&lt;TAF!AF13),TAF!AJ13,IF(AND(TAF!Z14="TEMPO",NOT(E21+0.01&lt;TAF!AC14),E21&lt;TAF!AF14),TAF!AJ14,IF(AND(TAF!Z15="TEMPO",NOT(E21+0.01&lt;TAF!AC15),E21&lt;TAF!AF15),TAF!AJ15,IF(AND(TAF!Z16="TEMPO",NOT(E21+0.01&lt;TAF!AC16),E21&lt;TAF!AE16),TAF!AJ16,IF(AND(TAF!Z17="TEMPO",NOT(E21+0.01&lt;TAF!AC17),E21&lt;TAF!AF17),TAF!AJ17,IF(AND(TAF!Z18="TEMPO",NOT(E21+0.01&lt;TAF!AC18),E21&lt;TAF!AF18),TAF!AJ18,""))))))))))))</f>
        <v/>
      </c>
      <c r="J21" s="951"/>
      <c r="K21" s="951"/>
      <c r="L21" s="952"/>
      <c r="M21" s="953"/>
      <c r="N21" s="953"/>
      <c r="O21" s="953"/>
      <c r="P21" s="953"/>
      <c r="Q21" s="953"/>
      <c r="R21" s="954"/>
      <c r="S21" s="954"/>
      <c r="T21" s="955"/>
      <c r="U21" s="956"/>
      <c r="V21" s="957"/>
      <c r="W21" s="958"/>
      <c r="X21" s="969"/>
      <c r="Y21" s="959"/>
      <c r="Z21" s="960"/>
      <c r="AA21" s="961"/>
      <c r="AB21" s="962"/>
      <c r="AC21" s="963"/>
      <c r="AD21" s="964"/>
      <c r="AE21" s="962"/>
      <c r="AF21" s="963"/>
      <c r="AG21" s="964"/>
      <c r="AH21" s="962"/>
      <c r="AI21" s="963"/>
      <c r="AJ21" s="964"/>
      <c r="AK21" s="962"/>
      <c r="AL21" s="962"/>
      <c r="AM21" s="963"/>
      <c r="AN21" s="964"/>
      <c r="AO21" s="962"/>
      <c r="AP21" s="965"/>
      <c r="AQ21" s="966"/>
      <c r="AR21" s="962"/>
      <c r="AS21" s="965"/>
      <c r="AT21" s="966"/>
      <c r="AU21" s="962"/>
      <c r="AV21" s="967"/>
      <c r="AW21" s="967"/>
      <c r="AX21" s="968"/>
      <c r="AY21" s="968"/>
      <c r="AZ21" s="968"/>
      <c r="BA21" s="968"/>
      <c r="BB21" s="968"/>
      <c r="BC21" s="968"/>
      <c r="BD21" s="968"/>
      <c r="BE21" s="968"/>
      <c r="BF21" s="968"/>
      <c r="BK21" s="41"/>
      <c r="BL21" s="41"/>
      <c r="BM21" s="41"/>
      <c r="BN21" s="41"/>
      <c r="BO21" s="42"/>
      <c r="BP21" s="43"/>
      <c r="BQ21" s="44"/>
      <c r="BR21" s="42"/>
      <c r="BS21" s="42"/>
      <c r="BT21" s="42"/>
      <c r="BU21" s="42"/>
      <c r="BV21" s="1610"/>
      <c r="BW21" s="835"/>
      <c r="BX21" s="106"/>
      <c r="BY21" s="515"/>
      <c r="BZ21" s="516"/>
      <c r="CA21" s="516"/>
      <c r="CB21" s="389"/>
      <c r="CC21" s="112">
        <f t="shared" si="24"/>
        <v>39.792929201165713</v>
      </c>
      <c r="CD21" s="112">
        <f t="shared" si="19"/>
        <v>39.792929201165713</v>
      </c>
      <c r="CE21" s="112">
        <f t="shared" si="20"/>
        <v>39.792929201165713</v>
      </c>
      <c r="CF21" s="66" t="str">
        <f t="shared" si="21"/>
        <v>M1</v>
      </c>
      <c r="CI21" s="834">
        <f>INDEX('Light Data '!$H$3:$H$381,MATCH(ROUNDDOWN(C21,0),'Light Data '!$A$3:$A$381,0))-(((INDEX('Light Data '!$H$3:$H$381,MATCH(ROUNDDOWN(C21,0),'Light Data '!$A$3:$A$381,0))-(INDEX('Light Data '!$H$3:$H$381,MATCH(ROUNDDOWN(C21,0)+1,'Light Data '!$A$3:$A$381,0))))/24)*HOUR(C21))</f>
        <v>50.166666666666671</v>
      </c>
      <c r="CJ21" s="834">
        <f t="shared" si="22"/>
        <v>50.166666666666671</v>
      </c>
    </row>
    <row r="22" spans="1:88" ht="14">
      <c r="A22" s="527">
        <f t="shared" si="25"/>
        <v>23</v>
      </c>
      <c r="B22" s="525">
        <f t="shared" si="26"/>
        <v>2300</v>
      </c>
      <c r="C22" s="3639">
        <f>C20+2/24</f>
        <v>44748.958333333328</v>
      </c>
      <c r="D22" s="3639"/>
      <c r="E22" s="524">
        <f>E20+2/24</f>
        <v>44749.125</v>
      </c>
      <c r="F22" s="77" t="str">
        <f>IF(AND(TAF!Z7="PREDOM",E22&lt;TAF!AF7),TAF!AH7,IF(AND(TAF!Z8="PREDOM",E22&lt;TAF!AF8),TAF!AH8,IF(AND(TAF!Z9="PREDOM",E22&lt;TAF!AF9),TAF!AH9,IF(AND(TAF!Z10="PREDOM",E22&lt;TAF!AF10),TAF!AH10,IF(AND(TAF!Z11="PREDOM",E22&lt;TAF!AF11),TAF!AH11,IF(AND(TAF!Z12="PREDOM",E22&lt;TAF!AF12),TAF!AH12,IF(AND(TAF!Z13="PREDOM",E22&lt;TAF!AF13),TAF!AH13,IF(AND(TAF!Z14="PREDOM",E22&lt;TAF!AF14),TAF!AH14,IF(AND(TAF!Z15="PREDOM",E22&lt;TAF!AF15),TAF!AH15,IF(AND(TAF!Z16="PREDOM",E22&lt;TAF!AE16),TAF!AH16,IF(AND(TAF!Z17="PREDOM",E22&lt;TAF!AF17),TAF!AH17,IF(AND(TAF!Z18="PREDOM",E22&lt;TAF!AF18),TAF!AH18))))))))))))</f>
        <v>240</v>
      </c>
      <c r="G22" s="78">
        <f>IF(AND(TAF!Z7="PREDOM",E22&lt;TAF!AF7),TAF!AI7,IF(AND(TAF!Z8="PREDOM",E22&lt;TAF!AF8),TAF!AI8,IF(AND(TAF!Z9="PREDOM",E22&lt;TAF!AF9),TAF!AI9,IF(AND(TAF!Z10="PREDOM",E22&lt;TAF!AF10),TAF!AI10,IF(AND(TAF!Z11="PREDOM",E22&lt;TAF!AF11),TAF!AI11,IF(AND(TAF!Z12="PREDOM",E22&lt;TAF!AF12),TAF!AI12,IF(AND(TAF!Z13="PREDOM",E22&lt;TAF!AF13),TAF!AI13,IF(AND(TAF!Z14="PREDOM",E22&lt;TAF!AF14),TAF!AI14,IF(AND(TAF!Z15="PREDOM",E22&lt;TAF!AF15),TAF!AI15,IF(AND(TAF!Z16="PREDOM",E22&lt;TAF!AE16),TAF!AI16,IF(AND(TAF!Z17="PREDOM",E22&lt;TAF!AF17),TAF!AI17,IF(AND(TAF!Z18="PREDOM",E22&lt;TAF!AF18),TAF!AI18))))))))))))</f>
        <v>10</v>
      </c>
      <c r="H22" s="79" t="str">
        <f>IF(AND(TAF!Z7="PREDOM",E22&lt;TAF!AF7),TAF!AJ7,IF(AND(TAF!Z8="PREDOM",E22&lt;TAF!AF8),TAF!AJ8,IF(AND(TAF!Z9="PREDOM",E22&lt;TAF!AF9),TAF!AJ9,IF(AND(TAF!Z10="PREDOM",E22&lt;TAF!AF10),TAF!AJ10,IF(AND(TAF!Z11="PREDOM",E22&lt;TAF!AF11),TAF!AJ11,IF(AND(TAF!Z12="PREDOM",E22&lt;TAF!AF12),TAF!AJ12,IF(AND(TAF!Z13="PREDOM",E22&lt;TAF!AF13),TAF!AJ13,IF(AND(TAF!Z14="PREDOM",E22&lt;TAF!AF14),TAF!AJ14,IF(AND(TAF!Z15="PREDOM",E22&lt;TAF!AF15),TAF!AJ15,IF(AND(TAF!Z16="PREDOM",E22&lt;TAF!AE16),TAF!AJ16,IF(AND(TAF!Z17="PREDOM",E22&lt;TAF!AF17),TAF!AJ17,IF(AND(TAF!Z18="PREDOM",E22&lt;TAF!AF18),TAF!AJ18))))))))))))</f>
        <v/>
      </c>
      <c r="I22" s="80" t="str">
        <f>IF(AND(TAF!Z7="TEMPO",NOT(E22+0.01&lt;TAF!AC7),E22&lt;TAF!AF7),TAF!AJ7,IF(AND(TAF!Z8="TEMPO",NOT(E22+0.01&lt;TAF!AC8),E22&lt;TAF!AF8),TAF!AJ8,IF(AND(TAF!Z9="TEMPO",NOT(E22+0.01&lt;TAF!AC9),E22&lt;TAF!AF9),TAF!AJ9,IF(AND(TAF!Z10="TEMPO",NOT(E22+0.01&lt;TAF!AC10),E22&lt;TAF!AF10),TAF!AJ10,IF(AND(TAF!Z11="TEMPO",NOT(E22+0.01&lt;TAF!AC11),E22&lt;TAF!AF11),TAF!AJ11,IF(AND(TAF!Z12="TEMPO",NOT(E22+0.01&lt;TAF!AC12),E22&lt;TAF!AF12),TAF!AJ12,IF(AND(TAF!Z13="TEMPO",NOT(E22+0.01&lt;TAF!AC13),E22&lt;TAF!AF13),TAF!AJ13,IF(AND(TAF!Z14="TEMPO",NOT(E22+0.01&lt;TAF!AC14),E22&lt;TAF!AF14),TAF!AJ14,IF(AND(TAF!Z15="TEMPO",NOT(E22+0.01&lt;TAF!AC15),E22&lt;TAF!AF15),TAF!AJ15,IF(AND(TAF!Z16="TEMPO",NOT(E22+0.01&lt;TAF!AC16),E22&lt;TAF!AE16),TAF!AJ16,IF(AND(TAF!Z17="TEMPO",NOT(E22+0.01&lt;TAF!AC17),E22&lt;TAF!AF17),TAF!AJ17,IF(AND(TAF!Z18="TEMPO",NOT(E22+0.01&lt;TAF!AC18),E22&lt;TAF!AF18),TAF!AJ18,""))))))))))))</f>
        <v/>
      </c>
      <c r="J22" s="951"/>
      <c r="K22" s="951"/>
      <c r="L22" s="952"/>
      <c r="M22" s="953"/>
      <c r="N22" s="953"/>
      <c r="O22" s="953"/>
      <c r="P22" s="953"/>
      <c r="Q22" s="953"/>
      <c r="R22" s="954"/>
      <c r="S22" s="954"/>
      <c r="T22" s="955"/>
      <c r="U22" s="956"/>
      <c r="V22" s="957"/>
      <c r="W22" s="958"/>
      <c r="X22" s="1632"/>
      <c r="Y22" s="959"/>
      <c r="Z22" s="960"/>
      <c r="AA22" s="961"/>
      <c r="AB22" s="962"/>
      <c r="AC22" s="963"/>
      <c r="AD22" s="964"/>
      <c r="AE22" s="962"/>
      <c r="AF22" s="963"/>
      <c r="AG22" s="964"/>
      <c r="AH22" s="962"/>
      <c r="AI22" s="963"/>
      <c r="AJ22" s="964"/>
      <c r="AK22" s="962"/>
      <c r="AL22" s="962"/>
      <c r="AM22" s="963"/>
      <c r="AN22" s="964"/>
      <c r="AO22" s="962"/>
      <c r="AP22" s="965"/>
      <c r="AQ22" s="966"/>
      <c r="AR22" s="962"/>
      <c r="AS22" s="965"/>
      <c r="AT22" s="966"/>
      <c r="AU22" s="962"/>
      <c r="AV22" s="967"/>
      <c r="AW22" s="967"/>
      <c r="AX22" s="968"/>
      <c r="AY22" s="968"/>
      <c r="AZ22" s="968"/>
      <c r="BA22" s="968"/>
      <c r="BB22" s="968"/>
      <c r="BC22" s="968"/>
      <c r="BD22" s="968"/>
      <c r="BE22" s="968"/>
      <c r="BF22" s="968"/>
      <c r="BH22" s="41"/>
      <c r="BI22" s="41"/>
      <c r="BJ22" s="41"/>
      <c r="BK22" s="41"/>
      <c r="BL22" s="42"/>
      <c r="BM22" s="43"/>
      <c r="BN22" s="44"/>
      <c r="BO22" s="42"/>
      <c r="BP22" s="42"/>
      <c r="BQ22" s="42"/>
      <c r="BR22" s="42"/>
      <c r="BS22" s="1610"/>
      <c r="BT22" s="835"/>
      <c r="BU22" s="106"/>
      <c r="BV22" s="515"/>
      <c r="BW22" s="516"/>
      <c r="BX22" s="516"/>
      <c r="BY22" s="389"/>
      <c r="CC22" s="112">
        <f t="shared" si="24"/>
        <v>30.981282213640984</v>
      </c>
      <c r="CD22" s="112">
        <f t="shared" si="19"/>
        <v>30.981282213640984</v>
      </c>
      <c r="CE22" s="112">
        <f t="shared" si="20"/>
        <v>30.981282213640984</v>
      </c>
      <c r="CF22" s="66" t="str">
        <f t="shared" si="21"/>
        <v>M1</v>
      </c>
      <c r="CI22" s="834">
        <f>INDEX('Light Data '!$H$3:$H$381,MATCH(ROUNDDOWN(C22,0),'Light Data '!$A$3:$A$381,0))-(((INDEX('Light Data '!$H$3:$H$381,MATCH(ROUNDDOWN(C22,0),'Light Data '!$A$3:$A$381,0))-(INDEX('Light Data '!$H$3:$H$381,MATCH(ROUNDDOWN(C22,0)+1,'Light Data '!$A$3:$A$381,0))))/24)*HOUR(C22))</f>
        <v>50.583333333333336</v>
      </c>
      <c r="CJ22" s="834">
        <f t="shared" si="22"/>
        <v>50.583333333333336</v>
      </c>
    </row>
    <row r="23" spans="1:88" ht="14">
      <c r="A23" s="970">
        <f t="shared" si="25"/>
        <v>0</v>
      </c>
      <c r="B23" s="971">
        <f t="shared" si="26"/>
        <v>0</v>
      </c>
      <c r="C23" s="3640">
        <f>C20+3/24</f>
        <v>44748.999999999993</v>
      </c>
      <c r="D23" s="3640"/>
      <c r="E23" s="521">
        <f>E20+3/24</f>
        <v>44749.166666666664</v>
      </c>
      <c r="F23" s="77" t="str">
        <f>IF(AND(TAF!Z7="PREDOM",E23&lt;TAF!AF7),TAF!AH7,IF(AND(TAF!Z8="PREDOM",E23&lt;TAF!AF8),TAF!AH8,IF(AND(TAF!Z9="PREDOM",E23&lt;TAF!AF9),TAF!AH9,IF(AND(TAF!Z10="PREDOM",E23&lt;TAF!AF10),TAF!AH10,IF(AND(TAF!Z11="PREDOM",E23&lt;TAF!AF11),TAF!AH11,IF(AND(TAF!Z12="PREDOM",E23&lt;TAF!AF12),TAF!AH12,IF(AND(TAF!Z13="PREDOM",E23&lt;TAF!AF13),TAF!AH13,IF(AND(TAF!Z14="PREDOM",E23&lt;TAF!AF14),TAF!AH14,IF(AND(TAF!Z15="PREDOM",E23&lt;TAF!AF15),TAF!AH15,IF(AND(TAF!Z16="PREDOM",E23&lt;TAF!AE16),TAF!AH16,IF(AND(TAF!Z17="PREDOM",E23&lt;TAF!AF17),TAF!AH17,IF(AND(TAF!Z18="PREDOM",E23&lt;TAF!AF18),TAF!AH18))))))))))))</f>
        <v>240</v>
      </c>
      <c r="G23" s="78">
        <f>IF(AND(TAF!Z7="PREDOM",E23&lt;TAF!AF7),TAF!AI7,IF(AND(TAF!Z8="PREDOM",E23&lt;TAF!AF8),TAF!AI8,IF(AND(TAF!Z9="PREDOM",E23&lt;TAF!AF9),TAF!AI9,IF(AND(TAF!Z10="PREDOM",E23&lt;TAF!AF10),TAF!AI10,IF(AND(TAF!Z11="PREDOM",E23&lt;TAF!AF11),TAF!AI11,IF(AND(TAF!Z12="PREDOM",E23&lt;TAF!AF12),TAF!AI12,IF(AND(TAF!Z13="PREDOM",E23&lt;TAF!AF13),TAF!AI13,IF(AND(TAF!Z14="PREDOM",E23&lt;TAF!AF14),TAF!AI14,IF(AND(TAF!Z15="PREDOM",E23&lt;TAF!AF15),TAF!AI15,IF(AND(TAF!Z16="PREDOM",E23&lt;TAF!AE16),TAF!AI16,IF(AND(TAF!Z17="PREDOM",E23&lt;TAF!AF17),TAF!AI17,IF(AND(TAF!Z18="PREDOM",E23&lt;TAF!AF18),TAF!AI18))))))))))))</f>
        <v>10</v>
      </c>
      <c r="H23" s="79" t="str">
        <f>IF(AND(TAF!Z7="PREDOM",E23&lt;TAF!AF7),TAF!AJ7,IF(AND(TAF!Z8="PREDOM",E23&lt;TAF!AF8),TAF!AJ8,IF(AND(TAF!Z9="PREDOM",E23&lt;TAF!AF9),TAF!AJ9,IF(AND(TAF!Z10="PREDOM",E23&lt;TAF!AF10),TAF!AJ10,IF(AND(TAF!Z11="PREDOM",E23&lt;TAF!AF11),TAF!AJ11,IF(AND(TAF!Z12="PREDOM",E23&lt;TAF!AF12),TAF!AJ12,IF(AND(TAF!Z13="PREDOM",E23&lt;TAF!AF13),TAF!AJ13,IF(AND(TAF!Z14="PREDOM",E23&lt;TAF!AF14),TAF!AJ14,IF(AND(TAF!Z15="PREDOM",E23&lt;TAF!AF15),TAF!AJ15,IF(AND(TAF!Z16="PREDOM",E23&lt;TAF!AE16),TAF!AJ16,IF(AND(TAF!Z17="PREDOM",E23&lt;TAF!AF17),TAF!AJ17,IF(AND(TAF!Z18="PREDOM",E23&lt;TAF!AF18),TAF!AJ18))))))))))))</f>
        <v/>
      </c>
      <c r="I23" s="80" t="str">
        <f>IF(AND(TAF!Z7="TEMPO",NOT(E23+0.01&lt;TAF!AC7),E23&lt;TAF!AF7),TAF!AJ7,IF(AND(TAF!Z8="TEMPO",NOT(E23+0.01&lt;TAF!AC8),E23&lt;TAF!AF8),TAF!AJ8,IF(AND(TAF!Z9="TEMPO",NOT(E23+0.01&lt;TAF!AC9),E23&lt;TAF!AF9),TAF!AJ9,IF(AND(TAF!Z10="TEMPO",NOT(E23+0.01&lt;TAF!AC10),E23&lt;TAF!AF10),TAF!AJ10,IF(AND(TAF!Z11="TEMPO",NOT(E23+0.01&lt;TAF!AC11),E23&lt;TAF!AF11),TAF!AJ11,IF(AND(TAF!Z12="TEMPO",NOT(E23+0.01&lt;TAF!AC12),E23&lt;TAF!AF12),TAF!AJ12,IF(AND(TAF!Z13="TEMPO",NOT(E23+0.01&lt;TAF!AC13),E23&lt;TAF!AF13),TAF!AJ13,IF(AND(TAF!Z14="TEMPO",NOT(E23+0.01&lt;TAF!AC14),E23&lt;TAF!AF14),TAF!AJ14,IF(AND(TAF!Z15="TEMPO",NOT(E23+0.01&lt;TAF!AC15),E23&lt;TAF!AF15),TAF!AJ15,IF(AND(TAF!Z16="TEMPO",NOT(E23+0.01&lt;TAF!AC16),E23&lt;TAF!AE16),TAF!AJ16,IF(AND(TAF!Z17="TEMPO",NOT(E23+0.01&lt;TAF!AC17),E23&lt;TAF!AF17),TAF!AJ17,IF(AND(TAF!Z18="TEMPO",NOT(E23+0.01&lt;TAF!AC18),E23&lt;TAF!AF18),TAF!AJ18,""))))))))))))</f>
        <v/>
      </c>
      <c r="J23" s="951"/>
      <c r="K23" s="951"/>
      <c r="L23" s="952"/>
      <c r="M23" s="953"/>
      <c r="N23" s="953"/>
      <c r="O23" s="953"/>
      <c r="P23" s="953"/>
      <c r="Q23" s="953"/>
      <c r="R23" s="954"/>
      <c r="S23" s="954"/>
      <c r="T23" s="955"/>
      <c r="U23" s="956"/>
      <c r="V23" s="957"/>
      <c r="W23" s="958"/>
      <c r="X23" s="969"/>
      <c r="Y23" s="959"/>
      <c r="Z23" s="960"/>
      <c r="AA23" s="961"/>
      <c r="AB23" s="962"/>
      <c r="AC23" s="963"/>
      <c r="AD23" s="964"/>
      <c r="AE23" s="962"/>
      <c r="AF23" s="963"/>
      <c r="AG23" s="964"/>
      <c r="AH23" s="962"/>
      <c r="AI23" s="963"/>
      <c r="AJ23" s="964"/>
      <c r="AK23" s="962"/>
      <c r="AL23" s="962"/>
      <c r="AM23" s="963"/>
      <c r="AN23" s="964"/>
      <c r="AO23" s="962"/>
      <c r="AP23" s="965"/>
      <c r="AQ23" s="966"/>
      <c r="AR23" s="962"/>
      <c r="AS23" s="965"/>
      <c r="AT23" s="966"/>
      <c r="AU23" s="962"/>
      <c r="AV23" s="967"/>
      <c r="AW23" s="967"/>
      <c r="AX23" s="968"/>
      <c r="AY23" s="968"/>
      <c r="AZ23" s="968"/>
      <c r="BA23" s="968"/>
      <c r="BB23" s="968"/>
      <c r="BC23" s="968"/>
      <c r="BD23" s="968"/>
      <c r="BE23" s="968"/>
      <c r="BF23" s="968"/>
      <c r="BH23" s="41"/>
      <c r="BI23" s="41"/>
      <c r="BJ23" s="41"/>
      <c r="BK23" s="41"/>
      <c r="BL23" s="42"/>
      <c r="BM23" s="43"/>
      <c r="BN23" s="44"/>
      <c r="BO23" s="42"/>
      <c r="BP23" s="42"/>
      <c r="BQ23" s="42"/>
      <c r="BR23" s="42"/>
      <c r="BS23" s="1610"/>
      <c r="BT23" s="835"/>
      <c r="BU23" s="106"/>
      <c r="BV23" s="515"/>
      <c r="BW23" s="516"/>
      <c r="BX23" s="516"/>
      <c r="BY23" s="389"/>
      <c r="CC23" s="112">
        <f t="shared" si="24"/>
        <v>20.034792726438965</v>
      </c>
      <c r="CD23" s="112">
        <f t="shared" si="19"/>
        <v>20.034792726438965</v>
      </c>
      <c r="CE23" s="112">
        <f t="shared" si="20"/>
        <v>20.034792726438965</v>
      </c>
      <c r="CF23" s="66" t="str">
        <f t="shared" si="21"/>
        <v>M1</v>
      </c>
      <c r="CI23" s="834">
        <f>INDEX('Light Data '!$H$3:$H$381,MATCH(ROUNDDOWN(C23,0),'Light Data '!$A$3:$A$381,0))-(((INDEX('Light Data '!$H$3:$H$381,MATCH(ROUNDDOWN(C23,0),'Light Data '!$A$3:$A$381,0))-(INDEX('Light Data '!$H$3:$H$381,MATCH(ROUNDDOWN(C23,0)+1,'Light Data '!$A$3:$A$381,0))))/24)*HOUR(C23))</f>
        <v>51</v>
      </c>
      <c r="CJ23" s="834">
        <f t="shared" si="22"/>
        <v>51</v>
      </c>
    </row>
    <row r="24" spans="1:88" ht="14">
      <c r="A24" s="527">
        <f t="shared" si="25"/>
        <v>1</v>
      </c>
      <c r="B24" s="525">
        <f t="shared" si="26"/>
        <v>100</v>
      </c>
      <c r="C24" s="3639">
        <f>C20+4/24</f>
        <v>44749.041666666657</v>
      </c>
      <c r="D24" s="3639"/>
      <c r="E24" s="524">
        <f>E20+4/24</f>
        <v>44749.208333333328</v>
      </c>
      <c r="F24" s="77" t="str">
        <f>IF(AND(TAF!Z7="PREDOM",E24&lt;TAF!AF7),TAF!AH7,IF(AND(TAF!Z8="PREDOM",E24&lt;TAF!AF8),TAF!AH8,IF(AND(TAF!Z9="PREDOM",E24&lt;TAF!AF9),TAF!AH9,IF(AND(TAF!Z10="PREDOM",E24&lt;TAF!AF10),TAF!AH10,IF(AND(TAF!Z11="PREDOM",E24&lt;TAF!AF11),TAF!AH11,IF(AND(TAF!Z12="PREDOM",E24&lt;TAF!AF12),TAF!AH12,IF(AND(TAF!Z13="PREDOM",E24&lt;TAF!AF13),TAF!AH13,IF(AND(TAF!Z14="PREDOM",E24&lt;TAF!AF14),TAF!AH14,IF(AND(TAF!Z15="PREDOM",E24&lt;TAF!AF15),TAF!AH15,IF(AND(TAF!Z16="PREDOM",E24&lt;TAF!AE16),TAF!AH16,IF(AND(TAF!Z17="PREDOM",E24&lt;TAF!AF17),TAF!AH17,IF(AND(TAF!Z18="PREDOM",E24&lt;TAF!AF18),TAF!AH18))))))))))))</f>
        <v>240</v>
      </c>
      <c r="G24" s="78">
        <f>IF(AND(TAF!Z7="PREDOM",E24&lt;TAF!AF7),TAF!AI7,IF(AND(TAF!Z8="PREDOM",E24&lt;TAF!AF8),TAF!AI8,IF(AND(TAF!Z9="PREDOM",E24&lt;TAF!AF9),TAF!AI9,IF(AND(TAF!Z10="PREDOM",E24&lt;TAF!AF10),TAF!AI10,IF(AND(TAF!Z11="PREDOM",E24&lt;TAF!AF11),TAF!AI11,IF(AND(TAF!Z12="PREDOM",E24&lt;TAF!AF12),TAF!AI12,IF(AND(TAF!Z13="PREDOM",E24&lt;TAF!AF13),TAF!AI13,IF(AND(TAF!Z14="PREDOM",E24&lt;TAF!AF14),TAF!AI14,IF(AND(TAF!Z15="PREDOM",E24&lt;TAF!AF15),TAF!AI15,IF(AND(TAF!Z16="PREDOM",E24&lt;TAF!AE16),TAF!AI16,IF(AND(TAF!Z17="PREDOM",E24&lt;TAF!AF17),TAF!AI17,IF(AND(TAF!Z18="PREDOM",E24&lt;TAF!AF18),TAF!AI18))))))))))))</f>
        <v>10</v>
      </c>
      <c r="H24" s="79" t="str">
        <f>IF(AND(TAF!Z7="PREDOM",E24&lt;TAF!AF7),TAF!AJ7,IF(AND(TAF!Z8="PREDOM",E24&lt;TAF!AF8),TAF!AJ8,IF(AND(TAF!Z9="PREDOM",E24&lt;TAF!AF9),TAF!AJ9,IF(AND(TAF!Z10="PREDOM",E24&lt;TAF!AF10),TAF!AJ10,IF(AND(TAF!Z11="PREDOM",E24&lt;TAF!AF11),TAF!AJ11,IF(AND(TAF!Z12="PREDOM",E24&lt;TAF!AF12),TAF!AJ12,IF(AND(TAF!Z13="PREDOM",E24&lt;TAF!AF13),TAF!AJ13,IF(AND(TAF!Z14="PREDOM",E24&lt;TAF!AF14),TAF!AJ14,IF(AND(TAF!Z15="PREDOM",E24&lt;TAF!AF15),TAF!AJ15,IF(AND(TAF!Z16="PREDOM",E24&lt;TAF!AE16),TAF!AJ16,IF(AND(TAF!Z17="PREDOM",E24&lt;TAF!AF17),TAF!AJ17,IF(AND(TAF!Z18="PREDOM",E24&lt;TAF!AF18),TAF!AJ18))))))))))))</f>
        <v/>
      </c>
      <c r="I24" s="80" t="str">
        <f>IF(AND(TAF!Z7="TEMPO",NOT(E24+0.01&lt;TAF!AC7),E24&lt;TAF!AF7),TAF!AJ7,IF(AND(TAF!Z8="TEMPO",NOT(E24+0.01&lt;TAF!AC8),E24&lt;TAF!AF8),TAF!AJ8,IF(AND(TAF!Z9="TEMPO",NOT(E24+0.01&lt;TAF!AC9),E24&lt;TAF!AF9),TAF!AJ9,IF(AND(TAF!Z10="TEMPO",NOT(E24+0.01&lt;TAF!AC10),E24&lt;TAF!AF10),TAF!AJ10,IF(AND(TAF!Z11="TEMPO",NOT(E24+0.01&lt;TAF!AC11),E24&lt;TAF!AF11),TAF!AJ11,IF(AND(TAF!Z12="TEMPO",NOT(E24+0.01&lt;TAF!AC12),E24&lt;TAF!AF12),TAF!AJ12,IF(AND(TAF!Z13="TEMPO",NOT(E24+0.01&lt;TAF!AC13),E24&lt;TAF!AF13),TAF!AJ13,IF(AND(TAF!Z14="TEMPO",NOT(E24+0.01&lt;TAF!AC14),E24&lt;TAF!AF14),TAF!AJ14,IF(AND(TAF!Z15="TEMPO",NOT(E24+0.01&lt;TAF!AC15),E24&lt;TAF!AF15),TAF!AJ15,IF(AND(TAF!Z16="TEMPO",NOT(E24+0.01&lt;TAF!AC16),E24&lt;TAF!AE16),TAF!AJ16,IF(AND(TAF!Z17="TEMPO",NOT(E24+0.01&lt;TAF!AC17),E24&lt;TAF!AF17),TAF!AJ17,IF(AND(TAF!Z18="TEMPO",NOT(E24+0.01&lt;TAF!AC18),E24&lt;TAF!AF18),TAF!AJ18,""))))))))))))</f>
        <v/>
      </c>
      <c r="J24" s="951"/>
      <c r="K24" s="951"/>
      <c r="L24" s="952"/>
      <c r="M24" s="953"/>
      <c r="N24" s="953"/>
      <c r="O24" s="953"/>
      <c r="P24" s="953"/>
      <c r="Q24" s="953"/>
      <c r="R24" s="954"/>
      <c r="S24" s="954"/>
      <c r="T24" s="955"/>
      <c r="U24" s="956"/>
      <c r="V24" s="957"/>
      <c r="W24" s="958"/>
      <c r="X24" s="1632"/>
      <c r="Y24" s="959"/>
      <c r="Z24" s="960"/>
      <c r="AA24" s="961"/>
      <c r="AB24" s="962"/>
      <c r="AC24" s="963"/>
      <c r="AD24" s="964"/>
      <c r="AE24" s="962"/>
      <c r="AF24" s="963"/>
      <c r="AG24" s="964"/>
      <c r="AH24" s="962"/>
      <c r="AI24" s="963"/>
      <c r="AJ24" s="964"/>
      <c r="AK24" s="962"/>
      <c r="AL24" s="962"/>
      <c r="AM24" s="963"/>
      <c r="AN24" s="964"/>
      <c r="AO24" s="962"/>
      <c r="AP24" s="965"/>
      <c r="AQ24" s="966"/>
      <c r="AR24" s="962"/>
      <c r="AS24" s="965"/>
      <c r="AT24" s="966"/>
      <c r="AU24" s="962"/>
      <c r="AV24" s="967"/>
      <c r="AW24" s="967"/>
      <c r="AX24" s="968"/>
      <c r="AY24" s="968"/>
      <c r="AZ24" s="968"/>
      <c r="BA24" s="968"/>
      <c r="BB24" s="968"/>
      <c r="BC24" s="968"/>
      <c r="BD24" s="968"/>
      <c r="BE24" s="968"/>
      <c r="BF24" s="968"/>
      <c r="BH24" s="41"/>
      <c r="BI24" s="41"/>
      <c r="BJ24" s="41"/>
      <c r="BK24" s="41"/>
      <c r="BL24" s="42"/>
      <c r="BM24" s="43"/>
      <c r="BN24" s="44"/>
      <c r="BO24" s="42"/>
      <c r="BP24" s="42"/>
      <c r="BQ24" s="42"/>
      <c r="BR24" s="42"/>
      <c r="BS24" s="1610"/>
      <c r="BT24" s="835"/>
      <c r="BU24" s="106"/>
      <c r="BV24" s="515"/>
      <c r="BW24" s="516"/>
      <c r="BX24" s="516"/>
      <c r="BY24" s="389"/>
      <c r="CC24" s="112">
        <f t="shared" si="24"/>
        <v>7.7077558908083041</v>
      </c>
      <c r="CD24" s="112">
        <f t="shared" si="19"/>
        <v>7.7077558908083041</v>
      </c>
      <c r="CE24" s="112">
        <f t="shared" si="20"/>
        <v>7.7077558908083041</v>
      </c>
      <c r="CF24" s="66" t="str">
        <f t="shared" si="21"/>
        <v>M1</v>
      </c>
      <c r="CI24" s="834">
        <f>INDEX('Light Data '!$H$3:$H$381,MATCH(ROUNDDOWN(C24,0),'Light Data '!$A$3:$A$381,0))-(((INDEX('Light Data '!$H$3:$H$381,MATCH(ROUNDDOWN(C24,0),'Light Data '!$A$3:$A$381,0))-(INDEX('Light Data '!$H$3:$H$381,MATCH(ROUNDDOWN(C24,0)+1,'Light Data '!$A$3:$A$381,0))))/24)*HOUR(C24))</f>
        <v>51.458333333333336</v>
      </c>
      <c r="CJ24" s="834">
        <f t="shared" si="22"/>
        <v>51.458333333333336</v>
      </c>
    </row>
    <row r="25" spans="1:88" ht="14">
      <c r="A25" s="970">
        <f t="shared" si="25"/>
        <v>2</v>
      </c>
      <c r="B25" s="971">
        <f t="shared" si="26"/>
        <v>200</v>
      </c>
      <c r="C25" s="3640">
        <f>C20+5/24</f>
        <v>44749.083333333328</v>
      </c>
      <c r="D25" s="3640"/>
      <c r="E25" s="521">
        <f>E20+5/24</f>
        <v>44749.25</v>
      </c>
      <c r="F25" s="77" t="str">
        <f>IF(AND(TAF!Z7="PREDOM",E25&lt;TAF!AF7),TAF!AH7,IF(AND(TAF!Z8="PREDOM",E25&lt;TAF!AF8),TAF!AH8,IF(AND(TAF!Z9="PREDOM",E25&lt;TAF!AF9),TAF!AH9,IF(AND(TAF!Z10="PREDOM",E25&lt;TAF!AF10),TAF!AH10,IF(AND(TAF!Z11="PREDOM",E25&lt;TAF!AF11),TAF!AH11,IF(AND(TAF!Z12="PREDOM",E25&lt;TAF!AF12),TAF!AH12,IF(AND(TAF!Z13="PREDOM",E25&lt;TAF!AF13),TAF!AH13,IF(AND(TAF!Z14="PREDOM",E25&lt;TAF!AF14),TAF!AH14,IF(AND(TAF!Z15="PREDOM",E25&lt;TAF!AF15),TAF!AH15,IF(AND(TAF!Z16="PREDOM",E25&lt;TAF!AE16),TAF!AH16,IF(AND(TAF!Z17="PREDOM",E25&lt;TAF!AF17),TAF!AH17,IF(AND(TAF!Z18="PREDOM",E25&lt;TAF!AF18),TAF!AH18))))))))))))</f>
        <v>240</v>
      </c>
      <c r="G25" s="78">
        <f>IF(AND(TAF!Z7="PREDOM",E25&lt;TAF!AF7),TAF!AI7,IF(AND(TAF!Z8="PREDOM",E25&lt;TAF!AF8),TAF!AI8,IF(AND(TAF!Z9="PREDOM",E25&lt;TAF!AF9),TAF!AI9,IF(AND(TAF!Z10="PREDOM",E25&lt;TAF!AF10),TAF!AI10,IF(AND(TAF!Z11="PREDOM",E25&lt;TAF!AF11),TAF!AI11,IF(AND(TAF!Z12="PREDOM",E25&lt;TAF!AF12),TAF!AI12,IF(AND(TAF!Z13="PREDOM",E25&lt;TAF!AF13),TAF!AI13,IF(AND(TAF!Z14="PREDOM",E25&lt;TAF!AF14),TAF!AI14,IF(AND(TAF!Z15="PREDOM",E25&lt;TAF!AF15),TAF!AI15,IF(AND(TAF!Z16="PREDOM",E25&lt;TAF!AE16),TAF!AI16,IF(AND(TAF!Z17="PREDOM",E25&lt;TAF!AF17),TAF!AI17,IF(AND(TAF!Z18="PREDOM",E25&lt;TAF!AF18),TAF!AI18))))))))))))</f>
        <v>10</v>
      </c>
      <c r="H25" s="79" t="str">
        <f>IF(AND(TAF!Z7="PREDOM",E25&lt;TAF!AF7),TAF!AJ7,IF(AND(TAF!Z8="PREDOM",E25&lt;TAF!AF8),TAF!AJ8,IF(AND(TAF!Z9="PREDOM",E25&lt;TAF!AF9),TAF!AJ9,IF(AND(TAF!Z10="PREDOM",E25&lt;TAF!AF10),TAF!AJ10,IF(AND(TAF!Z11="PREDOM",E25&lt;TAF!AF11),TAF!AJ11,IF(AND(TAF!Z12="PREDOM",E25&lt;TAF!AF12),TAF!AJ12,IF(AND(TAF!Z13="PREDOM",E25&lt;TAF!AF13),TAF!AJ13,IF(AND(TAF!Z14="PREDOM",E25&lt;TAF!AF14),TAF!AJ14,IF(AND(TAF!Z15="PREDOM",E25&lt;TAF!AF15),TAF!AJ15,IF(AND(TAF!Z16="PREDOM",E25&lt;TAF!AE16),TAF!AJ16,IF(AND(TAF!Z17="PREDOM",E25&lt;TAF!AF17),TAF!AJ17,IF(AND(TAF!Z18="PREDOM",E25&lt;TAF!AF18),TAF!AJ18))))))))))))</f>
        <v/>
      </c>
      <c r="I25" s="80" t="str">
        <f>IF(AND(TAF!Z7="TEMPO",NOT(E25+0.01&lt;TAF!AC7),E25&lt;TAF!AF7),TAF!AJ7,IF(AND(TAF!Z8="TEMPO",NOT(E25+0.01&lt;TAF!AC8),E25&lt;TAF!AF8),TAF!AJ8,IF(AND(TAF!Z9="TEMPO",NOT(E25+0.01&lt;TAF!AC9),E25&lt;TAF!AF9),TAF!AJ9,IF(AND(TAF!Z10="TEMPO",NOT(E25+0.01&lt;TAF!AC10),E25&lt;TAF!AF10),TAF!AJ10,IF(AND(TAF!Z11="TEMPO",NOT(E25+0.01&lt;TAF!AC11),E25&lt;TAF!AF11),TAF!AJ11,IF(AND(TAF!Z12="TEMPO",NOT(E25+0.01&lt;TAF!AC12),E25&lt;TAF!AF12),TAF!AJ12,IF(AND(TAF!Z13="TEMPO",NOT(E25+0.01&lt;TAF!AC13),E25&lt;TAF!AF13),TAF!AJ13,IF(AND(TAF!Z14="TEMPO",NOT(E25+0.01&lt;TAF!AC14),E25&lt;TAF!AF14),TAF!AJ14,IF(AND(TAF!Z15="TEMPO",NOT(E25+0.01&lt;TAF!AC15),E25&lt;TAF!AF15),TAF!AJ15,IF(AND(TAF!Z16="TEMPO",NOT(E25+0.01&lt;TAF!AC16),E25&lt;TAF!AE16),TAF!AJ16,IF(AND(TAF!Z17="TEMPO",NOT(E25+0.01&lt;TAF!AC17),E25&lt;TAF!AF17),TAF!AJ17,IF(AND(TAF!Z18="TEMPO",NOT(E25+0.01&lt;TAF!AC18),E25&lt;TAF!AF18),TAF!AJ18,""))))))))))))</f>
        <v/>
      </c>
      <c r="J25" s="951"/>
      <c r="K25" s="951"/>
      <c r="L25" s="952"/>
      <c r="M25" s="953"/>
      <c r="N25" s="953"/>
      <c r="O25" s="953"/>
      <c r="P25" s="953"/>
      <c r="Q25" s="953"/>
      <c r="R25" s="954"/>
      <c r="S25" s="954"/>
      <c r="T25" s="955"/>
      <c r="U25" s="956"/>
      <c r="V25" s="957"/>
      <c r="W25" s="958"/>
      <c r="X25" s="969"/>
      <c r="Y25" s="959"/>
      <c r="Z25" s="960"/>
      <c r="AA25" s="961"/>
      <c r="AB25" s="962"/>
      <c r="AC25" s="963"/>
      <c r="AD25" s="964"/>
      <c r="AE25" s="962"/>
      <c r="AF25" s="963"/>
      <c r="AG25" s="964"/>
      <c r="AH25" s="962"/>
      <c r="AI25" s="963"/>
      <c r="AJ25" s="964"/>
      <c r="AK25" s="962"/>
      <c r="AL25" s="962"/>
      <c r="AM25" s="963"/>
      <c r="AN25" s="964"/>
      <c r="AO25" s="962"/>
      <c r="AP25" s="965"/>
      <c r="AQ25" s="966"/>
      <c r="AR25" s="962"/>
      <c r="AS25" s="965"/>
      <c r="AT25" s="966"/>
      <c r="AU25" s="962"/>
      <c r="AV25" s="967"/>
      <c r="AW25" s="967"/>
      <c r="AX25" s="968"/>
      <c r="AY25" s="968"/>
      <c r="AZ25" s="968"/>
      <c r="BA25" s="968"/>
      <c r="BB25" s="968"/>
      <c r="BC25" s="968"/>
      <c r="BD25" s="968"/>
      <c r="BE25" s="968"/>
      <c r="BF25" s="968"/>
      <c r="BH25" s="41"/>
      <c r="BI25" s="41"/>
      <c r="BJ25" s="41"/>
      <c r="BK25" s="41"/>
      <c r="BL25" s="42"/>
      <c r="BM25" s="43"/>
      <c r="BN25" s="44"/>
      <c r="BO25" s="42"/>
      <c r="BP25" s="42"/>
      <c r="BQ25" s="42"/>
      <c r="BR25" s="42"/>
      <c r="BS25" s="1610"/>
      <c r="BT25" s="835"/>
      <c r="BU25" s="106"/>
      <c r="BV25" s="515"/>
      <c r="BW25" s="516"/>
      <c r="BX25" s="516"/>
      <c r="BY25" s="389"/>
      <c r="CC25" s="112" t="str">
        <f t="shared" si="24"/>
        <v>&lt;0</v>
      </c>
      <c r="CD25" s="112" t="str">
        <f t="shared" si="19"/>
        <v>&lt;0</v>
      </c>
      <c r="CE25" s="112">
        <f t="shared" si="20"/>
        <v>99</v>
      </c>
      <c r="CF25" s="66" t="str">
        <f t="shared" si="21"/>
        <v>D</v>
      </c>
      <c r="CI25" s="834">
        <f>INDEX('Light Data '!$H$3:$H$381,MATCH(ROUNDDOWN(C25,0),'Light Data '!$A$3:$A$381,0))-(((INDEX('Light Data '!$H$3:$H$381,MATCH(ROUNDDOWN(C25,0),'Light Data '!$A$3:$A$381,0))-(INDEX('Light Data '!$H$3:$H$381,MATCH(ROUNDDOWN(C25,0)+1,'Light Data '!$A$3:$A$381,0))))/24)*HOUR(C25))</f>
        <v>51.916666666666664</v>
      </c>
      <c r="CJ25" s="834">
        <f t="shared" si="22"/>
        <v>0</v>
      </c>
    </row>
    <row r="26" spans="1:88" ht="14">
      <c r="A26" s="527">
        <f t="shared" si="25"/>
        <v>3</v>
      </c>
      <c r="B26" s="525">
        <f t="shared" si="26"/>
        <v>300</v>
      </c>
      <c r="C26" s="3639">
        <f>C20+6/24</f>
        <v>44749.124999999993</v>
      </c>
      <c r="D26" s="3639"/>
      <c r="E26" s="524">
        <f>E20+6/24</f>
        <v>44749.291666666664</v>
      </c>
      <c r="F26" s="77" t="str">
        <f>IF(AND(TAF!Z7="PREDOM",E26&lt;TAF!AF7),TAF!AH7,IF(AND(TAF!Z8="PREDOM",E26&lt;TAF!AF8),TAF!AH8,IF(AND(TAF!Z9="PREDOM",E26&lt;TAF!AF9),TAF!AH9,IF(AND(TAF!Z10="PREDOM",E26&lt;TAF!AF10),TAF!AH10,IF(AND(TAF!Z11="PREDOM",E26&lt;TAF!AF11),TAF!AH11,IF(AND(TAF!Z12="PREDOM",E26&lt;TAF!AF12),TAF!AH12,IF(AND(TAF!Z13="PREDOM",E26&lt;TAF!AF13),TAF!AH13,IF(AND(TAF!Z14="PREDOM",E26&lt;TAF!AF14),TAF!AH14,IF(AND(TAF!Z15="PREDOM",E26&lt;TAF!AF15),TAF!AH15,IF(AND(TAF!Z16="PREDOM",E26&lt;TAF!AE16),TAF!AH16,IF(AND(TAF!Z17="PREDOM",E26&lt;TAF!AF17),TAF!AH17,IF(AND(TAF!Z18="PREDOM",E26&lt;TAF!AF18),TAF!AH18))))))))))))</f>
        <v>240</v>
      </c>
      <c r="G26" s="78">
        <f>IF(AND(TAF!Z7="PREDOM",E26&lt;TAF!AF7),TAF!AI7,IF(AND(TAF!Z8="PREDOM",E26&lt;TAF!AF8),TAF!AI8,IF(AND(TAF!Z9="PREDOM",E26&lt;TAF!AF9),TAF!AI9,IF(AND(TAF!Z10="PREDOM",E26&lt;TAF!AF10),TAF!AI10,IF(AND(TAF!Z11="PREDOM",E26&lt;TAF!AF11),TAF!AI11,IF(AND(TAF!Z12="PREDOM",E26&lt;TAF!AF12),TAF!AI12,IF(AND(TAF!Z13="PREDOM",E26&lt;TAF!AF13),TAF!AI13,IF(AND(TAF!Z14="PREDOM",E26&lt;TAF!AF14),TAF!AI14,IF(AND(TAF!Z15="PREDOM",E26&lt;TAF!AF15),TAF!AI15,IF(AND(TAF!Z16="PREDOM",E26&lt;TAF!AE16),TAF!AI16,IF(AND(TAF!Z17="PREDOM",E26&lt;TAF!AF17),TAF!AI17,IF(AND(TAF!Z18="PREDOM",E26&lt;TAF!AF18),TAF!AI18))))))))))))</f>
        <v>10</v>
      </c>
      <c r="H26" s="79" t="str">
        <f>IF(AND(TAF!Z7="PREDOM",E26&lt;TAF!AF7),TAF!AJ7,IF(AND(TAF!Z8="PREDOM",E26&lt;TAF!AF8),TAF!AJ8,IF(AND(TAF!Z9="PREDOM",E26&lt;TAF!AF9),TAF!AJ9,IF(AND(TAF!Z10="PREDOM",E26&lt;TAF!AF10),TAF!AJ10,IF(AND(TAF!Z11="PREDOM",E26&lt;TAF!AF11),TAF!AJ11,IF(AND(TAF!Z12="PREDOM",E26&lt;TAF!AF12),TAF!AJ12,IF(AND(TAF!Z13="PREDOM",E26&lt;TAF!AF13),TAF!AJ13,IF(AND(TAF!Z14="PREDOM",E26&lt;TAF!AF14),TAF!AJ14,IF(AND(TAF!Z15="PREDOM",E26&lt;TAF!AF15),TAF!AJ15,IF(AND(TAF!Z16="PREDOM",E26&lt;TAF!AE16),TAF!AJ16,IF(AND(TAF!Z17="PREDOM",E26&lt;TAF!AF17),TAF!AJ17,IF(AND(TAF!Z18="PREDOM",E26&lt;TAF!AF18),TAF!AJ18))))))))))))</f>
        <v/>
      </c>
      <c r="I26" s="80" t="str">
        <f>IF(AND(TAF!Z7="TEMPO",NOT(E26+0.01&lt;TAF!AC7),E26&lt;TAF!AF7),TAF!AJ7,IF(AND(TAF!Z8="TEMPO",NOT(E26+0.01&lt;TAF!AC8),E26&lt;TAF!AF8),TAF!AJ8,IF(AND(TAF!Z9="TEMPO",NOT(E26+0.01&lt;TAF!AC9),E26&lt;TAF!AF9),TAF!AJ9,IF(AND(TAF!Z10="TEMPO",NOT(E26+0.01&lt;TAF!AC10),E26&lt;TAF!AF10),TAF!AJ10,IF(AND(TAF!Z11="TEMPO",NOT(E26+0.01&lt;TAF!AC11),E26&lt;TAF!AF11),TAF!AJ11,IF(AND(TAF!Z12="TEMPO",NOT(E26+0.01&lt;TAF!AC12),E26&lt;TAF!AF12),TAF!AJ12,IF(AND(TAF!Z13="TEMPO",NOT(E26+0.01&lt;TAF!AC13),E26&lt;TAF!AF13),TAF!AJ13,IF(AND(TAF!Z14="TEMPO",NOT(E26+0.01&lt;TAF!AC14),E26&lt;TAF!AF14),TAF!AJ14,IF(AND(TAF!Z15="TEMPO",NOT(E26+0.01&lt;TAF!AC15),E26&lt;TAF!AF15),TAF!AJ15,IF(AND(TAF!Z16="TEMPO",NOT(E26+0.01&lt;TAF!AC16),E26&lt;TAF!AE16),TAF!AJ16,IF(AND(TAF!Z17="TEMPO",NOT(E26+0.01&lt;TAF!AC17),E26&lt;TAF!AF17),TAF!AJ17,IF(AND(TAF!Z18="TEMPO",NOT(E26+0.01&lt;TAF!AC18),E26&lt;TAF!AF18),TAF!AJ18,""))))))))))))</f>
        <v/>
      </c>
      <c r="J26" s="951"/>
      <c r="K26" s="951"/>
      <c r="L26" s="952"/>
      <c r="M26" s="953"/>
      <c r="N26" s="953"/>
      <c r="O26" s="953"/>
      <c r="P26" s="953"/>
      <c r="Q26" s="953"/>
      <c r="R26" s="954"/>
      <c r="S26" s="954"/>
      <c r="T26" s="955"/>
      <c r="U26" s="956"/>
      <c r="V26" s="957"/>
      <c r="W26" s="958"/>
      <c r="X26" s="1632"/>
      <c r="Y26" s="959"/>
      <c r="Z26" s="960"/>
      <c r="AA26" s="961"/>
      <c r="AB26" s="962"/>
      <c r="AC26" s="963"/>
      <c r="AD26" s="964"/>
      <c r="AE26" s="962"/>
      <c r="AF26" s="963"/>
      <c r="AG26" s="964"/>
      <c r="AH26" s="962"/>
      <c r="AI26" s="963"/>
      <c r="AJ26" s="964"/>
      <c r="AK26" s="962"/>
      <c r="AL26" s="962"/>
      <c r="AM26" s="963"/>
      <c r="AN26" s="964"/>
      <c r="AO26" s="962"/>
      <c r="AP26" s="965"/>
      <c r="AQ26" s="966"/>
      <c r="AR26" s="962"/>
      <c r="AS26" s="965"/>
      <c r="AT26" s="966"/>
      <c r="AU26" s="962"/>
      <c r="AV26" s="967"/>
      <c r="AW26" s="967"/>
      <c r="AX26" s="968"/>
      <c r="AY26" s="968"/>
      <c r="AZ26" s="968"/>
      <c r="BA26" s="968"/>
      <c r="BB26" s="968"/>
      <c r="BC26" s="968"/>
      <c r="BD26" s="968"/>
      <c r="BE26" s="968"/>
      <c r="BF26" s="968"/>
      <c r="BH26" s="41"/>
      <c r="BI26" s="41"/>
      <c r="BJ26" s="41"/>
      <c r="BK26" s="41"/>
      <c r="BL26" s="42"/>
      <c r="BM26" s="43"/>
      <c r="BN26" s="44"/>
      <c r="BO26" s="42"/>
      <c r="BP26" s="42"/>
      <c r="BQ26" s="42"/>
      <c r="BR26" s="42"/>
      <c r="BS26" s="1610"/>
      <c r="BT26" s="835"/>
      <c r="BU26" s="106"/>
      <c r="BV26" s="515"/>
      <c r="BW26" s="516"/>
      <c r="BX26" s="516"/>
      <c r="BY26" s="389"/>
      <c r="CC26" s="112" t="str">
        <f t="shared" si="24"/>
        <v>&lt;0</v>
      </c>
      <c r="CD26" s="112" t="str">
        <f t="shared" si="19"/>
        <v>&lt;0</v>
      </c>
      <c r="CE26" s="112">
        <f t="shared" si="20"/>
        <v>99</v>
      </c>
      <c r="CF26" s="66" t="str">
        <f t="shared" si="21"/>
        <v>D</v>
      </c>
      <c r="CI26" s="834">
        <f>INDEX('Light Data '!$H$3:$H$381,MATCH(ROUNDDOWN(C26,0),'Light Data '!$A$3:$A$381,0))-(((INDEX('Light Data '!$H$3:$H$381,MATCH(ROUNDDOWN(C26,0),'Light Data '!$A$3:$A$381,0))-(INDEX('Light Data '!$H$3:$H$381,MATCH(ROUNDDOWN(C26,0)+1,'Light Data '!$A$3:$A$381,0))))/24)*HOUR(C26))</f>
        <v>52.375</v>
      </c>
      <c r="CJ26" s="834">
        <f t="shared" si="22"/>
        <v>0</v>
      </c>
    </row>
    <row r="27" spans="1:88">
      <c r="F27" s="104" t="s">
        <v>2636</v>
      </c>
      <c r="G27" s="66" t="s">
        <v>2637</v>
      </c>
    </row>
    <row r="28" spans="1:88" ht="10.5" customHeight="1">
      <c r="C28" s="67"/>
      <c r="F28" s="104" t="s">
        <v>2638</v>
      </c>
      <c r="G28" s="105" t="s">
        <v>2639</v>
      </c>
      <c r="H28" s="106"/>
      <c r="K28" s="343" t="s">
        <v>2640</v>
      </c>
      <c r="L28" s="335" t="s">
        <v>2641</v>
      </c>
    </row>
    <row r="29" spans="1:88">
      <c r="F29" s="107" t="s">
        <v>2642</v>
      </c>
      <c r="G29" s="105" t="s">
        <v>2639</v>
      </c>
      <c r="K29" s="334" t="s">
        <v>409</v>
      </c>
      <c r="L29" s="335" t="s">
        <v>2643</v>
      </c>
    </row>
    <row r="30" spans="1:88">
      <c r="F30" s="108" t="s">
        <v>2644</v>
      </c>
      <c r="G30" s="105" t="s">
        <v>2645</v>
      </c>
      <c r="H30" s="109"/>
      <c r="I30" s="109"/>
      <c r="J30" s="110"/>
      <c r="K30" s="334" t="s">
        <v>2646</v>
      </c>
      <c r="L30" s="336" t="s">
        <v>2643</v>
      </c>
    </row>
    <row r="31" spans="1:88">
      <c r="F31" s="108" t="s">
        <v>2647</v>
      </c>
      <c r="G31" s="105" t="s">
        <v>2645</v>
      </c>
      <c r="K31" s="334" t="s">
        <v>407</v>
      </c>
      <c r="L31" s="335" t="s">
        <v>2648</v>
      </c>
      <c r="U31" s="106"/>
    </row>
    <row r="32" spans="1:88">
      <c r="F32" s="108" t="s">
        <v>2649</v>
      </c>
      <c r="G32" s="105" t="s">
        <v>2645</v>
      </c>
      <c r="I32" s="106"/>
      <c r="J32" s="106"/>
      <c r="K32" s="334" t="s">
        <v>2650</v>
      </c>
      <c r="L32" s="336" t="s">
        <v>2648</v>
      </c>
      <c r="M32" s="106"/>
      <c r="N32" s="106"/>
      <c r="O32" s="106"/>
    </row>
    <row r="33" spans="6:15">
      <c r="F33" s="108" t="s">
        <v>2651</v>
      </c>
      <c r="G33" s="105" t="s">
        <v>2645</v>
      </c>
      <c r="J33" s="106"/>
      <c r="K33" s="334" t="s">
        <v>2652</v>
      </c>
      <c r="L33" s="336" t="s">
        <v>2648</v>
      </c>
      <c r="M33" s="106"/>
      <c r="N33" s="106"/>
      <c r="O33" s="106"/>
    </row>
    <row r="34" spans="6:15">
      <c r="F34" s="108" t="s">
        <v>2653</v>
      </c>
      <c r="G34" s="105" t="s">
        <v>2654</v>
      </c>
      <c r="J34" s="106"/>
      <c r="K34" s="334" t="s">
        <v>410</v>
      </c>
      <c r="L34" s="336" t="s">
        <v>2648</v>
      </c>
      <c r="M34" s="106"/>
      <c r="N34" s="106"/>
      <c r="O34" s="106"/>
    </row>
    <row r="35" spans="6:15">
      <c r="F35" s="108" t="s">
        <v>2655</v>
      </c>
      <c r="G35" s="105" t="s">
        <v>2654</v>
      </c>
      <c r="K35" s="334" t="s">
        <v>335</v>
      </c>
      <c r="L35" s="335" t="s">
        <v>2648</v>
      </c>
    </row>
    <row r="36" spans="6:15">
      <c r="F36" s="108" t="s">
        <v>2656</v>
      </c>
      <c r="G36" s="105" t="s">
        <v>2654</v>
      </c>
      <c r="K36" s="334" t="s">
        <v>2657</v>
      </c>
      <c r="L36" s="335" t="s">
        <v>2658</v>
      </c>
    </row>
    <row r="37" spans="6:15">
      <c r="F37" s="108" t="s">
        <v>2659</v>
      </c>
      <c r="G37" s="105" t="s">
        <v>2654</v>
      </c>
      <c r="K37" s="334" t="s">
        <v>2660</v>
      </c>
      <c r="L37" s="335" t="s">
        <v>2658</v>
      </c>
    </row>
    <row r="38" spans="6:15">
      <c r="F38" s="108" t="s">
        <v>2661</v>
      </c>
      <c r="G38" s="105" t="s">
        <v>2654</v>
      </c>
      <c r="K38" s="334"/>
    </row>
    <row r="39" spans="6:15">
      <c r="F39" s="108" t="s">
        <v>2662</v>
      </c>
      <c r="G39" s="105" t="s">
        <v>2663</v>
      </c>
      <c r="K39" s="334"/>
    </row>
    <row r="40" spans="6:15">
      <c r="F40" s="108" t="s">
        <v>2664</v>
      </c>
      <c r="G40" s="105" t="s">
        <v>2663</v>
      </c>
      <c r="K40" s="334"/>
    </row>
    <row r="41" spans="6:15">
      <c r="F41" s="108" t="s">
        <v>2665</v>
      </c>
      <c r="G41" s="105" t="s">
        <v>2663</v>
      </c>
      <c r="K41" s="334"/>
    </row>
    <row r="42" spans="6:15">
      <c r="F42" s="108" t="s">
        <v>2666</v>
      </c>
      <c r="G42" s="105" t="s">
        <v>2663</v>
      </c>
      <c r="K42" s="334"/>
    </row>
    <row r="43" spans="6:15">
      <c r="F43" s="108" t="s">
        <v>2667</v>
      </c>
      <c r="G43" s="105" t="s">
        <v>2668</v>
      </c>
    </row>
    <row r="44" spans="6:15">
      <c r="F44" s="108" t="s">
        <v>2669</v>
      </c>
      <c r="G44" s="105" t="s">
        <v>2668</v>
      </c>
    </row>
    <row r="45" spans="6:15">
      <c r="F45" s="108" t="s">
        <v>329</v>
      </c>
      <c r="G45" s="105" t="s">
        <v>2668</v>
      </c>
    </row>
    <row r="46" spans="6:15">
      <c r="F46" s="108" t="s">
        <v>421</v>
      </c>
      <c r="G46" s="105" t="s">
        <v>2668</v>
      </c>
    </row>
    <row r="47" spans="6:15">
      <c r="F47" s="108" t="s">
        <v>2670</v>
      </c>
      <c r="G47" s="105" t="s">
        <v>2668</v>
      </c>
    </row>
    <row r="48" spans="6:15">
      <c r="F48" s="108" t="s">
        <v>2671</v>
      </c>
      <c r="G48" s="105" t="s">
        <v>2672</v>
      </c>
    </row>
    <row r="49" spans="6:7">
      <c r="F49" s="108" t="s">
        <v>2673</v>
      </c>
      <c r="G49" s="105" t="s">
        <v>2672</v>
      </c>
    </row>
    <row r="50" spans="6:7">
      <c r="F50" s="108" t="s">
        <v>2674</v>
      </c>
      <c r="G50" s="105" t="s">
        <v>2672</v>
      </c>
    </row>
    <row r="51" spans="6:7">
      <c r="F51" s="108" t="s">
        <v>2675</v>
      </c>
      <c r="G51" s="105" t="s">
        <v>2672</v>
      </c>
    </row>
    <row r="52" spans="6:7">
      <c r="F52" s="108" t="s">
        <v>2676</v>
      </c>
      <c r="G52" s="105" t="s">
        <v>2677</v>
      </c>
    </row>
    <row r="53" spans="6:7">
      <c r="F53" s="108" t="s">
        <v>2678</v>
      </c>
      <c r="G53" s="105" t="s">
        <v>2677</v>
      </c>
    </row>
    <row r="54" spans="6:7">
      <c r="F54" s="108" t="s">
        <v>424</v>
      </c>
      <c r="G54" s="105" t="s">
        <v>2677</v>
      </c>
    </row>
    <row r="55" spans="6:7">
      <c r="F55" s="108" t="s">
        <v>423</v>
      </c>
      <c r="G55" s="105" t="s">
        <v>2677</v>
      </c>
    </row>
    <row r="56" spans="6:7">
      <c r="F56" s="108" t="s">
        <v>2679</v>
      </c>
      <c r="G56" s="105" t="s">
        <v>2677</v>
      </c>
    </row>
    <row r="57" spans="6:7">
      <c r="F57" s="108" t="s">
        <v>2680</v>
      </c>
      <c r="G57" s="105" t="s">
        <v>2681</v>
      </c>
    </row>
    <row r="58" spans="6:7">
      <c r="F58" s="108" t="s">
        <v>425</v>
      </c>
      <c r="G58" s="105" t="s">
        <v>2681</v>
      </c>
    </row>
    <row r="59" spans="6:7">
      <c r="F59" s="108" t="s">
        <v>2682</v>
      </c>
      <c r="G59" s="105" t="s">
        <v>2681</v>
      </c>
    </row>
    <row r="60" spans="6:7">
      <c r="F60" s="108" t="s">
        <v>422</v>
      </c>
      <c r="G60" s="105" t="s">
        <v>2681</v>
      </c>
    </row>
    <row r="61" spans="6:7">
      <c r="F61" s="108" t="s">
        <v>2683</v>
      </c>
      <c r="G61" s="105" t="s">
        <v>2639</v>
      </c>
    </row>
    <row r="62" spans="6:7">
      <c r="F62" s="108" t="s">
        <v>2684</v>
      </c>
      <c r="G62" s="105" t="s">
        <v>2639</v>
      </c>
    </row>
    <row r="63" spans="6:7">
      <c r="F63" s="108" t="s">
        <v>2685</v>
      </c>
      <c r="G63" s="105" t="s">
        <v>2639</v>
      </c>
    </row>
    <row r="64" spans="6:7">
      <c r="F64" s="108" t="s">
        <v>2685</v>
      </c>
      <c r="G64" s="105" t="s">
        <v>2639</v>
      </c>
    </row>
    <row r="65" spans="3:21">
      <c r="F65" s="108" t="s">
        <v>2686</v>
      </c>
      <c r="G65" s="66" t="s">
        <v>2687</v>
      </c>
    </row>
    <row r="66" spans="3:21">
      <c r="F66" s="108"/>
    </row>
    <row r="67" spans="3:21">
      <c r="F67" s="108"/>
    </row>
    <row r="68" spans="3:21">
      <c r="F68" s="108"/>
    </row>
    <row r="69" spans="3:21">
      <c r="F69" s="108"/>
    </row>
    <row r="70" spans="3:21">
      <c r="F70" s="108"/>
      <c r="M70" s="66" t="str">
        <f>IF(M72&lt;&gt;"",M72,IF(M73&lt;&gt;"",M73,IF(M74&lt;&gt;"",M74,IF(M75&lt;&gt;"",M75,IF(M76&lt;&gt;"",M76,IF(M77&lt;&gt;"",M77,IF(M78&lt;&gt;"",M78,IF(M79&lt;&gt;"",M79,"NA"))))))))</f>
        <v>Valid Time:  1000Z 06 JUL 2022</v>
      </c>
      <c r="R70" s="499">
        <f>VALUE(MID(M70,20,11))</f>
        <v>44748</v>
      </c>
      <c r="S70" s="999">
        <f>VALUE(MID(M70,14,2))/24</f>
        <v>0.41666666666666669</v>
      </c>
      <c r="T70" s="3625">
        <f>R70+S70</f>
        <v>44748.416666666664</v>
      </c>
      <c r="U70" s="3625"/>
    </row>
    <row r="71" spans="3:21">
      <c r="F71" s="108"/>
    </row>
    <row r="72" spans="3:21">
      <c r="C72" s="1008" t="str">
        <f>Worksheet!Q216</f>
        <v>A. Forecast Time, Drop Zone Location, Elevation</v>
      </c>
      <c r="D72" s="1002"/>
      <c r="E72" s="1002"/>
      <c r="F72" s="1009"/>
      <c r="G72" s="1002"/>
      <c r="H72" s="1002"/>
      <c r="I72" s="1002"/>
      <c r="J72" s="1003"/>
      <c r="K72" s="1002"/>
      <c r="L72" s="1002"/>
      <c r="M72" s="1005" t="str">
        <f>IF(NOT(ISERR(FIND("Valid Time",C72))),MID(C72,FIND("Valid Time",C72),30),IF(NOT(ISERR(MID(C72,5,2)*10+MROUND(Worksheet!Z2/100,10))),MID(C72,5,2)*10+MROUND(Worksheet!Z2/100,10),""))</f>
        <v/>
      </c>
      <c r="N72" s="1005"/>
      <c r="O72" s="1007"/>
      <c r="P72" s="1007"/>
      <c r="Q72" s="1007"/>
      <c r="R72" s="1007"/>
    </row>
    <row r="73" spans="3:21">
      <c r="C73" s="333">
        <f>Worksheet!Q217</f>
        <v>0</v>
      </c>
      <c r="F73" s="108"/>
      <c r="J73" s="106"/>
      <c r="M73" s="329" t="str">
        <f>IF(NOT(ISERR(FIND("Valid Time",C73))),MID(C73,FIND("Valid Time",C73),30),IF(NOT(ISERR(MID(C73,5,2)*10+MROUND(Worksheet!Z2/100,10))),MID(C73,5,2)*10+MROUND(Worksheet!Z2/100,10),""))</f>
        <v/>
      </c>
      <c r="N73" s="329"/>
      <c r="O73" s="112"/>
      <c r="P73" s="112"/>
      <c r="Q73" s="112"/>
      <c r="R73" s="112"/>
    </row>
    <row r="74" spans="3:21">
      <c r="C74" s="1008" t="str">
        <f>Worksheet!Q218</f>
        <v xml:space="preserve">   Valid Time:  1000Z 06 JUL 2022   Model:  GALWEM 0.25 Degree</v>
      </c>
      <c r="D74" s="1002"/>
      <c r="E74" s="1002"/>
      <c r="F74" s="1009"/>
      <c r="G74" s="1002"/>
      <c r="H74" s="1002"/>
      <c r="I74" s="1002"/>
      <c r="J74" s="1003"/>
      <c r="K74" s="1002"/>
      <c r="L74" s="1002"/>
      <c r="M74" s="1005" t="str">
        <f>IF(NOT(ISERR(FIND("Valid Time",C74))),MID(C74,FIND("Valid Time",C74),30),IF(NOT(ISERR(MID(C74,5,2)*10+MROUND(Worksheet!Z2/100,10))),MID(C74,5,2)*10+MROUND(Worksheet!Z2/100,10),""))</f>
        <v>Valid Time:  1000Z 06 JUL 2022</v>
      </c>
      <c r="N74" s="1005"/>
      <c r="O74" s="1007"/>
      <c r="P74" s="1007"/>
      <c r="Q74" s="1007"/>
      <c r="R74" s="1007"/>
    </row>
    <row r="75" spans="3:21">
      <c r="C75" s="333" t="str">
        <f>Worksheet!Q220</f>
        <v xml:space="preserve">   Point of Impact:  Latitude: 37.91N    Longitude: 85.97W</v>
      </c>
      <c r="F75" s="108"/>
      <c r="J75" s="106"/>
      <c r="M75" s="329" t="str">
        <f>IF(NOT(ISERR(FIND("Valid Time",C75))),MID(C75,FIND("Valid Time",C75),30),IF(NOT(ISERR(MID(C75,5,2)*10+MROUND(Worksheet!Z2/100,10))),MID(C75,5,2)*10+MROUND(Worksheet!Z2/100,10),""))</f>
        <v/>
      </c>
      <c r="N75" s="329"/>
      <c r="O75" s="112"/>
      <c r="P75" s="112"/>
      <c r="Q75" s="112"/>
      <c r="R75" s="112"/>
    </row>
    <row r="76" spans="3:21">
      <c r="C76" s="1008">
        <f>Worksheet!Q221</f>
        <v>0</v>
      </c>
      <c r="D76" s="1008" t="str">
        <f>" "&amp;Worksheet!R221</f>
        <v xml:space="preserve"> </v>
      </c>
      <c r="E76" s="1008"/>
      <c r="F76" s="1008"/>
      <c r="G76" s="1008"/>
      <c r="H76" s="1002"/>
      <c r="I76" s="1002"/>
      <c r="J76" s="1003"/>
      <c r="K76" s="1002"/>
      <c r="L76" s="1002"/>
      <c r="M76" s="1005" t="str">
        <f>IF(NOT(ISERR(FIND("Valid Time",C76))),MID(C76,FIND("Valid Time",C76),30),IF(NOT(ISERR(MID(C76,5,2)*10+MROUND(Worksheet!Z2/100,10))),MID(C76,5,2)*10+MROUND(Worksheet!Z2/100,10),""))</f>
        <v/>
      </c>
      <c r="N76" s="1005"/>
      <c r="O76" s="1007"/>
      <c r="P76" s="1007"/>
      <c r="Q76" s="1007"/>
      <c r="R76" s="1007"/>
    </row>
    <row r="77" spans="3:21">
      <c r="C77" s="333" t="str">
        <f>Worksheet!Q222</f>
        <v xml:space="preserve">   Elevation:  756.0 feet above MSL</v>
      </c>
      <c r="F77" s="108"/>
      <c r="J77" s="106"/>
      <c r="M77" s="329" t="str">
        <f>IF(NOT(ISERR(FIND("Valid Time",C77))),MID(C77,FIND("Valid Time",C77),30),IF(NOT(ISERR(MID(C77,5,2)*10+MROUND(Worksheet!Z2/100,10))),MID(C77,5,2)*10+MROUND(Worksheet!Z2/100,10),""))</f>
        <v/>
      </c>
      <c r="N77" s="329"/>
      <c r="O77" s="112"/>
      <c r="P77" s="112"/>
      <c r="Q77" s="112"/>
      <c r="R77" s="112"/>
    </row>
    <row r="78" spans="3:21">
      <c r="C78" s="1008">
        <f>Worksheet!Q223</f>
        <v>0</v>
      </c>
      <c r="D78" s="1008"/>
      <c r="E78" s="1008"/>
      <c r="F78" s="1008"/>
      <c r="G78" s="1008"/>
      <c r="H78" s="1002"/>
      <c r="I78" s="1002"/>
      <c r="J78" s="1003"/>
      <c r="K78" s="1002"/>
      <c r="L78" s="1002"/>
      <c r="M78" s="1005" t="str">
        <f>IF(NOT(ISERR(FIND("Valid Time",C78))),MID(C78,FIND("Valid Time",C78),30),IF(NOT(ISERR(MID(C78,5,2)*10+MROUND(Worksheet!Z2/100,10))),MID(C78,5,2)*10+MROUND(Worksheet!Z2/100,10),""))</f>
        <v/>
      </c>
      <c r="N78" s="1005"/>
      <c r="O78" s="1007"/>
      <c r="P78" s="1007"/>
      <c r="Q78" s="1007"/>
      <c r="R78" s="1007"/>
    </row>
    <row r="79" spans="3:21">
      <c r="C79" s="333" t="str">
        <f>Worksheet!Q224</f>
        <v>B. Winds, Temperature, Pressure Altitude, D-Values, Ballistic Winds -</v>
      </c>
      <c r="F79" s="108"/>
      <c r="J79" s="106"/>
      <c r="M79" s="329" t="str">
        <f>IF(NOT(ISERR(FIND("Valid Time",C79))),MID(C79,FIND("Valid Time",C79),30),IF(NOT(ISERR(MID(C79,5,2)*10+MROUND(Worksheet!Z2/100,10))),MID(C79,5,2)*10+MROUND(Worksheet!Z2/100,10),""))</f>
        <v/>
      </c>
      <c r="N79" s="329"/>
      <c r="O79" s="112"/>
      <c r="P79" s="112"/>
      <c r="Q79" s="112"/>
      <c r="R79" s="112"/>
    </row>
    <row r="80" spans="3:21">
      <c r="C80" s="1008">
        <f>Worksheet!Q225</f>
        <v>0</v>
      </c>
      <c r="D80" s="1008"/>
      <c r="E80" s="1008"/>
      <c r="F80" s="1008"/>
      <c r="G80" s="1008"/>
      <c r="H80" s="1002"/>
      <c r="I80" s="1002"/>
      <c r="J80" s="1003"/>
      <c r="K80" s="1002"/>
      <c r="L80" s="1003" t="str">
        <f t="shared" ref="L80:L111" si="27">IF(NOT(ISERR(FIND("SFC",C80))),ROW(),"")</f>
        <v/>
      </c>
      <c r="M80" s="1004" t="str">
        <f>IF(ROW()&lt;MAX($L$80:$L$136),"",IF(ROW()=MAX($L$80:$L$136),"SFC",MID(C80,5,2)*10+MROUND(Worksheet!$Z$2/100,10)))</f>
        <v/>
      </c>
      <c r="N80" s="1005"/>
      <c r="O80" s="1006" t="str">
        <f t="shared" ref="O80:O111" si="28">IF(ROW()&gt;MAX($L$80:$L$136),IF(P80="00","000",IF(LEN(C80)&lt;20,IF(AND(TEXT(MROUND(LEFT(D80,4)*1,10),"000")="000",P80&lt;&gt;"00"),"360",TEXT(MROUND(LEFT(D80,4)*1,10),"000")),IF(AND(TEXT(MROUND(MID(C80,17,5)*1,10),"000")="000",P80&lt;&gt;"00"),"360",TEXT(MROUND(MID(C80,17,5)*1,10),"000")))),"")</f>
        <v/>
      </c>
      <c r="P80" s="1007" t="str">
        <f t="shared" ref="P80:P111" si="29">IF(ROW()&gt;MAX($L$80:$L$136),IF(LEN(C80)&lt;20,IF(AND(E80*1&lt;7,E80*1&gt;0),"05",TEXT(MROUND(E80*1,5),"#00")),IF(AND(MID(C80,26,5)*1&lt;7,MID(C80,26,5)*1&gt;0),"05",TEXT(MROUND(MID(C80,26,5)*1,5),"#00"))),"")</f>
        <v/>
      </c>
      <c r="Q80" s="1007"/>
      <c r="R80" s="1007" t="str">
        <f t="shared" ref="R80:R111" si="30">IF(ROW()&gt;MAX($L$80:$L$136),IF(LEN(C80)&lt;20,TEXT(MID(F80,5,3)*1,"00"),TEXT(MID(C80,36,5)*1,"00")),"")</f>
        <v/>
      </c>
    </row>
    <row r="81" spans="3:58">
      <c r="C81" s="333" t="str">
        <f>Worksheet!Q226</f>
        <v xml:space="preserve"> HEIGHT(PRESS)   DIR     SPEED      TEMP    PRESS ALT   D-VALUE   BALLISTIC WINDS</v>
      </c>
      <c r="F81" s="108"/>
      <c r="J81" s="106"/>
      <c r="L81" s="106" t="str">
        <f t="shared" si="27"/>
        <v/>
      </c>
      <c r="M81" s="1000" t="str">
        <f>IF(ROW()&lt;MAX($L$80:$L$136),"",IF(ROW()=MAX($L$80:$L$136),"SFC",MID(C81,5,2)*10+MROUND(Worksheet!$Z$2/100,10)))</f>
        <v/>
      </c>
      <c r="N81" s="329"/>
      <c r="O81" s="332" t="str">
        <f t="shared" si="28"/>
        <v/>
      </c>
      <c r="P81" s="112" t="str">
        <f t="shared" si="29"/>
        <v/>
      </c>
      <c r="Q81" s="112"/>
      <c r="R81" s="112" t="str">
        <f t="shared" si="30"/>
        <v/>
      </c>
    </row>
    <row r="82" spans="3:58">
      <c r="C82" s="1008" t="str">
        <f>Worksheet!Q227</f>
        <v>(KFT AGL)(MB)   (DEG)   (KNOTS)    (DEG C)  (KFT MSL)     (FT)    (DEG)   (KNOTS)</v>
      </c>
      <c r="D82" s="1002"/>
      <c r="E82" s="1002"/>
      <c r="F82" s="1009"/>
      <c r="G82" s="1002"/>
      <c r="H82" s="1002"/>
      <c r="I82" s="1002"/>
      <c r="J82" s="1003"/>
      <c r="K82" s="1002"/>
      <c r="L82" s="1003" t="str">
        <f t="shared" si="27"/>
        <v/>
      </c>
      <c r="M82" s="1004" t="str">
        <f>IF(ROW()&lt;MAX($L$80:$L$136),"",IF(ROW()=MAX($L$80:$L$136),"SFC",MID(C82,5,2)*10+MROUND(Worksheet!$Z$2/100,10)))</f>
        <v/>
      </c>
      <c r="N82" s="1005"/>
      <c r="O82" s="1006" t="str">
        <f t="shared" si="28"/>
        <v/>
      </c>
      <c r="P82" s="1007" t="str">
        <f t="shared" si="29"/>
        <v/>
      </c>
      <c r="Q82" s="1007"/>
      <c r="R82" s="1007" t="str">
        <f t="shared" si="30"/>
        <v/>
      </c>
    </row>
    <row r="83" spans="3:58">
      <c r="C83" s="333" t="str">
        <f>Worksheet!Q228</f>
        <v xml:space="preserve">   SFC ( 987)    222       5         26        0.71      +0037     222        5</v>
      </c>
      <c r="D83" s="333"/>
      <c r="E83" s="333"/>
      <c r="F83" s="333"/>
      <c r="G83" s="333"/>
      <c r="J83" s="106"/>
      <c r="L83" s="106">
        <f t="shared" si="27"/>
        <v>83</v>
      </c>
      <c r="M83" s="1000" t="str">
        <f>IF(ROW()&lt;MAX($L$80:$L$136),"",IF(ROW()=MAX($L$80:$L$136),"SFC",MID(C83,5,2)*10+MROUND(Worksheet!$Z$2/100,10)))</f>
        <v>SFC</v>
      </c>
      <c r="N83" s="329"/>
      <c r="O83" s="332" t="str">
        <f t="shared" si="28"/>
        <v/>
      </c>
      <c r="P83" s="112" t="str">
        <f t="shared" si="29"/>
        <v/>
      </c>
      <c r="Q83" s="112"/>
      <c r="R83" s="112" t="str">
        <f t="shared" si="30"/>
        <v/>
      </c>
    </row>
    <row r="84" spans="3:58">
      <c r="C84" s="1001" t="str">
        <f>Worksheet!Q229</f>
        <v xml:space="preserve">     1 ( 954)    251      17         27        1.71      +0094     244       11</v>
      </c>
      <c r="D84" s="1001" t="str">
        <f>" "&amp;Worksheet!R229</f>
        <v xml:space="preserve">   981.01,  980.84,  981.92,  983.29,  981.46,  980.29,  981.43,  982.48,  981.12,  980.47,  982.35,  982.68,  982.21,  980.06,  980.18,  980.88,  979.01,  981.02,  985.20,  988.33,  988.79,  988.94,  990.82,  992.86,  993.63,  994.65,  996.47,  997.85,  995.68,</v>
      </c>
      <c r="E84" s="1001" t="str">
        <f>" "&amp;Worksheet!S229</f>
        <v xml:space="preserve"> </v>
      </c>
      <c r="F84" s="1001" t="str">
        <f>" "&amp;Worksheet!T229</f>
        <v xml:space="preserve"> </v>
      </c>
      <c r="G84" s="1001" t="str">
        <f>" "&amp;Worksheet!U229</f>
        <v xml:space="preserve"> </v>
      </c>
      <c r="H84" s="1002"/>
      <c r="I84" s="1002"/>
      <c r="J84" s="1003"/>
      <c r="K84" s="1003"/>
      <c r="L84" s="1003" t="str">
        <f t="shared" si="27"/>
        <v/>
      </c>
      <c r="M84" s="1004">
        <f>IF(ROW()&lt;MAX($L$80:$L$136),"",IF(ROW()=MAX($L$80:$L$136),"SFC",MID(C84,5,2)*10+MROUND(Worksheet!$Z$2/100,10)))</f>
        <v>20</v>
      </c>
      <c r="N84" s="1005"/>
      <c r="O84" s="1006" t="str">
        <f t="shared" si="28"/>
        <v>250</v>
      </c>
      <c r="P84" s="1007" t="str">
        <f t="shared" si="29"/>
        <v>15</v>
      </c>
      <c r="Q84" s="1007"/>
      <c r="R84" s="1007" t="str">
        <f t="shared" si="30"/>
        <v>27</v>
      </c>
    </row>
    <row r="85" spans="3:58">
      <c r="C85" s="987" t="str">
        <f>Worksheet!Q230</f>
        <v xml:space="preserve">     2 ( 922)    256      15         27        2.71      +0157     249       12</v>
      </c>
      <c r="D85" s="987" t="str">
        <f>" "&amp;Worksheet!R230</f>
        <v xml:space="preserve">  1007.74, 1007.68, 1008.80, 1010.20, 1008.04, 1006.86, 1008.07, 1009.15, 1007.72, 1007.11, 1009.12, 1009.46, 1008.89, 1006.61, 1006.84, 1007.50, 1005.61, 1007.81, 1012.60, 1015.82, 1016.00, 1016.05, 1018.08, 1020.41, 1021.33, 1022.54, 1024.56, 1025.75, 1023.19,</v>
      </c>
      <c r="E85" s="987" t="str">
        <f>" "&amp;Worksheet!S230</f>
        <v xml:space="preserve"> </v>
      </c>
      <c r="F85" s="987" t="str">
        <f>" "&amp;Worksheet!T230</f>
        <v xml:space="preserve"> </v>
      </c>
      <c r="G85" s="987" t="str">
        <f>" "&amp;Worksheet!U230</f>
        <v xml:space="preserve"> </v>
      </c>
      <c r="J85" s="106"/>
      <c r="K85" s="106"/>
      <c r="L85" s="106" t="str">
        <f t="shared" si="27"/>
        <v/>
      </c>
      <c r="M85" s="1000">
        <f>IF(ROW()&lt;MAX($L$80:$L$136),"",IF(ROW()=MAX($L$80:$L$136),"SFC",MID(C85,5,2)*10+MROUND(Worksheet!$Z$2/100,10)))</f>
        <v>30</v>
      </c>
      <c r="N85" s="329"/>
      <c r="O85" s="332" t="str">
        <f t="shared" si="28"/>
        <v>260</v>
      </c>
      <c r="P85" s="112" t="str">
        <f t="shared" si="29"/>
        <v>15</v>
      </c>
      <c r="Q85" s="112"/>
      <c r="R85" s="112" t="str">
        <f t="shared" si="30"/>
        <v>27</v>
      </c>
    </row>
    <row r="86" spans="3:58">
      <c r="C86" s="1010" t="str">
        <f>Worksheet!Q231</f>
        <v xml:space="preserve">     3 ( 890)    253      15         24        3.71      +0220     250       13</v>
      </c>
      <c r="D86" s="1010" t="str">
        <f>" "&amp;Worksheet!R231</f>
        <v xml:space="preserve">    29.76,   29.76,   29.79,   29.83,   29.78,   29.74,   29.78,   29.81,   29.77,   29.75,   29.80,   29.81,   29.80,   29.74,   29.74,   29.76,   29.70,   29.76,   29.89,   29.99,   30.00,   30.00,   30.06,   30.12,   30.15,   30.18,   30.23,   30.27,   30.21,</v>
      </c>
      <c r="E86" s="1010" t="str">
        <f>" "&amp;Worksheet!S231</f>
        <v xml:space="preserve"> </v>
      </c>
      <c r="F86" s="1010" t="str">
        <f>" "&amp;Worksheet!T231</f>
        <v xml:space="preserve"> </v>
      </c>
      <c r="G86" s="1010" t="str">
        <f>" "&amp;Worksheet!U231</f>
        <v xml:space="preserve"> </v>
      </c>
      <c r="H86" s="1002"/>
      <c r="I86" s="1002"/>
      <c r="J86" s="1003"/>
      <c r="K86" s="1003"/>
      <c r="L86" s="1003" t="str">
        <f t="shared" si="27"/>
        <v/>
      </c>
      <c r="M86" s="1004">
        <f>IF(ROW()&lt;MAX($L$80:$L$136),"",IF(ROW()=MAX($L$80:$L$136),"SFC",MID(C86,5,2)*10+MROUND(Worksheet!$Z$2/100,10)))</f>
        <v>40</v>
      </c>
      <c r="N86" s="1005"/>
      <c r="O86" s="1006" t="str">
        <f t="shared" si="28"/>
        <v>250</v>
      </c>
      <c r="P86" s="1007" t="str">
        <f t="shared" si="29"/>
        <v>15</v>
      </c>
      <c r="Q86" s="1007"/>
      <c r="R86" s="1007" t="str">
        <f t="shared" si="30"/>
        <v>24</v>
      </c>
    </row>
    <row r="87" spans="3:58">
      <c r="C87" s="127" t="str">
        <f>Worksheet!Q232</f>
        <v xml:space="preserve">     4 ( 860)    265      16         22        4.71      +0281     254       13</v>
      </c>
      <c r="D87" s="986" t="str">
        <f>" "&amp;Worksheet!R232</f>
        <v xml:space="preserve">   891.68,  896.34,  866.16,  827.76,  879.00,  911.77,  879.90,  850.60,  888.56,  906.92,  854.11,  844.79,  858.19,  918.34,  914.89,  895.32,  947.82,  891.52,  774.50,  687.25,  674.40,  670.19,  617.90,  561.12,  539.96,  511.57,  461.28,  422.98,  483.02,</v>
      </c>
      <c r="E87" s="986" t="str">
        <f>" "&amp;Worksheet!S232</f>
        <v xml:space="preserve"> </v>
      </c>
      <c r="F87" s="986" t="str">
        <f>" "&amp;Worksheet!T232</f>
        <v xml:space="preserve"> </v>
      </c>
      <c r="G87" s="986" t="str">
        <f>" "&amp;Worksheet!U232</f>
        <v xml:space="preserve"> </v>
      </c>
      <c r="H87" s="108"/>
      <c r="I87" s="108"/>
      <c r="J87" s="106"/>
      <c r="K87" s="106"/>
      <c r="L87" s="106" t="str">
        <f t="shared" si="27"/>
        <v/>
      </c>
      <c r="M87" s="1000">
        <f>IF(ROW()&lt;MAX($L$80:$L$136),"",IF(ROW()=MAX($L$80:$L$136),"SFC",MID(C87,5,2)*10+MROUND(Worksheet!$Z$2/100,10)))</f>
        <v>50</v>
      </c>
      <c r="N87" s="329"/>
      <c r="O87" s="332" t="str">
        <f t="shared" si="28"/>
        <v>270</v>
      </c>
      <c r="P87" s="112" t="str">
        <f>IF(ROW()&gt;MAX($L$80:$L$136),IF(LEN(C87)&lt;20,IF(AND(E87*1&lt;7,E87*1&gt;0),"05",TEXT(MROUND(E87*1,5),"#00")),IF(AND(MID(C87,26,5)*1&lt;7,MID(C87,26,5)*1&gt;0),"05",TEXT(MROUND(MID(C87,26,5)*1,5),"#00"))),"")</f>
        <v>15</v>
      </c>
      <c r="Q87" s="112"/>
      <c r="R87" s="112" t="str">
        <f t="shared" si="30"/>
        <v>22</v>
      </c>
    </row>
    <row r="88" spans="3:58">
      <c r="C88" s="1010" t="str">
        <f>Worksheet!Q233</f>
        <v xml:space="preserve">     5 ( 830)    276      15         19        5.71      +0341     258       13</v>
      </c>
      <c r="D88" s="1010" t="str">
        <f>" "&amp;Worksheet!R233</f>
        <v xml:space="preserve">  1701.25, 1495.10, 1431.84, 1461.30, 2238.27, 2155.95, 2021.09, 1948.45, 2094.69, 1980.37, 1727.93, 1739.97, 1975.71, 2233.81, 1926.39, 2012.58, 2031.29, 1608.35,  661.60,  668.10, 1059.94, 1190.57,  819.49,  487.06,  291.66,   74.12, -121.12,  157.89,  711.32,</v>
      </c>
      <c r="E88" s="1010" t="str">
        <f>" "&amp;Worksheet!S233</f>
        <v xml:space="preserve"> </v>
      </c>
      <c r="F88" s="1010" t="str">
        <f>" "&amp;Worksheet!T233</f>
        <v xml:space="preserve"> </v>
      </c>
      <c r="G88" s="1010" t="str">
        <f>" "&amp;Worksheet!U233</f>
        <v xml:space="preserve"> </v>
      </c>
      <c r="H88" s="1009"/>
      <c r="I88" s="1009"/>
      <c r="J88" s="1003"/>
      <c r="K88" s="1003"/>
      <c r="L88" s="1003" t="str">
        <f t="shared" si="27"/>
        <v/>
      </c>
      <c r="M88" s="1004">
        <f>IF(ROW()&lt;MAX($L$80:$L$136),"",IF(ROW()=MAX($L$80:$L$136),"SFC",MID(C88,5,2)*10+MROUND(Worksheet!$Z$2/100,10)))</f>
        <v>60</v>
      </c>
      <c r="N88" s="1005"/>
      <c r="O88" s="1006" t="str">
        <f t="shared" si="28"/>
        <v>280</v>
      </c>
      <c r="P88" s="1007" t="str">
        <f t="shared" si="29"/>
        <v>15</v>
      </c>
      <c r="Q88" s="1007"/>
      <c r="R88" s="1007" t="str">
        <f t="shared" si="30"/>
        <v>19</v>
      </c>
    </row>
    <row r="89" spans="3:58">
      <c r="C89" s="127" t="str">
        <f>Worksheet!Q234</f>
        <v xml:space="preserve">     6 ( 801)    278      12         18        6.71      +0399     260       13</v>
      </c>
      <c r="D89" s="127" t="str">
        <f>" "&amp;Worksheet!R234</f>
        <v xml:space="preserve">   291.40,  289.60,  289.35,  289.86,  295.66,  294.34,  293.41,  293.23,  294.03,  292.93,  291.47,  291.69,  293.64,  295.19,  292.49,  293.43,  292.99,  290.67,  284.55,  285.52,  288.93,  290.11,  287.53,  285.32,  283.99,  282.55,  281.45,  284.04,  288.10,</v>
      </c>
      <c r="E89" s="127" t="str">
        <f>" "&amp;Worksheet!S234</f>
        <v xml:space="preserve"> </v>
      </c>
      <c r="F89" s="127" t="str">
        <f>" "&amp;Worksheet!T234</f>
        <v xml:space="preserve"> </v>
      </c>
      <c r="G89" s="127" t="str">
        <f>" "&amp;Worksheet!U234</f>
        <v xml:space="preserve"> </v>
      </c>
      <c r="H89" s="108"/>
      <c r="I89" s="108"/>
      <c r="J89" s="106"/>
      <c r="K89" s="106"/>
      <c r="L89" s="106" t="str">
        <f t="shared" si="27"/>
        <v/>
      </c>
      <c r="M89" s="1000">
        <f>IF(ROW()&lt;MAX($L$80:$L$136),"",IF(ROW()=MAX($L$80:$L$136),"SFC",MID(C89,5,2)*10+MROUND(Worksheet!$Z$2/100,10)))</f>
        <v>70</v>
      </c>
      <c r="N89" s="329"/>
      <c r="O89" s="332" t="str">
        <f t="shared" si="28"/>
        <v>280</v>
      </c>
      <c r="P89" s="112" t="str">
        <f t="shared" si="29"/>
        <v>10</v>
      </c>
      <c r="Q89" s="112"/>
      <c r="R89" s="112" t="str">
        <f t="shared" si="30"/>
        <v>18</v>
      </c>
    </row>
    <row r="90" spans="3:58">
      <c r="C90" s="1010" t="str">
        <f>Worksheet!Q235</f>
        <v xml:space="preserve">     7 ( 773)    279       9         16        7.71      +0457     262       12</v>
      </c>
      <c r="D90" s="1010" t="str">
        <f>" "&amp;Worksheet!R235</f>
        <v xml:space="preserve">     5.01,    3.22,    2.91,    3.34,    9.25,    7.99,    7.00,    6.76,    7.63,    6.57,    5.01,    5.21,    7.18,    8.85,    6.14,    7.04,    6.71,    4.28,   -2.08,   -1.27,    2.11,    3.28,    0.60,   -1.73,   -3.10,   -4.60,   -5.79,   -3.28,    0.90,</v>
      </c>
      <c r="E90" s="1010" t="str">
        <f>" "&amp;Worksheet!S235</f>
        <v xml:space="preserve"> </v>
      </c>
      <c r="F90" s="1010" t="str">
        <f>" "&amp;Worksheet!T235</f>
        <v xml:space="preserve"> </v>
      </c>
      <c r="G90" s="1010" t="str">
        <f>" "&amp;Worksheet!U235</f>
        <v xml:space="preserve"> </v>
      </c>
      <c r="H90" s="1009"/>
      <c r="I90" s="1009"/>
      <c r="J90" s="1003"/>
      <c r="K90" s="1003"/>
      <c r="L90" s="1003" t="str">
        <f t="shared" si="27"/>
        <v/>
      </c>
      <c r="M90" s="1004">
        <f>IF(ROW()&lt;MAX($L$80:$L$136),"",IF(ROW()=MAX($L$80:$L$136),"SFC",MID(C90,5,2)*10+MROUND(Worksheet!$Z$2/100,10)))</f>
        <v>80</v>
      </c>
      <c r="N90" s="1005"/>
      <c r="O90" s="1006" t="str">
        <f t="shared" si="28"/>
        <v>280</v>
      </c>
      <c r="P90" s="1007" t="str">
        <f t="shared" si="29"/>
        <v>10</v>
      </c>
      <c r="Q90" s="1007"/>
      <c r="R90" s="1007" t="str">
        <f t="shared" si="30"/>
        <v>16</v>
      </c>
    </row>
    <row r="91" spans="3:58">
      <c r="C91" s="127" t="str">
        <f>Worksheet!Q236</f>
        <v xml:space="preserve">     8 ( 745)    281       9         14        8.71      +0515     263       12</v>
      </c>
      <c r="D91" s="127" t="str">
        <f>" "&amp;Worksheet!R236</f>
        <v xml:space="preserve">   286.41,  286.26,  286.52,  287.82,  290.58,  292.21,  292.83,  292.00,  292.39,  291.84,  290.77,  290.65,  290.27,  290.67,  291.09,  291.20,  291.44,  285.84,  278.09,  277.84,  278.40,  278.04,  277.70,  277.78,  276.46,  275.29,  275.23,  277.21,  276.50,</v>
      </c>
      <c r="E91" s="127" t="str">
        <f>" "&amp;Worksheet!S236</f>
        <v xml:space="preserve"> </v>
      </c>
      <c r="F91" s="127" t="str">
        <f>" "&amp;Worksheet!T236</f>
        <v xml:space="preserve"> </v>
      </c>
      <c r="G91" s="127" t="str">
        <f>" "&amp;Worksheet!U236</f>
        <v xml:space="preserve"> </v>
      </c>
      <c r="H91" s="108"/>
      <c r="I91" s="108"/>
      <c r="J91" s="106"/>
      <c r="K91" s="106"/>
      <c r="L91" s="106" t="str">
        <f t="shared" si="27"/>
        <v/>
      </c>
      <c r="M91" s="1000">
        <f>IF(ROW()&lt;MAX($L$80:$L$136),"",IF(ROW()=MAX($L$80:$L$136),"SFC",MID(C91,5,2)*10+MROUND(Worksheet!$Z$2/100,10)))</f>
        <v>90</v>
      </c>
      <c r="N91" s="329"/>
      <c r="O91" s="332" t="str">
        <f t="shared" si="28"/>
        <v>280</v>
      </c>
      <c r="P91" s="112" t="str">
        <f t="shared" si="29"/>
        <v>10</v>
      </c>
      <c r="Q91" s="112"/>
      <c r="R91" s="112" t="str">
        <f t="shared" si="30"/>
        <v>14</v>
      </c>
    </row>
    <row r="92" spans="3:58">
      <c r="C92" s="1010" t="str">
        <f>Worksheet!Q237</f>
        <v xml:space="preserve">     9 ( 719)    276       9         12        9.71      +0574     264       12</v>
      </c>
      <c r="D92" s="1010" t="str">
        <f>" "&amp;Worksheet!R237</f>
        <v xml:space="preserve"> </v>
      </c>
      <c r="E92" s="1010" t="str">
        <f>" "&amp;Worksheet!S237</f>
        <v xml:space="preserve"> </v>
      </c>
      <c r="F92" s="1010" t="str">
        <f>" "&amp;Worksheet!T237</f>
        <v xml:space="preserve"> </v>
      </c>
      <c r="G92" s="1010" t="str">
        <f>" "&amp;Worksheet!U237</f>
        <v xml:space="preserve"> </v>
      </c>
      <c r="H92" s="1009"/>
      <c r="I92" s="1009"/>
      <c r="J92" s="1003"/>
      <c r="K92" s="1003"/>
      <c r="L92" s="1003" t="str">
        <f t="shared" si="27"/>
        <v/>
      </c>
      <c r="M92" s="1004">
        <f>IF(ROW()&lt;MAX($L$80:$L$136),"",IF(ROW()=MAX($L$80:$L$136),"SFC",MID(C92,5,2)*10+MROUND(Worksheet!$Z$2/100,10)))</f>
        <v>100</v>
      </c>
      <c r="N92" s="1005"/>
      <c r="O92" s="1006" t="str">
        <f t="shared" si="28"/>
        <v>280</v>
      </c>
      <c r="P92" s="1007" t="str">
        <f t="shared" si="29"/>
        <v>10</v>
      </c>
      <c r="Q92" s="1007"/>
      <c r="R92" s="1007" t="str">
        <f t="shared" si="30"/>
        <v>12</v>
      </c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</row>
    <row r="93" spans="3:58">
      <c r="C93" s="127" t="str">
        <f>Worksheet!Q238</f>
        <v xml:space="preserve">    10 ( 693)    268      10         10       10.71      +0632     265       11</v>
      </c>
      <c r="D93" s="127" t="str">
        <f>" "&amp;Worksheet!R238</f>
        <v xml:space="preserve"> </v>
      </c>
      <c r="E93" s="127" t="str">
        <f>" "&amp;Worksheet!S238</f>
        <v xml:space="preserve"> </v>
      </c>
      <c r="F93" s="127" t="str">
        <f>" "&amp;Worksheet!T238</f>
        <v xml:space="preserve"> </v>
      </c>
      <c r="G93" s="127" t="str">
        <f>" "&amp;Worksheet!U238</f>
        <v xml:space="preserve"> </v>
      </c>
      <c r="H93" s="108"/>
      <c r="I93" s="108"/>
      <c r="J93" s="106"/>
      <c r="K93" s="106"/>
      <c r="L93" s="106" t="str">
        <f t="shared" si="27"/>
        <v/>
      </c>
      <c r="M93" s="1000">
        <f>IF(ROW()&lt;MAX($L$80:$L$136),"",IF(ROW()=MAX($L$80:$L$136),"SFC",MID(C93,5,2)*10+MROUND(Worksheet!$Z$2/100,10)))</f>
        <v>110</v>
      </c>
      <c r="N93" s="329"/>
      <c r="O93" s="332" t="str">
        <f t="shared" si="28"/>
        <v>270</v>
      </c>
      <c r="P93" s="112" t="str">
        <f t="shared" si="29"/>
        <v>10</v>
      </c>
      <c r="Q93" s="112"/>
      <c r="R93" s="112" t="str">
        <f t="shared" si="30"/>
        <v>10</v>
      </c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</row>
    <row r="94" spans="3:58">
      <c r="C94" s="1010" t="str">
        <f>Worksheet!Q239</f>
        <v xml:space="preserve">    11 ( 668)    260      11          8       11.71      +0688     264       11</v>
      </c>
      <c r="D94" s="1010" t="str">
        <f>" "&amp;Worksheet!R239</f>
        <v xml:space="preserve"> </v>
      </c>
      <c r="E94" s="1010" t="str">
        <f>" "&amp;Worksheet!S239</f>
        <v xml:space="preserve"> </v>
      </c>
      <c r="F94" s="1010" t="str">
        <f>" "&amp;Worksheet!T239</f>
        <v xml:space="preserve"> </v>
      </c>
      <c r="G94" s="1010" t="str">
        <f>" "&amp;Worksheet!U239</f>
        <v xml:space="preserve"> </v>
      </c>
      <c r="H94" s="1009"/>
      <c r="I94" s="1009"/>
      <c r="J94" s="1003"/>
      <c r="K94" s="1003"/>
      <c r="L94" s="1003" t="str">
        <f t="shared" si="27"/>
        <v/>
      </c>
      <c r="M94" s="1004">
        <f>IF(ROW()&lt;MAX($L$80:$L$136),"",IF(ROW()=MAX($L$80:$L$136),"SFC",MID(C94,5,2)*10+MROUND(Worksheet!$Z$2/100,10)))</f>
        <v>120</v>
      </c>
      <c r="N94" s="1005"/>
      <c r="O94" s="1006" t="str">
        <f t="shared" si="28"/>
        <v>260</v>
      </c>
      <c r="P94" s="1007" t="str">
        <f t="shared" si="29"/>
        <v>10</v>
      </c>
      <c r="Q94" s="1007"/>
      <c r="R94" s="1007" t="str">
        <f t="shared" si="30"/>
        <v>08</v>
      </c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</row>
    <row r="95" spans="3:58">
      <c r="C95" s="127" t="str">
        <f>Worksheet!Q240</f>
        <v xml:space="preserve">    12 ( 643)    255      13          6       12.71      +0745     263       12</v>
      </c>
      <c r="D95" s="127" t="str">
        <f>" "&amp;Worksheet!R240</f>
        <v xml:space="preserve"> </v>
      </c>
      <c r="E95" s="127" t="str">
        <f>" "&amp;Worksheet!S240</f>
        <v xml:space="preserve"> </v>
      </c>
      <c r="F95" s="127" t="str">
        <f>" "&amp;Worksheet!T240</f>
        <v xml:space="preserve"> </v>
      </c>
      <c r="G95" s="127" t="str">
        <f>" "&amp;Worksheet!U240</f>
        <v xml:space="preserve"> </v>
      </c>
      <c r="H95" s="108"/>
      <c r="I95" s="108"/>
      <c r="J95" s="106"/>
      <c r="K95" s="106"/>
      <c r="L95" s="106" t="str">
        <f t="shared" si="27"/>
        <v/>
      </c>
      <c r="M95" s="1000">
        <f>IF(ROW()&lt;MAX($L$80:$L$136),"",IF(ROW()=MAX($L$80:$L$136),"SFC",MID(C95,5,2)*10+MROUND(Worksheet!$Z$2/100,10)))</f>
        <v>130</v>
      </c>
      <c r="N95" s="329"/>
      <c r="O95" s="332" t="str">
        <f t="shared" si="28"/>
        <v>260</v>
      </c>
      <c r="P95" s="112" t="str">
        <f t="shared" si="29"/>
        <v>15</v>
      </c>
      <c r="Q95" s="112"/>
      <c r="R95" s="112" t="str">
        <f t="shared" si="30"/>
        <v>06</v>
      </c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329"/>
      <c r="AV95" s="332"/>
      <c r="AW95" s="331"/>
      <c r="AX95" s="330"/>
      <c r="AY95" s="106"/>
      <c r="AZ95" s="106"/>
      <c r="BA95" s="106"/>
      <c r="BB95" s="106"/>
      <c r="BC95" s="106"/>
      <c r="BD95" s="106"/>
      <c r="BE95" s="106"/>
      <c r="BF95" s="106"/>
    </row>
    <row r="96" spans="3:58">
      <c r="C96" s="1010" t="str">
        <f>Worksheet!Q241</f>
        <v xml:space="preserve">    13 ( 620)    253      14          5       13.71      +0803     263       12</v>
      </c>
      <c r="D96" s="1010" t="str">
        <f>" "&amp;Worksheet!R241</f>
        <v xml:space="preserve"> </v>
      </c>
      <c r="E96" s="1010" t="str">
        <f>" "&amp;Worksheet!S241</f>
        <v xml:space="preserve"> </v>
      </c>
      <c r="F96" s="1010" t="str">
        <f>" "&amp;Worksheet!T241</f>
        <v xml:space="preserve"> </v>
      </c>
      <c r="G96" s="1010" t="str">
        <f>" "&amp;Worksheet!U241</f>
        <v xml:space="preserve"> </v>
      </c>
      <c r="H96" s="1009"/>
      <c r="I96" s="1009"/>
      <c r="J96" s="1003"/>
      <c r="K96" s="1003"/>
      <c r="L96" s="1003" t="str">
        <f t="shared" si="27"/>
        <v/>
      </c>
      <c r="M96" s="1004">
        <f>IF(ROW()&lt;MAX($L$80:$L$136),"",IF(ROW()=MAX($L$80:$L$136),"SFC",MID(C96,5,2)*10+MROUND(Worksheet!$Z$2/100,10)))</f>
        <v>140</v>
      </c>
      <c r="N96" s="1005"/>
      <c r="O96" s="1006" t="str">
        <f t="shared" si="28"/>
        <v>250</v>
      </c>
      <c r="P96" s="1007" t="str">
        <f t="shared" si="29"/>
        <v>15</v>
      </c>
      <c r="Q96" s="1007"/>
      <c r="R96" s="1007" t="str">
        <f t="shared" si="30"/>
        <v>05</v>
      </c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329"/>
      <c r="AV96" s="332"/>
      <c r="AW96" s="331"/>
      <c r="AX96" s="330"/>
      <c r="AY96" s="106"/>
      <c r="AZ96" s="106"/>
      <c r="BA96" s="106"/>
      <c r="BB96" s="106"/>
      <c r="BC96" s="106"/>
      <c r="BD96" s="106"/>
      <c r="BE96" s="106"/>
      <c r="BF96" s="106"/>
    </row>
    <row r="97" spans="3:58">
      <c r="C97" s="127" t="str">
        <f>Worksheet!Q242</f>
        <v xml:space="preserve">    14 ( 597)    252      16          3       14.71      +0862     262       12</v>
      </c>
      <c r="D97" s="127" t="str">
        <f>" "&amp;Worksheet!R242</f>
        <v xml:space="preserve"> </v>
      </c>
      <c r="E97" s="127" t="str">
        <f>" "&amp;Worksheet!S242</f>
        <v xml:space="preserve"> </v>
      </c>
      <c r="F97" s="127" t="str">
        <f>" "&amp;Worksheet!T242</f>
        <v xml:space="preserve"> </v>
      </c>
      <c r="G97" s="127" t="str">
        <f>" "&amp;Worksheet!U242</f>
        <v xml:space="preserve"> </v>
      </c>
      <c r="H97" s="108"/>
      <c r="I97" s="108"/>
      <c r="J97" s="106"/>
      <c r="K97" s="106"/>
      <c r="L97" s="106" t="str">
        <f t="shared" si="27"/>
        <v/>
      </c>
      <c r="M97" s="1000">
        <f>IF(ROW()&lt;MAX($L$80:$L$136),"",IF(ROW()=MAX($L$80:$L$136),"SFC",MID(C97,5,2)*10+MROUND(Worksheet!$Z$2/100,10)))</f>
        <v>150</v>
      </c>
      <c r="N97" s="329"/>
      <c r="O97" s="332" t="str">
        <f t="shared" si="28"/>
        <v>250</v>
      </c>
      <c r="P97" s="112" t="str">
        <f t="shared" si="29"/>
        <v>15</v>
      </c>
      <c r="Q97" s="112"/>
      <c r="R97" s="112" t="str">
        <f t="shared" si="30"/>
        <v>03</v>
      </c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329"/>
      <c r="AV97" s="332"/>
      <c r="AW97" s="331"/>
      <c r="AX97" s="330"/>
      <c r="AY97" s="106"/>
      <c r="AZ97" s="106"/>
      <c r="BA97" s="106"/>
      <c r="BB97" s="106"/>
      <c r="BC97" s="106"/>
      <c r="BD97" s="106"/>
      <c r="BE97" s="106"/>
      <c r="BF97" s="106"/>
    </row>
    <row r="98" spans="3:58">
      <c r="C98" s="1010" t="str">
        <f>Worksheet!Q243</f>
        <v xml:space="preserve">    15 ( 575)    255      17          1       15.71      +0919     261       12</v>
      </c>
      <c r="D98" s="1010" t="str">
        <f>" "&amp;Worksheet!R243</f>
        <v xml:space="preserve"> </v>
      </c>
      <c r="E98" s="1010" t="str">
        <f>" "&amp;Worksheet!S243</f>
        <v xml:space="preserve"> </v>
      </c>
      <c r="F98" s="1010" t="str">
        <f>" "&amp;Worksheet!T243</f>
        <v xml:space="preserve"> </v>
      </c>
      <c r="G98" s="1010" t="str">
        <f>" "&amp;Worksheet!U243</f>
        <v xml:space="preserve"> </v>
      </c>
      <c r="H98" s="1009"/>
      <c r="I98" s="1009"/>
      <c r="J98" s="1003"/>
      <c r="K98" s="1003"/>
      <c r="L98" s="1003" t="str">
        <f t="shared" si="27"/>
        <v/>
      </c>
      <c r="M98" s="1004">
        <f>IF(ROW()&lt;MAX($L$80:$L$136),"",IF(ROW()=MAX($L$80:$L$136),"SFC",MID(C98,5,2)*10+MROUND(Worksheet!$Z$2/100,10)))</f>
        <v>160</v>
      </c>
      <c r="N98" s="1005"/>
      <c r="O98" s="1006" t="str">
        <f t="shared" si="28"/>
        <v>260</v>
      </c>
      <c r="P98" s="1007" t="str">
        <f t="shared" si="29"/>
        <v>15</v>
      </c>
      <c r="Q98" s="1007"/>
      <c r="R98" s="1007" t="str">
        <f t="shared" si="30"/>
        <v>01</v>
      </c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329"/>
      <c r="AV98" s="332"/>
      <c r="AW98" s="331"/>
      <c r="AX98" s="330"/>
      <c r="AY98" s="106"/>
      <c r="AZ98" s="106"/>
      <c r="BA98" s="106"/>
      <c r="BB98" s="106"/>
      <c r="BC98" s="106"/>
      <c r="BD98" s="106"/>
      <c r="BE98" s="106"/>
      <c r="BF98" s="106"/>
    </row>
    <row r="99" spans="3:58">
      <c r="C99" s="127" t="str">
        <f>Worksheet!Q244</f>
        <v xml:space="preserve">    16 ( 553)    258      18         -1       16.71      +0977     261       13</v>
      </c>
      <c r="D99" s="127" t="str">
        <f>" "&amp;Worksheet!R244</f>
        <v xml:space="preserve"> </v>
      </c>
      <c r="E99" s="127" t="str">
        <f>" "&amp;Worksheet!S244</f>
        <v xml:space="preserve"> </v>
      </c>
      <c r="F99" s="127" t="str">
        <f>" "&amp;Worksheet!T244</f>
        <v xml:space="preserve"> </v>
      </c>
      <c r="G99" s="127" t="str">
        <f>" "&amp;Worksheet!U244</f>
        <v xml:space="preserve"> </v>
      </c>
      <c r="H99" s="108"/>
      <c r="I99" s="108"/>
      <c r="J99" s="106"/>
      <c r="K99" s="106"/>
      <c r="L99" s="106" t="str">
        <f t="shared" si="27"/>
        <v/>
      </c>
      <c r="M99" s="1000">
        <f>IF(ROW()&lt;MAX($L$80:$L$136),"",IF(ROW()=MAX($L$80:$L$136),"SFC",MID(C99,5,2)*10+MROUND(Worksheet!$Z$2/100,10)))</f>
        <v>170</v>
      </c>
      <c r="N99" s="329"/>
      <c r="O99" s="332" t="str">
        <f t="shared" si="28"/>
        <v>260</v>
      </c>
      <c r="P99" s="112" t="str">
        <f t="shared" si="29"/>
        <v>20</v>
      </c>
      <c r="Q99" s="112"/>
      <c r="R99" s="112" t="str">
        <f t="shared" si="30"/>
        <v>-01</v>
      </c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329"/>
      <c r="AV99" s="332"/>
      <c r="AW99" s="331"/>
      <c r="AX99" s="330"/>
      <c r="AY99" s="106"/>
      <c r="AZ99" s="106"/>
      <c r="BA99" s="106"/>
      <c r="BB99" s="106"/>
      <c r="BC99" s="106"/>
      <c r="BD99" s="106"/>
      <c r="BE99" s="106"/>
      <c r="BF99" s="106"/>
    </row>
    <row r="100" spans="3:58">
      <c r="C100" s="1010" t="str">
        <f>Worksheet!Q245</f>
        <v xml:space="preserve">    17 ( 532)    262      19         -2       17.71      +1036     261       13</v>
      </c>
      <c r="D100" s="1010" t="str">
        <f>" "&amp;Worksheet!R245</f>
        <v xml:space="preserve"> </v>
      </c>
      <c r="E100" s="1010" t="str">
        <f>" "&amp;Worksheet!S245</f>
        <v xml:space="preserve"> </v>
      </c>
      <c r="F100" s="1010" t="str">
        <f>" "&amp;Worksheet!T245</f>
        <v xml:space="preserve"> </v>
      </c>
      <c r="G100" s="1010" t="str">
        <f>" "&amp;Worksheet!U245</f>
        <v xml:space="preserve"> </v>
      </c>
      <c r="H100" s="1009"/>
      <c r="I100" s="1009"/>
      <c r="J100" s="1003"/>
      <c r="K100" s="1003"/>
      <c r="L100" s="1003" t="str">
        <f t="shared" si="27"/>
        <v/>
      </c>
      <c r="M100" s="1004">
        <f>IF(ROW()&lt;MAX($L$80:$L$136),"",IF(ROW()=MAX($L$80:$L$136),"SFC",MID(C100,5,2)*10+MROUND(Worksheet!$Z$2/100,10)))</f>
        <v>180</v>
      </c>
      <c r="N100" s="1005"/>
      <c r="O100" s="1006" t="str">
        <f t="shared" si="28"/>
        <v>260</v>
      </c>
      <c r="P100" s="1007" t="str">
        <f t="shared" si="29"/>
        <v>20</v>
      </c>
      <c r="Q100" s="1007"/>
      <c r="R100" s="1007" t="str">
        <f t="shared" si="30"/>
        <v>-02</v>
      </c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329"/>
      <c r="AV100" s="332"/>
      <c r="AW100" s="331"/>
      <c r="AX100" s="330"/>
      <c r="AY100" s="106"/>
      <c r="AZ100" s="106"/>
      <c r="BA100" s="106"/>
      <c r="BB100" s="106"/>
      <c r="BC100" s="106"/>
      <c r="BD100" s="106"/>
      <c r="BE100" s="106"/>
      <c r="BF100" s="106"/>
    </row>
    <row r="101" spans="3:58">
      <c r="C101" s="127" t="str">
        <f>Worksheet!Q246</f>
        <v xml:space="preserve">    18 ( 512)    267      19         -4       18.71      +1095     261       13</v>
      </c>
      <c r="D101" s="127" t="str">
        <f>" "&amp;Worksheet!R246</f>
        <v xml:space="preserve"> </v>
      </c>
      <c r="E101" s="127" t="str">
        <f>" "&amp;Worksheet!S246</f>
        <v xml:space="preserve"> </v>
      </c>
      <c r="F101" s="127" t="str">
        <f>" "&amp;Worksheet!T246</f>
        <v xml:space="preserve"> </v>
      </c>
      <c r="G101" s="127" t="str">
        <f>" "&amp;Worksheet!U246</f>
        <v xml:space="preserve"> </v>
      </c>
      <c r="H101" s="108"/>
      <c r="I101" s="108"/>
      <c r="J101" s="106"/>
      <c r="K101" s="106"/>
      <c r="L101" s="106" t="str">
        <f t="shared" si="27"/>
        <v/>
      </c>
      <c r="M101" s="1000">
        <f>IF(ROW()&lt;MAX($L$80:$L$136),"",IF(ROW()=MAX($L$80:$L$136),"SFC",MID(C101,5,2)*10+MROUND(Worksheet!$Z$2/100,10)))</f>
        <v>190</v>
      </c>
      <c r="N101" s="329"/>
      <c r="O101" s="332" t="str">
        <f t="shared" si="28"/>
        <v>270</v>
      </c>
      <c r="P101" s="112" t="str">
        <f t="shared" si="29"/>
        <v>20</v>
      </c>
      <c r="Q101" s="112"/>
      <c r="R101" s="112" t="str">
        <f t="shared" si="30"/>
        <v>-04</v>
      </c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329"/>
      <c r="AV101" s="332"/>
      <c r="AW101" s="331"/>
      <c r="AX101" s="330"/>
      <c r="AY101" s="106"/>
      <c r="AZ101" s="106"/>
      <c r="BA101" s="106"/>
      <c r="BB101" s="106"/>
      <c r="BC101" s="106"/>
      <c r="BD101" s="106"/>
      <c r="BE101" s="106"/>
      <c r="BF101" s="106"/>
    </row>
    <row r="102" spans="3:58">
      <c r="C102" s="1010" t="str">
        <f>Worksheet!Q247</f>
        <v xml:space="preserve">    19 ( 492)    271      20         -6       19.71      +1155     262       14</v>
      </c>
      <c r="D102" s="1010" t="str">
        <f>" "&amp;Worksheet!R247</f>
        <v xml:space="preserve"> </v>
      </c>
      <c r="E102" s="1010" t="str">
        <f>" "&amp;Worksheet!S247</f>
        <v xml:space="preserve"> </v>
      </c>
      <c r="F102" s="1010" t="str">
        <f>" "&amp;Worksheet!T247</f>
        <v xml:space="preserve"> </v>
      </c>
      <c r="G102" s="1010" t="str">
        <f>" "&amp;Worksheet!U247</f>
        <v xml:space="preserve"> </v>
      </c>
      <c r="H102" s="1009"/>
      <c r="I102" s="1009"/>
      <c r="J102" s="1003"/>
      <c r="K102" s="1003"/>
      <c r="L102" s="1003" t="str">
        <f t="shared" si="27"/>
        <v/>
      </c>
      <c r="M102" s="1004">
        <f>IF(ROW()&lt;MAX($L$80:$L$136),"",IF(ROW()=MAX($L$80:$L$136),"SFC",MID(C102,5,2)*10+MROUND(Worksheet!$Z$2/100,10)))</f>
        <v>200</v>
      </c>
      <c r="N102" s="1005"/>
      <c r="O102" s="1006" t="str">
        <f t="shared" si="28"/>
        <v>270</v>
      </c>
      <c r="P102" s="1007" t="str">
        <f t="shared" si="29"/>
        <v>20</v>
      </c>
      <c r="Q102" s="1007"/>
      <c r="R102" s="1007" t="str">
        <f t="shared" si="30"/>
        <v>-06</v>
      </c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329"/>
      <c r="AV102" s="332"/>
      <c r="AW102" s="331"/>
      <c r="AX102" s="330"/>
      <c r="AY102" s="106"/>
      <c r="AZ102" s="106"/>
      <c r="BA102" s="106"/>
      <c r="BB102" s="106"/>
      <c r="BC102" s="106"/>
      <c r="BD102" s="106"/>
      <c r="BE102" s="106"/>
      <c r="BF102" s="106"/>
    </row>
    <row r="103" spans="3:58">
      <c r="C103" s="127" t="str">
        <f>Worksheet!Q248</f>
        <v xml:space="preserve">    20 ( 474)    276      21         -8       20.71      +1215     263       14</v>
      </c>
      <c r="D103" s="127" t="str">
        <f>" "&amp;Worksheet!R248</f>
        <v xml:space="preserve"> </v>
      </c>
      <c r="E103" s="127" t="str">
        <f>" "&amp;Worksheet!S248</f>
        <v xml:space="preserve"> </v>
      </c>
      <c r="F103" s="127" t="str">
        <f>" "&amp;Worksheet!T248</f>
        <v xml:space="preserve"> </v>
      </c>
      <c r="G103" s="127" t="str">
        <f>" "&amp;Worksheet!U248</f>
        <v xml:space="preserve"> </v>
      </c>
      <c r="H103" s="108"/>
      <c r="I103" s="108"/>
      <c r="J103" s="106"/>
      <c r="K103" s="106"/>
      <c r="L103" s="106" t="str">
        <f t="shared" si="27"/>
        <v/>
      </c>
      <c r="M103" s="1000">
        <f>IF(ROW()&lt;MAX($L$80:$L$136),"",IF(ROW()=MAX($L$80:$L$136),"SFC",MID(C103,5,2)*10+MROUND(Worksheet!$Z$2/100,10)))</f>
        <v>210</v>
      </c>
      <c r="N103" s="329"/>
      <c r="O103" s="332" t="str">
        <f t="shared" si="28"/>
        <v>280</v>
      </c>
      <c r="P103" s="112" t="str">
        <f t="shared" si="29"/>
        <v>20</v>
      </c>
      <c r="Q103" s="112"/>
      <c r="R103" s="112" t="str">
        <f t="shared" si="30"/>
        <v>-08</v>
      </c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329"/>
      <c r="AV103" s="332"/>
      <c r="AW103" s="331"/>
      <c r="AX103" s="330"/>
      <c r="AY103" s="106"/>
      <c r="AZ103" s="106"/>
      <c r="BA103" s="106"/>
      <c r="BB103" s="106"/>
      <c r="BC103" s="106"/>
      <c r="BD103" s="106"/>
      <c r="BE103" s="106"/>
      <c r="BF103" s="106"/>
    </row>
    <row r="104" spans="3:58">
      <c r="C104" s="1010" t="str">
        <f>Worksheet!Q249</f>
        <v xml:space="preserve">    21 ( 455)    281      22        -10       21.71      +1275     264       14</v>
      </c>
      <c r="D104" s="1010" t="str">
        <f>" "&amp;Worksheet!R249</f>
        <v xml:space="preserve"> </v>
      </c>
      <c r="E104" s="1010" t="str">
        <f>" "&amp;Worksheet!S249</f>
        <v xml:space="preserve"> </v>
      </c>
      <c r="F104" s="1010" t="str">
        <f>" "&amp;Worksheet!T249</f>
        <v xml:space="preserve"> </v>
      </c>
      <c r="G104" s="1010" t="str">
        <f>" "&amp;Worksheet!U249</f>
        <v xml:space="preserve"> </v>
      </c>
      <c r="H104" s="1009"/>
      <c r="I104" s="1009"/>
      <c r="J104" s="1003"/>
      <c r="K104" s="1003"/>
      <c r="L104" s="1003" t="str">
        <f t="shared" si="27"/>
        <v/>
      </c>
      <c r="M104" s="1004">
        <f>IF(ROW()&lt;MAX($L$80:$L$136),"",IF(ROW()=MAX($L$80:$L$136),"SFC",MID(C104,5,2)*10+MROUND(Worksheet!$Z$2/100,10)))</f>
        <v>220</v>
      </c>
      <c r="N104" s="1005"/>
      <c r="O104" s="1006" t="str">
        <f t="shared" si="28"/>
        <v>280</v>
      </c>
      <c r="P104" s="1007" t="str">
        <f t="shared" si="29"/>
        <v>20</v>
      </c>
      <c r="Q104" s="1007"/>
      <c r="R104" s="1007" t="str">
        <f t="shared" si="30"/>
        <v>-10</v>
      </c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329"/>
      <c r="AV104" s="332"/>
      <c r="AW104" s="331"/>
      <c r="AX104" s="330"/>
      <c r="AY104" s="106"/>
      <c r="AZ104" s="106"/>
      <c r="BA104" s="106"/>
      <c r="BB104" s="106"/>
      <c r="BC104" s="106"/>
      <c r="BD104" s="106"/>
      <c r="BE104" s="106"/>
      <c r="BF104" s="106"/>
    </row>
    <row r="105" spans="3:58">
      <c r="C105" s="127" t="str">
        <f>Worksheet!Q250</f>
        <v xml:space="preserve">    22 ( 437)    282      21        -12       22.71      +1335     265       14</v>
      </c>
      <c r="D105" s="127" t="str">
        <f>" "&amp;Worksheet!R250</f>
        <v xml:space="preserve"> </v>
      </c>
      <c r="E105" s="127" t="str">
        <f>" "&amp;Worksheet!S250</f>
        <v xml:space="preserve"> </v>
      </c>
      <c r="F105" s="127" t="str">
        <f>" "&amp;Worksheet!T250</f>
        <v xml:space="preserve"> </v>
      </c>
      <c r="G105" s="127" t="str">
        <f>" "&amp;Worksheet!U250</f>
        <v xml:space="preserve"> </v>
      </c>
      <c r="H105" s="108"/>
      <c r="I105" s="108"/>
      <c r="J105" s="106"/>
      <c r="K105" s="106"/>
      <c r="L105" s="106" t="str">
        <f t="shared" si="27"/>
        <v/>
      </c>
      <c r="M105" s="1000">
        <f>IF(ROW()&lt;MAX($L$80:$L$136),"",IF(ROW()=MAX($L$80:$L$136),"SFC",MID(C105,5,2)*10+MROUND(Worksheet!$Z$2/100,10)))</f>
        <v>230</v>
      </c>
      <c r="N105" s="329"/>
      <c r="O105" s="332" t="str">
        <f t="shared" si="28"/>
        <v>280</v>
      </c>
      <c r="P105" s="112" t="str">
        <f t="shared" si="29"/>
        <v>20</v>
      </c>
      <c r="Q105" s="112"/>
      <c r="R105" s="112" t="str">
        <f t="shared" si="30"/>
        <v>-12</v>
      </c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329"/>
      <c r="AV105" s="332"/>
      <c r="AW105" s="331"/>
      <c r="AX105" s="330"/>
      <c r="AY105" s="106"/>
      <c r="AZ105" s="106"/>
      <c r="BA105" s="106"/>
      <c r="BB105" s="106"/>
      <c r="BC105" s="106"/>
      <c r="BD105" s="106"/>
      <c r="BE105" s="106"/>
      <c r="BF105" s="106"/>
    </row>
    <row r="106" spans="3:58">
      <c r="C106" s="1010" t="str">
        <f>Worksheet!Q251</f>
        <v xml:space="preserve">    23 ( 420)    280      18        -14       23.71      +1395     266       15</v>
      </c>
      <c r="D106" s="1010" t="str">
        <f>" "&amp;Worksheet!R251</f>
        <v xml:space="preserve"> </v>
      </c>
      <c r="E106" s="1010" t="str">
        <f>" "&amp;Worksheet!S251</f>
        <v xml:space="preserve"> </v>
      </c>
      <c r="F106" s="1010" t="str">
        <f>" "&amp;Worksheet!T251</f>
        <v xml:space="preserve"> </v>
      </c>
      <c r="G106" s="1010" t="str">
        <f>" "&amp;Worksheet!U251</f>
        <v xml:space="preserve"> </v>
      </c>
      <c r="H106" s="1009"/>
      <c r="I106" s="1009"/>
      <c r="J106" s="1003"/>
      <c r="K106" s="1003"/>
      <c r="L106" s="1003" t="str">
        <f t="shared" si="27"/>
        <v/>
      </c>
      <c r="M106" s="1004">
        <f>IF(ROW()&lt;MAX($L$80:$L$136),"",IF(ROW()=MAX($L$80:$L$136),"SFC",MID(C106,5,2)*10+MROUND(Worksheet!$Z$2/100,10)))</f>
        <v>240</v>
      </c>
      <c r="N106" s="1005"/>
      <c r="O106" s="1006" t="str">
        <f t="shared" si="28"/>
        <v>280</v>
      </c>
      <c r="P106" s="1007" t="str">
        <f t="shared" si="29"/>
        <v>20</v>
      </c>
      <c r="Q106" s="1007"/>
      <c r="R106" s="1007" t="str">
        <f t="shared" si="30"/>
        <v>-14</v>
      </c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329"/>
      <c r="AV106" s="332"/>
      <c r="AW106" s="331"/>
      <c r="AX106" s="330"/>
      <c r="AY106" s="106"/>
      <c r="AZ106" s="106"/>
      <c r="BA106" s="106"/>
      <c r="BB106" s="106"/>
      <c r="BC106" s="106"/>
      <c r="BD106" s="106"/>
      <c r="BE106" s="106"/>
      <c r="BF106" s="106"/>
    </row>
    <row r="107" spans="3:58">
      <c r="C107" s="127" t="str">
        <f>Worksheet!Q252</f>
        <v xml:space="preserve">    24 ( 403)    277      16        -16       24.71      +1456     267       15</v>
      </c>
      <c r="D107" s="127" t="str">
        <f>" "&amp;Worksheet!R252</f>
        <v xml:space="preserve"> </v>
      </c>
      <c r="E107" s="127" t="str">
        <f>" "&amp;Worksheet!S252</f>
        <v xml:space="preserve"> </v>
      </c>
      <c r="F107" s="127" t="str">
        <f>" "&amp;Worksheet!T252</f>
        <v xml:space="preserve"> </v>
      </c>
      <c r="G107" s="127" t="str">
        <f>" "&amp;Worksheet!U252</f>
        <v xml:space="preserve"> </v>
      </c>
      <c r="H107" s="108"/>
      <c r="I107" s="108"/>
      <c r="J107" s="106"/>
      <c r="K107" s="106"/>
      <c r="L107" s="106" t="str">
        <f t="shared" si="27"/>
        <v/>
      </c>
      <c r="M107" s="1000">
        <f>IF(ROW()&lt;MAX($L$80:$L$136),"",IF(ROW()=MAX($L$80:$L$136),"SFC",MID(C107,5,2)*10+MROUND(Worksheet!$Z$2/100,10)))</f>
        <v>250</v>
      </c>
      <c r="N107" s="329"/>
      <c r="O107" s="332" t="str">
        <f t="shared" si="28"/>
        <v>280</v>
      </c>
      <c r="P107" s="112" t="str">
        <f t="shared" si="29"/>
        <v>15</v>
      </c>
      <c r="Q107" s="112"/>
      <c r="R107" s="112" t="str">
        <f t="shared" si="30"/>
        <v>-16</v>
      </c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329"/>
      <c r="AV107" s="332"/>
      <c r="AW107" s="331"/>
      <c r="AX107" s="330"/>
      <c r="AY107" s="106"/>
      <c r="AZ107" s="106"/>
      <c r="BA107" s="106"/>
      <c r="BB107" s="106"/>
      <c r="BC107" s="106"/>
      <c r="BD107" s="106"/>
      <c r="BE107" s="106"/>
      <c r="BF107" s="106"/>
    </row>
    <row r="108" spans="3:58">
      <c r="C108" s="1010" t="str">
        <f>Worksheet!Q253</f>
        <v xml:space="preserve">    25 ( 387)    276      14        -17       25.71      +1517     267       15</v>
      </c>
      <c r="D108" s="1010" t="str">
        <f>" "&amp;Worksheet!R253</f>
        <v xml:space="preserve"> </v>
      </c>
      <c r="E108" s="1010" t="str">
        <f>" "&amp;Worksheet!S253</f>
        <v xml:space="preserve"> </v>
      </c>
      <c r="F108" s="1010" t="str">
        <f>" "&amp;Worksheet!T253</f>
        <v xml:space="preserve"> </v>
      </c>
      <c r="G108" s="1010" t="str">
        <f>" "&amp;Worksheet!U253</f>
        <v xml:space="preserve"> </v>
      </c>
      <c r="H108" s="1009"/>
      <c r="I108" s="1009"/>
      <c r="J108" s="1003"/>
      <c r="K108" s="1003"/>
      <c r="L108" s="1003" t="str">
        <f t="shared" si="27"/>
        <v/>
      </c>
      <c r="M108" s="1004">
        <f>IF(ROW()&lt;MAX($L$80:$L$136),"",IF(ROW()=MAX($L$80:$L$136),"SFC",MID(C108,5,2)*10+MROUND(Worksheet!$Z$2/100,10)))</f>
        <v>260</v>
      </c>
      <c r="N108" s="1005"/>
      <c r="O108" s="1006" t="str">
        <f t="shared" si="28"/>
        <v>280</v>
      </c>
      <c r="P108" s="1007" t="str">
        <f t="shared" si="29"/>
        <v>15</v>
      </c>
      <c r="Q108" s="1007"/>
      <c r="R108" s="1007" t="str">
        <f t="shared" si="30"/>
        <v>-17</v>
      </c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329"/>
      <c r="AV108" s="332"/>
      <c r="AW108" s="331"/>
      <c r="AX108" s="330"/>
      <c r="AY108" s="106"/>
      <c r="AZ108" s="106"/>
      <c r="BA108" s="106"/>
      <c r="BB108" s="106"/>
      <c r="BC108" s="106"/>
      <c r="BD108" s="106"/>
      <c r="BE108" s="106"/>
      <c r="BF108" s="106"/>
    </row>
    <row r="109" spans="3:58">
      <c r="C109" s="127" t="str">
        <f>Worksheet!Q254</f>
        <v xml:space="preserve">    26 ( 372)    276      13        -19       26.71      +1578     267       15</v>
      </c>
      <c r="D109" s="127" t="str">
        <f>" "&amp;Worksheet!R254</f>
        <v xml:space="preserve"> </v>
      </c>
      <c r="E109" s="127" t="str">
        <f>" "&amp;Worksheet!S254</f>
        <v xml:space="preserve"> </v>
      </c>
      <c r="F109" s="127" t="str">
        <f>" "&amp;Worksheet!T254</f>
        <v xml:space="preserve"> </v>
      </c>
      <c r="G109" s="127" t="str">
        <f>" "&amp;Worksheet!U254</f>
        <v xml:space="preserve"> </v>
      </c>
      <c r="H109" s="108"/>
      <c r="I109" s="108"/>
      <c r="J109" s="106"/>
      <c r="K109" s="106"/>
      <c r="L109" s="106" t="str">
        <f t="shared" si="27"/>
        <v/>
      </c>
      <c r="M109" s="1000">
        <f>IF(ROW()&lt;MAX($L$80:$L$136),"",IF(ROW()=MAX($L$80:$L$136),"SFC",MID(C109,5,2)*10+MROUND(Worksheet!$Z$2/100,10)))</f>
        <v>270</v>
      </c>
      <c r="N109" s="329"/>
      <c r="O109" s="332" t="str">
        <f t="shared" si="28"/>
        <v>280</v>
      </c>
      <c r="P109" s="112" t="str">
        <f t="shared" si="29"/>
        <v>15</v>
      </c>
      <c r="Q109" s="112"/>
      <c r="R109" s="112" t="str">
        <f t="shared" si="30"/>
        <v>-19</v>
      </c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329"/>
      <c r="AV109" s="332"/>
      <c r="AW109" s="331"/>
      <c r="AX109" s="330"/>
      <c r="AY109" s="106"/>
      <c r="AZ109" s="106"/>
      <c r="BA109" s="106"/>
      <c r="BB109" s="106"/>
      <c r="BC109" s="106"/>
      <c r="BD109" s="106"/>
      <c r="BE109" s="106"/>
      <c r="BF109" s="106"/>
    </row>
    <row r="110" spans="3:58">
      <c r="C110" s="1010" t="str">
        <f>Worksheet!Q255</f>
        <v xml:space="preserve">    27 ( 357)    276      12        -21       27.71      +1639     268       14</v>
      </c>
      <c r="D110" s="1010" t="str">
        <f>" "&amp;Worksheet!R255</f>
        <v xml:space="preserve"> </v>
      </c>
      <c r="E110" s="1010" t="str">
        <f>" "&amp;Worksheet!S255</f>
        <v xml:space="preserve"> </v>
      </c>
      <c r="F110" s="1010" t="str">
        <f>" "&amp;Worksheet!T255</f>
        <v xml:space="preserve"> </v>
      </c>
      <c r="G110" s="1010" t="str">
        <f>" "&amp;Worksheet!U255</f>
        <v xml:space="preserve"> </v>
      </c>
      <c r="H110" s="1009"/>
      <c r="I110" s="1009"/>
      <c r="J110" s="1003"/>
      <c r="K110" s="1003"/>
      <c r="L110" s="1003" t="str">
        <f t="shared" si="27"/>
        <v/>
      </c>
      <c r="M110" s="1004">
        <f>IF(ROW()&lt;MAX($L$80:$L$136),"",IF(ROW()=MAX($L$80:$L$136),"SFC",MID(C110,5,2)*10+MROUND(Worksheet!$Z$2/100,10)))</f>
        <v>280</v>
      </c>
      <c r="N110" s="1005"/>
      <c r="O110" s="1006" t="str">
        <f t="shared" si="28"/>
        <v>280</v>
      </c>
      <c r="P110" s="1007" t="str">
        <f t="shared" si="29"/>
        <v>10</v>
      </c>
      <c r="Q110" s="1007"/>
      <c r="R110" s="1007" t="str">
        <f t="shared" si="30"/>
        <v>-21</v>
      </c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329"/>
      <c r="AV110" s="332"/>
      <c r="AW110" s="331"/>
      <c r="AX110" s="330"/>
      <c r="AY110" s="106"/>
      <c r="AZ110" s="106"/>
      <c r="BA110" s="106"/>
      <c r="BB110" s="106"/>
      <c r="BC110" s="106"/>
      <c r="BD110" s="106"/>
      <c r="BE110" s="106"/>
      <c r="BF110" s="106"/>
    </row>
    <row r="111" spans="3:58">
      <c r="C111" s="127" t="str">
        <f>Worksheet!Q256</f>
        <v xml:space="preserve">    28 ( 342)    280      11        -23       28.71      +1699     268       14</v>
      </c>
      <c r="D111" s="127" t="str">
        <f>" "&amp;Worksheet!R256</f>
        <v xml:space="preserve"> </v>
      </c>
      <c r="E111" s="127" t="str">
        <f>" "&amp;Worksheet!S256</f>
        <v xml:space="preserve"> </v>
      </c>
      <c r="F111" s="127" t="str">
        <f>" "&amp;Worksheet!T256</f>
        <v xml:space="preserve"> </v>
      </c>
      <c r="G111" s="127" t="str">
        <f>" "&amp;Worksheet!U256</f>
        <v xml:space="preserve"> </v>
      </c>
      <c r="H111" s="108"/>
      <c r="I111" s="108"/>
      <c r="J111" s="106"/>
      <c r="K111" s="106"/>
      <c r="L111" s="106" t="str">
        <f t="shared" si="27"/>
        <v/>
      </c>
      <c r="M111" s="1000">
        <f>IF(ROW()&lt;MAX($L$80:$L$136),"",IF(ROW()=MAX($L$80:$L$136),"SFC",MID(C111,5,2)*10+MROUND(Worksheet!$Z$2/100,10)))</f>
        <v>290</v>
      </c>
      <c r="N111" s="329"/>
      <c r="O111" s="332" t="str">
        <f t="shared" si="28"/>
        <v>280</v>
      </c>
      <c r="P111" s="112" t="str">
        <f t="shared" si="29"/>
        <v>10</v>
      </c>
      <c r="Q111" s="112"/>
      <c r="R111" s="112" t="str">
        <f t="shared" si="30"/>
        <v>-23</v>
      </c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329"/>
      <c r="AV111" s="332"/>
      <c r="AW111" s="331"/>
      <c r="AX111" s="330"/>
      <c r="AY111" s="106"/>
      <c r="AZ111" s="106"/>
      <c r="BA111" s="106"/>
      <c r="BB111" s="106"/>
      <c r="BC111" s="106"/>
      <c r="BD111" s="106"/>
      <c r="BE111" s="106"/>
      <c r="BF111" s="106"/>
    </row>
    <row r="112" spans="3:58">
      <c r="C112" s="1010" t="str">
        <f>Worksheet!Q257</f>
        <v xml:space="preserve">    29 ( 328)    293      10        -26       29.71      +1757     268       14</v>
      </c>
      <c r="D112" s="1010" t="str">
        <f>" "&amp;Worksheet!R257</f>
        <v xml:space="preserve"> </v>
      </c>
      <c r="E112" s="1010" t="str">
        <f>" "&amp;Worksheet!S257</f>
        <v xml:space="preserve"> </v>
      </c>
      <c r="F112" s="1010" t="str">
        <f>" "&amp;Worksheet!T257</f>
        <v xml:space="preserve"> </v>
      </c>
      <c r="G112" s="1010" t="str">
        <f>" "&amp;Worksheet!U257</f>
        <v xml:space="preserve"> </v>
      </c>
      <c r="H112" s="1009"/>
      <c r="I112" s="1009"/>
      <c r="J112" s="1003"/>
      <c r="K112" s="1003"/>
      <c r="L112" s="1003" t="str">
        <f t="shared" ref="L112:L136" si="31">IF(NOT(ISERR(FIND("SFC",C112))),ROW(),"")</f>
        <v/>
      </c>
      <c r="M112" s="1004">
        <f>IF(ROW()&lt;MAX($L$80:$L$136),"",IF(ROW()=MAX($L$80:$L$136),"SFC",MID(C112,5,2)*10+MROUND(Worksheet!$Z$2/100,10)))</f>
        <v>300</v>
      </c>
      <c r="N112" s="1005"/>
      <c r="O112" s="1006" t="str">
        <f t="shared" ref="O112:O136" si="32">IF(ROW()&gt;MAX($L$80:$L$136),IF(P112="00","000",IF(LEN(C112)&lt;20,IF(AND(TEXT(MROUND(LEFT(D112,4)*1,10),"000")="000",P112&lt;&gt;"00"),"360",TEXT(MROUND(LEFT(D112,4)*1,10),"000")),IF(AND(TEXT(MROUND(MID(C112,17,5)*1,10),"000")="000",P112&lt;&gt;"00"),"360",TEXT(MROUND(MID(C112,17,5)*1,10),"000")))),"")</f>
        <v>290</v>
      </c>
      <c r="P112" s="1007" t="str">
        <f t="shared" ref="P112:P136" si="33">IF(ROW()&gt;MAX($L$80:$L$136),IF(LEN(C112)&lt;20,IF(AND(E112*1&lt;7,E112*1&gt;0),"05",TEXT(MROUND(E112*1,5),"#00")),IF(AND(MID(C112,26,5)*1&lt;7,MID(C112,26,5)*1&gt;0),"05",TEXT(MROUND(MID(C112,26,5)*1,5),"#00"))),"")</f>
        <v>10</v>
      </c>
      <c r="Q112" s="1007"/>
      <c r="R112" s="1007" t="str">
        <f t="shared" ref="R112:R136" si="34">IF(ROW()&gt;MAX($L$80:$L$136),IF(LEN(C112)&lt;20,TEXT(MID(F112,5,3)*1,"00"),TEXT(MID(C112,36,5)*1,"00")),"")</f>
        <v>-26</v>
      </c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329"/>
      <c r="AV112" s="332"/>
      <c r="AW112" s="331"/>
      <c r="AX112" s="330"/>
      <c r="AY112" s="106"/>
      <c r="AZ112" s="106"/>
      <c r="BA112" s="106"/>
      <c r="BB112" s="106"/>
      <c r="BC112" s="106"/>
      <c r="BD112" s="106"/>
      <c r="BE112" s="106"/>
      <c r="BF112" s="106"/>
    </row>
    <row r="113" spans="3:58">
      <c r="C113" s="127" t="str">
        <f>Worksheet!Q258</f>
        <v xml:space="preserve">    30 ( 314)    306      10        -28       30.71      +1815     269       14</v>
      </c>
      <c r="D113" s="127" t="str">
        <f>" "&amp;Worksheet!R258</f>
        <v xml:space="preserve"> </v>
      </c>
      <c r="E113" s="127" t="str">
        <f>" "&amp;Worksheet!S258</f>
        <v xml:space="preserve"> </v>
      </c>
      <c r="F113" s="127" t="str">
        <f>" "&amp;Worksheet!T258</f>
        <v xml:space="preserve"> </v>
      </c>
      <c r="G113" s="127" t="str">
        <f>" "&amp;Worksheet!U258</f>
        <v xml:space="preserve"> </v>
      </c>
      <c r="H113" s="108"/>
      <c r="I113" s="108"/>
      <c r="J113" s="106"/>
      <c r="K113" s="106"/>
      <c r="L113" s="106" t="str">
        <f t="shared" si="31"/>
        <v/>
      </c>
      <c r="M113" s="1000">
        <f>IF(ROW()&lt;MAX($L$80:$L$136),"",IF(ROW()=MAX($L$80:$L$136),"SFC",MID(C113,5,2)*10+MROUND(Worksheet!$Z$2/100,10)))</f>
        <v>310</v>
      </c>
      <c r="N113" s="329"/>
      <c r="O113" s="332" t="str">
        <f t="shared" si="32"/>
        <v>310</v>
      </c>
      <c r="P113" s="112" t="str">
        <f t="shared" si="33"/>
        <v>10</v>
      </c>
      <c r="Q113" s="112"/>
      <c r="R113" s="112" t="str">
        <f t="shared" si="34"/>
        <v>-28</v>
      </c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329"/>
      <c r="AV113" s="332"/>
      <c r="AW113" s="331"/>
      <c r="AX113" s="330"/>
      <c r="AY113" s="106"/>
      <c r="AZ113" s="106"/>
      <c r="BA113" s="106"/>
      <c r="BB113" s="106"/>
      <c r="BC113" s="106"/>
      <c r="BD113" s="106"/>
      <c r="BE113" s="106"/>
      <c r="BF113" s="106"/>
    </row>
    <row r="114" spans="3:58">
      <c r="C114" s="1010" t="str">
        <f>Worksheet!Q259</f>
        <v xml:space="preserve">    31 ( 301)    319      10        -31       31.71      +1873     270       14</v>
      </c>
      <c r="D114" s="1010" t="str">
        <f>" "&amp;Worksheet!R259</f>
        <v xml:space="preserve"> </v>
      </c>
      <c r="E114" s="1010" t="str">
        <f>" "&amp;Worksheet!S259</f>
        <v xml:space="preserve"> </v>
      </c>
      <c r="F114" s="1010" t="str">
        <f>" "&amp;Worksheet!T259</f>
        <v xml:space="preserve"> </v>
      </c>
      <c r="G114" s="1010" t="str">
        <f>" "&amp;Worksheet!U259</f>
        <v xml:space="preserve"> </v>
      </c>
      <c r="H114" s="1009"/>
      <c r="I114" s="1009"/>
      <c r="J114" s="1003"/>
      <c r="K114" s="1003"/>
      <c r="L114" s="1003" t="str">
        <f t="shared" si="31"/>
        <v/>
      </c>
      <c r="M114" s="1004">
        <f>IF(ROW()&lt;MAX($L$80:$L$136),"",IF(ROW()=MAX($L$80:$L$136),"SFC",MID(C114,5,2)*10+MROUND(Worksheet!$Z$2/100,10)))</f>
        <v>320</v>
      </c>
      <c r="N114" s="1005"/>
      <c r="O114" s="1006" t="str">
        <f t="shared" si="32"/>
        <v>320</v>
      </c>
      <c r="P114" s="1007" t="str">
        <f t="shared" si="33"/>
        <v>10</v>
      </c>
      <c r="Q114" s="1007"/>
      <c r="R114" s="1007" t="str">
        <f t="shared" si="34"/>
        <v>-31</v>
      </c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329"/>
      <c r="AV114" s="332"/>
      <c r="AW114" s="331"/>
      <c r="AX114" s="330"/>
      <c r="AY114" s="106"/>
      <c r="AZ114" s="106"/>
      <c r="BA114" s="106"/>
      <c r="BB114" s="106"/>
      <c r="BC114" s="106"/>
      <c r="BD114" s="106"/>
      <c r="BE114" s="106"/>
      <c r="BF114" s="106"/>
    </row>
    <row r="115" spans="3:58">
      <c r="C115" s="127" t="str">
        <f>Worksheet!Q260</f>
        <v xml:space="preserve">    32 ( 288)    325      12        -34       32.71      +1924     272       14</v>
      </c>
      <c r="D115" s="127" t="str">
        <f>" "&amp;Worksheet!R260</f>
        <v xml:space="preserve"> </v>
      </c>
      <c r="E115" s="127" t="str">
        <f>" "&amp;Worksheet!S260</f>
        <v xml:space="preserve"> </v>
      </c>
      <c r="F115" s="127" t="str">
        <f>" "&amp;Worksheet!T260</f>
        <v xml:space="preserve"> </v>
      </c>
      <c r="G115" s="127" t="str">
        <f>" "&amp;Worksheet!U260</f>
        <v xml:space="preserve"> </v>
      </c>
      <c r="H115" s="108"/>
      <c r="I115" s="108"/>
      <c r="J115" s="106"/>
      <c r="K115" s="106"/>
      <c r="L115" s="106" t="str">
        <f t="shared" si="31"/>
        <v/>
      </c>
      <c r="M115" s="1000">
        <f>IF(ROW()&lt;MAX($L$80:$L$136),"",IF(ROW()=MAX($L$80:$L$136),"SFC",MID(C115,5,2)*10+MROUND(Worksheet!$Z$2/100,10)))</f>
        <v>330</v>
      </c>
      <c r="N115" s="329"/>
      <c r="O115" s="332" t="str">
        <f t="shared" si="32"/>
        <v>330</v>
      </c>
      <c r="P115" s="112" t="str">
        <f t="shared" si="33"/>
        <v>10</v>
      </c>
      <c r="Q115" s="112"/>
      <c r="R115" s="112" t="str">
        <f t="shared" si="34"/>
        <v>-34</v>
      </c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329"/>
      <c r="AV115" s="332"/>
      <c r="AW115" s="331"/>
      <c r="AX115" s="330"/>
      <c r="AY115" s="106"/>
      <c r="AZ115" s="106"/>
      <c r="BA115" s="106"/>
      <c r="BB115" s="106"/>
      <c r="BC115" s="106"/>
      <c r="BD115" s="106"/>
      <c r="BE115" s="106"/>
      <c r="BF115" s="106"/>
    </row>
    <row r="116" spans="3:58">
      <c r="C116" s="1010" t="str">
        <f>Worksheet!Q261</f>
        <v xml:space="preserve">    33 ( 276)    328      14        -36       33.71      +1971     273       13</v>
      </c>
      <c r="D116" s="1010" t="str">
        <f>" "&amp;Worksheet!R261</f>
        <v xml:space="preserve"> </v>
      </c>
      <c r="E116" s="1010" t="str">
        <f>" "&amp;Worksheet!S261</f>
        <v xml:space="preserve"> </v>
      </c>
      <c r="F116" s="1010" t="str">
        <f>" "&amp;Worksheet!T261</f>
        <v xml:space="preserve"> </v>
      </c>
      <c r="G116" s="1010" t="str">
        <f>" "&amp;Worksheet!U261</f>
        <v xml:space="preserve"> </v>
      </c>
      <c r="H116" s="1009"/>
      <c r="I116" s="1009"/>
      <c r="J116" s="1003"/>
      <c r="K116" s="1003"/>
      <c r="L116" s="1003" t="str">
        <f t="shared" si="31"/>
        <v/>
      </c>
      <c r="M116" s="1004">
        <f>IF(ROW()&lt;MAX($L$80:$L$136),"",IF(ROW()=MAX($L$80:$L$136),"SFC",MID(C116,5,2)*10+MROUND(Worksheet!$Z$2/100,10)))</f>
        <v>340</v>
      </c>
      <c r="N116" s="1005"/>
      <c r="O116" s="1006" t="str">
        <f t="shared" si="32"/>
        <v>330</v>
      </c>
      <c r="P116" s="1007" t="str">
        <f t="shared" si="33"/>
        <v>15</v>
      </c>
      <c r="Q116" s="1007"/>
      <c r="R116" s="1007" t="str">
        <f t="shared" si="34"/>
        <v>-36</v>
      </c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329"/>
      <c r="AV116" s="332"/>
      <c r="AW116" s="331"/>
      <c r="AX116" s="330"/>
      <c r="AY116" s="106"/>
      <c r="AZ116" s="106"/>
      <c r="BA116" s="106"/>
      <c r="BB116" s="106"/>
      <c r="BC116" s="106"/>
      <c r="BD116" s="106"/>
      <c r="BE116" s="106"/>
      <c r="BF116" s="106"/>
    </row>
    <row r="117" spans="3:58">
      <c r="C117" s="127" t="str">
        <f>Worksheet!Q262</f>
        <v xml:space="preserve">    34 ( 264)    330      15        -39       34.71      +2019     275       13</v>
      </c>
      <c r="D117" s="127" t="str">
        <f>" "&amp;Worksheet!R262</f>
        <v xml:space="preserve"> </v>
      </c>
      <c r="E117" s="127" t="str">
        <f>" "&amp;Worksheet!S262</f>
        <v xml:space="preserve"> </v>
      </c>
      <c r="F117" s="127" t="str">
        <f>" "&amp;Worksheet!T262</f>
        <v xml:space="preserve"> </v>
      </c>
      <c r="G117" s="127" t="str">
        <f>" "&amp;Worksheet!U262</f>
        <v xml:space="preserve"> </v>
      </c>
      <c r="H117" s="108"/>
      <c r="I117" s="108"/>
      <c r="J117" s="106"/>
      <c r="K117" s="106"/>
      <c r="L117" s="106" t="str">
        <f t="shared" si="31"/>
        <v/>
      </c>
      <c r="M117" s="1000">
        <f>IF(ROW()&lt;MAX($L$80:$L$136),"",IF(ROW()=MAX($L$80:$L$136),"SFC",MID(C117,5,2)*10+MROUND(Worksheet!$Z$2/100,10)))</f>
        <v>350</v>
      </c>
      <c r="N117" s="329"/>
      <c r="O117" s="332" t="str">
        <f t="shared" si="32"/>
        <v>330</v>
      </c>
      <c r="P117" s="112" t="str">
        <f t="shared" si="33"/>
        <v>15</v>
      </c>
      <c r="Q117" s="112"/>
      <c r="R117" s="112" t="str">
        <f t="shared" si="34"/>
        <v>-39</v>
      </c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329"/>
      <c r="AV117" s="332"/>
      <c r="AW117" s="331"/>
      <c r="AX117" s="330"/>
      <c r="AY117" s="106"/>
      <c r="AZ117" s="106"/>
      <c r="BA117" s="106"/>
      <c r="BB117" s="106"/>
      <c r="BC117" s="106"/>
      <c r="BD117" s="106"/>
      <c r="BE117" s="106"/>
      <c r="BF117" s="106"/>
    </row>
    <row r="118" spans="3:58">
      <c r="C118" s="1010" t="str">
        <f>Worksheet!Q263</f>
        <v xml:space="preserve">    35 ( 252)    332      17        -41       35.71      +2066     276       13</v>
      </c>
      <c r="D118" s="1010" t="str">
        <f>" "&amp;Worksheet!R263</f>
        <v xml:space="preserve"> </v>
      </c>
      <c r="E118" s="1010" t="str">
        <f>" "&amp;Worksheet!S263</f>
        <v xml:space="preserve"> </v>
      </c>
      <c r="F118" s="1010" t="str">
        <f>" "&amp;Worksheet!T263</f>
        <v xml:space="preserve"> </v>
      </c>
      <c r="G118" s="1010" t="str">
        <f>" "&amp;Worksheet!U263</f>
        <v xml:space="preserve"> </v>
      </c>
      <c r="H118" s="1009"/>
      <c r="I118" s="1009"/>
      <c r="J118" s="1003"/>
      <c r="K118" s="1003"/>
      <c r="L118" s="1003" t="str">
        <f t="shared" si="31"/>
        <v/>
      </c>
      <c r="M118" s="1004">
        <f>IF(ROW()&lt;MAX($L$80:$L$136),"",IF(ROW()=MAX($L$80:$L$136),"SFC",MID(C118,5,2)*10+MROUND(Worksheet!$Z$2/100,10)))</f>
        <v>360</v>
      </c>
      <c r="N118" s="1005"/>
      <c r="O118" s="1006" t="str">
        <f t="shared" si="32"/>
        <v>330</v>
      </c>
      <c r="P118" s="1007" t="str">
        <f t="shared" si="33"/>
        <v>15</v>
      </c>
      <c r="Q118" s="1007"/>
      <c r="R118" s="1007" t="str">
        <f t="shared" si="34"/>
        <v>-41</v>
      </c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329"/>
      <c r="AV118" s="332"/>
      <c r="AW118" s="331"/>
      <c r="AX118" s="330"/>
      <c r="AY118" s="106"/>
      <c r="AZ118" s="106"/>
      <c r="BA118" s="106"/>
      <c r="BB118" s="106"/>
      <c r="BC118" s="106"/>
      <c r="BD118" s="106"/>
      <c r="BE118" s="106"/>
      <c r="BF118" s="106"/>
    </row>
    <row r="119" spans="3:58">
      <c r="C119" s="127" t="str">
        <f>Worksheet!Q264</f>
        <v xml:space="preserve">    36 ( 241)    331      17        -44       36.71      +2109     278       13</v>
      </c>
      <c r="D119" s="127" t="str">
        <f>" "&amp;Worksheet!R264</f>
        <v xml:space="preserve"> </v>
      </c>
      <c r="E119" s="127" t="str">
        <f>" "&amp;Worksheet!S264</f>
        <v xml:space="preserve"> </v>
      </c>
      <c r="F119" s="127" t="str">
        <f>" "&amp;Worksheet!T264</f>
        <v xml:space="preserve"> </v>
      </c>
      <c r="G119" s="127" t="str">
        <f>" "&amp;Worksheet!U264</f>
        <v xml:space="preserve"> </v>
      </c>
      <c r="H119" s="108"/>
      <c r="I119" s="108"/>
      <c r="J119" s="106"/>
      <c r="K119" s="106"/>
      <c r="L119" s="106" t="str">
        <f t="shared" si="31"/>
        <v/>
      </c>
      <c r="M119" s="1000">
        <f>IF(ROW()&lt;MAX($L$80:$L$136),"",IF(ROW()=MAX($L$80:$L$136),"SFC",MID(C119,5,2)*10+MROUND(Worksheet!$Z$2/100,10)))</f>
        <v>370</v>
      </c>
      <c r="N119" s="329"/>
      <c r="O119" s="332" t="str">
        <f t="shared" si="32"/>
        <v>330</v>
      </c>
      <c r="P119" s="112" t="str">
        <f t="shared" si="33"/>
        <v>15</v>
      </c>
      <c r="Q119" s="112"/>
      <c r="R119" s="112" t="str">
        <f t="shared" si="34"/>
        <v>-44</v>
      </c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329"/>
      <c r="AV119" s="332"/>
      <c r="AW119" s="331"/>
      <c r="AX119" s="330"/>
      <c r="AY119" s="106"/>
      <c r="AZ119" s="106"/>
      <c r="BA119" s="106"/>
      <c r="BB119" s="106"/>
      <c r="BC119" s="106"/>
      <c r="BD119" s="106"/>
      <c r="BE119" s="106"/>
      <c r="BF119" s="106"/>
    </row>
    <row r="120" spans="3:58">
      <c r="C120" s="1010" t="str">
        <f>Worksheet!Q265</f>
        <v xml:space="preserve">    37 ( 230)    327      16        -46       37.71      +2147     279       13</v>
      </c>
      <c r="D120" s="1010" t="str">
        <f>" "&amp;Worksheet!R265</f>
        <v xml:space="preserve"> </v>
      </c>
      <c r="E120" s="1010" t="str">
        <f>" "&amp;Worksheet!S265</f>
        <v xml:space="preserve"> </v>
      </c>
      <c r="F120" s="1010" t="str">
        <f>" "&amp;Worksheet!T265</f>
        <v xml:space="preserve"> </v>
      </c>
      <c r="G120" s="1010" t="str">
        <f>" "&amp;Worksheet!U265</f>
        <v xml:space="preserve"> </v>
      </c>
      <c r="H120" s="1009"/>
      <c r="I120" s="1009"/>
      <c r="J120" s="1003"/>
      <c r="K120" s="1003"/>
      <c r="L120" s="1003" t="str">
        <f t="shared" si="31"/>
        <v/>
      </c>
      <c r="M120" s="1004">
        <f>IF(ROW()&lt;MAX($L$80:$L$136),"",IF(ROW()=MAX($L$80:$L$136),"SFC",MID(C120,5,2)*10+MROUND(Worksheet!$Z$2/100,10)))</f>
        <v>380</v>
      </c>
      <c r="N120" s="1005"/>
      <c r="O120" s="1006" t="str">
        <f t="shared" si="32"/>
        <v>330</v>
      </c>
      <c r="P120" s="1007" t="str">
        <f t="shared" si="33"/>
        <v>15</v>
      </c>
      <c r="Q120" s="1007"/>
      <c r="R120" s="1007" t="str">
        <f t="shared" si="34"/>
        <v>-46</v>
      </c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329"/>
      <c r="AV120" s="332"/>
      <c r="AW120" s="331"/>
      <c r="AX120" s="330"/>
      <c r="AY120" s="106"/>
      <c r="AZ120" s="106"/>
      <c r="BA120" s="106"/>
      <c r="BB120" s="106"/>
      <c r="BC120" s="106"/>
      <c r="BD120" s="106"/>
      <c r="BE120" s="106"/>
      <c r="BF120" s="106"/>
    </row>
    <row r="121" spans="3:58">
      <c r="C121" s="127" t="str">
        <f>Worksheet!Q266</f>
        <v xml:space="preserve">    38 ( 220)    323      15        -48       38.71      +2185     280       13</v>
      </c>
      <c r="D121" s="127" t="str">
        <f>" "&amp;Worksheet!R266</f>
        <v xml:space="preserve"> </v>
      </c>
      <c r="E121" s="127" t="str">
        <f>" "&amp;Worksheet!S266</f>
        <v xml:space="preserve"> </v>
      </c>
      <c r="F121" s="127" t="str">
        <f>" "&amp;Worksheet!T266</f>
        <v xml:space="preserve"> </v>
      </c>
      <c r="G121" s="127" t="str">
        <f>" "&amp;Worksheet!U266</f>
        <v xml:space="preserve"> </v>
      </c>
      <c r="H121" s="108"/>
      <c r="I121" s="108"/>
      <c r="J121" s="106"/>
      <c r="K121" s="106"/>
      <c r="L121" s="106" t="str">
        <f t="shared" si="31"/>
        <v/>
      </c>
      <c r="M121" s="1000">
        <f>IF(ROW()&lt;MAX($L$80:$L$136),"",IF(ROW()=MAX($L$80:$L$136),"SFC",MID(C121,5,2)*10+MROUND(Worksheet!$Z$2/100,10)))</f>
        <v>390</v>
      </c>
      <c r="N121" s="329"/>
      <c r="O121" s="332" t="str">
        <f t="shared" si="32"/>
        <v>320</v>
      </c>
      <c r="P121" s="112" t="str">
        <f t="shared" si="33"/>
        <v>15</v>
      </c>
      <c r="Q121" s="112"/>
      <c r="R121" s="112" t="str">
        <f t="shared" si="34"/>
        <v>-48</v>
      </c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329"/>
      <c r="AV121" s="332"/>
      <c r="AW121" s="331"/>
      <c r="AX121" s="330"/>
      <c r="AY121" s="106"/>
      <c r="AZ121" s="106"/>
      <c r="BA121" s="106"/>
      <c r="BB121" s="106"/>
      <c r="BC121" s="106"/>
      <c r="BD121" s="106"/>
      <c r="BE121" s="106"/>
      <c r="BF121" s="106"/>
    </row>
    <row r="122" spans="3:58">
      <c r="C122" s="1010" t="str">
        <f>Worksheet!Q267</f>
        <v xml:space="preserve">    39 ( 210)    318      14        -51       39.71      +2223     281       13</v>
      </c>
      <c r="D122" s="1010" t="str">
        <f>" "&amp;Worksheet!R267</f>
        <v xml:space="preserve"> </v>
      </c>
      <c r="E122" s="1010" t="str">
        <f>" "&amp;Worksheet!S267</f>
        <v xml:space="preserve"> </v>
      </c>
      <c r="F122" s="1010" t="str">
        <f>" "&amp;Worksheet!T267</f>
        <v xml:space="preserve"> </v>
      </c>
      <c r="G122" s="1010" t="str">
        <f>" "&amp;Worksheet!U267</f>
        <v xml:space="preserve"> </v>
      </c>
      <c r="H122" s="1009"/>
      <c r="I122" s="1009"/>
      <c r="J122" s="1003"/>
      <c r="K122" s="1003"/>
      <c r="L122" s="1003" t="str">
        <f t="shared" si="31"/>
        <v/>
      </c>
      <c r="M122" s="1004">
        <f>IF(ROW()&lt;MAX($L$80:$L$136),"",IF(ROW()=MAX($L$80:$L$136),"SFC",MID(C122,5,2)*10+MROUND(Worksheet!$Z$2/100,10)))</f>
        <v>400</v>
      </c>
      <c r="N122" s="1005"/>
      <c r="O122" s="1006" t="str">
        <f t="shared" si="32"/>
        <v>320</v>
      </c>
      <c r="P122" s="1007" t="str">
        <f t="shared" si="33"/>
        <v>15</v>
      </c>
      <c r="Q122" s="1007"/>
      <c r="R122" s="1007" t="str">
        <f t="shared" si="34"/>
        <v>-51</v>
      </c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329"/>
      <c r="AV122" s="332"/>
      <c r="AW122" s="331"/>
      <c r="AX122" s="330"/>
      <c r="AY122" s="106"/>
      <c r="AZ122" s="106"/>
      <c r="BA122" s="106"/>
      <c r="BB122" s="106"/>
      <c r="BC122" s="106"/>
      <c r="BD122" s="106"/>
      <c r="BE122" s="106"/>
      <c r="BF122" s="106"/>
    </row>
    <row r="123" spans="3:58">
      <c r="C123" s="127" t="str">
        <f>Worksheet!Q268</f>
        <v xml:space="preserve">    40 ( 199)    312      14        -53       40.71      +2261     282       13</v>
      </c>
      <c r="D123" s="127" t="str">
        <f>" "&amp;Worksheet!R268</f>
        <v xml:space="preserve"> </v>
      </c>
      <c r="E123" s="127" t="str">
        <f>" "&amp;Worksheet!S268</f>
        <v xml:space="preserve"> </v>
      </c>
      <c r="F123" s="127" t="str">
        <f>" "&amp;Worksheet!T268</f>
        <v xml:space="preserve"> </v>
      </c>
      <c r="G123" s="127" t="str">
        <f>" "&amp;Worksheet!U268</f>
        <v xml:space="preserve"> </v>
      </c>
      <c r="H123" s="108"/>
      <c r="I123" s="108"/>
      <c r="J123" s="106"/>
      <c r="K123" s="106"/>
      <c r="L123" s="106" t="str">
        <f t="shared" si="31"/>
        <v/>
      </c>
      <c r="M123" s="1000">
        <f>IF(ROW()&lt;MAX($L$80:$L$136),"",IF(ROW()=MAX($L$80:$L$136),"SFC",MID(C123,5,2)*10+MROUND(Worksheet!$Z$2/100,10)))</f>
        <v>410</v>
      </c>
      <c r="N123" s="329"/>
      <c r="O123" s="332" t="str">
        <f t="shared" si="32"/>
        <v>310</v>
      </c>
      <c r="P123" s="112" t="str">
        <f t="shared" si="33"/>
        <v>15</v>
      </c>
      <c r="Q123" s="112"/>
      <c r="R123" s="112" t="str">
        <f t="shared" si="34"/>
        <v>-53</v>
      </c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329"/>
      <c r="AV123" s="332"/>
      <c r="AW123" s="331"/>
      <c r="AX123" s="330"/>
      <c r="AY123" s="106"/>
      <c r="AZ123" s="106"/>
      <c r="BA123" s="106"/>
      <c r="BB123" s="106"/>
      <c r="BC123" s="106"/>
      <c r="BD123" s="106"/>
      <c r="BE123" s="106"/>
      <c r="BF123" s="106"/>
    </row>
    <row r="124" spans="3:58">
      <c r="C124" s="1010" t="str">
        <f>Worksheet!Q269</f>
        <v xml:space="preserve">    39 ( 207)    289      36        -54       39.69      +1986     266       20</v>
      </c>
      <c r="D124" s="1010" t="str">
        <f>" "&amp;Worksheet!R269</f>
        <v xml:space="preserve"> </v>
      </c>
      <c r="E124" s="1010" t="str">
        <f>" "&amp;Worksheet!S269</f>
        <v xml:space="preserve"> </v>
      </c>
      <c r="F124" s="1010" t="str">
        <f>" "&amp;Worksheet!T269</f>
        <v xml:space="preserve"> </v>
      </c>
      <c r="G124" s="1010" t="str">
        <f>" "&amp;Worksheet!U269</f>
        <v xml:space="preserve"> </v>
      </c>
      <c r="H124" s="1009"/>
      <c r="I124" s="1009"/>
      <c r="J124" s="1003"/>
      <c r="K124" s="1003"/>
      <c r="L124" s="1003" t="str">
        <f t="shared" si="31"/>
        <v/>
      </c>
      <c r="M124" s="1004">
        <f>IF(ROW()&lt;MAX($L$80:$L$136),"",IF(ROW()=MAX($L$80:$L$136),"SFC",MID(C124,5,2)*10+MROUND(Worksheet!$Z$2/100,10)))</f>
        <v>400</v>
      </c>
      <c r="N124" s="1005"/>
      <c r="O124" s="1006" t="str">
        <f t="shared" si="32"/>
        <v>290</v>
      </c>
      <c r="P124" s="1007" t="str">
        <f t="shared" si="33"/>
        <v>35</v>
      </c>
      <c r="Q124" s="1007"/>
      <c r="R124" s="1007" t="str">
        <f t="shared" si="34"/>
        <v>-54</v>
      </c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329"/>
      <c r="AV124" s="332"/>
      <c r="AW124" s="331"/>
      <c r="AX124" s="330"/>
      <c r="AY124" s="106"/>
      <c r="AZ124" s="106"/>
      <c r="BA124" s="106"/>
      <c r="BB124" s="106"/>
      <c r="BC124" s="106"/>
      <c r="BD124" s="106"/>
      <c r="BE124" s="106"/>
      <c r="BF124" s="106"/>
    </row>
    <row r="125" spans="3:58">
      <c r="C125" s="127" t="str">
        <f>Worksheet!Q270</f>
        <v xml:space="preserve">    40 ( 197)    292      38        -56       40.69      +2016     267       20</v>
      </c>
      <c r="D125" s="127" t="str">
        <f>" "&amp;Worksheet!R270</f>
        <v xml:space="preserve"> </v>
      </c>
      <c r="E125" s="127" t="str">
        <f>" "&amp;Worksheet!S270</f>
        <v xml:space="preserve"> </v>
      </c>
      <c r="F125" s="127" t="str">
        <f>" "&amp;Worksheet!T270</f>
        <v xml:space="preserve"> </v>
      </c>
      <c r="G125" s="127" t="str">
        <f>" "&amp;Worksheet!U270</f>
        <v xml:space="preserve"> </v>
      </c>
      <c r="H125" s="108"/>
      <c r="I125" s="108"/>
      <c r="J125" s="106"/>
      <c r="K125" s="106"/>
      <c r="L125" s="106" t="str">
        <f t="shared" si="31"/>
        <v/>
      </c>
      <c r="M125" s="1000">
        <f>IF(ROW()&lt;MAX($L$80:$L$136),"",IF(ROW()=MAX($L$80:$L$136),"SFC",MID(C125,5,2)*10+MROUND(Worksheet!$Z$2/100,10)))</f>
        <v>410</v>
      </c>
      <c r="N125" s="329"/>
      <c r="O125" s="332" t="str">
        <f t="shared" si="32"/>
        <v>290</v>
      </c>
      <c r="P125" s="112" t="str">
        <f t="shared" si="33"/>
        <v>40</v>
      </c>
      <c r="Q125" s="112"/>
      <c r="R125" s="112" t="str">
        <f t="shared" si="34"/>
        <v>-56</v>
      </c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329"/>
      <c r="AV125" s="332"/>
      <c r="AW125" s="331"/>
      <c r="AX125" s="330"/>
      <c r="AY125" s="106"/>
      <c r="AZ125" s="106"/>
      <c r="BA125" s="106"/>
      <c r="BB125" s="106"/>
      <c r="BC125" s="106"/>
      <c r="BD125" s="106"/>
      <c r="BE125" s="106"/>
      <c r="BF125" s="106"/>
    </row>
    <row r="126" spans="3:58">
      <c r="C126" s="1010">
        <f>Worksheet!Q271</f>
        <v>0</v>
      </c>
      <c r="D126" s="1010" t="str">
        <f>" "&amp;Worksheet!R271</f>
        <v xml:space="preserve"> </v>
      </c>
      <c r="E126" s="1010" t="str">
        <f>" "&amp;Worksheet!S271</f>
        <v xml:space="preserve"> </v>
      </c>
      <c r="F126" s="1010" t="str">
        <f>" "&amp;Worksheet!T271</f>
        <v xml:space="preserve"> </v>
      </c>
      <c r="G126" s="1010" t="str">
        <f>" "&amp;Worksheet!U271</f>
        <v xml:space="preserve"> </v>
      </c>
      <c r="H126" s="1009"/>
      <c r="I126" s="1009"/>
      <c r="J126" s="1003"/>
      <c r="K126" s="1003"/>
      <c r="L126" s="1003" t="str">
        <f t="shared" si="31"/>
        <v/>
      </c>
      <c r="M126" s="1004" t="e">
        <f>IF(ROW()&lt;MAX($L$80:$L$136),"",IF(ROW()=MAX($L$80:$L$136),"SFC",MID(C126,5,2)*10+MROUND(Worksheet!$Z$2/100,10)))</f>
        <v>#VALUE!</v>
      </c>
      <c r="N126" s="1005"/>
      <c r="O126" s="1006" t="e">
        <f t="shared" si="32"/>
        <v>#VALUE!</v>
      </c>
      <c r="P126" s="1007" t="e">
        <f t="shared" si="33"/>
        <v>#VALUE!</v>
      </c>
      <c r="Q126" s="1007"/>
      <c r="R126" s="1007" t="e">
        <f t="shared" si="34"/>
        <v>#VALUE!</v>
      </c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329"/>
      <c r="AV126" s="332"/>
      <c r="AW126" s="331"/>
      <c r="AX126" s="330"/>
      <c r="AY126" s="106"/>
      <c r="AZ126" s="106"/>
      <c r="BA126" s="106"/>
      <c r="BB126" s="106"/>
      <c r="BC126" s="106"/>
      <c r="BD126" s="106"/>
      <c r="BE126" s="106"/>
      <c r="BF126" s="106"/>
    </row>
    <row r="127" spans="3:58">
      <c r="C127" s="127" t="str">
        <f>Worksheet!Q272</f>
        <v>UNCLASSIFIED</v>
      </c>
      <c r="D127" s="127" t="str">
        <f>" "&amp;Worksheet!R272</f>
        <v xml:space="preserve"> </v>
      </c>
      <c r="E127" s="127" t="str">
        <f>" "&amp;Worksheet!S272</f>
        <v xml:space="preserve"> </v>
      </c>
      <c r="F127" s="127" t="str">
        <f>" "&amp;Worksheet!T272</f>
        <v xml:space="preserve"> </v>
      </c>
      <c r="G127" s="127" t="str">
        <f>" "&amp;Worksheet!U272</f>
        <v xml:space="preserve"> </v>
      </c>
      <c r="H127" s="108"/>
      <c r="I127" s="108"/>
      <c r="J127" s="106"/>
      <c r="K127" s="106"/>
      <c r="L127" s="106" t="str">
        <f t="shared" si="31"/>
        <v/>
      </c>
      <c r="M127" s="1000" t="e">
        <f>IF(ROW()&lt;MAX($L$80:$L$136),"",IF(ROW()=MAX($L$80:$L$136),"SFC",MID(C127,5,2)*10+MROUND(Worksheet!$Z$2/100,10)))</f>
        <v>#VALUE!</v>
      </c>
      <c r="N127" s="329"/>
      <c r="O127" s="332" t="e">
        <f t="shared" si="32"/>
        <v>#VALUE!</v>
      </c>
      <c r="P127" s="112" t="e">
        <f t="shared" si="33"/>
        <v>#VALUE!</v>
      </c>
      <c r="Q127" s="112"/>
      <c r="R127" s="112" t="e">
        <f t="shared" si="34"/>
        <v>#VALUE!</v>
      </c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329"/>
      <c r="AV127" s="332"/>
      <c r="AW127" s="331"/>
      <c r="AX127" s="330"/>
      <c r="AY127" s="106"/>
      <c r="AZ127" s="106"/>
      <c r="BA127" s="106"/>
      <c r="BB127" s="106"/>
      <c r="BC127" s="106"/>
      <c r="BD127" s="106"/>
      <c r="BE127" s="106"/>
      <c r="BF127" s="106"/>
    </row>
    <row r="128" spans="3:58">
      <c r="C128" s="1010">
        <f>Worksheet!Q273</f>
        <v>0</v>
      </c>
      <c r="D128" s="1010" t="str">
        <f>" "&amp;Worksheet!R273</f>
        <v xml:space="preserve"> </v>
      </c>
      <c r="E128" s="1010" t="str">
        <f>" "&amp;Worksheet!S273</f>
        <v xml:space="preserve"> </v>
      </c>
      <c r="F128" s="1010" t="str">
        <f>" "&amp;Worksheet!T273</f>
        <v xml:space="preserve"> </v>
      </c>
      <c r="G128" s="1010" t="str">
        <f>" "&amp;Worksheet!U273</f>
        <v xml:space="preserve"> </v>
      </c>
      <c r="H128" s="1009"/>
      <c r="I128" s="1009"/>
      <c r="J128" s="1003"/>
      <c r="K128" s="1003"/>
      <c r="L128" s="1003" t="str">
        <f t="shared" si="31"/>
        <v/>
      </c>
      <c r="M128" s="1004" t="e">
        <f>IF(ROW()&lt;MAX($L$80:$L$136),"",IF(ROW()=MAX($L$80:$L$136),"SFC",MID(C128,5,2)*10+MROUND(Worksheet!$Z$2/100,10)))</f>
        <v>#VALUE!</v>
      </c>
      <c r="N128" s="1005"/>
      <c r="O128" s="1006" t="e">
        <f t="shared" si="32"/>
        <v>#VALUE!</v>
      </c>
      <c r="P128" s="1007" t="e">
        <f t="shared" si="33"/>
        <v>#VALUE!</v>
      </c>
      <c r="Q128" s="1007"/>
      <c r="R128" s="1007" t="e">
        <f t="shared" si="34"/>
        <v>#VALUE!</v>
      </c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329"/>
      <c r="AV128" s="332"/>
      <c r="AW128" s="331"/>
      <c r="AX128" s="330"/>
      <c r="AY128" s="106"/>
      <c r="AZ128" s="106"/>
      <c r="BA128" s="106"/>
      <c r="BB128" s="106"/>
      <c r="BC128" s="106"/>
      <c r="BD128" s="106"/>
      <c r="BE128" s="106"/>
      <c r="BF128" s="106"/>
    </row>
    <row r="129" spans="1:58">
      <c r="C129" s="127">
        <f>Worksheet!Q274</f>
        <v>0</v>
      </c>
      <c r="D129" s="127" t="str">
        <f>" "&amp;Worksheet!R274</f>
        <v xml:space="preserve"> </v>
      </c>
      <c r="E129" s="127" t="str">
        <f>" "&amp;Worksheet!S274</f>
        <v xml:space="preserve"> </v>
      </c>
      <c r="F129" s="127" t="str">
        <f>" "&amp;Worksheet!T274</f>
        <v xml:space="preserve"> </v>
      </c>
      <c r="G129" s="127" t="str">
        <f>" "&amp;Worksheet!U274</f>
        <v xml:space="preserve"> </v>
      </c>
      <c r="H129" s="108"/>
      <c r="I129" s="108"/>
      <c r="J129" s="106"/>
      <c r="K129" s="106"/>
      <c r="L129" s="106" t="str">
        <f t="shared" si="31"/>
        <v/>
      </c>
      <c r="M129" s="1000" t="e">
        <f>IF(ROW()&lt;MAX($L$80:$L$136),"",IF(ROW()=MAX($L$80:$L$136),"SFC",MID(C129,5,2)*10+MROUND(Worksheet!$Z$2/100,10)))</f>
        <v>#VALUE!</v>
      </c>
      <c r="N129" s="329"/>
      <c r="O129" s="332" t="e">
        <f t="shared" si="32"/>
        <v>#VALUE!</v>
      </c>
      <c r="P129" s="112" t="e">
        <f t="shared" si="33"/>
        <v>#VALUE!</v>
      </c>
      <c r="Q129" s="112"/>
      <c r="R129" s="112" t="e">
        <f t="shared" si="34"/>
        <v>#VALUE!</v>
      </c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329"/>
      <c r="AV129" s="332"/>
      <c r="AW129" s="331"/>
      <c r="AX129" s="330"/>
      <c r="AY129" s="106"/>
      <c r="AZ129" s="106"/>
      <c r="BA129" s="106"/>
      <c r="BB129" s="106"/>
      <c r="BC129" s="106"/>
      <c r="BD129" s="106"/>
      <c r="BE129" s="106"/>
      <c r="BF129" s="106"/>
    </row>
    <row r="130" spans="1:58">
      <c r="C130" s="1010" t="str">
        <f>Worksheet!Q275</f>
        <v>UNCLASSIFIED</v>
      </c>
      <c r="D130" s="1010" t="str">
        <f>" "&amp;Worksheet!R275</f>
        <v xml:space="preserve"> </v>
      </c>
      <c r="E130" s="1010" t="str">
        <f>" "&amp;Worksheet!S275</f>
        <v xml:space="preserve"> </v>
      </c>
      <c r="F130" s="1010" t="str">
        <f>" "&amp;Worksheet!T275</f>
        <v xml:space="preserve"> </v>
      </c>
      <c r="G130" s="1010" t="str">
        <f>" "&amp;Worksheet!U275</f>
        <v xml:space="preserve"> </v>
      </c>
      <c r="H130" s="1009"/>
      <c r="I130" s="1009"/>
      <c r="J130" s="1003"/>
      <c r="K130" s="1003"/>
      <c r="L130" s="1003" t="str">
        <f t="shared" si="31"/>
        <v/>
      </c>
      <c r="M130" s="1004" t="e">
        <f>IF(ROW()&lt;MAX($L$80:$L$136),"",IF(ROW()=MAX($L$80:$L$136),"SFC",MID(C130,5,2)*10+MROUND(Worksheet!$Z$2/100,10)))</f>
        <v>#VALUE!</v>
      </c>
      <c r="N130" s="1005"/>
      <c r="O130" s="1006" t="e">
        <f t="shared" si="32"/>
        <v>#VALUE!</v>
      </c>
      <c r="P130" s="1007" t="e">
        <f t="shared" si="33"/>
        <v>#VALUE!</v>
      </c>
      <c r="Q130" s="1007"/>
      <c r="R130" s="1007" t="e">
        <f t="shared" si="34"/>
        <v>#VALUE!</v>
      </c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329"/>
      <c r="AV130" s="332"/>
      <c r="AW130" s="331"/>
      <c r="AX130" s="330"/>
      <c r="AY130" s="106"/>
      <c r="AZ130" s="106"/>
      <c r="BA130" s="106"/>
      <c r="BB130" s="106"/>
      <c r="BC130" s="106"/>
      <c r="BD130" s="106"/>
      <c r="BE130" s="106"/>
      <c r="BF130" s="106"/>
    </row>
    <row r="131" spans="1:58">
      <c r="C131" s="127">
        <f>Worksheet!Q276</f>
        <v>0</v>
      </c>
      <c r="D131" s="127" t="str">
        <f>" "&amp;Worksheet!R276</f>
        <v xml:space="preserve"> </v>
      </c>
      <c r="E131" s="127" t="str">
        <f>" "&amp;Worksheet!S276</f>
        <v xml:space="preserve"> </v>
      </c>
      <c r="F131" s="127" t="str">
        <f>" "&amp;Worksheet!T276</f>
        <v xml:space="preserve"> </v>
      </c>
      <c r="G131" s="127" t="str">
        <f>" "&amp;Worksheet!U276</f>
        <v xml:space="preserve"> </v>
      </c>
      <c r="H131" s="108"/>
      <c r="I131" s="108"/>
      <c r="J131" s="106"/>
      <c r="K131" s="106"/>
      <c r="L131" s="106" t="str">
        <f t="shared" si="31"/>
        <v/>
      </c>
      <c r="M131" s="1000" t="e">
        <f>IF(ROW()&lt;MAX($L$80:$L$136),"",IF(ROW()=MAX($L$80:$L$136),"SFC",MID(C131,5,2)*10+MROUND(Worksheet!$Z$2/100,10)))</f>
        <v>#VALUE!</v>
      </c>
      <c r="N131" s="329"/>
      <c r="O131" s="332" t="e">
        <f t="shared" si="32"/>
        <v>#VALUE!</v>
      </c>
      <c r="P131" s="112" t="e">
        <f t="shared" si="33"/>
        <v>#VALUE!</v>
      </c>
      <c r="Q131" s="112"/>
      <c r="R131" s="112" t="e">
        <f t="shared" si="34"/>
        <v>#VALUE!</v>
      </c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329"/>
      <c r="AV131" s="332"/>
      <c r="AW131" s="331"/>
      <c r="AX131" s="330"/>
      <c r="AY131" s="106"/>
      <c r="AZ131" s="106"/>
      <c r="BA131" s="106"/>
      <c r="BB131" s="106"/>
      <c r="BC131" s="106"/>
      <c r="BD131" s="106"/>
      <c r="BE131" s="106"/>
      <c r="BF131" s="106"/>
    </row>
    <row r="132" spans="1:58">
      <c r="C132" s="1010">
        <f>Worksheet!Q277</f>
        <v>0</v>
      </c>
      <c r="D132" s="1010" t="str">
        <f>" "&amp;Worksheet!R277</f>
        <v xml:space="preserve"> </v>
      </c>
      <c r="E132" s="1010" t="str">
        <f>" "&amp;Worksheet!S277</f>
        <v xml:space="preserve"> </v>
      </c>
      <c r="F132" s="1010" t="str">
        <f>" "&amp;Worksheet!T277</f>
        <v xml:space="preserve"> </v>
      </c>
      <c r="G132" s="1010" t="str">
        <f>" "&amp;Worksheet!U277</f>
        <v xml:space="preserve"> </v>
      </c>
      <c r="H132" s="1009"/>
      <c r="I132" s="1009"/>
      <c r="J132" s="1003"/>
      <c r="K132" s="1003"/>
      <c r="L132" s="1003" t="str">
        <f t="shared" si="31"/>
        <v/>
      </c>
      <c r="M132" s="1004" t="e">
        <f>IF(ROW()&lt;MAX($L$80:$L$136),"",IF(ROW()=MAX($L$80:$L$136),"SFC",MID(C132,5,2)*10+MROUND(Worksheet!$Z$2/100,10)))</f>
        <v>#VALUE!</v>
      </c>
      <c r="N132" s="1005"/>
      <c r="O132" s="1006" t="e">
        <f t="shared" si="32"/>
        <v>#VALUE!</v>
      </c>
      <c r="P132" s="1007" t="e">
        <f t="shared" si="33"/>
        <v>#VALUE!</v>
      </c>
      <c r="Q132" s="1007"/>
      <c r="R132" s="1007" t="e">
        <f t="shared" si="34"/>
        <v>#VALUE!</v>
      </c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329"/>
      <c r="AV132" s="332"/>
      <c r="AW132" s="331"/>
      <c r="AX132" s="330"/>
      <c r="AY132" s="106"/>
      <c r="AZ132" s="106"/>
      <c r="BA132" s="106"/>
      <c r="BB132" s="106"/>
      <c r="BC132" s="106"/>
      <c r="BD132" s="106"/>
      <c r="BE132" s="106"/>
      <c r="BF132" s="106"/>
    </row>
    <row r="133" spans="1:58">
      <c r="C133" s="333">
        <f>Worksheet!Q278</f>
        <v>0</v>
      </c>
      <c r="D133" s="1012"/>
      <c r="E133" s="1012"/>
      <c r="F133" s="1012"/>
      <c r="G133" s="1012"/>
      <c r="H133" s="108"/>
      <c r="I133" s="108"/>
      <c r="J133" s="106"/>
      <c r="K133" s="106"/>
      <c r="L133" s="106" t="str">
        <f t="shared" si="31"/>
        <v/>
      </c>
      <c r="M133" s="1000" t="e">
        <f>IF(ROW()&lt;MAX($L$80:$L$136),"",IF(ROW()=MAX($L$80:$L$136),"SFC",MID(C133,5,2)*10+MROUND(Worksheet!$Z$2/100,10)))</f>
        <v>#VALUE!</v>
      </c>
      <c r="N133" s="329"/>
      <c r="O133" s="332" t="str">
        <f t="shared" si="32"/>
        <v>000</v>
      </c>
      <c r="P133" s="112" t="str">
        <f t="shared" si="33"/>
        <v>00</v>
      </c>
      <c r="Q133" s="112"/>
      <c r="R133" s="112" t="e">
        <f t="shared" si="34"/>
        <v>#VALUE!</v>
      </c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329"/>
      <c r="AV133" s="332"/>
      <c r="AW133" s="331"/>
      <c r="AX133" s="330"/>
      <c r="AY133" s="106"/>
      <c r="AZ133" s="106"/>
      <c r="BA133" s="106"/>
      <c r="BB133" s="106"/>
      <c r="BC133" s="106"/>
      <c r="BD133" s="106"/>
      <c r="BE133" s="106"/>
      <c r="BF133" s="106"/>
    </row>
    <row r="134" spans="1:58">
      <c r="C134" s="1008">
        <f>Worksheet!Q279</f>
        <v>0</v>
      </c>
      <c r="D134" s="1013"/>
      <c r="E134" s="1013"/>
      <c r="F134" s="1013"/>
      <c r="G134" s="1013"/>
      <c r="H134" s="1009"/>
      <c r="I134" s="1009"/>
      <c r="J134" s="1003"/>
      <c r="K134" s="1003"/>
      <c r="L134" s="1003" t="str">
        <f t="shared" si="31"/>
        <v/>
      </c>
      <c r="M134" s="1004" t="e">
        <f>IF(ROW()&lt;MAX($L$80:$L$136),"",IF(ROW()=MAX($L$80:$L$136),"SFC",MID(C134,5,2)*10+MROUND(Worksheet!$Z$2/100,10)))</f>
        <v>#VALUE!</v>
      </c>
      <c r="N134" s="1005"/>
      <c r="O134" s="1006" t="str">
        <f t="shared" si="32"/>
        <v>000</v>
      </c>
      <c r="P134" s="1007" t="str">
        <f t="shared" si="33"/>
        <v>00</v>
      </c>
      <c r="Q134" s="1011"/>
      <c r="R134" s="1007" t="e">
        <f t="shared" si="34"/>
        <v>#VALUE!</v>
      </c>
      <c r="AU134" s="329"/>
      <c r="AV134" s="332"/>
      <c r="AW134" s="331"/>
      <c r="AX134" s="330"/>
    </row>
    <row r="135" spans="1:58">
      <c r="C135" s="333">
        <f>Worksheet!Q280</f>
        <v>0</v>
      </c>
      <c r="D135" s="1012"/>
      <c r="E135" s="1012"/>
      <c r="F135" s="1012"/>
      <c r="G135" s="1012"/>
      <c r="H135" s="108"/>
      <c r="I135" s="108"/>
      <c r="J135" s="106"/>
      <c r="K135" s="106"/>
      <c r="L135" s="106" t="str">
        <f t="shared" si="31"/>
        <v/>
      </c>
      <c r="M135" s="1000" t="e">
        <f>IF(ROW()&lt;MAX($L$80:$L$136),"",IF(ROW()=MAX($L$80:$L$136),"SFC",MID(C135,5,2)*10+MROUND(Worksheet!$Z$2/100,10)))</f>
        <v>#VALUE!</v>
      </c>
      <c r="O135" s="332" t="str">
        <f t="shared" si="32"/>
        <v>000</v>
      </c>
      <c r="P135" s="112" t="str">
        <f t="shared" si="33"/>
        <v>00</v>
      </c>
      <c r="R135" s="112" t="e">
        <f t="shared" si="34"/>
        <v>#VALUE!</v>
      </c>
    </row>
    <row r="136" spans="1:58">
      <c r="C136" s="1008">
        <f>Worksheet!Q281</f>
        <v>0</v>
      </c>
      <c r="D136" s="1013"/>
      <c r="E136" s="1013"/>
      <c r="F136" s="1013"/>
      <c r="G136" s="1013"/>
      <c r="H136" s="1009"/>
      <c r="I136" s="1009"/>
      <c r="J136" s="1003"/>
      <c r="K136" s="1003"/>
      <c r="L136" s="1003" t="str">
        <f t="shared" si="31"/>
        <v/>
      </c>
      <c r="M136" s="1004" t="e">
        <f>IF(ROW()&lt;MAX($L$80:$L$136),"",IF(ROW()=MAX($L$80:$L$136),"SFC",MID(C136,5,2)*10+MROUND(Worksheet!$Z$2/100,10)))</f>
        <v>#VALUE!</v>
      </c>
      <c r="N136" s="1002"/>
      <c r="O136" s="1006" t="str">
        <f t="shared" si="32"/>
        <v>000</v>
      </c>
      <c r="P136" s="1007" t="str">
        <f t="shared" si="33"/>
        <v>00</v>
      </c>
      <c r="Q136" s="1002"/>
      <c r="R136" s="1007" t="e">
        <f t="shared" si="34"/>
        <v>#VALUE!</v>
      </c>
    </row>
    <row r="137" spans="1:58">
      <c r="C137" s="106"/>
      <c r="F137" s="108"/>
      <c r="J137" s="106"/>
    </row>
    <row r="138" spans="1:58">
      <c r="C138" s="106"/>
      <c r="F138" s="108"/>
    </row>
    <row r="139" spans="1:58">
      <c r="C139" s="106"/>
      <c r="F139" s="108"/>
    </row>
    <row r="140" spans="1:58">
      <c r="C140" s="106"/>
      <c r="F140" s="108"/>
    </row>
    <row r="141" spans="1:58">
      <c r="C141" s="106"/>
      <c r="F141" s="108"/>
    </row>
    <row r="142" spans="1:58" ht="11.5">
      <c r="C142" s="106"/>
      <c r="F142" s="108"/>
      <c r="K142" s="352"/>
      <c r="M142" s="1610" t="s">
        <v>2688</v>
      </c>
      <c r="N142" s="1610"/>
    </row>
    <row r="143" spans="1:58" ht="10.5">
      <c r="A143" s="347"/>
      <c r="B143" s="350">
        <f>Worksheet!AC218</f>
        <v>200</v>
      </c>
      <c r="C143" s="348" t="str">
        <f>IF(Worksheet!AF218="","",Worksheet!AF218)</f>
        <v>28020</v>
      </c>
      <c r="D143" s="348">
        <f>IF(Worksheet!AH218="","",Worksheet!AH218)</f>
        <v>-18</v>
      </c>
      <c r="F143" s="351">
        <f>B156</f>
        <v>20</v>
      </c>
      <c r="G143" s="106" t="str">
        <f>IF(C156&lt;&gt;"",C156,"")</f>
        <v>27015</v>
      </c>
      <c r="H143" s="332">
        <f>IF(G143="","",VALUE(LEFT(G143,3)))</f>
        <v>270</v>
      </c>
      <c r="I143" s="112">
        <f>IF(G143="","",VALUE(RIGHT(G143,3)))</f>
        <v>15</v>
      </c>
      <c r="J143" s="330">
        <f>IF(D156&lt;&gt;"",D156,"")</f>
        <v>28</v>
      </c>
      <c r="K143" s="353">
        <f>F143</f>
        <v>20</v>
      </c>
      <c r="L143" s="329">
        <f>IF(H143&lt;&gt;"",H143,IF(M143="N",IF(MIN(L144,L145)=L144,L144-((MAX(L144,L145)-MIN(L144,L145))*((K144-K143)/(K145-K144))),L144+((MAX(L144,L145)-MIN(L144,L145))*((K144-K143)/(K145-K144)))),IF(MAX(L144,L145)=L144,L144-(360-(MAX(L144,L145)-MIN(L144,L145)))*((K144-K143)/(K145-K144)),L144+(360-(MAX(L144,L145)-MIN(L144,L145)))*((K144-K143)/(K145-K144)))))</f>
        <v>270</v>
      </c>
      <c r="M143" s="351" t="str">
        <f>IF(L144="","",IF((MAX(L144:L145)-MIN(L144:L145))&lt;190,"N","Y"))</f>
        <v/>
      </c>
      <c r="N143" s="351"/>
      <c r="O143" s="332">
        <f>IF(L143&gt;360,MROUND(L143-360,10),IF(L143&lt;0,MROUND(360+L143,10),IF(MROUND(L143,10)=0,360,MROUND(L143,10))))</f>
        <v>270</v>
      </c>
      <c r="P143" s="331">
        <f>IF(I143&lt;&gt;"",I143,IF(MIN(P144,P145)=P144,P144-((MAX(P144,P145)-MIN(P144,P145))*((K144-K143)/(K145-K144))),P144+((MAX(P144,P145)-MIN(P144,P145))*((K144-K143)/(K145-K144)))))</f>
        <v>15</v>
      </c>
      <c r="Q143" s="331"/>
      <c r="R143" s="331">
        <f>IF(P143&lt;3,5,MROUND(P143,5))</f>
        <v>15</v>
      </c>
      <c r="S143" s="355">
        <f>IF(J143&lt;&gt;"",J143,IF(MIN(S144,S145)=S144,S144-((MAX(S144,S145)-MIN(S144,S145))*((K144-K143)/(K145-K144))),S144+((MAX(S144,S145)-MIN(S144,S145))*((K144-K143)/(K145-K144)))))</f>
        <v>28</v>
      </c>
      <c r="T143" s="329"/>
      <c r="U143" s="329" t="str">
        <f>CONCATENATE(TEXT(O143,"000"),TEXT(R143,"#00"))</f>
        <v>27015</v>
      </c>
      <c r="V143" s="106"/>
      <c r="W143" s="106"/>
      <c r="Y143" s="329"/>
    </row>
    <row r="144" spans="1:58">
      <c r="A144" s="347"/>
      <c r="B144" s="350">
        <f>Worksheet!AC219</f>
        <v>180</v>
      </c>
      <c r="C144" s="348" t="str">
        <f>IF(Worksheet!AF219="","",Worksheet!AF219)</f>
        <v/>
      </c>
      <c r="D144" s="348" t="str">
        <f>IF(Worksheet!AH219="","",Worksheet!AH219)</f>
        <v/>
      </c>
      <c r="F144" s="351">
        <f>B155</f>
        <v>30</v>
      </c>
      <c r="G144" s="106" t="str">
        <f>IF(C155&lt;&gt;"",C155,"")</f>
        <v/>
      </c>
      <c r="H144" s="332" t="str">
        <f>IF(G144="","",VALUE(LEFT(G144,3)))</f>
        <v/>
      </c>
      <c r="I144" s="331" t="str">
        <f t="shared" ref="I144:I156" si="35">IF(G144="","",VALUE(RIGHT(G144,3)))</f>
        <v/>
      </c>
      <c r="J144" s="330" t="str">
        <f>IF(D155&lt;&gt;"",D155,"")</f>
        <v/>
      </c>
      <c r="K144" s="349" t="str">
        <f>IF(G143&lt;&gt;"","",IF(G144&lt;&gt;"",F144,IF(G145&lt;&gt;"",F145,IF(G146&lt;&gt;"",F146,"NA"))))</f>
        <v/>
      </c>
      <c r="L144" s="329" t="str">
        <f>IF(K144="","",LOOKUP(K144,F143:F156,H143:H156))</f>
        <v/>
      </c>
      <c r="M144" s="351"/>
      <c r="N144" s="351"/>
      <c r="O144" s="332"/>
      <c r="P144" s="331" t="str">
        <f>IF(K144="","",LOOKUP(K144,F143:F156,I143:I156))</f>
        <v/>
      </c>
      <c r="Q144" s="331"/>
      <c r="R144" s="331"/>
      <c r="S144" s="355" t="str">
        <f>IF(K144="","",LOOKUP(K144,F143:F156,J143:J156))</f>
        <v/>
      </c>
      <c r="T144" s="329"/>
      <c r="U144" s="329"/>
      <c r="V144" s="106"/>
      <c r="W144" s="106"/>
    </row>
    <row r="145" spans="1:25">
      <c r="A145" s="347"/>
      <c r="B145" s="350">
        <f>Worksheet!AC220</f>
        <v>150</v>
      </c>
      <c r="C145" s="348" t="str">
        <f>IF(Worksheet!AF220="","",Worksheet!AF220)</f>
        <v>32020</v>
      </c>
      <c r="D145" s="348">
        <f>IF(Worksheet!AH220="","",Worksheet!AH220)</f>
        <v>-12</v>
      </c>
      <c r="F145" s="351">
        <f>B154</f>
        <v>40</v>
      </c>
      <c r="G145" s="106" t="str">
        <f>IF(C154&lt;&gt;"",C154,"")</f>
        <v>28015</v>
      </c>
      <c r="H145" s="332">
        <f t="shared" ref="H145:H156" si="36">IF(G145="","",VALUE(LEFT(G145,3)))</f>
        <v>280</v>
      </c>
      <c r="I145" s="331">
        <f t="shared" si="35"/>
        <v>15</v>
      </c>
      <c r="J145" s="330">
        <f>IF(D154&lt;&gt;"",D154,"")</f>
        <v>25</v>
      </c>
      <c r="K145" s="349" t="str">
        <f>IF(G143&lt;&gt;"","",IF(G145&lt;&gt;"",F145,IF(G146&lt;&gt;"",F146,IF(G147&lt;&gt;"",F147,IF(G148&lt;&gt;"",F148,IF(G149&lt;&gt;"",F149,IF(G150&lt;&gt;"",F150,"NA")))))))</f>
        <v/>
      </c>
      <c r="L145" s="329" t="str">
        <f>IF(K145="","",LOOKUP(K145,F143:F156,H143:H156))</f>
        <v/>
      </c>
      <c r="M145" s="351"/>
      <c r="N145" s="351"/>
      <c r="O145" s="332"/>
      <c r="P145" s="331" t="str">
        <f>IF(K145="","",LOOKUP(K145,F143:F156,I143:I156))</f>
        <v/>
      </c>
      <c r="Q145" s="331"/>
      <c r="R145" s="331"/>
      <c r="S145" s="355" t="str">
        <f>IF(K145="","",LOOKUP(K145,F143:F156,J143:J156))</f>
        <v/>
      </c>
      <c r="T145" s="329"/>
      <c r="U145" s="329"/>
      <c r="V145" s="106"/>
      <c r="W145" s="106"/>
    </row>
    <row r="146" spans="1:25">
      <c r="A146" s="347"/>
      <c r="B146" s="350">
        <f>Worksheet!AC221</f>
        <v>140</v>
      </c>
      <c r="C146" s="348" t="str">
        <f>IF(Worksheet!AF221="","",Worksheet!AF221)</f>
        <v/>
      </c>
      <c r="D146" s="348" t="str">
        <f>IF(Worksheet!AH221="","",Worksheet!AH221)</f>
        <v/>
      </c>
      <c r="F146" s="351">
        <f>B153</f>
        <v>50</v>
      </c>
      <c r="G146" s="106" t="str">
        <f>IF(C153&lt;&gt;"",C153,"")</f>
        <v/>
      </c>
      <c r="H146" s="332" t="str">
        <f t="shared" si="36"/>
        <v/>
      </c>
      <c r="I146" s="331" t="str">
        <f t="shared" si="35"/>
        <v/>
      </c>
      <c r="J146" s="330" t="str">
        <f>IF(D153&lt;&gt;"",D153,"")</f>
        <v/>
      </c>
      <c r="K146" s="349">
        <f>IF(G144&lt;&gt;"","",IF(G143&lt;&gt;"",F143,"NA"))</f>
        <v>20</v>
      </c>
      <c r="L146" s="329">
        <f>IF(K146="","",LOOKUP(K146,F143:F156,H143:H156))</f>
        <v>270</v>
      </c>
      <c r="M146" s="351"/>
      <c r="N146" s="351"/>
      <c r="O146" s="332"/>
      <c r="P146" s="331">
        <f>IF(K146="","",LOOKUP(K146,F143:F156,I143:I156))</f>
        <v>15</v>
      </c>
      <c r="Q146" s="331"/>
      <c r="R146" s="331"/>
      <c r="S146" s="355">
        <f>IF(K146="","",LOOKUP(K146,F143:F156,J143:J156))</f>
        <v>28</v>
      </c>
      <c r="T146" s="329"/>
      <c r="U146" s="329"/>
      <c r="V146" s="106"/>
      <c r="W146" s="106"/>
      <c r="X146" s="329"/>
    </row>
    <row r="147" spans="1:25" ht="10.5">
      <c r="A147" s="347"/>
      <c r="B147" s="350">
        <f>Worksheet!AC222</f>
        <v>120</v>
      </c>
      <c r="C147" s="348" t="str">
        <f>IF(Worksheet!AF222="","",Worksheet!AF222)</f>
        <v/>
      </c>
      <c r="D147" s="348" t="str">
        <f>IF(Worksheet!AH222="","",Worksheet!AH222)</f>
        <v/>
      </c>
      <c r="F147" s="351">
        <f>B152</f>
        <v>60</v>
      </c>
      <c r="G147" s="106" t="str">
        <f>IF(C152&lt;&gt;"",C152,"")</f>
        <v>29020</v>
      </c>
      <c r="H147" s="332">
        <f t="shared" si="36"/>
        <v>290</v>
      </c>
      <c r="I147" s="331">
        <f t="shared" si="35"/>
        <v>20</v>
      </c>
      <c r="J147" s="330">
        <f>IF(D152&lt;&gt;"",D152,"")</f>
        <v>22</v>
      </c>
      <c r="K147" s="353">
        <f>F144</f>
        <v>30</v>
      </c>
      <c r="L147" s="329">
        <f>IF(H144&lt;&gt;"",H144,IF(M147="N",IF(MIN(L146,L148)=L146,L146+((MAX(L146,L148)-MIN(L146,L148))*((K147-K146)/(K148-K146))),L146-((MAX(L146,L148)-MIN(L146,L148))*((K147-K146)/(K148-K146)))),IF(MAX(L146,L148)=L146,L146+(360-(MAX(L146,L148)-MIN(L146,L148)))*((K147-K146)/(K148-K146)),L146-(360-(MAX(L146,L148)-MIN(L146,L148)))*((K147-K146)/(K148-K146)))))</f>
        <v>275</v>
      </c>
      <c r="M147" s="351" t="str">
        <f>IF(L146="","",IF((MAX(L146,L148)-MIN(L146,L148))&lt;190,"N","Y"))</f>
        <v>N</v>
      </c>
      <c r="N147" s="351"/>
      <c r="O147" s="332">
        <f>IF(L147&gt;360,MROUND(L147-360,10),IF(L147&lt;0,MROUND(360+L147,10),IF(MROUND(L147,10)=0,360,MROUND(L147,10))))</f>
        <v>280</v>
      </c>
      <c r="P147" s="331">
        <f>IF(I144&lt;&gt;"",I144,IF(MIN(P146,P148)=P146,P146+((MAX(P146,P148)-MIN(P146,P148))*((K147-K146)/(K148-K146))),P146-((MAX(P146,P148)-MIN(P146,P148))*((K147-K146)/(K148-K146)))))</f>
        <v>15</v>
      </c>
      <c r="Q147" s="331"/>
      <c r="R147" s="331">
        <f>IF(P147&lt;3,5,MROUND(P147,5))</f>
        <v>15</v>
      </c>
      <c r="S147" s="355">
        <f>IF(J144&lt;&gt;"",J144,IF(MIN(S146,S148)=S146,S146+((MAX(S146,S148)-MIN(S146,S148))*((K147-K146)/(K148-K146))),S146-((MAX(S146,S148)-MIN(S146,S148))*((K147-K146)/(K148-K146)))))</f>
        <v>26.5</v>
      </c>
      <c r="T147" s="329"/>
      <c r="U147" s="329" t="str">
        <f>CONCATENATE(TEXT(O147,"000"),TEXT(R147,"#00"))</f>
        <v>28015</v>
      </c>
      <c r="V147" s="106"/>
      <c r="W147" s="106"/>
    </row>
    <row r="148" spans="1:25">
      <c r="A148" s="347"/>
      <c r="B148" s="350">
        <f>Worksheet!AC223</f>
        <v>100</v>
      </c>
      <c r="C148" s="348" t="str">
        <f>IF(Worksheet!AF223="","",Worksheet!AF223)</f>
        <v>31015</v>
      </c>
      <c r="D148" s="348">
        <f>IF(Worksheet!AH223="","",Worksheet!AH223)</f>
        <v>6</v>
      </c>
      <c r="F148" s="351">
        <f>B151</f>
        <v>70</v>
      </c>
      <c r="G148" s="106" t="str">
        <f>IF(C151&lt;&gt;"",C151,"")</f>
        <v/>
      </c>
      <c r="H148" s="332" t="str">
        <f t="shared" si="36"/>
        <v/>
      </c>
      <c r="I148" s="331" t="str">
        <f t="shared" si="35"/>
        <v/>
      </c>
      <c r="J148" s="330" t="str">
        <f>IF(D151&lt;&gt;"",D151,"")</f>
        <v/>
      </c>
      <c r="K148" s="349">
        <f>IF(G144&lt;&gt;"","",IF(G145&lt;&gt;"",F145,IF(G146&lt;&gt;"",F146,IF(G147&lt;&gt;"",F147,"NA"))))</f>
        <v>40</v>
      </c>
      <c r="L148" s="329">
        <f>IF(K148="","",LOOKUP(K148,F143:F156,H143:H156))</f>
        <v>280</v>
      </c>
      <c r="M148" s="351"/>
      <c r="N148" s="351"/>
      <c r="O148" s="332"/>
      <c r="P148" s="331">
        <f>IF(K148="","",LOOKUP(K148,F143:F156,I143:I156))</f>
        <v>15</v>
      </c>
      <c r="Q148" s="331"/>
      <c r="R148" s="331"/>
      <c r="S148" s="355">
        <f>IF(K148="","",LOOKUP(K148,F143:F156,J143:J156))</f>
        <v>25</v>
      </c>
      <c r="T148" s="329"/>
      <c r="U148" s="329"/>
      <c r="V148" s="106"/>
      <c r="W148" s="106"/>
    </row>
    <row r="149" spans="1:25">
      <c r="A149" s="347"/>
      <c r="B149" s="350">
        <f>Worksheet!AC224</f>
        <v>90</v>
      </c>
      <c r="C149" s="348" t="str">
        <f>IF(Worksheet!AF224="","",Worksheet!AF224)</f>
        <v/>
      </c>
      <c r="D149" s="348" t="str">
        <f>IF(Worksheet!AH224="","",Worksheet!AH224)</f>
        <v/>
      </c>
      <c r="F149" s="351">
        <f>B150</f>
        <v>80</v>
      </c>
      <c r="G149" s="106" t="str">
        <f>IF(C150&lt;&gt;"",C150,"")</f>
        <v>30015</v>
      </c>
      <c r="H149" s="332">
        <f t="shared" si="36"/>
        <v>300</v>
      </c>
      <c r="I149" s="331">
        <f t="shared" si="35"/>
        <v>15</v>
      </c>
      <c r="J149" s="330">
        <f>IF(D150&lt;&gt;"",D150,"")</f>
        <v>13</v>
      </c>
      <c r="K149" s="349" t="str">
        <f>IF(G145&lt;&gt;"","",IF(G144&lt;&gt;"",F144,IF(G143&lt;&gt;"",F143,"NA")))</f>
        <v/>
      </c>
      <c r="L149" s="329" t="str">
        <f>IF(K149="","",LOOKUP(K149,F143:F156,H143:H156))</f>
        <v/>
      </c>
      <c r="M149" s="351"/>
      <c r="N149" s="351"/>
      <c r="O149" s="332"/>
      <c r="P149" s="331" t="str">
        <f>IF(K149="","",LOOKUP(K149,F143:F156,I143:I156))</f>
        <v/>
      </c>
      <c r="Q149" s="331"/>
      <c r="R149" s="331"/>
      <c r="S149" s="355" t="str">
        <f>IF(K149="","",LOOKUP(K149,F143:F156,J143:J156))</f>
        <v/>
      </c>
      <c r="T149" s="329"/>
      <c r="U149" s="329"/>
      <c r="V149" s="106"/>
      <c r="W149" s="106"/>
    </row>
    <row r="150" spans="1:25" ht="10.5">
      <c r="A150" s="347"/>
      <c r="B150" s="350">
        <f>Worksheet!AC225</f>
        <v>80</v>
      </c>
      <c r="C150" s="348" t="str">
        <f>IF(Worksheet!AF225="","",Worksheet!AF225)</f>
        <v>30015</v>
      </c>
      <c r="D150" s="348">
        <f>IF(Worksheet!AH225="","",Worksheet!AH225)</f>
        <v>13</v>
      </c>
      <c r="F150" s="351">
        <f>B149</f>
        <v>90</v>
      </c>
      <c r="G150" s="106" t="str">
        <f>IF(C149&lt;&gt;"",C149,"")</f>
        <v/>
      </c>
      <c r="H150" s="332" t="str">
        <f t="shared" si="36"/>
        <v/>
      </c>
      <c r="I150" s="331" t="str">
        <f t="shared" si="35"/>
        <v/>
      </c>
      <c r="J150" s="330" t="str">
        <f>IF(D149&lt;&gt;"",D149,"")</f>
        <v/>
      </c>
      <c r="K150" s="353">
        <f>F145</f>
        <v>40</v>
      </c>
      <c r="L150" s="329">
        <f>IF(H145&lt;&gt;"",H145,IF(M150="N",IF(MIN(L149,L151)=L149,L149+((MAX(L149,L151)-MIN(L149,L151))*((K150-K149)/(K151-K149))),L149-((MAX(L149,L151)-MIN(L149,L151))*((K150-K149)/(K151-K149)))),IF(MAX(L149,L151)=L149,L149+(360-(MAX(L149,L151)-MIN(L149,L151)))*((K150-K149)/(K151-K149)),L149-(360-(MAX(L149,L151)-MIN(L149,L151)))*((K150-K149)/(K151-K149)))))</f>
        <v>280</v>
      </c>
      <c r="M150" s="351" t="str">
        <f>IF(L149="","",IF((MAX(L149,L151)-MIN(L149,L151))&lt;190,"N","Y"))</f>
        <v/>
      </c>
      <c r="N150" s="351"/>
      <c r="O150" s="332">
        <f>IF(L150&gt;360,MROUND(L150-360,10),IF(L150&lt;0,MROUND(360+L150,10),IF(MROUND(L150,10)=0,360,MROUND(L150,10))))</f>
        <v>280</v>
      </c>
      <c r="P150" s="331">
        <f>IF(I145&lt;&gt;"",I145,IF(MIN(P149,P151)=P149,P149+((MAX(P149,P151)-MIN(P149,P151))*((K150-K149)/(K151-K149))),P149-((MAX(P149,P151)-MIN(P149,P151))*((K150-K149)/(K151-K149)))))</f>
        <v>15</v>
      </c>
      <c r="Q150" s="331"/>
      <c r="R150" s="331">
        <f>IF(P150&lt;3,5,MROUND(P150,5))</f>
        <v>15</v>
      </c>
      <c r="S150" s="355">
        <f>IF(J145&lt;&gt;"",J145,IF(MIN(S149,S151)=S149,S149+((MAX(S149,S151)-MIN(S149,S151))*((K150-K149)/(K151-K149))),S149-((MAX(S149,S151)-MIN(S149,S151))*((K150-K149)/(K151-K149)))))</f>
        <v>25</v>
      </c>
      <c r="T150" s="329"/>
      <c r="U150" s="329" t="str">
        <f>CONCATENATE(TEXT(O150,"000"),TEXT(R150,"#00"))</f>
        <v>28015</v>
      </c>
      <c r="V150" s="106"/>
      <c r="W150" s="106"/>
    </row>
    <row r="151" spans="1:25">
      <c r="A151" s="347"/>
      <c r="B151" s="350">
        <f>Worksheet!AC226</f>
        <v>70</v>
      </c>
      <c r="C151" s="348" t="str">
        <f>IF(Worksheet!AF226="","",Worksheet!AF226)</f>
        <v/>
      </c>
      <c r="D151" s="348" t="str">
        <f>IF(Worksheet!AH226="","",Worksheet!AH226)</f>
        <v/>
      </c>
      <c r="F151" s="351">
        <f>B148</f>
        <v>100</v>
      </c>
      <c r="G151" s="106" t="str">
        <f>IF(C148&lt;&gt;"",C148,"")</f>
        <v>31015</v>
      </c>
      <c r="H151" s="332">
        <f t="shared" si="36"/>
        <v>310</v>
      </c>
      <c r="I151" s="331">
        <f t="shared" si="35"/>
        <v>15</v>
      </c>
      <c r="J151" s="330">
        <f>IF(D148&lt;&gt;"",D148,"")</f>
        <v>6</v>
      </c>
      <c r="K151" s="349" t="str">
        <f>IF(G145&lt;&gt;"","",IF(G146&lt;&gt;"",F146,IF(G147&lt;&gt;"",F147,IF(G148&lt;&gt;"",F148,"NA"))))</f>
        <v/>
      </c>
      <c r="L151" s="329" t="str">
        <f>IF(K151="","",LOOKUP(K151,F143:F156,H143:H156))</f>
        <v/>
      </c>
      <c r="M151" s="351"/>
      <c r="N151" s="351"/>
      <c r="O151" s="332"/>
      <c r="P151" s="331" t="str">
        <f>IF(K151="","",LOOKUP(K151,F143:F156,I143:I156))</f>
        <v/>
      </c>
      <c r="Q151" s="331"/>
      <c r="R151" s="331"/>
      <c r="S151" s="355" t="str">
        <f>IF(K151="","",LOOKUP(K151,F143:F156,J143:J156))</f>
        <v/>
      </c>
      <c r="T151" s="329"/>
      <c r="U151" s="329"/>
      <c r="V151" s="106"/>
      <c r="W151" s="106"/>
    </row>
    <row r="152" spans="1:25">
      <c r="A152" s="347"/>
      <c r="B152" s="350">
        <f>Worksheet!AC227</f>
        <v>60</v>
      </c>
      <c r="C152" s="348" t="str">
        <f>IF(Worksheet!AF227="","",Worksheet!AF227)</f>
        <v>29020</v>
      </c>
      <c r="D152" s="348">
        <f>IF(Worksheet!AH227="","",Worksheet!AH227)</f>
        <v>22</v>
      </c>
      <c r="F152" s="351">
        <f>B147</f>
        <v>120</v>
      </c>
      <c r="G152" s="106" t="str">
        <f>IF(C147&lt;&gt;"",C147,"")</f>
        <v/>
      </c>
      <c r="H152" s="332" t="str">
        <f t="shared" si="36"/>
        <v/>
      </c>
      <c r="I152" s="331" t="str">
        <f t="shared" si="35"/>
        <v/>
      </c>
      <c r="J152" s="330" t="str">
        <f>IF(D147&lt;&gt;"",D147,"")</f>
        <v/>
      </c>
      <c r="K152" s="349">
        <f>IF(G146&lt;&gt;"","",IF(G145&lt;&gt;"",F145,IF(G144&lt;&gt;"",F144,IF(G143&lt;&gt;"",F143,"NA"))))</f>
        <v>40</v>
      </c>
      <c r="L152" s="329">
        <f>IF(K152="","",LOOKUP(K152,F143:F156,H143:H156))</f>
        <v>280</v>
      </c>
      <c r="M152" s="351"/>
      <c r="N152" s="351"/>
      <c r="O152" s="332"/>
      <c r="P152" s="331">
        <f>IF(K152="","",LOOKUP(K152,F143:F156,I143:I156))</f>
        <v>15</v>
      </c>
      <c r="Q152" s="331"/>
      <c r="R152" s="331"/>
      <c r="S152" s="355">
        <f>IF(K152="","",LOOKUP(K152,F143:F156,J143:J156))</f>
        <v>25</v>
      </c>
      <c r="T152" s="329"/>
      <c r="U152" s="329"/>
      <c r="V152" s="106"/>
      <c r="W152" s="106"/>
    </row>
    <row r="153" spans="1:25" ht="10.5">
      <c r="A153" s="347"/>
      <c r="B153" s="350">
        <f>Worksheet!AC228</f>
        <v>50</v>
      </c>
      <c r="C153" s="348" t="str">
        <f>IF(Worksheet!AF228="","",Worksheet!AF228)</f>
        <v/>
      </c>
      <c r="D153" s="348" t="str">
        <f>IF(Worksheet!AH228="","",Worksheet!AH228)</f>
        <v/>
      </c>
      <c r="F153" s="351">
        <f>B146</f>
        <v>140</v>
      </c>
      <c r="G153" s="106" t="str">
        <f>IF(C146&lt;&gt;"",C146,"")</f>
        <v/>
      </c>
      <c r="H153" s="332" t="str">
        <f t="shared" si="36"/>
        <v/>
      </c>
      <c r="I153" s="331" t="str">
        <f t="shared" si="35"/>
        <v/>
      </c>
      <c r="J153" s="330" t="str">
        <f>IF(D146&lt;&gt;"",D146,"")</f>
        <v/>
      </c>
      <c r="K153" s="353">
        <f>F146</f>
        <v>50</v>
      </c>
      <c r="L153" s="329">
        <f>IF(H146&lt;&gt;"",H146,IF(M153="N",IF(MIN(L152,L154)=L152,L152+((MAX(L152,L154)-MIN(L152,L154))*((K153-K152)/(K154-K152))),L152-((MAX(L152,L154)-MIN(L152,L154))*((K153-K152)/(K154-K152)))),IF(MAX(L152,L154)=L152,L152+(360-(MAX(L152,L154)-MIN(L152,L154)))*((K153-K152)/(K154-K152)),L152-(360-(MAX(L152,L154)-MIN(L152,L154)))*((K153-K152)/(K154-K152)))))</f>
        <v>285</v>
      </c>
      <c r="M153" s="351" t="str">
        <f>IF(L152="","",IF((MAX(L152,L154)-MIN(L152,L154))&lt;190,"N","Y"))</f>
        <v>N</v>
      </c>
      <c r="N153" s="351"/>
      <c r="O153" s="332">
        <f>IF(L153&gt;360,MROUND(L153-360,10),IF(L153&lt;0,MROUND(360+L153,10),IF(MROUND(L153,10)=0,360,MROUND(L153,10))))</f>
        <v>290</v>
      </c>
      <c r="P153" s="331">
        <f>IF(I146&lt;&gt;"",I146,IF(MIN(P152,P154)=P152,P152+((MAX(P152,P154)-MIN(P152,P154))*((K153-K152)/(K154-K152))),P152-((MAX(P152,P154)-MIN(P152,P154))*((K153-K152)/(K154-K152)))))</f>
        <v>17.5</v>
      </c>
      <c r="Q153" s="331"/>
      <c r="R153" s="331">
        <f>IF(P153&lt;3,5,MROUND(P153,5))</f>
        <v>20</v>
      </c>
      <c r="S153" s="355">
        <f>IF(J146&lt;&gt;"",J146,IF(MIN(S152,S154)=S152,S152+((MAX(S152,S154)-MIN(S152,S154))*((K153-K152)/(K154-K152))),S152-((MAX(S152,S154)-MIN(S152,S154))*((K153-K152)/(K154-K152)))))</f>
        <v>23.5</v>
      </c>
      <c r="T153" s="329"/>
      <c r="U153" s="329" t="str">
        <f>CONCATENATE(TEXT(O153,"000"),TEXT(R153,"#00"))</f>
        <v>29020</v>
      </c>
      <c r="V153" s="106"/>
      <c r="W153" s="106"/>
    </row>
    <row r="154" spans="1:25">
      <c r="A154" s="347"/>
      <c r="B154" s="350">
        <f>Worksheet!AC229</f>
        <v>40</v>
      </c>
      <c r="C154" s="348" t="str">
        <f>IF(Worksheet!AF229="","",Worksheet!AF229)</f>
        <v>28015</v>
      </c>
      <c r="D154" s="348">
        <f>IF(Worksheet!AH229="","",Worksheet!AH229)</f>
        <v>25</v>
      </c>
      <c r="F154" s="351">
        <f>B145</f>
        <v>150</v>
      </c>
      <c r="G154" s="106" t="str">
        <f>IF(C145&lt;&gt;"",C145,"")</f>
        <v>32020</v>
      </c>
      <c r="H154" s="332">
        <f t="shared" si="36"/>
        <v>320</v>
      </c>
      <c r="I154" s="331">
        <f t="shared" si="35"/>
        <v>20</v>
      </c>
      <c r="J154" s="330">
        <f>IF(D145&lt;&gt;"",D145,"")</f>
        <v>-12</v>
      </c>
      <c r="K154" s="349">
        <f>IF(G146&lt;&gt;"","",IF(G147&lt;&gt;"",F147,IF(G148&lt;&gt;"",F148,IF(G149&lt;&gt;"",F149,"NA"))))</f>
        <v>60</v>
      </c>
      <c r="L154" s="329">
        <f>IF(K154="","",LOOKUP(K154,F143:F156,H143:H156))</f>
        <v>290</v>
      </c>
      <c r="M154" s="351"/>
      <c r="N154" s="351"/>
      <c r="O154" s="332"/>
      <c r="P154" s="331">
        <f>IF(K154="","",LOOKUP(K154,F143:F156,I143:I156))</f>
        <v>20</v>
      </c>
      <c r="Q154" s="331"/>
      <c r="R154" s="331"/>
      <c r="S154" s="355">
        <f>IF(K154="","",LOOKUP(K154,F143:F156,J143:J156))</f>
        <v>22</v>
      </c>
      <c r="T154" s="329"/>
      <c r="U154" s="329"/>
      <c r="V154" s="106"/>
      <c r="W154" s="106"/>
    </row>
    <row r="155" spans="1:25">
      <c r="A155" s="347"/>
      <c r="B155" s="350">
        <f>Worksheet!AC230</f>
        <v>30</v>
      </c>
      <c r="C155" s="348" t="str">
        <f>IF(Worksheet!AF230="","",Worksheet!AF230)</f>
        <v/>
      </c>
      <c r="D155" s="348" t="str">
        <f>IF(Worksheet!AH230="","",Worksheet!AH230)</f>
        <v/>
      </c>
      <c r="F155" s="351">
        <f>B144</f>
        <v>180</v>
      </c>
      <c r="G155" s="106" t="str">
        <f>IF(C144&lt;&gt;"",C144,"")</f>
        <v/>
      </c>
      <c r="H155" s="332" t="str">
        <f t="shared" si="36"/>
        <v/>
      </c>
      <c r="I155" s="331" t="str">
        <f t="shared" si="35"/>
        <v/>
      </c>
      <c r="J155" s="330" t="str">
        <f>IF(D144&lt;&gt;"",D144,"")</f>
        <v/>
      </c>
      <c r="K155" s="349" t="str">
        <f>IF(G147&lt;&gt;"","",IF(G146&lt;&gt;"",F146,IF(G145&lt;&gt;"",F145,IF(G144&lt;&gt;"",F144,"NA"))))</f>
        <v/>
      </c>
      <c r="L155" s="329" t="str">
        <f>IF(K155="","",LOOKUP(K155,F143:F156,H143:H156))</f>
        <v/>
      </c>
      <c r="M155" s="351"/>
      <c r="N155" s="351"/>
      <c r="O155" s="332"/>
      <c r="P155" s="331" t="str">
        <f>IF(K155="","",LOOKUP(K155,F143:F156,I143:I156))</f>
        <v/>
      </c>
      <c r="Q155" s="331"/>
      <c r="R155" s="331"/>
      <c r="S155" s="355" t="str">
        <f>IF(K155="","",LOOKUP(K155,F143:F156,J143:J156))</f>
        <v/>
      </c>
      <c r="T155" s="329"/>
      <c r="U155" s="329"/>
      <c r="V155" s="106"/>
      <c r="W155" s="106"/>
    </row>
    <row r="156" spans="1:25" ht="10.5">
      <c r="A156" s="347"/>
      <c r="B156" s="350">
        <f>Worksheet!AC231</f>
        <v>20</v>
      </c>
      <c r="C156" s="348" t="str">
        <f>IF(Worksheet!AF231="","",Worksheet!AF231)</f>
        <v>27015</v>
      </c>
      <c r="D156" s="348">
        <f>IF(Worksheet!AH231="","",Worksheet!AH231)</f>
        <v>28</v>
      </c>
      <c r="F156" s="351">
        <f>B143</f>
        <v>200</v>
      </c>
      <c r="G156" s="106" t="str">
        <f>IF(C143&lt;&gt;"",C143,"")</f>
        <v>28020</v>
      </c>
      <c r="H156" s="332">
        <f t="shared" si="36"/>
        <v>280</v>
      </c>
      <c r="I156" s="331">
        <f t="shared" si="35"/>
        <v>20</v>
      </c>
      <c r="J156" s="330">
        <f>IF(D143&lt;&gt;"",D143,"")</f>
        <v>-18</v>
      </c>
      <c r="K156" s="353">
        <f>F147</f>
        <v>60</v>
      </c>
      <c r="L156" s="329">
        <f>IF(H147&lt;&gt;"",H147,IF(M156="N",IF(MIN(L155,L157)=L155,L155+((MAX(L155,L157)-MIN(L155,L157))*((K156-K155)/(K157-K155))),L155-((MAX(L155,L157)-MIN(L155,L157))*((K156-K155)/(K157-K155)))),IF(MAX(L155,L157)=L155,L155+(360-(MAX(L155,L157)-MIN(L155,L157)))*((K156-K155)/(K157-K155)),L155-(360-(MAX(L155,L157)-MIN(L155,L157)))*((K156-K155)/(K157-K155)))))</f>
        <v>290</v>
      </c>
      <c r="M156" s="351" t="str">
        <f>IF(L155="","",IF((MAX(L155,L157)-MIN(L155,L157))&lt;190,"N","Y"))</f>
        <v/>
      </c>
      <c r="N156" s="351"/>
      <c r="O156" s="332">
        <f>IF(L156&gt;360,MROUND(L156-360,10),IF(L156&lt;0,MROUND(360+L156,10),IF(MROUND(L156,10)=0,360,MROUND(L156,10))))</f>
        <v>290</v>
      </c>
      <c r="P156" s="331">
        <f>IF(I147&lt;&gt;"",I147,IF(MIN(P155,P157)=P155,P155+((MAX(P155,P157)-MIN(P155,P157))*((K156-K155)/(K157-K155))),P155-((MAX(P155,P157)-MIN(P155,P157))*((K156-K155)/(K157-K155)))))</f>
        <v>20</v>
      </c>
      <c r="Q156" s="331"/>
      <c r="R156" s="331">
        <f>IF(P156&lt;3,5,MROUND(P156,5))</f>
        <v>20</v>
      </c>
      <c r="S156" s="355">
        <f>IF(J147&lt;&gt;"",J147,IF(MIN(S155,S157)=S155,S155+((MAX(S155,S157)-MIN(S155,S157))*((K156-K155)/(K157-K155))),S155-((MAX(S155,S157)-MIN(S155,S157))*((K156-K155)/(K157-K155)))))</f>
        <v>22</v>
      </c>
      <c r="T156" s="329"/>
      <c r="U156" s="329" t="str">
        <f>CONCATENATE(TEXT(O156,"000"),TEXT(R156,"#00"))</f>
        <v>29020</v>
      </c>
      <c r="V156" s="106"/>
      <c r="W156" s="106"/>
      <c r="Y156" s="106"/>
    </row>
    <row r="157" spans="1:25">
      <c r="F157" s="108"/>
      <c r="K157" s="349" t="str">
        <f>IF(G147&lt;&gt;"","",IF(G148&lt;&gt;"",F148,IF(G149&lt;&gt;"",F149,IF(G150&lt;&gt;"",F150,"NA"))))</f>
        <v/>
      </c>
      <c r="L157" s="329" t="str">
        <f>IF(K157="","",LOOKUP(K157,F143:F156,H143:H156))</f>
        <v/>
      </c>
      <c r="O157" s="329"/>
      <c r="P157" s="331" t="str">
        <f>IF(K157="","",LOOKUP(K157,F143:F156,I143:I156))</f>
        <v/>
      </c>
      <c r="Q157" s="331"/>
      <c r="R157" s="354"/>
      <c r="S157" s="355" t="str">
        <f>IF(K157="","",LOOKUP(K157,F143:F156,J143:J156))</f>
        <v/>
      </c>
    </row>
    <row r="158" spans="1:25">
      <c r="F158" s="108"/>
      <c r="K158" s="349">
        <f>IF(G148&lt;&gt;"","",IF(G147&lt;&gt;"",F147,IF(G146&lt;&gt;"",F146,IF(G145&lt;&gt;"",F145,"NA"))))</f>
        <v>60</v>
      </c>
      <c r="L158" s="329">
        <f>IF(K158="","",LOOKUP(K158,F143:F156,H143:H156))</f>
        <v>290</v>
      </c>
      <c r="O158" s="329"/>
      <c r="P158" s="331">
        <f>IF(K158="","",LOOKUP(K158,F143:F156,I143:I156))</f>
        <v>20</v>
      </c>
      <c r="Q158" s="331"/>
      <c r="R158" s="354"/>
      <c r="S158" s="355">
        <f>IF(K158="","",LOOKUP(K158,F143:F156,J143:J156))</f>
        <v>22</v>
      </c>
    </row>
    <row r="159" spans="1:25" ht="10.5">
      <c r="F159" s="108"/>
      <c r="K159" s="353">
        <f>F148</f>
        <v>70</v>
      </c>
      <c r="L159" s="329">
        <f>IF(H148&lt;&gt;"",H148,IF(M159="N",IF(MIN(L158,L160)=L158,L158+((MAX(L158,L160)-MIN(L158,L160))*((K159-K158)/(K160-K158))),L158-((MAX(L158,L160)-MIN(L158,L160))*((K159-K158)/(K160-K158)))),IF(MAX(L158,L160)=L158,L158+(360-(MAX(L158,L160)-MIN(L158,L160)))*((K159-K158)/(K160-K158)),L158-(360-(MAX(L158,L160)-MIN(L158,L160)))*((K159-K158)/(K160-K158)))))</f>
        <v>295</v>
      </c>
      <c r="M159" s="351" t="str">
        <f>IF(L158="","",IF((MAX(L158,L160)-MIN(L158,L160))&lt;190,"N","Y"))</f>
        <v>N</v>
      </c>
      <c r="N159" s="351"/>
      <c r="O159" s="332">
        <f>IF(L159&gt;360,MROUND(L159-360,10),IF(L159&lt;0,MROUND(360+L159,10),IF(MROUND(L159,10)=0,360,MROUND(L159,10))))</f>
        <v>300</v>
      </c>
      <c r="P159" s="331">
        <f>IF(I148&lt;&gt;"",I148,IF(MIN(P158,P160)=P158,P158+((MAX(P158,P160)-MIN(P158,P160))*((K159-K158)/(K160-K158))),P158-((MAX(P158,P160)-MIN(P158,P160))*((K159-K158)/(K160-K158)))))</f>
        <v>17.5</v>
      </c>
      <c r="Q159" s="331"/>
      <c r="R159" s="331">
        <f>IF(P159&lt;3,5,MROUND(P159,5))</f>
        <v>20</v>
      </c>
      <c r="S159" s="355">
        <f>IF(J148&lt;&gt;"",J148,IF(MIN(S158,S160)=S158,S158+((MAX(S158,S160)-MIN(S158,S160))*((K159-K158)/(K160-K158))),S158-((MAX(S158,S160)-MIN(S158,S160))*((K159-K158)/(K160-K158)))))</f>
        <v>17.5</v>
      </c>
      <c r="U159" s="329" t="str">
        <f>CONCATENATE(TEXT(O159,"000"),TEXT(R159,"#00"))</f>
        <v>30020</v>
      </c>
    </row>
    <row r="160" spans="1:25">
      <c r="F160" s="108"/>
      <c r="K160" s="349">
        <f>IF(G148&lt;&gt;"","",IF(G149&lt;&gt;"",F149,IF(G150&lt;&gt;"",F150,IF(G151&lt;&gt;"",F151,"NA"))))</f>
        <v>80</v>
      </c>
      <c r="L160" s="329">
        <f>IF(K160="","",LOOKUP(K160,F143:F156,H143:H156))</f>
        <v>300</v>
      </c>
      <c r="O160" s="329"/>
      <c r="P160" s="331">
        <f>IF(K160="","",LOOKUP(K160,F143:F156,I143:I156))</f>
        <v>15</v>
      </c>
      <c r="Q160" s="331"/>
      <c r="R160" s="354"/>
      <c r="S160" s="355">
        <f>IF(K160="","",LOOKUP(K160,F143:F156,J143:J156))</f>
        <v>13</v>
      </c>
    </row>
    <row r="161" spans="6:21">
      <c r="F161" s="108"/>
      <c r="K161" s="349" t="str">
        <f>IF(G149&lt;&gt;"","",IF(G148&lt;&gt;"",F148,IF(G147&lt;&gt;"",F147,IF(G146&lt;&gt;"",F146,"NA"))))</f>
        <v/>
      </c>
      <c r="L161" s="329" t="str">
        <f>IF(K161="","",LOOKUP(K161,F143:F156,H143:H156))</f>
        <v/>
      </c>
      <c r="O161" s="329"/>
      <c r="P161" s="331" t="str">
        <f>IF(K161="","",LOOKUP(K161,F143:F156,I143:I156))</f>
        <v/>
      </c>
      <c r="Q161" s="331"/>
      <c r="R161" s="354"/>
      <c r="S161" s="355" t="str">
        <f>IF(K161="","",LOOKUP(K161,F143:F156,J143:J156))</f>
        <v/>
      </c>
    </row>
    <row r="162" spans="6:21" ht="10.5">
      <c r="F162" s="108"/>
      <c r="K162" s="353">
        <f>F149</f>
        <v>80</v>
      </c>
      <c r="L162" s="329">
        <f>IF(H149&lt;&gt;"",H149,IF(M162="N",IF(MIN(L161,L163)=L161,L161+((MAX(L161,L163)-MIN(L161,L163))*((K162-K161)/(K163-K161))),L161-((MAX(L161,L163)-MIN(L161,L163))*((K162-K161)/(K163-K161)))),IF(MAX(L161,L163)=L161,L161+(360-(MAX(L161,L163)-MIN(L161,L163)))*((K162-K161)/(K163-K161)),L161-(360-(MAX(L161,L163)-MIN(L161,L163)))*((K162-K161)/(K163-K161)))))</f>
        <v>300</v>
      </c>
      <c r="M162" s="351" t="str">
        <f>IF(L161="","",IF((MAX(L161,L163)-MIN(L161,L163))&lt;190,"N","Y"))</f>
        <v/>
      </c>
      <c r="N162" s="351"/>
      <c r="O162" s="332">
        <f>IF(L162&gt;360,MROUND(L162-360,10),IF(L162&lt;0,MROUND(360+L162,10),IF(MROUND(L162,10)=0,360,MROUND(L162,10))))</f>
        <v>300</v>
      </c>
      <c r="P162" s="331">
        <f>IF(I149&lt;&gt;"",I149,IF(MIN(P161,P163)=P161,P161+((MAX(P161,P163)-MIN(P161,P163))*((K162-K161)/(K163-K161))),P161-((MAX(P161,P163)-MIN(P161,P163))*((K162-K161)/(K163-K161)))))</f>
        <v>15</v>
      </c>
      <c r="Q162" s="331"/>
      <c r="R162" s="331">
        <f>IF(P162&lt;3,5,MROUND(P162,5))</f>
        <v>15</v>
      </c>
      <c r="S162" s="355">
        <f>IF(J149&lt;&gt;"",J149,IF(MIN(S161,S163)=S161,S161+((MAX(S161,S163)-MIN(S161,S163))*((K162-K161)/(K163-K161))),S161-((MAX(S161,S163)-MIN(S161,S163))*((K162-K161)/(K163-K161)))))</f>
        <v>13</v>
      </c>
      <c r="U162" s="329" t="str">
        <f>CONCATENATE(TEXT(O162,"000"),TEXT(R162,"#00"))</f>
        <v>30015</v>
      </c>
    </row>
    <row r="163" spans="6:21">
      <c r="F163" s="108"/>
      <c r="K163" s="349" t="str">
        <f>IF(G149&lt;&gt;"","",IF(G150&lt;&gt;"",F150,IF(G151&lt;&gt;"",F151,IF(G152&lt;&gt;"",F152,"NA"))))</f>
        <v/>
      </c>
      <c r="L163" s="329" t="str">
        <f>IF(K163="","",LOOKUP(K163,F143:F156,H143:H156))</f>
        <v/>
      </c>
      <c r="O163" s="329"/>
      <c r="P163" s="331" t="str">
        <f>IF(K163="","",LOOKUP(K163,F143:F156,I143:I156))</f>
        <v/>
      </c>
      <c r="Q163" s="331"/>
      <c r="R163" s="354"/>
      <c r="S163" s="355" t="str">
        <f>IF(K163="","",LOOKUP(K163,F143:F156,J143:J156))</f>
        <v/>
      </c>
    </row>
    <row r="164" spans="6:21">
      <c r="F164" s="108"/>
      <c r="K164" s="349">
        <f>IF(G150&lt;&gt;"","",IF(G149&lt;&gt;"",F149,IF(G148&lt;&gt;"",F148,IF(G147&lt;&gt;"",F147,"NA"))))</f>
        <v>80</v>
      </c>
      <c r="L164" s="329">
        <f>IF(K164="","",LOOKUP(K164,F143:F156,H143:H156))</f>
        <v>300</v>
      </c>
      <c r="O164" s="329"/>
      <c r="P164" s="331">
        <f>IF(K164="","",LOOKUP(K164,F143:F156,I143:I156))</f>
        <v>15</v>
      </c>
      <c r="Q164" s="331"/>
      <c r="R164" s="354"/>
      <c r="S164" s="355">
        <f>IF(K164="","",LOOKUP(K164,F143:F156,J143:J156))</f>
        <v>13</v>
      </c>
    </row>
    <row r="165" spans="6:21" ht="10.5">
      <c r="F165" s="108"/>
      <c r="K165" s="353">
        <f>F150</f>
        <v>90</v>
      </c>
      <c r="L165" s="329">
        <f>IF(H150&lt;&gt;"",H150,IF(M165="N",IF(MIN(L164,L166)=L164,L164+((MAX(L164,L166)-MIN(L164,L166))*((K165-K164)/(K166-K164))),L164-((MAX(L164,L166)-MIN(L164,L166))*((K165-K164)/(K166-K164)))),IF(MAX(L164,L166)=L164,L164+(360-(MAX(L164,L166)-MIN(L164,L166)))*((K165-K164)/(K166-K164)),L164-(360-(MAX(L164,L166)-MIN(L164,L166)))*((K165-K164)/(K166-K164)))))</f>
        <v>305</v>
      </c>
      <c r="M165" s="351" t="str">
        <f>IF(L164="","",IF((MAX(L164,L166)-MIN(L164,L166))&lt;190,"N","Y"))</f>
        <v>N</v>
      </c>
      <c r="N165" s="351"/>
      <c r="O165" s="332">
        <f>IF(L165&gt;360,MROUND(L165-360,10),IF(L165&lt;0,MROUND(360+L165,10),IF(MROUND(L165,10)=0,360,MROUND(L165,10))))</f>
        <v>310</v>
      </c>
      <c r="P165" s="331">
        <f>IF(I150&lt;&gt;"",I150,IF(MIN(P164,P166)=P164,P164+((MAX(P164,P166)-MIN(P164,P166))*((K165-K164)/(K166-K164))),P164-((MAX(P164,P166)-MIN(P164,P166))*((K165-K164)/(K166-K164)))))</f>
        <v>15</v>
      </c>
      <c r="Q165" s="331"/>
      <c r="R165" s="331">
        <f>IF(P165&lt;3,5,MROUND(P165,5))</f>
        <v>15</v>
      </c>
      <c r="S165" s="355">
        <f>IF(J150&lt;&gt;"",J150,IF(MIN(S164,S166)=S164,S164+((MAX(S164,S166)-MIN(S164,S166))*((K165-K164)/(K166-K164))),S164-((MAX(S164,S166)-MIN(S164,S166))*((K165-K164)/(K166-K164)))))</f>
        <v>9.5</v>
      </c>
      <c r="U165" s="329" t="str">
        <f>CONCATENATE(TEXT(O165,"000"),TEXT(R165,"#00"))</f>
        <v>31015</v>
      </c>
    </row>
    <row r="166" spans="6:21">
      <c r="F166" s="108"/>
      <c r="K166" s="349">
        <f>IF(G150&lt;&gt;"","",IF(G151&lt;&gt;"",F151,IF(G152&lt;&gt;"",F152,IF(G153&lt;&gt;"",F153,"NA"))))</f>
        <v>100</v>
      </c>
      <c r="L166" s="329">
        <f>IF(K166="","",LOOKUP(K166,F143:F156,H143:H156))</f>
        <v>310</v>
      </c>
      <c r="O166" s="329"/>
      <c r="P166" s="331">
        <f>IF(K166="","",LOOKUP(K166,F143:F156,I143:I156))</f>
        <v>15</v>
      </c>
      <c r="Q166" s="331"/>
      <c r="R166" s="354"/>
      <c r="S166" s="355">
        <f>IF(K166="","",LOOKUP(K166,F143:F156,J143:J156))</f>
        <v>6</v>
      </c>
    </row>
    <row r="167" spans="6:21">
      <c r="F167" s="108"/>
      <c r="K167" s="349" t="str">
        <f>IF(G151&lt;&gt;"","",IF(G150&lt;&gt;"",F150,IF(G149&lt;&gt;"",F149,IF(G148&lt;&gt;"",F148,"NA"))))</f>
        <v/>
      </c>
      <c r="L167" s="329" t="str">
        <f>IF(K167="","",LOOKUP(K167,F143:F156,H143:H156))</f>
        <v/>
      </c>
      <c r="O167" s="329"/>
      <c r="P167" s="331" t="str">
        <f>IF(K167="","",LOOKUP(K167,F143:F156,I143:I156))</f>
        <v/>
      </c>
      <c r="Q167" s="331"/>
      <c r="R167" s="354"/>
      <c r="S167" s="355" t="str">
        <f>IF(K167="","",LOOKUP(K167,F143:F156,J143:J156))</f>
        <v/>
      </c>
    </row>
    <row r="168" spans="6:21" ht="10.5">
      <c r="F168" s="108"/>
      <c r="K168" s="353">
        <f>F151</f>
        <v>100</v>
      </c>
      <c r="L168" s="329">
        <f>IF(H151&lt;&gt;"",H151,IF(M168="N",IF(MIN(L167,L169)=L167,L167+((MAX(L167,L169)-MIN(L167,L169))*((K168-K167)/(K169-K167))),L167-((MAX(L167,L169)-MIN(L167,L169))*((K168-K167)/(K169-K167)))),IF(MAX(L167,L169)=L167,L167+(360-(MAX(L167,L169)-MIN(L167,L169)))*((K168-K167)/(K169-K167)),L167-(360-(MAX(L167,L169)-MIN(L167,L169)))*((K168-K167)/(K169-K167)))))</f>
        <v>310</v>
      </c>
      <c r="M168" s="351" t="str">
        <f>IF(L167="","",IF((MAX(L167,L169)-MIN(L167,L169))&lt;190,"N","Y"))</f>
        <v/>
      </c>
      <c r="N168" s="351"/>
      <c r="O168" s="332">
        <f>IF(L168&gt;360,MROUND(L168-360,10),IF(L168&lt;0,MROUND(360+L168,10),IF(MROUND(L168,10)=0,360,MROUND(L168,10))))</f>
        <v>310</v>
      </c>
      <c r="P168" s="331">
        <f>IF(I151&lt;&gt;"",I151,IF(MIN(P167,P169)=P167,P167+((MAX(P167,P169)-MIN(P167,P169))*((K168-K167)/(K169-K167))),P167-((MAX(P167,P169)-MIN(P167,P169))*((K168-K167)/(K169-K167)))))</f>
        <v>15</v>
      </c>
      <c r="Q168" s="331"/>
      <c r="R168" s="331">
        <f>IF(P168&lt;3,5,MROUND(P168,5))</f>
        <v>15</v>
      </c>
      <c r="S168" s="355">
        <f>IF(J151&lt;&gt;"",J151,IF(MIN(S167,S169)=S167,S167+((MAX(S167,S169)-MIN(S167,S169))*((K168-K167)/(K169-K167))),S167-((MAX(S167,S169)-MIN(S167,S169))*((K168-K167)/(K169-K167)))))</f>
        <v>6</v>
      </c>
      <c r="U168" s="329" t="str">
        <f>CONCATENATE(TEXT(O168,"000"),TEXT(R168,"#00"))</f>
        <v>31015</v>
      </c>
    </row>
    <row r="169" spans="6:21">
      <c r="F169" s="108"/>
      <c r="K169" s="349" t="str">
        <f>IF(G151&lt;&gt;"","",IF(G152&lt;&gt;"",F152,IF(G153&lt;&gt;"",F153,IF(G154&lt;&gt;"",F154,"NA"))))</f>
        <v/>
      </c>
      <c r="L169" s="329" t="str">
        <f>IF(K169="","",LOOKUP(K169,F143:F156,H143:H156))</f>
        <v/>
      </c>
      <c r="O169" s="329"/>
      <c r="P169" s="331" t="str">
        <f>IF(K169="","",LOOKUP(K169,F143:F156,I143:I156))</f>
        <v/>
      </c>
      <c r="Q169" s="331"/>
      <c r="R169" s="354"/>
      <c r="S169" s="355" t="str">
        <f>IF(K169="","",LOOKUP(K169,F143:F156,J143:J156))</f>
        <v/>
      </c>
    </row>
    <row r="170" spans="6:21">
      <c r="F170" s="108"/>
      <c r="K170" s="349">
        <f>IF(G152&lt;&gt;"","",IF(G151&lt;&gt;"",F151,IF(G150&lt;&gt;"",F150,IF(G149&lt;&gt;"",F149,"NA"))))</f>
        <v>100</v>
      </c>
      <c r="L170" s="329">
        <f>IF(K170="","",LOOKUP(K170,F143:F156,H143:H156))</f>
        <v>310</v>
      </c>
      <c r="O170" s="329"/>
      <c r="P170" s="331">
        <f>IF(K170="","",LOOKUP(K170,F143:F156,I143:I156))</f>
        <v>15</v>
      </c>
      <c r="Q170" s="331"/>
      <c r="R170" s="354"/>
      <c r="S170" s="355">
        <f>IF(K170="","",LOOKUP(K170,F143:F156,J143:J156))</f>
        <v>6</v>
      </c>
    </row>
    <row r="171" spans="6:21" ht="10.5">
      <c r="F171" s="108"/>
      <c r="K171" s="353">
        <f>F152</f>
        <v>120</v>
      </c>
      <c r="L171" s="329">
        <f>IF(H152&lt;&gt;"",H152,IF(M171="N",IF(MIN(L170,L172)=L170,L170+((MAX(L170,L172)-MIN(L170,L172))*((K171-K170)/(K172-K170))),L170-((MAX(L170,L172)-MIN(L170,L172))*((K171-K170)/(K172-K170)))),IF(MAX(L170,L172)=L170,L170+(360-(MAX(L170,L172)-MIN(L170,L172)))*((K171-K170)/(K172-K170)),L170-(360-(MAX(L170,L172)-MIN(L170,L172)))*((K171-K170)/(K172-K170)))))</f>
        <v>314</v>
      </c>
      <c r="M171" s="351" t="str">
        <f>IF(L170="","",IF((MAX(L170,L172)-MIN(L170,L172))&lt;190,"N","Y"))</f>
        <v>N</v>
      </c>
      <c r="N171" s="351"/>
      <c r="O171" s="332">
        <f>IF(L171&gt;360,MROUND(L171-360,10),IF(L171&lt;0,MROUND(360+L171,10),IF(MROUND(L171,10)=0,360,MROUND(L171,10))))</f>
        <v>310</v>
      </c>
      <c r="P171" s="331">
        <f>IF(I152&lt;&gt;"",I152,IF(MIN(P170,P172)=P170,P170+((MAX(P170,P172)-MIN(P170,P172))*((K171-K170)/(K172-K170))),P170-((MAX(P170,P172)-MIN(P170,P172))*((K171-K170)/(K172-K170)))))</f>
        <v>17</v>
      </c>
      <c r="Q171" s="331"/>
      <c r="R171" s="331">
        <f>IF(P171&lt;3,5,MROUND(P171,5))</f>
        <v>15</v>
      </c>
      <c r="S171" s="355">
        <f>IF(J152&lt;&gt;"",J152,IF(MIN(S170,S172)=S170,S170+((MAX(S170,S172)-MIN(S170,S172))*((K171-K170)/(K172-K170))),S170-((MAX(S170,S172)-MIN(S170,S172))*((K171-K170)/(K172-K170)))))</f>
        <v>-1.2000000000000002</v>
      </c>
      <c r="U171" s="329" t="str">
        <f>CONCATENATE(TEXT(O171,"000"),TEXT(R171,"#00"))</f>
        <v>31015</v>
      </c>
    </row>
    <row r="172" spans="6:21">
      <c r="F172" s="108"/>
      <c r="K172" s="349">
        <f>IF(G152&lt;&gt;"","",IF(G153&lt;&gt;"",F153,IF(G154&lt;&gt;"",F154,IF(G155&lt;&gt;"",F155,"NA"))))</f>
        <v>150</v>
      </c>
      <c r="L172" s="329">
        <f>IF(K172="","",LOOKUP(K172,F143:F156,H143:H156))</f>
        <v>320</v>
      </c>
      <c r="O172" s="329"/>
      <c r="P172" s="331">
        <f>IF(K172="","",LOOKUP(K172,F143:F156,I143:I156))</f>
        <v>20</v>
      </c>
      <c r="Q172" s="331"/>
      <c r="R172" s="354"/>
      <c r="S172" s="355">
        <f>IF(K172="","",LOOKUP(K172,F143:F156,J143:J156))</f>
        <v>-12</v>
      </c>
    </row>
    <row r="173" spans="6:21">
      <c r="F173" s="108"/>
      <c r="K173" s="349">
        <f>IF(G153&lt;&gt;"","",IF(G152&lt;&gt;"",F152,IF(G151&lt;&gt;"",F151,IF(G150&lt;&gt;"",F150,"NA"))))</f>
        <v>100</v>
      </c>
      <c r="L173" s="329">
        <f>IF(K173="","",LOOKUP(K173,F143:F156,H143:H156))</f>
        <v>310</v>
      </c>
      <c r="O173" s="329"/>
      <c r="P173" s="331">
        <f>IF(K173="","",LOOKUP(K173,F143:F156,I143:I156))</f>
        <v>15</v>
      </c>
      <c r="Q173" s="331"/>
      <c r="R173" s="354"/>
      <c r="S173" s="355">
        <f>IF(K173="","",LOOKUP(K173,F143:F156,J143:J156))</f>
        <v>6</v>
      </c>
    </row>
    <row r="174" spans="6:21" ht="10.5">
      <c r="F174" s="108"/>
      <c r="K174" s="353">
        <f>F153</f>
        <v>140</v>
      </c>
      <c r="L174" s="329">
        <f>IF(H153&lt;&gt;"",H153,IF(M174="N",IF(MIN(L173,L175)=L173,L173+((MAX(L173,L175)-MIN(L173,L175))*((K174-K173)/(K175-K173))),L173-((MAX(L173,L175)-MIN(L173,L175))*((K174-K173)/(K175-K173)))),IF(MAX(L173,L175)=L173,L173+(360-(MAX(L173,L175)-MIN(L173,L175)))*((K174-K173)/(K175-K173)),L173-(360-(MAX(L173,L175)-MIN(L173,L175)))*((K174-K173)/(K175-K173)))))</f>
        <v>318</v>
      </c>
      <c r="M174" s="351" t="str">
        <f>IF(L173="","",IF((MAX(L173,L175)-MIN(L173,L175))&lt;190,"N","Y"))</f>
        <v>N</v>
      </c>
      <c r="N174" s="351"/>
      <c r="O174" s="332">
        <f>IF(L174&gt;360,MROUND(L174-360,10),IF(L174&lt;0,MROUND(360+L174,10),IF(MROUND(L174,10)=0,360,MROUND(L174,10))))</f>
        <v>320</v>
      </c>
      <c r="P174" s="331">
        <f>IF(I153&lt;&gt;"",I153,IF(MIN(P173,P175)=P173,P173+((MAX(P173,P175)-MIN(P173,P175))*((K174-K173)/(K175-K173))),P173-((MAX(P173,P175)-MIN(P173,P175))*((K174-K173)/(K175-K173)))))</f>
        <v>19</v>
      </c>
      <c r="Q174" s="331"/>
      <c r="R174" s="331">
        <f>IF(P174&lt;3,5,MROUND(P174,5))</f>
        <v>20</v>
      </c>
      <c r="S174" s="355">
        <f>IF(J153&lt;&gt;"",J153,IF(MIN(S173,S175)=S173,S173+((MAX(S173,S175)-MIN(S173,S175))*((K174-K173)/(K175-K173))),S173-((MAX(S173,S175)-MIN(S173,S175))*((K174-K173)/(K175-K173)))))</f>
        <v>-8.4</v>
      </c>
      <c r="U174" s="329" t="str">
        <f>CONCATENATE(TEXT(O174,"000"),TEXT(R174,"#00"))</f>
        <v>32020</v>
      </c>
    </row>
    <row r="175" spans="6:21">
      <c r="F175" s="108"/>
      <c r="K175" s="349">
        <f>IF(G153&lt;&gt;"","",IF(G154&lt;&gt;"",F154,IF(G155&lt;&gt;"",F155,IF(G156&lt;&gt;"",F156,"NA"))))</f>
        <v>150</v>
      </c>
      <c r="L175" s="329">
        <f>IF(K175="","",LOOKUP(K175,F143:F156,H143:H156))</f>
        <v>320</v>
      </c>
      <c r="O175" s="329"/>
      <c r="P175" s="331">
        <f>IF(K175="","",LOOKUP(K175,F143:F156,I143:I156))</f>
        <v>20</v>
      </c>
      <c r="Q175" s="331"/>
      <c r="R175" s="354"/>
      <c r="S175" s="355">
        <f>IF(K175="","",LOOKUP(K175,F143:F156,J143:J156))</f>
        <v>-12</v>
      </c>
    </row>
    <row r="176" spans="6:21">
      <c r="F176" s="108"/>
      <c r="K176" s="349" t="str">
        <f>IF(G154&lt;&gt;"","",IF(G153&lt;&gt;"",F153,IF(G152&lt;&gt;"",F152,IF(G151&lt;&gt;"",F151,"NA"))))</f>
        <v/>
      </c>
      <c r="L176" s="329" t="str">
        <f>IF(K176="","",LOOKUP(K176,F143:F156,H143:H156))</f>
        <v/>
      </c>
      <c r="O176" s="329"/>
      <c r="P176" s="331" t="str">
        <f>IF(K176="","",LOOKUP(K176,F143:F156,I143:I156))</f>
        <v/>
      </c>
      <c r="Q176" s="331"/>
      <c r="R176" s="354"/>
      <c r="S176" s="355" t="str">
        <f>IF(K176="","",LOOKUP(K176,F143:F156,J143:J156))</f>
        <v/>
      </c>
    </row>
    <row r="177" spans="1:28" ht="10.5">
      <c r="F177" s="108"/>
      <c r="K177" s="353">
        <f>F154</f>
        <v>150</v>
      </c>
      <c r="L177" s="329">
        <f>IF(H154&lt;&gt;"",H154,IF(M177="N",IF(MIN(L176,L178)=L176,L176+((MAX(L176,L178)-MIN(L176,L178))*((K177-K176)/(K178-K176))),L176-((MAX(L176,L178)-MIN(L176,L178))*((K177-K176)/(K178-K176)))),IF(MAX(L176,L178)=L176,L176+(360-(MAX(L176,L178)-MIN(L176,L178)))*((K177-K176)/(K178-K176)),L176-(360-(MAX(L176,L178)-MIN(L176,L178)))*((K177-K176)/(K178-K176)))))</f>
        <v>320</v>
      </c>
      <c r="M177" s="351" t="str">
        <f>IF(L176="","",IF((MAX(L176,L178)-MIN(L176,L178))&lt;190,"N","Y"))</f>
        <v/>
      </c>
      <c r="N177" s="351"/>
      <c r="O177" s="332">
        <f>IF(L177&gt;360,MROUND(L177-360,10),IF(L177&lt;0,MROUND(360+L177,10),IF(MROUND(L177,10)=0,360,MROUND(L177,10))))</f>
        <v>320</v>
      </c>
      <c r="P177" s="331">
        <f>IF(I154&lt;&gt;"",I154,IF(MIN(P176,P178)=P176,P176+((MAX(P176,P178)-MIN(P176,P178))*((K177-K176)/(K178-K176))),P176-((MAX(P176,P178)-MIN(P176,P178))*((K177-K176)/(K178-K176)))))</f>
        <v>20</v>
      </c>
      <c r="Q177" s="331"/>
      <c r="R177" s="331">
        <f>IF(P177&lt;3,5,MROUND(P177,5))</f>
        <v>20</v>
      </c>
      <c r="S177" s="355">
        <f>IF(J154&lt;&gt;"",J154,IF(MIN(S176,S178)=S176,S176+((MAX(S176,S178)-MIN(S176,S178))*((K177-K176)/(K178-K176))),S176-((MAX(S176,S178)-MIN(S176,S178))*((K177-K176)/(K178-K176)))))</f>
        <v>-12</v>
      </c>
      <c r="U177" s="329" t="str">
        <f>CONCATENATE(TEXT(O177,"000"),TEXT(R177,"#00"))</f>
        <v>32020</v>
      </c>
    </row>
    <row r="178" spans="1:28">
      <c r="F178" s="108"/>
      <c r="K178" s="349" t="str">
        <f>IF(G154&lt;&gt;"","",IF(G155&lt;&gt;"",F155,IF(G156&lt;&gt;"",F156,"NA")))</f>
        <v/>
      </c>
      <c r="L178" s="329" t="str">
        <f>IF(K178="","",LOOKUP(K178,F143:F156,H143:H156))</f>
        <v/>
      </c>
      <c r="O178" s="329"/>
      <c r="P178" s="331" t="str">
        <f>IF(K178="","",LOOKUP(K178,F143:F156,I143:I156))</f>
        <v/>
      </c>
      <c r="Q178" s="331"/>
      <c r="R178" s="354"/>
      <c r="S178" s="355" t="str">
        <f>IF(K178="","",LOOKUP(K178,F143:F156,J143:J156))</f>
        <v/>
      </c>
    </row>
    <row r="179" spans="1:28">
      <c r="F179" s="108"/>
      <c r="K179" s="349">
        <f>IF(G155&lt;&gt;"","",IF(G154&lt;&gt;"",F154,IF(G153&lt;&gt;"",F153,IF(G152&lt;&gt;"",F152,"NA"))))</f>
        <v>150</v>
      </c>
      <c r="L179" s="329">
        <f>IF(K179="","",LOOKUP(K179,F143:F156,H143:H156))</f>
        <v>320</v>
      </c>
      <c r="O179" s="329"/>
      <c r="P179" s="331">
        <f>IF(K179="","",LOOKUP(K179,F143:F156,I143:I156))</f>
        <v>20</v>
      </c>
      <c r="Q179" s="331"/>
      <c r="R179" s="354"/>
      <c r="S179" s="355">
        <f>IF(K179="","",LOOKUP(K179,F143:F156,J143:J156))</f>
        <v>-12</v>
      </c>
    </row>
    <row r="180" spans="1:28" ht="10.5">
      <c r="F180" s="108"/>
      <c r="K180" s="353">
        <f>F155</f>
        <v>180</v>
      </c>
      <c r="L180" s="329">
        <f>IF(H155&lt;&gt;"",H155,IF(M180="N",IF(MIN(L179,L181)=L179,L179+((MAX(L179,L181)-MIN(L179,L181))*((K180-K179)/(K181-K179))),L179-((MAX(L179,L181)-MIN(L179,L181))*((K180-K179)/(K181-K179)))),IF(MAX(L179,L181)=L179,L179+(360-(MAX(L179,L181)-MIN(L179,L181)))*((K180-K179)/(K181-K179)),L179-(360-(MAX(L179,L181)-MIN(L179,L181)))*((K180-K179)/(K181-K179)))))</f>
        <v>296</v>
      </c>
      <c r="M180" s="351" t="str">
        <f>IF(L179="","",IF((MAX(L179,L181)-MIN(L179,L181))&lt;190,"N","Y"))</f>
        <v>N</v>
      </c>
      <c r="N180" s="351"/>
      <c r="O180" s="332">
        <f>IF(L180&gt;360,MROUND(L180-360,10),IF(L180&lt;0,MROUND(360+L180,10),IF(MROUND(L180,10)=0,360,MROUND(L180,10))))</f>
        <v>300</v>
      </c>
      <c r="P180" s="331">
        <f>IF(I155&lt;&gt;"",I155,IF(MIN(P179,P181)=P179,P179+((MAX(P179,P181)-MIN(P179,P181))*((K180-K179)/(K181-K179))),P179-((MAX(P179,P181)-MIN(P179,P181))*((K180-K179)/(K181-K179)))))</f>
        <v>20</v>
      </c>
      <c r="Q180" s="331"/>
      <c r="R180" s="331">
        <f>IF(P180&lt;3,5,MROUND(P180,5))</f>
        <v>20</v>
      </c>
      <c r="S180" s="355">
        <f>IF(J155&lt;&gt;"",J155,IF(MIN(S179,S181)=S179,S179+((MAX(S179,S181)-MIN(S179,S181))*((K180-K179)/(K181-K179))),S179-((MAX(S179,S181)-MIN(S179,S181))*((K180-K179)/(K181-K179)))))</f>
        <v>-15.6</v>
      </c>
      <c r="U180" s="329" t="str">
        <f>CONCATENATE(TEXT(O180,"000"),TEXT(R180,"#00"))</f>
        <v>30020</v>
      </c>
    </row>
    <row r="181" spans="1:28">
      <c r="F181" s="108"/>
      <c r="K181" s="349">
        <f>IF(G155&lt;&gt;"","",IF(G156&lt;&gt;"",F156,"NA"))</f>
        <v>200</v>
      </c>
      <c r="L181" s="329">
        <f>IF(K181="","",LOOKUP(K181,F143:F156,H143:H156))</f>
        <v>280</v>
      </c>
      <c r="O181" s="329"/>
      <c r="P181" s="331">
        <f>IF(K181="","",LOOKUP(K181,F143:F156,I143:I156))</f>
        <v>20</v>
      </c>
      <c r="Q181" s="331"/>
      <c r="R181" s="354"/>
      <c r="S181" s="355">
        <f>IF(K181="","",LOOKUP(K181,F143:F156,J143:J156))</f>
        <v>-18</v>
      </c>
    </row>
    <row r="182" spans="1:28">
      <c r="F182" s="108"/>
      <c r="K182" s="349" t="str">
        <f>IF(G156&lt;&gt;"","",IF(G154&lt;&gt;"",F154,IF(G154&lt;&gt;"",F154,IF(G153&lt;&gt;"",F153,IF(G152&lt;&gt;"",F152,IF(G151&lt;&gt;"",F151,IF(G150&lt;&gt;"",F150,IF(G149&lt;&gt;"",F149,"NA"))))))))</f>
        <v/>
      </c>
      <c r="L182" s="329" t="str">
        <f>IF(K182="","",LOOKUP(K182,F143:F156,H143:H156))</f>
        <v/>
      </c>
      <c r="O182" s="329"/>
      <c r="P182" s="331" t="str">
        <f>IF(K182="","",LOOKUP(K182,F143:F156,I143:I156))</f>
        <v/>
      </c>
      <c r="Q182" s="331"/>
      <c r="R182" s="354"/>
      <c r="S182" s="355" t="str">
        <f>IF(K182="","",LOOKUP(K182,F143:F156,J143:J156))</f>
        <v/>
      </c>
    </row>
    <row r="183" spans="1:28">
      <c r="B183" s="66" t="s">
        <v>2689</v>
      </c>
      <c r="F183" s="108"/>
      <c r="K183" s="349" t="str">
        <f>IF(G156&lt;&gt;"","",IF(G155&lt;&gt;"",F155,IF(G154&lt;&gt;"",F154,IF(G153&lt;&gt;"",F153,"NA"))))</f>
        <v/>
      </c>
      <c r="L183" s="329" t="str">
        <f>IF(K183="","",LOOKUP(K183,F143:F156,H143:H156))</f>
        <v/>
      </c>
      <c r="O183" s="329"/>
      <c r="P183" s="331" t="str">
        <f>IF(K183="","",LOOKUP(K183,F143:F156,I143:I156))</f>
        <v/>
      </c>
      <c r="Q183" s="331"/>
      <c r="R183" s="354"/>
      <c r="S183" s="355" t="str">
        <f>IF(K183="","",LOOKUP(K183,F143:F156,J143:J156))</f>
        <v/>
      </c>
    </row>
    <row r="184" spans="1:28" ht="10.5">
      <c r="A184" s="66" t="s">
        <v>2690</v>
      </c>
      <c r="F184" s="108"/>
      <c r="K184" s="353">
        <f>F156</f>
        <v>200</v>
      </c>
      <c r="L184" s="329">
        <f>IF(H156&lt;&gt;"",H156,IF(M184="N",IF(MIN(L182,L183)=L183,L183-((MAX(L182,L183)-MIN(L182,L183))*((K184-K183)/(K183-K182))),L183+((MAX(L182,L183)-MIN(L182,L183))*((K184-K183)/(K183-K182)))),IF(MAX(L182,L183)=L183,L183-(360-(MAX(L182,L183)-MIN(L182,L183)))*((K184-K183)/(K183-K182)),L183+(360-(MAX(L182,L183)-MIN(L182,L183)))*((K184-K183)/(K183-K182)))))</f>
        <v>280</v>
      </c>
      <c r="M184" s="351" t="str">
        <f>IF(L183="","",IF((MAX(L182:L183)-MIN(L182:L183))&lt;190,"N","Y"))</f>
        <v/>
      </c>
      <c r="N184" s="351"/>
      <c r="O184" s="332">
        <f>IF(L184&gt;360,MROUND(L184-360,10),IF(L184&lt;0,MROUND(360+L184,10),MROUND(L184,10)))</f>
        <v>280</v>
      </c>
      <c r="P184" s="331">
        <f>IF(I156&lt;&gt;"",I156,IF(MIN(P182,P183)=P183,P183-((MAX(P182,P183)-MIN(P182,P183))*((K184-K183)/(K183-K182))),P183+((MAX(P182,P183)-MIN(P182,P183))*((K184-K183)/(K183-K182)))))</f>
        <v>20</v>
      </c>
      <c r="Q184" s="331"/>
      <c r="R184" s="331">
        <f>IF(P184&lt;3,5,MROUND(P184,5))</f>
        <v>20</v>
      </c>
      <c r="S184" s="355">
        <f>IF(J156&lt;&gt;"",J156,IF(MIN(S182,S183)=S183,S183-((MAX(S182,S183)-MIN(S182,S183))*((K184-K183)/(K183-K182))),S183+((MAX(S182,S183)-MIN(S182,S183))*((K184-K183)/(K183-K182)))))</f>
        <v>-18</v>
      </c>
      <c r="U184" s="329" t="str">
        <f>CONCATENATE(TEXT(O184,"000"),TEXT(R184,"#00"))</f>
        <v>28020</v>
      </c>
    </row>
    <row r="185" spans="1:28">
      <c r="C185" s="66" t="str">
        <f>MID(B187,FIND("/",B187)-2,IF(MONTH(Worksheet!Q6&lt;10),10,9))</f>
        <v xml:space="preserve"> 7/06/2022</v>
      </c>
      <c r="F185" s="108"/>
    </row>
    <row r="186" spans="1:28" ht="15.5">
      <c r="A186" s="483" t="s">
        <v>2691</v>
      </c>
      <c r="B186" s="412" t="s">
        <v>2692</v>
      </c>
      <c r="C186" s="1852">
        <f>DATE(IF(ISERROR(RIGHT(C185,5)*1),RIGHT(C185,4)*1,RIGHT(C185,5)*1),LEFT(C185,IF(FIND("/",C185)=2,1,2))*1,MID(C185,FIND("/",C185)+1,2)*1)+MID(B187,FIND(" UTC",B187)-4,2)*1/24</f>
        <v>44748</v>
      </c>
      <c r="D186" s="1036"/>
      <c r="E186" s="470" t="s">
        <v>2693</v>
      </c>
      <c r="F186" s="3660">
        <f>C186+(1/24)</f>
        <v>44748.041666666664</v>
      </c>
      <c r="G186" s="3660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</row>
    <row r="187" spans="1:28" ht="13">
      <c r="A187" s="474"/>
      <c r="B187" s="459" t="str">
        <f>Worksheet!K66</f>
        <v xml:space="preserve"> KFTK   FORT KNOX             GFS LAMP 0030 UTC   7/06/2022                      </v>
      </c>
      <c r="C187" s="377"/>
      <c r="D187" s="377"/>
      <c r="E187" s="470"/>
      <c r="F187" s="377"/>
      <c r="G187" s="403"/>
      <c r="H187" s="403"/>
      <c r="I187" s="403"/>
      <c r="M187" s="412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</row>
    <row r="188" spans="1:28" ht="12.5">
      <c r="A188" s="475"/>
      <c r="B188" s="459" t="str">
        <f>Worksheet!K67</f>
        <v xml:space="preserve"> UTC  01 02 03 04 05 06 07 08 09 10 11 12 13 14 15 16 17 18 19 20 21 22 23 00 01 </v>
      </c>
      <c r="C188" s="377"/>
      <c r="D188" s="377"/>
      <c r="E188" s="377"/>
      <c r="F188" s="377"/>
      <c r="G188" s="403"/>
      <c r="H188" s="403"/>
      <c r="I188" s="974"/>
      <c r="J188" s="479"/>
      <c r="K188" s="451" t="s">
        <v>392</v>
      </c>
      <c r="L188" s="451"/>
      <c r="N188" s="451" t="s">
        <v>333</v>
      </c>
      <c r="O188" s="451"/>
      <c r="P188" s="451"/>
      <c r="Q188" s="451"/>
      <c r="R188" s="451"/>
      <c r="S188" s="451"/>
      <c r="T188" s="451"/>
      <c r="U188" s="451"/>
      <c r="V188" s="451"/>
      <c r="W188" s="451"/>
      <c r="X188" s="451"/>
      <c r="Y188" s="451"/>
      <c r="Z188" s="451"/>
      <c r="AA188" s="451"/>
      <c r="AB188" s="451"/>
    </row>
    <row r="189" spans="1:28" ht="12.5">
      <c r="A189" s="482" t="str">
        <f>IF(F189=1,G189,"")</f>
        <v>TMP</v>
      </c>
      <c r="B189" s="459" t="str">
        <f>Worksheet!K68</f>
        <v xml:space="preserve"> TMP  86 83 81 79 77 76 75 74 73 73 73 75 79 83 86 88 89 90 91 91 91 90 89 87 83 </v>
      </c>
      <c r="C189" s="377"/>
      <c r="D189" s="377"/>
      <c r="E189" s="377"/>
      <c r="F189" s="377">
        <f>COUNTIF(G$189:G189,G189)</f>
        <v>1</v>
      </c>
      <c r="G189" s="410" t="str">
        <f>MID(B189,2,3)</f>
        <v>TMP</v>
      </c>
      <c r="H189" s="403"/>
      <c r="I189" s="403"/>
      <c r="J189" s="459"/>
      <c r="K189" s="459">
        <v>1</v>
      </c>
      <c r="L189" s="1073" t="s">
        <v>2636</v>
      </c>
      <c r="M189" s="108" t="s">
        <v>2694</v>
      </c>
      <c r="N189" s="459">
        <v>1</v>
      </c>
      <c r="O189" s="1073">
        <v>0</v>
      </c>
      <c r="P189" s="1073" t="s">
        <v>2695</v>
      </c>
      <c r="Q189" s="459"/>
      <c r="R189" s="459"/>
      <c r="S189" s="459"/>
      <c r="T189" s="459"/>
      <c r="U189" s="459"/>
      <c r="V189" s="459"/>
      <c r="W189" s="459"/>
      <c r="X189" s="459"/>
      <c r="Y189" s="459"/>
      <c r="Z189" s="459"/>
      <c r="AA189" s="459"/>
      <c r="AB189" s="459"/>
    </row>
    <row r="190" spans="1:28" ht="12.5">
      <c r="A190" s="482" t="str">
        <f t="shared" ref="A190:A211" si="37">IF(F190=1,G190,"")</f>
        <v>DPT</v>
      </c>
      <c r="B190" s="459" t="str">
        <f>Worksheet!K69</f>
        <v xml:space="preserve"> DPT  71 71 72 72 72 72 73 73 72 72 72 74 75 75 76 76 76 76 75 75 74 74 74 75 74 </v>
      </c>
      <c r="C190" s="377"/>
      <c r="D190" s="377"/>
      <c r="E190" s="377"/>
      <c r="F190" s="377">
        <f>COUNTIF(G$189:G190,G190)</f>
        <v>1</v>
      </c>
      <c r="G190" s="410" t="str">
        <f t="shared" ref="G190:G211" si="38">MID(B190,2,3)</f>
        <v>DPT</v>
      </c>
      <c r="H190" s="403"/>
      <c r="I190" s="403"/>
      <c r="J190" s="459"/>
      <c r="K190" s="459">
        <v>2</v>
      </c>
      <c r="L190" s="1073" t="s">
        <v>2696</v>
      </c>
      <c r="M190" s="108" t="s">
        <v>2697</v>
      </c>
      <c r="N190" s="459">
        <v>2</v>
      </c>
      <c r="O190" s="1073" t="s">
        <v>2698</v>
      </c>
      <c r="P190" s="1073" t="s">
        <v>2699</v>
      </c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  <c r="AA190" s="459"/>
      <c r="AB190" s="459"/>
    </row>
    <row r="191" spans="1:28" ht="12.5">
      <c r="A191" s="482" t="str">
        <f t="shared" si="37"/>
        <v>WDR</v>
      </c>
      <c r="B191" s="459" t="str">
        <f>Worksheet!K70</f>
        <v xml:space="preserve"> WDR  22 21 22 23 23 22 21 22 21 20 22 21 21 22 22 23 23 23 24 24 25 25 25 26 24 </v>
      </c>
      <c r="C191" s="377"/>
      <c r="D191" s="377"/>
      <c r="E191" s="377"/>
      <c r="F191" s="377">
        <f>COUNTIF(G$189:G191,G191)</f>
        <v>1</v>
      </c>
      <c r="G191" s="410" t="str">
        <f t="shared" si="38"/>
        <v>WDR</v>
      </c>
      <c r="H191" s="403"/>
      <c r="I191" s="403"/>
      <c r="J191" s="459"/>
      <c r="K191" s="459">
        <v>3</v>
      </c>
      <c r="L191" s="1073" t="s">
        <v>2700</v>
      </c>
      <c r="M191" s="108" t="s">
        <v>2701</v>
      </c>
      <c r="N191" s="459">
        <v>3</v>
      </c>
      <c r="O191" s="1073" t="s">
        <v>409</v>
      </c>
      <c r="P191" s="1073" t="s">
        <v>2702</v>
      </c>
      <c r="Q191" s="459"/>
      <c r="R191" s="459"/>
      <c r="S191" s="459"/>
      <c r="T191" s="459"/>
      <c r="U191" s="459"/>
      <c r="V191" s="459"/>
      <c r="W191" s="459"/>
      <c r="X191" s="459"/>
      <c r="Y191" s="459"/>
      <c r="Z191" s="459"/>
      <c r="AA191" s="459"/>
      <c r="AB191" s="459"/>
    </row>
    <row r="192" spans="1:28" ht="12.5">
      <c r="A192" s="482" t="str">
        <f t="shared" si="37"/>
        <v>WSP</v>
      </c>
      <c r="B192" s="459" t="str">
        <f>Worksheet!K71</f>
        <v xml:space="preserve"> WSP  04 04 03 04 04 04 04 03 03 03 03 03 04 05 06 07 08 09 08 08 07 07 06 05 04 </v>
      </c>
      <c r="C192" s="377"/>
      <c r="D192" s="377"/>
      <c r="E192" s="377"/>
      <c r="F192" s="377">
        <f>COUNTIF(G$189:G192,G192)</f>
        <v>1</v>
      </c>
      <c r="G192" s="410" t="str">
        <f t="shared" si="38"/>
        <v>WSP</v>
      </c>
      <c r="H192" s="403"/>
      <c r="I192" s="403"/>
      <c r="J192" s="459"/>
      <c r="K192" s="459">
        <v>4</v>
      </c>
      <c r="L192" s="1073" t="s">
        <v>2638</v>
      </c>
      <c r="M192" s="1073" t="s">
        <v>2703</v>
      </c>
      <c r="N192" s="459">
        <v>4</v>
      </c>
      <c r="O192" s="1073">
        <v>2</v>
      </c>
      <c r="P192" s="1073" t="s">
        <v>2704</v>
      </c>
      <c r="Q192" s="459"/>
      <c r="R192" s="459"/>
      <c r="S192" s="459"/>
      <c r="T192" s="459"/>
      <c r="U192" s="459"/>
      <c r="V192" s="459"/>
      <c r="W192" s="459"/>
      <c r="X192" s="459"/>
      <c r="Y192" s="459"/>
      <c r="Z192" s="459"/>
      <c r="AA192" s="459"/>
      <c r="AB192" s="459"/>
    </row>
    <row r="193" spans="1:80" ht="12.5">
      <c r="A193" s="482" t="str">
        <f t="shared" si="37"/>
        <v>WGS</v>
      </c>
      <c r="B193" s="459" t="str">
        <f>Worksheet!K72</f>
        <v xml:space="preserve"> WGS  NG NG NG NG NG NG NG NG NG NG NG NG NG NG NG NG NG NG NG NG NG NG NG NG NG </v>
      </c>
      <c r="C193" s="377"/>
      <c r="D193" s="377"/>
      <c r="E193" s="377"/>
      <c r="F193" s="377">
        <f>COUNTIF(G$189:G193,G193)</f>
        <v>1</v>
      </c>
      <c r="G193" s="410" t="str">
        <f t="shared" si="38"/>
        <v>WGS</v>
      </c>
      <c r="H193" s="403"/>
      <c r="I193" s="403"/>
      <c r="J193" s="459"/>
      <c r="K193" s="459">
        <v>5</v>
      </c>
      <c r="L193" s="1073" t="s">
        <v>2642</v>
      </c>
      <c r="M193" s="1073" t="s">
        <v>2644</v>
      </c>
      <c r="N193" s="459">
        <v>5</v>
      </c>
      <c r="O193" s="1073">
        <v>3</v>
      </c>
      <c r="P193" s="1073">
        <v>5</v>
      </c>
      <c r="Q193" s="459"/>
      <c r="R193" s="459"/>
      <c r="S193" s="459"/>
      <c r="T193" s="459"/>
      <c r="U193" s="459"/>
      <c r="V193" s="459"/>
      <c r="W193" s="459"/>
      <c r="X193" s="459"/>
      <c r="Y193" s="459"/>
      <c r="Z193" s="459"/>
      <c r="AA193" s="459"/>
      <c r="AB193" s="459"/>
    </row>
    <row r="194" spans="1:80" ht="12.5">
      <c r="A194" s="482" t="str">
        <f t="shared" si="37"/>
        <v>PPO</v>
      </c>
      <c r="B194" s="459" t="str">
        <f>Worksheet!K73</f>
        <v xml:space="preserve"> PPO   3  4  6  6  6  5  9 12 16 15 14 13 10  6  4  2  0  0  0  0  1  2  3  3  6 </v>
      </c>
      <c r="C194" s="377"/>
      <c r="D194" s="377"/>
      <c r="E194" s="377"/>
      <c r="F194" s="377">
        <f>COUNTIF(G$189:G194,G194)</f>
        <v>1</v>
      </c>
      <c r="G194" s="410" t="str">
        <f t="shared" si="38"/>
        <v>PPO</v>
      </c>
      <c r="H194" s="403"/>
      <c r="I194" s="403"/>
      <c r="J194" s="459"/>
      <c r="K194" s="459">
        <v>6</v>
      </c>
      <c r="L194" s="1073" t="s">
        <v>2705</v>
      </c>
      <c r="M194" s="1073" t="s">
        <v>2706</v>
      </c>
      <c r="N194" s="459">
        <v>6</v>
      </c>
      <c r="O194" s="1073">
        <v>6</v>
      </c>
      <c r="P194" s="1073">
        <v>6</v>
      </c>
      <c r="Q194" s="459"/>
      <c r="R194" s="459"/>
      <c r="S194" s="459"/>
      <c r="T194" s="459"/>
      <c r="U194" s="459"/>
      <c r="V194" s="459"/>
      <c r="W194" s="459"/>
      <c r="X194" s="459"/>
      <c r="Y194" s="459"/>
      <c r="Z194" s="459"/>
      <c r="AA194" s="459"/>
      <c r="AB194" s="459"/>
    </row>
    <row r="195" spans="1:80" ht="12.5">
      <c r="A195" s="482" t="str">
        <f t="shared" si="37"/>
        <v>PCO</v>
      </c>
      <c r="B195" s="459" t="str">
        <f>Worksheet!K74</f>
        <v xml:space="preserve"> PCO   N  N  N  N  N  N  N  N  N  N  N  N  N  N  N  N  N  N  N  N  N  N  N  N  N </v>
      </c>
      <c r="C195" s="377"/>
      <c r="D195" s="377"/>
      <c r="E195" s="377"/>
      <c r="F195" s="377">
        <f>COUNTIF(G$189:G195,G195)</f>
        <v>1</v>
      </c>
      <c r="G195" s="410" t="str">
        <f t="shared" si="38"/>
        <v>PCO</v>
      </c>
      <c r="H195" s="403"/>
      <c r="I195" s="403"/>
      <c r="J195" s="459"/>
      <c r="K195" s="459">
        <v>7</v>
      </c>
      <c r="L195" s="1073" t="s">
        <v>2707</v>
      </c>
      <c r="M195" s="1073" t="s">
        <v>2662</v>
      </c>
      <c r="N195" s="459">
        <v>7</v>
      </c>
      <c r="O195" s="1073">
        <v>7</v>
      </c>
      <c r="P195" s="1073">
        <v>10</v>
      </c>
      <c r="Q195" s="459"/>
      <c r="R195" s="459"/>
      <c r="S195" s="459"/>
      <c r="T195" s="459"/>
      <c r="U195" s="459"/>
      <c r="V195" s="459"/>
      <c r="W195" s="459"/>
      <c r="X195" s="459"/>
      <c r="Y195" s="459"/>
      <c r="Z195" s="459"/>
      <c r="AA195" s="459"/>
      <c r="AB195" s="459"/>
    </row>
    <row r="196" spans="1:80" ht="12.5">
      <c r="A196" s="482" t="str">
        <f t="shared" si="37"/>
        <v>P01</v>
      </c>
      <c r="B196" s="459" t="str">
        <f>Worksheet!K75</f>
        <v xml:space="preserve"> P01   0  0  1  1  1  1  1  2  4  3  3  3  2  2  2  2  2  2  3  4  7  8  9  9  8 </v>
      </c>
      <c r="C196" s="377"/>
      <c r="D196" s="377"/>
      <c r="E196" s="377"/>
      <c r="F196" s="377">
        <f>COUNTIF(G$189:G196,G196)</f>
        <v>1</v>
      </c>
      <c r="G196" s="410" t="str">
        <f t="shared" si="38"/>
        <v>P01</v>
      </c>
      <c r="H196" s="403"/>
      <c r="I196" s="403"/>
      <c r="J196" s="459"/>
      <c r="K196" s="459">
        <v>8</v>
      </c>
      <c r="L196" s="1073" t="s">
        <v>2664</v>
      </c>
      <c r="M196" s="1073" t="s">
        <v>2680</v>
      </c>
      <c r="N196" s="459"/>
      <c r="O196" s="459"/>
      <c r="P196" s="459"/>
      <c r="Q196" s="459"/>
      <c r="R196" s="459"/>
      <c r="S196" s="459"/>
      <c r="T196" s="459"/>
      <c r="U196" s="459"/>
      <c r="V196" s="459"/>
      <c r="W196" s="459"/>
      <c r="X196" s="459"/>
      <c r="Y196" s="459"/>
      <c r="Z196" s="459"/>
      <c r="AA196" s="459"/>
      <c r="AB196" s="459"/>
    </row>
    <row r="197" spans="1:80" ht="12.5">
      <c r="A197" s="482" t="str">
        <f t="shared" si="37"/>
        <v>PC1</v>
      </c>
      <c r="B197" s="459" t="str">
        <f>Worksheet!K76</f>
        <v xml:space="preserve"> PC1   N  N  N  N  N  N  N  N  N  N  N  N  N  N  N  N  N  N  N  N  N  N  N  N  N </v>
      </c>
      <c r="C197" s="377"/>
      <c r="D197" s="377"/>
      <c r="E197" s="377"/>
      <c r="F197" s="377">
        <f>COUNTIF(G$189:G197,G197)</f>
        <v>1</v>
      </c>
      <c r="G197" s="410" t="str">
        <f t="shared" si="38"/>
        <v>PC1</v>
      </c>
      <c r="H197" s="403"/>
      <c r="I197" s="403"/>
      <c r="J197" s="459"/>
      <c r="K197" s="459"/>
      <c r="L197" s="459"/>
      <c r="M197" s="459"/>
      <c r="N197" s="459"/>
      <c r="O197" s="459"/>
      <c r="P197" s="459"/>
      <c r="Q197" s="459"/>
      <c r="R197" s="459"/>
      <c r="S197" s="459"/>
      <c r="T197" s="459"/>
      <c r="U197" s="459"/>
      <c r="V197" s="459"/>
      <c r="W197" s="459"/>
      <c r="X197" s="459"/>
      <c r="Y197" s="459"/>
      <c r="Z197" s="459"/>
      <c r="AA197" s="459"/>
      <c r="AB197" s="459"/>
      <c r="AE197" s="3668">
        <f>I216+(MID(B216,19,2)*1)/24</f>
        <v>44747.75</v>
      </c>
      <c r="AF197" s="3668"/>
      <c r="AG197" s="3668"/>
    </row>
    <row r="198" spans="1:80" ht="12.5">
      <c r="A198" s="482" t="str">
        <f t="shared" si="37"/>
        <v>P06</v>
      </c>
      <c r="B198" s="459" t="str">
        <f>Worksheet!K77</f>
        <v xml:space="preserve"> P06                  2                 7                 4                22    </v>
      </c>
      <c r="C198" s="377"/>
      <c r="D198" s="377"/>
      <c r="E198" s="377"/>
      <c r="F198" s="377">
        <f>COUNTIF(G$189:G198,G198)</f>
        <v>1</v>
      </c>
      <c r="G198" s="410" t="str">
        <f t="shared" si="38"/>
        <v>P06</v>
      </c>
      <c r="H198" s="403"/>
      <c r="I198" s="403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  <c r="T198" s="459"/>
      <c r="U198" s="459"/>
      <c r="V198" s="459"/>
      <c r="W198" s="459"/>
      <c r="X198" s="459"/>
      <c r="Y198" s="459"/>
      <c r="Z198" s="459"/>
      <c r="AA198" s="459"/>
      <c r="AB198" s="459"/>
      <c r="AE198" s="1929"/>
      <c r="AF198" s="1929"/>
      <c r="AG198" s="1929"/>
    </row>
    <row r="199" spans="1:80" ht="12.5">
      <c r="A199" s="482" t="str">
        <f t="shared" si="37"/>
        <v>LP1</v>
      </c>
      <c r="B199" s="459" t="str">
        <f>Worksheet!K78</f>
        <v xml:space="preserve"> LP1   0  1  2  2  2  3  3  5  6  5  6  4  3  3  3  3  3  4  5  8  9  9 10  9 11 </v>
      </c>
      <c r="C199" s="377"/>
      <c r="D199" s="377"/>
      <c r="E199" s="377"/>
      <c r="F199" s="377">
        <f>COUNTIF(G$189:G199,G199)</f>
        <v>1</v>
      </c>
      <c r="G199" s="410" t="str">
        <f t="shared" si="38"/>
        <v>LP1</v>
      </c>
      <c r="H199" s="403"/>
      <c r="I199" s="403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  <c r="T199" s="459"/>
      <c r="U199" s="459"/>
      <c r="V199" s="459"/>
      <c r="W199" s="459"/>
      <c r="X199" s="459"/>
      <c r="Y199" s="459"/>
      <c r="Z199" s="459"/>
      <c r="AA199" s="459"/>
      <c r="AB199" s="459"/>
      <c r="AE199" s="1929"/>
      <c r="AF199" s="1929"/>
      <c r="AG199" s="1929"/>
    </row>
    <row r="200" spans="1:80" ht="12.5">
      <c r="A200" s="482" t="str">
        <f t="shared" si="37"/>
        <v>LC1</v>
      </c>
      <c r="B200" s="459" t="str">
        <f>Worksheet!K79</f>
        <v xml:space="preserve"> LC1   N  N  N  N  N  N  N  N  N  N  N  N  N  N  N  N  N  N  N  N  N  N  N  N  N </v>
      </c>
      <c r="C200" s="377"/>
      <c r="D200" s="377"/>
      <c r="E200" s="377"/>
      <c r="F200" s="377">
        <f>COUNTIF(G$189:G200,G200)</f>
        <v>1</v>
      </c>
      <c r="G200" s="410" t="str">
        <f t="shared" si="38"/>
        <v>LC1</v>
      </c>
      <c r="H200" s="403"/>
      <c r="I200" s="403"/>
      <c r="J200" s="459"/>
      <c r="K200" s="459"/>
      <c r="L200" s="459"/>
      <c r="M200" s="459"/>
      <c r="N200" s="459"/>
      <c r="O200" s="459"/>
      <c r="P200" s="459"/>
      <c r="Q200" s="459"/>
      <c r="R200" s="459"/>
      <c r="S200" s="459"/>
      <c r="T200" s="459"/>
      <c r="U200" s="459"/>
      <c r="V200" s="459"/>
      <c r="W200" s="459"/>
      <c r="X200" s="459"/>
      <c r="Y200" s="459"/>
      <c r="Z200" s="459"/>
      <c r="AA200" s="459"/>
      <c r="AB200" s="459"/>
      <c r="AE200" s="1929"/>
      <c r="AF200" s="1929"/>
      <c r="AG200" s="1929"/>
    </row>
    <row r="201" spans="1:80" ht="12.5">
      <c r="A201" s="482" t="str">
        <f t="shared" si="37"/>
        <v>CP1</v>
      </c>
      <c r="B201" s="459" t="str">
        <f>Worksheet!K80</f>
        <v xml:space="preserve"> CP1   2  2  3  3  1  1  1  4  6  3  4  3  1  2  2  3  5  7  7 10 10 13 11 12 20 </v>
      </c>
      <c r="C201" s="377"/>
      <c r="D201" s="377"/>
      <c r="E201" s="377"/>
      <c r="F201" s="377">
        <f>COUNTIF(G$189:G201,G201)</f>
        <v>1</v>
      </c>
      <c r="G201" s="410" t="str">
        <f t="shared" si="38"/>
        <v>CP1</v>
      </c>
      <c r="H201" s="403"/>
      <c r="I201" s="403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  <c r="T201" s="459"/>
      <c r="U201" s="459"/>
      <c r="V201" s="459"/>
      <c r="W201" s="459"/>
      <c r="X201" s="459"/>
      <c r="Y201" s="459"/>
      <c r="Z201" s="459"/>
      <c r="AA201" s="459"/>
      <c r="AB201" s="459"/>
      <c r="AE201" s="1929"/>
      <c r="AF201" s="1929"/>
      <c r="AG201" s="1929"/>
    </row>
    <row r="202" spans="1:80" ht="12.5">
      <c r="A202" s="482" t="str">
        <f t="shared" si="37"/>
        <v>CC1</v>
      </c>
      <c r="B202" s="459" t="str">
        <f>Worksheet!K81</f>
        <v xml:space="preserve"> CC1   N  N  N  N  N  N  N  N  N  N  N  N  N  N  N  N  N  N  N  N  N  N  N  N  L </v>
      </c>
      <c r="C202" s="377"/>
      <c r="D202" s="377"/>
      <c r="E202" s="377"/>
      <c r="F202" s="377">
        <f>COUNTIF(G$189:G202,G202)</f>
        <v>1</v>
      </c>
      <c r="G202" s="410" t="str">
        <f t="shared" si="38"/>
        <v>CC1</v>
      </c>
      <c r="H202" s="403"/>
      <c r="I202" s="403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  <c r="T202" s="459"/>
      <c r="U202" s="459"/>
      <c r="V202" s="459"/>
      <c r="W202" s="459"/>
      <c r="X202" s="459"/>
      <c r="Y202" s="459"/>
      <c r="Z202" s="459"/>
      <c r="AA202" s="459"/>
      <c r="AB202" s="459"/>
      <c r="AE202" s="1929"/>
      <c r="AF202" s="1929"/>
      <c r="AG202" s="1929"/>
    </row>
    <row r="203" spans="1:80" ht="12.5">
      <c r="A203" s="482" t="str">
        <f t="shared" si="37"/>
        <v>CLD</v>
      </c>
      <c r="B203" s="459" t="str">
        <f>Worksheet!K82</f>
        <v xml:space="preserve"> CLD  SC SC FW FW CL CL CL CL CL SC SC SC SC BK BK SC BK BK BK BK BK SC SC SC BK </v>
      </c>
      <c r="C203" s="377"/>
      <c r="D203" s="377"/>
      <c r="E203" s="377"/>
      <c r="F203" s="377">
        <f>COUNTIF(G$189:G203,G203)</f>
        <v>1</v>
      </c>
      <c r="G203" s="410" t="str">
        <f t="shared" si="38"/>
        <v>CLD</v>
      </c>
      <c r="H203" s="403"/>
      <c r="I203" s="403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  <c r="Z203" s="459"/>
      <c r="AA203" s="459"/>
      <c r="AB203" s="459"/>
      <c r="AE203" s="1929"/>
      <c r="AF203" s="1929"/>
      <c r="AG203" s="1929"/>
    </row>
    <row r="204" spans="1:80" ht="12.5">
      <c r="A204" s="482" t="str">
        <f t="shared" si="37"/>
        <v>CIG</v>
      </c>
      <c r="B204" s="459" t="str">
        <f>Worksheet!K83</f>
        <v xml:space="preserve"> CIG   8  8  8  8  8  8  8  8  8  8  8  8  8  8  8  8  8  8  8  8  8  8  8  8  8 </v>
      </c>
      <c r="C204" s="377"/>
      <c r="D204" s="377"/>
      <c r="E204" s="377"/>
      <c r="F204" s="377">
        <f>COUNTIF(G$189:G204,G204)</f>
        <v>1</v>
      </c>
      <c r="G204" s="410" t="str">
        <f t="shared" si="38"/>
        <v>CIG</v>
      </c>
      <c r="H204" s="403"/>
      <c r="I204" s="403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  <c r="T204" s="459"/>
      <c r="U204" s="459"/>
      <c r="V204" s="459"/>
      <c r="W204" s="459"/>
      <c r="X204" s="459"/>
      <c r="Y204" s="459"/>
      <c r="Z204" s="459"/>
      <c r="AA204" s="459"/>
      <c r="AB204" s="459"/>
      <c r="AE204" s="1151"/>
      <c r="AF204" s="200"/>
      <c r="AG204" s="1146"/>
      <c r="AH204" s="1151"/>
      <c r="AI204" s="200"/>
      <c r="AJ204" s="200"/>
      <c r="AK204" s="1146"/>
      <c r="AL204" s="1151"/>
      <c r="AM204" s="200"/>
      <c r="AN204" s="1147"/>
      <c r="AO204" s="3670" t="s">
        <v>2708</v>
      </c>
      <c r="AP204" s="3671"/>
      <c r="AQ204" s="3671"/>
      <c r="AR204" s="3671"/>
      <c r="AS204" s="3671"/>
      <c r="AT204" s="3671"/>
      <c r="AU204" s="3671"/>
      <c r="AV204" s="3671"/>
      <c r="AW204" s="3671"/>
      <c r="AX204" s="3672"/>
      <c r="AY204" s="3681" t="s">
        <v>378</v>
      </c>
      <c r="AZ204" s="3681"/>
      <c r="BA204" s="3681"/>
      <c r="BB204" s="3681"/>
      <c r="BC204" s="3681"/>
      <c r="BD204" s="3681"/>
      <c r="BE204" s="3681"/>
      <c r="BF204" s="3681"/>
      <c r="BG204" s="3681"/>
      <c r="BH204" s="3681"/>
      <c r="BI204" s="3681"/>
      <c r="BJ204" s="3681"/>
      <c r="BK204" s="3681"/>
      <c r="BL204" s="3681"/>
      <c r="BM204" s="3681"/>
      <c r="BN204" s="3681"/>
      <c r="BO204" s="3681"/>
      <c r="BP204" s="3681"/>
      <c r="BQ204" s="3681"/>
      <c r="BR204" s="3681"/>
      <c r="BS204" s="3681"/>
      <c r="BT204" s="3681"/>
      <c r="BU204" s="3681"/>
      <c r="BV204" s="3681"/>
      <c r="BW204" s="3681"/>
      <c r="BX204" s="3681"/>
      <c r="BY204" s="3681"/>
    </row>
    <row r="205" spans="1:80" ht="12.5">
      <c r="A205" s="482" t="str">
        <f t="shared" si="37"/>
        <v>CCG</v>
      </c>
      <c r="B205" s="459" t="str">
        <f>Worksheet!K84</f>
        <v xml:space="preserve"> CCG   8  8  8  8  8  8  8  8  8  8  8  8  8  8  8  8  8  8  7  7  8  8  8  8  8 </v>
      </c>
      <c r="C205" s="377"/>
      <c r="D205" s="377"/>
      <c r="E205" s="36"/>
      <c r="F205" s="377">
        <f>COUNTIF(G$189:G205,G205)</f>
        <v>1</v>
      </c>
      <c r="G205" s="410" t="str">
        <f t="shared" si="38"/>
        <v>CCG</v>
      </c>
      <c r="H205" s="403"/>
      <c r="I205" s="403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  <c r="AA205" s="459"/>
      <c r="AB205" s="459"/>
      <c r="AE205" s="3661" t="s">
        <v>2709</v>
      </c>
      <c r="AF205" s="3662"/>
      <c r="AG205" s="3669"/>
      <c r="AH205" s="3661" t="s">
        <v>2710</v>
      </c>
      <c r="AI205" s="3662"/>
      <c r="AJ205" s="3662"/>
      <c r="AK205" s="3669"/>
      <c r="AL205" s="3661" t="s">
        <v>41</v>
      </c>
      <c r="AM205" s="3662"/>
      <c r="AN205" s="1147"/>
      <c r="AO205" s="3636" t="s">
        <v>210</v>
      </c>
      <c r="AP205" s="3636"/>
      <c r="AQ205" s="3636"/>
      <c r="AR205" s="3664" t="s">
        <v>376</v>
      </c>
      <c r="AS205" s="3665"/>
      <c r="AT205" s="3636" t="s">
        <v>377</v>
      </c>
      <c r="AU205" s="3636"/>
      <c r="AV205" s="3664" t="s">
        <v>215</v>
      </c>
      <c r="AW205" s="2163"/>
      <c r="AX205" s="3682"/>
      <c r="AY205" s="3636" t="s">
        <v>210</v>
      </c>
      <c r="AZ205" s="3636"/>
      <c r="BA205" s="3636"/>
      <c r="BB205" s="3636"/>
      <c r="BC205" s="3636"/>
      <c r="BD205" s="3636"/>
      <c r="BE205" s="3636"/>
      <c r="BF205" s="3636"/>
      <c r="BG205" s="3636"/>
      <c r="BH205" s="3664" t="s">
        <v>376</v>
      </c>
      <c r="BI205" s="2163"/>
      <c r="BJ205" s="2163"/>
      <c r="BK205" s="2163"/>
      <c r="BL205" s="2163"/>
      <c r="BM205" s="2163"/>
      <c r="BN205" s="2163"/>
      <c r="BO205" s="3665"/>
      <c r="BP205" s="3636" t="s">
        <v>377</v>
      </c>
      <c r="BQ205" s="3636"/>
      <c r="BR205" s="3636"/>
      <c r="BS205" s="3636"/>
      <c r="BT205" s="3636"/>
      <c r="BU205" s="3636"/>
      <c r="BV205" s="3636"/>
      <c r="BW205" s="3636"/>
      <c r="BX205" s="3664" t="s">
        <v>215</v>
      </c>
      <c r="BY205" s="3665"/>
    </row>
    <row r="206" spans="1:80" ht="12.5">
      <c r="A206" s="482" t="str">
        <f t="shared" si="37"/>
        <v>VIS</v>
      </c>
      <c r="B206" s="459" t="str">
        <f>Worksheet!K85</f>
        <v xml:space="preserve"> VIS   7  7  7  7  7  7  7  7  7  7  7  7  7  7  7  7  7  7  7  7  7  7  7  7  7 </v>
      </c>
      <c r="C206" s="377"/>
      <c r="D206" s="377"/>
      <c r="E206" s="377"/>
      <c r="F206" s="377">
        <f>COUNTIF(G$189:G206,G206)</f>
        <v>1</v>
      </c>
      <c r="G206" s="410" t="str">
        <f t="shared" si="38"/>
        <v>VIS</v>
      </c>
      <c r="H206" s="403"/>
      <c r="I206" s="403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  <c r="T206" s="459"/>
      <c r="U206" s="459"/>
      <c r="V206" s="459"/>
      <c r="W206" s="459"/>
      <c r="X206" s="459"/>
      <c r="Y206" s="459"/>
      <c r="Z206" s="459"/>
      <c r="AA206" s="459"/>
      <c r="AB206" s="459"/>
      <c r="AE206" s="1923" t="s">
        <v>210</v>
      </c>
      <c r="AF206" s="1904" t="s">
        <v>211</v>
      </c>
      <c r="AG206" s="1924" t="s">
        <v>215</v>
      </c>
      <c r="AH206" s="3666" t="s">
        <v>210</v>
      </c>
      <c r="AI206" s="3667"/>
      <c r="AJ206" s="1904" t="s">
        <v>211</v>
      </c>
      <c r="AK206" s="1924" t="s">
        <v>215</v>
      </c>
      <c r="AL206" s="1923" t="s">
        <v>211</v>
      </c>
      <c r="AM206" s="1904" t="s">
        <v>215</v>
      </c>
      <c r="AN206" s="1147"/>
      <c r="AO206" s="1610" t="s">
        <v>2711</v>
      </c>
      <c r="AP206" s="1610" t="s">
        <v>2712</v>
      </c>
      <c r="AQ206" s="1610" t="s">
        <v>2713</v>
      </c>
      <c r="AR206" s="1142" t="s">
        <v>392</v>
      </c>
      <c r="AS206" s="1146" t="s">
        <v>2713</v>
      </c>
      <c r="AT206" s="1610" t="s">
        <v>392</v>
      </c>
      <c r="AU206" s="1610" t="s">
        <v>2713</v>
      </c>
      <c r="AV206" s="1142" t="s">
        <v>2714</v>
      </c>
      <c r="AW206" s="1143" t="s">
        <v>2713</v>
      </c>
      <c r="AX206" s="1609" t="s">
        <v>392</v>
      </c>
      <c r="AY206" s="1610" t="s">
        <v>2715</v>
      </c>
      <c r="AZ206" s="1610" t="s">
        <v>2716</v>
      </c>
      <c r="BA206" s="66" t="s">
        <v>2717</v>
      </c>
      <c r="BB206" s="66" t="s">
        <v>353</v>
      </c>
      <c r="BC206" s="1610" t="s">
        <v>2718</v>
      </c>
      <c r="BD206" s="1610"/>
      <c r="BE206" s="1610"/>
      <c r="BF206" s="1610"/>
      <c r="BG206" s="66" t="s">
        <v>2719</v>
      </c>
      <c r="BH206" s="1142" t="s">
        <v>333</v>
      </c>
      <c r="BI206" s="1143" t="s">
        <v>2719</v>
      </c>
      <c r="BJ206" s="1143" t="s">
        <v>2720</v>
      </c>
      <c r="BK206" s="1143" t="s">
        <v>2721</v>
      </c>
      <c r="BL206" s="1143" t="s">
        <v>2722</v>
      </c>
      <c r="BM206" s="1143" t="s">
        <v>2723</v>
      </c>
      <c r="BN206" s="1143" t="s">
        <v>2718</v>
      </c>
      <c r="BO206" s="1144" t="s">
        <v>353</v>
      </c>
      <c r="BP206" s="1610" t="s">
        <v>333</v>
      </c>
      <c r="BQ206" s="1610" t="s">
        <v>2719</v>
      </c>
      <c r="BR206" s="1610" t="s">
        <v>2720</v>
      </c>
      <c r="BS206" s="1610" t="s">
        <v>2721</v>
      </c>
      <c r="BT206" s="1610" t="s">
        <v>2722</v>
      </c>
      <c r="BU206" s="1610" t="s">
        <v>2723</v>
      </c>
      <c r="BV206" s="1610" t="s">
        <v>2718</v>
      </c>
      <c r="BW206" s="1610" t="s">
        <v>2724</v>
      </c>
      <c r="BX206" s="1142" t="s">
        <v>333</v>
      </c>
      <c r="BY206" s="1144" t="s">
        <v>2718</v>
      </c>
    </row>
    <row r="207" spans="1:80" ht="12.5">
      <c r="A207" s="482" t="str">
        <f t="shared" si="37"/>
        <v>CVS</v>
      </c>
      <c r="B207" s="459" t="str">
        <f>Worksheet!K86</f>
        <v xml:space="preserve"> CVS   7  7  7  7  7  7  7  7  7  7  7  7  7  7  7  7  7  7  7  7  7  7  7  7  7 </v>
      </c>
      <c r="C207" s="377"/>
      <c r="D207" s="377"/>
      <c r="E207" s="377"/>
      <c r="F207" s="377">
        <f>COUNTIF(G$189:G207,G207)</f>
        <v>1</v>
      </c>
      <c r="G207" s="410" t="str">
        <f t="shared" si="38"/>
        <v>CVS</v>
      </c>
      <c r="H207" s="403"/>
      <c r="I207" s="403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  <c r="T207" s="459"/>
      <c r="U207" s="459"/>
      <c r="V207" s="459"/>
      <c r="W207" s="459"/>
      <c r="X207" s="459"/>
      <c r="Y207" s="459"/>
      <c r="Z207" s="459"/>
      <c r="AA207" s="459"/>
      <c r="AB207" s="459"/>
      <c r="AC207" s="975">
        <f>MROUND(Worksheet!AF68-1.5,1/24)</f>
        <v>44747.041666666664</v>
      </c>
      <c r="AD207" s="1610" t="str">
        <f>IF(AND(HOUR(AC207)=HOUR(Worksheet!AF$68),DAY(AC207)=DAY(Worksheet!AF$68)),"START","")</f>
        <v/>
      </c>
      <c r="AE207" s="1149" t="str">
        <f>IF(AND(HOUR(AC207)=HOUR($F$186),DAY(AC207)=DAY($F$186)),(MID($B$189,6,3))*1,"")</f>
        <v/>
      </c>
      <c r="AF207" s="1164" t="str">
        <f>IF(AC207&lt;($AE$197-0.001),"",IF(MOD(HOUR(AC207),3)=0,(MID($B$219,3+ROUND((9*((AC207-$AE$197)*8)),1),6)*1)*1.8-459.67,IF(MOD(HOUR(AC207),3)=1,(AF209-AF206)/3+AF206,(2*(AF208-AF205)/3)+AF205)))</f>
        <v/>
      </c>
      <c r="AG207" s="1150" t="str">
        <f>IF(OR(AC207&lt;($B$237-0.001),AC207&gt;(MAX($B$241:$B$321)+0.001)),"",IF(OR(ISNUMBER(MATCH(AC207,$W$241:$W$321,0)),MOD(HOUR(AC207),3)=0),LOOKUP(AC207,$B$241:$B$321,$Y$241:$Y$321),IF(MOD(HOUR(AC207),3)=1,(AG209-AG206)/3+AG206,(2*(AG208-AG205)/3)+AG205)))</f>
        <v/>
      </c>
      <c r="AH207" s="1163" t="str">
        <f>IF(AND(HOUR(AC207)=HOUR($F$186),DAY(AC207)=DAY($F$186)),(MID($B$190,6,3))*1,"")</f>
        <v/>
      </c>
      <c r="AI207" s="1901" t="str">
        <f>IF(AH207="","",IF(AND(AE207&lt;0,AH207&gt;0),0-AH207,AH207))</f>
        <v/>
      </c>
      <c r="AJ207" s="1164" t="str">
        <f>IF(AC207&lt;($AE$197-0.001),"",IF(MOD(HOUR(AC207),3)=0,(MID($B$220,3+ROUND((9*((AC207-$AE$197)*8)),1),6)*1)*1.8-459.67,IF(MOD(HOUR(AC207),3)=1,(AJ209-AJ206)/3+AJ206,(2*(AJ208-AJ205)/3)+AJ205)))</f>
        <v/>
      </c>
      <c r="AK207" s="1150" t="str">
        <f>IF(OR(AC207&lt;($B$237-0.001),AC207&gt;(MAX($B$241:$B$321)+0.001)),"",IF(OR(ISNUMBER(MATCH(AC207,$W$241:$W$321,0)),MOD(HOUR(AC207),3)=0),LOOKUP(AC207,$B$241:$B$321,$Z$241:$Z$321),IF(MOD(HOUR(AC207),3)=1,(AK209-AK206)/3+AK206,(2*(AK208-AK205)/3)+AK205)))</f>
        <v/>
      </c>
      <c r="AL207" s="1152" t="str">
        <f t="shared" ref="AL207:AL231" si="39">IF(AC207&lt;($AE$197-0.001),"",IF(MOD(HOUR(AC207),3)=0,MID($B$218,4+ROUND((9*((AC207-$AE$197)*8)),1),5)*1,IF(MOD(HOUR(AC207),3)=1,(AL209-AL206)/3+AL206,(2*(AL208-AL205)/3)+AL205)))</f>
        <v/>
      </c>
      <c r="AM207" s="1153" t="str">
        <f>IF(OR(AC207&lt;($B$237-0.001),AC207&gt;(MAX($B$241:$B$321)+0.001)),"",IF(OR(ISNUMBER(MATCH(AC207,$W$241:$W$321,0)),MOD(HOUR(AC207),3)=0),LOOKUP(AC207,$B$241:$B$321,$C$241:$C$321),IF(MOD(HOUR(AC207),3)=1,(AM209-AM206)/3+AM206,(2*(AM208-AM205)/3)+AM205)))</f>
        <v/>
      </c>
      <c r="AN207" s="1147"/>
      <c r="AO207" s="976" t="str">
        <f>IF(BA207="Y",AP207,IF(AND(ISNUMBER(AO206),AC207&lt;$F$186+26/25),(MID(INDEX($A$187:$B$210,MATCH("CIG",$A$187:$A$210,0),2),8+(3*COUNT($AO206:AO$207)),1))*1,IF(AND(HOUR(AC207)=HOUR($F$186),DAY(AC207)=DAY($F$186)),(MID(INDEX($A$187:$B$210,MATCH("CIG",$A$187:$A$210,0),2),8,1))*1,"")))</f>
        <v/>
      </c>
      <c r="AP207" s="1061" t="str">
        <f>IF(AND(ISNUMBER(AP206),AC207&lt;$F$186+26/25),(MID(INDEX($A$187:$B$210,MATCH("CCG",$A$187:$A$210,0),2),8+(3*COUNT($AP206:AP$207)),1))*1,IF(AND(HOUR(AC207)=HOUR($F$186),DAY(AC207)=DAY($F$186)),(MID(INDEX($A$187:$B$210,MATCH("CCG",$A$187:$A$210,0),2),8,1))*1,""))</f>
        <v/>
      </c>
      <c r="AQ207" s="1061" t="str">
        <f>IF(AND(HOUR(AC207)=HOUR($F$186),DAY(AC207)=DAY($F$186)),MID(INDEX($A$187:$B$210,MATCH("CLD",$A$187:$A$210,0),2),7,2),"")</f>
        <v/>
      </c>
      <c r="AR207" s="1149" t="str">
        <f>IF(OR(AC207&lt;($F$373-0.001),AC207&gt;($F$374+0.001)),"",IF(MOD(HOUR(AC207),3)=0,(MID(INDEX($A$369:$B$392,MATCH("CIG",$A$369:$A$392,0),2),8+(3*(AC207-$F$373)/3),1))*1,IF(MOD(HOUR(AC208),3)=0,AR208,"")))</f>
        <v/>
      </c>
      <c r="AS207" s="1150" t="str">
        <f>IF(OR(AC207&lt;($F$373-0.001),AC207&gt;($F$374+0.001)),"",IF(AC207-$F$373&lt;2.24,IF(MOD(HOUR(AC207),3)=0,(MID(INDEX($A$369:$B$392,MATCH("CLD",$A$369:$A$392,0),2),7+(3*(AC207-$F$373)*8),2)),IF(MOD(HOUR(AC208),3)=0,AS208,"")),IF(MOD(HOUR(AC207),6)=0,(MID(INDEX($A$369:$B$392,MATCH("CLD",$A$369:$A$392,0),2),61+(3*(ROUND(((AC207-$F$373)-2.25)*4,1))),2)),"")))</f>
        <v/>
      </c>
      <c r="AT207" s="112" t="str">
        <f>IF(OR(AC207&lt;($F$345-0.001),AC207&gt;($F$346+0.001)),"",IF(MOD(HOUR(AC207),3)=0,(MID(INDEX($A$344:$B$369,MATCH("CIG",$A$344:$A$369,0),2),8+(3*(AC207-$F$345)/3),1))*1,IF(MOD(HOUR(AC208),3)=0,AT208,"")))</f>
        <v/>
      </c>
      <c r="AU207" s="1610" t="str">
        <f>IF(OR(AC207&lt;($F$345-0.001),AC207&gt;($F$346+0.001)),"",IF(AC207-$F$345&lt;2.24,IF(MOD(HOUR(AC207),3)=0,(MID(INDEX($A$344:$B$369,MATCH("CLD",$A$344:$A$369,0),2),7+(3*(AC207-$F$345)*8),2)),IF(MOD(HOUR(AC208),3)=0,AU208,"")),IF(MOD(HOUR(AC207),6)=0,(MID(INDEX($A$344:$B$369,MATCH("CLD",$A$344:$A$369,0),2),61+(3*(ROUND(((AC207-$F$345)-2.25)*4,1))),2)),"")))</f>
        <v/>
      </c>
      <c r="AV207" s="1148" t="str">
        <f>IF(OR(AC207&lt;($B$237-0.001),AC207&gt;(MAX($B$241:$B$321)+0.001)),"",IF(OR(ISNUMBER(MATCH(AC207,$W$241:$W$321,0)),MOD(HOUR(AC207),3)=0),LOOKUP(AC207,$B$241:$B$321,$E$241:$E$321),IF(MOD(HOUR(AC207),3)=1,IF(OR(AV209="",AV206=""),MAX(AV209,AV206),(AV209-AV206)/3+AV206),IF(OR(AV208="",AV205=""),MAX(AV208,AV205),(2*(AV208-AV205)/3)+AV205))))</f>
        <v/>
      </c>
      <c r="AW207" s="920" t="str">
        <f>IF(AV207="","",IF(AV207&gt;90,"OVC",IF(AV207&lt;51,"SCT","BKN")))</f>
        <v/>
      </c>
      <c r="AX207" s="1608" t="str">
        <f>IF(OR(AC207&lt;($B$237-0.001),AC207&gt;(MAX($B$241:$B$321)+0.001)),"",IF(OR(ISNUMBER(MATCH(AC207,$W$241:$W$321,0)),MOD(HOUR(AC207),3)=0),LOOKUP(AC207,$B$241:$B$321,$I$241:$I$321),IF(MOD(HOUR(AC207),3)=1,IF(OR(AX209="",AX206=""),MAX(AX209,AX206),(AX209-AX206)/3+AX206),IF(OR(AX208="",AX205=""),MAX(AX208,AX205),(2*(AX208-AX205)/3)+AX205))))</f>
        <v/>
      </c>
      <c r="AY207" s="112" t="str">
        <f>IF(BA207="Y",AZ207,IF(AND(ISNUMBER(AY206),AC207&lt;$F$186+26/25),(MID(INDEX($A$187:$B$210,MATCH("VIS",$A$187:$A$210,0),2),8+(3*COUNT($AY$206:AY207)),1))*1,IF(AND(HOUR(AC207)=HOUR($F$186),DAY(AC207)=DAY($F$186)),(MID(INDEX($A$187:$B$210,MATCH("VIS",$A$187:$A$210,0),2),8,1))*1,"")))</f>
        <v/>
      </c>
      <c r="AZ207" s="112" t="str">
        <f>IF(AND(ISNUMBER(AZ206),AC207&lt;$F$186+26/25),(MID(INDEX($A$187:$B$210,MATCH("CVS",$A$187:$A$210,0),2),8+(3*COUNT($AZ$206:AZ207)),1))*1,IF(AND(HOUR(AC207)=HOUR($F$186),DAY(AC207)=DAY($F$186)),(MID(INDEX($A$187:$B$210,MATCH("CVS",$A$187:$A$210,0),2),8,1))*1,""))</f>
        <v/>
      </c>
      <c r="BA207" s="1610" t="str">
        <f>IF(AND(HOUR(AC207)=HOUR($F$186),DAY(AC207)=DAY($F$186)),MID(INDEX($A$187:$B$210,MATCH("PCO",$A$187:$A$210,0),2),8,1),"")</f>
        <v/>
      </c>
      <c r="BB207" s="1610" t="str">
        <f>IF(AND(HOUR(AC207)=HOUR($F$186),DAY(AC207)=DAY($F$186)),MID(INDEX($A$187:$B$210,MATCH("TYP",$A$187:$A$210,0),2),8,1),"")</f>
        <v/>
      </c>
      <c r="BC207" s="112" t="str">
        <f>IF(AND(LEN(BC206)=2,AC207&lt;$F$186+26/25),MID(INDEX($A$187:$B$211,MATCH("OBV",$A$187:$A$211,0),2),7+(3*SUM(COUNTIF($BC206:BC$207," N"),COUNTIF($BC206:BC$207,"HZ"),COUNTIF($BC206:BC$207,"BR"),COUNTIF($BC206:BC$207,"FG"),COUNTIF($BC206:BC$207,"BL"))),2),IF(AND(HOUR(AC207)=HOUR($F$186),DAY(AC207)=DAY($F$186)),MID(INDEX($A$187:$B$211,MATCH("OBV",$A$187:$A$211,0),2),7,2),""))</f>
        <v/>
      </c>
      <c r="BD207" s="112"/>
      <c r="BE207" s="112"/>
      <c r="BF207" s="112"/>
      <c r="BG207" s="1610" t="str">
        <f t="shared" ref="BG207:BG244" si="40">IF(BA207="Y",IF(ISERROR(BB207),"RA",BB207),IF(AY207=7,IF(OR(BC207="BR",BC207="HZ")," N",BC207),BC207))</f>
        <v/>
      </c>
      <c r="BH207" s="115" t="str">
        <f>IF(OR(AC207&lt;($F$373-0.001),AC207&gt;($F$374+0.001)),"",IF(MOD(HOUR(AC207),3)=0,(MID(INDEX($A$370:$B$392,MATCH("VIS",$A$370:$A$392,0),2),8+(3*(AC207-$F$373)/3),1))*1,IF(MOD(HOUR(AC208),3)=0,BH208,"")))</f>
        <v/>
      </c>
      <c r="BI207" s="200" t="str">
        <f t="shared" ref="BI207:BI217" si="41">IF(AND(BM207&lt;&gt;"",BM207&gt;49.9),"TS",IF(BK207="","",IF(BK207&gt;49.9,IF(IF(ISERROR(BW208),"RA",IF(BO207=" S","SN",IF(BO207=" R","RA",IF(BO207=" Z","FZ",""))))="","UP",IF(ISERROR(BO207),"RA",IF(BO207=" S","SN",IF(BO207=" R","RA",IF(BO207=" Z","FZ",""))))),IF(BH207&lt;7,IF(BK207&lt;30,"BR",IF(ISERROR(BO207),"RA",IF(BO207=" S","SN",IF(BO207=" R","RA",IF(BO207=" Z","FZ",""))))),""))))</f>
        <v/>
      </c>
      <c r="BJ207" s="62" t="str">
        <f t="shared" ref="BJ207:BJ216" si="42">IF(AC207=$F$373,MID(INDEX($A$369:$B$393,MATCH("P06",$A$369:$A$393,0),2),12,3)*1,IF(OR(AC207&lt;($F$373+0.01),AC207&gt;($F$374+0.001)),"",IF(AC207-$F$373&lt;2.49,IF(MOD(HOUR(AC207),6)=0,(MID(INDEX($A$370:$B$392,MATCH("P06",$A$370:$A$392,0),2),12+(6*(AC207-($F$373+0.25))*4),3))*1,""),IF(MOD(HOUR(AC207),6)=0,(MID(INDEX($A$370:$B$392,MATCH("P06",$A$370:$A$392,0),2),63+(3*(ROUND(((AC207-$F$373-2.5)*4),3))),3))*1,""))))</f>
        <v/>
      </c>
      <c r="BK207" s="1145" t="str">
        <f>IF(COUNT(BJ207:BJ212)&gt;0,IF(MOD(HOUR(AC207),6)=0,AVERAGE(MAX(BJ207:BJ213),MIN(BJ207:BJ213)),IF(MOD(HOUR(AC207),3)=0,MAX(BJ208:BJ213),IF(MOD(HOUR(AC206),3)=0,"",BK208))),"")</f>
        <v/>
      </c>
      <c r="BL207" s="62" t="str">
        <f t="shared" ref="BL207:BL217" si="43">IF(AC207=$F$373,MID(INDEX($A$369:$B$393,MATCH("T06",$A$369:$A$393,0),2),9,3)*1,IF(OR(AC207&lt;($F$373+0.01),AC207&gt;($F$374+0.001)),"",IF(AC207-$F$373&lt;2.49,IF(MOD(HOUR(AC207),6)=0,(MID(INDEX($A$370:$B$392,MATCH("T06",$A$370:$A$392,0),2),10+(6*(AC207-($F$373+0.25))*4),2))*1,""),IF(ROUND(AC207,2)=$F$374,(MID(INDEX($A$370:$B$392,MATCH("T06",$A$370:$A$392,0),2),64,2))*1,""))))</f>
        <v/>
      </c>
      <c r="BM207" s="1145" t="str">
        <f>IF(COUNT(BL207:BL212)&gt;0,IF(MOD(HOUR(AC207),6)=0,AVERAGE(MAX(BL207:BL213),MIN(BL207:BL213)),IF(MOD(HOUR(AC207),3)=0,MAX(BL208:BL213),IF(MOD(HOUR(AC206),3)=0,"",BM208))),"")</f>
        <v/>
      </c>
      <c r="BN207" s="1901" t="str">
        <f t="shared" ref="BN207:BN241" si="44">IF(ISERROR(MATCH("OBV",$A$370:$A$394,0)),"",IF(OR(AC207&lt;($F$373-0.001),AC207&gt;($F$374+0.001)),"",IF(AC207-$F$373&lt;2.24,IF(MOD(HOUR(AC207),3)=0,MID(INDEX($A$370:$B$394,MATCH("OBV",$A$370:$A$394,0),2),7+(3*(AC207-$F$373)*8),2),IF(MOD(HOUR(AC206),3)=0,BN206,BN208)),IF(MOD(HOUR(AC207),6)=0,MID(INDEX($A$370:$B$394,MATCH("OBV",$A$370:$A$394,0),2),61+(3*(ROUND(((AC207-$F$373)-2.25)*4,2))),2),""))))</f>
        <v/>
      </c>
      <c r="BO207" s="1144" t="str">
        <f t="shared" ref="BO207:BO217" si="45">IF(OR($AC207&lt;($F$373-0.001),$AC207&gt;($F$374+0.001)),"",IF($AC207-$F$373&lt;2.24,IF(MOD(HOUR($AC207),3)=0,MID(INDEX($A$369:$B$392,MATCH("TYP",$A$369:$A$392,0),2),7+(3*($AC207-$F$373)*8),2),IF(MOD(HOUR($AC206),3)=0,BO206,BO208)),IF(MOD(HOUR($AC207),6)=0,MID(INDEX($A$369:$B$392,MATCH("TYP",$A$369:$A$392,0),2),61+(3*(ROUND((($AC207-$F$373)-2.25)*4,2))),2),"")))</f>
        <v/>
      </c>
      <c r="BP207" s="106" t="str">
        <f>IF(OR($AC207&lt;($F$345-0.001),$AC207&gt;($F$346+0.001)),"",IF($AC207-$F$345&lt;2.24,IF(MOD(HOUR($AC207),3)=0,(MID(INDEX($A$344:$B$369,MATCH("VIS",$A$344:$A$369,0),2),8+(3*($AC207-$F$345)*8),1))*1,BP208),IF(MOD(HOUR($AC207),6)=0,(MID(INDEX($A$344:$B$369,MATCH("VIS",$A$344:$A$369,0),2),62+(3*(ROUND((($AC207-$F$345)-2.25)*4,1))),1))*1,"")))</f>
        <v/>
      </c>
      <c r="BQ207" s="66" t="str">
        <f t="shared" ref="BQ207:BQ217" si="46">IF(AND(BU207&lt;&gt;"",BU207&gt;49.9),"TS",IF(BS207="","",IF(BS207&gt;49.9,IF(IF(ISERROR(BW207),"RA",IF(BW207=" S","SN",IF(BW207=" R","RA",IF(BW207=" Z","FZ",""))))="","UP",IF(ISERROR(BW207),"RA",IF(BW207=" 8","SN",IF(BW207=" R","RA",IF(BW207=" Z","FZ",""))))),IF(BP207&lt;7,IF(BS207&lt;30,IF(BV207=" N","BR",BV207),IF(IF(ISERROR(BW207),"RA",IF(BW207=" S","SN",IF(BW207=" R","RA",IF(BW207=" Z","FZ",""))))="",IF(BV207=" N","",BV207),IF(ISERROR(BW207),"RA",IF(BW207=" S","SN",IF(BW207=" R","RA",IF(BW207=" Z","FZ","")))))),""))))</f>
        <v/>
      </c>
      <c r="BR207" s="106" t="str">
        <f t="shared" ref="BR207:BR217" si="47">IF(AC207=$F$345,MID(INDEX($A$344:$B$369,MATCH("P06",$A$344:$A$369,0),2),12,3)*1,IF(OR($AC207&lt;($F$345+0.01),$AC207&gt;($F$346+0.001)),"",IF($AC207-$F$345&lt;2.49,IF(MOD(HOUR($AC207),6)=0,(MID(INDEX($A$344:$B$369,MATCH("P06",$A$344:$A$369,0),2),12+(6*($AC207-($F$345+0.25))*4),3))*1,""),IF(MOD(HOUR($AC207),6)=0,(MID(INDEX($A$344:$B$369,MATCH("P06",$A$344:$A$369,0),2),63+(3*(ROUND((($AC207-$F$345-2.5)*4),3))),3))*1,""))))</f>
        <v/>
      </c>
      <c r="BS207" s="834" t="str">
        <f>IF(COUNT(BR207:BR212)&gt;0,IF(MOD(HOUR(AC207),6)=0,AVERAGE(MAX(BR207:BR213),MIN(BR207:BR213)),IF(MOD(HOUR(AC207),3)=0,MAX(BR208:BR213),BS208)),"")</f>
        <v/>
      </c>
      <c r="BT207" s="106" t="str">
        <f t="shared" ref="BT207:BT217" si="48">IF(AC207=$F$345,MID(INDEX($A$344:$B$369,MATCH("T06",$A$344:$A$369,0),2),9,3)*1,IF(OR($AC207&lt;($F$345+0.01),$AC207&gt;($F$346+0.001)),"",IF($AC207-$F$345&lt;2.49,IF(MOD(HOUR($AC207),6)=0,(MID(INDEX($A$344:$B$369,MATCH("T06",$A$344:$A$369,0),2),10+(6*($AC207-($F$345+0.25))*4),2))*1,""),IF(ROUND($AC207,2)=$F$346,(MID(INDEX($A$344:$B$369,MATCH("T06",$A$344:$A$369,0),2),64,2))*1,""))))</f>
        <v/>
      </c>
      <c r="BU207" s="834" t="str">
        <f>IF(COUNT(BT207:BT212)&gt;0,IF(MOD(HOUR(AC207),6)=0,AVERAGE(MAX(BT207:BT213),MIN(BT207:BT213)),IF(MOD(HOUR(AC207),3)=0,MAX(BT208:BT213),BU208)),"")</f>
        <v/>
      </c>
      <c r="BV207" s="66" t="str">
        <f>IF(OR($AC207&lt;($F$345-0.001),$AC207&gt;($F$346+0.001)),"",IF($AC207-$F$345&lt;2.24,IF(MOD(HOUR($AC207),3)=0,MID(INDEX($A$344:$B$369,MATCH("OBV",$A$344:$A$369,0),2),7+(3*($AC207-$F$345)*8),2),BV208),IF(MOD(HOUR($AC207),6)=0,MID(INDEX($A$344:$B$369,MATCH("OBV",$A$344:$A$369,0),2),61+(3*(ROUND((($AC207-$F$345)-2.25)*4,2))),2),"")))</f>
        <v/>
      </c>
      <c r="BW207" s="66" t="str">
        <f>IF(OR($AC207&lt;($F$345-0.001),$AC207&gt;($F$346+0.001)),"",IF($AC207-$F$345&lt;2.24,IF(MOD(HOUR($AC207),3)=0,MID(INDEX($A$344:$B$369,MATCH("TYP",$A$344:$A$369,0),2),7+(3*($AC207-$F$345)*8),2),BW208),IF(MOD(HOUR($AC207),6)=0,MID(INDEX($A$344:$B$369,MATCH("TYP",$A$344:$A$369,0),2),61+(3*(ROUND((($AC207-$F$345)-2.25)*4,2))),2),"")))</f>
        <v/>
      </c>
      <c r="BX207" s="1198" t="str">
        <f>IF(OR(AC207&lt;($B$237-0.001),AC207&gt;(MAX($B$241:$B$321)+0.001)),"",IF(OR(ISNUMBER(MATCH(AC207,$W$241:$W$321,0)),MOD(HOUR(AC207),3)=0),ROUND(LOOKUP(AC207,$B$241:$B$321,$S$241:$S$321),0),ROUND(IF(MOD(HOUR(AC207),3)=1,(BX209-BX206)/3+BX206,(2*(BX208-BX205)/3)+BX205),0)))</f>
        <v/>
      </c>
      <c r="BY207" s="1146" t="str">
        <f>IF(OR(AC207&lt;($B$237-0.001),AC207&gt;(MAX($B$241:$B$321)+0.001)),"",IF(OR(ISNUMBER(MATCH(AC207,$W$241:$W$321,0)),MOD(HOUR(AC207),3)=0),LOOKUP(AC207,$B$241:$B$321,$T$241:$T$321),IF(MOD(HOUR(AC206),3)=0,IF(AND(BX207&lt;7,BY206="NSW"),BY208,BY206),IF(AND(BX207&lt;7,BY208="NSW"),BY206,BY208))))</f>
        <v/>
      </c>
      <c r="CA207" s="3675">
        <f>AC207</f>
        <v>44747.041666666664</v>
      </c>
      <c r="CB207" s="3675"/>
    </row>
    <row r="208" spans="1:80" ht="12.5">
      <c r="A208" s="482" t="str">
        <f t="shared" si="37"/>
        <v>OBV</v>
      </c>
      <c r="B208" s="459" t="str">
        <f>Worksheet!K87</f>
        <v xml:space="preserve"> OBV   N  N  N  N  N  N  N  N  N  N  N  N  N  N  N  N  N  N  N  N  N  N  N  N  N</v>
      </c>
      <c r="C208" s="377"/>
      <c r="D208" s="377"/>
      <c r="E208" s="377"/>
      <c r="F208" s="377">
        <f>COUNTIF(G$189:G208,G208)</f>
        <v>1</v>
      </c>
      <c r="G208" s="410" t="str">
        <f t="shared" si="38"/>
        <v>OBV</v>
      </c>
      <c r="H208" s="403"/>
      <c r="I208" s="403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  <c r="T208" s="459"/>
      <c r="U208" s="459"/>
      <c r="V208" s="459"/>
      <c r="W208" s="459"/>
      <c r="X208" s="459"/>
      <c r="Y208" s="459"/>
      <c r="Z208" s="459"/>
      <c r="AA208" s="459"/>
      <c r="AB208" s="459"/>
      <c r="AC208" s="977">
        <f>MROUND(AC207+1/24,1/24)</f>
        <v>44747.083333333328</v>
      </c>
      <c r="AD208" s="1610" t="str">
        <f>IF(AND(HOUR(AC208)=HOUR(Worksheet!AF$68),DAY(AC208)=DAY(Worksheet!AF$68)),"START","")</f>
        <v/>
      </c>
      <c r="AE208" s="1149" t="str">
        <f>IF(AND(HOUR(AC208)=HOUR($F$186),DAY(AC208)=DAY($F$186)),(MID($B$189,6,3))*1,IF(AND(ISNUMBER(AE207),AC208&lt;$F$186+1+(1/25)),(MID($B$189,6+(3*COUNT($AE$207:AE207)),3))*1,""))</f>
        <v/>
      </c>
      <c r="AF208" s="1164" t="str">
        <f t="shared" ref="AF208:AF227" si="49">IF(AC208&lt;($AE$197-0.001),"",IF(MOD(HOUR(AC208),3)=0,(MID($B$219,3+ROUND((9*((AC208-$AE$197)*8)),1),6)*1)*1.8-459.67,IF(MOD(HOUR(AC208),3)=1,(AF210-AF207)/3+AF207,(2*(AF209-AF206)/3)+AF206)))</f>
        <v/>
      </c>
      <c r="AG208" s="1150" t="str">
        <f t="shared" ref="AG208:AG271" si="50">IF(OR(AC208&lt;($B$237-0.001),AC208&gt;(MAX($B$241:$B$321)+0.001)),"",IF(OR(ISNUMBER(MATCH(AC208,$W$241:$W$321,0)),MOD(HOUR(AC208),3)=0),LOOKUP(AC208,$B$241:$B$321,$Y$241:$Y$321),IF(MOD(HOUR(AC208),3)=1,(AG210-AG207)/3+AG207,(2*(AG209-AG206)/3)+AG206)))</f>
        <v/>
      </c>
      <c r="AH208" s="1163" t="str">
        <f>IF(AND(ISNUMBER(AH207),AC208&lt;$F$186+26/25),(MID($B$190,6+(3*COUNT($AH$207:AH207)),3))*1,IF(AND(HOUR(AC208)=HOUR($F$186),DAY(AC208)=DAY($F$186)),(MID($B$190,6,3))*1,""))</f>
        <v/>
      </c>
      <c r="AI208" s="1901" t="str">
        <f t="shared" ref="AI208:AI213" si="51">IF(AH208="","",IF(AND(AE208&lt;0,AH208&gt;0),0-AH208,AH208))</f>
        <v/>
      </c>
      <c r="AJ208" s="1164" t="str">
        <f t="shared" ref="AJ208:AJ271" si="52">IF(AC208&lt;($AE$197-0.001),"",IF(MOD(HOUR(AC208),3)=0,(MID($B$220,3+ROUND((9*((AC208-$AE$197)*8)),1),6)*1)*1.8-459.67,IF(MOD(HOUR(AC208),3)=1,(AJ210-AJ207)/3+AJ207,(2*(AJ209-AJ206)/3)+AJ206)))</f>
        <v/>
      </c>
      <c r="AK208" s="1150" t="str">
        <f t="shared" ref="AK208:AK271" si="53">IF(OR(AC208&lt;($B$237-0.001),AC208&gt;(MAX($B$241:$B$321)+0.001)),"",IF(OR(ISNUMBER(MATCH(AC208,$W$241:$W$321,0)),MOD(HOUR(AC208),3)=0),LOOKUP(AC208,$B$241:$B$321,$Z$241:$Z$321),IF(MOD(HOUR(AC208),3)=1,(AK210-AK207)/3+AK207,(2*(AK209-AK206)/3)+AK206)))</f>
        <v/>
      </c>
      <c r="AL208" s="1152" t="str">
        <f t="shared" si="39"/>
        <v/>
      </c>
      <c r="AM208" s="1153" t="str">
        <f t="shared" ref="AM208:AM271" si="54">IF(OR(AC208&lt;($B$237-0.001),AC208&gt;(MAX($B$241:$B$321)+0.001)),"",IF(OR(ISNUMBER(MATCH(AC208,$W$241:$W$321,0)),MOD(HOUR(AC208),3)=0),LOOKUP(AC208,$B$241:$B$321,$C$241:$C$321),IF(MOD(HOUR(AC208),3)=1,(AM210-AM207)/3+AM207,(2*(AM209-AM206)/3)+AM206)))</f>
        <v/>
      </c>
      <c r="AN208" s="1147"/>
      <c r="AO208" s="976" t="str">
        <f>IF(BA208="Y",AP208,IF(AND(ISNUMBER(AO207),AC208&lt;$F$186+26/25),(MID(INDEX($A$187:$B$210,MATCH("CIG",$A$187:$A$210,0),2),8+(3*COUNT($AO$207:AO207)),1))*1,IF(AND(HOUR(AC208)=HOUR($F$186),DAY(AC208)=DAY($F$186)),(MID(INDEX($A$187:$B$210,MATCH("CIG",$A$187:$A$210,0),2),8,1))*1,"")))</f>
        <v/>
      </c>
      <c r="AP208" s="1061" t="str">
        <f>IF(AND(ISNUMBER(AP207),AC208&lt;$F$186+26/25),(MID(INDEX($A$187:$B$210,MATCH("CCG",$A$187:$A$210,0),2),8+(3*COUNT($AP$207:AP207)),1))*1,IF(AND(HOUR(AC208)=HOUR($F$186),DAY(AC208)=DAY($F$186)),(MID(INDEX($A$187:$B$210,MATCH("CCG",$A$187:$A$210,0),2),8,1))*1,""))</f>
        <v/>
      </c>
      <c r="AQ208" s="1061" t="str">
        <f>IF(AND(AQ207&lt;&gt;"",AC208&lt;$F$186+26/25),MID(INDEX($A$187:$B$210,MATCH("CLD",$A$187:$A$210,0),2),7+(3*SUM(COUNTIF($AQ$207:AQ207,"OV"),COUNTIF($AQ$207:AQ207,"BK"),COUNTIF($AQ$207:AQ207,"SC"),COUNTIF($AQ$207:AQ207,"FW"),COUNTIF($AQ$207:AQ207,"CL"))),2),IF(AND(HOUR(AC208)=HOUR($F$186),DAY(AC208)=DAY($F$186)),MID(INDEX($A$187:$B$210,MATCH("CLD",$A$187:$A$210,0),2),7,2),""))</f>
        <v/>
      </c>
      <c r="AR208" s="1149" t="str">
        <f t="shared" ref="AR208:AR239" si="55">IF(OR(AC208&lt;($F$373-0.001),AC208&gt;($F$374+0.001)),"",IF(AC208-$F$373&lt;2.24,IF(MOD(HOUR(AC208),3)=0,(MID(INDEX($A$369:$B$392,MATCH("CIG",$A$369:$A$392,0),2),8+(3*(AC208-$F$373)*8),1))*1,IF(MOD(HOUR(AC207),3)=0,AR207,AR209)),IF(MOD(HOUR(AC208),6)=0,(MID(INDEX($A$369:$B$392,MATCH("CIG",$A$369:$A$392,0),2),62+(3*(ROUND(((AC208-$F$373)-2.25)*4,1))),1))*1,"")))</f>
        <v/>
      </c>
      <c r="AS208" s="1150" t="str">
        <f t="shared" ref="AS208:AS239" si="56">IF(OR(AC208&lt;($F$373-0.001),AC208&gt;($F$374+0.001)),"",IF(AC208-$F$373&lt;2.24,IF(MOD(HOUR(AC208),3)=0,(MID(INDEX($A$369:$B$392,MATCH("CLD",$A$369:$A$392,0),2),7+(3*(AC208-$F$373)*8),2)),IF(MOD(HOUR(AC207),3)=0,AS207,AS209)),IF(MOD(HOUR(AC208),6)=0,(MID(INDEX($A$369:$B$392,MATCH("CLD",$A$369:$A$392,0),2),61+(3*(ROUND(((AC208-$F$373)-2.25)*4,1))),2)),"")))</f>
        <v/>
      </c>
      <c r="AT208" s="112" t="str">
        <f t="shared" ref="AT208:AT239" si="57">IF(OR(AC208&lt;($F$345-0.001),AC208&gt;($F$346+0.001)),"",IF(AC208-$F$345&lt;2.24,IF(MOD(HOUR(AC208),3)=0,(MID(INDEX($A$344:$B$369,MATCH("CIG",$A$344:$A$369,0),2),8+(3*(AC208-$F$345)*8),1))*1,IF(MOD(HOUR(AC207),3)=0,AT207,AT209)),IF(MOD(HOUR(AC208),6)=0,(MID(INDEX($A$344:$B$369,MATCH("CIG",$A$344:$A$369,0),2),62+(3*(ROUND(((AC208-$F$345)-2.25)*4,1))),1))*1,"")))</f>
        <v/>
      </c>
      <c r="AU208" s="1610" t="str">
        <f t="shared" ref="AU208:AU239" si="58">IF(OR(AC208&lt;($F$345-0.001),AC208&gt;($F$346+0.001)),"",IF(AC208-$F$345&lt;2.24,IF(MOD(HOUR(AC208),3)=0,(MID(INDEX($A$344:$B$369,MATCH("CLD",$A$344:$A$369,0),2),7+(3*(AC208-$F$345)*8),2)),IF(MOD(HOUR(AC207),3)=0,AU207,AU209)),IF(MOD(HOUR(AC208),6)=0,(MID(INDEX($A$344:$B$369,MATCH("CLD",$A$344:$A$369,0),2),61+(3*(ROUND(((AC208-$F$345)-2.25)*4,1))),2)),"")))</f>
        <v/>
      </c>
      <c r="AV208" s="1148" t="str">
        <f t="shared" ref="AV208:AV234" si="59">IF(OR(AC208&lt;($B$237-0.001),AC208&gt;(MAX($B$241:$B$321)+0.001)),"",IF(OR(ISNUMBER(MATCH(AC208,$W$241:$W$321,0)),MOD(HOUR(AC208),3)=0),LOOKUP(AC208,$B$241:$B$321,$E$241:$E$321),IF(MOD(HOUR(AC208),3)=1,IF(OR(AV210="",AV207=""),MAX(AV210,AV207),(AV210-AV207)/3+AV207),IF(OR(AV209="",AV206=""),MAX(AV209,AV206),(2*(AV209-AV206)/3)+AV206))))</f>
        <v/>
      </c>
      <c r="AW208" s="920" t="str">
        <f t="shared" ref="AW208:AW234" si="60">IF(AV208="","",IF(AV208&gt;90,"OVC",IF(AV208&lt;51,"SCT","BKN")))</f>
        <v/>
      </c>
      <c r="AX208" s="1608" t="str">
        <f t="shared" ref="AX208:AX234" si="61">IF(OR(AC208&lt;($B$237-0.001),AC208&gt;(MAX($B$241:$B$321)+0.001)),"",IF(OR(ISNUMBER(MATCH(AC208,$W$241:$W$321,0)),MOD(HOUR(AC208),3)=0),LOOKUP(AC208,$B$241:$B$321,$I$241:$I$321),IF(MOD(HOUR(AC208),3)=1,IF(OR(AX210="",AX207=""),MAX(AX210,AX207),(AX210-AX207)/3+AX207),IF(OR(AX209="",AX206=""),MAX(AX209,AX206),(2*(AX209-AX206)/3)+AX206))))</f>
        <v/>
      </c>
      <c r="AY208" s="112" t="str">
        <f>IF(BA208="Y",AZ208,IF(AND(ISNUMBER(AY207),AC208&lt;$F$186+26/25),(MID(INDEX($A$187:$B$210,MATCH("VIS",$A$187:$A$210,0),2),8+(3*COUNT($AY$207:AY207)),1))*1,IF(AND(HOUR(AC208)=HOUR($F$186),DAY(AC208)=DAY($F$186)),(MID(INDEX($A$187:$B$210,MATCH("VIS",$A$187:$A$210,0),2),8,1))*1,"")))</f>
        <v/>
      </c>
      <c r="AZ208" s="112" t="str">
        <f>IF(AND(ISNUMBER(AZ207),AC208&lt;$F$186+26/25),(MID(INDEX($A$187:$B$210,MATCH("CVS",$A$187:$A$210,0),2),8+(3*COUNT($AZ$207:AZ207)),1))*1,IF(AND(HOUR(AC208)=HOUR($F$186),DAY(AC208)=DAY($F$186)),(MID(INDEX($A$187:$B$210,MATCH("CVS",$A$187:$A$210,0),2),8,1))*1,""))</f>
        <v/>
      </c>
      <c r="BA208" s="1610" t="str">
        <f>IF(AND(BA207&lt;&gt;"",AC208&lt;$F$186+26/25),MID(INDEX($A$187:$B$210,MATCH("PCO",$A$187:$A$210,0),2),8+(3*SUM(COUNTIF($BA$207:BA207,"Y"),COUNTIF($BA$207:BA207,"N"))),1),IF(AND(HOUR(AC208)=HOUR($F$186),DAY(AC208)=DAY($F$186)),MID(INDEX($A$187:$B$210,MATCH("PCO",$A$187:$A$210,0),2),8,1),""))</f>
        <v/>
      </c>
      <c r="BB208" s="1610" t="str">
        <f>IF(AND(BB207&lt;&gt;"",AC208&lt;$F$186+26/25),MID(INDEX($A$187:$B$210,MATCH("TYP",$A$187:$A$210,0),2),8+(3*SUM(COUNTIF($BB$207:BB207,"S"),COUNTIF($BB$207:BB207,"Z"), COUNTIF($BB$207:BB207,"R"),COUNTIF($BB$207:BB207,"X"))),1),IF(AND(HOUR(AC208)=HOUR($F$186),DAY(AC208)=DAY($F$186)),MID(INDEX($A$187:$B$210,MATCH("TYP",$A$187:$A$210,0),2),8,1),""))</f>
        <v/>
      </c>
      <c r="BC208" s="112" t="str">
        <f>IF(AND(LEN(BC207)=2,AC208&lt;$F$186+26/25),MID(INDEX($A$187:$B$211,MATCH("OBV",$A$187:$A$211,0),2),7+(3*SUM(COUNTIF($BC$207:BC207," N"),COUNTIF($BC$207:BC207,"HZ"),COUNTIF($BC$207:BC207,"BR"),COUNTIF($BC$207:BC207,"FG"),COUNTIF($BC$207:BC207,"BL"))),2),IF(AND(HOUR(AC208)=HOUR($F$186),DAY(AC208)=DAY($F$186)),MID(INDEX($A$187:$B$211,MATCH("OBV",$A$187:$A$211,0),2),7,2),""))</f>
        <v/>
      </c>
      <c r="BD208" s="112"/>
      <c r="BE208" s="112"/>
      <c r="BF208" s="112"/>
      <c r="BG208" s="1610" t="str">
        <f t="shared" si="40"/>
        <v/>
      </c>
      <c r="BH208" s="115" t="str">
        <f t="shared" ref="BH208:BH239" si="62">IF(OR(AC208&lt;($F$373-0.001),AC208&gt;($F$374+0.001)),"",IF(AC208-$F$373&lt;2.24,IF(MOD(HOUR(AC208),3)=0,(MID(INDEX($A$370:$B$392,MATCH("VIS",$A$370:$A$392,0),2),8+(3*(AC208-$F$373)*8),1))*1,IF(MOD(HOUR(AC207),3)=0,BH207,BH209)),IF(MOD(HOUR(AC208),6)=0,(MID(INDEX($A$370:$B$392,MATCH("VIS",$A$370:$A$392,0),2),62+(3*(ROUND(((AC208-$F$373)-2.25)*4,1))),1))*1,"")))</f>
        <v/>
      </c>
      <c r="BI208" s="200" t="str">
        <f t="shared" si="41"/>
        <v/>
      </c>
      <c r="BJ208" s="62" t="str">
        <f t="shared" si="42"/>
        <v/>
      </c>
      <c r="BK208" s="1145" t="str">
        <f>IF(COUNT(BJ208:BJ213)&gt;0,IF(MOD(HOUR(AC208),6)=0,AVERAGE(MAX(BJ208:BJ214),MIN(BJ208:BJ214)),IF(MOD(HOUR(AC208),3)=0,MAX(BJ209:BJ214),IF(MOD(HOUR(AC207),3)=0,BK207,BK209))),"")</f>
        <v/>
      </c>
      <c r="BL208" s="62" t="str">
        <f t="shared" si="43"/>
        <v/>
      </c>
      <c r="BM208" s="1145" t="str">
        <f>IF(COUNT(BL208:BL213)&gt;0,IF(MOD(HOUR(AC208),6)=0,AVERAGE(MAX(BL208:BL214),MIN(BL208:BL214)),IF(MOD(HOUR(AC208),3)=0,MAX(BL209:BL214),IF(MOD(HOUR(AC207),3)=0,BM207,BM209))),"")</f>
        <v/>
      </c>
      <c r="BN208" s="1901" t="str">
        <f t="shared" si="44"/>
        <v/>
      </c>
      <c r="BO208" s="1144" t="str">
        <f t="shared" si="45"/>
        <v/>
      </c>
      <c r="BP208" s="106" t="str">
        <f>IF(OR($AC208&lt;($F$345-0.001),$AC208&gt;($F$346+0.001)),"",IF($AC208-$F$345&lt;2.24,IF(MOD(HOUR($AC208),3)=0,(MID(INDEX($A$344:$B$369,MATCH("VIS",$A$344:$A$369,0),2),8+(3*($AC208-$F$345)*8),1))*1,IF(MOD(HOUR($AC207),3)=0,BP207,BP209)),IF(MOD(HOUR($AC208),6)=0,(MID(INDEX($A$344:$B$369,MATCH("VIS",$A$344:$A$369,0),2),62+(3*(ROUND((($AC208-$F$345)-2.25)*4,1))),1))*1,"")))</f>
        <v/>
      </c>
      <c r="BQ208" s="66" t="str">
        <f t="shared" si="46"/>
        <v/>
      </c>
      <c r="BR208" s="106" t="str">
        <f t="shared" si="47"/>
        <v/>
      </c>
      <c r="BS208" s="834" t="str">
        <f>IF(COUNT(BR208:BR213)&gt;0,IF(MOD(HOUR(AC208),6)=0,AVERAGE(MAX(BR208:BR214),MIN(BR208:BR214)),IF(MOD(HOUR(AC208),3)=0,MAX(BR209:BR214),IF(MOD(HOUR(AC207),3)=0,BS207,BS209))),"")</f>
        <v/>
      </c>
      <c r="BT208" s="106" t="str">
        <f t="shared" si="48"/>
        <v/>
      </c>
      <c r="BU208" s="834" t="str">
        <f t="shared" ref="BU208:BU271" si="63">IF(COUNT(BT208:BT213)&gt;0,IF(MOD(HOUR(AC208),6)=0,AVERAGE(MAX(BT208:BT214),MIN(BT208:BT214)),IF(MOD(HOUR(AC208),3)=0,MAX(BT209:BT214),IF(MOD(HOUR(AC207),3)=0,BU207,BU209))),"")</f>
        <v/>
      </c>
      <c r="BV208" s="66" t="str">
        <f t="shared" ref="BV208:BV239" si="64">IF(OR($AC208&lt;($F$345-0.001),$AC208&gt;($F$346+0.001)),"",IF($AC208-$F$345&lt;2.24,IF(MOD(HOUR($AC208),3)=0,MID(INDEX($A$344:$B$369,MATCH("OBV",$A$344:$A$369,0),2),7+(3*($AC208-$F$345)*8),2),IF(MOD(HOUR($AC207),3)=0,BV207,BV209)),IF(MOD(HOUR($AC208),6)=0,MID(INDEX($A$344:$B$369,MATCH("OBV",$A$344:$A$369,0),2),61+(3*(ROUND((($AC208-$F$345)-2.25)*4,2))),2),"")))</f>
        <v/>
      </c>
      <c r="BW208" s="66" t="str">
        <f t="shared" ref="BW208:BW239" si="65">IF(OR($AC208&lt;($F$345-0.001),$AC208&gt;($F$346+0.001)),"",IF($AC208-$F$345&lt;2.24,IF(MOD(HOUR($AC208),3)=0,MID(INDEX($A$344:$B$369,MATCH("TYP",$A$344:$A$369,0),2),7+(3*($AC208-$F$345)*8),2),IF(MOD(HOUR($AC207),3)=0,BW207,BW209)),IF(MOD(HOUR($AC208),6)=0,MID(INDEX($A$344:$B$369,MATCH("TYP",$A$344:$A$369,0),2),61+(3*(ROUND((($AC208-$F$345)-2.25)*4,2))),2),"")))</f>
        <v/>
      </c>
      <c r="BX208" s="1198" t="str">
        <f>IF(OR(AC208&lt;($B$237-0.001),AC208&gt;(MAX($B$241:$B$321)+0.001)),"",IF(OR(ISNUMBER(MATCH(AC208,$W$241:$W$321,0)),MOD(HOUR(AC208),3)=0),ROUND(LOOKUP(AC208,$B$241:$B$321,$S$241:$S$321),0),ROUND(IF(MOD(HOUR(AC208),3)=1,(BX210-BX207)/3+BX207,(2*(BX209-BX206)/3)+BX206),0)))</f>
        <v/>
      </c>
      <c r="BY208" s="1146" t="str">
        <f t="shared" ref="BY208:BY270" si="66">IF(OR(AC208&lt;($B$237-0.001),AC208&gt;(MAX($B$241:$B$321)+0.001)),"",IF(OR(ISNUMBER(MATCH(AC208,$W$241:$W$321,0)),MOD(HOUR(AC208),3)=0),LOOKUP(AC208,$B$241:$B$321,$T$241:$T$321),IF(MOD(HOUR(AC207),3)=0,IF(AND(BX208&lt;7,BY207="NSW"),BY209,BY207),IF(AND(BX208&lt;7,BY209="NSW"),BY207,BY209))))</f>
        <v/>
      </c>
      <c r="CA208" s="3675">
        <f t="shared" ref="CA208:CA271" si="67">AC208</f>
        <v>44747.083333333328</v>
      </c>
      <c r="CB208" s="3675"/>
    </row>
    <row r="209" spans="1:80" ht="12.5">
      <c r="A209" s="482" t="str">
        <f t="shared" si="37"/>
        <v/>
      </c>
      <c r="B209" s="459" t="str">
        <f>Worksheet!K88</f>
        <v xml:space="preserve"> VIS   7  7  7  7  7  7  7  7  7  7  7  7  7  7  7  7  7  7  7  7  7  7  7  7  7 </v>
      </c>
      <c r="C209" s="377"/>
      <c r="D209" s="377"/>
      <c r="E209" s="377"/>
      <c r="F209" s="377">
        <f>COUNTIF(G$189:G209,G209)</f>
        <v>2</v>
      </c>
      <c r="G209" s="410" t="str">
        <f t="shared" si="38"/>
        <v>VIS</v>
      </c>
      <c r="H209" s="403"/>
      <c r="I209" s="403"/>
      <c r="J209" s="459"/>
      <c r="K209" s="459"/>
      <c r="L209" s="459"/>
      <c r="M209" s="459"/>
      <c r="N209" s="459"/>
      <c r="O209" s="459"/>
      <c r="P209" s="459"/>
      <c r="Q209" s="459"/>
      <c r="R209" s="459"/>
      <c r="S209" s="459"/>
      <c r="T209" s="459"/>
      <c r="U209" s="459"/>
      <c r="V209" s="459"/>
      <c r="W209" s="459"/>
      <c r="X209" s="459"/>
      <c r="Y209" s="459"/>
      <c r="Z209" s="459"/>
      <c r="AA209" s="459"/>
      <c r="AB209" s="459"/>
      <c r="AC209" s="977">
        <f t="shared" ref="AC209:AC272" si="68">MROUND(AC208+1/24,1/24)</f>
        <v>44747.125</v>
      </c>
      <c r="AD209" s="1610" t="str">
        <f>IF(AND(HOUR(AC209)=HOUR(Worksheet!AF$68),DAY(AC209)=DAY(Worksheet!AF$68)),"START","")</f>
        <v/>
      </c>
      <c r="AE209" s="1149" t="str">
        <f>IF(AND(HOUR(AC209)=HOUR($F$186),DAY(AC209)=DAY($F$186)),(MID($B$189,6,3))*1,IF(AND(ISNUMBER(AE208),AC209&lt;$F$186+1+(1/25)),(MID($B$189,6+(3*COUNT($AE$207:AE208)),3))*1,""))</f>
        <v/>
      </c>
      <c r="AF209" s="1164" t="str">
        <f t="shared" si="49"/>
        <v/>
      </c>
      <c r="AG209" s="1150" t="str">
        <f t="shared" si="50"/>
        <v/>
      </c>
      <c r="AH209" s="1163" t="str">
        <f>IF(AND(ISNUMBER(AH208),AC209&lt;$F$186+26/25),(MID($B$190,6+(3*COUNT($AH$207:AH208)),3))*1,IF(AND(HOUR(AC209)=HOUR($F$186),DAY(AC209)=DAY($F$186)),(MID($B$190,6,3))*1,""))</f>
        <v/>
      </c>
      <c r="AI209" s="1901" t="str">
        <f t="shared" si="51"/>
        <v/>
      </c>
      <c r="AJ209" s="1164" t="str">
        <f t="shared" si="52"/>
        <v/>
      </c>
      <c r="AK209" s="1150" t="str">
        <f t="shared" si="53"/>
        <v/>
      </c>
      <c r="AL209" s="1152" t="str">
        <f t="shared" si="39"/>
        <v/>
      </c>
      <c r="AM209" s="1153" t="str">
        <f t="shared" si="54"/>
        <v/>
      </c>
      <c r="AN209" s="1147"/>
      <c r="AO209" s="976" t="str">
        <f>IF(BA209="Y",AP209,IF(AND(ISNUMBER(AO208),AC209&lt;$F$186+26/25),(MID(INDEX($A$187:$B$210,MATCH("CIG",$A$187:$A$210,0),2),8+(3*COUNT($AO$207:AO208)),1))*1,IF(AND(HOUR(AC209)=HOUR($F$186),DAY(AC209)=DAY($F$186)),(MID(INDEX($A$187:$B$210,MATCH("CIG",$A$187:$A$210,0),2),8,1))*1,"")))</f>
        <v/>
      </c>
      <c r="AP209" s="1061" t="str">
        <f>IF(AND(ISNUMBER(AP208),AC209&lt;$F$186+26/25),(MID(INDEX($A$187:$B$210,MATCH("CCG",$A$187:$A$210,0),2),8+(3*COUNT($AP$207:AP208)),1))*1,IF(AND(HOUR(AC209)=HOUR($F$186),DAY(AC209)=DAY($F$186)),(MID(INDEX($A$187:$B$210,MATCH("CCG",$A$187:$A$210,0),2),8,1))*1,""))</f>
        <v/>
      </c>
      <c r="AQ209" s="1061" t="str">
        <f>IF(AND(AQ208&lt;&gt;"",AC209&lt;$F$186+26/25),MID(INDEX($A$187:$B$210,MATCH("CLD",$A$187:$A$210,0),2),7+(3*SUM(COUNTIF($AQ$207:AQ208,"OV"),COUNTIF($AQ$207:AQ208,"BK"),COUNTIF($AQ$207:AQ208,"SC"),COUNTIF($AQ$207:AQ208,"FW"),COUNTIF($AQ$207:AQ208,"CL"))),2),IF(AND(HOUR(AC209)=HOUR($F$186),DAY(AC209)=DAY($F$186)),MID(INDEX($A$187:$B$210,MATCH("CLD",$A$187:$A$210,0),2),7,2),""))</f>
        <v/>
      </c>
      <c r="AR209" s="1149" t="str">
        <f t="shared" si="55"/>
        <v/>
      </c>
      <c r="AS209" s="1150" t="str">
        <f t="shared" si="56"/>
        <v/>
      </c>
      <c r="AT209" s="112" t="str">
        <f t="shared" si="57"/>
        <v/>
      </c>
      <c r="AU209" s="1610" t="str">
        <f t="shared" si="58"/>
        <v/>
      </c>
      <c r="AV209" s="1148" t="str">
        <f t="shared" si="59"/>
        <v/>
      </c>
      <c r="AW209" s="920" t="str">
        <f t="shared" si="60"/>
        <v/>
      </c>
      <c r="AX209" s="1608" t="str">
        <f t="shared" si="61"/>
        <v/>
      </c>
      <c r="AY209" s="112" t="str">
        <f>IF(BA209="Y",AZ209,IF(AND(ISNUMBER(AY208),AC209&lt;$F$186+26/25),(MID(INDEX($A$187:$B$210,MATCH("VIS",$A$187:$A$210,0),2),8+(3*COUNT($AY$207:AY208)),1))*1,IF(AND(HOUR(AC209)=HOUR($F$186),DAY(AC209)=DAY($F$186)),(MID(INDEX($A$187:$B$210,MATCH("VIS",$A$187:$A$210,0),2),8,1))*1,"")))</f>
        <v/>
      </c>
      <c r="AZ209" s="112" t="str">
        <f>IF(AND(ISNUMBER(AZ208),AC209&lt;$F$186+26/25),(MID(INDEX($A$187:$B$210,MATCH("CVS",$A$187:$A$210,0),2),8+(3*COUNT($AZ$207:AZ208)),1))*1,IF(AND(HOUR(AC209)=HOUR($F$186),DAY(AC209)=DAY($F$186)),(MID(INDEX($A$187:$B$210,MATCH("CVS",$A$187:$A$210,0),2),8,1))*1,""))</f>
        <v/>
      </c>
      <c r="BA209" s="1610" t="str">
        <f>IF(AND(BA208&lt;&gt;"",AC209&lt;$F$186+26/25),MID(INDEX($A$187:$B$210,MATCH("PCO",$A$187:$A$210,0),2),8+(3*SUM(COUNTIF($BA$207:BA208,"Y"),COUNTIF($BA$207:BA208,"N"))),1),IF(AND(HOUR(AC209)=HOUR($F$186),DAY(AC209)=DAY($F$186)),MID(INDEX($A$187:$B$210,MATCH("PCO",$A$187:$A$210,0),2),8,1),""))</f>
        <v/>
      </c>
      <c r="BB209" s="1610" t="str">
        <f>IF(AND(BB208&lt;&gt;"",AC209&lt;$F$186+26/25),MID(INDEX($A$187:$B$210,MATCH("TYP",$A$187:$A$210,0),2),8+(3*SUM(COUNTIF($BB$207:BB208,"S"),COUNTIF($BB$207:BB208,"Z"), COUNTIF($BB$207:BB208,"R"),COUNTIF($BB$207:BB208,"X"))),1),IF(AND(HOUR(AC209)=HOUR($F$186),DAY(AC209)=DAY($F$186)),MID(INDEX($A$187:$B$210,MATCH("TYP",$A$187:$A$210,0),2),8,1),""))</f>
        <v/>
      </c>
      <c r="BC209" s="112" t="str">
        <f>IF(AND(LEN(BC208)=2,AC209&lt;$F$186+26/25),MID(INDEX($A$187:$B$211,MATCH("OBV",$A$187:$A$211,0),2),7+(3*SUM(COUNTIF($BC$207:BC208," N"),COUNTIF($BC$207:BC208,"HZ"),COUNTIF($BC$207:BC208,"BR"),COUNTIF($BC$207:BC208,"FG"),COUNTIF($BC$207:BC208,"BL"))),2),IF(AND(HOUR(AC209)=HOUR($F$186),DAY(AC209)=DAY($F$186)),MID(INDEX($A$187:$B$211,MATCH("OBV",$A$187:$A$211,0),2),7,2),""))</f>
        <v/>
      </c>
      <c r="BD209" s="112"/>
      <c r="BE209" s="112"/>
      <c r="BF209" s="112"/>
      <c r="BG209" s="1610" t="str">
        <f t="shared" si="40"/>
        <v/>
      </c>
      <c r="BH209" s="115" t="str">
        <f t="shared" si="62"/>
        <v/>
      </c>
      <c r="BI209" s="200" t="str">
        <f t="shared" si="41"/>
        <v/>
      </c>
      <c r="BJ209" s="62" t="str">
        <f t="shared" si="42"/>
        <v/>
      </c>
      <c r="BK209" s="1145" t="str">
        <f t="shared" ref="BK209:BK241" si="69">IF(COUNT(BJ209:BJ214)&gt;0,IF(MOD(HOUR(AC209),6)=0,AVERAGE(MAX(BJ209:BJ215),MIN(BJ209:BJ215)),IF(MOD(HOUR(AC209),3)=0,MAX(BJ210:BJ215),IF(MOD(HOUR(AC208),3)=0,BK208,BK210))),"")</f>
        <v/>
      </c>
      <c r="BL209" s="62" t="str">
        <f t="shared" si="43"/>
        <v/>
      </c>
      <c r="BM209" s="1145" t="str">
        <f>IF(COUNT(BL209:BL214)&gt;0,IF(MOD(HOUR(AC209),6)=0,AVERAGE(MAX(BL209:BL215),MIN(BL209:BL215)),IF(MOD(HOUR(AC209),3)=0,MAX(BL210:BL215),IF(MOD(HOUR(AC208),3)=0,BM208,BM210))),"")</f>
        <v/>
      </c>
      <c r="BN209" s="1901" t="str">
        <f t="shared" si="44"/>
        <v/>
      </c>
      <c r="BO209" s="1144" t="str">
        <f t="shared" si="45"/>
        <v/>
      </c>
      <c r="BP209" s="106" t="str">
        <f t="shared" ref="BP209:BP240" si="70">IF(OR(AC209&lt;($F$345-0.001),AC209&gt;($F$346+0.001)),"",IF(AC209-$F$345&lt;2.24,IF(MOD(HOUR(AC209),3)=0,(MID(INDEX($A$344:$B$369,MATCH("VIS",$A$344:$A$369,0),2),8+(3*(AC209-$F$345)*8),1))*1,IF(MOD(HOUR(AC208),3)=0,BP208,BP210)),IF(MOD(HOUR(AC209),6)=0,(MID(INDEX($A$344:$B$369,MATCH("VIS",$A$344:$A$369,0),2),62+(3*(ROUND(((AC209-$F$345)-2.25)*4,1))),1))*1,"")))</f>
        <v/>
      </c>
      <c r="BQ209" s="66" t="str">
        <f t="shared" si="46"/>
        <v/>
      </c>
      <c r="BR209" s="106" t="str">
        <f t="shared" si="47"/>
        <v/>
      </c>
      <c r="BS209" s="834" t="str">
        <f t="shared" ref="BS209:BS238" si="71">IF(COUNT(BR209:BR214)&gt;0,IF(MOD(HOUR(AC209),6)=0,AVERAGE(MAX(BR209:BR215),MIN(BR209:BR215)),IF(MOD(HOUR(AC209),3)=0,MAX(BR210:BR215),IF(MOD(HOUR(AC208),3)=0,BS208,BS210))),"")</f>
        <v/>
      </c>
      <c r="BT209" s="106" t="str">
        <f t="shared" si="48"/>
        <v/>
      </c>
      <c r="BU209" s="834" t="str">
        <f t="shared" si="63"/>
        <v/>
      </c>
      <c r="BV209" s="66" t="str">
        <f t="shared" si="64"/>
        <v/>
      </c>
      <c r="BW209" s="66" t="str">
        <f t="shared" si="65"/>
        <v/>
      </c>
      <c r="BX209" s="1198" t="str">
        <f t="shared" ref="BX209:BX234" si="72">IF(OR(AC209&lt;($B$237-0.001),AC209&gt;(MAX($B$241:$B$321)+0.001)),"",IF(OR(ISNUMBER(MATCH(AC209,$W$241:$W$321,0)),MOD(HOUR(AC209),3)=0),ROUND(LOOKUP(AC209,$B$241:$B$321,$S$241:$S$321),0),ROUND(IF(MOD(HOUR(AC209),3)=1,(BX211-BX208)/3+BX208,(2*(BX210-BX207)/3)+BX207),0)))</f>
        <v/>
      </c>
      <c r="BY209" s="1146" t="str">
        <f t="shared" si="66"/>
        <v/>
      </c>
      <c r="CA209" s="3675">
        <f t="shared" si="67"/>
        <v>44747.125</v>
      </c>
      <c r="CB209" s="3675"/>
    </row>
    <row r="210" spans="1:80" ht="12.5">
      <c r="A210" s="482" t="str">
        <f t="shared" si="37"/>
        <v/>
      </c>
      <c r="B210" s="459" t="str">
        <f>Worksheet!K89</f>
        <v xml:space="preserve"> CVS   7  7  7  7  7  7  7  7  7  7  7  7  7  7  7  7  7  7  7  7  7  7  7  7  7 </v>
      </c>
      <c r="C210" s="377"/>
      <c r="D210" s="377"/>
      <c r="E210" s="377"/>
      <c r="F210" s="377">
        <f>COUNTIF(G$189:G210,G210)</f>
        <v>2</v>
      </c>
      <c r="G210" s="410" t="str">
        <f t="shared" si="38"/>
        <v>CVS</v>
      </c>
      <c r="H210" s="403"/>
      <c r="I210" s="403"/>
      <c r="J210" s="459"/>
      <c r="K210" s="459"/>
      <c r="L210" s="459"/>
      <c r="M210" s="459"/>
      <c r="N210" s="459"/>
      <c r="O210" s="459"/>
      <c r="P210" s="459"/>
      <c r="Q210" s="459"/>
      <c r="R210" s="459"/>
      <c r="S210" s="459"/>
      <c r="T210" s="459"/>
      <c r="U210" s="459"/>
      <c r="V210" s="459"/>
      <c r="W210" s="459"/>
      <c r="X210" s="459"/>
      <c r="Y210" s="459"/>
      <c r="Z210" s="459"/>
      <c r="AA210" s="459"/>
      <c r="AB210" s="459"/>
      <c r="AC210" s="977">
        <f t="shared" si="68"/>
        <v>44747.166666666664</v>
      </c>
      <c r="AD210" s="1610" t="str">
        <f>IF(AND(HOUR(AC210)=HOUR(Worksheet!AF$68),DAY(AC210)=DAY(Worksheet!AF$68)),"START","")</f>
        <v/>
      </c>
      <c r="AE210" s="1149" t="str">
        <f>IF(AND(HOUR(AC210)=HOUR($F$186),DAY(AC210)=DAY($F$186)),(MID($B$189,6,3))*1,IF(AND(ISNUMBER(AE209),AC210&lt;$F$186+1+(1/25)),(MID($B$189,6+(3*COUNT($AE$207:AE209)),3))*1,""))</f>
        <v/>
      </c>
      <c r="AF210" s="1164" t="str">
        <f t="shared" si="49"/>
        <v/>
      </c>
      <c r="AG210" s="1150" t="str">
        <f t="shared" si="50"/>
        <v/>
      </c>
      <c r="AH210" s="1163" t="str">
        <f>IF(AND(ISNUMBER(AH209),AC210&lt;$F$186+26/25),(MID($B$190,6+(3*COUNT($AH$207:AH209)),3))*1,IF(AND(HOUR(AC210)=HOUR($F$186),DAY(AC210)=DAY($F$186)),(MID($B$190,6,3))*1,""))</f>
        <v/>
      </c>
      <c r="AI210" s="1901" t="str">
        <f t="shared" si="51"/>
        <v/>
      </c>
      <c r="AJ210" s="1164" t="str">
        <f t="shared" si="52"/>
        <v/>
      </c>
      <c r="AK210" s="1150" t="str">
        <f t="shared" si="53"/>
        <v/>
      </c>
      <c r="AL210" s="1152" t="str">
        <f t="shared" si="39"/>
        <v/>
      </c>
      <c r="AM210" s="1153" t="str">
        <f t="shared" si="54"/>
        <v/>
      </c>
      <c r="AN210" s="1147"/>
      <c r="AO210" s="976" t="str">
        <f>IF(BA210="Y",AP210,IF(AND(ISNUMBER(AO209),AC210&lt;$F$186+26/25),(MID(INDEX($A$187:$B$210,MATCH("CIG",$A$187:$A$210,0),2),8+(3*COUNT($AO$207:AO209)),1))*1,IF(AND(HOUR(AC210)=HOUR($F$186),DAY(AC210)=DAY($F$186)),(MID(INDEX($A$187:$B$210,MATCH("CIG",$A$187:$A$210,0),2),8,1))*1,"")))</f>
        <v/>
      </c>
      <c r="AP210" s="1061" t="str">
        <f>IF(AND(ISNUMBER(AP209),AC210&lt;$F$186+26/25),(MID(INDEX($A$187:$B$210,MATCH("CCG",$A$187:$A$210,0),2),8+(3*COUNT($AP$207:AP209)),1))*1,IF(AND(HOUR(AC210)=HOUR($F$186),DAY(AC210)=DAY($F$186)),(MID(INDEX($A$187:$B$210,MATCH("CCG",$A$187:$A$210,0),2),8,1))*1,""))</f>
        <v/>
      </c>
      <c r="AQ210" s="1061" t="str">
        <f>IF(AND(AQ209&lt;&gt;"",AC210&lt;$F$186+26/25),MID(INDEX($A$187:$B$210,MATCH("CLD",$A$187:$A$210,0),2),7+(3*SUM(COUNTIF($AQ$207:AQ209,"OV"),COUNTIF($AQ$207:AQ209,"BK"),COUNTIF($AQ$207:AQ209,"SC"),COUNTIF($AQ$207:AQ209,"FW"),COUNTIF($AQ$207:AQ209,"CL"))),2),IF(AND(HOUR(AC210)=HOUR($F$186),DAY(AC210)=DAY($F$186)),MID(INDEX($A$187:$B$210,MATCH("CLD",$A$187:$A$210,0),2),7,2),""))</f>
        <v/>
      </c>
      <c r="AR210" s="1149" t="str">
        <f t="shared" si="55"/>
        <v/>
      </c>
      <c r="AS210" s="1150" t="str">
        <f t="shared" si="56"/>
        <v/>
      </c>
      <c r="AT210" s="112" t="str">
        <f t="shared" si="57"/>
        <v/>
      </c>
      <c r="AU210" s="1610" t="str">
        <f t="shared" si="58"/>
        <v/>
      </c>
      <c r="AV210" s="1148" t="str">
        <f t="shared" si="59"/>
        <v/>
      </c>
      <c r="AW210" s="920" t="str">
        <f t="shared" si="60"/>
        <v/>
      </c>
      <c r="AX210" s="1608" t="str">
        <f t="shared" si="61"/>
        <v/>
      </c>
      <c r="AY210" s="112" t="str">
        <f>IF(BA210="Y",AZ210,IF(AND(ISNUMBER(AY209),AC210&lt;$F$186+26/25),(MID(INDEX($A$187:$B$210,MATCH("VIS",$A$187:$A$210,0),2),8+(3*COUNT($AY$207:AY209)),1))*1,IF(AND(HOUR(AC210)=HOUR($F$186),DAY(AC210)=DAY($F$186)),(MID(INDEX($A$187:$B$210,MATCH("VIS",$A$187:$A$210,0),2),8,1))*1,"")))</f>
        <v/>
      </c>
      <c r="AZ210" s="112" t="str">
        <f>IF(AND(ISNUMBER(AZ209),AC210&lt;$F$186+26/25),(MID(INDEX($A$187:$B$210,MATCH("CVS",$A$187:$A$210,0),2),8+(3*COUNT($AZ$207:AZ209)),1))*1,IF(AND(HOUR(AC210)=HOUR($F$186),DAY(AC210)=DAY($F$186)),(MID(INDEX($A$187:$B$210,MATCH("CVS",$A$187:$A$210,0),2),8,1))*1,""))</f>
        <v/>
      </c>
      <c r="BA210" s="1610" t="str">
        <f>IF(AND(BA209&lt;&gt;"",AC210&lt;$F$186+26/25),MID(INDEX($A$187:$B$210,MATCH("PCO",$A$187:$A$210,0),2),8+(3*SUM(COUNTIF($BA$207:BA209,"Y"),COUNTIF($BA$207:BA209,"N"))),1),IF(AND(HOUR(AC210)=HOUR($F$186),DAY(AC210)=DAY($F$186)),MID(INDEX($A$187:$B$210,MATCH("PCO",$A$187:$A$210,0),2),8,1),""))</f>
        <v/>
      </c>
      <c r="BB210" s="1610" t="str">
        <f>IF(AND(BB209&lt;&gt;"",AC210&lt;$F$186+26/25),MID(INDEX($A$187:$B$210,MATCH("TYP",$A$187:$A$210,0),2),8+(3*SUM(COUNTIF($BB$207:BB209,"S"),COUNTIF($BB$207:BB209,"Z"), COUNTIF($BB$207:BB209,"R"),COUNTIF($BB$207:BB209,"X"))),1),IF(AND(HOUR(AC210)=HOUR($F$186),DAY(AC210)=DAY($F$186)),MID(INDEX($A$187:$B$210,MATCH("TYP",$A$187:$A$210,0),2),8,1),""))</f>
        <v/>
      </c>
      <c r="BC210" s="112" t="str">
        <f>IF(AND(LEN(BC209)=2,AC210&lt;$F$186+26/25),MID(INDEX($A$187:$B$211,MATCH("OBV",$A$187:$A$211,0),2),7+(3*SUM(COUNTIF($BC$207:BC209," N"),COUNTIF($BC$207:BC209,"HZ"),COUNTIF($BC$207:BC209,"BR"),COUNTIF($BC$207:BC209,"FG"),COUNTIF($BC$207:BC209,"BL"))),2),IF(AND(HOUR(AC210)=HOUR($F$186),DAY(AC210)=DAY($F$186)),MID(INDEX($A$187:$B$211,MATCH("OBV",$A$187:$A$211,0),2),7,2),""))</f>
        <v/>
      </c>
      <c r="BD210" s="112"/>
      <c r="BE210" s="112"/>
      <c r="BF210" s="112"/>
      <c r="BG210" s="1610" t="str">
        <f t="shared" si="40"/>
        <v/>
      </c>
      <c r="BH210" s="115" t="str">
        <f t="shared" si="62"/>
        <v/>
      </c>
      <c r="BI210" s="200" t="str">
        <f t="shared" si="41"/>
        <v/>
      </c>
      <c r="BJ210" s="62" t="str">
        <f t="shared" si="42"/>
        <v/>
      </c>
      <c r="BK210" s="1145" t="str">
        <f t="shared" si="69"/>
        <v/>
      </c>
      <c r="BL210" s="62" t="str">
        <f t="shared" si="43"/>
        <v/>
      </c>
      <c r="BM210" s="1145" t="str">
        <f t="shared" ref="BM210:BM272" si="73">IF(COUNT(BL210:BL215)&gt;0,IF(MOD(HOUR(AC210),6)=0,AVERAGE(MAX(BL210:BL216),MIN(BL210:BL216)),IF(MOD(HOUR(AC210),3)=0,MAX(BL211:BL216),IF(MOD(HOUR(AC209),3)=0,BM209,BM211))),"")</f>
        <v/>
      </c>
      <c r="BN210" s="1901" t="str">
        <f t="shared" si="44"/>
        <v/>
      </c>
      <c r="BO210" s="1144" t="str">
        <f t="shared" si="45"/>
        <v/>
      </c>
      <c r="BP210" s="106" t="str">
        <f t="shared" si="70"/>
        <v/>
      </c>
      <c r="BQ210" s="66" t="str">
        <f t="shared" si="46"/>
        <v/>
      </c>
      <c r="BR210" s="106" t="str">
        <f t="shared" si="47"/>
        <v/>
      </c>
      <c r="BS210" s="834" t="str">
        <f t="shared" si="71"/>
        <v/>
      </c>
      <c r="BT210" s="106" t="str">
        <f t="shared" si="48"/>
        <v/>
      </c>
      <c r="BU210" s="834" t="str">
        <f t="shared" si="63"/>
        <v/>
      </c>
      <c r="BV210" s="66" t="str">
        <f t="shared" si="64"/>
        <v/>
      </c>
      <c r="BW210" s="66" t="str">
        <f t="shared" si="65"/>
        <v/>
      </c>
      <c r="BX210" s="1198" t="str">
        <f t="shared" si="72"/>
        <v/>
      </c>
      <c r="BY210" s="1146" t="str">
        <f t="shared" si="66"/>
        <v/>
      </c>
      <c r="CA210" s="3675">
        <f t="shared" si="67"/>
        <v>44747.166666666664</v>
      </c>
      <c r="CB210" s="3675"/>
    </row>
    <row r="211" spans="1:80" ht="12.5">
      <c r="A211" s="482" t="str">
        <f t="shared" si="37"/>
        <v/>
      </c>
      <c r="B211" s="459" t="str">
        <f>Worksheet!K90</f>
        <v xml:space="preserve"> OBV   N  N  N  N  N  N  N  N  N  N  N  N  N  N  N  N  N  N  N  N  N  N  N  N  N</v>
      </c>
      <c r="C211" s="377"/>
      <c r="D211" s="377"/>
      <c r="E211" s="377"/>
      <c r="F211" s="377">
        <f>COUNTIF(G$189:G211,G211)</f>
        <v>2</v>
      </c>
      <c r="G211" s="410" t="str">
        <f t="shared" si="38"/>
        <v>OBV</v>
      </c>
      <c r="H211" s="403"/>
      <c r="I211" s="403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  <c r="W211" s="459"/>
      <c r="X211" s="459"/>
      <c r="Y211" s="459"/>
      <c r="Z211" s="459"/>
      <c r="AA211" s="459"/>
      <c r="AB211" s="459"/>
      <c r="AC211" s="977">
        <f t="shared" si="68"/>
        <v>44747.208333333328</v>
      </c>
      <c r="AD211" s="1610" t="str">
        <f>IF(AND(HOUR(AC211)=HOUR(Worksheet!AF$68),DAY(AC211)=DAY(Worksheet!AF$68)),"START","")</f>
        <v/>
      </c>
      <c r="AE211" s="1149" t="str">
        <f>IF(AND(HOUR(AC211)=HOUR($F$186),DAY(AC211)=DAY($F$186)),(MID($B$189,6,3))*1,IF(AND(ISNUMBER(AE210),AC211&lt;$F$186+1+(1/25)),(MID($B$189,6+(3*COUNT($AE$207:AE210)),3))*1,""))</f>
        <v/>
      </c>
      <c r="AF211" s="1164" t="str">
        <f t="shared" si="49"/>
        <v/>
      </c>
      <c r="AG211" s="1150" t="str">
        <f t="shared" si="50"/>
        <v/>
      </c>
      <c r="AH211" s="1163" t="str">
        <f>IF(AND(ISNUMBER(AH210),AC211&lt;$F$186+26/25),(MID($B$190,6+(3*COUNT($AH$207:AH210)),3))*1,IF(AND(HOUR(AC211)=HOUR($F$186),DAY(AC211)=DAY($F$186)),(MID($B$190,6,3))*1,""))</f>
        <v/>
      </c>
      <c r="AI211" s="1901" t="str">
        <f t="shared" si="51"/>
        <v/>
      </c>
      <c r="AJ211" s="1164" t="str">
        <f t="shared" si="52"/>
        <v/>
      </c>
      <c r="AK211" s="1150" t="str">
        <f t="shared" si="53"/>
        <v/>
      </c>
      <c r="AL211" s="1152" t="str">
        <f t="shared" si="39"/>
        <v/>
      </c>
      <c r="AM211" s="1153" t="str">
        <f t="shared" si="54"/>
        <v/>
      </c>
      <c r="AN211" s="1147"/>
      <c r="AO211" s="976" t="str">
        <f>IF(BA211="Y",AP211,IF(AND(ISNUMBER(AO210),AC211&lt;$F$186+26/25),(MID(INDEX($A$187:$B$210,MATCH("CIG",$A$187:$A$210,0),2),8+(3*COUNT($AO$207:AO210)),1))*1,IF(AND(HOUR(AC211)=HOUR($F$186),DAY(AC211)=DAY($F$186)),(MID(INDEX($A$187:$B$210,MATCH("CIG",$A$187:$A$210,0),2),8,1))*1,"")))</f>
        <v/>
      </c>
      <c r="AP211" s="1061" t="str">
        <f>IF(AND(ISNUMBER(AP210),AC211&lt;$F$186+26/25),(MID(INDEX($A$187:$B$210,MATCH("CCG",$A$187:$A$210,0),2),8+(3*COUNT($AP$207:AP210)),1))*1,IF(AND(HOUR(AC211)=HOUR($F$186),DAY(AC211)=DAY($F$186)),(MID(INDEX($A$187:$B$210,MATCH("CCG",$A$187:$A$210,0),2),8,1))*1,""))</f>
        <v/>
      </c>
      <c r="AQ211" s="1061" t="str">
        <f>IF(AND(AQ210&lt;&gt;"",AC211&lt;$F$186+26/25),MID(INDEX($A$187:$B$210,MATCH("CLD",$A$187:$A$210,0),2),7+(3*SUM(COUNTIF($AQ$207:AQ210,"OV"),COUNTIF($AQ$207:AQ210,"BK"),COUNTIF($AQ$207:AQ210,"SC"),COUNTIF($AQ$207:AQ210,"FW"),COUNTIF($AQ$207:AQ210,"CL"))),2),IF(AND(HOUR(AC211)=HOUR($F$186),DAY(AC211)=DAY($F$186)),MID(INDEX($A$187:$B$210,MATCH("CLD",$A$187:$A$210,0),2),7,2),""))</f>
        <v/>
      </c>
      <c r="AR211" s="1149" t="str">
        <f t="shared" si="55"/>
        <v/>
      </c>
      <c r="AS211" s="1150" t="str">
        <f t="shared" si="56"/>
        <v/>
      </c>
      <c r="AT211" s="112" t="str">
        <f t="shared" si="57"/>
        <v/>
      </c>
      <c r="AU211" s="1610" t="str">
        <f t="shared" si="58"/>
        <v/>
      </c>
      <c r="AV211" s="1148" t="str">
        <f t="shared" si="59"/>
        <v/>
      </c>
      <c r="AW211" s="920" t="str">
        <f t="shared" si="60"/>
        <v/>
      </c>
      <c r="AX211" s="1608" t="str">
        <f t="shared" si="61"/>
        <v/>
      </c>
      <c r="AY211" s="112" t="str">
        <f>IF(BA211="Y",AZ211,IF(AND(ISNUMBER(AY210),AC211&lt;$F$186+26/25),(MID(INDEX($A$187:$B$210,MATCH("VIS",$A$187:$A$210,0),2),8+(3*COUNT($AY$207:AY210)),1))*1,IF(AND(HOUR(AC211)=HOUR($F$186),DAY(AC211)=DAY($F$186)),(MID(INDEX($A$187:$B$210,MATCH("VIS",$A$187:$A$210,0),2),8,1))*1,"")))</f>
        <v/>
      </c>
      <c r="AZ211" s="112" t="str">
        <f>IF(AND(ISNUMBER(AZ210),AC211&lt;$F$186+26/25),(MID(INDEX($A$187:$B$210,MATCH("CVS",$A$187:$A$210,0),2),8+(3*COUNT($AZ$207:AZ210)),1))*1,IF(AND(HOUR(AC211)=HOUR($F$186),DAY(AC211)=DAY($F$186)),(MID(INDEX($A$187:$B$210,MATCH("CVS",$A$187:$A$210,0),2),8,1))*1,""))</f>
        <v/>
      </c>
      <c r="BA211" s="1610" t="str">
        <f>IF(AND(BA210&lt;&gt;"",AC211&lt;$F$186+26/25),MID(INDEX($A$187:$B$210,MATCH("PCO",$A$187:$A$210,0),2),8+(3*SUM(COUNTIF($BA$207:BA210,"Y"),COUNTIF($BA$207:BA210,"N"))),1),IF(AND(HOUR(AC211)=HOUR($F$186),DAY(AC211)=DAY($F$186)),MID(INDEX($A$187:$B$210,MATCH("PCO",$A$187:$A$210,0),2),8,1),""))</f>
        <v/>
      </c>
      <c r="BB211" s="1610" t="str">
        <f>IF(AND(BB210&lt;&gt;"",AC211&lt;$F$186+26/25),MID(INDEX($A$187:$B$210,MATCH("TYP",$A$187:$A$210,0),2),8+(3*SUM(COUNTIF($BB$207:BB210,"S"),COUNTIF($BB$207:BB210,"Z"), COUNTIF($BB$207:BB210,"R"),COUNTIF($BB$207:BB210,"X"))),1),IF(AND(HOUR(AC211)=HOUR($F$186),DAY(AC211)=DAY($F$186)),MID(INDEX($A$187:$B$210,MATCH("TYP",$A$187:$A$210,0),2),8,1),""))</f>
        <v/>
      </c>
      <c r="BC211" s="112" t="str">
        <f>IF(AND(LEN(BC210)=2,AC211&lt;$F$186+26/25),MID(INDEX($A$187:$B$211,MATCH("OBV",$A$187:$A$211,0),2),7+(3*SUM(COUNTIF($BC$207:BC210," N"),COUNTIF($BC$207:BC210,"HZ"),COUNTIF($BC$207:BC210,"BR"),COUNTIF($BC$207:BC210,"FG"),COUNTIF($BC$207:BC210,"BL"))),2),IF(AND(HOUR(AC211)=HOUR($F$186),DAY(AC211)=DAY($F$186)),MID(INDEX($A$187:$B$211,MATCH("OBV",$A$187:$A$211,0),2),7,2),""))</f>
        <v/>
      </c>
      <c r="BD211" s="112"/>
      <c r="BE211" s="112"/>
      <c r="BF211" s="112"/>
      <c r="BG211" s="1610" t="str">
        <f t="shared" si="40"/>
        <v/>
      </c>
      <c r="BH211" s="115" t="str">
        <f t="shared" si="62"/>
        <v/>
      </c>
      <c r="BI211" s="200" t="str">
        <f t="shared" si="41"/>
        <v/>
      </c>
      <c r="BJ211" s="62" t="str">
        <f t="shared" si="42"/>
        <v/>
      </c>
      <c r="BK211" s="1145" t="str">
        <f t="shared" si="69"/>
        <v/>
      </c>
      <c r="BL211" s="62" t="str">
        <f t="shared" si="43"/>
        <v/>
      </c>
      <c r="BM211" s="1145" t="str">
        <f>IF(COUNT(BL211:BL216)&gt;0,IF(MOD(HOUR(AC211),6)=0,AVERAGE(MAX(BL211:BL217),MIN(BL211:BL217)),IF(MOD(HOUR(AC211),3)=0,MAX(BL212:BL217),IF(MOD(HOUR(AC210),3)=0,BM210,BM212))),"")</f>
        <v/>
      </c>
      <c r="BN211" s="1901" t="str">
        <f t="shared" si="44"/>
        <v/>
      </c>
      <c r="BO211" s="1144" t="str">
        <f t="shared" si="45"/>
        <v/>
      </c>
      <c r="BP211" s="106" t="str">
        <f t="shared" si="70"/>
        <v/>
      </c>
      <c r="BQ211" s="66" t="str">
        <f t="shared" si="46"/>
        <v/>
      </c>
      <c r="BR211" s="106" t="str">
        <f t="shared" si="47"/>
        <v/>
      </c>
      <c r="BS211" s="834" t="str">
        <f t="shared" si="71"/>
        <v/>
      </c>
      <c r="BT211" s="106" t="str">
        <f t="shared" si="48"/>
        <v/>
      </c>
      <c r="BU211" s="834" t="str">
        <f t="shared" si="63"/>
        <v/>
      </c>
      <c r="BV211" s="66" t="str">
        <f t="shared" si="64"/>
        <v/>
      </c>
      <c r="BW211" s="66" t="str">
        <f t="shared" si="65"/>
        <v/>
      </c>
      <c r="BX211" s="1198" t="str">
        <f t="shared" si="72"/>
        <v/>
      </c>
      <c r="BY211" s="1146" t="str">
        <f t="shared" si="66"/>
        <v/>
      </c>
      <c r="CA211" s="3675">
        <f t="shared" si="67"/>
        <v>44747.208333333328</v>
      </c>
      <c r="CB211" s="3675"/>
    </row>
    <row r="212" spans="1:80" ht="13">
      <c r="A212" s="474"/>
      <c r="B212" s="459"/>
      <c r="C212" s="377"/>
      <c r="D212" s="377"/>
      <c r="E212" s="377"/>
      <c r="F212" s="377"/>
      <c r="G212" s="403"/>
      <c r="H212" s="403"/>
      <c r="I212" s="403"/>
      <c r="J212" s="459"/>
      <c r="K212" s="459"/>
      <c r="L212" s="459"/>
      <c r="M212" s="459"/>
      <c r="N212" s="459"/>
      <c r="O212" s="459"/>
      <c r="P212" s="459"/>
      <c r="Q212" s="459"/>
      <c r="R212" s="459"/>
      <c r="S212" s="459"/>
      <c r="T212" s="459"/>
      <c r="U212" s="459"/>
      <c r="V212" s="459"/>
      <c r="W212" s="459"/>
      <c r="X212" s="459"/>
      <c r="Y212" s="459"/>
      <c r="Z212" s="459"/>
      <c r="AA212" s="459"/>
      <c r="AB212" s="459"/>
      <c r="AC212" s="977">
        <f t="shared" si="68"/>
        <v>44747.25</v>
      </c>
      <c r="AD212" s="1610" t="str">
        <f>IF(AND(HOUR(AC212)=HOUR(Worksheet!AF$68),DAY(AC212)=DAY(Worksheet!AF$68)),"START","")</f>
        <v/>
      </c>
      <c r="AE212" s="1149" t="str">
        <f>IF(AND(HOUR(AC212)=HOUR($F$186),DAY(AC212)=DAY($F$186)),(MID($B$189,6,3))*1,IF(AND(ISNUMBER(AE211),AC212&lt;$F$186+1+(1/25)),(MID($B$189,6+(3*COUNT($AE$207:AE211)),3))*1,""))</f>
        <v/>
      </c>
      <c r="AF212" s="1164" t="str">
        <f t="shared" si="49"/>
        <v/>
      </c>
      <c r="AG212" s="1150" t="str">
        <f t="shared" si="50"/>
        <v/>
      </c>
      <c r="AH212" s="1163" t="str">
        <f>IF(AND(ISNUMBER(AH211),AC212&lt;$F$186+26/25),(MID($B$190,6+(3*COUNT($AH$207:AH211)),3))*1,IF(AND(HOUR(AC212)=HOUR($F$186),DAY(AC212)=DAY($F$186)),(MID($B$190,6,3))*1,""))</f>
        <v/>
      </c>
      <c r="AI212" s="1901" t="str">
        <f t="shared" si="51"/>
        <v/>
      </c>
      <c r="AJ212" s="1164" t="str">
        <f t="shared" si="52"/>
        <v/>
      </c>
      <c r="AK212" s="1150" t="str">
        <f t="shared" si="53"/>
        <v/>
      </c>
      <c r="AL212" s="1152" t="str">
        <f t="shared" si="39"/>
        <v/>
      </c>
      <c r="AM212" s="1153" t="str">
        <f t="shared" si="54"/>
        <v/>
      </c>
      <c r="AN212" s="1147"/>
      <c r="AO212" s="976" t="str">
        <f>IF(BA212="Y",AP212,IF(AND(ISNUMBER(AO211),AC212&lt;$F$186+26/25),(MID(INDEX($A$187:$B$210,MATCH("CIG",$A$187:$A$210,0),2),8+(3*COUNT($AO$207:AO211)),1))*1,IF(AND(HOUR(AC212)=HOUR($F$186),DAY(AC212)=DAY($F$186)),(MID(INDEX($A$187:$B$210,MATCH("CIG",$A$187:$A$210,0),2),8,1))*1,"")))</f>
        <v/>
      </c>
      <c r="AP212" s="1061" t="str">
        <f>IF(AND(ISNUMBER(AP211),AC212&lt;$F$186+26/25),(MID(INDEX($A$187:$B$210,MATCH("CCG",$A$187:$A$210,0),2),8+(3*COUNT($AP$207:AP211)),1))*1,IF(AND(HOUR(AC212)=HOUR($F$186),DAY(AC212)=DAY($F$186)),(MID(INDEX($A$187:$B$210,MATCH("CCG",$A$187:$A$210,0),2),8,1))*1,""))</f>
        <v/>
      </c>
      <c r="AQ212" s="1061" t="str">
        <f>IF(AND(AQ211&lt;&gt;"",AC212&lt;$F$186+26/25),MID(INDEX($A$187:$B$210,MATCH("CLD",$A$187:$A$210,0),2),7+(3*SUM(COUNTIF($AQ$207:AQ211,"OV"),COUNTIF($AQ$207:AQ211,"BK"),COUNTIF($AQ$207:AQ211,"SC"),COUNTIF($AQ$207:AQ211,"FW"),COUNTIF($AQ$207:AQ211,"CL"))),2),IF(AND(HOUR(AC212)=HOUR($F$186),DAY(AC212)=DAY($F$186)),MID(INDEX($A$187:$B$210,MATCH("CLD",$A$187:$A$210,0),2),7,2),""))</f>
        <v/>
      </c>
      <c r="AR212" s="1149" t="str">
        <f t="shared" si="55"/>
        <v/>
      </c>
      <c r="AS212" s="1150" t="str">
        <f t="shared" si="56"/>
        <v/>
      </c>
      <c r="AT212" s="112" t="str">
        <f t="shared" si="57"/>
        <v/>
      </c>
      <c r="AU212" s="1610" t="str">
        <f t="shared" si="58"/>
        <v/>
      </c>
      <c r="AV212" s="1148" t="str">
        <f t="shared" si="59"/>
        <v/>
      </c>
      <c r="AW212" s="920" t="str">
        <f t="shared" si="60"/>
        <v/>
      </c>
      <c r="AX212" s="1608" t="str">
        <f t="shared" si="61"/>
        <v/>
      </c>
      <c r="AY212" s="112" t="str">
        <f>IF(BA212="Y",AZ212,IF(AND(ISNUMBER(AY211),AC212&lt;$F$186+26/25),(MID(INDEX($A$187:$B$210,MATCH("VIS",$A$187:$A$210,0),2),8+(3*COUNT($AY$207:AY211)),1))*1,IF(AND(HOUR(AC212)=HOUR($F$186),DAY(AC212)=DAY($F$186)),(MID(INDEX($A$187:$B$210,MATCH("VIS",$A$187:$A$210,0),2),8,1))*1,"")))</f>
        <v/>
      </c>
      <c r="AZ212" s="112" t="str">
        <f>IF(AND(ISNUMBER(AZ211),AC212&lt;$F$186+26/25),(MID(INDEX($A$187:$B$210,MATCH("CVS",$A$187:$A$210,0),2),8+(3*COUNT($AZ$207:AZ211)),1))*1,IF(AND(HOUR(AC212)=HOUR($F$186),DAY(AC212)=DAY($F$186)),(MID(INDEX($A$187:$B$210,MATCH("CVS",$A$187:$A$210,0),2),8,1))*1,""))</f>
        <v/>
      </c>
      <c r="BA212" s="1610" t="str">
        <f>IF(AND(BA211&lt;&gt;"",AC212&lt;$F$186+26/25),MID(INDEX($A$187:$B$210,MATCH("PCO",$A$187:$A$210,0),2),8+(3*SUM(COUNTIF($BA$207:BA211,"Y"),COUNTIF($BA$207:BA211,"N"))),1),IF(AND(HOUR(AC212)=HOUR($F$186),DAY(AC212)=DAY($F$186)),MID(INDEX($A$187:$B$210,MATCH("PCO",$A$187:$A$210,0),2),8,1),""))</f>
        <v/>
      </c>
      <c r="BB212" s="1610" t="str">
        <f>IF(AND(BB211&lt;&gt;"",AC212&lt;$F$186+26/25),MID(INDEX($A$187:$B$210,MATCH("TYP",$A$187:$A$210,0),2),8+(3*SUM(COUNTIF($BB$207:BB211,"S"),COUNTIF($BB$207:BB211,"Z"), COUNTIF($BB$207:BB211,"R"),COUNTIF($BB$207:BB211,"X"))),1),IF(AND(HOUR(AC212)=HOUR($F$186),DAY(AC212)=DAY($F$186)),MID(INDEX($A$187:$B$210,MATCH("TYP",$A$187:$A$210,0),2),8,1),""))</f>
        <v/>
      </c>
      <c r="BC212" s="112" t="str">
        <f>IF(AND(LEN(BC211)=2,AC212&lt;$F$186+26/25),MID(INDEX($A$187:$B$211,MATCH("OBV",$A$187:$A$211,0),2),7+(3*SUM(COUNTIF($BC$207:BC211," N"),COUNTIF($BC$207:BC211,"HZ"),COUNTIF($BC$207:BC211,"BR"),COUNTIF($BC$207:BC211,"FG"),COUNTIF($BC$207:BC211,"BL"))),2),IF(AND(HOUR(AC212)=HOUR($F$186),DAY(AC212)=DAY($F$186)),MID(INDEX($A$187:$B$211,MATCH("OBV",$A$187:$A$211,0),2),7,2),""))</f>
        <v/>
      </c>
      <c r="BD212" s="112"/>
      <c r="BE212" s="112"/>
      <c r="BF212" s="112"/>
      <c r="BG212" s="1610" t="str">
        <f t="shared" si="40"/>
        <v/>
      </c>
      <c r="BH212" s="115" t="str">
        <f t="shared" si="62"/>
        <v/>
      </c>
      <c r="BI212" s="200" t="str">
        <f t="shared" si="41"/>
        <v/>
      </c>
      <c r="BJ212" s="62" t="str">
        <f t="shared" si="42"/>
        <v/>
      </c>
      <c r="BK212" s="1145" t="str">
        <f t="shared" si="69"/>
        <v/>
      </c>
      <c r="BL212" s="62" t="str">
        <f t="shared" si="43"/>
        <v/>
      </c>
      <c r="BM212" s="1145" t="str">
        <f t="shared" si="73"/>
        <v/>
      </c>
      <c r="BN212" s="1901" t="str">
        <f t="shared" si="44"/>
        <v/>
      </c>
      <c r="BO212" s="1144" t="str">
        <f t="shared" si="45"/>
        <v/>
      </c>
      <c r="BP212" s="106" t="str">
        <f t="shared" si="70"/>
        <v/>
      </c>
      <c r="BQ212" s="66" t="str">
        <f t="shared" si="46"/>
        <v/>
      </c>
      <c r="BR212" s="106" t="str">
        <f t="shared" si="47"/>
        <v/>
      </c>
      <c r="BS212" s="834" t="str">
        <f t="shared" si="71"/>
        <v/>
      </c>
      <c r="BT212" s="106" t="str">
        <f t="shared" si="48"/>
        <v/>
      </c>
      <c r="BU212" s="834" t="str">
        <f t="shared" si="63"/>
        <v/>
      </c>
      <c r="BV212" s="66" t="str">
        <f t="shared" si="64"/>
        <v/>
      </c>
      <c r="BW212" s="66" t="str">
        <f t="shared" si="65"/>
        <v/>
      </c>
      <c r="BX212" s="1198" t="str">
        <f t="shared" si="72"/>
        <v/>
      </c>
      <c r="BY212" s="1146" t="str">
        <f t="shared" si="66"/>
        <v/>
      </c>
      <c r="CA212" s="3675">
        <f t="shared" si="67"/>
        <v>44747.25</v>
      </c>
      <c r="CB212" s="3675"/>
    </row>
    <row r="213" spans="1:80" ht="13">
      <c r="A213" s="474"/>
      <c r="B213" s="459"/>
      <c r="C213" s="377"/>
      <c r="D213" s="377"/>
      <c r="E213" s="377"/>
      <c r="F213" s="377"/>
      <c r="G213" s="403"/>
      <c r="H213" s="403"/>
      <c r="I213" s="403"/>
      <c r="J213" s="459"/>
      <c r="K213" s="459"/>
      <c r="L213" s="459"/>
      <c r="M213" s="459"/>
      <c r="N213" s="459"/>
      <c r="O213" s="459"/>
      <c r="P213" s="459"/>
      <c r="Q213" s="459"/>
      <c r="R213" s="459"/>
      <c r="S213" s="459"/>
      <c r="T213" s="459"/>
      <c r="U213" s="459"/>
      <c r="V213" s="459"/>
      <c r="W213" s="459"/>
      <c r="X213" s="459"/>
      <c r="Y213" s="459"/>
      <c r="Z213" s="459"/>
      <c r="AA213" s="459"/>
      <c r="AB213" s="459"/>
      <c r="AC213" s="977">
        <f t="shared" si="68"/>
        <v>44747.291666666664</v>
      </c>
      <c r="AD213" s="1610" t="str">
        <f>IF(AND(HOUR(AC213)=HOUR(Worksheet!AF$68),DAY(AC213)=DAY(Worksheet!AF$68)),"START","")</f>
        <v/>
      </c>
      <c r="AE213" s="1149" t="str">
        <f>IF(AND(HOUR(AC213)=HOUR($F$186),DAY(AC213)=DAY($F$186)),(MID($B$189,6,3))*1,IF(AND(ISNUMBER(AE212),AC213&lt;$F$186+1+(1/25)),(MID($B$189,6+(3*COUNT($AE$207:AE212)),3))*1,""))</f>
        <v/>
      </c>
      <c r="AF213" s="1164" t="str">
        <f t="shared" si="49"/>
        <v/>
      </c>
      <c r="AG213" s="1150" t="str">
        <f t="shared" si="50"/>
        <v/>
      </c>
      <c r="AH213" s="1163" t="str">
        <f>IF(AND(ISNUMBER(AH212),AC213&lt;$F$186+26/25),(MID($B$190,6+(3*COUNT($AH$207:AH212)),3))*1,IF(AND(HOUR(AC213)=HOUR($F$186),DAY(AC213)=DAY($F$186)),(MID($B$190,6,3))*1,""))</f>
        <v/>
      </c>
      <c r="AI213" s="1901" t="str">
        <f t="shared" si="51"/>
        <v/>
      </c>
      <c r="AJ213" s="1164" t="str">
        <f t="shared" si="52"/>
        <v/>
      </c>
      <c r="AK213" s="1150" t="str">
        <f t="shared" si="53"/>
        <v/>
      </c>
      <c r="AL213" s="1152" t="str">
        <f t="shared" si="39"/>
        <v/>
      </c>
      <c r="AM213" s="1153" t="str">
        <f t="shared" si="54"/>
        <v/>
      </c>
      <c r="AN213" s="1147"/>
      <c r="AO213" s="976" t="str">
        <f>IF(BA213="Y",AP213,IF(AND(ISNUMBER(AO212),AC213&lt;$F$186+26/25),(MID(INDEX($A$187:$B$210,MATCH("CIG",$A$187:$A$210,0),2),8+(3*COUNT($AO$207:AO212)),1))*1,IF(AND(HOUR(AC213)=HOUR($F$186),DAY(AC213)=DAY($F$186)),(MID(INDEX($A$187:$B$210,MATCH("CIG",$A$187:$A$210,0),2),8,1))*1,"")))</f>
        <v/>
      </c>
      <c r="AP213" s="1061" t="str">
        <f>IF(AND(ISNUMBER(AP212),AC213&lt;$F$186+26/25),(MID(INDEX($A$187:$B$210,MATCH("CCG",$A$187:$A$210,0),2),8+(3*COUNT($AP$207:AP212)),1))*1,IF(AND(HOUR(AC213)=HOUR($F$186),DAY(AC213)=DAY($F$186)),(MID(INDEX($A$187:$B$210,MATCH("CCG",$A$187:$A$210,0),2),8,1))*1,""))</f>
        <v/>
      </c>
      <c r="AQ213" s="1061" t="str">
        <f>IF(AND(AQ212&lt;&gt;"",AC213&lt;$F$186+26/25),MID(INDEX($A$187:$B$210,MATCH("CLD",$A$187:$A$210,0),2),7+(3*SUM(COUNTIF($AQ$207:AQ212,"OV"),COUNTIF($AQ$207:AQ212,"BK"),COUNTIF($AQ$207:AQ212,"SC"),COUNTIF($AQ$207:AQ212,"FW"),COUNTIF($AQ$207:AQ212,"CL"))),2),IF(AND(HOUR(AC213)=HOUR($F$186),DAY(AC213)=DAY($F$186)),MID(INDEX($A$187:$B$210,MATCH("CLD",$A$187:$A$210,0),2),7,2),""))</f>
        <v/>
      </c>
      <c r="AR213" s="1149" t="str">
        <f t="shared" si="55"/>
        <v/>
      </c>
      <c r="AS213" s="1150" t="str">
        <f t="shared" si="56"/>
        <v/>
      </c>
      <c r="AT213" s="112" t="str">
        <f t="shared" si="57"/>
        <v/>
      </c>
      <c r="AU213" s="1610" t="str">
        <f t="shared" si="58"/>
        <v/>
      </c>
      <c r="AV213" s="1148" t="str">
        <f t="shared" si="59"/>
        <v/>
      </c>
      <c r="AW213" s="920" t="str">
        <f t="shared" si="60"/>
        <v/>
      </c>
      <c r="AX213" s="1608" t="str">
        <f t="shared" si="61"/>
        <v/>
      </c>
      <c r="AY213" s="112" t="str">
        <f>IF(BA213="Y",AZ213,IF(AND(ISNUMBER(AY212),AC213&lt;$F$186+26/25),(MID(INDEX($A$187:$B$210,MATCH("VIS",$A$187:$A$210,0),2),8+(3*COUNT($AY$207:AY212)),1))*1,IF(AND(HOUR(AC213)=HOUR($F$186),DAY(AC213)=DAY($F$186)),(MID(INDEX($A$187:$B$210,MATCH("VIS",$A$187:$A$210,0),2),8,1))*1,"")))</f>
        <v/>
      </c>
      <c r="AZ213" s="112" t="str">
        <f>IF(AND(ISNUMBER(AZ212),AC213&lt;$F$186+26/25),(MID(INDEX($A$187:$B$210,MATCH("CVS",$A$187:$A$210,0),2),8+(3*COUNT($AZ$207:AZ212)),1))*1,IF(AND(HOUR(AC213)=HOUR($F$186),DAY(AC213)=DAY($F$186)),(MID(INDEX($A$187:$B$210,MATCH("CVS",$A$187:$A$210,0),2),8,1))*1,""))</f>
        <v/>
      </c>
      <c r="BA213" s="1610" t="str">
        <f>IF(AND(BA212&lt;&gt;"",AC213&lt;$F$186+26/25),MID(INDEX($A$187:$B$210,MATCH("PCO",$A$187:$A$210,0),2),8+(3*SUM(COUNTIF($BA$207:BA212,"Y"),COUNTIF($BA$207:BA212,"N"))),1),IF(AND(HOUR(AC213)=HOUR($F$186),DAY(AC213)=DAY($F$186)),MID(INDEX($A$187:$B$210,MATCH("PCO",$A$187:$A$210,0),2),8,1),""))</f>
        <v/>
      </c>
      <c r="BB213" s="1610" t="str">
        <f>IF(AND(BB212&lt;&gt;"",AC213&lt;$F$186+26/25),MID(INDEX($A$187:$B$210,MATCH("TYP",$A$187:$A$210,0),2),8+(3*SUM(COUNTIF($BB$207:BB212,"S"),COUNTIF($BB$207:BB212,"Z"), COUNTIF($BB$207:BB212,"R"),COUNTIF($BB$207:BB212,"X"))),1),IF(AND(HOUR(AC213)=HOUR($F$186),DAY(AC213)=DAY($F$186)),MID(INDEX($A$187:$B$210,MATCH("TYP",$A$187:$A$210,0),2),8,1),""))</f>
        <v/>
      </c>
      <c r="BC213" s="112" t="str">
        <f>IF(AND(LEN(BC212)=2,AC213&lt;$F$186+26/25),MID(INDEX($A$187:$B$211,MATCH("OBV",$A$187:$A$211,0),2),7+(3*SUM(COUNTIF($BC$207:BC212," N"),COUNTIF($BC$207:BC212,"HZ"),COUNTIF($BC$207:BC212,"BR"),COUNTIF($BC$207:BC212,"FG"),COUNTIF($BC$207:BC212,"BL"))),2),IF(AND(HOUR(AC213)=HOUR($F$186),DAY(AC213)=DAY($F$186)),MID(INDEX($A$187:$B$211,MATCH("OBV",$A$187:$A$211,0),2),7,2),""))</f>
        <v/>
      </c>
      <c r="BD213" s="112"/>
      <c r="BE213" s="112"/>
      <c r="BF213" s="112"/>
      <c r="BG213" s="1610" t="str">
        <f t="shared" si="40"/>
        <v/>
      </c>
      <c r="BH213" s="115" t="str">
        <f t="shared" si="62"/>
        <v/>
      </c>
      <c r="BI213" s="200" t="str">
        <f t="shared" si="41"/>
        <v/>
      </c>
      <c r="BJ213" s="62" t="str">
        <f t="shared" si="42"/>
        <v/>
      </c>
      <c r="BK213" s="1145" t="str">
        <f t="shared" si="69"/>
        <v/>
      </c>
      <c r="BL213" s="62" t="str">
        <f t="shared" si="43"/>
        <v/>
      </c>
      <c r="BM213" s="1145" t="str">
        <f t="shared" si="73"/>
        <v/>
      </c>
      <c r="BN213" s="1901" t="str">
        <f t="shared" si="44"/>
        <v/>
      </c>
      <c r="BO213" s="1144" t="str">
        <f t="shared" si="45"/>
        <v/>
      </c>
      <c r="BP213" s="106" t="str">
        <f t="shared" si="70"/>
        <v/>
      </c>
      <c r="BQ213" s="66" t="str">
        <f t="shared" si="46"/>
        <v/>
      </c>
      <c r="BR213" s="106" t="str">
        <f t="shared" si="47"/>
        <v/>
      </c>
      <c r="BS213" s="834" t="str">
        <f t="shared" si="71"/>
        <v/>
      </c>
      <c r="BT213" s="106" t="str">
        <f t="shared" si="48"/>
        <v/>
      </c>
      <c r="BU213" s="834" t="str">
        <f t="shared" si="63"/>
        <v/>
      </c>
      <c r="BV213" s="66" t="str">
        <f t="shared" si="64"/>
        <v/>
      </c>
      <c r="BW213" s="66" t="str">
        <f t="shared" si="65"/>
        <v/>
      </c>
      <c r="BX213" s="1198" t="str">
        <f t="shared" si="72"/>
        <v/>
      </c>
      <c r="BY213" s="1146" t="str">
        <f t="shared" si="66"/>
        <v/>
      </c>
      <c r="CA213" s="3675">
        <f t="shared" si="67"/>
        <v>44747.291666666664</v>
      </c>
      <c r="CB213" s="3675"/>
    </row>
    <row r="214" spans="1:80">
      <c r="F214" s="108"/>
      <c r="AC214" s="977">
        <f t="shared" si="68"/>
        <v>44747.333333333328</v>
      </c>
      <c r="AD214" s="1610" t="str">
        <f>IF(AND(HOUR(AC214)=HOUR(Worksheet!AF$68),DAY(AC214)=DAY(Worksheet!AF$68)),"START","")</f>
        <v/>
      </c>
      <c r="AE214" s="1149" t="str">
        <f>IF(AND(HOUR(AC214)=HOUR($F$186),DAY(AC214)=DAY($F$186)),(MID($B$189,6,3))*1,IF(AND(ISNUMBER(AE213),AC214&lt;$F$186+1+(1/25)),(MID($B$189,6+(3*COUNT($AE$207:AE213)),3))*1,""))</f>
        <v/>
      </c>
      <c r="AF214" s="1164" t="str">
        <f t="shared" si="49"/>
        <v/>
      </c>
      <c r="AG214" s="1150" t="str">
        <f t="shared" si="50"/>
        <v/>
      </c>
      <c r="AH214" s="1163" t="str">
        <f>IF(AND(ISNUMBER(AH213),AC214&lt;$F$186+26/25),(MID($B$190,6+(3*COUNT($AH$207:AH213)),3))*1,IF(AND(HOUR(AC214)=HOUR($F$186),DAY(AC214)=DAY($F$186)),(MID($B$190,6,3))*1,""))</f>
        <v/>
      </c>
      <c r="AI214" s="1901" t="str">
        <f t="shared" ref="AI214:AI239" si="74">IF(AH214="","",IF(AND(AE214&lt;0,AH214&gt;0),0-AH214,AH214))</f>
        <v/>
      </c>
      <c r="AJ214" s="1164" t="str">
        <f t="shared" si="52"/>
        <v/>
      </c>
      <c r="AK214" s="1150" t="str">
        <f t="shared" si="53"/>
        <v/>
      </c>
      <c r="AL214" s="1152" t="str">
        <f t="shared" si="39"/>
        <v/>
      </c>
      <c r="AM214" s="1153" t="str">
        <f t="shared" si="54"/>
        <v/>
      </c>
      <c r="AN214" s="1147"/>
      <c r="AO214" s="976" t="str">
        <f>IF(BA214="Y",AP214,IF(AND(ISNUMBER(AO213),AC214&lt;$F$186+26/25),(MID(INDEX($A$187:$B$210,MATCH("CIG",$A$187:$A$210,0),2),8+(3*COUNT($AO$207:AO213)),1))*1,IF(AND(HOUR(AC214)=HOUR($F$186),DAY(AC214)=DAY($F$186)),(MID(INDEX($A$187:$B$210,MATCH("CIG",$A$187:$A$210,0),2),8,1))*1,"")))</f>
        <v/>
      </c>
      <c r="AP214" s="1061" t="str">
        <f>IF(AND(ISNUMBER(AP213),AC214&lt;$F$186+26/25),(MID(INDEX($A$187:$B$210,MATCH("CCG",$A$187:$A$210,0),2),8+(3*COUNT($AP$207:AP213)),1))*1,IF(AND(HOUR(AC214)=HOUR($F$186),DAY(AC214)=DAY($F$186)),(MID(INDEX($A$187:$B$210,MATCH("CCG",$A$187:$A$210,0),2),8,1))*1,""))</f>
        <v/>
      </c>
      <c r="AQ214" s="1061" t="str">
        <f>IF(AND(AQ213&lt;&gt;"",AC214&lt;$F$186+26/25),MID(INDEX($A$187:$B$210,MATCH("CLD",$A$187:$A$210,0),2),7+(3*SUM(COUNTIF($AQ$207:AQ213,"OV"),COUNTIF($AQ$207:AQ213,"BK"),COUNTIF($AQ$207:AQ213,"SC"),COUNTIF($AQ$207:AQ213,"FW"),COUNTIF($AQ$207:AQ213,"CL"))),2),IF(AND(HOUR(AC214)=HOUR($F$186),DAY(AC214)=DAY($F$186)),MID(INDEX($A$187:$B$210,MATCH("CLD",$A$187:$A$210,0),2),7,2),""))</f>
        <v/>
      </c>
      <c r="AR214" s="1149" t="str">
        <f t="shared" si="55"/>
        <v/>
      </c>
      <c r="AS214" s="1150" t="str">
        <f t="shared" si="56"/>
        <v/>
      </c>
      <c r="AT214" s="112" t="str">
        <f t="shared" si="57"/>
        <v/>
      </c>
      <c r="AU214" s="1610" t="str">
        <f t="shared" si="58"/>
        <v/>
      </c>
      <c r="AV214" s="1148" t="str">
        <f t="shared" si="59"/>
        <v/>
      </c>
      <c r="AW214" s="920" t="str">
        <f t="shared" si="60"/>
        <v/>
      </c>
      <c r="AX214" s="1608" t="str">
        <f t="shared" si="61"/>
        <v/>
      </c>
      <c r="AY214" s="112" t="str">
        <f>IF(BA214="Y",AZ214,IF(AND(ISNUMBER(AY213),AC214&lt;$F$186+26/25),(MID(INDEX($A$187:$B$210,MATCH("VIS",$A$187:$A$210,0),2),8+(3*COUNT($AY$207:AY213)),1))*1,IF(AND(HOUR(AC214)=HOUR($F$186),DAY(AC214)=DAY($F$186)),(MID(INDEX($A$187:$B$210,MATCH("VIS",$A$187:$A$210,0),2),8,1))*1,"")))</f>
        <v/>
      </c>
      <c r="AZ214" s="112" t="str">
        <f>IF(AND(ISNUMBER(AZ213),AC214&lt;$F$186+26/25),(MID(INDEX($A$187:$B$210,MATCH("CVS",$A$187:$A$210,0),2),8+(3*COUNT($AZ$207:AZ213)),1))*1,IF(AND(HOUR(AC214)=HOUR($F$186),DAY(AC214)=DAY($F$186)),(MID(INDEX($A$187:$B$210,MATCH("CVS",$A$187:$A$210,0),2),8,1))*1,""))</f>
        <v/>
      </c>
      <c r="BA214" s="1610" t="str">
        <f>IF(AND(BA213&lt;&gt;"",AC214&lt;$F$186+26/25),MID(INDEX($A$187:$B$210,MATCH("PCO",$A$187:$A$210,0),2),8+(3*SUM(COUNTIF($BA$207:BA213,"Y"),COUNTIF($BA$207:BA213,"N"))),1),IF(AND(HOUR(AC214)=HOUR($F$186),DAY(AC214)=DAY($F$186)),MID(INDEX($A$187:$B$210,MATCH("PCO",$A$187:$A$210,0),2),8,1),""))</f>
        <v/>
      </c>
      <c r="BB214" s="1610" t="str">
        <f>IF(AND(BB213&lt;&gt;"",AC214&lt;$F$186+26/25),MID(INDEX($A$187:$B$210,MATCH("TYP",$A$187:$A$210,0),2),8+(3*SUM(COUNTIF($BB$207:BB213,"S"),COUNTIF($BB$207:BB213,"Z"), COUNTIF($BB$207:BB213,"R"),COUNTIF($BB$207:BB213,"X"))),1),IF(AND(HOUR(AC214)=HOUR($F$186),DAY(AC214)=DAY($F$186)),MID(INDEX($A$187:$B$210,MATCH("TYP",$A$187:$A$210,0),2),8,1),""))</f>
        <v/>
      </c>
      <c r="BC214" s="112" t="str">
        <f>IF(AND(LEN(BC213)=2,AC214&lt;$F$186+26/25),MID(INDEX($A$187:$B$211,MATCH("OBV",$A$187:$A$211,0),2),7+(3*SUM(COUNTIF($BC$207:BC213," N"),COUNTIF($BC$207:BC213,"HZ"),COUNTIF($BC$207:BC213,"BR"),COUNTIF($BC$207:BC213,"FG"),COUNTIF($BC$207:BC213,"BL"))),2),IF(AND(HOUR(AC214)=HOUR($F$186),DAY(AC214)=DAY($F$186)),MID(INDEX($A$187:$B$211,MATCH("OBV",$A$187:$A$211,0),2),7,2),""))</f>
        <v/>
      </c>
      <c r="BD214" s="112"/>
      <c r="BE214" s="112"/>
      <c r="BF214" s="112"/>
      <c r="BG214" s="1610" t="str">
        <f t="shared" si="40"/>
        <v/>
      </c>
      <c r="BH214" s="115" t="str">
        <f t="shared" si="62"/>
        <v/>
      </c>
      <c r="BI214" s="200" t="str">
        <f t="shared" si="41"/>
        <v/>
      </c>
      <c r="BJ214" s="62" t="str">
        <f t="shared" si="42"/>
        <v/>
      </c>
      <c r="BK214" s="1145" t="str">
        <f t="shared" si="69"/>
        <v/>
      </c>
      <c r="BL214" s="62" t="str">
        <f t="shared" si="43"/>
        <v/>
      </c>
      <c r="BM214" s="1145" t="str">
        <f t="shared" si="73"/>
        <v/>
      </c>
      <c r="BN214" s="1901" t="str">
        <f t="shared" si="44"/>
        <v/>
      </c>
      <c r="BO214" s="1144" t="str">
        <f t="shared" si="45"/>
        <v/>
      </c>
      <c r="BP214" s="106" t="str">
        <f t="shared" si="70"/>
        <v/>
      </c>
      <c r="BQ214" s="66" t="str">
        <f t="shared" si="46"/>
        <v/>
      </c>
      <c r="BR214" s="106" t="str">
        <f t="shared" si="47"/>
        <v/>
      </c>
      <c r="BS214" s="834" t="str">
        <f>IF(COUNT(BR214:BR219)&gt;0,IF(MOD(HOUR(AC214),6)=0,AVERAGE(MAX(BR214:BR220),MIN(BR214:BR220)),IF(MOD(HOUR(AC214),3)=0,MAX(BR215:BR220),IF(MOD(HOUR(AC213),3)=0,BS213,BS215))),"")</f>
        <v/>
      </c>
      <c r="BT214" s="106" t="str">
        <f t="shared" si="48"/>
        <v/>
      </c>
      <c r="BU214" s="834" t="str">
        <f t="shared" si="63"/>
        <v/>
      </c>
      <c r="BV214" s="66" t="str">
        <f t="shared" si="64"/>
        <v/>
      </c>
      <c r="BW214" s="66" t="str">
        <f>IF(OR($AC214&lt;($F$345-0.001),$AC214&gt;($F$346+0.001)),"",IF($AC214-$F$345&lt;2.24,IF(MOD(HOUR($AC214),3)=0,MID(INDEX($A$344:$B$369,MATCH("TYP",$A$344:$A$369,0),2),7+(3*($AC214-$F$345)*8),2),IF(MOD(HOUR($AC213),3)=0,BW213,BW215)),IF(MOD(HOUR($AC214),6)=0,MID(INDEX($A$344:$B$369,MATCH("TYP",$A$344:$A$369,0),2),61+(3*(ROUND((($AC214-$F$345)-2.25)*4,2))),2),"")))</f>
        <v/>
      </c>
      <c r="BX214" s="1198" t="str">
        <f t="shared" si="72"/>
        <v/>
      </c>
      <c r="BY214" s="1146" t="str">
        <f t="shared" si="66"/>
        <v/>
      </c>
      <c r="CA214" s="3675">
        <f t="shared" si="67"/>
        <v>44747.333333333328</v>
      </c>
      <c r="CB214" s="3675"/>
    </row>
    <row r="215" spans="1:80">
      <c r="F215" s="108"/>
      <c r="AC215" s="977">
        <f t="shared" si="68"/>
        <v>44747.375</v>
      </c>
      <c r="AD215" s="1610" t="str">
        <f>IF(AND(HOUR(AC215)=HOUR(Worksheet!AF$68),DAY(AC215)=DAY(Worksheet!AF$68)),"START","")</f>
        <v/>
      </c>
      <c r="AE215" s="1149" t="str">
        <f>IF(AND(HOUR(AC215)=HOUR($F$186),DAY(AC215)=DAY($F$186)),(MID($B$189,6,3))*1,IF(AND(ISNUMBER(AE214),AC215&lt;$F$186+1+(1/25)),(MID($B$189,6+(3*COUNT($AE$207:AE214)),3))*1,""))</f>
        <v/>
      </c>
      <c r="AF215" s="1164" t="str">
        <f t="shared" si="49"/>
        <v/>
      </c>
      <c r="AG215" s="1150" t="str">
        <f t="shared" si="50"/>
        <v/>
      </c>
      <c r="AH215" s="1163" t="str">
        <f>IF(AND(ISNUMBER(AH214),AC215&lt;$F$186+26/25),(MID($B$190,6+(3*COUNT($AH$207:AH214)),3))*1,IF(AND(HOUR(AC215)=HOUR($F$186),DAY(AC215)=DAY($F$186)),(MID($B$190,6,3))*1,""))</f>
        <v/>
      </c>
      <c r="AI215" s="1901" t="str">
        <f t="shared" si="74"/>
        <v/>
      </c>
      <c r="AJ215" s="1164" t="str">
        <f t="shared" si="52"/>
        <v/>
      </c>
      <c r="AK215" s="1150" t="str">
        <f t="shared" si="53"/>
        <v/>
      </c>
      <c r="AL215" s="1152" t="str">
        <f t="shared" si="39"/>
        <v/>
      </c>
      <c r="AM215" s="1153" t="str">
        <f t="shared" si="54"/>
        <v/>
      </c>
      <c r="AN215" s="1147"/>
      <c r="AO215" s="976" t="str">
        <f>IF(BA215="Y",AP215,IF(AND(ISNUMBER(AO214),AC215&lt;$F$186+26/25),(MID(INDEX($A$187:$B$210,MATCH("CIG",$A$187:$A$210,0),2),8+(3*COUNT($AO$207:AO214)),1))*1,IF(AND(HOUR(AC215)=HOUR($F$186),DAY(AC215)=DAY($F$186)),(MID(INDEX($A$187:$B$210,MATCH("CIG",$A$187:$A$210,0),2),8,1))*1,"")))</f>
        <v/>
      </c>
      <c r="AP215" s="1061" t="str">
        <f>IF(AND(ISNUMBER(AP214),AC215&lt;$F$186+26/25),(MID(INDEX($A$187:$B$210,MATCH("CCG",$A$187:$A$210,0),2),8+(3*COUNT($AP$207:AP214)),1))*1,IF(AND(HOUR(AC215)=HOUR($F$186),DAY(AC215)=DAY($F$186)),(MID(INDEX($A$187:$B$210,MATCH("CCG",$A$187:$A$210,0),2),8,1))*1,""))</f>
        <v/>
      </c>
      <c r="AQ215" s="1061" t="str">
        <f>IF(AND(AQ214&lt;&gt;"",AC215&lt;$F$186+26/25),MID(INDEX($A$187:$B$210,MATCH("CLD",$A$187:$A$210,0),2),7+(3*SUM(COUNTIF($AQ$207:AQ214,"OV"),COUNTIF($AQ$207:AQ214,"BK"),COUNTIF($AQ$207:AQ214,"SC"),COUNTIF($AQ$207:AQ214,"FW"),COUNTIF($AQ$207:AQ214,"CL"))),2),IF(AND(HOUR(AC215)=HOUR($F$186),DAY(AC215)=DAY($F$186)),MID(INDEX($A$187:$B$210,MATCH("CLD",$A$187:$A$210,0),2),7,2),""))</f>
        <v/>
      </c>
      <c r="AR215" s="1149" t="str">
        <f t="shared" si="55"/>
        <v/>
      </c>
      <c r="AS215" s="1150" t="str">
        <f t="shared" si="56"/>
        <v/>
      </c>
      <c r="AT215" s="112" t="str">
        <f t="shared" si="57"/>
        <v/>
      </c>
      <c r="AU215" s="1610" t="str">
        <f t="shared" si="58"/>
        <v/>
      </c>
      <c r="AV215" s="1148" t="str">
        <f t="shared" si="59"/>
        <v/>
      </c>
      <c r="AW215" s="920" t="str">
        <f t="shared" si="60"/>
        <v/>
      </c>
      <c r="AX215" s="1608" t="str">
        <f t="shared" si="61"/>
        <v/>
      </c>
      <c r="AY215" s="112" t="str">
        <f>IF(BA215="Y",AZ215,IF(AND(ISNUMBER(AY214),AC215&lt;$F$186+26/25),(MID(INDEX($A$187:$B$210,MATCH("VIS",$A$187:$A$210,0),2),8+(3*COUNT($AY$207:AY214)),1))*1,IF(AND(HOUR(AC215)=HOUR($F$186),DAY(AC215)=DAY($F$186)),(MID(INDEX($A$187:$B$210,MATCH("VIS",$A$187:$A$210,0),2),8,1))*1,"")))</f>
        <v/>
      </c>
      <c r="AZ215" s="112" t="str">
        <f>IF(AND(ISNUMBER(AZ214),AC215&lt;$F$186+26/25),(MID(INDEX($A$187:$B$210,MATCH("CVS",$A$187:$A$210,0),2),8+(3*COUNT($AZ$207:AZ214)),1))*1,IF(AND(HOUR(AC215)=HOUR($F$186),DAY(AC215)=DAY($F$186)),(MID(INDEX($A$187:$B$210,MATCH("CVS",$A$187:$A$210,0),2),8,1))*1,""))</f>
        <v/>
      </c>
      <c r="BA215" s="1610" t="str">
        <f>IF(AND(BA214&lt;&gt;"",AC215&lt;$F$186+26/25),MID(INDEX($A$187:$B$210,MATCH("PCO",$A$187:$A$210,0),2),8+(3*SUM(COUNTIF($BA$207:BA214,"Y"),COUNTIF($BA$207:BA214,"N"))),1),IF(AND(HOUR(AC215)=HOUR($F$186),DAY(AC215)=DAY($F$186)),MID(INDEX($A$187:$B$210,MATCH("PCO",$A$187:$A$210,0),2),8,1),""))</f>
        <v/>
      </c>
      <c r="BB215" s="1610" t="str">
        <f>IF(AND(BB214&lt;&gt;"",AC215&lt;$F$186+26/25),MID(INDEX($A$187:$B$210,MATCH("TYP",$A$187:$A$210,0),2),8+(3*SUM(COUNTIF($BB$207:BB214,"S"),COUNTIF($BB$207:BB214,"Z"), COUNTIF($BB$207:BB214,"R"),COUNTIF($BB$207:BB214,"X"))),1),IF(AND(HOUR(AC215)=HOUR($F$186),DAY(AC215)=DAY($F$186)),MID(INDEX($A$187:$B$210,MATCH("TYP",$A$187:$A$210,0),2),8,1),""))</f>
        <v/>
      </c>
      <c r="BC215" s="112" t="str">
        <f>IF(AND(LEN(BC214)=2,AC215&lt;$F$186+26/25),MID(INDEX($A$187:$B$211,MATCH("OBV",$A$187:$A$211,0),2),7+(3*SUM(COUNTIF($BC$207:BC214," N"),COUNTIF($BC$207:BC214,"HZ"),COUNTIF($BC$207:BC214,"BR"),COUNTIF($BC$207:BC214,"FG"),COUNTIF($BC$207:BC214,"BL"))),2),IF(AND(HOUR(AC215)=HOUR($F$186),DAY(AC215)=DAY($F$186)),MID(INDEX($A$187:$B$211,MATCH("OBV",$A$187:$A$211,0),2),7,2),""))</f>
        <v/>
      </c>
      <c r="BD215" s="112"/>
      <c r="BE215" s="112"/>
      <c r="BF215" s="112"/>
      <c r="BG215" s="1610" t="str">
        <f t="shared" si="40"/>
        <v/>
      </c>
      <c r="BH215" s="115" t="str">
        <f t="shared" si="62"/>
        <v/>
      </c>
      <c r="BI215" s="200" t="str">
        <f t="shared" si="41"/>
        <v/>
      </c>
      <c r="BJ215" s="62" t="str">
        <f t="shared" si="42"/>
        <v/>
      </c>
      <c r="BK215" s="1145" t="str">
        <f t="shared" si="69"/>
        <v/>
      </c>
      <c r="BL215" s="62" t="str">
        <f t="shared" si="43"/>
        <v/>
      </c>
      <c r="BM215" s="1145" t="str">
        <f t="shared" si="73"/>
        <v/>
      </c>
      <c r="BN215" s="1901" t="str">
        <f t="shared" si="44"/>
        <v/>
      </c>
      <c r="BO215" s="1144" t="str">
        <f t="shared" si="45"/>
        <v/>
      </c>
      <c r="BP215" s="106" t="str">
        <f t="shared" si="70"/>
        <v/>
      </c>
      <c r="BQ215" s="66" t="str">
        <f t="shared" si="46"/>
        <v/>
      </c>
      <c r="BR215" s="106" t="str">
        <f t="shared" si="47"/>
        <v/>
      </c>
      <c r="BS215" s="834" t="str">
        <f t="shared" si="71"/>
        <v/>
      </c>
      <c r="BT215" s="106" t="str">
        <f t="shared" si="48"/>
        <v/>
      </c>
      <c r="BU215" s="834" t="str">
        <f t="shared" si="63"/>
        <v/>
      </c>
      <c r="BV215" s="66" t="str">
        <f t="shared" si="64"/>
        <v/>
      </c>
      <c r="BW215" s="66" t="str">
        <f t="shared" si="65"/>
        <v/>
      </c>
      <c r="BX215" s="1198" t="str">
        <f t="shared" si="72"/>
        <v/>
      </c>
      <c r="BY215" s="1146" t="str">
        <f t="shared" si="66"/>
        <v/>
      </c>
      <c r="CA215" s="3675">
        <f t="shared" si="67"/>
        <v>44747.375</v>
      </c>
      <c r="CB215" s="3675"/>
    </row>
    <row r="216" spans="1:80" ht="13.5" customHeight="1">
      <c r="A216" s="483" t="s">
        <v>2725</v>
      </c>
      <c r="B216" s="459" t="str">
        <f>Worksheet!N69</f>
        <v>Basetime: 2022070518Z</v>
      </c>
      <c r="C216" s="377"/>
      <c r="D216" s="377"/>
      <c r="E216" s="377"/>
      <c r="F216" s="377" t="str">
        <f>MID(B216,15,2)</f>
        <v>07</v>
      </c>
      <c r="G216" s="403" t="str">
        <f>MID(B216,17,2)</f>
        <v>05</v>
      </c>
      <c r="H216" s="403" t="str">
        <f>MID(B216,11,4)</f>
        <v>2022</v>
      </c>
      <c r="I216" s="3676">
        <f>DATE(H216*1,F216*1,G216*1)</f>
        <v>44747</v>
      </c>
      <c r="J216" s="3676"/>
      <c r="K216" s="459"/>
      <c r="L216" s="459"/>
      <c r="M216" s="459"/>
      <c r="N216" s="459"/>
      <c r="O216" s="459"/>
      <c r="P216" s="459"/>
      <c r="Q216" s="459"/>
      <c r="R216" s="459"/>
      <c r="S216" s="459"/>
      <c r="T216" s="459"/>
      <c r="U216" s="459"/>
      <c r="V216" s="459"/>
      <c r="W216" s="459"/>
      <c r="X216" s="459"/>
      <c r="Y216" s="459"/>
      <c r="Z216" s="459"/>
      <c r="AA216" s="459"/>
      <c r="AB216" s="459"/>
      <c r="AC216" s="977">
        <f t="shared" si="68"/>
        <v>44747.416666666664</v>
      </c>
      <c r="AD216" s="1610" t="str">
        <f>IF(AND(HOUR(AC216)=HOUR(Worksheet!AF$68),DAY(AC216)=DAY(Worksheet!AF$68)),"START","")</f>
        <v/>
      </c>
      <c r="AE216" s="1149" t="str">
        <f>IF(AND(HOUR(AC216)=HOUR($F$186),DAY(AC216)=DAY($F$186)),(MID($B$189,6,3))*1,IF(AND(ISNUMBER(AE215),AC216&lt;$F$186+1+(1/25)),(MID($B$189,6+(3*COUNT($AE$207:AE215)),3))*1,""))</f>
        <v/>
      </c>
      <c r="AF216" s="1164" t="str">
        <f t="shared" si="49"/>
        <v/>
      </c>
      <c r="AG216" s="1150" t="str">
        <f t="shared" si="50"/>
        <v/>
      </c>
      <c r="AH216" s="1163" t="str">
        <f>IF(AND(ISNUMBER(AH215),AC216&lt;$F$186+26/25),(MID($B$190,6+(3*COUNT($AH$207:AH215)),3))*1,IF(AND(HOUR(AC216)=HOUR($F$186),DAY(AC216)=DAY($F$186)),(MID($B$190,6,3))*1,""))</f>
        <v/>
      </c>
      <c r="AI216" s="1901" t="str">
        <f t="shared" si="74"/>
        <v/>
      </c>
      <c r="AJ216" s="1164" t="str">
        <f t="shared" si="52"/>
        <v/>
      </c>
      <c r="AK216" s="1150" t="str">
        <f t="shared" si="53"/>
        <v/>
      </c>
      <c r="AL216" s="1152" t="str">
        <f t="shared" si="39"/>
        <v/>
      </c>
      <c r="AM216" s="1153" t="str">
        <f t="shared" si="54"/>
        <v/>
      </c>
      <c r="AN216" s="1147"/>
      <c r="AO216" s="976" t="str">
        <f>IF(BA216="Y",AP216,IF(AND(ISNUMBER(AO215),AC216&lt;$F$186+26/25),(MID(INDEX($A$187:$B$210,MATCH("CIG",$A$187:$A$210,0),2),8+(3*COUNT($AO$207:AO215)),1))*1,IF(AND(HOUR(AC216)=HOUR($F$186),DAY(AC216)=DAY($F$186)),(MID(INDEX($A$187:$B$210,MATCH("CIG",$A$187:$A$210,0),2),8,1))*1,"")))</f>
        <v/>
      </c>
      <c r="AP216" s="1061" t="str">
        <f>IF(AND(ISNUMBER(AP215),AC216&lt;$F$186+26/25),(MID(INDEX($A$187:$B$210,MATCH("CCG",$A$187:$A$210,0),2),8+(3*COUNT($AP$207:AP215)),1))*1,IF(AND(HOUR(AC216)=HOUR($F$186),DAY(AC216)=DAY($F$186)),(MID(INDEX($A$187:$B$210,MATCH("CCG",$A$187:$A$210,0),2),8,1))*1,""))</f>
        <v/>
      </c>
      <c r="AQ216" s="1061" t="str">
        <f>IF(AND(AQ215&lt;&gt;"",AC216&lt;$F$186+26/25),MID(INDEX($A$187:$B$210,MATCH("CLD",$A$187:$A$210,0),2),7+(3*SUM(COUNTIF($AQ$207:AQ215,"OV"),COUNTIF($AQ$207:AQ215,"BK"),COUNTIF($AQ$207:AQ215,"SC"),COUNTIF($AQ$207:AQ215,"FW"),COUNTIF($AQ$207:AQ215,"CL"))),2),IF(AND(HOUR(AC216)=HOUR($F$186),DAY(AC216)=DAY($F$186)),MID(INDEX($A$187:$B$210,MATCH("CLD",$A$187:$A$210,0),2),7,2),""))</f>
        <v/>
      </c>
      <c r="AR216" s="1149" t="str">
        <f t="shared" si="55"/>
        <v/>
      </c>
      <c r="AS216" s="1150" t="str">
        <f t="shared" si="56"/>
        <v/>
      </c>
      <c r="AT216" s="112" t="str">
        <f t="shared" si="57"/>
        <v/>
      </c>
      <c r="AU216" s="1610" t="str">
        <f t="shared" si="58"/>
        <v/>
      </c>
      <c r="AV216" s="1148" t="str">
        <f t="shared" si="59"/>
        <v/>
      </c>
      <c r="AW216" s="920" t="str">
        <f t="shared" si="60"/>
        <v/>
      </c>
      <c r="AX216" s="1608" t="str">
        <f t="shared" si="61"/>
        <v/>
      </c>
      <c r="AY216" s="112" t="str">
        <f>IF(BA216="Y",AZ216,IF(AND(ISNUMBER(AY215),AC216&lt;$F$186+26/25),(MID(INDEX($A$187:$B$210,MATCH("VIS",$A$187:$A$210,0),2),8+(3*COUNT($AY$207:AY215)),1))*1,IF(AND(HOUR(AC216)=HOUR($F$186),DAY(AC216)=DAY($F$186)),(MID(INDEX($A$187:$B$210,MATCH("VIS",$A$187:$A$210,0),2),8,1))*1,"")))</f>
        <v/>
      </c>
      <c r="AZ216" s="112" t="str">
        <f>IF(AND(ISNUMBER(AZ215),AC216&lt;$F$186+26/25),(MID(INDEX($A$187:$B$210,MATCH("CVS",$A$187:$A$210,0),2),8+(3*COUNT($AZ$207:AZ215)),1))*1,IF(AND(HOUR(AC216)=HOUR($F$186),DAY(AC216)=DAY($F$186)),(MID(INDEX($A$187:$B$210,MATCH("CVS",$A$187:$A$210,0),2),8,1))*1,""))</f>
        <v/>
      </c>
      <c r="BA216" s="1610" t="str">
        <f>IF(AND(BA215&lt;&gt;"",AC216&lt;$F$186+26/25),MID(INDEX($A$187:$B$210,MATCH("PCO",$A$187:$A$210,0),2),8+(3*SUM(COUNTIF($BA$207:BA215,"Y"),COUNTIF($BA$207:BA215,"N"))),1),IF(AND(HOUR(AC216)=HOUR($F$186),DAY(AC216)=DAY($F$186)),MID(INDEX($A$187:$B$210,MATCH("PCO",$A$187:$A$210,0),2),8,1),""))</f>
        <v/>
      </c>
      <c r="BB216" s="1610" t="str">
        <f>IF(AND(BB215&lt;&gt;"",AC216&lt;$F$186+26/25),MID(INDEX($A$187:$B$210,MATCH("TYP",$A$187:$A$210,0),2),8+(3*SUM(COUNTIF($BB$207:BB215,"S"),COUNTIF($BB$207:BB215,"Z"), COUNTIF($BB$207:BB215,"R"),COUNTIF($BB$207:BB215,"X"))),1),IF(AND(HOUR(AC216)=HOUR($F$186),DAY(AC216)=DAY($F$186)),MID(INDEX($A$187:$B$210,MATCH("TYP",$A$187:$A$210,0),2),8,1),""))</f>
        <v/>
      </c>
      <c r="BC216" s="112" t="str">
        <f>IF(AND(LEN(BC215)=2,AC216&lt;$F$186+26/25),MID(INDEX($A$187:$B$211,MATCH("OBV",$A$187:$A$211,0),2),7+(3*SUM(COUNTIF($BC$207:BC215," N"),COUNTIF($BC$207:BC215,"HZ"),COUNTIF($BC$207:BC215,"BR"),COUNTIF($BC$207:BC215,"FG"),COUNTIF($BC$207:BC215,"BL"))),2),IF(AND(HOUR(AC216)=HOUR($F$186),DAY(AC216)=DAY($F$186)),MID(INDEX($A$187:$B$211,MATCH("OBV",$A$187:$A$211,0),2),7,2),""))</f>
        <v/>
      </c>
      <c r="BD216" s="112"/>
      <c r="BE216" s="112"/>
      <c r="BF216" s="112"/>
      <c r="BG216" s="1610" t="str">
        <f t="shared" si="40"/>
        <v/>
      </c>
      <c r="BH216" s="115" t="str">
        <f t="shared" si="62"/>
        <v/>
      </c>
      <c r="BI216" s="200" t="str">
        <f t="shared" si="41"/>
        <v/>
      </c>
      <c r="BJ216" s="62" t="str">
        <f t="shared" si="42"/>
        <v/>
      </c>
      <c r="BK216" s="1145" t="str">
        <f t="shared" si="69"/>
        <v/>
      </c>
      <c r="BL216" s="62" t="str">
        <f t="shared" si="43"/>
        <v/>
      </c>
      <c r="BM216" s="1145" t="str">
        <f t="shared" si="73"/>
        <v/>
      </c>
      <c r="BN216" s="1901" t="str">
        <f t="shared" si="44"/>
        <v/>
      </c>
      <c r="BO216" s="1144" t="str">
        <f t="shared" si="45"/>
        <v/>
      </c>
      <c r="BP216" s="106" t="str">
        <f t="shared" si="70"/>
        <v/>
      </c>
      <c r="BQ216" s="66" t="str">
        <f t="shared" si="46"/>
        <v/>
      </c>
      <c r="BR216" s="106" t="str">
        <f t="shared" si="47"/>
        <v/>
      </c>
      <c r="BS216" s="834" t="str">
        <f t="shared" si="71"/>
        <v/>
      </c>
      <c r="BT216" s="106" t="str">
        <f t="shared" si="48"/>
        <v/>
      </c>
      <c r="BU216" s="834" t="str">
        <f t="shared" si="63"/>
        <v/>
      </c>
      <c r="BV216" s="66" t="str">
        <f t="shared" si="64"/>
        <v/>
      </c>
      <c r="BW216" s="66" t="str">
        <f t="shared" si="65"/>
        <v/>
      </c>
      <c r="BX216" s="1198" t="str">
        <f t="shared" si="72"/>
        <v/>
      </c>
      <c r="BY216" s="1146" t="str">
        <f t="shared" si="66"/>
        <v/>
      </c>
      <c r="CA216" s="3675">
        <f t="shared" si="67"/>
        <v>44747.416666666664</v>
      </c>
      <c r="CB216" s="3675"/>
    </row>
    <row r="217" spans="1:80" ht="12.5">
      <c r="A217" s="475"/>
      <c r="B217" s="459" t="str">
        <f>Worksheet!N84</f>
        <v>Altimeter (in. Hg):</v>
      </c>
      <c r="C217" s="377"/>
      <c r="D217" s="377"/>
      <c r="E217" s="377"/>
      <c r="F217" s="377"/>
      <c r="G217" s="403"/>
      <c r="H217" s="403"/>
      <c r="I217" s="403"/>
      <c r="J217" s="459"/>
      <c r="K217" s="459"/>
      <c r="L217" s="459"/>
      <c r="M217" s="459"/>
      <c r="N217" s="459"/>
      <c r="O217" s="459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  <c r="AA217" s="459"/>
      <c r="AB217" s="459"/>
      <c r="AC217" s="977">
        <f t="shared" si="68"/>
        <v>44747.458333333328</v>
      </c>
      <c r="AD217" s="1610" t="str">
        <f>IF(AND(HOUR(AC217)=HOUR(Worksheet!AF$68),DAY(AC217)=DAY(Worksheet!AF$68)),"START","")</f>
        <v/>
      </c>
      <c r="AE217" s="1149" t="str">
        <f>IF(AND(HOUR(AC217)=HOUR($F$186),DAY(AC217)=DAY($F$186)),(MID($B$189,6,3))*1,IF(AND(ISNUMBER(AE216),AC217&lt;$F$186+1+(1/25)),(MID($B$189,6+(3*COUNT($AE$207:AE216)),3))*1,""))</f>
        <v/>
      </c>
      <c r="AF217" s="1164" t="str">
        <f t="shared" si="49"/>
        <v/>
      </c>
      <c r="AG217" s="1150" t="str">
        <f t="shared" si="50"/>
        <v/>
      </c>
      <c r="AH217" s="1163" t="str">
        <f>IF(AND(ISNUMBER(AH216),AC217&lt;$F$186+26/25),(MID($B$190,6+(3*COUNT($AH$207:AH216)),3))*1,IF(AND(HOUR(AC217)=HOUR($F$186),DAY(AC217)=DAY($F$186)),(MID($B$190,6,3))*1,""))</f>
        <v/>
      </c>
      <c r="AI217" s="1901" t="str">
        <f t="shared" si="74"/>
        <v/>
      </c>
      <c r="AJ217" s="1164" t="str">
        <f t="shared" si="52"/>
        <v/>
      </c>
      <c r="AK217" s="1150" t="str">
        <f t="shared" si="53"/>
        <v/>
      </c>
      <c r="AL217" s="1152" t="str">
        <f t="shared" si="39"/>
        <v/>
      </c>
      <c r="AM217" s="1153" t="str">
        <f t="shared" si="54"/>
        <v/>
      </c>
      <c r="AN217" s="1147"/>
      <c r="AO217" s="976" t="str">
        <f>IF(BA217="Y",AP217,IF(AND(ISNUMBER(AO216),AC217&lt;$F$186+26/25),(MID(INDEX($A$187:$B$210,MATCH("CIG",$A$187:$A$210,0),2),8+(3*COUNT($AO$207:AO216)),1))*1,IF(AND(HOUR(AC217)=HOUR($F$186),DAY(AC217)=DAY($F$186)),(MID(INDEX($A$187:$B$210,MATCH("CIG",$A$187:$A$210,0),2),8,1))*1,"")))</f>
        <v/>
      </c>
      <c r="AP217" s="1061" t="str">
        <f>IF(AND(ISNUMBER(AP216),AC217&lt;$F$186+26/25),(MID(INDEX($A$187:$B$210,MATCH("CCG",$A$187:$A$210,0),2),8+(3*COUNT($AP$207:AP216)),1))*1,IF(AND(HOUR(AC217)=HOUR($F$186),DAY(AC217)=DAY($F$186)),(MID(INDEX($A$187:$B$210,MATCH("CCG",$A$187:$A$210,0),2),8,1))*1,""))</f>
        <v/>
      </c>
      <c r="AQ217" s="1061" t="str">
        <f>IF(AND(AQ216&lt;&gt;"",AC217&lt;$F$186+26/25),MID(INDEX($A$187:$B$210,MATCH("CLD",$A$187:$A$210,0),2),7+(3*SUM(COUNTIF($AQ$207:AQ216,"OV"),COUNTIF($AQ$207:AQ216,"BK"),COUNTIF($AQ$207:AQ216,"SC"),COUNTIF($AQ$207:AQ216,"FW"),COUNTIF($AQ$207:AQ216,"CL"))),2),IF(AND(HOUR(AC217)=HOUR($F$186),DAY(AC217)=DAY($F$186)),MID(INDEX($A$187:$B$210,MATCH("CLD",$A$187:$A$210,0),2),7,2),""))</f>
        <v/>
      </c>
      <c r="AR217" s="1149" t="str">
        <f t="shared" si="55"/>
        <v/>
      </c>
      <c r="AS217" s="1150" t="str">
        <f t="shared" si="56"/>
        <v/>
      </c>
      <c r="AT217" s="112" t="str">
        <f t="shared" si="57"/>
        <v/>
      </c>
      <c r="AU217" s="1610" t="str">
        <f t="shared" si="58"/>
        <v/>
      </c>
      <c r="AV217" s="1148" t="str">
        <f t="shared" si="59"/>
        <v/>
      </c>
      <c r="AW217" s="920" t="str">
        <f t="shared" si="60"/>
        <v/>
      </c>
      <c r="AX217" s="1608" t="str">
        <f t="shared" si="61"/>
        <v/>
      </c>
      <c r="AY217" s="112" t="str">
        <f>IF(BA217="Y",AZ217,IF(AND(ISNUMBER(AY216),AC217&lt;$F$186+26/25),(MID(INDEX($A$187:$B$210,MATCH("VIS",$A$187:$A$210,0),2),8+(3*COUNT($AY$207:AY216)),1))*1,IF(AND(HOUR(AC217)=HOUR($F$186),DAY(AC217)=DAY($F$186)),(MID(INDEX($A$187:$B$210,MATCH("VIS",$A$187:$A$210,0),2),8,1))*1,"")))</f>
        <v/>
      </c>
      <c r="AZ217" s="112" t="str">
        <f>IF(AND(ISNUMBER(AZ216),AC217&lt;$F$186+26/25),(MID(INDEX($A$187:$B$210,MATCH("CVS",$A$187:$A$210,0),2),8+(3*COUNT($AZ$207:AZ216)),1))*1,IF(AND(HOUR(AC217)=HOUR($F$186),DAY(AC217)=DAY($F$186)),(MID(INDEX($A$187:$B$210,MATCH("CVS",$A$187:$A$210,0),2),8,1))*1,""))</f>
        <v/>
      </c>
      <c r="BA217" s="1610" t="str">
        <f>IF(AND(BA216&lt;&gt;"",AC217&lt;$F$186+26/25),MID(INDEX($A$187:$B$210,MATCH("PCO",$A$187:$A$210,0),2),8+(3*SUM(COUNTIF($BA$207:BA216,"Y"),COUNTIF($BA$207:BA216,"N"))),1),IF(AND(HOUR(AC217)=HOUR($F$186),DAY(AC217)=DAY($F$186)),MID(INDEX($A$187:$B$210,MATCH("PCO",$A$187:$A$210,0),2),8,1),""))</f>
        <v/>
      </c>
      <c r="BB217" s="1610" t="str">
        <f>IF(AND(BB216&lt;&gt;"",AC217&lt;$F$186+26/25),MID(INDEX($A$187:$B$210,MATCH("TYP",$A$187:$A$210,0),2),8+(3*SUM(COUNTIF($BB$207:BB216,"S"),COUNTIF($BB$207:BB216,"Z"), COUNTIF($BB$207:BB216,"R"),COUNTIF($BB$207:BB216,"X"))),1),IF(AND(HOUR(AC217)=HOUR($F$186),DAY(AC217)=DAY($F$186)),MID(INDEX($A$187:$B$210,MATCH("TYP",$A$187:$A$210,0),2),8,1),""))</f>
        <v/>
      </c>
      <c r="BC217" s="112" t="str">
        <f>IF(AND(LEN(BC216)=2,AC217&lt;$F$186+26/25),MID(INDEX($A$187:$B$211,MATCH("OBV",$A$187:$A$211,0),2),7+(3*SUM(COUNTIF($BC$207:BC216," N"),COUNTIF($BC$207:BC216,"HZ"),COUNTIF($BC$207:BC216,"BR"),COUNTIF($BC$207:BC216,"FG"),COUNTIF($BC$207:BC216,"BL"))),2),IF(AND(HOUR(AC217)=HOUR($F$186),DAY(AC217)=DAY($F$186)),MID(INDEX($A$187:$B$211,MATCH("OBV",$A$187:$A$211,0),2),7,2),""))</f>
        <v/>
      </c>
      <c r="BD217" s="112"/>
      <c r="BE217" s="112"/>
      <c r="BF217" s="112"/>
      <c r="BG217" s="1610" t="str">
        <f t="shared" si="40"/>
        <v/>
      </c>
      <c r="BH217" s="115" t="str">
        <f t="shared" si="62"/>
        <v/>
      </c>
      <c r="BI217" s="200" t="str">
        <f t="shared" si="41"/>
        <v/>
      </c>
      <c r="BJ217" s="62" t="str">
        <f>IF(AC217=$F$373,MID(INDEX($A$369:$B$393,MATCH("P06",$A$369:$A$393,0),2),12,3)*1,IF(OR(AC217&lt;($F$373+0.01),AC217&gt;($F$374+0.001)),"",IF(AC217-$F$373&lt;2.49,IF(MOD(HOUR(AC217),6)=0,(MID(INDEX($A$370:$B$392,MATCH("P06",$A$370:$A$392,0),2),12+(6*(AC217-($F$373+0.25))*4),3))*1,""),IF(MOD(HOUR(AC217),6)=0,(MID(INDEX($A$370:$B$392,MATCH("P06",$A$370:$A$392,0),2),63+(3*(ROUND(((AC217-$F$373-2.5)*4),3))),3))*1,""))))</f>
        <v/>
      </c>
      <c r="BK217" s="1145" t="str">
        <f t="shared" si="69"/>
        <v/>
      </c>
      <c r="BL217" s="62" t="str">
        <f t="shared" si="43"/>
        <v/>
      </c>
      <c r="BM217" s="1145" t="str">
        <f t="shared" si="73"/>
        <v/>
      </c>
      <c r="BN217" s="1901" t="str">
        <f t="shared" si="44"/>
        <v/>
      </c>
      <c r="BO217" s="1144" t="str">
        <f t="shared" si="45"/>
        <v/>
      </c>
      <c r="BP217" s="106" t="str">
        <f t="shared" si="70"/>
        <v/>
      </c>
      <c r="BQ217" s="66" t="str">
        <f t="shared" si="46"/>
        <v/>
      </c>
      <c r="BR217" s="106" t="str">
        <f t="shared" si="47"/>
        <v/>
      </c>
      <c r="BS217" s="834" t="str">
        <f t="shared" si="71"/>
        <v/>
      </c>
      <c r="BT217" s="106" t="str">
        <f t="shared" si="48"/>
        <v/>
      </c>
      <c r="BU217" s="834" t="str">
        <f t="shared" si="63"/>
        <v/>
      </c>
      <c r="BV217" s="66" t="str">
        <f t="shared" si="64"/>
        <v/>
      </c>
      <c r="BW217" s="66" t="str">
        <f t="shared" si="65"/>
        <v/>
      </c>
      <c r="BX217" s="1198" t="str">
        <f t="shared" si="72"/>
        <v/>
      </c>
      <c r="BY217" s="1146" t="str">
        <f t="shared" si="66"/>
        <v/>
      </c>
      <c r="CA217" s="3675">
        <f t="shared" si="67"/>
        <v>44747.458333333328</v>
      </c>
      <c r="CB217" s="3675"/>
    </row>
    <row r="218" spans="1:80" ht="12.5">
      <c r="A218" s="482" t="s">
        <v>41</v>
      </c>
      <c r="B218" s="36" t="str">
        <f>Worksheet!O84</f>
        <v xml:space="preserve">   30.00,   29.92,   29.90,   29.92,   29.93,   29.92,   29.95,   29.94,   29.91,   29.87,   29.86,   29.86,   29.87,   29.91,   29.91,   29.90,   29.88,   29.84,   29.88,   29.88,   29.87,   29.86,   29.87,   29.93,   29.91,   29.92,   29.96,   30.00,   30.00,</v>
      </c>
      <c r="C218" s="377"/>
      <c r="D218" s="377"/>
      <c r="E218" s="377"/>
      <c r="F218" s="377"/>
      <c r="G218" s="403"/>
      <c r="H218" s="403"/>
      <c r="I218" s="403"/>
      <c r="J218" s="459"/>
      <c r="K218" s="459"/>
      <c r="L218" s="459"/>
      <c r="M218" s="459"/>
      <c r="N218" s="459"/>
      <c r="O218" s="459"/>
      <c r="P218" s="459"/>
      <c r="Q218" s="459"/>
      <c r="R218" s="459"/>
      <c r="S218" s="459"/>
      <c r="T218" s="459"/>
      <c r="U218" s="459"/>
      <c r="V218" s="459"/>
      <c r="W218" s="459"/>
      <c r="X218" s="459"/>
      <c r="Y218" s="459"/>
      <c r="Z218" s="459"/>
      <c r="AA218" s="459"/>
      <c r="AB218" s="459"/>
      <c r="AC218" s="977">
        <f t="shared" si="68"/>
        <v>44747.5</v>
      </c>
      <c r="AD218" s="1610" t="str">
        <f>IF(AND(HOUR(AC218)=HOUR(Worksheet!AF$68),DAY(AC218)=DAY(Worksheet!AF$68)),"START","")</f>
        <v/>
      </c>
      <c r="AE218" s="1149" t="str">
        <f>IF(AND(HOUR(AC218)=HOUR($F$186),DAY(AC218)=DAY($F$186)),(MID($B$189,6,3))*1,IF(AND(ISNUMBER(AE217),AC218&lt;$F$186+1+(1/25)),(MID($B$189,6+(3*COUNT($AE$207:AE217)),3))*1,""))</f>
        <v/>
      </c>
      <c r="AF218" s="1164" t="str">
        <f t="shared" si="49"/>
        <v/>
      </c>
      <c r="AG218" s="1150" t="str">
        <f t="shared" si="50"/>
        <v/>
      </c>
      <c r="AH218" s="1163" t="str">
        <f>IF(AND(ISNUMBER(AH217),AC218&lt;$F$186+26/25),(MID($B$190,6+(3*COUNT($AH$207:AH217)),3))*1,IF(AND(HOUR(AC218)=HOUR($F$186),DAY(AC218)=DAY($F$186)),(MID($B$190,6,3))*1,""))</f>
        <v/>
      </c>
      <c r="AI218" s="1901" t="str">
        <f t="shared" si="74"/>
        <v/>
      </c>
      <c r="AJ218" s="1164" t="str">
        <f t="shared" si="52"/>
        <v/>
      </c>
      <c r="AK218" s="1150" t="str">
        <f t="shared" si="53"/>
        <v/>
      </c>
      <c r="AL218" s="1152" t="str">
        <f t="shared" si="39"/>
        <v/>
      </c>
      <c r="AM218" s="1153" t="str">
        <f t="shared" si="54"/>
        <v/>
      </c>
      <c r="AN218" s="1147"/>
      <c r="AO218" s="976" t="str">
        <f>IF(BA218="Y",AP218,IF(AND(ISNUMBER(AO217),AC218&lt;$F$186+26/25),(MID(INDEX($A$187:$B$210,MATCH("CIG",$A$187:$A$210,0),2),8+(3*COUNT($AO$207:AO217)),1))*1,IF(AND(HOUR(AC218)=HOUR($F$186),DAY(AC218)=DAY($F$186)),(MID(INDEX($A$187:$B$210,MATCH("CIG",$A$187:$A$210,0),2),8,1))*1,"")))</f>
        <v/>
      </c>
      <c r="AP218" s="1061" t="str">
        <f>IF(AND(ISNUMBER(AP217),AC218&lt;$F$186+26/25),(MID(INDEX($A$187:$B$210,MATCH("CCG",$A$187:$A$210,0),2),8+(3*COUNT($AP$207:AP217)),1))*1,IF(AND(HOUR(AC218)=HOUR($F$186),DAY(AC218)=DAY($F$186)),(MID(INDEX($A$187:$B$210,MATCH("CCG",$A$187:$A$210,0),2),8,1))*1,""))</f>
        <v/>
      </c>
      <c r="AQ218" s="1061" t="str">
        <f>IF(AND(AQ217&lt;&gt;"",AC218&lt;$F$186+26/25),MID(INDEX($A$187:$B$210,MATCH("CLD",$A$187:$A$210,0),2),7+(3*SUM(COUNTIF($AQ$207:AQ217,"OV"),COUNTIF($AQ$207:AQ217,"BK"),COUNTIF($AQ$207:AQ217,"SC"),COUNTIF($AQ$207:AQ217,"FW"),COUNTIF($AQ$207:AQ217,"CL"))),2),IF(AND(HOUR(AC218)=HOUR($F$186),DAY(AC218)=DAY($F$186)),MID(INDEX($A$187:$B$210,MATCH("CLD",$A$187:$A$210,0),2),7,2),""))</f>
        <v/>
      </c>
      <c r="AR218" s="1149" t="str">
        <f t="shared" si="55"/>
        <v/>
      </c>
      <c r="AS218" s="1150" t="str">
        <f t="shared" si="56"/>
        <v/>
      </c>
      <c r="AT218" s="112" t="str">
        <f t="shared" si="57"/>
        <v/>
      </c>
      <c r="AU218" s="1610" t="str">
        <f t="shared" si="58"/>
        <v/>
      </c>
      <c r="AV218" s="1148" t="str">
        <f t="shared" si="59"/>
        <v/>
      </c>
      <c r="AW218" s="920" t="str">
        <f t="shared" si="60"/>
        <v/>
      </c>
      <c r="AX218" s="1608" t="str">
        <f t="shared" si="61"/>
        <v/>
      </c>
      <c r="AY218" s="112" t="str">
        <f>IF(BA218="Y",AZ218,IF(AND(ISNUMBER(AY217),AC218&lt;$F$186+26/25),(MID(INDEX($A$187:$B$210,MATCH("VIS",$A$187:$A$210,0),2),8+(3*COUNT($AY$207:AY217)),1))*1,IF(AND(HOUR(AC218)=HOUR($F$186),DAY(AC218)=DAY($F$186)),(MID(INDEX($A$187:$B$210,MATCH("VIS",$A$187:$A$210,0),2),8,1))*1,"")))</f>
        <v/>
      </c>
      <c r="AZ218" s="112" t="str">
        <f>IF(AND(ISNUMBER(AZ217),AC218&lt;$F$186+26/25),(MID(INDEX($A$187:$B$210,MATCH("CVS",$A$187:$A$210,0),2),8+(3*COUNT($AZ$207:AZ217)),1))*1,IF(AND(HOUR(AC218)=HOUR($F$186),DAY(AC218)=DAY($F$186)),(MID(INDEX($A$187:$B$210,MATCH("CVS",$A$187:$A$210,0),2),8,1))*1,""))</f>
        <v/>
      </c>
      <c r="BA218" s="1610" t="str">
        <f>IF(AND(BA217&lt;&gt;"",AC218&lt;$F$186+26/25),MID(INDEX($A$187:$B$210,MATCH("PCO",$A$187:$A$210,0),2),8+(3*SUM(COUNTIF($BA$207:BA217,"Y"),COUNTIF($BA$207:BA217,"N"))),1),IF(AND(HOUR(AC218)=HOUR($F$186),DAY(AC218)=DAY($F$186)),MID(INDEX($A$187:$B$210,MATCH("PCO",$A$187:$A$210,0),2),8,1),""))</f>
        <v/>
      </c>
      <c r="BB218" s="1610" t="str">
        <f>IF(AND(BB217&lt;&gt;"",AC218&lt;$F$186+26/25),MID(INDEX($A$187:$B$210,MATCH("TYP",$A$187:$A$210,0),2),8+(3*SUM(COUNTIF($BB$207:BB217,"S"),COUNTIF($BB$207:BB217,"Z"), COUNTIF($BB$207:BB217,"R"),COUNTIF($BB$207:BB217,"X"))),1),IF(AND(HOUR(AC218)=HOUR($F$186),DAY(AC218)=DAY($F$186)),MID(INDEX($A$187:$B$210,MATCH("TYP",$A$187:$A$210,0),2),8,1),""))</f>
        <v/>
      </c>
      <c r="BC218" s="112" t="str">
        <f>IF(AND(LEN(BC217)=2,AC218&lt;$F$186+26/25),MID(INDEX($A$187:$B$211,MATCH("OBV",$A$187:$A$211,0),2),7+(3*SUM(COUNTIF($BC$207:BC217," N"),COUNTIF($BC$207:BC217,"HZ"),COUNTIF($BC$207:BC217,"BR"),COUNTIF($BC$207:BC217,"FG"),COUNTIF($BC$207:BC217,"BL"))),2),IF(AND(HOUR(AC218)=HOUR($F$186),DAY(AC218)=DAY($F$186)),MID(INDEX($A$187:$B$211,MATCH("OBV",$A$187:$A$211,0),2),7,2),""))</f>
        <v/>
      </c>
      <c r="BD218" s="112"/>
      <c r="BE218" s="112"/>
      <c r="BF218" s="112"/>
      <c r="BG218" s="1610" t="str">
        <f t="shared" si="40"/>
        <v/>
      </c>
      <c r="BH218" s="115" t="str">
        <f t="shared" si="62"/>
        <v/>
      </c>
      <c r="BI218" s="200" t="str">
        <f>IF(AND(BM218&lt;&gt;"",BM218&gt;49.9),"TS",IF(BK218="","",IF(BK218&gt;49.9,IF(IF(ISERROR(BW219),"RA",IF(BO218=" S","SN",IF(BO218=" R","RA",IF(BO218=" Z","FZ",""))))="","UP",IF(ISERROR(BO218),"RA",IF(BO218=" S","SN",IF(BO218=" R","RA",IF(BO218=" Z","FZ",""))))),IF(BH218&lt;7,IF(BK218&lt;30,"BR",IF(ISERROR(BO218),"RA",IF(BO218=" S","SN",IF(BO218=" R","RA",IF(BO218=" Z","FZ",""))))),""))))</f>
        <v/>
      </c>
      <c r="BJ218" s="62" t="str">
        <f t="shared" ref="BJ218:BJ281" si="75">IF(AC218=$F$373,MID(INDEX($A$369:$B$393,MATCH("P06",$A$369:$A$393,0),2),12,3)*1,IF(OR(AC218&lt;($F$373+0.01),AC218&gt;($F$374+0.001)),"",IF(AC218-$F$373&lt;2.49,IF(MOD(HOUR(AC218),6)=0,(MID(INDEX($A$370:$B$392,MATCH("P06",$A$370:$A$392,0),2),12+(6*(AC218-($F$373+0.25))*4),3))*1,""),IF(MOD(HOUR(AC218),6)=0,(MID(INDEX($A$370:$B$392,MATCH("P06",$A$370:$A$392,0),2),63+(3*(ROUND(((AC218-$F$373-2.5)*4),3))),3))*1,""))))</f>
        <v/>
      </c>
      <c r="BK218" s="1145" t="str">
        <f t="shared" si="69"/>
        <v/>
      </c>
      <c r="BL218" s="62" t="str">
        <f>IF(AC218=$F$373,MID(INDEX($A$369:$B$393,MATCH("T06",$A$369:$A$393,0),2),9,3)*1,IF(OR(AC218&lt;($F$373+0.01),AC218&gt;($F$374+0.001)),"",IF(AC218-$F$373&lt;2.49,IF(MOD(HOUR(AC218),6)=0,(MID(INDEX($A$370:$B$392,MATCH("T06",$A$370:$A$392,0),2),10+(6*(AC218-($F$373+0.25))*4),2))*1,""),IF(ROUND(AC218,2)=$F$374,(MID(INDEX($A$370:$B$392,MATCH("T06",$A$370:$A$392,0),2),64,2))*1,""))))</f>
        <v/>
      </c>
      <c r="BM218" s="1145" t="str">
        <f t="shared" si="73"/>
        <v/>
      </c>
      <c r="BN218" s="1901" t="str">
        <f t="shared" si="44"/>
        <v/>
      </c>
      <c r="BO218" s="1144" t="str">
        <f>IF(OR($AC218&lt;($F$373-0.001),$AC218&gt;($F$374+0.001)),"",IF($AC218-$F$373&lt;2.24,IF(MOD(HOUR($AC218),3)=0,MID(INDEX($A$369:$B$392,MATCH("TYP",$A$369:$A$392,0),2),7+(3*($AC218-$F$373)*8),2),IF(MOD(HOUR($AC217),3)=0,BO217,BO219)),IF(MOD(HOUR($AC218),6)=0,MID(INDEX($A$369:$B$392,MATCH("TYP",$A$369:$A$392,0),2),61+(3*(ROUND((($AC218-$F$373)-2.25)*4,2))),2),"")))</f>
        <v/>
      </c>
      <c r="BP218" s="106" t="str">
        <f>IF(OR(AC218&lt;($F$345-0.001),AC218&gt;($F$346+0.001)),"",IF(AC218-$F$345&lt;2.24,IF(MOD(HOUR(AC218),3)=0,(MID(INDEX($A$344:$B$369,MATCH("VIS",$A$344:$A$369,0),2),8+(3*(AC218-$F$345)*8),1))*1,IF(MOD(HOUR(AC217),3)=0,BP217,BP219)),IF(MOD(HOUR(AC218),6)=0,(MID(INDEX($A$344:$B$369,MATCH("VIS",$A$344:$A$369,0),2),62+(3*(ROUND(((AC218-$F$345)-2.25)*4,1))),1))*1,"")))</f>
        <v/>
      </c>
      <c r="BQ218" s="66" t="str">
        <f>IF(AND(BU218&lt;&gt;"",BU218&gt;49.9),"TS",IF(BS218="","",IF(BS218&gt;49.9,IF(IF(ISERROR(BW218),"RA",IF(BW218=" S","SN",IF(BW218=" R","RA",IF(BW218=" Z","FZ",""))))="","UP",IF(ISERROR(BW218),"RA",IF(BW218=" 8","SN",IF(BW218=" R","RA",IF(BW218=" Z","FZ",""))))),IF(BP218&lt;7,IF(BS218&lt;30,IF(BV218=" N","BR",BV218),IF(IF(ISERROR(BW218),"RA",IF(BW218=" S","SN",IF(BW218=" R","RA",IF(BW218=" Z","FZ",""))))="",IF(BV218=" N","",BV218),IF(ISERROR(BW218),"RA",IF(BW218=" S","SN",IF(BW218=" R","RA",IF(BW218=" Z","FZ","")))))),""))))</f>
        <v/>
      </c>
      <c r="BR218" s="106" t="str">
        <f>IF(AC218=$F$345,MID(INDEX($A$344:$B$369,MATCH("P06",$A$344:$A$369,0),2),12,3)*1,IF(OR($AC218&lt;($F$345+0.01),$AC218&gt;($F$346+0.001)),"",IF($AC218-$F$345&lt;2.49,IF(MOD(HOUR($AC218),6)=0,(MID(INDEX($A$344:$B$369,MATCH("P06",$A$344:$A$369,0),2),12+(6*($AC218-($F$345+0.25))*4),3))*1,""),IF(MOD(HOUR($AC218),6)=0,(MID(INDEX($A$344:$B$369,MATCH("P06",$A$344:$A$369,0),2),63+(3*(ROUND((($AC218-$F$345-2.5)*4),3))),3))*1,""))))</f>
        <v/>
      </c>
      <c r="BS218" s="834" t="str">
        <f t="shared" si="71"/>
        <v/>
      </c>
      <c r="BT218" s="106" t="str">
        <f>IF(AC218=$F$345,MID(INDEX($A$344:$B$369,MATCH("T06",$A$344:$A$369,0),2),9,3)*1,IF(OR($AC218&lt;($F$345+0.01),$AC218&gt;($F$346+0.001)),"",IF($AC218-$F$345&lt;2.49,IF(MOD(HOUR($AC218),6)=0,(MID(INDEX($A$344:$B$369,MATCH("T06",$A$344:$A$369,0),2),10+(6*($AC218-($F$345+0.25))*4),2))*1,""),IF(ROUND($AC218,2)=$F$346,(MID(INDEX($A$344:$B$369,MATCH("T06",$A$344:$A$369,0),2),64,2))*1,""))))</f>
        <v/>
      </c>
      <c r="BU218" s="834" t="str">
        <f t="shared" si="63"/>
        <v/>
      </c>
      <c r="BV218" s="66" t="str">
        <f t="shared" si="64"/>
        <v/>
      </c>
      <c r="BW218" s="66" t="str">
        <f>IF(OR($AC218&lt;($F$345-0.001),$AC218&gt;($F$346+0.001)),"",IF($AC218-$F$345&lt;2.24,IF(MOD(HOUR($AC218),3)=0,MID(INDEX($A$344:$B$369,MATCH("TYP",$A$344:$A$369,0),2),7+(3*($AC218-$F$345)*8),2),IF(MOD(HOUR($AC217),3)=0,BW217,BW219)),IF(MOD(HOUR($AC218),6)=0,MID(INDEX($A$344:$B$369,MATCH("TYP",$A$344:$A$369,0),2),61+(3*(ROUND((($AC218-$F$345)-2.25)*4,2))),2),"")))</f>
        <v/>
      </c>
      <c r="BX218" s="1198" t="str">
        <f t="shared" si="72"/>
        <v/>
      </c>
      <c r="BY218" s="1146" t="str">
        <f t="shared" si="66"/>
        <v/>
      </c>
      <c r="CA218" s="3675">
        <f t="shared" si="67"/>
        <v>44747.5</v>
      </c>
      <c r="CB218" s="3675"/>
    </row>
    <row r="219" spans="1:80" ht="13">
      <c r="A219" s="474" t="s">
        <v>2726</v>
      </c>
      <c r="B219" s="459" t="str">
        <f>Worksheet!O87</f>
        <v xml:space="preserve">  308.61,  308.21,  306.41,  303.10,  301.43,  300.27,  300.25,  305.45,  308.97,  307.95,  304.86,  302.89,  301.11,  299.12,  299.22,  304.82,  308.64,  308.84,  300.06,  298.63,  298.28,  297.97,  298.45,  298.84,  299.77,  301.88,  299.08,  296.75,  296.47,</v>
      </c>
      <c r="C219" s="477"/>
      <c r="D219" s="477"/>
      <c r="E219" s="477"/>
      <c r="F219" s="477"/>
      <c r="G219" s="478"/>
      <c r="H219" s="478"/>
      <c r="I219" s="478"/>
      <c r="J219" s="477"/>
      <c r="K219" s="477"/>
      <c r="L219" s="477"/>
      <c r="M219" s="477"/>
      <c r="N219" s="477"/>
      <c r="O219" s="477"/>
      <c r="P219" s="477"/>
      <c r="Q219" s="477"/>
      <c r="R219" s="477"/>
      <c r="S219" s="477"/>
      <c r="T219" s="477"/>
      <c r="U219" s="477"/>
      <c r="V219" s="477"/>
      <c r="W219" s="477"/>
      <c r="X219" s="477"/>
      <c r="Y219" s="477"/>
      <c r="Z219" s="477"/>
      <c r="AA219" s="477"/>
      <c r="AB219" s="477"/>
      <c r="AC219" s="977">
        <f t="shared" si="68"/>
        <v>44747.541666666664</v>
      </c>
      <c r="AD219" s="1610" t="str">
        <f>IF(AND(HOUR(AC219)=HOUR(Worksheet!AF$68),DAY(AC219)=DAY(Worksheet!AF$68)),"START","")</f>
        <v/>
      </c>
      <c r="AE219" s="1149" t="str">
        <f>IF(AND(HOUR(AC219)=HOUR($F$186),DAY(AC219)=DAY($F$186)),(MID($B$189,6,3))*1,IF(AND(ISNUMBER(AE218),AC219&lt;$F$186+1+(1/25)),(MID($B$189,6+(3*COUNT($AE$207:AE218)),3))*1,""))</f>
        <v/>
      </c>
      <c r="AF219" s="1164" t="str">
        <f t="shared" si="49"/>
        <v/>
      </c>
      <c r="AG219" s="1150" t="str">
        <f t="shared" si="50"/>
        <v/>
      </c>
      <c r="AH219" s="1163" t="str">
        <f>IF(AND(ISNUMBER(AH218),AC219&lt;$F$186+26/25),(MID($B$190,6+(3*COUNT($AH$207:AH218)),3))*1,IF(AND(HOUR(AC219)=HOUR($F$186),DAY(AC219)=DAY($F$186)),(MID($B$190,6,3))*1,""))</f>
        <v/>
      </c>
      <c r="AI219" s="1901" t="str">
        <f t="shared" si="74"/>
        <v/>
      </c>
      <c r="AJ219" s="1164" t="str">
        <f t="shared" si="52"/>
        <v/>
      </c>
      <c r="AK219" s="1150" t="str">
        <f t="shared" si="53"/>
        <v/>
      </c>
      <c r="AL219" s="1152" t="str">
        <f t="shared" si="39"/>
        <v/>
      </c>
      <c r="AM219" s="1153" t="str">
        <f t="shared" si="54"/>
        <v/>
      </c>
      <c r="AN219" s="1147"/>
      <c r="AO219" s="976" t="str">
        <f>IF(BA219="Y",AP219,IF(AND(ISNUMBER(AO218),AC219&lt;$F$186+26/25),(MID(INDEX($A$187:$B$210,MATCH("CIG",$A$187:$A$210,0),2),8+(3*COUNT($AO$207:AO218)),1))*1,IF(AND(HOUR(AC219)=HOUR($F$186),DAY(AC219)=DAY($F$186)),(MID(INDEX($A$187:$B$210,MATCH("CIG",$A$187:$A$210,0),2),8,1))*1,"")))</f>
        <v/>
      </c>
      <c r="AP219" s="1061" t="str">
        <f>IF(AND(ISNUMBER(AP218),AC219&lt;$F$186+26/25),(MID(INDEX($A$187:$B$210,MATCH("CCG",$A$187:$A$210,0),2),8+(3*COUNT($AP$207:AP218)),1))*1,IF(AND(HOUR(AC219)=HOUR($F$186),DAY(AC219)=DAY($F$186)),(MID(INDEX($A$187:$B$210,MATCH("CCG",$A$187:$A$210,0),2),8,1))*1,""))</f>
        <v/>
      </c>
      <c r="AQ219" s="1061" t="str">
        <f>IF(AND(AQ218&lt;&gt;"",AC219&lt;$F$186+26/25),MID(INDEX($A$187:$B$210,MATCH("CLD",$A$187:$A$210,0),2),7+(3*SUM(COUNTIF($AQ$207:AQ218,"OV"),COUNTIF($AQ$207:AQ218,"BK"),COUNTIF($AQ$207:AQ218,"SC"),COUNTIF($AQ$207:AQ218,"FW"),COUNTIF($AQ$207:AQ218,"CL"))),2),IF(AND(HOUR(AC219)=HOUR($F$186),DAY(AC219)=DAY($F$186)),MID(INDEX($A$187:$B$210,MATCH("CLD",$A$187:$A$210,0),2),7,2),""))</f>
        <v/>
      </c>
      <c r="AR219" s="1149" t="str">
        <f t="shared" si="55"/>
        <v/>
      </c>
      <c r="AS219" s="1150" t="str">
        <f t="shared" si="56"/>
        <v/>
      </c>
      <c r="AT219" s="112" t="str">
        <f t="shared" si="57"/>
        <v/>
      </c>
      <c r="AU219" s="1610" t="str">
        <f t="shared" si="58"/>
        <v/>
      </c>
      <c r="AV219" s="1148" t="str">
        <f t="shared" si="59"/>
        <v/>
      </c>
      <c r="AW219" s="920" t="str">
        <f t="shared" si="60"/>
        <v/>
      </c>
      <c r="AX219" s="1608" t="str">
        <f t="shared" si="61"/>
        <v/>
      </c>
      <c r="AY219" s="112" t="str">
        <f>IF(BA219="Y",AZ219,IF(AND(ISNUMBER(AY218),AC219&lt;$F$186+26/25),(MID(INDEX($A$187:$B$210,MATCH("VIS",$A$187:$A$210,0),2),8+(3*COUNT($AY$207:AY218)),1))*1,IF(AND(HOUR(AC219)=HOUR($F$186),DAY(AC219)=DAY($F$186)),(MID(INDEX($A$187:$B$210,MATCH("VIS",$A$187:$A$210,0),2),8,1))*1,"")))</f>
        <v/>
      </c>
      <c r="AZ219" s="112" t="str">
        <f>IF(AND(ISNUMBER(AZ218),AC219&lt;$F$186+26/25),(MID(INDEX($A$187:$B$210,MATCH("CVS",$A$187:$A$210,0),2),8+(3*COUNT($AZ$207:AZ218)),1))*1,IF(AND(HOUR(AC219)=HOUR($F$186),DAY(AC219)=DAY($F$186)),(MID(INDEX($A$187:$B$210,MATCH("CVS",$A$187:$A$210,0),2),8,1))*1,""))</f>
        <v/>
      </c>
      <c r="BA219" s="1610" t="str">
        <f>IF(AND(BA218&lt;&gt;"",AC219&lt;$F$186+26/25),MID(INDEX($A$187:$B$210,MATCH("PCO",$A$187:$A$210,0),2),8+(3*SUM(COUNTIF($BA$207:BA218,"Y"),COUNTIF($BA$207:BA218,"N"))),1),IF(AND(HOUR(AC219)=HOUR($F$186),DAY(AC219)=DAY($F$186)),MID(INDEX($A$187:$B$210,MATCH("PCO",$A$187:$A$210,0),2),8,1),""))</f>
        <v/>
      </c>
      <c r="BB219" s="1610" t="str">
        <f>IF(AND(BB218&lt;&gt;"",AC219&lt;$F$186+26/25),MID(INDEX($A$187:$B$210,MATCH("TYP",$A$187:$A$210,0),2),8+(3*SUM(COUNTIF($BB$207:BB218,"S"),COUNTIF($BB$207:BB218,"Z"), COUNTIF($BB$207:BB218,"R"),COUNTIF($BB$207:BB218,"X"))),1),IF(AND(HOUR(AC219)=HOUR($F$186),DAY(AC219)=DAY($F$186)),MID(INDEX($A$187:$B$210,MATCH("TYP",$A$187:$A$210,0),2),8,1),""))</f>
        <v/>
      </c>
      <c r="BC219" s="112" t="str">
        <f>IF(AND(LEN(BC218)=2,AC219&lt;$F$186+26/25),MID(INDEX($A$187:$B$211,MATCH("OBV",$A$187:$A$211,0),2),7+(3*SUM(COUNTIF($BC$207:BC218," N"),COUNTIF($BC$207:BC218,"HZ"),COUNTIF($BC$207:BC218,"BR"),COUNTIF($BC$207:BC218,"FG"),COUNTIF($BC$207:BC218,"BL"))),2),IF(AND(HOUR(AC219)=HOUR($F$186),DAY(AC219)=DAY($F$186)),MID(INDEX($A$187:$B$211,MATCH("OBV",$A$187:$A$211,0),2),7,2),""))</f>
        <v/>
      </c>
      <c r="BD219" s="112"/>
      <c r="BE219" s="112"/>
      <c r="BF219" s="112"/>
      <c r="BG219" s="1610" t="str">
        <f t="shared" si="40"/>
        <v/>
      </c>
      <c r="BH219" s="115" t="str">
        <f t="shared" si="62"/>
        <v/>
      </c>
      <c r="BI219" s="200" t="str">
        <f t="shared" ref="BI219:BI282" si="76">IF(AND(BM219&lt;&gt;"",BM219&gt;49.9),"TS",IF(BK219="","",IF(BK219&gt;49.9,IF(IF(ISERROR(BW220),"RA",IF(BO219=" S","SN",IF(BO219=" R","RA",IF(BO219=" Z","FZ",""))))="","UP",IF(ISERROR(BO219),"RA",IF(BO219=" S","SN",IF(BO219=" R","RA",IF(BO219=" Z","FZ",""))))),IF(BH219&lt;7,IF(BK219&lt;30,"BR",IF(ISERROR(BO219),"RA",IF(BO219=" S","SN",IF(BO219=" R","RA",IF(BO219=" Z","FZ",""))))),""))))</f>
        <v/>
      </c>
      <c r="BJ219" s="62" t="str">
        <f t="shared" si="75"/>
        <v/>
      </c>
      <c r="BK219" s="1145" t="str">
        <f t="shared" si="69"/>
        <v/>
      </c>
      <c r="BL219" s="62" t="str">
        <f t="shared" ref="BL219:BL282" si="77">IF(AC219=$F$373,MID(INDEX($A$369:$B$393,MATCH("T06",$A$369:$A$393,0),2),9,3)*1,IF(OR(AC219&lt;($F$373+0.01),AC219&gt;($F$374+0.001)),"",IF(AC219-$F$373&lt;2.49,IF(MOD(HOUR(AC219),6)=0,(MID(INDEX($A$370:$B$392,MATCH("T06",$A$370:$A$392,0),2),10+(6*(AC219-($F$373+0.25))*4),2))*1,""),IF(ROUND(AC219,2)=$F$374,(MID(INDEX($A$370:$B$392,MATCH("T06",$A$370:$A$392,0),2),64,2))*1,""))))</f>
        <v/>
      </c>
      <c r="BM219" s="1145" t="str">
        <f t="shared" si="73"/>
        <v/>
      </c>
      <c r="BN219" s="1901" t="str">
        <f t="shared" si="44"/>
        <v/>
      </c>
      <c r="BO219" s="1144" t="str">
        <f t="shared" ref="BO219:BO282" si="78">IF(OR($AC219&lt;($F$373-0.001),$AC219&gt;($F$374+0.001)),"",IF($AC219-$F$373&lt;2.24,IF(MOD(HOUR($AC219),3)=0,MID(INDEX($A$369:$B$392,MATCH("TYP",$A$369:$A$392,0),2),7+(3*($AC219-$F$373)*8),2),IF(MOD(HOUR($AC218),3)=0,BO218,BO220)),IF(MOD(HOUR($AC219),6)=0,MID(INDEX($A$369:$B$392,MATCH("TYP",$A$369:$A$392,0),2),61+(3*(ROUND((($AC219-$F$373)-2.25)*4,2))),2),"")))</f>
        <v/>
      </c>
      <c r="BP219" s="106" t="str">
        <f t="shared" si="70"/>
        <v/>
      </c>
      <c r="BQ219" s="66" t="str">
        <f t="shared" ref="BQ219:BQ282" si="79">IF(AND(BU219&lt;&gt;"",BU219&gt;49.9),"TS",IF(BS219="","",IF(BS219&gt;49.9,IF(IF(ISERROR(BW219),"RA",IF(BW219=" S","SN",IF(BW219=" R","RA",IF(BW219=" Z","FZ",""))))="","UP",IF(ISERROR(BW219),"RA",IF(BW219=" 8","SN",IF(BW219=" R","RA",IF(BW219=" Z","FZ",""))))),IF(BP219&lt;7,IF(BS219&lt;30,IF(BV219=" N","BR",BV219),IF(IF(ISERROR(BW219),"RA",IF(BW219=" S","SN",IF(BW219=" R","RA",IF(BW219=" Z","FZ",""))))="",IF(BV219=" N","",BV219),IF(ISERROR(BW219),"RA",IF(BW219=" S","SN",IF(BW219=" R","RA",IF(BW219=" Z","FZ","")))))),""))))</f>
        <v/>
      </c>
      <c r="BR219" s="106" t="str">
        <f t="shared" ref="BR219:BR282" si="80">IF(AC219=$F$345,MID(INDEX($A$344:$B$369,MATCH("P06",$A$344:$A$369,0),2),12,3)*1,IF(OR($AC219&lt;($F$345+0.01),$AC219&gt;($F$346+0.001)),"",IF($AC219-$F$345&lt;2.49,IF(MOD(HOUR($AC219),6)=0,(MID(INDEX($A$344:$B$369,MATCH("P06",$A$344:$A$369,0),2),12+(6*($AC219-($F$345+0.25))*4),3))*1,""),IF(MOD(HOUR($AC219),6)=0,(MID(INDEX($A$344:$B$369,MATCH("P06",$A$344:$A$369,0),2),63+(3*(ROUND((($AC219-$F$345-2.5)*4),3))),3))*1,""))))</f>
        <v/>
      </c>
      <c r="BS219" s="834" t="str">
        <f>IF(COUNT(BR219:BR224)&gt;0,IF(MOD(HOUR(AC219),6)=0,AVERAGE(MAX(BR219:BR225),MIN(BR219:BR225)),IF(MOD(HOUR(AC219),3)=0,MAX(BR220:BR225),IF(MOD(HOUR(AC218),3)=0,BS218,BS220))),"")</f>
        <v/>
      </c>
      <c r="BT219" s="106" t="str">
        <f t="shared" ref="BT219:BT282" si="81">IF(AC219=$F$345,MID(INDEX($A$344:$B$369,MATCH("T06",$A$344:$A$369,0),2),9,3)*1,IF(OR($AC219&lt;($F$345+0.01),$AC219&gt;($F$346+0.001)),"",IF($AC219-$F$345&lt;2.49,IF(MOD(HOUR($AC219),6)=0,(MID(INDEX($A$344:$B$369,MATCH("T06",$A$344:$A$369,0),2),10+(6*($AC219-($F$345+0.25))*4),2))*1,""),IF(ROUND($AC219,2)=$F$346,(MID(INDEX($A$344:$B$369,MATCH("T06",$A$344:$A$369,0),2),64,2))*1,""))))</f>
        <v/>
      </c>
      <c r="BU219" s="834" t="str">
        <f t="shared" si="63"/>
        <v/>
      </c>
      <c r="BV219" s="66" t="str">
        <f t="shared" si="64"/>
        <v/>
      </c>
      <c r="BW219" s="66" t="str">
        <f>IF(OR($AC219&lt;($F$345-0.001),$AC219&gt;($F$346+0.001)),"",IF($AC219-$F$345&lt;2.24,IF(MOD(HOUR($AC219),3)=0,MID(INDEX($A$344:$B$369,MATCH("TYP",$A$344:$A$369,0),2),7+(3*($AC219-$F$345)*8),2),IF(MOD(HOUR($AC218),3)=0,BW218,BW220)),IF(MOD(HOUR($AC219),6)=0,MID(INDEX($A$344:$B$369,MATCH("TYP",$A$344:$A$369,0),2),61+(3*(ROUND((($AC219-$F$345)-2.25)*4,2))),2),"")))</f>
        <v/>
      </c>
      <c r="BX219" s="1198" t="str">
        <f t="shared" si="72"/>
        <v/>
      </c>
      <c r="BY219" s="1146" t="str">
        <f t="shared" si="66"/>
        <v/>
      </c>
      <c r="CA219" s="3675">
        <f t="shared" si="67"/>
        <v>44747.541666666664</v>
      </c>
      <c r="CB219" s="3675"/>
    </row>
    <row r="220" spans="1:80" ht="13">
      <c r="A220" s="474" t="s">
        <v>2727</v>
      </c>
      <c r="B220" s="484" t="str">
        <f>Worksheet!O89</f>
        <v xml:space="preserve">  297.26,  296.25,  296.61,  296.40,  296.57,  296.26,  296.67,  297.91,  296.77,  296.64,  298.51,  297.86,  298.01,  298.30,  298.12,  298.27,  296.52,  295.86,  298.68,  298.18,  297.93,  297.45,  297.01,  297.40,  297.37,  297.36,  296.03,  294.58,  293.89,</v>
      </c>
      <c r="C220" s="479"/>
      <c r="D220" s="479"/>
      <c r="E220" s="479"/>
      <c r="F220" s="479"/>
      <c r="G220" s="479"/>
      <c r="H220" s="479"/>
      <c r="I220" s="479"/>
      <c r="J220" s="479"/>
      <c r="K220" s="479"/>
      <c r="L220" s="479"/>
      <c r="M220" s="479"/>
      <c r="N220" s="479"/>
      <c r="O220" s="479"/>
      <c r="P220" s="479"/>
      <c r="Q220" s="479"/>
      <c r="R220" s="479"/>
      <c r="S220" s="479"/>
      <c r="T220" s="479"/>
      <c r="U220" s="479"/>
      <c r="V220" s="479"/>
      <c r="W220" s="479"/>
      <c r="X220" s="479"/>
      <c r="Y220" s="479"/>
      <c r="Z220" s="479"/>
      <c r="AA220" s="479"/>
      <c r="AB220" s="479"/>
      <c r="AC220" s="977">
        <f t="shared" si="68"/>
        <v>44747.583333333328</v>
      </c>
      <c r="AD220" s="1610" t="str">
        <f>IF(AND(HOUR(AC220)=HOUR(Worksheet!AF$68),DAY(AC220)=DAY(Worksheet!AF$68)),"START","")</f>
        <v/>
      </c>
      <c r="AE220" s="1149" t="str">
        <f>IF(AND(HOUR(AC220)=HOUR($F$186),DAY(AC220)=DAY($F$186)),(MID($B$189,6,3))*1,IF(AND(ISNUMBER(AE219),AC220&lt;$F$186+1+(1/25)),(MID($B$189,6+(3*COUNT($AE$207:AE219)),3))*1,""))</f>
        <v/>
      </c>
      <c r="AF220" s="1164" t="str">
        <f t="shared" si="49"/>
        <v/>
      </c>
      <c r="AG220" s="1150" t="str">
        <f t="shared" si="50"/>
        <v/>
      </c>
      <c r="AH220" s="1163" t="str">
        <f>IF(AND(ISNUMBER(AH219),AC220&lt;$F$186+26/25),(MID($B$190,6+(3*COUNT($AH$207:AH219)),3))*1,IF(AND(HOUR(AC220)=HOUR($F$186),DAY(AC220)=DAY($F$186)),(MID($B$190,6,3))*1,""))</f>
        <v/>
      </c>
      <c r="AI220" s="1901" t="str">
        <f t="shared" si="74"/>
        <v/>
      </c>
      <c r="AJ220" s="1164" t="str">
        <f t="shared" si="52"/>
        <v/>
      </c>
      <c r="AK220" s="1150" t="str">
        <f t="shared" si="53"/>
        <v/>
      </c>
      <c r="AL220" s="1152" t="str">
        <f t="shared" si="39"/>
        <v/>
      </c>
      <c r="AM220" s="1153" t="str">
        <f t="shared" si="54"/>
        <v/>
      </c>
      <c r="AN220" s="1147"/>
      <c r="AO220" s="976" t="str">
        <f>IF(BA220="Y",AP220,IF(AND(ISNUMBER(AO219),AC220&lt;$F$186+26/25),(MID(INDEX($A$187:$B$210,MATCH("CIG",$A$187:$A$210,0),2),8+(3*COUNT($AO$207:AO219)),1))*1,IF(AND(HOUR(AC220)=HOUR($F$186),DAY(AC220)=DAY($F$186)),(MID(INDEX($A$187:$B$210,MATCH("CIG",$A$187:$A$210,0),2),8,1))*1,"")))</f>
        <v/>
      </c>
      <c r="AP220" s="1061" t="str">
        <f>IF(AND(ISNUMBER(AP219),AC220&lt;$F$186+26/25),(MID(INDEX($A$187:$B$210,MATCH("CCG",$A$187:$A$210,0),2),8+(3*COUNT($AP$207:AP219)),1))*1,IF(AND(HOUR(AC220)=HOUR($F$186),DAY(AC220)=DAY($F$186)),(MID(INDEX($A$187:$B$210,MATCH("CCG",$A$187:$A$210,0),2),8,1))*1,""))</f>
        <v/>
      </c>
      <c r="AQ220" s="1061" t="str">
        <f>IF(AND(AQ219&lt;&gt;"",AC220&lt;$F$186+26/25),MID(INDEX($A$187:$B$210,MATCH("CLD",$A$187:$A$210,0),2),7+(3*SUM(COUNTIF($AQ$207:AQ219,"OV"),COUNTIF($AQ$207:AQ219,"BK"),COUNTIF($AQ$207:AQ219,"SC"),COUNTIF($AQ$207:AQ219,"FW"),COUNTIF($AQ$207:AQ219,"CL"))),2),IF(AND(HOUR(AC220)=HOUR($F$186),DAY(AC220)=DAY($F$186)),MID(INDEX($A$187:$B$210,MATCH("CLD",$A$187:$A$210,0),2),7,2),""))</f>
        <v/>
      </c>
      <c r="AR220" s="1149" t="str">
        <f t="shared" si="55"/>
        <v/>
      </c>
      <c r="AS220" s="1150" t="str">
        <f t="shared" si="56"/>
        <v/>
      </c>
      <c r="AT220" s="112" t="str">
        <f t="shared" si="57"/>
        <v/>
      </c>
      <c r="AU220" s="1610" t="str">
        <f t="shared" si="58"/>
        <v/>
      </c>
      <c r="AV220" s="1148" t="str">
        <f t="shared" si="59"/>
        <v/>
      </c>
      <c r="AW220" s="920" t="str">
        <f t="shared" si="60"/>
        <v/>
      </c>
      <c r="AX220" s="1608" t="str">
        <f t="shared" si="61"/>
        <v/>
      </c>
      <c r="AY220" s="112" t="str">
        <f>IF(BA220="Y",AZ220,IF(AND(ISNUMBER(AY219),AC220&lt;$F$186+26/25),(MID(INDEX($A$187:$B$210,MATCH("VIS",$A$187:$A$210,0),2),8+(3*COUNT($AY$207:AY219)),1))*1,IF(AND(HOUR(AC220)=HOUR($F$186),DAY(AC220)=DAY($F$186)),(MID(INDEX($A$187:$B$210,MATCH("VIS",$A$187:$A$210,0),2),8,1))*1,"")))</f>
        <v/>
      </c>
      <c r="AZ220" s="112" t="str">
        <f>IF(AND(ISNUMBER(AZ219),AC220&lt;$F$186+26/25),(MID(INDEX($A$187:$B$210,MATCH("CVS",$A$187:$A$210,0),2),8+(3*COUNT($AZ$207:AZ219)),1))*1,IF(AND(HOUR(AC220)=HOUR($F$186),DAY(AC220)=DAY($F$186)),(MID(INDEX($A$187:$B$210,MATCH("CVS",$A$187:$A$210,0),2),8,1))*1,""))</f>
        <v/>
      </c>
      <c r="BA220" s="1610" t="str">
        <f>IF(AND(BA219&lt;&gt;"",AC220&lt;$F$186+26/25),MID(INDEX($A$187:$B$210,MATCH("PCO",$A$187:$A$210,0),2),8+(3*SUM(COUNTIF($BA$207:BA219,"Y"),COUNTIF($BA$207:BA219,"N"))),1),IF(AND(HOUR(AC220)=HOUR($F$186),DAY(AC220)=DAY($F$186)),MID(INDEX($A$187:$B$210,MATCH("PCO",$A$187:$A$210,0),2),8,1),""))</f>
        <v/>
      </c>
      <c r="BB220" s="1610" t="str">
        <f>IF(AND(BB219&lt;&gt;"",AC220&lt;$F$186+26/25),MID(INDEX($A$187:$B$210,MATCH("TYP",$A$187:$A$210,0),2),8+(3*SUM(COUNTIF($BB$207:BB219,"S"),COUNTIF($BB$207:BB219,"Z"), COUNTIF($BB$207:BB219,"R"),COUNTIF($BB$207:BB219,"X"))),1),IF(AND(HOUR(AC220)=HOUR($F$186),DAY(AC220)=DAY($F$186)),MID(INDEX($A$187:$B$210,MATCH("TYP",$A$187:$A$210,0),2),8,1),""))</f>
        <v/>
      </c>
      <c r="BC220" s="112" t="str">
        <f>IF(AND(LEN(BC219)=2,AC220&lt;$F$186+26/25),MID(INDEX($A$187:$B$211,MATCH("OBV",$A$187:$A$211,0),2),7+(3*SUM(COUNTIF($BC$207:BC219," N"),COUNTIF($BC$207:BC219,"HZ"),COUNTIF($BC$207:BC219,"BR"),COUNTIF($BC$207:BC219,"FG"),COUNTIF($BC$207:BC219,"BL"))),2),IF(AND(HOUR(AC220)=HOUR($F$186),DAY(AC220)=DAY($F$186)),MID(INDEX($A$187:$B$211,MATCH("OBV",$A$187:$A$211,0),2),7,2),""))</f>
        <v/>
      </c>
      <c r="BD220" s="112"/>
      <c r="BE220" s="112"/>
      <c r="BF220" s="112"/>
      <c r="BG220" s="1610" t="str">
        <f t="shared" si="40"/>
        <v/>
      </c>
      <c r="BH220" s="115" t="str">
        <f t="shared" si="62"/>
        <v/>
      </c>
      <c r="BI220" s="200" t="str">
        <f t="shared" si="76"/>
        <v/>
      </c>
      <c r="BJ220" s="62" t="str">
        <f t="shared" si="75"/>
        <v/>
      </c>
      <c r="BK220" s="1145">
        <f t="shared" si="69"/>
        <v>10</v>
      </c>
      <c r="BL220" s="62" t="str">
        <f t="shared" si="77"/>
        <v/>
      </c>
      <c r="BM220" s="1145">
        <f t="shared" si="73"/>
        <v>24</v>
      </c>
      <c r="BN220" s="1901" t="str">
        <f t="shared" si="44"/>
        <v/>
      </c>
      <c r="BO220" s="1144" t="str">
        <f t="shared" si="78"/>
        <v/>
      </c>
      <c r="BP220" s="106" t="str">
        <f t="shared" si="70"/>
        <v/>
      </c>
      <c r="BQ220" s="66" t="str">
        <f t="shared" si="79"/>
        <v/>
      </c>
      <c r="BR220" s="106" t="str">
        <f t="shared" si="80"/>
        <v/>
      </c>
      <c r="BS220" s="834" t="str">
        <f t="shared" si="71"/>
        <v/>
      </c>
      <c r="BT220" s="106" t="str">
        <f t="shared" si="81"/>
        <v/>
      </c>
      <c r="BU220" s="834" t="str">
        <f t="shared" si="63"/>
        <v/>
      </c>
      <c r="BV220" s="66" t="str">
        <f t="shared" si="64"/>
        <v/>
      </c>
      <c r="BW220" s="66" t="str">
        <f t="shared" si="65"/>
        <v/>
      </c>
      <c r="BX220" s="1198" t="str">
        <f t="shared" si="72"/>
        <v/>
      </c>
      <c r="BY220" s="1146" t="str">
        <f t="shared" si="66"/>
        <v/>
      </c>
      <c r="CA220" s="3675">
        <f t="shared" si="67"/>
        <v>44747.583333333328</v>
      </c>
      <c r="CB220" s="3675"/>
    </row>
    <row r="221" spans="1:80">
      <c r="A221" s="471"/>
      <c r="B221" s="1925"/>
      <c r="C221" s="1925"/>
      <c r="D221" s="1925"/>
      <c r="E221" s="1925"/>
      <c r="F221" s="1925"/>
      <c r="G221" s="1925"/>
      <c r="H221" s="1925"/>
      <c r="I221" s="1925"/>
      <c r="J221" s="1925"/>
      <c r="K221" s="1925"/>
      <c r="L221" s="1925"/>
      <c r="M221" s="1925"/>
      <c r="N221" s="1925"/>
      <c r="O221" s="1925"/>
      <c r="P221" s="1925"/>
      <c r="Q221" s="1925"/>
      <c r="R221" s="1925"/>
      <c r="S221" s="1925"/>
      <c r="T221" s="1925"/>
      <c r="U221" s="1925"/>
      <c r="V221" s="1925"/>
      <c r="W221" s="1925"/>
      <c r="X221" s="1925"/>
      <c r="Y221" s="1925"/>
      <c r="Z221" s="1925"/>
      <c r="AA221" s="1925"/>
      <c r="AB221" s="1925"/>
      <c r="AC221" s="977">
        <f t="shared" si="68"/>
        <v>44747.625</v>
      </c>
      <c r="AD221" s="1610" t="str">
        <f>IF(AND(HOUR(AC221)=HOUR(Worksheet!AF$68),DAY(AC221)=DAY(Worksheet!AF$68)),"START","")</f>
        <v/>
      </c>
      <c r="AE221" s="1149" t="str">
        <f>IF(AND(HOUR(AC221)=HOUR($F$186),DAY(AC221)=DAY($F$186)),(MID($B$189,6,3))*1,IF(AND(ISNUMBER(AE220),AC221&lt;$F$186+1+(1/25)),(MID($B$189,6+(3*COUNT($AE$207:AE220)),3))*1,""))</f>
        <v/>
      </c>
      <c r="AF221" s="1164" t="str">
        <f t="shared" si="49"/>
        <v/>
      </c>
      <c r="AG221" s="1150" t="str">
        <f t="shared" si="50"/>
        <v/>
      </c>
      <c r="AH221" s="1163" t="str">
        <f>IF(AND(ISNUMBER(AH220),AC221&lt;$F$186+26/25),(MID($B$190,6+(3*COUNT($AH$207:AH220)),3))*1,IF(AND(HOUR(AC221)=HOUR($F$186),DAY(AC221)=DAY($F$186)),(MID($B$190,6,3))*1,""))</f>
        <v/>
      </c>
      <c r="AI221" s="1901" t="str">
        <f t="shared" si="74"/>
        <v/>
      </c>
      <c r="AJ221" s="1164" t="str">
        <f t="shared" si="52"/>
        <v/>
      </c>
      <c r="AK221" s="1150" t="str">
        <f t="shared" si="53"/>
        <v/>
      </c>
      <c r="AL221" s="1152" t="str">
        <f t="shared" si="39"/>
        <v/>
      </c>
      <c r="AM221" s="1153" t="str">
        <f t="shared" si="54"/>
        <v/>
      </c>
      <c r="AN221" s="1147"/>
      <c r="AO221" s="976" t="str">
        <f>IF(BA221="Y",AP221,IF(AND(ISNUMBER(AO220),AC221&lt;$F$186+26/25),(MID(INDEX($A$187:$B$210,MATCH("CIG",$A$187:$A$210,0),2),8+(3*COUNT($AO$207:AO220)),1))*1,IF(AND(HOUR(AC221)=HOUR($F$186),DAY(AC221)=DAY($F$186)),(MID(INDEX($A$187:$B$210,MATCH("CIG",$A$187:$A$210,0),2),8,1))*1,"")))</f>
        <v/>
      </c>
      <c r="AP221" s="1061" t="str">
        <f>IF(AND(ISNUMBER(AP220),AC221&lt;$F$186+26/25),(MID(INDEX($A$187:$B$210,MATCH("CCG",$A$187:$A$210,0),2),8+(3*COUNT($AP$207:AP220)),1))*1,IF(AND(HOUR(AC221)=HOUR($F$186),DAY(AC221)=DAY($F$186)),(MID(INDEX($A$187:$B$210,MATCH("CCG",$A$187:$A$210,0),2),8,1))*1,""))</f>
        <v/>
      </c>
      <c r="AQ221" s="1061" t="str">
        <f>IF(AND(AQ220&lt;&gt;"",AC221&lt;$F$186+26/25),MID(INDEX($A$187:$B$210,MATCH("CLD",$A$187:$A$210,0),2),7+(3*SUM(COUNTIF($AQ$207:AQ220,"OV"),COUNTIF($AQ$207:AQ220,"BK"),COUNTIF($AQ$207:AQ220,"SC"),COUNTIF($AQ$207:AQ220,"FW"),COUNTIF($AQ$207:AQ220,"CL"))),2),IF(AND(HOUR(AC221)=HOUR($F$186),DAY(AC221)=DAY($F$186)),MID(INDEX($A$187:$B$210,MATCH("CLD",$A$187:$A$210,0),2),7,2),""))</f>
        <v/>
      </c>
      <c r="AR221" s="1149" t="str">
        <f t="shared" si="55"/>
        <v/>
      </c>
      <c r="AS221" s="1150" t="str">
        <f t="shared" si="56"/>
        <v/>
      </c>
      <c r="AT221" s="112" t="str">
        <f t="shared" si="57"/>
        <v/>
      </c>
      <c r="AU221" s="1610" t="str">
        <f t="shared" si="58"/>
        <v/>
      </c>
      <c r="AV221" s="1148" t="str">
        <f t="shared" si="59"/>
        <v/>
      </c>
      <c r="AW221" s="920" t="str">
        <f t="shared" si="60"/>
        <v/>
      </c>
      <c r="AX221" s="1608" t="str">
        <f t="shared" si="61"/>
        <v/>
      </c>
      <c r="AY221" s="112" t="str">
        <f>IF(BA221="Y",AZ221,IF(AND(ISNUMBER(AY220),AC221&lt;$F$186+26/25),(MID(INDEX($A$187:$B$210,MATCH("VIS",$A$187:$A$210,0),2),8+(3*COUNT($AY$207:AY220)),1))*1,IF(AND(HOUR(AC221)=HOUR($F$186),DAY(AC221)=DAY($F$186)),(MID(INDEX($A$187:$B$210,MATCH("VIS",$A$187:$A$210,0),2),8,1))*1,"")))</f>
        <v/>
      </c>
      <c r="AZ221" s="112" t="str">
        <f>IF(AND(ISNUMBER(AZ220),AC221&lt;$F$186+26/25),(MID(INDEX($A$187:$B$210,MATCH("CVS",$A$187:$A$210,0),2),8+(3*COUNT($AZ$207:AZ220)),1))*1,IF(AND(HOUR(AC221)=HOUR($F$186),DAY(AC221)=DAY($F$186)),(MID(INDEX($A$187:$B$210,MATCH("CVS",$A$187:$A$210,0),2),8,1))*1,""))</f>
        <v/>
      </c>
      <c r="BA221" s="1610" t="str">
        <f>IF(AND(BA220&lt;&gt;"",AC221&lt;$F$186+26/25),MID(INDEX($A$187:$B$210,MATCH("PCO",$A$187:$A$210,0),2),8+(3*SUM(COUNTIF($BA$207:BA220,"Y"),COUNTIF($BA$207:BA220,"N"))),1),IF(AND(HOUR(AC221)=HOUR($F$186),DAY(AC221)=DAY($F$186)),MID(INDEX($A$187:$B$210,MATCH("PCO",$A$187:$A$210,0),2),8,1),""))</f>
        <v/>
      </c>
      <c r="BB221" s="1610" t="str">
        <f>IF(AND(BB220&lt;&gt;"",AC221&lt;$F$186+26/25),MID(INDEX($A$187:$B$210,MATCH("TYP",$A$187:$A$210,0),2),8+(3*SUM(COUNTIF($BB$207:BB220,"S"),COUNTIF($BB$207:BB220,"Z"), COUNTIF($BB$207:BB220,"R"),COUNTIF($BB$207:BB220,"X"))),1),IF(AND(HOUR(AC221)=HOUR($F$186),DAY(AC221)=DAY($F$186)),MID(INDEX($A$187:$B$210,MATCH("TYP",$A$187:$A$210,0),2),8,1),""))</f>
        <v/>
      </c>
      <c r="BC221" s="112" t="str">
        <f>IF(AND(LEN(BC220)=2,AC221&lt;$F$186+26/25),MID(INDEX($A$187:$B$211,MATCH("OBV",$A$187:$A$211,0),2),7+(3*SUM(COUNTIF($BC$207:BC220," N"),COUNTIF($BC$207:BC220,"HZ"),COUNTIF($BC$207:BC220,"BR"),COUNTIF($BC$207:BC220,"FG"),COUNTIF($BC$207:BC220,"BL"))),2),IF(AND(HOUR(AC221)=HOUR($F$186),DAY(AC221)=DAY($F$186)),MID(INDEX($A$187:$B$211,MATCH("OBV",$A$187:$A$211,0),2),7,2),""))</f>
        <v/>
      </c>
      <c r="BD221" s="112"/>
      <c r="BE221" s="112"/>
      <c r="BF221" s="112"/>
      <c r="BG221" s="1610" t="str">
        <f t="shared" si="40"/>
        <v/>
      </c>
      <c r="BH221" s="115" t="str">
        <f t="shared" si="62"/>
        <v/>
      </c>
      <c r="BI221" s="200" t="str">
        <f t="shared" si="76"/>
        <v/>
      </c>
      <c r="BJ221" s="62" t="str">
        <f t="shared" si="75"/>
        <v/>
      </c>
      <c r="BK221" s="1145">
        <f t="shared" si="69"/>
        <v>10</v>
      </c>
      <c r="BL221" s="62" t="str">
        <f t="shared" si="77"/>
        <v/>
      </c>
      <c r="BM221" s="1145">
        <f t="shared" si="73"/>
        <v>24</v>
      </c>
      <c r="BN221" s="1901" t="str">
        <f t="shared" si="44"/>
        <v/>
      </c>
      <c r="BO221" s="1144" t="str">
        <f t="shared" si="78"/>
        <v/>
      </c>
      <c r="BP221" s="106" t="str">
        <f t="shared" si="70"/>
        <v/>
      </c>
      <c r="BQ221" s="66" t="str">
        <f t="shared" si="79"/>
        <v/>
      </c>
      <c r="BR221" s="106" t="str">
        <f t="shared" si="80"/>
        <v/>
      </c>
      <c r="BS221" s="834" t="str">
        <f t="shared" si="71"/>
        <v/>
      </c>
      <c r="BT221" s="106" t="str">
        <f t="shared" si="81"/>
        <v/>
      </c>
      <c r="BU221" s="834" t="str">
        <f t="shared" si="63"/>
        <v/>
      </c>
      <c r="BV221" s="66" t="str">
        <f t="shared" si="64"/>
        <v/>
      </c>
      <c r="BW221" s="66" t="str">
        <f t="shared" si="65"/>
        <v/>
      </c>
      <c r="BX221" s="1198" t="str">
        <f t="shared" si="72"/>
        <v/>
      </c>
      <c r="BY221" s="1146" t="str">
        <f t="shared" si="66"/>
        <v/>
      </c>
      <c r="CA221" s="3675">
        <f t="shared" si="67"/>
        <v>44747.625</v>
      </c>
      <c r="CB221" s="3675"/>
    </row>
    <row r="222" spans="1:80" ht="11.5">
      <c r="A222" s="472"/>
      <c r="B222" s="473"/>
      <c r="C222" s="473"/>
      <c r="D222" s="473"/>
      <c r="E222" s="473"/>
      <c r="F222" s="473"/>
      <c r="G222" s="473"/>
      <c r="H222" s="473"/>
      <c r="I222" s="473"/>
      <c r="J222" s="473"/>
      <c r="K222" s="473"/>
      <c r="L222" s="473"/>
      <c r="M222" s="473"/>
      <c r="N222" s="473"/>
      <c r="O222" s="473"/>
      <c r="P222" s="473"/>
      <c r="Q222" s="473"/>
      <c r="R222" s="473"/>
      <c r="S222" s="473"/>
      <c r="T222" s="473"/>
      <c r="U222" s="473"/>
      <c r="V222" s="473"/>
      <c r="W222" s="473"/>
      <c r="X222" s="473"/>
      <c r="Y222" s="473"/>
      <c r="Z222" s="473"/>
      <c r="AA222" s="473"/>
      <c r="AB222" s="473"/>
      <c r="AC222" s="977">
        <f t="shared" si="68"/>
        <v>44747.666666666664</v>
      </c>
      <c r="AD222" s="1610" t="str">
        <f>IF(AND(HOUR(AC222)=HOUR(Worksheet!AF$68),DAY(AC222)=DAY(Worksheet!AF$68)),"START","")</f>
        <v/>
      </c>
      <c r="AE222" s="1149" t="str">
        <f>IF(AND(HOUR(AC222)=HOUR($F$186),DAY(AC222)=DAY($F$186)),(MID($B$189,6,3))*1,IF(AND(ISNUMBER(AE221),AC222&lt;$F$186+1+(1/25)),(MID($B$189,6+(3*COUNT($AE$207:AE221)),3))*1,""))</f>
        <v/>
      </c>
      <c r="AF222" s="1164" t="str">
        <f t="shared" si="49"/>
        <v/>
      </c>
      <c r="AG222" s="1150" t="str">
        <f t="shared" si="50"/>
        <v/>
      </c>
      <c r="AH222" s="1163" t="str">
        <f>IF(AND(ISNUMBER(AH221),AC222&lt;$F$186+26/25),(MID($B$190,6+(3*COUNT($AH$207:AH221)),3))*1,IF(AND(HOUR(AC222)=HOUR($F$186),DAY(AC222)=DAY($F$186)),(MID($B$190,6,3))*1,""))</f>
        <v/>
      </c>
      <c r="AI222" s="1901" t="str">
        <f t="shared" si="74"/>
        <v/>
      </c>
      <c r="AJ222" s="1164" t="str">
        <f t="shared" si="52"/>
        <v/>
      </c>
      <c r="AK222" s="1150" t="str">
        <f t="shared" si="53"/>
        <v/>
      </c>
      <c r="AL222" s="1152" t="str">
        <f t="shared" si="39"/>
        <v/>
      </c>
      <c r="AM222" s="1153" t="str">
        <f t="shared" si="54"/>
        <v/>
      </c>
      <c r="AN222" s="1147"/>
      <c r="AO222" s="976" t="str">
        <f>IF(BA222="Y",AP222,IF(AND(ISNUMBER(AO221),AC222&lt;$F$186+26/25),(MID(INDEX($A$187:$B$210,MATCH("CIG",$A$187:$A$210,0),2),8+(3*COUNT($AO$207:AO221)),1))*1,IF(AND(HOUR(AC222)=HOUR($F$186),DAY(AC222)=DAY($F$186)),(MID(INDEX($A$187:$B$210,MATCH("CIG",$A$187:$A$210,0),2),8,1))*1,"")))</f>
        <v/>
      </c>
      <c r="AP222" s="1061" t="str">
        <f>IF(AND(ISNUMBER(AP221),AC222&lt;$F$186+26/25),(MID(INDEX($A$187:$B$210,MATCH("CCG",$A$187:$A$210,0),2),8+(3*COUNT($AP$207:AP221)),1))*1,IF(AND(HOUR(AC222)=HOUR($F$186),DAY(AC222)=DAY($F$186)),(MID(INDEX($A$187:$B$210,MATCH("CCG",$A$187:$A$210,0),2),8,1))*1,""))</f>
        <v/>
      </c>
      <c r="AQ222" s="1061" t="str">
        <f>IF(AND(AQ221&lt;&gt;"",AC222&lt;$F$186+26/25),MID(INDEX($A$187:$B$210,MATCH("CLD",$A$187:$A$210,0),2),7+(3*SUM(COUNTIF($AQ$207:AQ221,"OV"),COUNTIF($AQ$207:AQ221,"BK"),COUNTIF($AQ$207:AQ221,"SC"),COUNTIF($AQ$207:AQ221,"FW"),COUNTIF($AQ$207:AQ221,"CL"))),2),IF(AND(HOUR(AC222)=HOUR($F$186),DAY(AC222)=DAY($F$186)),MID(INDEX($A$187:$B$210,MATCH("CLD",$A$187:$A$210,0),2),7,2),""))</f>
        <v/>
      </c>
      <c r="AR222" s="1149" t="str">
        <f t="shared" si="55"/>
        <v/>
      </c>
      <c r="AS222" s="1150" t="str">
        <f t="shared" si="56"/>
        <v/>
      </c>
      <c r="AT222" s="112" t="str">
        <f t="shared" si="57"/>
        <v/>
      </c>
      <c r="AU222" s="1610" t="str">
        <f t="shared" si="58"/>
        <v/>
      </c>
      <c r="AV222" s="1148" t="str">
        <f t="shared" si="59"/>
        <v/>
      </c>
      <c r="AW222" s="920" t="str">
        <f t="shared" si="60"/>
        <v/>
      </c>
      <c r="AX222" s="1608" t="str">
        <f t="shared" si="61"/>
        <v/>
      </c>
      <c r="AY222" s="112" t="str">
        <f>IF(BA222="Y",AZ222,IF(AND(ISNUMBER(AY221),AC222&lt;$F$186+26/25),(MID(INDEX($A$187:$B$210,MATCH("VIS",$A$187:$A$210,0),2),8+(3*COUNT($AY$207:AY221)),1))*1,IF(AND(HOUR(AC222)=HOUR($F$186),DAY(AC222)=DAY($F$186)),(MID(INDEX($A$187:$B$210,MATCH("VIS",$A$187:$A$210,0),2),8,1))*1,"")))</f>
        <v/>
      </c>
      <c r="AZ222" s="112" t="str">
        <f>IF(AND(ISNUMBER(AZ221),AC222&lt;$F$186+26/25),(MID(INDEX($A$187:$B$210,MATCH("CVS",$A$187:$A$210,0),2),8+(3*COUNT($AZ$207:AZ221)),1))*1,IF(AND(HOUR(AC222)=HOUR($F$186),DAY(AC222)=DAY($F$186)),(MID(INDEX($A$187:$B$210,MATCH("CVS",$A$187:$A$210,0),2),8,1))*1,""))</f>
        <v/>
      </c>
      <c r="BA222" s="1610" t="str">
        <f>IF(AND(BA221&lt;&gt;"",AC222&lt;$F$186+26/25),MID(INDEX($A$187:$B$210,MATCH("PCO",$A$187:$A$210,0),2),8+(3*SUM(COUNTIF($BA$207:BA221,"Y"),COUNTIF($BA$207:BA221,"N"))),1),IF(AND(HOUR(AC222)=HOUR($F$186),DAY(AC222)=DAY($F$186)),MID(INDEX($A$187:$B$210,MATCH("PCO",$A$187:$A$210,0),2),8,1),""))</f>
        <v/>
      </c>
      <c r="BB222" s="1610" t="str">
        <f>IF(AND(BB221&lt;&gt;"",AC222&lt;$F$186+26/25),MID(INDEX($A$187:$B$210,MATCH("TYP",$A$187:$A$210,0),2),8+(3*SUM(COUNTIF($BB$207:BB221,"S"),COUNTIF($BB$207:BB221,"Z"), COUNTIF($BB$207:BB221,"R"),COUNTIF($BB$207:BB221,"X"))),1),IF(AND(HOUR(AC222)=HOUR($F$186),DAY(AC222)=DAY($F$186)),MID(INDEX($A$187:$B$210,MATCH("TYP",$A$187:$A$210,0),2),8,1),""))</f>
        <v/>
      </c>
      <c r="BC222" s="112" t="str">
        <f>IF(AND(LEN(BC221)=2,AC222&lt;$F$186+26/25),MID(INDEX($A$187:$B$211,MATCH("OBV",$A$187:$A$211,0),2),7+(3*SUM(COUNTIF($BC$207:BC221," N"),COUNTIF($BC$207:BC221,"HZ"),COUNTIF($BC$207:BC221,"BR"),COUNTIF($BC$207:BC221,"FG"),COUNTIF($BC$207:BC221,"BL"))),2),IF(AND(HOUR(AC222)=HOUR($F$186),DAY(AC222)=DAY($F$186)),MID(INDEX($A$187:$B$211,MATCH("OBV",$A$187:$A$211,0),2),7,2),""))</f>
        <v/>
      </c>
      <c r="BD222" s="112"/>
      <c r="BE222" s="112"/>
      <c r="BF222" s="112"/>
      <c r="BG222" s="1610" t="str">
        <f t="shared" si="40"/>
        <v/>
      </c>
      <c r="BH222" s="115" t="str">
        <f t="shared" si="62"/>
        <v/>
      </c>
      <c r="BI222" s="200" t="str">
        <f t="shared" si="76"/>
        <v/>
      </c>
      <c r="BJ222" s="62" t="str">
        <f t="shared" si="75"/>
        <v/>
      </c>
      <c r="BK222" s="1145">
        <f t="shared" si="69"/>
        <v>10</v>
      </c>
      <c r="BL222" s="62" t="str">
        <f t="shared" si="77"/>
        <v/>
      </c>
      <c r="BM222" s="1145">
        <f t="shared" si="73"/>
        <v>24</v>
      </c>
      <c r="BN222" s="1901" t="str">
        <f t="shared" si="44"/>
        <v/>
      </c>
      <c r="BO222" s="1144" t="str">
        <f t="shared" si="78"/>
        <v/>
      </c>
      <c r="BP222" s="106" t="str">
        <f t="shared" si="70"/>
        <v/>
      </c>
      <c r="BQ222" s="66" t="str">
        <f t="shared" si="79"/>
        <v/>
      </c>
      <c r="BR222" s="106" t="str">
        <f t="shared" si="80"/>
        <v/>
      </c>
      <c r="BS222" s="834" t="str">
        <f t="shared" si="71"/>
        <v/>
      </c>
      <c r="BT222" s="106" t="str">
        <f t="shared" si="81"/>
        <v/>
      </c>
      <c r="BU222" s="834" t="str">
        <f t="shared" si="63"/>
        <v/>
      </c>
      <c r="BV222" s="66" t="str">
        <f t="shared" si="64"/>
        <v/>
      </c>
      <c r="BW222" s="66" t="str">
        <f t="shared" si="65"/>
        <v/>
      </c>
      <c r="BX222" s="1198" t="str">
        <f t="shared" si="72"/>
        <v/>
      </c>
      <c r="BY222" s="1146" t="str">
        <f t="shared" si="66"/>
        <v/>
      </c>
      <c r="CA222" s="3675">
        <f t="shared" si="67"/>
        <v>44747.666666666664</v>
      </c>
      <c r="CB222" s="3675"/>
    </row>
    <row r="223" spans="1:80" ht="11.5">
      <c r="A223" s="472"/>
      <c r="B223" s="473"/>
      <c r="C223" s="473"/>
      <c r="D223" s="473"/>
      <c r="E223" s="473"/>
      <c r="F223" s="473"/>
      <c r="G223" s="473"/>
      <c r="H223" s="473"/>
      <c r="I223" s="473"/>
      <c r="J223" s="473"/>
      <c r="K223" s="473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  <c r="V223" s="473"/>
      <c r="W223" s="473"/>
      <c r="X223" s="473"/>
      <c r="Y223" s="473"/>
      <c r="Z223" s="473"/>
      <c r="AA223" s="473"/>
      <c r="AB223" s="473"/>
      <c r="AC223" s="977">
        <f t="shared" si="68"/>
        <v>44747.708333333328</v>
      </c>
      <c r="AD223" s="1610" t="str">
        <f>IF(AND(HOUR(AC223)=HOUR(Worksheet!AF$68),DAY(AC223)=DAY(Worksheet!AF$68)),"START","")</f>
        <v/>
      </c>
      <c r="AE223" s="1149" t="str">
        <f>IF(AND(HOUR(AC223)=HOUR($F$186),DAY(AC223)=DAY($F$186)),(MID($B$189,6,3))*1,IF(AND(ISNUMBER(AE222),AC223&lt;$F$186+1+(1/25)),(MID($B$189,6+(3*COUNT($AE$207:AE222)),3))*1,""))</f>
        <v/>
      </c>
      <c r="AF223" s="1164" t="str">
        <f t="shared" si="49"/>
        <v/>
      </c>
      <c r="AG223" s="1150" t="str">
        <f t="shared" si="50"/>
        <v/>
      </c>
      <c r="AH223" s="1163" t="str">
        <f>IF(AND(ISNUMBER(AH222),AC223&lt;$F$186+26/25),(MID($B$190,6+(3*COUNT($AH$207:AH222)),3))*1,IF(AND(HOUR(AC223)=HOUR($F$186),DAY(AC223)=DAY($F$186)),(MID($B$190,6,3))*1,""))</f>
        <v/>
      </c>
      <c r="AI223" s="1901" t="str">
        <f t="shared" si="74"/>
        <v/>
      </c>
      <c r="AJ223" s="1164" t="str">
        <f t="shared" si="52"/>
        <v/>
      </c>
      <c r="AK223" s="1150" t="str">
        <f t="shared" si="53"/>
        <v/>
      </c>
      <c r="AL223" s="1152" t="str">
        <f t="shared" si="39"/>
        <v/>
      </c>
      <c r="AM223" s="1153" t="str">
        <f t="shared" si="54"/>
        <v/>
      </c>
      <c r="AN223" s="1147"/>
      <c r="AO223" s="976" t="str">
        <f>IF(BA223="Y",AP223,IF(AND(ISNUMBER(AO222),AC223&lt;$F$186+26/25),(MID(INDEX($A$187:$B$210,MATCH("CIG",$A$187:$A$210,0),2),8+(3*COUNT($AO$207:AO222)),1))*1,IF(AND(HOUR(AC223)=HOUR($F$186),DAY(AC223)=DAY($F$186)),(MID(INDEX($A$187:$B$210,MATCH("CIG",$A$187:$A$210,0),2),8,1))*1,"")))</f>
        <v/>
      </c>
      <c r="AP223" s="1061" t="str">
        <f>IF(AND(ISNUMBER(AP222),AC223&lt;$F$186+26/25),(MID(INDEX($A$187:$B$210,MATCH("CCG",$A$187:$A$210,0),2),8+(3*COUNT($AP$207:AP222)),1))*1,IF(AND(HOUR(AC223)=HOUR($F$186),DAY(AC223)=DAY($F$186)),(MID(INDEX($A$187:$B$210,MATCH("CCG",$A$187:$A$210,0),2),8,1))*1,""))</f>
        <v/>
      </c>
      <c r="AQ223" s="1061" t="str">
        <f>IF(AND(AQ222&lt;&gt;"",AC223&lt;$F$186+26/25),MID(INDEX($A$187:$B$210,MATCH("CLD",$A$187:$A$210,0),2),7+(3*SUM(COUNTIF($AQ$207:AQ222,"OV"),COUNTIF($AQ$207:AQ222,"BK"),COUNTIF($AQ$207:AQ222,"SC"),COUNTIF($AQ$207:AQ222,"FW"),COUNTIF($AQ$207:AQ222,"CL"))),2),IF(AND(HOUR(AC223)=HOUR($F$186),DAY(AC223)=DAY($F$186)),MID(INDEX($A$187:$B$210,MATCH("CLD",$A$187:$A$210,0),2),7,2),""))</f>
        <v/>
      </c>
      <c r="AR223" s="1149" t="str">
        <f t="shared" si="55"/>
        <v/>
      </c>
      <c r="AS223" s="1150" t="str">
        <f t="shared" si="56"/>
        <v/>
      </c>
      <c r="AT223" s="112" t="str">
        <f t="shared" si="57"/>
        <v/>
      </c>
      <c r="AU223" s="1610" t="str">
        <f t="shared" si="58"/>
        <v/>
      </c>
      <c r="AV223" s="1148" t="str">
        <f t="shared" si="59"/>
        <v/>
      </c>
      <c r="AW223" s="920" t="str">
        <f t="shared" si="60"/>
        <v/>
      </c>
      <c r="AX223" s="1608" t="str">
        <f t="shared" si="61"/>
        <v/>
      </c>
      <c r="AY223" s="112" t="str">
        <f>IF(BA223="Y",AZ223,IF(AND(ISNUMBER(AY222),AC223&lt;$F$186+26/25),(MID(INDEX($A$187:$B$210,MATCH("VIS",$A$187:$A$210,0),2),8+(3*COUNT($AY$207:AY222)),1))*1,IF(AND(HOUR(AC223)=HOUR($F$186),DAY(AC223)=DAY($F$186)),(MID(INDEX($A$187:$B$210,MATCH("VIS",$A$187:$A$210,0),2),8,1))*1,"")))</f>
        <v/>
      </c>
      <c r="AZ223" s="112" t="str">
        <f>IF(AND(ISNUMBER(AZ222),AC223&lt;$F$186+26/25),(MID(INDEX($A$187:$B$210,MATCH("CVS",$A$187:$A$210,0),2),8+(3*COUNT($AZ$207:AZ222)),1))*1,IF(AND(HOUR(AC223)=HOUR($F$186),DAY(AC223)=DAY($F$186)),(MID(INDEX($A$187:$B$210,MATCH("CVS",$A$187:$A$210,0),2),8,1))*1,""))</f>
        <v/>
      </c>
      <c r="BA223" s="1610" t="str">
        <f>IF(AND(BA222&lt;&gt;"",AC223&lt;$F$186+26/25),MID(INDEX($A$187:$B$210,MATCH("PCO",$A$187:$A$210,0),2),8+(3*SUM(COUNTIF($BA$207:BA222,"Y"),COUNTIF($BA$207:BA222,"N"))),1),IF(AND(HOUR(AC223)=HOUR($F$186),DAY(AC223)=DAY($F$186)),MID(INDEX($A$187:$B$210,MATCH("PCO",$A$187:$A$210,0),2),8,1),""))</f>
        <v/>
      </c>
      <c r="BB223" s="1610" t="str">
        <f>IF(AND(BB222&lt;&gt;"",AC223&lt;$F$186+26/25),MID(INDEX($A$187:$B$210,MATCH("TYP",$A$187:$A$210,0),2),8+(3*SUM(COUNTIF($BB$207:BB222,"S"),COUNTIF($BB$207:BB222,"Z"), COUNTIF($BB$207:BB222,"R"),COUNTIF($BB$207:BB222,"X"))),1),IF(AND(HOUR(AC223)=HOUR($F$186),DAY(AC223)=DAY($F$186)),MID(INDEX($A$187:$B$210,MATCH("TYP",$A$187:$A$210,0),2),8,1),""))</f>
        <v/>
      </c>
      <c r="BC223" s="112" t="str">
        <f>IF(AND(LEN(BC222)=2,AC223&lt;$F$186+26/25),MID(INDEX($A$187:$B$211,MATCH("OBV",$A$187:$A$211,0),2),7+(3*SUM(COUNTIF($BC$207:BC222," N"),COUNTIF($BC$207:BC222,"HZ"),COUNTIF($BC$207:BC222,"BR"),COUNTIF($BC$207:BC222,"FG"),COUNTIF($BC$207:BC222,"BL"))),2),IF(AND(HOUR(AC223)=HOUR($F$186),DAY(AC223)=DAY($F$186)),MID(INDEX($A$187:$B$211,MATCH("OBV",$A$187:$A$211,0),2),7,2),""))</f>
        <v/>
      </c>
      <c r="BD223" s="112"/>
      <c r="BE223" s="112"/>
      <c r="BF223" s="112"/>
      <c r="BG223" s="1610" t="str">
        <f t="shared" si="40"/>
        <v/>
      </c>
      <c r="BH223" s="115" t="str">
        <f t="shared" si="62"/>
        <v/>
      </c>
      <c r="BI223" s="200" t="str">
        <f t="shared" si="76"/>
        <v/>
      </c>
      <c r="BJ223" s="62" t="str">
        <f t="shared" si="75"/>
        <v/>
      </c>
      <c r="BK223" s="1145">
        <f t="shared" si="69"/>
        <v>10</v>
      </c>
      <c r="BL223" s="62" t="str">
        <f t="shared" si="77"/>
        <v/>
      </c>
      <c r="BM223" s="1145">
        <f t="shared" si="73"/>
        <v>24</v>
      </c>
      <c r="BN223" s="1901" t="str">
        <f t="shared" si="44"/>
        <v/>
      </c>
      <c r="BO223" s="1144" t="str">
        <f t="shared" si="78"/>
        <v/>
      </c>
      <c r="BP223" s="106" t="str">
        <f t="shared" si="70"/>
        <v/>
      </c>
      <c r="BQ223" s="66" t="str">
        <f t="shared" si="79"/>
        <v/>
      </c>
      <c r="BR223" s="106" t="str">
        <f t="shared" si="80"/>
        <v/>
      </c>
      <c r="BS223" s="834" t="str">
        <f t="shared" si="71"/>
        <v/>
      </c>
      <c r="BT223" s="106" t="str">
        <f t="shared" si="81"/>
        <v/>
      </c>
      <c r="BU223" s="834" t="str">
        <f t="shared" si="63"/>
        <v/>
      </c>
      <c r="BV223" s="66" t="str">
        <f t="shared" si="64"/>
        <v/>
      </c>
      <c r="BW223" s="66" t="str">
        <f t="shared" si="65"/>
        <v/>
      </c>
      <c r="BX223" s="1198" t="str">
        <f t="shared" si="72"/>
        <v/>
      </c>
      <c r="BY223" s="1146" t="str">
        <f t="shared" si="66"/>
        <v/>
      </c>
      <c r="CA223" s="3675">
        <f t="shared" si="67"/>
        <v>44747.708333333328</v>
      </c>
      <c r="CB223" s="3675"/>
    </row>
    <row r="224" spans="1:80">
      <c r="A224" s="471"/>
      <c r="B224" s="480"/>
      <c r="C224" s="480"/>
      <c r="D224" s="480"/>
      <c r="E224" s="480"/>
      <c r="F224" s="480"/>
      <c r="G224" s="480"/>
      <c r="H224" s="480"/>
      <c r="I224" s="480"/>
      <c r="J224" s="480"/>
      <c r="K224" s="480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  <c r="AA224" s="480"/>
      <c r="AB224" s="480"/>
      <c r="AC224" s="977">
        <f t="shared" si="68"/>
        <v>44747.75</v>
      </c>
      <c r="AD224" s="1610" t="str">
        <f>IF(AND(HOUR(AC224)=HOUR(Worksheet!AF$68),DAY(AC224)=DAY(Worksheet!AF$68)),"START","")</f>
        <v/>
      </c>
      <c r="AE224" s="1149" t="str">
        <f>IF(AND(HOUR(AC224)=HOUR($F$186),DAY(AC224)=DAY($F$186)),(MID($B$189,6,3))*1,IF(AND(ISNUMBER(AE223),AC224&lt;$F$186+1+(1/25)),(MID($B$189,6+(3*COUNT($AE$207:AE223)),3))*1,""))</f>
        <v/>
      </c>
      <c r="AF224" s="1164">
        <f t="shared" si="49"/>
        <v>95.828000000000031</v>
      </c>
      <c r="AG224" s="1150">
        <f t="shared" si="50"/>
        <v>93.2</v>
      </c>
      <c r="AH224" s="1163" t="str">
        <f>IF(AND(ISNUMBER(AH223),AC224&lt;$F$186+26/25),(MID($B$190,6+(3*COUNT($AH$207:AH223)),3))*1,IF(AND(HOUR(AC224)=HOUR($F$186),DAY(AC224)=DAY($F$186)),(MID($B$190,6,3))*1,""))</f>
        <v/>
      </c>
      <c r="AI224" s="1901" t="str">
        <f t="shared" si="74"/>
        <v/>
      </c>
      <c r="AJ224" s="1164">
        <f t="shared" si="52"/>
        <v>75.397999999999968</v>
      </c>
      <c r="AK224" s="1150">
        <f t="shared" si="53"/>
        <v>69.800000000000011</v>
      </c>
      <c r="AL224" s="1152">
        <f t="shared" si="39"/>
        <v>30</v>
      </c>
      <c r="AM224" s="1153">
        <f t="shared" si="54"/>
        <v>29.97</v>
      </c>
      <c r="AN224" s="1147"/>
      <c r="AO224" s="976" t="str">
        <f>IF(BA224="Y",AP224,IF(AND(ISNUMBER(AO223),AC224&lt;$F$186+26/25),(MID(INDEX($A$187:$B$210,MATCH("CIG",$A$187:$A$210,0),2),8+(3*COUNT($AO$207:AO223)),1))*1,IF(AND(HOUR(AC224)=HOUR($F$186),DAY(AC224)=DAY($F$186)),(MID(INDEX($A$187:$B$210,MATCH("CIG",$A$187:$A$210,0),2),8,1))*1,"")))</f>
        <v/>
      </c>
      <c r="AP224" s="1061" t="str">
        <f>IF(AND(ISNUMBER(AP223),AC224&lt;$F$186+26/25),(MID(INDEX($A$187:$B$210,MATCH("CCG",$A$187:$A$210,0),2),8+(3*COUNT($AP$207:AP223)),1))*1,IF(AND(HOUR(AC224)=HOUR($F$186),DAY(AC224)=DAY($F$186)),(MID(INDEX($A$187:$B$210,MATCH("CCG",$A$187:$A$210,0),2),8,1))*1,""))</f>
        <v/>
      </c>
      <c r="AQ224" s="1061" t="str">
        <f>IF(AND(AQ223&lt;&gt;"",AC224&lt;$F$186+26/25),MID(INDEX($A$187:$B$210,MATCH("CLD",$A$187:$A$210,0),2),7+(3*SUM(COUNTIF($AQ$207:AQ223,"OV"),COUNTIF($AQ$207:AQ223,"BK"),COUNTIF($AQ$207:AQ223,"SC"),COUNTIF($AQ$207:AQ223,"FW"),COUNTIF($AQ$207:AQ223,"CL"))),2),IF(AND(HOUR(AC224)=HOUR($F$186),DAY(AC224)=DAY($F$186)),MID(INDEX($A$187:$B$210,MATCH("CLD",$A$187:$A$210,0),2),7,2),""))</f>
        <v/>
      </c>
      <c r="AR224" s="1149">
        <f t="shared" si="55"/>
        <v>8</v>
      </c>
      <c r="AS224" s="1150" t="str">
        <f t="shared" si="56"/>
        <v>BK</v>
      </c>
      <c r="AT224" s="112" t="str">
        <f t="shared" si="57"/>
        <v/>
      </c>
      <c r="AU224" s="1610" t="str">
        <f t="shared" si="58"/>
        <v/>
      </c>
      <c r="AV224" s="1148">
        <f t="shared" si="59"/>
        <v>40</v>
      </c>
      <c r="AW224" s="920" t="str">
        <f t="shared" si="60"/>
        <v>SCT</v>
      </c>
      <c r="AX224" s="1608">
        <f t="shared" si="61"/>
        <v>40</v>
      </c>
      <c r="AY224" s="112" t="str">
        <f>IF(BA224="Y",AZ224,IF(AND(ISNUMBER(AY223),AC224&lt;$F$186+26/25),(MID(INDEX($A$187:$B$210,MATCH("VIS",$A$187:$A$210,0),2),8+(3*COUNT($AY$207:AY223)),1))*1,IF(AND(HOUR(AC224)=HOUR($F$186),DAY(AC224)=DAY($F$186)),(MID(INDEX($A$187:$B$210,MATCH("VIS",$A$187:$A$210,0),2),8,1))*1,"")))</f>
        <v/>
      </c>
      <c r="AZ224" s="112" t="str">
        <f>IF(AND(ISNUMBER(AZ223),AC224&lt;$F$186+26/25),(MID(INDEX($A$187:$B$210,MATCH("CVS",$A$187:$A$210,0),2),8+(3*COUNT($AZ$207:AZ223)),1))*1,IF(AND(HOUR(AC224)=HOUR($F$186),DAY(AC224)=DAY($F$186)),(MID(INDEX($A$187:$B$210,MATCH("CVS",$A$187:$A$210,0),2),8,1))*1,""))</f>
        <v/>
      </c>
      <c r="BA224" s="1610" t="str">
        <f>IF(AND(BA223&lt;&gt;"",AC224&lt;$F$186+26/25),MID(INDEX($A$187:$B$210,MATCH("PCO",$A$187:$A$210,0),2),8+(3*SUM(COUNTIF($BA$207:BA223,"Y"),COUNTIF($BA$207:BA223,"N"))),1),IF(AND(HOUR(AC224)=HOUR($F$186),DAY(AC224)=DAY($F$186)),MID(INDEX($A$187:$B$210,MATCH("PCO",$A$187:$A$210,0),2),8,1),""))</f>
        <v/>
      </c>
      <c r="BB224" s="1610" t="str">
        <f>IF(AND(BB223&lt;&gt;"",AC224&lt;$F$186+26/25),MID(INDEX($A$187:$B$210,MATCH("TYP",$A$187:$A$210,0),2),8+(3*SUM(COUNTIF($BB$207:BB223,"S"),COUNTIF($BB$207:BB223,"Z"), COUNTIF($BB$207:BB223,"R"),COUNTIF($BB$207:BB223,"X"))),1),IF(AND(HOUR(AC224)=HOUR($F$186),DAY(AC224)=DAY($F$186)),MID(INDEX($A$187:$B$210,MATCH("TYP",$A$187:$A$210,0),2),8,1),""))</f>
        <v/>
      </c>
      <c r="BC224" s="112" t="str">
        <f>IF(AND(LEN(BC223)=2,AC224&lt;$F$186+26/25),MID(INDEX($A$187:$B$211,MATCH("OBV",$A$187:$A$211,0),2),7+(3*SUM(COUNTIF($BC$207:BC223," N"),COUNTIF($BC$207:BC223,"HZ"),COUNTIF($BC$207:BC223,"BR"),COUNTIF($BC$207:BC223,"FG"),COUNTIF($BC$207:BC223,"BL"))),2),IF(AND(HOUR(AC224)=HOUR($F$186),DAY(AC224)=DAY($F$186)),MID(INDEX($A$187:$B$211,MATCH("OBV",$A$187:$A$211,0),2),7,2),""))</f>
        <v/>
      </c>
      <c r="BD224" s="112"/>
      <c r="BE224" s="112"/>
      <c r="BF224" s="112"/>
      <c r="BG224" s="1610" t="str">
        <f t="shared" si="40"/>
        <v/>
      </c>
      <c r="BH224" s="115">
        <f t="shared" si="62"/>
        <v>7</v>
      </c>
      <c r="BI224" s="200" t="str">
        <f t="shared" si="76"/>
        <v/>
      </c>
      <c r="BJ224" s="62">
        <f t="shared" si="75"/>
        <v>10</v>
      </c>
      <c r="BK224" s="1145">
        <f t="shared" si="69"/>
        <v>10</v>
      </c>
      <c r="BL224" s="62">
        <f t="shared" si="77"/>
        <v>24</v>
      </c>
      <c r="BM224" s="1145">
        <f t="shared" si="73"/>
        <v>24</v>
      </c>
      <c r="BN224" s="1901" t="str">
        <f t="shared" si="44"/>
        <v xml:space="preserve"> N</v>
      </c>
      <c r="BO224" s="1144" t="e">
        <f t="shared" si="78"/>
        <v>#N/A</v>
      </c>
      <c r="BP224" s="106" t="str">
        <f t="shared" si="70"/>
        <v/>
      </c>
      <c r="BQ224" s="66" t="str">
        <f t="shared" si="79"/>
        <v/>
      </c>
      <c r="BR224" s="106" t="str">
        <f t="shared" si="80"/>
        <v/>
      </c>
      <c r="BS224" s="834" t="str">
        <f t="shared" si="71"/>
        <v/>
      </c>
      <c r="BT224" s="106" t="str">
        <f t="shared" si="81"/>
        <v/>
      </c>
      <c r="BU224" s="834" t="str">
        <f t="shared" si="63"/>
        <v/>
      </c>
      <c r="BV224" s="66" t="str">
        <f t="shared" si="64"/>
        <v/>
      </c>
      <c r="BW224" s="66" t="str">
        <f t="shared" si="65"/>
        <v/>
      </c>
      <c r="BX224" s="1198">
        <f t="shared" si="72"/>
        <v>7</v>
      </c>
      <c r="BY224" s="1146" t="str">
        <f t="shared" si="66"/>
        <v>NSW</v>
      </c>
      <c r="CA224" s="3675">
        <f t="shared" si="67"/>
        <v>44747.75</v>
      </c>
      <c r="CB224" s="3675"/>
    </row>
    <row r="225" spans="1:80">
      <c r="C225" s="459"/>
      <c r="D225" s="459"/>
      <c r="E225" s="459"/>
      <c r="F225" s="459"/>
      <c r="G225" s="410"/>
      <c r="H225" s="410"/>
      <c r="I225" s="410"/>
      <c r="J225" s="459"/>
      <c r="K225" s="459"/>
      <c r="L225" s="459"/>
      <c r="M225" s="459"/>
      <c r="N225" s="459"/>
      <c r="O225" s="459"/>
      <c r="P225" s="459"/>
      <c r="Q225" s="459"/>
      <c r="R225" s="459"/>
      <c r="S225" s="459"/>
      <c r="T225" s="459"/>
      <c r="U225" s="459"/>
      <c r="V225" s="459"/>
      <c r="W225" s="459"/>
      <c r="X225" s="459"/>
      <c r="Y225" s="459"/>
      <c r="Z225" s="459"/>
      <c r="AA225" s="459"/>
      <c r="AB225" s="459"/>
      <c r="AC225" s="977">
        <f t="shared" si="68"/>
        <v>44747.791666666664</v>
      </c>
      <c r="AD225" s="1610" t="str">
        <f>IF(AND(HOUR(AC225)=HOUR(Worksheet!AF$68),DAY(AC225)=DAY(Worksheet!AF$68)),"START","")</f>
        <v/>
      </c>
      <c r="AE225" s="1149" t="str">
        <f>IF(AND(HOUR(AC225)=HOUR($F$186),DAY(AC225)=DAY($F$186)),(MID($B$189,6,3))*1,IF(AND(ISNUMBER(AE224),AC225&lt;$F$186+1+(1/25)),(MID($B$189,6+(3*COUNT($AE$207:AE224)),3))*1,""))</f>
        <v/>
      </c>
      <c r="AF225" s="1164">
        <f t="shared" si="49"/>
        <v>95.588000000000022</v>
      </c>
      <c r="AG225" s="1150">
        <f t="shared" si="50"/>
        <v>93.2</v>
      </c>
      <c r="AH225" s="1163" t="str">
        <f>IF(AND(ISNUMBER(AH224),AC225&lt;$F$186+26/25),(MID($B$190,6+(3*COUNT($AH$207:AH224)),3))*1,IF(AND(HOUR(AC225)=HOUR($F$186),DAY(AC225)=DAY($F$186)),(MID($B$190,6,3))*1,""))</f>
        <v/>
      </c>
      <c r="AI225" s="1901" t="str">
        <f t="shared" si="74"/>
        <v/>
      </c>
      <c r="AJ225" s="1164">
        <f t="shared" si="52"/>
        <v>74.791999999999973</v>
      </c>
      <c r="AK225" s="1150">
        <f t="shared" si="53"/>
        <v>69.800000000000011</v>
      </c>
      <c r="AL225" s="1152">
        <f t="shared" si="39"/>
        <v>29.973333333333333</v>
      </c>
      <c r="AM225" s="1153">
        <f t="shared" si="54"/>
        <v>29.95</v>
      </c>
      <c r="AN225" s="1147"/>
      <c r="AO225" s="976" t="str">
        <f>IF(BA225="Y",AP225,IF(AND(ISNUMBER(AO224),AC225&lt;$F$186+26/25),(MID(INDEX($A$187:$B$210,MATCH("CIG",$A$187:$A$210,0),2),8+(3*COUNT($AO$207:AO224)),1))*1,IF(AND(HOUR(AC225)=HOUR($F$186),DAY(AC225)=DAY($F$186)),(MID(INDEX($A$187:$B$210,MATCH("CIG",$A$187:$A$210,0),2),8,1))*1,"")))</f>
        <v/>
      </c>
      <c r="AP225" s="1061" t="str">
        <f>IF(AND(ISNUMBER(AP224),AC225&lt;$F$186+26/25),(MID(INDEX($A$187:$B$210,MATCH("CCG",$A$187:$A$210,0),2),8+(3*COUNT($AP$207:AP224)),1))*1,IF(AND(HOUR(AC225)=HOUR($F$186),DAY(AC225)=DAY($F$186)),(MID(INDEX($A$187:$B$210,MATCH("CCG",$A$187:$A$210,0),2),8,1))*1,""))</f>
        <v/>
      </c>
      <c r="AQ225" s="1061" t="str">
        <f>IF(AND(AQ224&lt;&gt;"",AC225&lt;$F$186+26/25),MID(INDEX($A$187:$B$210,MATCH("CLD",$A$187:$A$210,0),2),7+(3*SUM(COUNTIF($AQ$207:AQ224,"OV"),COUNTIF($AQ$207:AQ224,"BK"),COUNTIF($AQ$207:AQ224,"SC"),COUNTIF($AQ$207:AQ224,"FW"),COUNTIF($AQ$207:AQ224,"CL"))),2),IF(AND(HOUR(AC225)=HOUR($F$186),DAY(AC225)=DAY($F$186)),MID(INDEX($A$187:$B$210,MATCH("CLD",$A$187:$A$210,0),2),7,2),""))</f>
        <v/>
      </c>
      <c r="AR225" s="1149">
        <f t="shared" si="55"/>
        <v>8</v>
      </c>
      <c r="AS225" s="1150" t="str">
        <f t="shared" si="56"/>
        <v>BK</v>
      </c>
      <c r="AT225" s="112" t="str">
        <f t="shared" si="57"/>
        <v/>
      </c>
      <c r="AU225" s="1610" t="str">
        <f t="shared" si="58"/>
        <v/>
      </c>
      <c r="AV225" s="1148">
        <f t="shared" si="59"/>
        <v>40</v>
      </c>
      <c r="AW225" s="920" t="str">
        <f t="shared" si="60"/>
        <v>SCT</v>
      </c>
      <c r="AX225" s="1608">
        <f t="shared" si="61"/>
        <v>40</v>
      </c>
      <c r="AY225" s="112" t="str">
        <f>IF(BA225="Y",AZ225,IF(AND(ISNUMBER(AY224),AC225&lt;$F$186+26/25),(MID(INDEX($A$187:$B$210,MATCH("VIS",$A$187:$A$210,0),2),8+(3*COUNT($AY$207:AY224)),1))*1,IF(AND(HOUR(AC225)=HOUR($F$186),DAY(AC225)=DAY($F$186)),(MID(INDEX($A$187:$B$210,MATCH("VIS",$A$187:$A$210,0),2),8,1))*1,"")))</f>
        <v/>
      </c>
      <c r="AZ225" s="112" t="str">
        <f>IF(AND(ISNUMBER(AZ224),AC225&lt;$F$186+26/25),(MID(INDEX($A$187:$B$210,MATCH("CVS",$A$187:$A$210,0),2),8+(3*COUNT($AZ$207:AZ224)),1))*1,IF(AND(HOUR(AC225)=HOUR($F$186),DAY(AC225)=DAY($F$186)),(MID(INDEX($A$187:$B$210,MATCH("CVS",$A$187:$A$210,0),2),8,1))*1,""))</f>
        <v/>
      </c>
      <c r="BA225" s="1610" t="str">
        <f>IF(AND(BA224&lt;&gt;"",AC225&lt;$F$186+26/25),MID(INDEX($A$187:$B$210,MATCH("PCO",$A$187:$A$210,0),2),8+(3*SUM(COUNTIF($BA$207:BA224,"Y"),COUNTIF($BA$207:BA224,"N"))),1),IF(AND(HOUR(AC225)=HOUR($F$186),DAY(AC225)=DAY($F$186)),MID(INDEX($A$187:$B$210,MATCH("PCO",$A$187:$A$210,0),2),8,1),""))</f>
        <v/>
      </c>
      <c r="BB225" s="1610" t="str">
        <f>IF(AND(BB224&lt;&gt;"",AC225&lt;$F$186+26/25),MID(INDEX($A$187:$B$210,MATCH("TYP",$A$187:$A$210,0),2),8+(3*SUM(COUNTIF($BB$207:BB224,"S"),COUNTIF($BB$207:BB224,"Z"), COUNTIF($BB$207:BB224,"R"),COUNTIF($BB$207:BB224,"X"))),1),IF(AND(HOUR(AC225)=HOUR($F$186),DAY(AC225)=DAY($F$186)),MID(INDEX($A$187:$B$210,MATCH("TYP",$A$187:$A$210,0),2),8,1),""))</f>
        <v/>
      </c>
      <c r="BC225" s="112" t="str">
        <f>IF(AND(LEN(BC224)=2,AC225&lt;$F$186+26/25),MID(INDEX($A$187:$B$211,MATCH("OBV",$A$187:$A$211,0),2),7+(3*SUM(COUNTIF($BC$207:BC224," N"),COUNTIF($BC$207:BC224,"HZ"),COUNTIF($BC$207:BC224,"BR"),COUNTIF($BC$207:BC224,"FG"),COUNTIF($BC$207:BC224,"BL"))),2),IF(AND(HOUR(AC225)=HOUR($F$186),DAY(AC225)=DAY($F$186)),MID(INDEX($A$187:$B$211,MATCH("OBV",$A$187:$A$211,0),2),7,2),""))</f>
        <v/>
      </c>
      <c r="BD225" s="112"/>
      <c r="BE225" s="112"/>
      <c r="BF225" s="112"/>
      <c r="BG225" s="1610" t="str">
        <f t="shared" si="40"/>
        <v/>
      </c>
      <c r="BH225" s="115">
        <f t="shared" si="62"/>
        <v>7</v>
      </c>
      <c r="BI225" s="200" t="str">
        <f t="shared" si="76"/>
        <v/>
      </c>
      <c r="BJ225" s="62" t="str">
        <f t="shared" si="75"/>
        <v/>
      </c>
      <c r="BK225" s="1145">
        <f>IF(COUNT(BJ225:BJ230)&gt;0,IF(MOD(HOUR(AC225),6)=0,AVERAGE(MAX(BJ225:BJ231),MIN(BJ225:BJ231)),IF(MOD(HOUR(AC225),3)=0,MAX(BJ226:BJ231),IF(MOD(HOUR(AC224),3)=0,BK224,BK226))),"")</f>
        <v>10</v>
      </c>
      <c r="BL225" s="62" t="str">
        <f t="shared" si="77"/>
        <v/>
      </c>
      <c r="BM225" s="1145">
        <f t="shared" si="73"/>
        <v>24</v>
      </c>
      <c r="BN225" s="1901" t="str">
        <f t="shared" si="44"/>
        <v xml:space="preserve"> N</v>
      </c>
      <c r="BO225" s="1144" t="e">
        <f t="shared" si="78"/>
        <v>#N/A</v>
      </c>
      <c r="BP225" s="106" t="str">
        <f t="shared" si="70"/>
        <v/>
      </c>
      <c r="BQ225" s="66" t="str">
        <f t="shared" si="79"/>
        <v/>
      </c>
      <c r="BR225" s="106" t="str">
        <f t="shared" si="80"/>
        <v/>
      </c>
      <c r="BS225" s="834" t="str">
        <f t="shared" si="71"/>
        <v/>
      </c>
      <c r="BT225" s="106" t="str">
        <f t="shared" si="81"/>
        <v/>
      </c>
      <c r="BU225" s="834" t="str">
        <f t="shared" si="63"/>
        <v/>
      </c>
      <c r="BV225" s="66" t="str">
        <f t="shared" si="64"/>
        <v/>
      </c>
      <c r="BW225" s="66" t="str">
        <f t="shared" si="65"/>
        <v/>
      </c>
      <c r="BX225" s="1198">
        <f t="shared" si="72"/>
        <v>7</v>
      </c>
      <c r="BY225" s="1146" t="str">
        <f t="shared" si="66"/>
        <v>NSW</v>
      </c>
      <c r="CA225" s="3675">
        <f t="shared" si="67"/>
        <v>44747.791666666664</v>
      </c>
      <c r="CB225" s="3675"/>
    </row>
    <row r="226" spans="1:80" ht="11.5">
      <c r="A226" s="472"/>
      <c r="B226" s="1926"/>
      <c r="C226" s="1926"/>
      <c r="D226" s="1926"/>
      <c r="E226" s="1926"/>
      <c r="F226" s="1926"/>
      <c r="G226" s="1926"/>
      <c r="H226" s="1926"/>
      <c r="I226" s="1926"/>
      <c r="J226" s="1926"/>
      <c r="K226" s="1926"/>
      <c r="L226" s="1926"/>
      <c r="M226" s="1926"/>
      <c r="N226" s="1926"/>
      <c r="O226" s="1926"/>
      <c r="P226" s="1926"/>
      <c r="Q226" s="1926"/>
      <c r="R226" s="1926"/>
      <c r="S226" s="1926"/>
      <c r="T226" s="1926"/>
      <c r="U226" s="1926"/>
      <c r="V226" s="1926"/>
      <c r="W226" s="1926"/>
      <c r="X226" s="1926"/>
      <c r="Y226" s="1926"/>
      <c r="Z226" s="1926"/>
      <c r="AA226" s="1926"/>
      <c r="AB226" s="1926"/>
      <c r="AC226" s="977">
        <f t="shared" si="68"/>
        <v>44747.833333333328</v>
      </c>
      <c r="AD226" s="1610" t="str">
        <f>IF(AND(HOUR(AC226)=HOUR(Worksheet!AF$68),DAY(AC226)=DAY(Worksheet!AF$68)),"START","")</f>
        <v/>
      </c>
      <c r="AE226" s="1149" t="str">
        <f>IF(AND(HOUR(AC226)=HOUR($F$186),DAY(AC226)=DAY($F$186)),(MID($B$189,6,3))*1,IF(AND(ISNUMBER(AE225),AC226&lt;$F$186+1+(1/25)),(MID($B$189,6+(3*COUNT($AE$207:AE225)),3))*1,""))</f>
        <v/>
      </c>
      <c r="AF226" s="1164">
        <f t="shared" si="49"/>
        <v>95.348000000000013</v>
      </c>
      <c r="AG226" s="1150">
        <f t="shared" si="50"/>
        <v>93.2</v>
      </c>
      <c r="AH226" s="1163" t="str">
        <f>IF(AND(ISNUMBER(AH225),AC226&lt;$F$186+26/25),(MID($B$190,6+(3*COUNT($AH$207:AH225)),3))*1,IF(AND(HOUR(AC226)=HOUR($F$186),DAY(AC226)=DAY($F$186)),(MID($B$190,6,3))*1,""))</f>
        <v/>
      </c>
      <c r="AI226" s="1901" t="str">
        <f t="shared" si="74"/>
        <v/>
      </c>
      <c r="AJ226" s="1164">
        <f t="shared" si="52"/>
        <v>74.185999999999979</v>
      </c>
      <c r="AK226" s="1150">
        <f t="shared" si="53"/>
        <v>69.800000000000011</v>
      </c>
      <c r="AL226" s="1152">
        <f t="shared" si="39"/>
        <v>29.946666666666669</v>
      </c>
      <c r="AM226" s="1153">
        <f t="shared" si="54"/>
        <v>29.93</v>
      </c>
      <c r="AN226" s="1147"/>
      <c r="AO226" s="976" t="str">
        <f>IF(BA226="Y",AP226,IF(AND(ISNUMBER(AO225),AC226&lt;$F$186+26/25),(MID(INDEX($A$187:$B$210,MATCH("CIG",$A$187:$A$210,0),2),8+(3*COUNT($AO$207:AO225)),1))*1,IF(AND(HOUR(AC226)=HOUR($F$186),DAY(AC226)=DAY($F$186)),(MID(INDEX($A$187:$B$210,MATCH("CIG",$A$187:$A$210,0),2),8,1))*1,"")))</f>
        <v/>
      </c>
      <c r="AP226" s="1061" t="str">
        <f>IF(AND(ISNUMBER(AP225),AC226&lt;$F$186+26/25),(MID(INDEX($A$187:$B$210,MATCH("CCG",$A$187:$A$210,0),2),8+(3*COUNT($AP$207:AP225)),1))*1,IF(AND(HOUR(AC226)=HOUR($F$186),DAY(AC226)=DAY($F$186)),(MID(INDEX($A$187:$B$210,MATCH("CCG",$A$187:$A$210,0),2),8,1))*1,""))</f>
        <v/>
      </c>
      <c r="AQ226" s="1061" t="str">
        <f>IF(AND(AQ225&lt;&gt;"",AC226&lt;$F$186+26/25),MID(INDEX($A$187:$B$210,MATCH("CLD",$A$187:$A$210,0),2),7+(3*SUM(COUNTIF($AQ$207:AQ225,"OV"),COUNTIF($AQ$207:AQ225,"BK"),COUNTIF($AQ$207:AQ225,"SC"),COUNTIF($AQ$207:AQ225,"FW"),COUNTIF($AQ$207:AQ225,"CL"))),2),IF(AND(HOUR(AC226)=HOUR($F$186),DAY(AC226)=DAY($F$186)),MID(INDEX($A$187:$B$210,MATCH("CLD",$A$187:$A$210,0),2),7,2),""))</f>
        <v/>
      </c>
      <c r="AR226" s="1149">
        <f t="shared" si="55"/>
        <v>8</v>
      </c>
      <c r="AS226" s="1150" t="str">
        <f t="shared" si="56"/>
        <v>BK</v>
      </c>
      <c r="AT226" s="112" t="str">
        <f t="shared" si="57"/>
        <v/>
      </c>
      <c r="AU226" s="1610" t="str">
        <f t="shared" si="58"/>
        <v/>
      </c>
      <c r="AV226" s="1148">
        <f t="shared" si="59"/>
        <v>40</v>
      </c>
      <c r="AW226" s="920" t="str">
        <f t="shared" si="60"/>
        <v>SCT</v>
      </c>
      <c r="AX226" s="1608">
        <f t="shared" si="61"/>
        <v>40</v>
      </c>
      <c r="AY226" s="112" t="str">
        <f>IF(BA226="Y",AZ226,IF(AND(ISNUMBER(AY225),AC226&lt;$F$186+26/25),(MID(INDEX($A$187:$B$210,MATCH("VIS",$A$187:$A$210,0),2),8+(3*COUNT($AY$207:AY225)),1))*1,IF(AND(HOUR(AC226)=HOUR($F$186),DAY(AC226)=DAY($F$186)),(MID(INDEX($A$187:$B$210,MATCH("VIS",$A$187:$A$210,0),2),8,1))*1,"")))</f>
        <v/>
      </c>
      <c r="AZ226" s="112" t="str">
        <f>IF(AND(ISNUMBER(AZ225),AC226&lt;$F$186+26/25),(MID(INDEX($A$187:$B$210,MATCH("CVS",$A$187:$A$210,0),2),8+(3*COUNT($AZ$207:AZ225)),1))*1,IF(AND(HOUR(AC226)=HOUR($F$186),DAY(AC226)=DAY($F$186)),(MID(INDEX($A$187:$B$210,MATCH("CVS",$A$187:$A$210,0),2),8,1))*1,""))</f>
        <v/>
      </c>
      <c r="BA226" s="1610" t="str">
        <f>IF(AND(BA225&lt;&gt;"",AC226&lt;$F$186+26/25),MID(INDEX($A$187:$B$210,MATCH("PCO",$A$187:$A$210,0),2),8+(3*SUM(COUNTIF($BA$207:BA225,"Y"),COUNTIF($BA$207:BA225,"N"))),1),IF(AND(HOUR(AC226)=HOUR($F$186),DAY(AC226)=DAY($F$186)),MID(INDEX($A$187:$B$210,MATCH("PCO",$A$187:$A$210,0),2),8,1),""))</f>
        <v/>
      </c>
      <c r="BB226" s="1610" t="str">
        <f>IF(AND(BB225&lt;&gt;"",AC226&lt;$F$186+26/25),MID(INDEX($A$187:$B$210,MATCH("TYP",$A$187:$A$210,0),2),8+(3*SUM(COUNTIF($BB$207:BB225,"S"),COUNTIF($BB$207:BB225,"Z"), COUNTIF($BB$207:BB225,"R"),COUNTIF($BB$207:BB225,"X"))),1),IF(AND(HOUR(AC226)=HOUR($F$186),DAY(AC226)=DAY($F$186)),MID(INDEX($A$187:$B$210,MATCH("TYP",$A$187:$A$210,0),2),8,1),""))</f>
        <v/>
      </c>
      <c r="BC226" s="112" t="str">
        <f>IF(AND(LEN(BC225)=2,AC226&lt;$F$186+26/25),MID(INDEX($A$187:$B$211,MATCH("OBV",$A$187:$A$211,0),2),7+(3*SUM(COUNTIF($BC$207:BC225," N"),COUNTIF($BC$207:BC225,"HZ"),COUNTIF($BC$207:BC225,"BR"),COUNTIF($BC$207:BC225,"FG"),COUNTIF($BC$207:BC225,"BL"))),2),IF(AND(HOUR(AC226)=HOUR($F$186),DAY(AC226)=DAY($F$186)),MID(INDEX($A$187:$B$211,MATCH("OBV",$A$187:$A$211,0),2),7,2),""))</f>
        <v/>
      </c>
      <c r="BD226" s="112"/>
      <c r="BE226" s="112"/>
      <c r="BF226" s="112"/>
      <c r="BG226" s="1610" t="str">
        <f t="shared" si="40"/>
        <v/>
      </c>
      <c r="BH226" s="115">
        <f t="shared" si="62"/>
        <v>7</v>
      </c>
      <c r="BI226" s="200" t="str">
        <f t="shared" si="76"/>
        <v/>
      </c>
      <c r="BJ226" s="62" t="str">
        <f t="shared" si="75"/>
        <v/>
      </c>
      <c r="BK226" s="1145">
        <f t="shared" si="69"/>
        <v>10</v>
      </c>
      <c r="BL226" s="62" t="str">
        <f t="shared" si="77"/>
        <v/>
      </c>
      <c r="BM226" s="1145">
        <f t="shared" si="73"/>
        <v>24</v>
      </c>
      <c r="BN226" s="1901" t="str">
        <f t="shared" si="44"/>
        <v xml:space="preserve"> N</v>
      </c>
      <c r="BO226" s="1144" t="e">
        <f t="shared" si="78"/>
        <v>#N/A</v>
      </c>
      <c r="BP226" s="106" t="str">
        <f t="shared" si="70"/>
        <v/>
      </c>
      <c r="BQ226" s="66" t="str">
        <f t="shared" si="79"/>
        <v/>
      </c>
      <c r="BR226" s="106" t="str">
        <f t="shared" si="80"/>
        <v/>
      </c>
      <c r="BS226" s="834">
        <f t="shared" si="71"/>
        <v>26</v>
      </c>
      <c r="BT226" s="106" t="str">
        <f t="shared" si="81"/>
        <v/>
      </c>
      <c r="BU226" s="834">
        <f t="shared" si="63"/>
        <v>38</v>
      </c>
      <c r="BV226" s="66" t="str">
        <f t="shared" si="64"/>
        <v/>
      </c>
      <c r="BW226" s="66" t="str">
        <f t="shared" si="65"/>
        <v/>
      </c>
      <c r="BX226" s="1198">
        <f t="shared" si="72"/>
        <v>7</v>
      </c>
      <c r="BY226" s="1146" t="str">
        <f t="shared" si="66"/>
        <v>NSW</v>
      </c>
      <c r="CA226" s="3675">
        <f t="shared" si="67"/>
        <v>44747.833333333328</v>
      </c>
      <c r="CB226" s="3675"/>
    </row>
    <row r="227" spans="1:80" ht="11.5">
      <c r="A227" s="472"/>
      <c r="B227" s="1926"/>
      <c r="C227" s="1926"/>
      <c r="D227" s="1926"/>
      <c r="E227" s="1926"/>
      <c r="F227" s="1926"/>
      <c r="G227" s="1926"/>
      <c r="H227" s="1926"/>
      <c r="I227" s="1926"/>
      <c r="J227" s="1926"/>
      <c r="K227" s="1926"/>
      <c r="L227" s="1926"/>
      <c r="M227" s="1926"/>
      <c r="N227" s="1926"/>
      <c r="O227" s="1926"/>
      <c r="P227" s="1926"/>
      <c r="Q227" s="1926"/>
      <c r="R227" s="1926"/>
      <c r="S227" s="1926"/>
      <c r="T227" s="1926"/>
      <c r="U227" s="1926"/>
      <c r="V227" s="1926"/>
      <c r="W227" s="1926"/>
      <c r="X227" s="1926"/>
      <c r="Y227" s="1926"/>
      <c r="Z227" s="1926"/>
      <c r="AA227" s="1926"/>
      <c r="AB227" s="1926"/>
      <c r="AC227" s="977">
        <f t="shared" si="68"/>
        <v>44747.875</v>
      </c>
      <c r="AD227" s="1610" t="str">
        <f>IF(AND(HOUR(AC227)=HOUR(Worksheet!AF$68),DAY(AC227)=DAY(Worksheet!AF$68)),"START","")</f>
        <v/>
      </c>
      <c r="AE227" s="1149" t="str">
        <f>IF(AND(HOUR(AC227)=HOUR($F$186),DAY(AC227)=DAY($F$186)),(MID($B$189,6,3))*1,IF(AND(ISNUMBER(AE226),AC227&lt;$F$186+1+(1/25)),(MID($B$189,6+(3*COUNT($AE$207:AE226)),3))*1,""))</f>
        <v/>
      </c>
      <c r="AF227" s="1164">
        <f t="shared" si="49"/>
        <v>95.108000000000004</v>
      </c>
      <c r="AG227" s="1150">
        <f t="shared" si="50"/>
        <v>93.2</v>
      </c>
      <c r="AH227" s="1163" t="str">
        <f>IF(AND(ISNUMBER(AH226),AC227&lt;$F$186+26/25),(MID($B$190,6+(3*COUNT($AH$207:AH226)),3))*1,IF(AND(HOUR(AC227)=HOUR($F$186),DAY(AC227)=DAY($F$186)),(MID($B$190,6,3))*1,""))</f>
        <v/>
      </c>
      <c r="AI227" s="1901" t="str">
        <f t="shared" si="74"/>
        <v/>
      </c>
      <c r="AJ227" s="1164">
        <f t="shared" si="52"/>
        <v>73.579999999999984</v>
      </c>
      <c r="AK227" s="1150">
        <f t="shared" si="53"/>
        <v>69.800000000000011</v>
      </c>
      <c r="AL227" s="1152">
        <f t="shared" si="39"/>
        <v>29.92</v>
      </c>
      <c r="AM227" s="1153">
        <f t="shared" si="54"/>
        <v>29.92</v>
      </c>
      <c r="AN227" s="1147"/>
      <c r="AO227" s="976" t="str">
        <f>IF(BA227="Y",AP227,IF(AND(ISNUMBER(AO226),AC227&lt;$F$186+26/25),(MID(INDEX($A$187:$B$210,MATCH("CIG",$A$187:$A$210,0),2),8+(3*COUNT($AO$207:AO226)),1))*1,IF(AND(HOUR(AC227)=HOUR($F$186),DAY(AC227)=DAY($F$186)),(MID(INDEX($A$187:$B$210,MATCH("CIG",$A$187:$A$210,0),2),8,1))*1,"")))</f>
        <v/>
      </c>
      <c r="AP227" s="1061" t="str">
        <f>IF(AND(ISNUMBER(AP226),AC227&lt;$F$186+26/25),(MID(INDEX($A$187:$B$210,MATCH("CCG",$A$187:$A$210,0),2),8+(3*COUNT($AP$207:AP226)),1))*1,IF(AND(HOUR(AC227)=HOUR($F$186),DAY(AC227)=DAY($F$186)),(MID(INDEX($A$187:$B$210,MATCH("CCG",$A$187:$A$210,0),2),8,1))*1,""))</f>
        <v/>
      </c>
      <c r="AQ227" s="1061" t="str">
        <f>IF(AND(AQ226&lt;&gt;"",AC227&lt;$F$186+26/25),MID(INDEX($A$187:$B$210,MATCH("CLD",$A$187:$A$210,0),2),7+(3*SUM(COUNTIF($AQ$207:AQ226,"OV"),COUNTIF($AQ$207:AQ226,"BK"),COUNTIF($AQ$207:AQ226,"SC"),COUNTIF($AQ$207:AQ226,"FW"),COUNTIF($AQ$207:AQ226,"CL"))),2),IF(AND(HOUR(AC227)=HOUR($F$186),DAY(AC227)=DAY($F$186)),MID(INDEX($A$187:$B$210,MATCH("CLD",$A$187:$A$210,0),2),7,2),""))</f>
        <v/>
      </c>
      <c r="AR227" s="1149">
        <f t="shared" si="55"/>
        <v>8</v>
      </c>
      <c r="AS227" s="1150" t="str">
        <f t="shared" si="56"/>
        <v>BK</v>
      </c>
      <c r="AT227" s="112" t="str">
        <f t="shared" si="57"/>
        <v/>
      </c>
      <c r="AU227" s="1610" t="str">
        <f t="shared" si="58"/>
        <v/>
      </c>
      <c r="AV227" s="1148">
        <f t="shared" si="59"/>
        <v>40</v>
      </c>
      <c r="AW227" s="920" t="str">
        <f t="shared" si="60"/>
        <v>SCT</v>
      </c>
      <c r="AX227" s="1608">
        <f t="shared" si="61"/>
        <v>40</v>
      </c>
      <c r="AY227" s="112" t="str">
        <f>IF(BA227="Y",AZ227,IF(AND(ISNUMBER(AY226),AC227&lt;$F$186+26/25),(MID(INDEX($A$187:$B$210,MATCH("VIS",$A$187:$A$210,0),2),8+(3*COUNT($AY$207:AY226)),1))*1,IF(AND(HOUR(AC227)=HOUR($F$186),DAY(AC227)=DAY($F$186)),(MID(INDEX($A$187:$B$210,MATCH("VIS",$A$187:$A$210,0),2),8,1))*1,"")))</f>
        <v/>
      </c>
      <c r="AZ227" s="112" t="str">
        <f>IF(AND(ISNUMBER(AZ226),AC227&lt;$F$186+26/25),(MID(INDEX($A$187:$B$210,MATCH("CVS",$A$187:$A$210,0),2),8+(3*COUNT($AZ$207:AZ226)),1))*1,IF(AND(HOUR(AC227)=HOUR($F$186),DAY(AC227)=DAY($F$186)),(MID(INDEX($A$187:$B$210,MATCH("CVS",$A$187:$A$210,0),2),8,1))*1,""))</f>
        <v/>
      </c>
      <c r="BA227" s="1610" t="str">
        <f>IF(AND(BA226&lt;&gt;"",AC227&lt;$F$186+26/25),MID(INDEX($A$187:$B$210,MATCH("PCO",$A$187:$A$210,0),2),8+(3*SUM(COUNTIF($BA$207:BA226,"Y"),COUNTIF($BA$207:BA226,"N"))),1),IF(AND(HOUR(AC227)=HOUR($F$186),DAY(AC227)=DAY($F$186)),MID(INDEX($A$187:$B$210,MATCH("PCO",$A$187:$A$210,0),2),8,1),""))</f>
        <v/>
      </c>
      <c r="BB227" s="1610" t="str">
        <f>IF(AND(BB226&lt;&gt;"",AC227&lt;$F$186+26/25),MID(INDEX($A$187:$B$210,MATCH("TYP",$A$187:$A$210,0),2),8+(3*SUM(COUNTIF($BB$207:BB226,"S"),COUNTIF($BB$207:BB226,"Z"), COUNTIF($BB$207:BB226,"R"),COUNTIF($BB$207:BB226,"X"))),1),IF(AND(HOUR(AC227)=HOUR($F$186),DAY(AC227)=DAY($F$186)),MID(INDEX($A$187:$B$210,MATCH("TYP",$A$187:$A$210,0),2),8,1),""))</f>
        <v/>
      </c>
      <c r="BC227" s="112" t="str">
        <f>IF(AND(LEN(BC226)=2,AC227&lt;$F$186+26/25),MID(INDEX($A$187:$B$211,MATCH("OBV",$A$187:$A$211,0),2),7+(3*SUM(COUNTIF($BC$207:BC226," N"),COUNTIF($BC$207:BC226,"HZ"),COUNTIF($BC$207:BC226,"BR"),COUNTIF($BC$207:BC226,"FG"),COUNTIF($BC$207:BC226,"BL"))),2),IF(AND(HOUR(AC227)=HOUR($F$186),DAY(AC227)=DAY($F$186)),MID(INDEX($A$187:$B$211,MATCH("OBV",$A$187:$A$211,0),2),7,2),""))</f>
        <v/>
      </c>
      <c r="BD227" s="112"/>
      <c r="BE227" s="112"/>
      <c r="BF227" s="112"/>
      <c r="BG227" s="1610" t="str">
        <f t="shared" si="40"/>
        <v/>
      </c>
      <c r="BH227" s="115">
        <f t="shared" si="62"/>
        <v>7</v>
      </c>
      <c r="BI227" s="200" t="str">
        <f t="shared" si="76"/>
        <v/>
      </c>
      <c r="BJ227" s="62" t="str">
        <f t="shared" si="75"/>
        <v/>
      </c>
      <c r="BK227" s="1145">
        <f t="shared" si="69"/>
        <v>10</v>
      </c>
      <c r="BL227" s="62" t="str">
        <f t="shared" si="77"/>
        <v/>
      </c>
      <c r="BM227" s="1145">
        <f t="shared" si="73"/>
        <v>24</v>
      </c>
      <c r="BN227" s="1901" t="str">
        <f t="shared" si="44"/>
        <v xml:space="preserve"> N</v>
      </c>
      <c r="BO227" s="1144" t="e">
        <f t="shared" si="78"/>
        <v>#N/A</v>
      </c>
      <c r="BP227" s="106" t="str">
        <f t="shared" si="70"/>
        <v/>
      </c>
      <c r="BQ227" s="66" t="str">
        <f t="shared" si="79"/>
        <v/>
      </c>
      <c r="BR227" s="106" t="str">
        <f t="shared" si="80"/>
        <v/>
      </c>
      <c r="BS227" s="834">
        <f t="shared" si="71"/>
        <v>26</v>
      </c>
      <c r="BT227" s="106" t="str">
        <f t="shared" si="81"/>
        <v/>
      </c>
      <c r="BU227" s="834">
        <f t="shared" si="63"/>
        <v>38</v>
      </c>
      <c r="BV227" s="66" t="str">
        <f t="shared" si="64"/>
        <v/>
      </c>
      <c r="BW227" s="66" t="str">
        <f t="shared" si="65"/>
        <v/>
      </c>
      <c r="BX227" s="1198">
        <f t="shared" si="72"/>
        <v>7</v>
      </c>
      <c r="BY227" s="1146" t="str">
        <f t="shared" si="66"/>
        <v>NSW</v>
      </c>
      <c r="CA227" s="3675">
        <f t="shared" si="67"/>
        <v>44747.875</v>
      </c>
      <c r="CB227" s="3675"/>
    </row>
    <row r="228" spans="1:80"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  <c r="W228" s="476"/>
      <c r="X228" s="476"/>
      <c r="Y228" s="476"/>
      <c r="Z228" s="476"/>
      <c r="AA228" s="476"/>
      <c r="AB228" s="476"/>
      <c r="AC228" s="977">
        <f t="shared" si="68"/>
        <v>44747.916666666664</v>
      </c>
      <c r="AD228" s="1610" t="str">
        <f>IF(AND(HOUR(AC228)=HOUR(Worksheet!AF$68),DAY(AC228)=DAY(Worksheet!AF$68)),"START","")</f>
        <v/>
      </c>
      <c r="AE228" s="1149" t="str">
        <f>IF(AND(HOUR(AC228)=HOUR($F$186),DAY(AC228)=DAY($F$186)),(MID($B$189,6,3))*1,IF(AND(ISNUMBER(AE227),AC228&lt;$F$186+1+(1/25)),(MID($B$189,6+(3*COUNT($AE$207:AE227)),3))*1,""))</f>
        <v/>
      </c>
      <c r="AF228" s="1164">
        <f>IF(AC228&lt;($AE$197-0.001),"",IF(MOD(HOUR(AC228),3)=0,(MID($B$219,3+ROUND((9*((AC228-$AE$197)*8)),1),6)*1)*1.8-459.67,IF(MOD(HOUR(AC228),3)=1,(AF230-AF227)/3+AF227,(2*(AF229-AF226)/3)+AF226)))</f>
        <v>94.028000000000006</v>
      </c>
      <c r="AG228" s="1150">
        <f t="shared" si="50"/>
        <v>93.2</v>
      </c>
      <c r="AH228" s="1163" t="str">
        <f>IF(AND(ISNUMBER(AH227),AC228&lt;$F$186+26/25),(MID($B$190,6+(3*COUNT($AH$207:AH227)),3))*1,IF(AND(HOUR(AC228)=HOUR($F$186),DAY(AC228)=DAY($F$186)),(MID($B$190,6,3))*1,""))</f>
        <v/>
      </c>
      <c r="AI228" s="1901" t="str">
        <f t="shared" si="74"/>
        <v/>
      </c>
      <c r="AJ228" s="1164">
        <f t="shared" si="52"/>
        <v>73.795999999999992</v>
      </c>
      <c r="AK228" s="1150">
        <f t="shared" si="53"/>
        <v>69.800000000000011</v>
      </c>
      <c r="AL228" s="1152">
        <f t="shared" si="39"/>
        <v>29.913333333333334</v>
      </c>
      <c r="AM228" s="1153">
        <f t="shared" si="54"/>
        <v>29.92</v>
      </c>
      <c r="AN228" s="1147"/>
      <c r="AO228" s="976" t="str">
        <f>IF(BA228="Y",AP228,IF(AND(ISNUMBER(AO227),AC228&lt;$F$186+26/25),(MID(INDEX($A$187:$B$210,MATCH("CIG",$A$187:$A$210,0),2),8+(3*COUNT($AO$207:AO227)),1))*1,IF(AND(HOUR(AC228)=HOUR($F$186),DAY(AC228)=DAY($F$186)),(MID(INDEX($A$187:$B$210,MATCH("CIG",$A$187:$A$210,0),2),8,1))*1,"")))</f>
        <v/>
      </c>
      <c r="AP228" s="1061" t="str">
        <f>IF(AND(ISNUMBER(AP227),AC228&lt;$F$186+26/25),(MID(INDEX($A$187:$B$210,MATCH("CCG",$A$187:$A$210,0),2),8+(3*COUNT($AP$207:AP227)),1))*1,IF(AND(HOUR(AC228)=HOUR($F$186),DAY(AC228)=DAY($F$186)),(MID(INDEX($A$187:$B$210,MATCH("CCG",$A$187:$A$210,0),2),8,1))*1,""))</f>
        <v/>
      </c>
      <c r="AQ228" s="1061" t="str">
        <f>IF(AND(AQ227&lt;&gt;"",AC228&lt;$F$186+26/25),MID(INDEX($A$187:$B$210,MATCH("CLD",$A$187:$A$210,0),2),7+(3*SUM(COUNTIF($AQ$207:AQ227,"OV"),COUNTIF($AQ$207:AQ227,"BK"),COUNTIF($AQ$207:AQ227,"SC"),COUNTIF($AQ$207:AQ227,"FW"),COUNTIF($AQ$207:AQ227,"CL"))),2),IF(AND(HOUR(AC228)=HOUR($F$186),DAY(AC228)=DAY($F$186)),MID(INDEX($A$187:$B$210,MATCH("CLD",$A$187:$A$210,0),2),7,2),""))</f>
        <v/>
      </c>
      <c r="AR228" s="1149">
        <f t="shared" si="55"/>
        <v>8</v>
      </c>
      <c r="AS228" s="1150" t="str">
        <f t="shared" si="56"/>
        <v>BK</v>
      </c>
      <c r="AT228" s="112" t="str">
        <f t="shared" si="57"/>
        <v/>
      </c>
      <c r="AU228" s="1610" t="str">
        <f t="shared" si="58"/>
        <v/>
      </c>
      <c r="AV228" s="1148">
        <f t="shared" si="59"/>
        <v>70</v>
      </c>
      <c r="AW228" s="920" t="str">
        <f t="shared" si="60"/>
        <v>BKN</v>
      </c>
      <c r="AX228" s="1608">
        <f t="shared" si="61"/>
        <v>250</v>
      </c>
      <c r="AY228" s="112" t="str">
        <f>IF(BA228="Y",AZ228,IF(AND(ISNUMBER(AY227),AC228&lt;$F$186+26/25),(MID(INDEX($A$187:$B$210,MATCH("VIS",$A$187:$A$210,0),2),8+(3*COUNT($AY$207:AY227)),1))*1,IF(AND(HOUR(AC228)=HOUR($F$186),DAY(AC228)=DAY($F$186)),(MID(INDEX($A$187:$B$210,MATCH("VIS",$A$187:$A$210,0),2),8,1))*1,"")))</f>
        <v/>
      </c>
      <c r="AZ228" s="112" t="str">
        <f>IF(AND(ISNUMBER(AZ227),AC228&lt;$F$186+26/25),(MID(INDEX($A$187:$B$210,MATCH("CVS",$A$187:$A$210,0),2),8+(3*COUNT($AZ$207:AZ227)),1))*1,IF(AND(HOUR(AC228)=HOUR($F$186),DAY(AC228)=DAY($F$186)),(MID(INDEX($A$187:$B$210,MATCH("CVS",$A$187:$A$210,0),2),8,1))*1,""))</f>
        <v/>
      </c>
      <c r="BA228" s="1610" t="str">
        <f>IF(AND(BA227&lt;&gt;"",AC228&lt;$F$186+26/25),MID(INDEX($A$187:$B$210,MATCH("PCO",$A$187:$A$210,0),2),8+(3*SUM(COUNTIF($BA$207:BA227,"Y"),COUNTIF($BA$207:BA227,"N"))),1),IF(AND(HOUR(AC228)=HOUR($F$186),DAY(AC228)=DAY($F$186)),MID(INDEX($A$187:$B$210,MATCH("PCO",$A$187:$A$210,0),2),8,1),""))</f>
        <v/>
      </c>
      <c r="BB228" s="1610" t="str">
        <f>IF(AND(BB227&lt;&gt;"",AC228&lt;$F$186+26/25),MID(INDEX($A$187:$B$210,MATCH("TYP",$A$187:$A$210,0),2),8+(3*SUM(COUNTIF($BB$207:BB227,"S"),COUNTIF($BB$207:BB227,"Z"), COUNTIF($BB$207:BB227,"R"),COUNTIF($BB$207:BB227,"X"))),1),IF(AND(HOUR(AC228)=HOUR($F$186),DAY(AC228)=DAY($F$186)),MID(INDEX($A$187:$B$210,MATCH("TYP",$A$187:$A$210,0),2),8,1),""))</f>
        <v/>
      </c>
      <c r="BC228" s="112" t="str">
        <f>IF(AND(LEN(BC227)=2,AC228&lt;$F$186+26/25),MID(INDEX($A$187:$B$211,MATCH("OBV",$A$187:$A$211,0),2),7+(3*SUM(COUNTIF($BC$207:BC227," N"),COUNTIF($BC$207:BC227,"HZ"),COUNTIF($BC$207:BC227,"BR"),COUNTIF($BC$207:BC227,"FG"),COUNTIF($BC$207:BC227,"BL"))),2),IF(AND(HOUR(AC228)=HOUR($F$186),DAY(AC228)=DAY($F$186)),MID(INDEX($A$187:$B$211,MATCH("OBV",$A$187:$A$211,0),2),7,2),""))</f>
        <v/>
      </c>
      <c r="BD228" s="112"/>
      <c r="BE228" s="112"/>
      <c r="BF228" s="112"/>
      <c r="BG228" s="1610" t="str">
        <f t="shared" si="40"/>
        <v/>
      </c>
      <c r="BH228" s="115">
        <f t="shared" si="62"/>
        <v>7</v>
      </c>
      <c r="BI228" s="200" t="str">
        <f t="shared" si="76"/>
        <v/>
      </c>
      <c r="BJ228" s="62" t="str">
        <f t="shared" si="75"/>
        <v/>
      </c>
      <c r="BK228" s="1145">
        <f t="shared" si="69"/>
        <v>10</v>
      </c>
      <c r="BL228" s="62" t="str">
        <f t="shared" si="77"/>
        <v/>
      </c>
      <c r="BM228" s="1145">
        <f t="shared" si="73"/>
        <v>24</v>
      </c>
      <c r="BN228" s="1901" t="str">
        <f t="shared" si="44"/>
        <v xml:space="preserve"> N</v>
      </c>
      <c r="BO228" s="1144" t="e">
        <f t="shared" si="78"/>
        <v>#N/A</v>
      </c>
      <c r="BP228" s="106" t="str">
        <f t="shared" si="70"/>
        <v/>
      </c>
      <c r="BQ228" s="66" t="str">
        <f t="shared" si="79"/>
        <v/>
      </c>
      <c r="BR228" s="106" t="str">
        <f t="shared" si="80"/>
        <v/>
      </c>
      <c r="BS228" s="834">
        <f t="shared" si="71"/>
        <v>26</v>
      </c>
      <c r="BT228" s="106" t="str">
        <f t="shared" si="81"/>
        <v/>
      </c>
      <c r="BU228" s="834">
        <f t="shared" si="63"/>
        <v>38</v>
      </c>
      <c r="BV228" s="66" t="str">
        <f t="shared" si="64"/>
        <v/>
      </c>
      <c r="BW228" s="66" t="str">
        <f t="shared" si="65"/>
        <v/>
      </c>
      <c r="BX228" s="1198">
        <f t="shared" si="72"/>
        <v>7</v>
      </c>
      <c r="BY228" s="1146" t="str">
        <f t="shared" si="66"/>
        <v>NSW</v>
      </c>
      <c r="CA228" s="3675">
        <f t="shared" si="67"/>
        <v>44747.916666666664</v>
      </c>
      <c r="CB228" s="3675"/>
    </row>
    <row r="229" spans="1:80" ht="11.5">
      <c r="A229" s="472"/>
      <c r="B229" s="1926"/>
      <c r="C229" s="1926"/>
      <c r="D229" s="1926"/>
      <c r="E229" s="1926"/>
      <c r="F229" s="1926"/>
      <c r="G229" s="1926"/>
      <c r="H229" s="1926"/>
      <c r="I229" s="1926"/>
      <c r="J229" s="1926"/>
      <c r="K229" s="1926"/>
      <c r="L229" s="1926"/>
      <c r="M229" s="1926"/>
      <c r="N229" s="1926"/>
      <c r="O229" s="1926"/>
      <c r="P229" s="1926"/>
      <c r="Q229" s="1926"/>
      <c r="R229" s="1926"/>
      <c r="S229" s="1926"/>
      <c r="T229" s="1926"/>
      <c r="U229" s="1926"/>
      <c r="V229" s="1926"/>
      <c r="W229" s="1926"/>
      <c r="X229" s="1926"/>
      <c r="Y229" s="1926"/>
      <c r="Z229" s="1926"/>
      <c r="AA229" s="1926"/>
      <c r="AB229" s="1926"/>
      <c r="AC229" s="977">
        <f t="shared" si="68"/>
        <v>44747.958333333328</v>
      </c>
      <c r="AD229" s="1610" t="str">
        <f>IF(AND(HOUR(AC229)=HOUR(Worksheet!AF$68),DAY(AC229)=DAY(Worksheet!AF$68)),"START","")</f>
        <v/>
      </c>
      <c r="AE229" s="1149" t="str">
        <f>IF(AND(HOUR(AC229)=HOUR($F$186),DAY(AC229)=DAY($F$186)),(MID($B$189,6,3))*1,IF(AND(ISNUMBER(AE228),AC229&lt;$F$186+1+(1/25)),(MID($B$189,6+(3*COUNT($AE$207:AE228)),3))*1,""))</f>
        <v/>
      </c>
      <c r="AF229" s="1164">
        <f>IF(AC229&lt;($AE$197-0.001),"",IF(MOD(HOUR(AC229),3)=0,(MID($B$219,3+ROUND((9*((AC229-$AE$197)*8)),1),6)*1)*1.8-459.67,IF(MOD(HOUR(AC229),3)=1,(AF231-AF228)/3+AF228,(2*(AF230-AF227)/3)+AF227)))</f>
        <v>92.947999999999993</v>
      </c>
      <c r="AG229" s="1150">
        <f t="shared" si="50"/>
        <v>91.4</v>
      </c>
      <c r="AH229" s="1163" t="str">
        <f>IF(AND(ISNUMBER(AH228),AC229&lt;$F$186+26/25),(MID($B$190,6+(3*COUNT($AH$207:AH228)),3))*1,IF(AND(HOUR(AC229)=HOUR($F$186),DAY(AC229)=DAY($F$186)),(MID($B$190,6,3))*1,""))</f>
        <v/>
      </c>
      <c r="AI229" s="1901" t="str">
        <f t="shared" si="74"/>
        <v/>
      </c>
      <c r="AJ229" s="1164">
        <f t="shared" si="52"/>
        <v>74.012</v>
      </c>
      <c r="AK229" s="1150">
        <f t="shared" si="53"/>
        <v>71.599999999999994</v>
      </c>
      <c r="AL229" s="1152">
        <f t="shared" si="39"/>
        <v>29.906666666666666</v>
      </c>
      <c r="AM229" s="1153">
        <f t="shared" si="54"/>
        <v>29.92</v>
      </c>
      <c r="AN229" s="1147"/>
      <c r="AO229" s="976" t="str">
        <f>IF(BA229="Y",AP229,IF(AND(ISNUMBER(AO228),AC229&lt;$F$186+26/25),(MID(INDEX($A$187:$B$210,MATCH("CIG",$A$187:$A$210,0),2),8+(3*COUNT($AO$207:AO228)),1))*1,IF(AND(HOUR(AC229)=HOUR($F$186),DAY(AC229)=DAY($F$186)),(MID(INDEX($A$187:$B$210,MATCH("CIG",$A$187:$A$210,0),2),8,1))*1,"")))</f>
        <v/>
      </c>
      <c r="AP229" s="1061" t="str">
        <f>IF(AND(ISNUMBER(AP228),AC229&lt;$F$186+26/25),(MID(INDEX($A$187:$B$210,MATCH("CCG",$A$187:$A$210,0),2),8+(3*COUNT($AP$207:AP228)),1))*1,IF(AND(HOUR(AC229)=HOUR($F$186),DAY(AC229)=DAY($F$186)),(MID(INDEX($A$187:$B$210,MATCH("CCG",$A$187:$A$210,0),2),8,1))*1,""))</f>
        <v/>
      </c>
      <c r="AQ229" s="1061" t="str">
        <f>IF(AND(AQ228&lt;&gt;"",AC229&lt;$F$186+26/25),MID(INDEX($A$187:$B$210,MATCH("CLD",$A$187:$A$210,0),2),7+(3*SUM(COUNTIF($AQ$207:AQ228,"OV"),COUNTIF($AQ$207:AQ228,"BK"),COUNTIF($AQ$207:AQ228,"SC"),COUNTIF($AQ$207:AQ228,"FW"),COUNTIF($AQ$207:AQ228,"CL"))),2),IF(AND(HOUR(AC229)=HOUR($F$186),DAY(AC229)=DAY($F$186)),MID(INDEX($A$187:$B$210,MATCH("CLD",$A$187:$A$210,0),2),7,2),""))</f>
        <v/>
      </c>
      <c r="AR229" s="1149">
        <f t="shared" si="55"/>
        <v>8</v>
      </c>
      <c r="AS229" s="1150" t="str">
        <f t="shared" si="56"/>
        <v>BK</v>
      </c>
      <c r="AT229" s="112" t="str">
        <f>IF(OR(AC229&lt;($F$345-0.001),AC229&gt;($F$346+0.001)),"",IF(AC229-$F$345&lt;2.24,IF(MOD(HOUR(AC229),3)=0,(MID(INDEX($A$344:$B$369,MATCH("CIG",$A$344:$A$369,0),2),8+(3*(AC229-$F$345)*8),1))*1,IF(MOD(HOUR(AC228),3)=0,AT228,AT230)),IF(MOD(HOUR(AC229),6)=0,(MID(INDEX($A$344:$B$369,MATCH("CIG",$A$344:$A$369,0),2),62+(3*(ROUND(((AC229-$F$345)-2.25)*4,1))),1))*1,"")))</f>
        <v/>
      </c>
      <c r="AU229" s="1610" t="str">
        <f t="shared" si="58"/>
        <v/>
      </c>
      <c r="AV229" s="1148">
        <f t="shared" si="59"/>
        <v>70</v>
      </c>
      <c r="AW229" s="920" t="str">
        <f t="shared" si="60"/>
        <v>BKN</v>
      </c>
      <c r="AX229" s="1608">
        <f t="shared" si="61"/>
        <v>250</v>
      </c>
      <c r="AY229" s="112" t="str">
        <f>IF(BA229="Y",AZ229,IF(AND(ISNUMBER(AY228),AC229&lt;$F$186+26/25),(MID(INDEX($A$187:$B$210,MATCH("VIS",$A$187:$A$210,0),2),8+(3*COUNT($AY$207:AY228)),1))*1,IF(AND(HOUR(AC229)=HOUR($F$186),DAY(AC229)=DAY($F$186)),(MID(INDEX($A$187:$B$210,MATCH("VIS",$A$187:$A$210,0),2),8,1))*1,"")))</f>
        <v/>
      </c>
      <c r="AZ229" s="112" t="str">
        <f>IF(AND(ISNUMBER(AZ228),AC229&lt;$F$186+26/25),(MID(INDEX($A$187:$B$210,MATCH("CVS",$A$187:$A$210,0),2),8+(3*COUNT($AZ$207:AZ228)),1))*1,IF(AND(HOUR(AC229)=HOUR($F$186),DAY(AC229)=DAY($F$186)),(MID(INDEX($A$187:$B$210,MATCH("CVS",$A$187:$A$210,0),2),8,1))*1,""))</f>
        <v/>
      </c>
      <c r="BA229" s="1610" t="str">
        <f>IF(AND(BA228&lt;&gt;"",AC229&lt;$F$186+26/25),MID(INDEX($A$187:$B$210,MATCH("PCO",$A$187:$A$210,0),2),8+(3*SUM(COUNTIF($BA$207:BA228,"Y"),COUNTIF($BA$207:BA228,"N"))),1),IF(AND(HOUR(AC229)=HOUR($F$186),DAY(AC229)=DAY($F$186)),MID(INDEX($A$187:$B$210,MATCH("PCO",$A$187:$A$210,0),2),8,1),""))</f>
        <v/>
      </c>
      <c r="BB229" s="1610" t="str">
        <f>IF(AND(BB228&lt;&gt;"",AC229&lt;$F$186+26/25),MID(INDEX($A$187:$B$210,MATCH("TYP",$A$187:$A$210,0),2),8+(3*SUM(COUNTIF($BB$207:BB228,"S"),COUNTIF($BB$207:BB228,"Z"), COUNTIF($BB$207:BB228,"R"),COUNTIF($BB$207:BB228,"X"))),1),IF(AND(HOUR(AC229)=HOUR($F$186),DAY(AC229)=DAY($F$186)),MID(INDEX($A$187:$B$210,MATCH("TYP",$A$187:$A$210,0),2),8,1),""))</f>
        <v/>
      </c>
      <c r="BC229" s="112" t="str">
        <f>IF(AND(LEN(BC228)=2,AC229&lt;$F$186+26/25),MID(INDEX($A$187:$B$211,MATCH("OBV",$A$187:$A$211,0),2),7+(3*SUM(COUNTIF($BC$207:BC228," N"),COUNTIF($BC$207:BC228,"HZ"),COUNTIF($BC$207:BC228,"BR"),COUNTIF($BC$207:BC228,"FG"),COUNTIF($BC$207:BC228,"BL"))),2),IF(AND(HOUR(AC229)=HOUR($F$186),DAY(AC229)=DAY($F$186)),MID(INDEX($A$187:$B$211,MATCH("OBV",$A$187:$A$211,0),2),7,2),""))</f>
        <v/>
      </c>
      <c r="BD229" s="112"/>
      <c r="BE229" s="112"/>
      <c r="BF229" s="112"/>
      <c r="BG229" s="1610" t="str">
        <f t="shared" si="40"/>
        <v/>
      </c>
      <c r="BH229" s="115">
        <f t="shared" si="62"/>
        <v>7</v>
      </c>
      <c r="BI229" s="200" t="str">
        <f t="shared" si="76"/>
        <v/>
      </c>
      <c r="BJ229" s="62" t="str">
        <f t="shared" si="75"/>
        <v/>
      </c>
      <c r="BK229" s="1145">
        <f t="shared" si="69"/>
        <v>6.5</v>
      </c>
      <c r="BL229" s="62" t="str">
        <f t="shared" si="77"/>
        <v/>
      </c>
      <c r="BM229" s="1145">
        <f t="shared" si="73"/>
        <v>20</v>
      </c>
      <c r="BN229" s="1901" t="str">
        <f t="shared" si="44"/>
        <v xml:space="preserve"> N</v>
      </c>
      <c r="BO229" s="1144" t="e">
        <f t="shared" si="78"/>
        <v>#N/A</v>
      </c>
      <c r="BP229" s="106" t="str">
        <f t="shared" si="70"/>
        <v/>
      </c>
      <c r="BQ229" s="66" t="str">
        <f t="shared" si="79"/>
        <v/>
      </c>
      <c r="BR229" s="106" t="str">
        <f t="shared" si="80"/>
        <v/>
      </c>
      <c r="BS229" s="834">
        <f t="shared" si="71"/>
        <v>26</v>
      </c>
      <c r="BT229" s="106" t="str">
        <f t="shared" si="81"/>
        <v/>
      </c>
      <c r="BU229" s="834">
        <f t="shared" si="63"/>
        <v>38</v>
      </c>
      <c r="BV229" s="66" t="str">
        <f t="shared" si="64"/>
        <v/>
      </c>
      <c r="BW229" s="66" t="str">
        <f t="shared" si="65"/>
        <v/>
      </c>
      <c r="BX229" s="1198">
        <f t="shared" si="72"/>
        <v>7</v>
      </c>
      <c r="BY229" s="1146" t="str">
        <f t="shared" si="66"/>
        <v>NSW</v>
      </c>
      <c r="CA229" s="3675">
        <f t="shared" si="67"/>
        <v>44747.958333333328</v>
      </c>
      <c r="CB229" s="3675"/>
    </row>
    <row r="230" spans="1:80" ht="11.5">
      <c r="A230" s="472"/>
      <c r="B230" s="1926"/>
      <c r="C230" s="1926"/>
      <c r="D230" s="1926"/>
      <c r="E230" s="1926"/>
      <c r="F230" s="1926"/>
      <c r="G230" s="1926"/>
      <c r="H230" s="1926"/>
      <c r="I230" s="1926"/>
      <c r="J230" s="1926"/>
      <c r="K230" s="1926"/>
      <c r="L230" s="1926"/>
      <c r="M230" s="1926"/>
      <c r="N230" s="1926"/>
      <c r="O230" s="1926"/>
      <c r="P230" s="1926"/>
      <c r="Q230" s="1926"/>
      <c r="R230" s="1926"/>
      <c r="S230" s="1926"/>
      <c r="T230" s="1926"/>
      <c r="U230" s="1926"/>
      <c r="V230" s="1926"/>
      <c r="W230" s="1926"/>
      <c r="X230" s="1926"/>
      <c r="Y230" s="1926"/>
      <c r="Z230" s="1926"/>
      <c r="AA230" s="1926"/>
      <c r="AB230" s="1926"/>
      <c r="AC230" s="977">
        <f t="shared" si="68"/>
        <v>44748</v>
      </c>
      <c r="AD230" s="1610" t="str">
        <f>IF(AND(HOUR(AC230)=HOUR(Worksheet!AF$68),DAY(AC230)=DAY(Worksheet!AF$68)),"START","")</f>
        <v/>
      </c>
      <c r="AE230" s="1149" t="str">
        <f>IF(AND(HOUR(AC230)=HOUR($F$186),DAY(AC230)=DAY($F$186)),(MID($B$189,6,3))*1,IF(AND(ISNUMBER(AE229),AC230&lt;$F$186+1+(1/25)),(MID($B$189,6+(3*COUNT($AE$207:AE229)),3))*1,""))</f>
        <v/>
      </c>
      <c r="AF230" s="1164">
        <f t="shared" ref="AF230:AF293" si="82">IF(AC230&lt;($AE$197-0.001),"",IF(MOD(HOUR(AC230),3)=0,(MID($B$219,3+ROUND((9*((AC230-$AE$197)*8)),1),6)*1)*1.8-459.67,IF(MOD(HOUR(AC230),3)=1,(AF232-AF229)/3+AF229,(2*(AF231-AF228)/3)+AF228)))</f>
        <v>91.867999999999995</v>
      </c>
      <c r="AG230" s="1150">
        <f t="shared" si="50"/>
        <v>89.6</v>
      </c>
      <c r="AH230" s="1163" t="str">
        <f>IF(AND(ISNUMBER(AH229),AC230&lt;$F$186+26/25),(MID($B$190,6+(3*COUNT($AH$207:AH229)),3))*1,IF(AND(HOUR(AC230)=HOUR($F$186),DAY(AC230)=DAY($F$186)),(MID($B$190,6,3))*1,""))</f>
        <v/>
      </c>
      <c r="AI230" s="1901" t="str">
        <f t="shared" si="74"/>
        <v/>
      </c>
      <c r="AJ230" s="1164">
        <f t="shared" si="52"/>
        <v>74.228000000000009</v>
      </c>
      <c r="AK230" s="1150">
        <f t="shared" si="53"/>
        <v>73.400000000000006</v>
      </c>
      <c r="AL230" s="1152">
        <f t="shared" si="39"/>
        <v>29.9</v>
      </c>
      <c r="AM230" s="1153">
        <f t="shared" si="54"/>
        <v>29.92</v>
      </c>
      <c r="AN230" s="1147"/>
      <c r="AO230" s="976" t="str">
        <f>IF(BA230="Y",AP230,IF(AND(ISNUMBER(AO229),AC230&lt;$F$186+26/25),(MID(INDEX($A$187:$B$210,MATCH("CIG",$A$187:$A$210,0),2),8+(3*COUNT($AO$207:AO229)),1))*1,IF(AND(HOUR(AC230)=HOUR($F$186),DAY(AC230)=DAY($F$186)),(MID(INDEX($A$187:$B$210,MATCH("CIG",$A$187:$A$210,0),2),8,1))*1,"")))</f>
        <v/>
      </c>
      <c r="AP230" s="1061" t="str">
        <f>IF(AND(ISNUMBER(AP229),AC230&lt;$F$186+26/25),(MID(INDEX($A$187:$B$210,MATCH("CCG",$A$187:$A$210,0),2),8+(3*COUNT($AP$207:AP229)),1))*1,IF(AND(HOUR(AC230)=HOUR($F$186),DAY(AC230)=DAY($F$186)),(MID(INDEX($A$187:$B$210,MATCH("CCG",$A$187:$A$210,0),2),8,1))*1,""))</f>
        <v/>
      </c>
      <c r="AQ230" s="1061" t="str">
        <f>IF(AND(AQ229&lt;&gt;"",AC230&lt;$F$186+26/25),MID(INDEX($A$187:$B$210,MATCH("CLD",$A$187:$A$210,0),2),7+(3*SUM(COUNTIF($AQ$207:AQ229,"OV"),COUNTIF($AQ$207:AQ229,"BK"),COUNTIF($AQ$207:AQ229,"SC"),COUNTIF($AQ$207:AQ229,"FW"),COUNTIF($AQ$207:AQ229,"CL"))),2),IF(AND(HOUR(AC230)=HOUR($F$186),DAY(AC230)=DAY($F$186)),MID(INDEX($A$187:$B$210,MATCH("CLD",$A$187:$A$210,0),2),7,2),""))</f>
        <v/>
      </c>
      <c r="AR230" s="1149">
        <f t="shared" si="55"/>
        <v>8</v>
      </c>
      <c r="AS230" s="1150" t="str">
        <f t="shared" si="56"/>
        <v>BK</v>
      </c>
      <c r="AT230" s="112">
        <f t="shared" si="57"/>
        <v>8</v>
      </c>
      <c r="AU230" s="1610" t="str">
        <f t="shared" si="58"/>
        <v>BK</v>
      </c>
      <c r="AV230" s="1148">
        <f t="shared" si="59"/>
        <v>40</v>
      </c>
      <c r="AW230" s="920" t="str">
        <f t="shared" si="60"/>
        <v>SCT</v>
      </c>
      <c r="AX230" s="1608">
        <f t="shared" si="61"/>
        <v>40</v>
      </c>
      <c r="AY230" s="112" t="str">
        <f>IF(BA230="Y",AZ230,IF(AND(ISNUMBER(AY229),AC230&lt;$F$186+26/25),(MID(INDEX($A$187:$B$210,MATCH("VIS",$A$187:$A$210,0),2),8+(3*COUNT($AY$207:AY229)),1))*1,IF(AND(HOUR(AC230)=HOUR($F$186),DAY(AC230)=DAY($F$186)),(MID(INDEX($A$187:$B$210,MATCH("VIS",$A$187:$A$210,0),2),8,1))*1,"")))</f>
        <v/>
      </c>
      <c r="AZ230" s="112" t="str">
        <f>IF(AND(ISNUMBER(AZ229),AC230&lt;$F$186+26/25),(MID(INDEX($A$187:$B$210,MATCH("CVS",$A$187:$A$210,0),2),8+(3*COUNT($AZ$207:AZ229)),1))*1,IF(AND(HOUR(AC230)=HOUR($F$186),DAY(AC230)=DAY($F$186)),(MID(INDEX($A$187:$B$210,MATCH("CVS",$A$187:$A$210,0),2),8,1))*1,""))</f>
        <v/>
      </c>
      <c r="BA230" s="1610" t="str">
        <f>IF(AND(BA229&lt;&gt;"",AC230&lt;$F$186+26/25),MID(INDEX($A$187:$B$210,MATCH("PCO",$A$187:$A$210,0),2),8+(3*SUM(COUNTIF($BA$207:BA229,"Y"),COUNTIF($BA$207:BA229,"N"))),1),IF(AND(HOUR(AC230)=HOUR($F$186),DAY(AC230)=DAY($F$186)),MID(INDEX($A$187:$B$210,MATCH("PCO",$A$187:$A$210,0),2),8,1),""))</f>
        <v/>
      </c>
      <c r="BB230" s="1610" t="str">
        <f>IF(AND(BB229&lt;&gt;"",AC230&lt;$F$186+26/25),MID(INDEX($A$187:$B$210,MATCH("TYP",$A$187:$A$210,0),2),8+(3*SUM(COUNTIF($BB$207:BB229,"S"),COUNTIF($BB$207:BB229,"Z"), COUNTIF($BB$207:BB229,"R"),COUNTIF($BB$207:BB229,"X"))),1),IF(AND(HOUR(AC230)=HOUR($F$186),DAY(AC230)=DAY($F$186)),MID(INDEX($A$187:$B$210,MATCH("TYP",$A$187:$A$210,0),2),8,1),""))</f>
        <v/>
      </c>
      <c r="BC230" s="112" t="str">
        <f>IF(AND(LEN(BC229)=2,AC230&lt;$F$186+26/25),MID(INDEX($A$187:$B$211,MATCH("OBV",$A$187:$A$211,0),2),7+(3*SUM(COUNTIF($BC$207:BC229," N"),COUNTIF($BC$207:BC229,"HZ"),COUNTIF($BC$207:BC229,"BR"),COUNTIF($BC$207:BC229,"FG"),COUNTIF($BC$207:BC229,"BL"))),2),IF(AND(HOUR(AC230)=HOUR($F$186),DAY(AC230)=DAY($F$186)),MID(INDEX($A$187:$B$211,MATCH("OBV",$A$187:$A$211,0),2),7,2),""))</f>
        <v/>
      </c>
      <c r="BD230" s="112"/>
      <c r="BE230" s="112"/>
      <c r="BF230" s="112"/>
      <c r="BG230" s="1610" t="str">
        <f t="shared" si="40"/>
        <v/>
      </c>
      <c r="BH230" s="115">
        <f t="shared" si="62"/>
        <v>7</v>
      </c>
      <c r="BI230" s="200" t="str">
        <f t="shared" si="76"/>
        <v/>
      </c>
      <c r="BJ230" s="62">
        <f t="shared" si="75"/>
        <v>10</v>
      </c>
      <c r="BK230" s="1145">
        <f t="shared" si="69"/>
        <v>6.5</v>
      </c>
      <c r="BL230" s="62">
        <f t="shared" si="77"/>
        <v>24</v>
      </c>
      <c r="BM230" s="1145">
        <f t="shared" si="73"/>
        <v>20</v>
      </c>
      <c r="BN230" s="1901" t="str">
        <f t="shared" si="44"/>
        <v xml:space="preserve"> N</v>
      </c>
      <c r="BO230" s="1144" t="e">
        <f t="shared" si="78"/>
        <v>#N/A</v>
      </c>
      <c r="BP230" s="106">
        <f t="shared" si="70"/>
        <v>7</v>
      </c>
      <c r="BQ230" s="66" t="str">
        <f t="shared" si="79"/>
        <v/>
      </c>
      <c r="BR230" s="106">
        <f t="shared" si="80"/>
        <v>26</v>
      </c>
      <c r="BS230" s="834">
        <f t="shared" si="71"/>
        <v>26</v>
      </c>
      <c r="BT230" s="106">
        <f t="shared" si="81"/>
        <v>38</v>
      </c>
      <c r="BU230" s="834">
        <f t="shared" si="63"/>
        <v>38</v>
      </c>
      <c r="BV230" s="66" t="str">
        <f t="shared" si="64"/>
        <v xml:space="preserve"> N</v>
      </c>
      <c r="BW230" s="66" t="e">
        <f t="shared" si="65"/>
        <v>#N/A</v>
      </c>
      <c r="BX230" s="1198">
        <f t="shared" si="72"/>
        <v>7</v>
      </c>
      <c r="BY230" s="1146" t="str">
        <f t="shared" si="66"/>
        <v>NSW</v>
      </c>
      <c r="CA230" s="3675">
        <f t="shared" si="67"/>
        <v>44748</v>
      </c>
      <c r="CB230" s="3675"/>
    </row>
    <row r="231" spans="1:80" ht="12.5">
      <c r="A231" s="475"/>
      <c r="B231" s="1926"/>
      <c r="C231" s="1926"/>
      <c r="D231" s="1926"/>
      <c r="E231" s="1926"/>
      <c r="F231" s="1926"/>
      <c r="G231" s="1926"/>
      <c r="H231" s="1926"/>
      <c r="I231" s="1926"/>
      <c r="J231" s="1926"/>
      <c r="K231" s="1926"/>
      <c r="L231" s="1926"/>
      <c r="M231" s="1926"/>
      <c r="N231" s="1926"/>
      <c r="O231" s="1926"/>
      <c r="P231" s="1926"/>
      <c r="Q231" s="1926"/>
      <c r="R231" s="1926"/>
      <c r="S231" s="1926"/>
      <c r="T231" s="1926"/>
      <c r="U231" s="1926"/>
      <c r="V231" s="1926"/>
      <c r="W231" s="1926"/>
      <c r="X231" s="1926"/>
      <c r="Y231" s="1926"/>
      <c r="Z231" s="1926"/>
      <c r="AA231" s="1926"/>
      <c r="AB231" s="1926"/>
      <c r="AC231" s="977">
        <f t="shared" si="68"/>
        <v>44748.041666666664</v>
      </c>
      <c r="AD231" s="1610" t="str">
        <f>IF(AND(HOUR(AC231)=HOUR(Worksheet!AF$68),DAY(AC231)=DAY(Worksheet!AF$68)),"START","")</f>
        <v/>
      </c>
      <c r="AE231" s="1149">
        <f>IF(AND(HOUR(AC231)=HOUR($F$186),DAY(AC231)=DAY($F$186)),(MID($B$189,6,3))*1,IF(AND(ISNUMBER(AE230),AC231&lt;$F$186+1+(1/25)),(MID($B$189,6+(3*COUNT($AE$207:AE230)),3))*1,""))</f>
        <v>86</v>
      </c>
      <c r="AF231" s="1164">
        <f t="shared" si="82"/>
        <v>89.882000000000005</v>
      </c>
      <c r="AG231" s="1150">
        <f t="shared" si="50"/>
        <v>86</v>
      </c>
      <c r="AH231" s="1163">
        <f>IF(AND(ISNUMBER(AH230),AC231&lt;$F$186+26/25),(MID($B$190,6+(3*COUNT($AH$207:AH230)),3))*1,IF(AND(HOUR(AC231)=HOUR($F$186),DAY(AC231)=DAY($F$186)),(MID($B$190,6,3))*1,""))</f>
        <v>71</v>
      </c>
      <c r="AI231" s="1901">
        <f t="shared" si="74"/>
        <v>71</v>
      </c>
      <c r="AJ231" s="1164">
        <f t="shared" si="52"/>
        <v>74.10199999999999</v>
      </c>
      <c r="AK231" s="1150">
        <f t="shared" si="53"/>
        <v>73.400000000000006</v>
      </c>
      <c r="AL231" s="1152">
        <f t="shared" si="39"/>
        <v>29.906666666666666</v>
      </c>
      <c r="AM231" s="1153">
        <f t="shared" si="54"/>
        <v>29.93</v>
      </c>
      <c r="AN231" s="1147"/>
      <c r="AO231" s="976">
        <f>IF(BA231="Y",AP231,IF(AND(ISNUMBER(AO230),AC231&lt;$F$186+26/25),(MID(INDEX($A$187:$B$210,MATCH("CIG",$A$187:$A$210,0),2),8+(3*COUNT($AO$207:AO230)),1))*1,IF(AND(HOUR(AC231)=HOUR($F$186),DAY(AC231)=DAY($F$186)),(MID(INDEX($A$187:$B$210,MATCH("CIG",$A$187:$A$210,0),2),8,1))*1,"")))</f>
        <v>8</v>
      </c>
      <c r="AP231" s="1061">
        <f>IF(AND(ISNUMBER(AP230),AC231&lt;$F$186+26/25),(MID(INDEX($A$187:$B$210,MATCH("CCG",$A$187:$A$210,0),2),8+(3*COUNT($AP$207:AP230)),1))*1,IF(AND(HOUR(AC231)=HOUR($F$186),DAY(AC231)=DAY($F$186)),(MID(INDEX($A$187:$B$210,MATCH("CCG",$A$187:$A$210,0),2),8,1))*1,""))</f>
        <v>8</v>
      </c>
      <c r="AQ231" s="1061" t="str">
        <f>IF(AND(AQ230&lt;&gt;"",AC231&lt;$F$186+26/25),MID(INDEX($A$187:$B$210,MATCH("CLD",$A$187:$A$210,0),2),7+(3*SUM(COUNTIF($AQ$207:AQ230,"OV"),COUNTIF($AQ$207:AQ230,"BK"),COUNTIF($AQ$207:AQ230,"SC"),COUNTIF($AQ$207:AQ230,"FW"),COUNTIF($AQ$207:AQ230,"CL"))),2),IF(AND(HOUR(AC231)=HOUR($F$186),DAY(AC231)=DAY($F$186)),MID(INDEX($A$187:$B$210,MATCH("CLD",$A$187:$A$210,0),2),7,2),""))</f>
        <v>SC</v>
      </c>
      <c r="AR231" s="1149">
        <f t="shared" si="55"/>
        <v>8</v>
      </c>
      <c r="AS231" s="1150" t="str">
        <f t="shared" si="56"/>
        <v>BK</v>
      </c>
      <c r="AT231" s="112">
        <f t="shared" si="57"/>
        <v>8</v>
      </c>
      <c r="AU231" s="1610" t="str">
        <f t="shared" si="58"/>
        <v>BK</v>
      </c>
      <c r="AV231" s="1148">
        <f t="shared" si="59"/>
        <v>40</v>
      </c>
      <c r="AW231" s="920" t="str">
        <f t="shared" si="60"/>
        <v>SCT</v>
      </c>
      <c r="AX231" s="1608">
        <f t="shared" si="61"/>
        <v>40</v>
      </c>
      <c r="AY231" s="112">
        <f>IF(BA231="Y",AZ231,IF(AND(ISNUMBER(AY230),AC231&lt;$F$186+26/25),(MID(INDEX($A$187:$B$210,MATCH("VIS",$A$187:$A$210,0),2),8+(3*COUNT($AY$207:AY230)),1))*1,IF(AND(HOUR(AC231)=HOUR($F$186),DAY(AC231)=DAY($F$186)),(MID(INDEX($A$187:$B$210,MATCH("VIS",$A$187:$A$210,0),2),8,1))*1,"")))</f>
        <v>7</v>
      </c>
      <c r="AZ231" s="112">
        <f>IF(AND(ISNUMBER(AZ230),AC231&lt;$F$186+26/25),(MID(INDEX($A$187:$B$210,MATCH("CVS",$A$187:$A$210,0),2),8+(3*COUNT($AZ$207:AZ230)),1))*1,IF(AND(HOUR(AC231)=HOUR($F$186),DAY(AC231)=DAY($F$186)),(MID(INDEX($A$187:$B$210,MATCH("CVS",$A$187:$A$210,0),2),8,1))*1,""))</f>
        <v>7</v>
      </c>
      <c r="BA231" s="1610" t="str">
        <f>IF(AND(BA230&lt;&gt;"",AC231&lt;$F$186+26/25),MID(INDEX($A$187:$B$210,MATCH("PCO",$A$187:$A$210,0),2),8+(3*SUM(COUNTIF($BA$207:BA230,"Y"),COUNTIF($BA$207:BA230,"N"))),1),IF(AND(HOUR(AC231)=HOUR($F$186),DAY(AC231)=DAY($F$186)),MID(INDEX($A$187:$B$210,MATCH("PCO",$A$187:$A$210,0),2),8,1),""))</f>
        <v>N</v>
      </c>
      <c r="BB231" s="1610" t="e">
        <f>IF(AND(BB230&lt;&gt;"",AC231&lt;$F$186+26/25),MID(INDEX($A$187:$B$210,MATCH("TYP",$A$187:$A$210,0),2),8+(3*SUM(COUNTIF($BB$207:BB230,"S"),COUNTIF($BB$207:BB230,"Z"), COUNTIF($BB$207:BB230,"R"),COUNTIF($BB$207:BB230,"X"))),1),IF(AND(HOUR(AC231)=HOUR($F$186),DAY(AC231)=DAY($F$186)),MID(INDEX($A$187:$B$210,MATCH("TYP",$A$187:$A$210,0),2),8,1),""))</f>
        <v>#N/A</v>
      </c>
      <c r="BC231" s="112" t="str">
        <f>IF(AND(LEN(BC230)=2,AC231&lt;$F$186+26/25),MID(INDEX($A$187:$B$211,MATCH("OBV",$A$187:$A$211,0),2),7+(3*SUM(COUNTIF($BC$207:BC230," N"),COUNTIF($BC$207:BC230,"HZ"),COUNTIF($BC$207:BC230,"BR"),COUNTIF($BC$207:BC230,"FG"),COUNTIF($BC$207:BC230,"BL"))),2),IF(AND(HOUR(AC231)=HOUR($F$186),DAY(AC231)=DAY($F$186)),MID(INDEX($A$187:$B$211,MATCH("OBV",$A$187:$A$211,0),2),7,2),""))</f>
        <v xml:space="preserve"> N</v>
      </c>
      <c r="BD231" s="112"/>
      <c r="BE231" s="112"/>
      <c r="BF231" s="112"/>
      <c r="BG231" s="1610" t="str">
        <f t="shared" si="40"/>
        <v xml:space="preserve"> N</v>
      </c>
      <c r="BH231" s="115">
        <f t="shared" si="62"/>
        <v>7</v>
      </c>
      <c r="BI231" s="200" t="str">
        <f t="shared" si="76"/>
        <v/>
      </c>
      <c r="BJ231" s="62" t="str">
        <f t="shared" si="75"/>
        <v/>
      </c>
      <c r="BK231" s="1145">
        <f t="shared" si="69"/>
        <v>6.5</v>
      </c>
      <c r="BL231" s="62" t="str">
        <f t="shared" si="77"/>
        <v/>
      </c>
      <c r="BM231" s="1145">
        <f t="shared" si="73"/>
        <v>20</v>
      </c>
      <c r="BN231" s="1901" t="str">
        <f t="shared" si="44"/>
        <v xml:space="preserve"> N</v>
      </c>
      <c r="BO231" s="1144" t="e">
        <f t="shared" si="78"/>
        <v>#N/A</v>
      </c>
      <c r="BP231" s="106">
        <f t="shared" si="70"/>
        <v>7</v>
      </c>
      <c r="BQ231" s="66" t="str">
        <f t="shared" si="79"/>
        <v/>
      </c>
      <c r="BR231" s="106" t="str">
        <f t="shared" si="80"/>
        <v/>
      </c>
      <c r="BS231" s="834">
        <f t="shared" si="71"/>
        <v>26</v>
      </c>
      <c r="BT231" s="106" t="str">
        <f t="shared" si="81"/>
        <v/>
      </c>
      <c r="BU231" s="834">
        <f t="shared" si="63"/>
        <v>38</v>
      </c>
      <c r="BV231" s="66" t="str">
        <f t="shared" si="64"/>
        <v xml:space="preserve"> N</v>
      </c>
      <c r="BW231" s="66" t="e">
        <f t="shared" si="65"/>
        <v>#N/A</v>
      </c>
      <c r="BX231" s="1198">
        <f t="shared" si="72"/>
        <v>7</v>
      </c>
      <c r="BY231" s="1146" t="str">
        <f t="shared" si="66"/>
        <v>NSW</v>
      </c>
      <c r="CA231" s="3675">
        <f t="shared" si="67"/>
        <v>44748.041666666664</v>
      </c>
      <c r="CB231" s="3675"/>
    </row>
    <row r="232" spans="1:80">
      <c r="F232" s="108"/>
      <c r="AC232" s="977">
        <f t="shared" si="68"/>
        <v>44748.083333333328</v>
      </c>
      <c r="AD232" s="1610" t="str">
        <f>IF(AND(HOUR(AC232)=HOUR(Worksheet!AF$68),DAY(AC232)=DAY(Worksheet!AF$68)),"START","")</f>
        <v/>
      </c>
      <c r="AE232" s="1149">
        <f>IF(AND(HOUR(AC232)=HOUR($F$186),DAY(AC232)=DAY($F$186)),(MID($B$189,6,3))*1,IF(AND(ISNUMBER(AE231),AC232&lt;$F$186+1+(1/25)),(MID($B$189,6+(3*COUNT($AE$207:AE231)),3))*1,""))</f>
        <v>83</v>
      </c>
      <c r="AF232" s="1164">
        <f t="shared" si="82"/>
        <v>87.896000000000015</v>
      </c>
      <c r="AG232" s="1150">
        <f t="shared" si="50"/>
        <v>84.2</v>
      </c>
      <c r="AH232" s="1163">
        <f>IF(AND(ISNUMBER(AH231),AC232&lt;$F$186+26/25),(MID($B$190,6+(3*COUNT($AH$207:AH231)),3))*1,IF(AND(HOUR(AC232)=HOUR($F$186),DAY(AC232)=DAY($F$186)),(MID($B$190,6,3))*1,""))</f>
        <v>71</v>
      </c>
      <c r="AI232" s="1901">
        <f t="shared" si="74"/>
        <v>71</v>
      </c>
      <c r="AJ232" s="1164">
        <f>IF(AC232&lt;($AE$197-0.001),"",IF(MOD(HOUR(AC232),3)=0,(MID($B$220,3+ROUND((9*((AC232-$AE$197)*8)),1),6)*1)*1.8-459.67,IF(MOD(HOUR(AC232),3)=1,(AJ234-AJ231)/3+AJ231,(2*(AJ233-AJ230)/3)+AJ230)))</f>
        <v>73.975999999999985</v>
      </c>
      <c r="AK232" s="1150">
        <f t="shared" si="53"/>
        <v>75.2</v>
      </c>
      <c r="AL232" s="1152">
        <f>IF(AC232&lt;($AE$197-0.001),"",IF(MOD(HOUR(AC232),3)=0,MID($B$218,4+ROUND((9*((AC232-$AE$197)*8)),1),5)*1,IF(MOD(HOUR(AC232),3)=1,(AL234-AL231)/3+AL231,(2*(AL233-AL230)/3)+AL230)))</f>
        <v>29.913333333333334</v>
      </c>
      <c r="AM232" s="1153">
        <f t="shared" si="54"/>
        <v>29.93</v>
      </c>
      <c r="AN232" s="1147"/>
      <c r="AO232" s="976">
        <f>IF(BA232="Y",AP232,IF(AND(ISNUMBER(AO231),AC232&lt;$F$186+26/25),(MID(INDEX($A$187:$B$210,MATCH("CIG",$A$187:$A$210,0),2),8+(3*COUNT($AO$207:AO231)),1))*1,IF(AND(HOUR(AC232)=HOUR($F$186),DAY(AC232)=DAY($F$186)),(MID(INDEX($A$187:$B$210,MATCH("CIG",$A$187:$A$210,0),2),8,1))*1,"")))</f>
        <v>8</v>
      </c>
      <c r="AP232" s="1061">
        <f>IF(AND(ISNUMBER(AP231),AC232&lt;$F$186+26/25),(MID(INDEX($A$187:$B$210,MATCH("CCG",$A$187:$A$210,0),2),8+(3*COUNT($AP$207:AP231)),1))*1,IF(AND(HOUR(AC232)=HOUR($F$186),DAY(AC232)=DAY($F$186)),(MID(INDEX($A$187:$B$210,MATCH("CCG",$A$187:$A$210,0),2),8,1))*1,""))</f>
        <v>8</v>
      </c>
      <c r="AQ232" s="1061" t="str">
        <f>IF(AND(AQ231&lt;&gt;"",AC232&lt;$F$186+26/25),MID(INDEX($A$187:$B$210,MATCH("CLD",$A$187:$A$210,0),2),7+(3*SUM(COUNTIF($AQ$207:AQ231,"OV"),COUNTIF($AQ$207:AQ231,"BK"),COUNTIF($AQ$207:AQ231,"SC"),COUNTIF($AQ$207:AQ231,"FW"),COUNTIF($AQ$207:AQ231,"CL"))),2),IF(AND(HOUR(AC232)=HOUR($F$186),DAY(AC232)=DAY($F$186)),MID(INDEX($A$187:$B$210,MATCH("CLD",$A$187:$A$210,0),2),7,2),""))</f>
        <v>SC</v>
      </c>
      <c r="AR232" s="1149">
        <f t="shared" si="55"/>
        <v>8</v>
      </c>
      <c r="AS232" s="1150" t="str">
        <f t="shared" si="56"/>
        <v>SC</v>
      </c>
      <c r="AT232" s="112">
        <f t="shared" si="57"/>
        <v>8</v>
      </c>
      <c r="AU232" s="1610" t="str">
        <f t="shared" si="58"/>
        <v>SC</v>
      </c>
      <c r="AV232" s="1148">
        <f t="shared" si="59"/>
        <v>40</v>
      </c>
      <c r="AW232" s="920" t="str">
        <f t="shared" si="60"/>
        <v>SCT</v>
      </c>
      <c r="AX232" s="1608">
        <f t="shared" si="61"/>
        <v>40</v>
      </c>
      <c r="AY232" s="112">
        <f>IF(BA232="Y",AZ232,IF(AND(ISNUMBER(AY231),AC232&lt;$F$186+26/25),(MID(INDEX($A$187:$B$210,MATCH("VIS",$A$187:$A$210,0),2),8+(3*COUNT($AY$207:AY231)),1))*1,IF(AND(HOUR(AC232)=HOUR($F$186),DAY(AC232)=DAY($F$186)),(MID(INDEX($A$187:$B$210,MATCH("VIS",$A$187:$A$210,0),2),8,1))*1,"")))</f>
        <v>7</v>
      </c>
      <c r="AZ232" s="112">
        <f>IF(AND(ISNUMBER(AZ231),AC232&lt;$F$186+26/25),(MID(INDEX($A$187:$B$210,MATCH("CVS",$A$187:$A$210,0),2),8+(3*COUNT($AZ$207:AZ231)),1))*1,IF(AND(HOUR(AC232)=HOUR($F$186),DAY(AC232)=DAY($F$186)),(MID(INDEX($A$187:$B$210,MATCH("CVS",$A$187:$A$210,0),2),8,1))*1,""))</f>
        <v>7</v>
      </c>
      <c r="BA232" s="1610" t="str">
        <f>IF(AND(BA231&lt;&gt;"",AC232&lt;$F$186+26/25),MID(INDEX($A$187:$B$210,MATCH("PCO",$A$187:$A$210,0),2),8+(3*SUM(COUNTIF($BA$207:BA231,"Y"),COUNTIF($BA$207:BA231,"N"))),1),IF(AND(HOUR(AC232)=HOUR($F$186),DAY(AC232)=DAY($F$186)),MID(INDEX($A$187:$B$210,MATCH("PCO",$A$187:$A$210,0),2),8,1),""))</f>
        <v>N</v>
      </c>
      <c r="BB232" s="1610" t="e">
        <f>IF(AND(BB231&lt;&gt;"",AC232&lt;$F$186+26/25),MID(INDEX($A$187:$B$210,MATCH("TYP",$A$187:$A$210,0),2),8+(3*SUM(COUNTIF($BB$207:BB231,"S"),COUNTIF($BB$207:BB231,"Z"), COUNTIF($BB$207:BB231,"R"),COUNTIF($BB$207:BB231,"X"))),1),IF(AND(HOUR(AC232)=HOUR($F$186),DAY(AC232)=DAY($F$186)),MID(INDEX($A$187:$B$210,MATCH("TYP",$A$187:$A$210,0),2),8,1),""))</f>
        <v>#N/A</v>
      </c>
      <c r="BC232" s="112" t="str">
        <f>IF(AND(LEN(BC231)=2,AC232&lt;$F$186+26/25),MID(INDEX($A$187:$B$211,MATCH("OBV",$A$187:$A$211,0),2),7+(3*SUM(COUNTIF($BC$207:BC231," N"),COUNTIF($BC$207:BC231,"HZ"),COUNTIF($BC$207:BC231,"BR"),COUNTIF($BC$207:BC231,"FG"),COUNTIF($BC$207:BC231,"BL"))),2),IF(AND(HOUR(AC232)=HOUR($F$186),DAY(AC232)=DAY($F$186)),MID(INDEX($A$187:$B$211,MATCH("OBV",$A$187:$A$211,0),2),7,2),""))</f>
        <v xml:space="preserve"> N</v>
      </c>
      <c r="BD232" s="112"/>
      <c r="BE232" s="112"/>
      <c r="BF232" s="112"/>
      <c r="BG232" s="1610" t="str">
        <f t="shared" si="40"/>
        <v xml:space="preserve"> N</v>
      </c>
      <c r="BH232" s="115">
        <f t="shared" si="62"/>
        <v>7</v>
      </c>
      <c r="BI232" s="200" t="str">
        <f t="shared" si="76"/>
        <v/>
      </c>
      <c r="BJ232" s="62" t="str">
        <f t="shared" si="75"/>
        <v/>
      </c>
      <c r="BK232" s="1145">
        <f t="shared" si="69"/>
        <v>3</v>
      </c>
      <c r="BL232" s="62" t="str">
        <f t="shared" si="77"/>
        <v/>
      </c>
      <c r="BM232" s="1145">
        <f t="shared" si="73"/>
        <v>16</v>
      </c>
      <c r="BN232" s="1901" t="str">
        <f t="shared" si="44"/>
        <v xml:space="preserve"> N</v>
      </c>
      <c r="BO232" s="1144" t="e">
        <f t="shared" si="78"/>
        <v>#N/A</v>
      </c>
      <c r="BP232" s="106">
        <f t="shared" si="70"/>
        <v>7</v>
      </c>
      <c r="BQ232" s="66" t="str">
        <f t="shared" si="79"/>
        <v/>
      </c>
      <c r="BR232" s="106" t="str">
        <f t="shared" si="80"/>
        <v/>
      </c>
      <c r="BS232" s="834">
        <f t="shared" si="71"/>
        <v>26</v>
      </c>
      <c r="BT232" s="106" t="str">
        <f t="shared" si="81"/>
        <v/>
      </c>
      <c r="BU232" s="834">
        <f t="shared" si="63"/>
        <v>38</v>
      </c>
      <c r="BV232" s="66" t="str">
        <f t="shared" si="64"/>
        <v xml:space="preserve"> N</v>
      </c>
      <c r="BW232" s="66" t="e">
        <f t="shared" si="65"/>
        <v>#N/A</v>
      </c>
      <c r="BX232" s="1198">
        <f t="shared" si="72"/>
        <v>7</v>
      </c>
      <c r="BY232" s="1146" t="str">
        <f t="shared" si="66"/>
        <v>NSW</v>
      </c>
      <c r="CA232" s="3675">
        <f t="shared" si="67"/>
        <v>44748.083333333328</v>
      </c>
      <c r="CB232" s="3675"/>
    </row>
    <row r="233" spans="1:80" ht="14">
      <c r="A233" s="409" t="s">
        <v>2728</v>
      </c>
      <c r="B233" s="410">
        <f>B242</f>
        <v>44747.75</v>
      </c>
      <c r="C233" s="403"/>
      <c r="D233" s="403"/>
      <c r="E233" s="403"/>
      <c r="F233" s="403"/>
      <c r="G233" s="403"/>
      <c r="H233" s="403"/>
      <c r="I233" s="410"/>
      <c r="J233" s="403"/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  <c r="Y233" s="403"/>
      <c r="Z233" s="403"/>
      <c r="AC233" s="977">
        <f t="shared" si="68"/>
        <v>44748.125</v>
      </c>
      <c r="AD233" s="1610" t="str">
        <f>IF(AND(HOUR(AC233)=HOUR(Worksheet!AF$68),DAY(AC233)=DAY(Worksheet!AF$68)),"START","")</f>
        <v/>
      </c>
      <c r="AE233" s="1149">
        <f>IF(AND(HOUR(AC233)=HOUR($F$186),DAY(AC233)=DAY($F$186)),(MID($B$189,6,3))*1,IF(AND(ISNUMBER(AE232),AC233&lt;$F$186+1+(1/25)),(MID($B$189,6+(3*COUNT($AE$207:AE232)),3))*1,""))</f>
        <v>81</v>
      </c>
      <c r="AF233" s="1164">
        <f t="shared" si="82"/>
        <v>85.910000000000025</v>
      </c>
      <c r="AG233" s="1150">
        <f t="shared" si="50"/>
        <v>82.4</v>
      </c>
      <c r="AH233" s="1163">
        <f>IF(AND(ISNUMBER(AH232),AC233&lt;$F$186+26/25),(MID($B$190,6+(3*COUNT($AH$207:AH232)),3))*1,IF(AND(HOUR(AC233)=HOUR($F$186),DAY(AC233)=DAY($F$186)),(MID($B$190,6,3))*1,""))</f>
        <v>72</v>
      </c>
      <c r="AI233" s="1901">
        <f t="shared" si="74"/>
        <v>72</v>
      </c>
      <c r="AJ233" s="1164">
        <f t="shared" si="52"/>
        <v>73.849999999999966</v>
      </c>
      <c r="AK233" s="1150">
        <f t="shared" si="53"/>
        <v>75.2</v>
      </c>
      <c r="AL233" s="1152">
        <f t="shared" ref="AL233:AL296" si="83">IF(AC233&lt;($AE$197-0.001),"",IF(MOD(HOUR(AC233),3)=0,MID($B$218,4+ROUND((9*((AC233-$AE$197)*8)),1),5)*1,IF(MOD(HOUR(AC233),3)=1,(AL235-AL232)/3+AL232,(2*(AL234-AL231)/3)+AL231)))</f>
        <v>29.92</v>
      </c>
      <c r="AM233" s="1153">
        <f t="shared" si="54"/>
        <v>29.93</v>
      </c>
      <c r="AN233" s="1147"/>
      <c r="AO233" s="976">
        <f>IF(BA233="Y",AP233,IF(AND(ISNUMBER(AO232),AC233&lt;$F$186+26/25),(MID(INDEX($A$187:$B$210,MATCH("CIG",$A$187:$A$210,0),2),8+(3*COUNT($AO$207:AO232)),1))*1,IF(AND(HOUR(AC233)=HOUR($F$186),DAY(AC233)=DAY($F$186)),(MID(INDEX($A$187:$B$210,MATCH("CIG",$A$187:$A$210,0),2),8,1))*1,"")))</f>
        <v>8</v>
      </c>
      <c r="AP233" s="1061">
        <f>IF(AND(ISNUMBER(AP232),AC233&lt;$F$186+26/25),(MID(INDEX($A$187:$B$210,MATCH("CCG",$A$187:$A$210,0),2),8+(3*COUNT($AP$207:AP232)),1))*1,IF(AND(HOUR(AC233)=HOUR($F$186),DAY(AC233)=DAY($F$186)),(MID(INDEX($A$187:$B$210,MATCH("CCG",$A$187:$A$210,0),2),8,1))*1,""))</f>
        <v>8</v>
      </c>
      <c r="AQ233" s="1061" t="str">
        <f>IF(AND(AQ232&lt;&gt;"",AC233&lt;$F$186+26/25),MID(INDEX($A$187:$B$210,MATCH("CLD",$A$187:$A$210,0),2),7+(3*SUM(COUNTIF($AQ$207:AQ232,"OV"),COUNTIF($AQ$207:AQ232,"BK"),COUNTIF($AQ$207:AQ232,"SC"),COUNTIF($AQ$207:AQ232,"FW"),COUNTIF($AQ$207:AQ232,"CL"))),2),IF(AND(HOUR(AC233)=HOUR($F$186),DAY(AC233)=DAY($F$186)),MID(INDEX($A$187:$B$210,MATCH("CLD",$A$187:$A$210,0),2),7,2),""))</f>
        <v>FW</v>
      </c>
      <c r="AR233" s="1149">
        <f t="shared" si="55"/>
        <v>8</v>
      </c>
      <c r="AS233" s="1150" t="str">
        <f t="shared" si="56"/>
        <v>SC</v>
      </c>
      <c r="AT233" s="112">
        <f t="shared" si="57"/>
        <v>8</v>
      </c>
      <c r="AU233" s="1610" t="str">
        <f t="shared" si="58"/>
        <v>SC</v>
      </c>
      <c r="AV233" s="1148">
        <f>IF(OR(AC233&lt;($B$237-0.001),AC233&gt;(MAX($B$241:$B$321)+0.001)),"",IF(OR(ISNUMBER(MATCH(AC233,$W$241:$W$321,0)),MOD(HOUR(AC233),3)=0),LOOKUP(AC233,$B$241:$B$321,$E$241:$E$321),IF(MOD(HOUR(AC233),3)=1,IF(OR(AV235="",AV232=""),MAX(AV235,AV232),(AV235-AV232)/3+AV232),IF(OR(AV234="",AV231=""),MAX(AV234,AV231),(2*(AV234-AV231)/3)+AV231))))</f>
        <v>40</v>
      </c>
      <c r="AW233" s="920" t="str">
        <f>IF(AV233="","",IF(AV233&gt;90,"OVC",IF(AV233&lt;51,"SCT","BKN")))</f>
        <v>SCT</v>
      </c>
      <c r="AX233" s="1608">
        <f t="shared" si="61"/>
        <v>40</v>
      </c>
      <c r="AY233" s="112">
        <f>IF(BA233="Y",AZ233,IF(AND(ISNUMBER(AY232),AC233&lt;$F$186+26/25),(MID(INDEX($A$187:$B$210,MATCH("VIS",$A$187:$A$210,0),2),8+(3*COUNT($AY$207:AY232)),1))*1,IF(AND(HOUR(AC233)=HOUR($F$186),DAY(AC233)=DAY($F$186)),(MID(INDEX($A$187:$B$210,MATCH("VIS",$A$187:$A$210,0),2),8,1))*1,"")))</f>
        <v>7</v>
      </c>
      <c r="AZ233" s="112">
        <f>IF(AND(ISNUMBER(AZ232),AC233&lt;$F$186+26/25),(MID(INDEX($A$187:$B$210,MATCH("CVS",$A$187:$A$210,0),2),8+(3*COUNT($AZ$207:AZ232)),1))*1,IF(AND(HOUR(AC233)=HOUR($F$186),DAY(AC233)=DAY($F$186)),(MID(INDEX($A$187:$B$210,MATCH("CVS",$A$187:$A$210,0),2),8,1))*1,""))</f>
        <v>7</v>
      </c>
      <c r="BA233" s="1610" t="str">
        <f>IF(AND(BA232&lt;&gt;"",AC233&lt;$F$186+26/25),MID(INDEX($A$187:$B$210,MATCH("PCO",$A$187:$A$210,0),2),8+(3*SUM(COUNTIF($BA$207:BA232,"Y"),COUNTIF($BA$207:BA232,"N"))),1),IF(AND(HOUR(AC233)=HOUR($F$186),DAY(AC233)=DAY($F$186)),MID(INDEX($A$187:$B$210,MATCH("PCO",$A$187:$A$210,0),2),8,1),""))</f>
        <v>N</v>
      </c>
      <c r="BB233" s="1610" t="e">
        <f>IF(AND(BB232&lt;&gt;"",AC233&lt;$F$186+26/25),MID(INDEX($A$187:$B$210,MATCH("TYP",$A$187:$A$210,0),2),8+(3*SUM(COUNTIF($BB$207:BB232,"S"),COUNTIF($BB$207:BB232,"Z"), COUNTIF($BB$207:BB232,"R"),COUNTIF($BB$207:BB232,"X"))),1),IF(AND(HOUR(AC233)=HOUR($F$186),DAY(AC233)=DAY($F$186)),MID(INDEX($A$187:$B$210,MATCH("TYP",$A$187:$A$210,0),2),8,1),""))</f>
        <v>#N/A</v>
      </c>
      <c r="BC233" s="112" t="str">
        <f>IF(AND(LEN(BC232)=2,AC233&lt;$F$186+26/25),MID(INDEX($A$187:$B$211,MATCH("OBV",$A$187:$A$211,0),2),7+(3*SUM(COUNTIF($BC$207:BC232," N"),COUNTIF($BC$207:BC232,"HZ"),COUNTIF($BC$207:BC232,"BR"),COUNTIF($BC$207:BC232,"FG"),COUNTIF($BC$207:BC232,"BL"))),2),IF(AND(HOUR(AC233)=HOUR($F$186),DAY(AC233)=DAY($F$186)),MID(INDEX($A$187:$B$211,MATCH("OBV",$A$187:$A$211,0),2),7,2),""))</f>
        <v xml:space="preserve"> N</v>
      </c>
      <c r="BD233" s="112"/>
      <c r="BE233" s="112"/>
      <c r="BF233" s="112"/>
      <c r="BG233" s="1610" t="str">
        <f t="shared" si="40"/>
        <v xml:space="preserve"> N</v>
      </c>
      <c r="BH233" s="115">
        <f t="shared" si="62"/>
        <v>7</v>
      </c>
      <c r="BI233" s="200" t="str">
        <f t="shared" si="76"/>
        <v/>
      </c>
      <c r="BJ233" s="62" t="str">
        <f t="shared" si="75"/>
        <v/>
      </c>
      <c r="BK233" s="1145">
        <f t="shared" si="69"/>
        <v>3</v>
      </c>
      <c r="BL233" s="62" t="str">
        <f t="shared" si="77"/>
        <v/>
      </c>
      <c r="BM233" s="1145">
        <f t="shared" si="73"/>
        <v>16</v>
      </c>
      <c r="BN233" s="1901" t="str">
        <f t="shared" si="44"/>
        <v xml:space="preserve"> N</v>
      </c>
      <c r="BO233" s="1144" t="e">
        <f t="shared" si="78"/>
        <v>#N/A</v>
      </c>
      <c r="BP233" s="106">
        <f t="shared" si="70"/>
        <v>7</v>
      </c>
      <c r="BQ233" s="66" t="str">
        <f t="shared" si="79"/>
        <v/>
      </c>
      <c r="BR233" s="106" t="str">
        <f t="shared" si="80"/>
        <v/>
      </c>
      <c r="BS233" s="834">
        <f t="shared" si="71"/>
        <v>26</v>
      </c>
      <c r="BT233" s="106" t="str">
        <f t="shared" si="81"/>
        <v/>
      </c>
      <c r="BU233" s="834">
        <f t="shared" si="63"/>
        <v>38</v>
      </c>
      <c r="BV233" s="66" t="str">
        <f t="shared" si="64"/>
        <v xml:space="preserve"> N</v>
      </c>
      <c r="BW233" s="66" t="e">
        <f t="shared" si="65"/>
        <v>#N/A</v>
      </c>
      <c r="BX233" s="1198">
        <f t="shared" si="72"/>
        <v>7</v>
      </c>
      <c r="BY233" s="1146" t="str">
        <f t="shared" si="66"/>
        <v>NSW</v>
      </c>
      <c r="CA233" s="3675">
        <f t="shared" si="67"/>
        <v>44748.125</v>
      </c>
      <c r="CB233" s="3675"/>
    </row>
    <row r="234" spans="1:80" ht="12.5">
      <c r="A234" s="377"/>
      <c r="B234" s="403"/>
      <c r="C234" s="403"/>
      <c r="D234" s="403"/>
      <c r="E234" s="403"/>
      <c r="F234" s="403"/>
      <c r="G234" s="403"/>
      <c r="H234" s="403"/>
      <c r="I234" s="403"/>
      <c r="J234" s="403"/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  <c r="Y234" s="403"/>
      <c r="Z234" s="403"/>
      <c r="AC234" s="977">
        <f t="shared" si="68"/>
        <v>44748.166666666664</v>
      </c>
      <c r="AD234" s="1610" t="str">
        <f>IF(AND(HOUR(AC234)=HOUR(Worksheet!AF$68),DAY(AC234)=DAY(Worksheet!AF$68)),"START","")</f>
        <v/>
      </c>
      <c r="AE234" s="1149">
        <f>IF(AND(HOUR(AC234)=HOUR($F$186),DAY(AC234)=DAY($F$186)),(MID($B$189,6,3))*1,IF(AND(ISNUMBER(AE233),AC234&lt;$F$186+1+(1/25)),(MID($B$189,6+(3*COUNT($AE$207:AE233)),3))*1,""))</f>
        <v>79</v>
      </c>
      <c r="AF234" s="1164">
        <f t="shared" si="82"/>
        <v>84.90800000000003</v>
      </c>
      <c r="AG234" s="1150">
        <f t="shared" si="50"/>
        <v>80.599999999999994</v>
      </c>
      <c r="AH234" s="1163">
        <f>IF(AND(ISNUMBER(AH233),AC234&lt;$F$186+26/25),(MID($B$190,6+(3*COUNT($AH$207:AH233)),3))*1,IF(AND(HOUR(AC234)=HOUR($F$186),DAY(AC234)=DAY($F$186)),(MID($B$190,6,3))*1,""))</f>
        <v>72</v>
      </c>
      <c r="AI234" s="1901">
        <f t="shared" si="74"/>
        <v>72</v>
      </c>
      <c r="AJ234" s="1164">
        <f t="shared" si="52"/>
        <v>73.951999999999984</v>
      </c>
      <c r="AK234" s="1150">
        <f t="shared" si="53"/>
        <v>75.2</v>
      </c>
      <c r="AL234" s="1152">
        <f t="shared" si="83"/>
        <v>29.923333333333336</v>
      </c>
      <c r="AM234" s="1153">
        <f t="shared" si="54"/>
        <v>29.93</v>
      </c>
      <c r="AN234" s="1147"/>
      <c r="AO234" s="976">
        <f>IF(BA234="Y",AP234,IF(AND(ISNUMBER(AO233),AC234&lt;$F$186+26/25),(MID(INDEX($A$187:$B$210,MATCH("CIG",$A$187:$A$210,0),2),8+(3*COUNT($AO$207:AO233)),1))*1,IF(AND(HOUR(AC234)=HOUR($F$186),DAY(AC234)=DAY($F$186)),(MID(INDEX($A$187:$B$210,MATCH("CIG",$A$187:$A$210,0),2),8,1))*1,"")))</f>
        <v>8</v>
      </c>
      <c r="AP234" s="1061">
        <f>IF(AND(ISNUMBER(AP233),AC234&lt;$F$186+26/25),(MID(INDEX($A$187:$B$210,MATCH("CCG",$A$187:$A$210,0),2),8+(3*COUNT($AP$207:AP233)),1))*1,IF(AND(HOUR(AC234)=HOUR($F$186),DAY(AC234)=DAY($F$186)),(MID(INDEX($A$187:$B$210,MATCH("CCG",$A$187:$A$210,0),2),8,1))*1,""))</f>
        <v>8</v>
      </c>
      <c r="AQ234" s="1061" t="str">
        <f>IF(AND(AQ233&lt;&gt;"",AC234&lt;$F$186+26/25),MID(INDEX($A$187:$B$210,MATCH("CLD",$A$187:$A$210,0),2),7+(3*SUM(COUNTIF($AQ$207:AQ233,"OV"),COUNTIF($AQ$207:AQ233,"BK"),COUNTIF($AQ$207:AQ233,"SC"),COUNTIF($AQ$207:AQ233,"FW"),COUNTIF($AQ$207:AQ233,"CL"))),2),IF(AND(HOUR(AC234)=HOUR($F$186),DAY(AC234)=DAY($F$186)),MID(INDEX($A$187:$B$210,MATCH("CLD",$A$187:$A$210,0),2),7,2),""))</f>
        <v>FW</v>
      </c>
      <c r="AR234" s="1149">
        <f t="shared" si="55"/>
        <v>8</v>
      </c>
      <c r="AS234" s="1150" t="str">
        <f t="shared" si="56"/>
        <v>SC</v>
      </c>
      <c r="AT234" s="112">
        <f t="shared" si="57"/>
        <v>8</v>
      </c>
      <c r="AU234" s="1610" t="str">
        <f t="shared" si="58"/>
        <v>SC</v>
      </c>
      <c r="AV234" s="1148">
        <f t="shared" si="59"/>
        <v>40</v>
      </c>
      <c r="AW234" s="920" t="str">
        <f t="shared" si="60"/>
        <v>SCT</v>
      </c>
      <c r="AX234" s="1608">
        <f t="shared" si="61"/>
        <v>40</v>
      </c>
      <c r="AY234" s="112">
        <f>IF(BA234="Y",AZ234,IF(AND(ISNUMBER(AY233),AC234&lt;$F$186+26/25),(MID(INDEX($A$187:$B$210,MATCH("VIS",$A$187:$A$210,0),2),8+(3*COUNT($AY$207:AY233)),1))*1,IF(AND(HOUR(AC234)=HOUR($F$186),DAY(AC234)=DAY($F$186)),(MID(INDEX($A$187:$B$210,MATCH("VIS",$A$187:$A$210,0),2),8,1))*1,"")))</f>
        <v>7</v>
      </c>
      <c r="AZ234" s="112">
        <f>IF(AND(ISNUMBER(AZ233),AC234&lt;$F$186+26/25),(MID(INDEX($A$187:$B$210,MATCH("CVS",$A$187:$A$210,0),2),8+(3*COUNT($AZ$207:AZ233)),1))*1,IF(AND(HOUR(AC234)=HOUR($F$186),DAY(AC234)=DAY($F$186)),(MID(INDEX($A$187:$B$210,MATCH("CVS",$A$187:$A$210,0),2),8,1))*1,""))</f>
        <v>7</v>
      </c>
      <c r="BA234" s="1610" t="str">
        <f>IF(AND(BA233&lt;&gt;"",AC234&lt;$F$186+26/25),MID(INDEX($A$187:$B$210,MATCH("PCO",$A$187:$A$210,0),2),8+(3*SUM(COUNTIF($BA$207:BA233,"Y"),COUNTIF($BA$207:BA233,"N"))),1),IF(AND(HOUR(AC234)=HOUR($F$186),DAY(AC234)=DAY($F$186)),MID(INDEX($A$187:$B$210,MATCH("PCO",$A$187:$A$210,0),2),8,1),""))</f>
        <v>N</v>
      </c>
      <c r="BB234" s="1610" t="e">
        <f>IF(AND(BB233&lt;&gt;"",AC234&lt;$F$186+26/25),MID(INDEX($A$187:$B$210,MATCH("TYP",$A$187:$A$210,0),2),8+(3*SUM(COUNTIF($BB$207:BB233,"S"),COUNTIF($BB$207:BB233,"Z"), COUNTIF($BB$207:BB233,"R"),COUNTIF($BB$207:BB233,"X"))),1),IF(AND(HOUR(AC234)=HOUR($F$186),DAY(AC234)=DAY($F$186)),MID(INDEX($A$187:$B$210,MATCH("TYP",$A$187:$A$210,0),2),8,1),""))</f>
        <v>#N/A</v>
      </c>
      <c r="BC234" s="112" t="str">
        <f>IF(AND(LEN(BC233)=2,AC234&lt;$F$186+26/25),MID(INDEX($A$187:$B$211,MATCH("OBV",$A$187:$A$211,0),2),7+(3*SUM(COUNTIF($BC$207:BC233," N"),COUNTIF($BC$207:BC233,"HZ"),COUNTIF($BC$207:BC233,"BR"),COUNTIF($BC$207:BC233,"FG"),COUNTIF($BC$207:BC233,"BL"))),2),IF(AND(HOUR(AC234)=HOUR($F$186),DAY(AC234)=DAY($F$186)),MID(INDEX($A$187:$B$211,MATCH("OBV",$A$187:$A$211,0),2),7,2),""))</f>
        <v xml:space="preserve"> N</v>
      </c>
      <c r="BD234" s="112"/>
      <c r="BE234" s="112"/>
      <c r="BF234" s="112"/>
      <c r="BG234" s="1610" t="str">
        <f t="shared" si="40"/>
        <v xml:space="preserve"> N</v>
      </c>
      <c r="BH234" s="115">
        <f t="shared" si="62"/>
        <v>7</v>
      </c>
      <c r="BI234" s="200" t="str">
        <f t="shared" si="76"/>
        <v/>
      </c>
      <c r="BJ234" s="62" t="str">
        <f t="shared" si="75"/>
        <v/>
      </c>
      <c r="BK234" s="1145">
        <f t="shared" si="69"/>
        <v>3</v>
      </c>
      <c r="BL234" s="62" t="str">
        <f t="shared" si="77"/>
        <v/>
      </c>
      <c r="BM234" s="1145">
        <f t="shared" si="73"/>
        <v>16</v>
      </c>
      <c r="BN234" s="1901" t="str">
        <f t="shared" si="44"/>
        <v xml:space="preserve"> N</v>
      </c>
      <c r="BO234" s="1144" t="e">
        <f t="shared" si="78"/>
        <v>#N/A</v>
      </c>
      <c r="BP234" s="106">
        <f t="shared" si="70"/>
        <v>7</v>
      </c>
      <c r="BQ234" s="66" t="str">
        <f t="shared" si="79"/>
        <v/>
      </c>
      <c r="BR234" s="106" t="str">
        <f t="shared" si="80"/>
        <v/>
      </c>
      <c r="BS234" s="834">
        <f t="shared" si="71"/>
        <v>26</v>
      </c>
      <c r="BT234" s="106" t="str">
        <f t="shared" si="81"/>
        <v/>
      </c>
      <c r="BU234" s="834">
        <f t="shared" si="63"/>
        <v>38</v>
      </c>
      <c r="BV234" s="66" t="str">
        <f t="shared" si="64"/>
        <v xml:space="preserve"> N</v>
      </c>
      <c r="BW234" s="66" t="e">
        <f t="shared" si="65"/>
        <v>#N/A</v>
      </c>
      <c r="BX234" s="1198">
        <f t="shared" si="72"/>
        <v>7</v>
      </c>
      <c r="BY234" s="1146" t="str">
        <f t="shared" si="66"/>
        <v>NSW</v>
      </c>
      <c r="CA234" s="3675">
        <f t="shared" si="67"/>
        <v>44748.166666666664</v>
      </c>
      <c r="CB234" s="3675"/>
    </row>
    <row r="235" spans="1:80">
      <c r="A235" s="978" t="str">
        <f>Worksheet!Q72</f>
        <v xml:space="preserve">                                   UNCLASSIFIED</v>
      </c>
      <c r="B235" s="481" t="str">
        <f>IF(LEFT(A237,1)="O",MID(A237,FIND("Z",A237)-2,15),IF(LEFT(A238,1)="O",MID(A238,FIND("Z",A238)-2,15),IF(LEFT(A239,1)="O",MID(A239,FIND("Z",A239)-2,15),IF(LEFT(A240,1)="O",MID(A240,FIND("Z",A240)-2,15),"X"))))</f>
        <v>18Z JUL 05 2022</v>
      </c>
      <c r="C235" s="410" t="str">
        <f>LEFT(B235,2)&amp;"00"</f>
        <v>1800</v>
      </c>
      <c r="D235" s="1033">
        <f>VALUE(C235)/2400</f>
        <v>0.75</v>
      </c>
      <c r="E235" s="410"/>
      <c r="F235" s="3677">
        <f>VALUE(G236)</f>
        <v>44747</v>
      </c>
      <c r="G235" s="3677"/>
      <c r="H235" s="3677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C235" s="977">
        <f t="shared" si="68"/>
        <v>44748.208333333328</v>
      </c>
      <c r="AD235" s="1610" t="str">
        <f>IF(AND(HOUR(AC235)=HOUR(Worksheet!AF$68),DAY(AC235)=DAY(Worksheet!AF$68)),"START","")</f>
        <v/>
      </c>
      <c r="AE235" s="1149">
        <f>IF(AND(HOUR(AC235)=HOUR($F$186),DAY(AC235)=DAY($F$186)),(MID($B$189,6,3))*1,IF(AND(ISNUMBER(AE234),AC235&lt;$F$186+1+(1/25)),(MID($B$189,6+(3*COUNT($AE$207:AE234)),3))*1,""))</f>
        <v>77</v>
      </c>
      <c r="AF235" s="1164">
        <f t="shared" si="82"/>
        <v>83.906000000000049</v>
      </c>
      <c r="AG235" s="1150">
        <f t="shared" si="50"/>
        <v>80.599999999999994</v>
      </c>
      <c r="AH235" s="1163">
        <f>IF(AND(ISNUMBER(AH234),AC235&lt;$F$186+26/25),(MID($B$190,6+(3*COUNT($AH$207:AH234)),3))*1,IF(AND(HOUR(AC235)=HOUR($F$186),DAY(AC235)=DAY($F$186)),(MID($B$190,6,3))*1,""))</f>
        <v>72</v>
      </c>
      <c r="AI235" s="1901">
        <f t="shared" si="74"/>
        <v>72</v>
      </c>
      <c r="AJ235" s="1164">
        <f t="shared" si="52"/>
        <v>74.053999999999988</v>
      </c>
      <c r="AK235" s="1150">
        <f t="shared" si="53"/>
        <v>75.2</v>
      </c>
      <c r="AL235" s="1152">
        <f t="shared" si="83"/>
        <v>29.926666666666666</v>
      </c>
      <c r="AM235" s="1153">
        <f t="shared" si="54"/>
        <v>29.93</v>
      </c>
      <c r="AN235" s="1147"/>
      <c r="AO235" s="976">
        <f>IF(BA235="Y",AP235,IF(AND(ISNUMBER(AO234),AC235&lt;$F$186+26/25),(MID(INDEX($A$187:$B$210,MATCH("CIG",$A$187:$A$210,0),2),8+(3*COUNT($AO$207:AO234)),1))*1,IF(AND(HOUR(AC235)=HOUR($F$186),DAY(AC235)=DAY($F$186)),(MID(INDEX($A$187:$B$210,MATCH("CIG",$A$187:$A$210,0),2),8,1))*1,"")))</f>
        <v>8</v>
      </c>
      <c r="AP235" s="1061">
        <f>IF(AND(ISNUMBER(AP234),AC235&lt;$F$186+26/25),(MID(INDEX($A$187:$B$210,MATCH("CCG",$A$187:$A$210,0),2),8+(3*COUNT($AP$207:AP234)),1))*1,IF(AND(HOUR(AC235)=HOUR($F$186),DAY(AC235)=DAY($F$186)),(MID(INDEX($A$187:$B$210,MATCH("CCG",$A$187:$A$210,0),2),8,1))*1,""))</f>
        <v>8</v>
      </c>
      <c r="AQ235" s="1061" t="str">
        <f>IF(AND(AQ234&lt;&gt;"",AC235&lt;$F$186+26/25),MID(INDEX($A$187:$B$210,MATCH("CLD",$A$187:$A$210,0),2),7+(3*SUM(COUNTIF($AQ$207:AQ234,"OV"),COUNTIF($AQ$207:AQ234,"BK"),COUNTIF($AQ$207:AQ234,"SC"),COUNTIF($AQ$207:AQ234,"FW"),COUNTIF($AQ$207:AQ234,"CL"))),2),IF(AND(HOUR(AC235)=HOUR($F$186),DAY(AC235)=DAY($F$186)),MID(INDEX($A$187:$B$210,MATCH("CLD",$A$187:$A$210,0),2),7,2),""))</f>
        <v>CL</v>
      </c>
      <c r="AR235" s="1149">
        <f t="shared" si="55"/>
        <v>8</v>
      </c>
      <c r="AS235" s="1150" t="str">
        <f t="shared" si="56"/>
        <v>SC</v>
      </c>
      <c r="AT235" s="112">
        <f t="shared" si="57"/>
        <v>8</v>
      </c>
      <c r="AU235" s="1610" t="str">
        <f t="shared" si="58"/>
        <v>SC</v>
      </c>
      <c r="AV235" s="1148">
        <f>IF(OR(AC235&lt;($B$237-0.001),AC235&gt;(MAX($B$241:$B$321)+0.001)),"",IF(OR(ISNUMBER(MATCH(AC235,$W$241:$W$321,0)),MOD(HOUR(AC235),3)=0),LOOKUP(AC235,$B$241:$B$321,$E$241:$E$321),IF(MOD(HOUR(AC235),3)=1,IF(OR(AV237="",AV234=""),MAX(AV237,AV234),(AV237-AV234)/3+AV234),IF(OR(AV236="",AV233=""),MAX(AV236,AV233),(2*(AV236-AV233)/3)+AV233))))</f>
        <v>40</v>
      </c>
      <c r="AW235" s="920" t="str">
        <f>IF(AV235="","",IF(AV235&gt;90,"OVC",IF(AV235&lt;51,"SCT","BKN")))</f>
        <v>SCT</v>
      </c>
      <c r="AX235" s="1608">
        <f>IF(OR(AC235&lt;($B$237-0.001),AC235&gt;(MAX($B$241:$B$321)+0.001)),"",IF(OR(ISNUMBER(MATCH(AC235,$W$241:$W$321,0)),MOD(HOUR(AC235),3)=0),LOOKUP(AC235,$B$241:$B$321,$I$241:$I$321),IF(MOD(HOUR(AC235),3)=1,IF(OR(AX237="",AX234=""),MAX(AX237,AX234),(AX237-AX234)/3+AX234),IF(OR(AX236="",AX233=""),MAX(AX236,AX233),(2*(AX236-AX233)/3)+AX233))))</f>
        <v>40</v>
      </c>
      <c r="AY235" s="112">
        <f>IF(BA235="Y",AZ235,IF(AND(ISNUMBER(AY234),AC235&lt;$F$186+26/25),(MID(INDEX($A$187:$B$210,MATCH("VIS",$A$187:$A$210,0),2),8+(3*COUNT($AY$207:AY234)),1))*1,IF(AND(HOUR(AC235)=HOUR($F$186),DAY(AC235)=DAY($F$186)),(MID(INDEX($A$187:$B$210,MATCH("VIS",$A$187:$A$210,0),2),8,1))*1,"")))</f>
        <v>7</v>
      </c>
      <c r="AZ235" s="112">
        <f>IF(AND(ISNUMBER(AZ234),AC235&lt;$F$186+26/25),(MID(INDEX($A$187:$B$210,MATCH("CVS",$A$187:$A$210,0),2),8+(3*COUNT($AZ$207:AZ234)),1))*1,IF(AND(HOUR(AC235)=HOUR($F$186),DAY(AC235)=DAY($F$186)),(MID(INDEX($A$187:$B$210,MATCH("CVS",$A$187:$A$210,0),2),8,1))*1,""))</f>
        <v>7</v>
      </c>
      <c r="BA235" s="1610" t="str">
        <f>IF(AND(BA234&lt;&gt;"",AC235&lt;$F$186+26/25),MID(INDEX($A$187:$B$210,MATCH("PCO",$A$187:$A$210,0),2),8+(3*SUM(COUNTIF($BA$207:BA234,"Y"),COUNTIF($BA$207:BA234,"N"))),1),IF(AND(HOUR(AC235)=HOUR($F$186),DAY(AC235)=DAY($F$186)),MID(INDEX($A$187:$B$210,MATCH("PCO",$A$187:$A$210,0),2),8,1),""))</f>
        <v>N</v>
      </c>
      <c r="BB235" s="1610" t="e">
        <f>IF(AND(BB234&lt;&gt;"",AC235&lt;$F$186+26/25),MID(INDEX($A$187:$B$210,MATCH("TYP",$A$187:$A$210,0),2),8+(3*SUM(COUNTIF($BB$207:BB234,"S"),COUNTIF($BB$207:BB234,"Z"), COUNTIF($BB$207:BB234,"R"),COUNTIF($BB$207:BB234,"X"))),1),IF(AND(HOUR(AC235)=HOUR($F$186),DAY(AC235)=DAY($F$186)),MID(INDEX($A$187:$B$210,MATCH("TYP",$A$187:$A$210,0),2),8,1),""))</f>
        <v>#N/A</v>
      </c>
      <c r="BC235" s="112" t="str">
        <f>IF(AND(LEN(BC234)=2,AC235&lt;$F$186+26/25),MID(INDEX($A$187:$B$211,MATCH("OBV",$A$187:$A$211,0),2),7+(3*SUM(COUNTIF($BC$207:BC234," N"),COUNTIF($BC$207:BC234,"HZ"),COUNTIF($BC$207:BC234,"BR"),COUNTIF($BC$207:BC234,"FG"),COUNTIF($BC$207:BC234,"BL"))),2),IF(AND(HOUR(AC235)=HOUR($F$186),DAY(AC235)=DAY($F$186)),MID(INDEX($A$187:$B$211,MATCH("OBV",$A$187:$A$211,0),2),7,2),""))</f>
        <v xml:space="preserve"> N</v>
      </c>
      <c r="BD235" s="112"/>
      <c r="BE235" s="112"/>
      <c r="BF235" s="112"/>
      <c r="BG235" s="1610" t="str">
        <f t="shared" si="40"/>
        <v xml:space="preserve"> N</v>
      </c>
      <c r="BH235" s="115">
        <f t="shared" si="62"/>
        <v>7</v>
      </c>
      <c r="BI235" s="200" t="str">
        <f t="shared" si="76"/>
        <v/>
      </c>
      <c r="BJ235" s="62" t="str">
        <f t="shared" si="75"/>
        <v/>
      </c>
      <c r="BK235" s="1145">
        <f t="shared" si="69"/>
        <v>6</v>
      </c>
      <c r="BL235" s="62" t="str">
        <f t="shared" si="77"/>
        <v/>
      </c>
      <c r="BM235" s="1145">
        <f t="shared" si="73"/>
        <v>16</v>
      </c>
      <c r="BN235" s="1901" t="str">
        <f t="shared" si="44"/>
        <v xml:space="preserve"> N</v>
      </c>
      <c r="BO235" s="1144" t="e">
        <f t="shared" si="78"/>
        <v>#N/A</v>
      </c>
      <c r="BP235" s="106">
        <f t="shared" si="70"/>
        <v>7</v>
      </c>
      <c r="BQ235" s="66" t="str">
        <f t="shared" si="79"/>
        <v/>
      </c>
      <c r="BR235" s="106" t="str">
        <f t="shared" si="80"/>
        <v/>
      </c>
      <c r="BS235" s="834">
        <f t="shared" si="71"/>
        <v>33.5</v>
      </c>
      <c r="BT235" s="106" t="str">
        <f t="shared" si="81"/>
        <v/>
      </c>
      <c r="BU235" s="834">
        <f t="shared" si="63"/>
        <v>40.5</v>
      </c>
      <c r="BV235" s="66" t="str">
        <f t="shared" si="64"/>
        <v xml:space="preserve"> N</v>
      </c>
      <c r="BW235" s="66" t="e">
        <f t="shared" si="65"/>
        <v>#N/A</v>
      </c>
      <c r="BX235" s="1198">
        <f>IF(OR(AC235&lt;($B$237-0.001),AC235&gt;(MAX($B$241:$B$321)+0.001)),"",IF(OR(ISNUMBER(MATCH(AC235,$W$241:$W$321,0)),MOD(HOUR(AC235),3)=0),ROUND(LOOKUP(AC235,$B$241:$B$321,$S$241:$S$321),0),ROUND(IF(MOD(HOUR(AC235),3)=1,(BX237-BX234)/3+BX234,(2*(BX236-BX233)/3)+BX233),0)))</f>
        <v>7</v>
      </c>
      <c r="BY235" s="1146" t="str">
        <f t="shared" si="66"/>
        <v>NSW</v>
      </c>
      <c r="CA235" s="3675">
        <f t="shared" si="67"/>
        <v>44748.208333333328</v>
      </c>
      <c r="CB235" s="3675"/>
    </row>
    <row r="236" spans="1:80">
      <c r="A236" s="978">
        <f>Worksheet!Q73</f>
        <v>0</v>
      </c>
      <c r="B236" s="468" t="str">
        <f>RIGHT(B235,LEN(B235)-4)</f>
        <v>JUL 05 2022</v>
      </c>
      <c r="C236" s="410" t="str">
        <f>LEFT(B236,LEN(B236)-8)</f>
        <v>JUL</v>
      </c>
      <c r="D236" s="410" t="str">
        <f>RIGHT(B236,4)</f>
        <v>2022</v>
      </c>
      <c r="E236" s="410" t="str">
        <f>MID(B236,FIND(" ",B236)+1,2)</f>
        <v>05</v>
      </c>
      <c r="F236" s="410" t="str">
        <f>IF(RIGHT(E236,1)=" ",LEFT(E236,1),E236)</f>
        <v>05</v>
      </c>
      <c r="G236" s="410" t="str">
        <f>CONCATENATE(C236," ",F236,", ",D236)</f>
        <v>JUL 05, 2022</v>
      </c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C236" s="977">
        <f t="shared" si="68"/>
        <v>44748.25</v>
      </c>
      <c r="AD236" s="1610" t="str">
        <f>IF(AND(HOUR(AC236)=HOUR(Worksheet!AF$68),DAY(AC236)=DAY(Worksheet!AF$68)),"START","")</f>
        <v/>
      </c>
      <c r="AE236" s="1149">
        <f>IF(AND(HOUR(AC236)=HOUR($F$186),DAY(AC236)=DAY($F$186)),(MID($B$189,6,3))*1,IF(AND(ISNUMBER(AE235),AC236&lt;$F$186+1+(1/25)),(MID($B$189,6+(3*COUNT($AE$207:AE235)),3))*1,""))</f>
        <v>76</v>
      </c>
      <c r="AF236" s="1164">
        <f t="shared" si="82"/>
        <v>82.904000000000053</v>
      </c>
      <c r="AG236" s="1150">
        <f t="shared" si="50"/>
        <v>78.800000000000011</v>
      </c>
      <c r="AH236" s="1163">
        <f>IF(AND(ISNUMBER(AH235),AC236&lt;$F$186+26/25),(MID($B$190,6+(3*COUNT($AH$207:AH235)),3))*1,IF(AND(HOUR(AC236)=HOUR($F$186),DAY(AC236)=DAY($F$186)),(MID($B$190,6,3))*1,""))</f>
        <v>72</v>
      </c>
      <c r="AI236" s="1901">
        <f t="shared" si="74"/>
        <v>72</v>
      </c>
      <c r="AJ236" s="1164">
        <f t="shared" si="52"/>
        <v>74.156000000000006</v>
      </c>
      <c r="AK236" s="1150">
        <f t="shared" si="53"/>
        <v>75.2</v>
      </c>
      <c r="AL236" s="1152">
        <f t="shared" si="83"/>
        <v>29.93</v>
      </c>
      <c r="AM236" s="1153">
        <f t="shared" si="54"/>
        <v>29.94</v>
      </c>
      <c r="AN236" s="1147"/>
      <c r="AO236" s="976">
        <f>IF(BA236="Y",AP236,IF(AND(ISNUMBER(AO235),AC236&lt;$F$186+26/25),(MID(INDEX($A$187:$B$210,MATCH("CIG",$A$187:$A$210,0),2),8+(3*COUNT($AO$207:AO235)),1))*1,IF(AND(HOUR(AC236)=HOUR($F$186),DAY(AC236)=DAY($F$186)),(MID(INDEX($A$187:$B$210,MATCH("CIG",$A$187:$A$210,0),2),8,1))*1,"")))</f>
        <v>8</v>
      </c>
      <c r="AP236" s="1061">
        <f>IF(AND(ISNUMBER(AP235),AC236&lt;$F$186+26/25),(MID(INDEX($A$187:$B$210,MATCH("CCG",$A$187:$A$210,0),2),8+(3*COUNT($AP$207:AP235)),1))*1,IF(AND(HOUR(AC236)=HOUR($F$186),DAY(AC236)=DAY($F$186)),(MID(INDEX($A$187:$B$210,MATCH("CCG",$A$187:$A$210,0),2),8,1))*1,""))</f>
        <v>8</v>
      </c>
      <c r="AQ236" s="1061" t="str">
        <f>IF(AND(AQ235&lt;&gt;"",AC236&lt;$F$186+26/25),MID(INDEX($A$187:$B$210,MATCH("CLD",$A$187:$A$210,0),2),7+(3*SUM(COUNTIF($AQ$207:AQ235,"OV"),COUNTIF($AQ$207:AQ235,"BK"),COUNTIF($AQ$207:AQ235,"SC"),COUNTIF($AQ$207:AQ235,"FW"),COUNTIF($AQ$207:AQ235,"CL"))),2),IF(AND(HOUR(AC236)=HOUR($F$186),DAY(AC236)=DAY($F$186)),MID(INDEX($A$187:$B$210,MATCH("CLD",$A$187:$A$210,0),2),7,2),""))</f>
        <v>CL</v>
      </c>
      <c r="AR236" s="1149">
        <f t="shared" si="55"/>
        <v>8</v>
      </c>
      <c r="AS236" s="1150" t="str">
        <f t="shared" si="56"/>
        <v>SC</v>
      </c>
      <c r="AT236" s="112">
        <f t="shared" si="57"/>
        <v>8</v>
      </c>
      <c r="AU236" s="1610" t="str">
        <f t="shared" si="58"/>
        <v>SC</v>
      </c>
      <c r="AV236" s="1148">
        <f t="shared" ref="AV236:AV299" si="84">IF(OR(AC236&lt;($B$237-0.001),AC236&gt;(MAX($B$241:$B$321)+0.001)),"",IF(OR(ISNUMBER(MATCH(AC236,$W$241:$W$321,0)),MOD(HOUR(AC236),3)=0),LOOKUP(AC236,$B$241:$B$321,$E$241:$E$321),IF(MOD(HOUR(AC236),3)=1,IF(OR(AV238="",AV235=""),MAX(AV238,AV235),(AV238-AV235)/3+AV235),IF(OR(AV237="",AV234=""),MAX(AV237,AV234),(2*(AV237-AV234)/3)+AV234))))</f>
        <v>40</v>
      </c>
      <c r="AW236" s="920" t="str">
        <f>IF(AV236="","",IF(AV236&gt;90,"OVC",IF(AV236&lt;51,"SCT","BKN")))</f>
        <v>SCT</v>
      </c>
      <c r="AX236" s="1608">
        <f t="shared" ref="AX236:AX299" si="85">IF(OR(AC236&lt;($B$237-0.001),AC236&gt;(MAX($B$241:$B$321)+0.001)),"",IF(OR(ISNUMBER(MATCH(AC236,$W$241:$W$321,0)),MOD(HOUR(AC236),3)=0),LOOKUP(AC236,$B$241:$B$321,$I$241:$I$321),IF(MOD(HOUR(AC236),3)=1,IF(OR(AX238="",AX235=""),MAX(AX238,AX235),(AX238-AX235)/3+AX235),IF(OR(AX237="",AX234=""),MAX(AX237,AX234),(2*(AX237-AX234)/3)+AX234))))</f>
        <v>40</v>
      </c>
      <c r="AY236" s="112">
        <f>IF(BA236="Y",AZ236,IF(AND(ISNUMBER(AY235),AC236&lt;$F$186+26/25),(MID(INDEX($A$187:$B$210,MATCH("VIS",$A$187:$A$210,0),2),8+(3*COUNT($AY$207:AY235)),1))*1,IF(AND(HOUR(AC236)=HOUR($F$186),DAY(AC236)=DAY($F$186)),(MID(INDEX($A$187:$B$210,MATCH("VIS",$A$187:$A$210,0),2),8,1))*1,"")))</f>
        <v>7</v>
      </c>
      <c r="AZ236" s="112">
        <f>IF(AND(ISNUMBER(AZ235),AC236&lt;$F$186+26/25),(MID(INDEX($A$187:$B$210,MATCH("CVS",$A$187:$A$210,0),2),8+(3*COUNT($AZ$207:AZ235)),1))*1,IF(AND(HOUR(AC236)=HOUR($F$186),DAY(AC236)=DAY($F$186)),(MID(INDEX($A$187:$B$210,MATCH("CVS",$A$187:$A$210,0),2),8,1))*1,""))</f>
        <v>7</v>
      </c>
      <c r="BA236" s="1610" t="str">
        <f>IF(AND(BA235&lt;&gt;"",AC236&lt;$F$186+26/25),MID(INDEX($A$187:$B$210,MATCH("PCO",$A$187:$A$210,0),2),8+(3*SUM(COUNTIF($BA$207:BA235,"Y"),COUNTIF($BA$207:BA235,"N"))),1),IF(AND(HOUR(AC236)=HOUR($F$186),DAY(AC236)=DAY($F$186)),MID(INDEX($A$187:$B$210,MATCH("PCO",$A$187:$A$210,0),2),8,1),""))</f>
        <v>N</v>
      </c>
      <c r="BB236" s="1610" t="e">
        <f>IF(AND(BB235&lt;&gt;"",AC236&lt;$F$186+26/25),MID(INDEX($A$187:$B$210,MATCH("TYP",$A$187:$A$210,0),2),8+(3*SUM(COUNTIF($BB$207:BB235,"S"),COUNTIF($BB$207:BB235,"Z"), COUNTIF($BB$207:BB235,"R"),COUNTIF($BB$207:BB235,"X"))),1),IF(AND(HOUR(AC236)=HOUR($F$186),DAY(AC236)=DAY($F$186)),MID(INDEX($A$187:$B$210,MATCH("TYP",$A$187:$A$210,0),2),8,1),""))</f>
        <v>#N/A</v>
      </c>
      <c r="BC236" s="112" t="str">
        <f>IF(AND(LEN(BC235)=2,AC236&lt;$F$186+26/25),MID(INDEX($A$187:$B$211,MATCH("OBV",$A$187:$A$211,0),2),7+(3*SUM(COUNTIF($BC$207:BC235," N"),COUNTIF($BC$207:BC235,"HZ"),COUNTIF($BC$207:BC235,"BR"),COUNTIF($BC$207:BC235,"FG"),COUNTIF($BC$207:BC235,"BL"))),2),IF(AND(HOUR(AC236)=HOUR($F$186),DAY(AC236)=DAY($F$186)),MID(INDEX($A$187:$B$211,MATCH("OBV",$A$187:$A$211,0),2),7,2),""))</f>
        <v xml:space="preserve"> N</v>
      </c>
      <c r="BD236" s="112"/>
      <c r="BE236" s="112"/>
      <c r="BF236" s="112"/>
      <c r="BG236" s="1610" t="str">
        <f t="shared" si="40"/>
        <v xml:space="preserve"> N</v>
      </c>
      <c r="BH236" s="115">
        <f>IF(OR(AC236&lt;($F$373-0.001),AC236&gt;($F$374+0.001)),"",IF(AC236-$F$373&lt;2.24,IF(MOD(HOUR(AC236),3)=0,(MID(INDEX($A$370:$B$392,MATCH("VIS",$A$370:$A$392,0),2),8+(3*(AC236-$F$373)*8),1))*1,IF(MOD(HOUR(AC235),3)=0,BH235,BH237)),IF(MOD(HOUR(AC236),6)=0,(MID(INDEX($A$370:$B$392,MATCH("VIS",$A$370:$A$392,0),2),62+(3*(ROUND(((AC236-$F$373)-2.25)*4,1))),1))*1,"")))</f>
        <v>7</v>
      </c>
      <c r="BI236" s="200" t="str">
        <f t="shared" si="76"/>
        <v/>
      </c>
      <c r="BJ236" s="62">
        <f t="shared" si="75"/>
        <v>3</v>
      </c>
      <c r="BK236" s="1145">
        <f t="shared" si="69"/>
        <v>6</v>
      </c>
      <c r="BL236" s="62">
        <f t="shared" si="77"/>
        <v>16</v>
      </c>
      <c r="BM236" s="1145">
        <f t="shared" si="73"/>
        <v>16</v>
      </c>
      <c r="BN236" s="1901" t="str">
        <f t="shared" si="44"/>
        <v xml:space="preserve"> N</v>
      </c>
      <c r="BO236" s="1144" t="e">
        <f>IF(OR($AC236&lt;($F$373-0.001),$AC236&gt;($F$374+0.001)),"",IF($AC236-calc!$F$373&lt;2.24,IF(MOD(HOUR($AC236),3)=0,MID(INDEX($A$369:$B$392,MATCH("TYP",$A$369:$A$392,0),2),7+(3*($AC236-$F$373)*8),2),IF(MOD(HOUR($AC235),3)=0,BO235,BO237)),IF(MOD(HOUR($AC236),6)=0,MID(INDEX($A$369:$B$392,MATCH("TYP",$A$369:$A$392,0),2),61+(3*(ROUND((($AC236-$F$373)-2.25)*4,2))),2),"")))</f>
        <v>#N/A</v>
      </c>
      <c r="BP236" s="106">
        <f t="shared" si="70"/>
        <v>7</v>
      </c>
      <c r="BQ236" s="66" t="str">
        <f t="shared" si="79"/>
        <v/>
      </c>
      <c r="BR236" s="106">
        <f t="shared" si="80"/>
        <v>26</v>
      </c>
      <c r="BS236" s="834">
        <f t="shared" si="71"/>
        <v>33.5</v>
      </c>
      <c r="BT236" s="106">
        <f t="shared" si="81"/>
        <v>38</v>
      </c>
      <c r="BU236" s="834">
        <f t="shared" si="63"/>
        <v>40.5</v>
      </c>
      <c r="BV236" s="66" t="str">
        <f t="shared" si="64"/>
        <v xml:space="preserve"> N</v>
      </c>
      <c r="BW236" s="66" t="e">
        <f t="shared" si="65"/>
        <v>#N/A</v>
      </c>
      <c r="BX236" s="1198">
        <f t="shared" ref="BX236:BX299" si="86">IF(OR(AC236&lt;($B$237-0.001),AC236&gt;(MAX($B$241:$B$321)+0.001)),"",IF(OR(ISNUMBER(MATCH(AC236,$W$241:$W$321,0)),MOD(HOUR(AC236),3)=0),ROUND(LOOKUP(AC236,$B$241:$B$321,$S$241:$S$321),0),ROUND(IF(MOD(HOUR(AC236),3)=1,(BX238-BX235)/3+BX235,(2*(BX237-BX234)/3)+BX234),0)))</f>
        <v>7</v>
      </c>
      <c r="BY236" s="1146" t="str">
        <f t="shared" si="66"/>
        <v>NSW</v>
      </c>
      <c r="CA236" s="3675">
        <f t="shared" si="67"/>
        <v>44748.25</v>
      </c>
      <c r="CB236" s="3675"/>
    </row>
    <row r="237" spans="1:80" ht="10.5">
      <c r="A237" s="978" t="str">
        <f>Worksheet!Q74</f>
        <v>FORECAST OUTPUT US</v>
      </c>
      <c r="B237" s="469">
        <f>F235+D235</f>
        <v>44747.75</v>
      </c>
      <c r="C237" s="453"/>
      <c r="D237" s="454"/>
      <c r="E237" s="3678" t="s">
        <v>392</v>
      </c>
      <c r="F237" s="3678"/>
      <c r="G237" s="3678"/>
      <c r="H237" s="3678"/>
      <c r="I237" s="3678"/>
      <c r="J237" s="3679" t="s">
        <v>333</v>
      </c>
      <c r="K237" s="3680"/>
      <c r="L237" s="3680"/>
      <c r="M237" s="3680"/>
      <c r="N237" s="3680"/>
      <c r="O237" s="3680"/>
      <c r="P237" s="3680"/>
      <c r="Q237" s="3680"/>
      <c r="R237" s="3680"/>
      <c r="S237" s="3680"/>
      <c r="T237" s="455" t="s">
        <v>334</v>
      </c>
      <c r="U237" s="3680" t="s">
        <v>2729</v>
      </c>
      <c r="V237" s="3680"/>
      <c r="W237" s="1606"/>
      <c r="X237" s="410"/>
      <c r="Y237" s="1927" t="s">
        <v>2709</v>
      </c>
      <c r="Z237" s="1927" t="s">
        <v>2730</v>
      </c>
      <c r="AC237" s="977">
        <f t="shared" si="68"/>
        <v>44748.291666666664</v>
      </c>
      <c r="AD237" s="1610" t="str">
        <f>IF(AND(HOUR(AC237)=HOUR(Worksheet!AF$68),DAY(AC237)=DAY(Worksheet!AF$68)),"START","")</f>
        <v/>
      </c>
      <c r="AE237" s="1149">
        <f>IF(AND(HOUR(AC237)=HOUR($F$186),DAY(AC237)=DAY($F$186)),(MID($B$189,6,3))*1,IF(AND(ISNUMBER(AE236),AC237&lt;$F$186+1+(1/25)),(MID($B$189,6+(3*COUNT($AE$207:AE236)),3))*1,""))</f>
        <v>75</v>
      </c>
      <c r="AF237" s="1164">
        <f t="shared" si="82"/>
        <v>82.208000000000027</v>
      </c>
      <c r="AG237" s="1150">
        <f t="shared" si="50"/>
        <v>78.800000000000011</v>
      </c>
      <c r="AH237" s="1163">
        <f>IF(AND(ISNUMBER(AH236),AC237&lt;$F$186+26/25),(MID($B$190,6+(3*COUNT($AH$207:AH236)),3))*1,IF(AND(HOUR(AC237)=HOUR($F$186),DAY(AC237)=DAY($F$186)),(MID($B$190,6,3))*1,""))</f>
        <v>73</v>
      </c>
      <c r="AI237" s="1901">
        <f t="shared" si="74"/>
        <v>73</v>
      </c>
      <c r="AJ237" s="1164">
        <f t="shared" si="52"/>
        <v>73.970000000000013</v>
      </c>
      <c r="AK237" s="1150">
        <f t="shared" si="53"/>
        <v>75.2</v>
      </c>
      <c r="AL237" s="1152">
        <f t="shared" si="83"/>
        <v>29.926666666666666</v>
      </c>
      <c r="AM237" s="1153">
        <f t="shared" si="54"/>
        <v>29.94</v>
      </c>
      <c r="AN237" s="1147"/>
      <c r="AO237" s="976">
        <f>IF(BA237="Y",AP237,IF(AND(ISNUMBER(AO236),AC237&lt;$F$186+26/25),(MID(INDEX($A$187:$B$210,MATCH("CIG",$A$187:$A$210,0),2),8+(3*COUNT($AO$207:AO236)),1))*1,IF(AND(HOUR(AC237)=HOUR($F$186),DAY(AC237)=DAY($F$186)),(MID(INDEX($A$187:$B$210,MATCH("CIG",$A$187:$A$210,0),2),8,1))*1,"")))</f>
        <v>8</v>
      </c>
      <c r="AP237" s="1061">
        <f>IF(AND(ISNUMBER(AP236),AC237&lt;$F$186+26/25),(MID(INDEX($A$187:$B$210,MATCH("CCG",$A$187:$A$210,0),2),8+(3*COUNT($AP$207:AP236)),1))*1,IF(AND(HOUR(AC237)=HOUR($F$186),DAY(AC237)=DAY($F$186)),(MID(INDEX($A$187:$B$210,MATCH("CCG",$A$187:$A$210,0),2),8,1))*1,""))</f>
        <v>8</v>
      </c>
      <c r="AQ237" s="1061" t="str">
        <f>IF(AND(AQ236&lt;&gt;"",AC237&lt;$F$186+26/25),MID(INDEX($A$187:$B$210,MATCH("CLD",$A$187:$A$210,0),2),7+(3*SUM(COUNTIF($AQ$207:AQ236,"OV"),COUNTIF($AQ$207:AQ236,"BK"),COUNTIF($AQ$207:AQ236,"SC"),COUNTIF($AQ$207:AQ236,"FW"),COUNTIF($AQ$207:AQ236,"CL"))),2),IF(AND(HOUR(AC237)=HOUR($F$186),DAY(AC237)=DAY($F$186)),MID(INDEX($A$187:$B$210,MATCH("CLD",$A$187:$A$210,0),2),7,2),""))</f>
        <v>CL</v>
      </c>
      <c r="AR237" s="1149">
        <f t="shared" si="55"/>
        <v>8</v>
      </c>
      <c r="AS237" s="1150" t="str">
        <f t="shared" si="56"/>
        <v>SC</v>
      </c>
      <c r="AT237" s="112">
        <f t="shared" si="57"/>
        <v>8</v>
      </c>
      <c r="AU237" s="1610" t="str">
        <f t="shared" si="58"/>
        <v>SC</v>
      </c>
      <c r="AV237" s="1148">
        <f t="shared" si="84"/>
        <v>40</v>
      </c>
      <c r="AW237" s="920" t="str">
        <f t="shared" ref="AW237:AW300" si="87">IF(AV237="","",IF(AV237&gt;90,"OVC",IF(AV237&lt;51,"SCT","BKN")))</f>
        <v>SCT</v>
      </c>
      <c r="AX237" s="1608">
        <f t="shared" si="85"/>
        <v>40</v>
      </c>
      <c r="AY237" s="112">
        <f>IF(BA237="Y",AZ237,IF(AND(ISNUMBER(AY236),AC237&lt;$F$186+26/25),(MID(INDEX($A$187:$B$210,MATCH("VIS",$A$187:$A$210,0),2),8+(3*COUNT($AY$207:AY236)),1))*1,IF(AND(HOUR(AC237)=HOUR($F$186),DAY(AC237)=DAY($F$186)),(MID(INDEX($A$187:$B$210,MATCH("VIS",$A$187:$A$210,0),2),8,1))*1,"")))</f>
        <v>7</v>
      </c>
      <c r="AZ237" s="112">
        <f>IF(AND(ISNUMBER(AZ236),AC237&lt;$F$186+26/25),(MID(INDEX($A$187:$B$210,MATCH("CVS",$A$187:$A$210,0),2),8+(3*COUNT($AZ$207:AZ236)),1))*1,IF(AND(HOUR(AC237)=HOUR($F$186),DAY(AC237)=DAY($F$186)),(MID(INDEX($A$187:$B$210,MATCH("CVS",$A$187:$A$210,0),2),8,1))*1,""))</f>
        <v>7</v>
      </c>
      <c r="BA237" s="1610" t="str">
        <f>IF(AND(BA236&lt;&gt;"",AC237&lt;$F$186+26/25),MID(INDEX($A$187:$B$210,MATCH("PCO",$A$187:$A$210,0),2),8+(3*SUM(COUNTIF($BA$207:BA236,"Y"),COUNTIF($BA$207:BA236,"N"))),1),IF(AND(HOUR(AC237)=HOUR($F$186),DAY(AC237)=DAY($F$186)),MID(INDEX($A$187:$B$210,MATCH("PCO",$A$187:$A$210,0),2),8,1),""))</f>
        <v>N</v>
      </c>
      <c r="BB237" s="1610" t="e">
        <f>IF(AND(BB236&lt;&gt;"",AC237&lt;$F$186+26/25),MID(INDEX($A$187:$B$210,MATCH("TYP",$A$187:$A$210,0),2),8+(3*SUM(COUNTIF($BB$207:BB236,"S"),COUNTIF($BB$207:BB236,"Z"), COUNTIF($BB$207:BB236,"R"),COUNTIF($BB$207:BB236,"X"))),1),IF(AND(HOUR(AC237)=HOUR($F$186),DAY(AC237)=DAY($F$186)),MID(INDEX($A$187:$B$210,MATCH("TYP",$A$187:$A$210,0),2),8,1),""))</f>
        <v>#N/A</v>
      </c>
      <c r="BC237" s="112" t="str">
        <f>IF(AND(LEN(BC236)=2,AC237&lt;$F$186+26/25),MID(INDEX($A$187:$B$211,MATCH("OBV",$A$187:$A$211,0),2),7+(3*SUM(COUNTIF($BC$207:BC236," N"),COUNTIF($BC$207:BC236,"HZ"),COUNTIF($BC$207:BC236,"BR"),COUNTIF($BC$207:BC236,"FG"),COUNTIF($BC$207:BC236,"BL"))),2),IF(AND(HOUR(AC237)=HOUR($F$186),DAY(AC237)=DAY($F$186)),MID(INDEX($A$187:$B$211,MATCH("OBV",$A$187:$A$211,0),2),7,2),""))</f>
        <v xml:space="preserve"> N</v>
      </c>
      <c r="BD237" s="112"/>
      <c r="BE237" s="112"/>
      <c r="BF237" s="112"/>
      <c r="BG237" s="1610" t="str">
        <f t="shared" si="40"/>
        <v xml:space="preserve"> N</v>
      </c>
      <c r="BH237" s="115">
        <f t="shared" si="62"/>
        <v>7</v>
      </c>
      <c r="BI237" s="200" t="str">
        <f t="shared" si="76"/>
        <v/>
      </c>
      <c r="BJ237" s="62" t="str">
        <f t="shared" si="75"/>
        <v/>
      </c>
      <c r="BK237" s="1145">
        <f t="shared" si="69"/>
        <v>6</v>
      </c>
      <c r="BL237" s="62" t="str">
        <f t="shared" si="77"/>
        <v/>
      </c>
      <c r="BM237" s="1145">
        <f t="shared" si="73"/>
        <v>16</v>
      </c>
      <c r="BN237" s="1901" t="str">
        <f t="shared" si="44"/>
        <v xml:space="preserve"> N</v>
      </c>
      <c r="BO237" s="1144" t="e">
        <f>IF(OR($AC237&lt;($F$373-0.001),$AC237&gt;($F$374+0.001)),"",IF($AC237-$F$373&lt;2.24,IF(MOD(HOUR($AC237),3)=0,MID(INDEX($A$369:$B$392,MATCH("TYP",$A$369:$A$392,0),2),7+(3*($AC237-$F$373)*8),2),IF(MOD(HOUR($AC236),3)=0,BO236,BO238)),IF(MOD(HOUR($AC237),6)=0,MID(INDEX($A$369:$B$392,MATCH("TYP",$A$369:$A$392,0),2),61+(3*(ROUND((($AC237-$F$373)-2.25)*4,2))),2),"")))</f>
        <v>#N/A</v>
      </c>
      <c r="BP237" s="106">
        <f t="shared" si="70"/>
        <v>7</v>
      </c>
      <c r="BQ237" s="66" t="str">
        <f t="shared" si="79"/>
        <v/>
      </c>
      <c r="BR237" s="106" t="str">
        <f t="shared" si="80"/>
        <v/>
      </c>
      <c r="BS237" s="834">
        <f t="shared" si="71"/>
        <v>33.5</v>
      </c>
      <c r="BT237" s="106" t="str">
        <f t="shared" si="81"/>
        <v/>
      </c>
      <c r="BU237" s="834">
        <f t="shared" si="63"/>
        <v>40.5</v>
      </c>
      <c r="BV237" s="66" t="str">
        <f t="shared" si="64"/>
        <v xml:space="preserve"> N</v>
      </c>
      <c r="BW237" s="66" t="e">
        <f t="shared" si="65"/>
        <v>#N/A</v>
      </c>
      <c r="BX237" s="1198">
        <f t="shared" si="86"/>
        <v>7</v>
      </c>
      <c r="BY237" s="1146" t="str">
        <f t="shared" si="66"/>
        <v>NSW</v>
      </c>
      <c r="CA237" s="3675">
        <f t="shared" si="67"/>
        <v>44748.291666666664</v>
      </c>
      <c r="CB237" s="3675"/>
    </row>
    <row r="238" spans="1:80" ht="10.5">
      <c r="A238" s="978">
        <f>Worksheet!Q75</f>
        <v>0</v>
      </c>
      <c r="B238" s="452"/>
      <c r="C238" s="467" t="s">
        <v>41</v>
      </c>
      <c r="D238" s="456"/>
      <c r="E238" s="1606" t="s">
        <v>2731</v>
      </c>
      <c r="F238" s="1606" t="s">
        <v>392</v>
      </c>
      <c r="G238" s="1607"/>
      <c r="H238" s="1606" t="s">
        <v>2732</v>
      </c>
      <c r="I238" s="1606" t="s">
        <v>2733</v>
      </c>
      <c r="J238" s="1927" t="s">
        <v>2734</v>
      </c>
      <c r="K238" s="1928" t="s">
        <v>2730</v>
      </c>
      <c r="L238" s="1928" t="s">
        <v>2735</v>
      </c>
      <c r="M238" s="457">
        <v>2</v>
      </c>
      <c r="N238" s="457"/>
      <c r="O238" s="457">
        <v>1</v>
      </c>
      <c r="P238" s="457">
        <v>0</v>
      </c>
      <c r="Q238" s="457" t="s">
        <v>333</v>
      </c>
      <c r="R238" s="457" t="s">
        <v>398</v>
      </c>
      <c r="S238" s="1928" t="s">
        <v>2736</v>
      </c>
      <c r="T238" s="456"/>
      <c r="U238" s="1606" t="s">
        <v>326</v>
      </c>
      <c r="V238" s="1606" t="s">
        <v>2737</v>
      </c>
      <c r="W238" s="1606"/>
      <c r="X238" s="410"/>
      <c r="Y238" s="458"/>
      <c r="Z238" s="1927"/>
      <c r="AC238" s="977">
        <f t="shared" si="68"/>
        <v>44748.333333333328</v>
      </c>
      <c r="AD238" s="1610" t="str">
        <f>IF(AND(HOUR(AC238)=HOUR(Worksheet!AF$68),DAY(AC238)=DAY(Worksheet!AF$68)),"START","")</f>
        <v/>
      </c>
      <c r="AE238" s="1149">
        <f>IF(AND(HOUR(AC238)=HOUR($F$186),DAY(AC238)=DAY($F$186)),(MID($B$189,6,3))*1,IF(AND(ISNUMBER(AE237),AC238&lt;$F$186+1+(1/25)),(MID($B$189,6+(3*COUNT($AE$207:AE237)),3))*1,""))</f>
        <v>74</v>
      </c>
      <c r="AF238" s="1164">
        <f t="shared" si="82"/>
        <v>81.512</v>
      </c>
      <c r="AG238" s="1150">
        <f t="shared" si="50"/>
        <v>78.800000000000011</v>
      </c>
      <c r="AH238" s="1163">
        <f>IF(AND(ISNUMBER(AH237),AC238&lt;$F$186+26/25),(MID($B$190,6+(3*COUNT($AH$207:AH237)),3))*1,IF(AND(HOUR(AC238)=HOUR($F$186),DAY(AC238)=DAY($F$186)),(MID($B$190,6,3))*1,""))</f>
        <v>73</v>
      </c>
      <c r="AI238" s="1901">
        <f t="shared" si="74"/>
        <v>73</v>
      </c>
      <c r="AJ238" s="1164">
        <f t="shared" si="52"/>
        <v>73.784000000000006</v>
      </c>
      <c r="AK238" s="1150">
        <f t="shared" si="53"/>
        <v>75.2</v>
      </c>
      <c r="AL238" s="1152">
        <f t="shared" si="83"/>
        <v>29.923333333333336</v>
      </c>
      <c r="AM238" s="1153">
        <f t="shared" si="54"/>
        <v>29.93</v>
      </c>
      <c r="AN238" s="1147"/>
      <c r="AO238" s="976">
        <f>IF(BA238="Y",AP238,IF(AND(ISNUMBER(AO237),AC238&lt;$F$186+26/25),(MID(INDEX($A$187:$B$210,MATCH("CIG",$A$187:$A$210,0),2),8+(3*COUNT($AO$207:AO237)),1))*1,IF(AND(HOUR(AC238)=HOUR($F$186),DAY(AC238)=DAY($F$186)),(MID(INDEX($A$187:$B$210,MATCH("CIG",$A$187:$A$210,0),2),8,1))*1,"")))</f>
        <v>8</v>
      </c>
      <c r="AP238" s="1061">
        <f>IF(AND(ISNUMBER(AP237),AC238&lt;$F$186+26/25),(MID(INDEX($A$187:$B$210,MATCH("CCG",$A$187:$A$210,0),2),8+(3*COUNT($AP$207:AP237)),1))*1,IF(AND(HOUR(AC238)=HOUR($F$186),DAY(AC238)=DAY($F$186)),(MID(INDEX($A$187:$B$210,MATCH("CCG",$A$187:$A$210,0),2),8,1))*1,""))</f>
        <v>8</v>
      </c>
      <c r="AQ238" s="1061" t="str">
        <f>IF(AND(AQ237&lt;&gt;"",AC238&lt;$F$186+26/25),MID(INDEX($A$187:$B$210,MATCH("CLD",$A$187:$A$210,0),2),7+(3*SUM(COUNTIF($AQ$207:AQ237,"OV"),COUNTIF($AQ$207:AQ237,"BK"),COUNTIF($AQ$207:AQ237,"SC"),COUNTIF($AQ$207:AQ237,"FW"),COUNTIF($AQ$207:AQ237,"CL"))),2),IF(AND(HOUR(AC238)=HOUR($F$186),DAY(AC238)=DAY($F$186)),MID(INDEX($A$187:$B$210,MATCH("CLD",$A$187:$A$210,0),2),7,2),""))</f>
        <v>CL</v>
      </c>
      <c r="AR238" s="1149">
        <f t="shared" si="55"/>
        <v>8</v>
      </c>
      <c r="AS238" s="1150" t="str">
        <f t="shared" si="56"/>
        <v>BK</v>
      </c>
      <c r="AT238" s="112">
        <f t="shared" si="57"/>
        <v>8</v>
      </c>
      <c r="AU238" s="1610" t="str">
        <f t="shared" si="58"/>
        <v>SC</v>
      </c>
      <c r="AV238" s="1148">
        <f t="shared" si="84"/>
        <v>40</v>
      </c>
      <c r="AW238" s="920" t="str">
        <f t="shared" si="87"/>
        <v>SCT</v>
      </c>
      <c r="AX238" s="1608">
        <f t="shared" si="85"/>
        <v>40</v>
      </c>
      <c r="AY238" s="112">
        <f>IF(BA238="Y",AZ238,IF(AND(ISNUMBER(AY237),AC238&lt;$F$186+26/25),(MID(INDEX($A$187:$B$210,MATCH("VIS",$A$187:$A$210,0),2),8+(3*COUNT($AY$207:AY237)),1))*1,IF(AND(HOUR(AC238)=HOUR($F$186),DAY(AC238)=DAY($F$186)),(MID(INDEX($A$187:$B$210,MATCH("VIS",$A$187:$A$210,0),2),8,1))*1,"")))</f>
        <v>7</v>
      </c>
      <c r="AZ238" s="112">
        <f>IF(AND(ISNUMBER(AZ237),AC238&lt;$F$186+26/25),(MID(INDEX($A$187:$B$210,MATCH("CVS",$A$187:$A$210,0),2),8+(3*COUNT($AZ$207:AZ237)),1))*1,IF(AND(HOUR(AC238)=HOUR($F$186),DAY(AC238)=DAY($F$186)),(MID(INDEX($A$187:$B$210,MATCH("CVS",$A$187:$A$210,0),2),8,1))*1,""))</f>
        <v>7</v>
      </c>
      <c r="BA238" s="1610" t="str">
        <f>IF(AND(BA237&lt;&gt;"",AC238&lt;$F$186+26/25),MID(INDEX($A$187:$B$210,MATCH("PCO",$A$187:$A$210,0),2),8+(3*SUM(COUNTIF($BA$207:BA237,"Y"),COUNTIF($BA$207:BA237,"N"))),1),IF(AND(HOUR(AC238)=HOUR($F$186),DAY(AC238)=DAY($F$186)),MID(INDEX($A$187:$B$210,MATCH("PCO",$A$187:$A$210,0),2),8,1),""))</f>
        <v>N</v>
      </c>
      <c r="BB238" s="1610" t="e">
        <f>IF(AND(BB237&lt;&gt;"",AC238&lt;$F$186+26/25),MID(INDEX($A$187:$B$210,MATCH("TYP",$A$187:$A$210,0),2),8+(3*SUM(COUNTIF($BB$207:BB237,"S"),COUNTIF($BB$207:BB237,"Z"), COUNTIF($BB$207:BB237,"R"),COUNTIF($BB$207:BB237,"X"))),1),IF(AND(HOUR(AC238)=HOUR($F$186),DAY(AC238)=DAY($F$186)),MID(INDEX($A$187:$B$210,MATCH("TYP",$A$187:$A$210,0),2),8,1),""))</f>
        <v>#N/A</v>
      </c>
      <c r="BC238" s="112" t="str">
        <f>IF(AND(LEN(BC237)=2,AC238&lt;$F$186+26/25),MID(INDEX($A$187:$B$211,MATCH("OBV",$A$187:$A$211,0),2),7+(3*SUM(COUNTIF($BC$207:BC237," N"),COUNTIF($BC$207:BC237,"HZ"),COUNTIF($BC$207:BC237,"BR"),COUNTIF($BC$207:BC237,"FG"),COUNTIF($BC$207:BC237,"BL"))),2),IF(AND(HOUR(AC238)=HOUR($F$186),DAY(AC238)=DAY($F$186)),MID(INDEX($A$187:$B$211,MATCH("OBV",$A$187:$A$211,0),2),7,2),""))</f>
        <v xml:space="preserve"> N</v>
      </c>
      <c r="BD238" s="112"/>
      <c r="BE238" s="112"/>
      <c r="BF238" s="112"/>
      <c r="BG238" s="1610" t="str">
        <f t="shared" si="40"/>
        <v xml:space="preserve"> N</v>
      </c>
      <c r="BH238" s="115">
        <f t="shared" si="62"/>
        <v>7</v>
      </c>
      <c r="BI238" s="200" t="str">
        <f t="shared" si="76"/>
        <v/>
      </c>
      <c r="BJ238" s="62" t="str">
        <f t="shared" si="75"/>
        <v/>
      </c>
      <c r="BK238" s="1145">
        <f>IF(COUNT(BJ238:BJ243)&gt;0,IF(MOD(HOUR(AC238),6)=0,AVERAGE(MAX(BJ238:BJ244),MIN(BJ238:BJ244)),IF(MOD(HOUR(AC238),3)=0,MAX(BJ239:BJ244),IF(MOD(HOUR(AC237),3)=0,BK237,BK239))),"")</f>
        <v>9</v>
      </c>
      <c r="BL238" s="62" t="str">
        <f t="shared" si="77"/>
        <v/>
      </c>
      <c r="BM238" s="1145">
        <f>IF(COUNT(BL238:BL243)&gt;0,IF(MOD(HOUR(AC238),6)=0,AVERAGE(MAX(BL238:BL244),MIN(BL238:BL244)),IF(MOD(HOUR(AC238),3)=0,MAX(BL239:BL244),IF(MOD(HOUR(AC237),3)=0,BM237,BM239))),"")</f>
        <v>16</v>
      </c>
      <c r="BN238" s="1901" t="str">
        <f t="shared" si="44"/>
        <v xml:space="preserve"> N</v>
      </c>
      <c r="BO238" s="1144" t="e">
        <f>IF(OR($AC238&lt;($F$373-0.001),$AC238&gt;($F$374+0.001)),"",IF($AC238-$F$373&lt;2.24,IF(MOD(HOUR($AC238),3)=0,MID(INDEX($A$369:$B$392,MATCH("TYP",$A$369:$A$392,0),2),7+(3*($AC238-$F$373)*8),2),IF(MOD(HOUR($AC237),3)=0,BO237,BO239)),IF(MOD(HOUR($AC238),6)=0,MID(INDEX($A$369:$B$392,MATCH("TYP",$A$369:$A$392,0),2),61+(3*(ROUND((($AC238-$F$373)-2.25)*4,2))),2),"")))</f>
        <v>#N/A</v>
      </c>
      <c r="BP238" s="106">
        <f t="shared" si="70"/>
        <v>7</v>
      </c>
      <c r="BQ238" s="66" t="str">
        <f t="shared" si="79"/>
        <v/>
      </c>
      <c r="BR238" s="106" t="str">
        <f t="shared" si="80"/>
        <v/>
      </c>
      <c r="BS238" s="834">
        <f t="shared" si="71"/>
        <v>41</v>
      </c>
      <c r="BT238" s="106" t="str">
        <f t="shared" si="81"/>
        <v/>
      </c>
      <c r="BU238" s="834">
        <f t="shared" si="63"/>
        <v>43</v>
      </c>
      <c r="BV238" s="66" t="str">
        <f t="shared" si="64"/>
        <v xml:space="preserve"> N</v>
      </c>
      <c r="BW238" s="66" t="e">
        <f t="shared" si="65"/>
        <v>#N/A</v>
      </c>
      <c r="BX238" s="1198">
        <f t="shared" si="86"/>
        <v>7</v>
      </c>
      <c r="BY238" s="1146" t="str">
        <f t="shared" si="66"/>
        <v>NSW</v>
      </c>
      <c r="CA238" s="3675">
        <f t="shared" si="67"/>
        <v>44748.333333333328</v>
      </c>
      <c r="CB238" s="3675"/>
    </row>
    <row r="239" spans="1:80" ht="10.5">
      <c r="A239" s="978" t="str">
        <f>Worksheet!Q76</f>
        <v>37.91N 85.97W</v>
      </c>
      <c r="B239" s="452" t="str">
        <f>IF(OR(LEFT(A239,1)="0",LEFT(A239,1)="1"),(VALUE(LEFT(A239,3))/24)+B$237,IF(LEFT(A239)="/",B$237,""))</f>
        <v/>
      </c>
      <c r="C239" s="466" t="str">
        <f>IF(B239="","",VALUE(CONCATENATE(IF(MID(A239,25,1)="0","3","2"),MID(A239,25,1),".",MID(A239,26,2))))</f>
        <v/>
      </c>
      <c r="D239" s="454" t="str">
        <f t="shared" ref="D239:D304" si="88">IF(C239="","",HOUR(B239))</f>
        <v/>
      </c>
      <c r="E239" s="476" t="str">
        <f>IF(B239="","",IF(OR(F239="NONE",I239=""),40,IF(OR(VALUE(MID(A239,12,2))&gt;94,VALUE(MID(A239,14,2))&gt;94),100,70)))</f>
        <v/>
      </c>
      <c r="F239" s="460" t="str">
        <f t="shared" ref="F239:F270" si="89">IF(D239="","",IF(MID(A239,46,3)="---","NONE",VALUE(MID(A239,46,3))))</f>
        <v/>
      </c>
      <c r="G239" s="460" t="str">
        <f>IF(D239="","",IF(F239="NONE","SCT",IF(F239&gt;249,250,IF(AND(F239&gt;199,F239&lt;250),200,IF(AND(F239&gt;99,F239&lt;200),MROUND(F239,10),IF(AND(F239&gt;49,F239&lt;100),MROUND(F239,5),IF(F239&lt;5,5,F239)))))))</f>
        <v/>
      </c>
      <c r="H239" s="460" t="str">
        <f>IF(G239="","",IF(AND(G239&lt;&gt;"SCT",G239&lt;20),G239,IF(VALUE(MID(A239,12,2))&gt;84,20,G239)))</f>
        <v/>
      </c>
      <c r="I239" s="460" t="str">
        <f>IF(H239="","",IF(AND(OR(H239&gt;30,H239="SCT"),VALUE(MID(A239,14,2))&gt;84),30,IF(H239="SCT",40,H239)))</f>
        <v/>
      </c>
      <c r="J239" s="461" t="str">
        <f>IF(B239="","",IF(VALUE(MID(A239,35,2))&lt;50,VALUE(MID(A239,35,2)),(100-VALUE(MID(A239,35,2)))*(0-1)))</f>
        <v/>
      </c>
      <c r="K239" s="462" t="str">
        <f>IF(B239="","",IF(VALUE(MID(A239,8,2))&lt;50,VALUE(MID(A239,8,2)),(100-VALUE(MID(A239,8,2)))*(-1)))</f>
        <v/>
      </c>
      <c r="L239" s="462" t="str">
        <f t="shared" ref="L239:L265" si="90">IF(B239="","",J239-K239)</f>
        <v/>
      </c>
      <c r="M239" s="462" t="str">
        <f>IF(B239="","",IF(AND(D239&gt;2,D239&lt;15,L239=2,OR(I239="",I239&gt;200)),6,7))</f>
        <v/>
      </c>
      <c r="N239" s="462"/>
      <c r="O239" s="462" t="str">
        <f>IF(B239="","",IF(AND(D239&gt;2,D239&lt;15,L239=1,OR(I239="",I239&gt;200)),3,IF(AND(D239&gt;2,D239&lt;15,L239=1,I239&lt;250),6,7)))</f>
        <v/>
      </c>
      <c r="P239" s="462" t="str">
        <f>IF(B239="","",IF(AND(D239&gt;2,D239&lt;15,L239&lt;1,OR(I239="",I239&gt;200)),1,IF(AND(D239&gt;2,D239&lt;15,L239&lt;1,I239&lt;201),2,7)))</f>
        <v/>
      </c>
      <c r="Q239" s="462" t="str">
        <f t="shared" ref="Q239:Q270" si="91">IF(D239="","",(MID(A239,49,3))*0.1)</f>
        <v/>
      </c>
      <c r="R239" s="462" t="str">
        <f>IF(D239="","",IF(OR(MID(A239,44,1)="S",MID(A239,44,1)="X"),Q239/4,IF(OR(MID(A239,44,1)="T",MID(A239,44,1)="P"),Q239/3,IF(MID(A239,44,1)=" ",7,Q239/2))))</f>
        <v/>
      </c>
      <c r="S239" s="465" t="str">
        <f t="shared" ref="S239:S275" si="92">IF(D239="","",MIN(M239:R239))</f>
        <v/>
      </c>
      <c r="T239" s="1118" t="str">
        <f>IF(S239="","",IF(S239&gt;6.99999,"NSW",IF(OR(MID(A239,44,1)="X",MID(A239,44,1)="T"),"TS",IF(MID(A239,44,1)="S","SN",IF(MID(A239,44,1)="R","RA",IF(MID(A239,44,1)="P","PL",IF(MID(A239,44,1)="Z","FZ","BR")))))))</f>
        <v/>
      </c>
      <c r="U239" s="463" t="str">
        <f t="shared" ref="U239:U270" si="93">IF(OR(D239=21,D239=12),VALUE(MID(A239,28,2))*10,"")</f>
        <v/>
      </c>
      <c r="V239" s="464" t="str">
        <f>IF(OR(D239=21,D239=12),MAX(VALUE(MID(A239,30,2)),VALUE(MID(A240,30,2))),"")</f>
        <v/>
      </c>
      <c r="W239" s="411" t="str">
        <f>IF(D239="","",B239)</f>
        <v/>
      </c>
      <c r="X239" s="410"/>
      <c r="Y239" s="458" t="str">
        <f t="shared" ref="Y239:Y270" si="94">IF(W239="","",IF(VALUE(MID(A239,35,1))&gt;4,VALUE(MID(A239,35,2))-100,VALUE(MID(A239,35,2)))*(9/5)+32)</f>
        <v/>
      </c>
      <c r="Z239" s="458" t="str">
        <f t="shared" ref="Z239:Z270" si="95">IF(W239="","",IF(VALUE(MID(A239,8,1))&gt;4,VALUE(MID(A239,8,2))-100,VALUE(MID(A239,8,2)))*(9/5)+32)</f>
        <v/>
      </c>
      <c r="AC239" s="977">
        <f t="shared" si="68"/>
        <v>44748.375</v>
      </c>
      <c r="AD239" s="1610" t="str">
        <f>IF(AND(HOUR(AC239)=HOUR(Worksheet!AF$68),DAY(AC239)=DAY(Worksheet!AF$68)),"START","")</f>
        <v/>
      </c>
      <c r="AE239" s="1149">
        <f>IF(AND(HOUR(AC239)=HOUR($F$186),DAY(AC239)=DAY($F$186)),(MID($B$189,6,3))*1,IF(AND(ISNUMBER(AE238),AC239&lt;$F$186+1+(1/25)),(MID($B$189,6+(3*COUNT($AE$207:AE238)),3))*1,""))</f>
        <v>73</v>
      </c>
      <c r="AF239" s="1164">
        <f t="shared" si="82"/>
        <v>80.815999999999974</v>
      </c>
      <c r="AG239" s="1150">
        <f t="shared" si="50"/>
        <v>78.800000000000011</v>
      </c>
      <c r="AH239" s="1163">
        <f>IF(AND(ISNUMBER(AH238),AC239&lt;$F$186+26/25),(MID($B$190,6+(3*COUNT($AH$207:AH238)),3))*1,IF(AND(HOUR(AC239)=HOUR($F$186),DAY(AC239)=DAY($F$186)),(MID($B$190,6,3))*1,""))</f>
        <v>72</v>
      </c>
      <c r="AI239" s="1901">
        <f t="shared" si="74"/>
        <v>72</v>
      </c>
      <c r="AJ239" s="1164">
        <f t="shared" si="52"/>
        <v>73.598000000000013</v>
      </c>
      <c r="AK239" s="1150">
        <f t="shared" si="53"/>
        <v>75.2</v>
      </c>
      <c r="AL239" s="1152">
        <f t="shared" si="83"/>
        <v>29.92</v>
      </c>
      <c r="AM239" s="1153">
        <f t="shared" si="54"/>
        <v>29.94</v>
      </c>
      <c r="AN239" s="1147"/>
      <c r="AO239" s="976">
        <f>IF(BA239="Y",AP239,IF(AND(ISNUMBER(AO238),AC239&lt;$F$186+26/25),(MID(INDEX($A$187:$B$210,MATCH("CIG",$A$187:$A$210,0),2),8+(3*COUNT($AO$207:AO238)),1))*1,IF(AND(HOUR(AC239)=HOUR($F$186),DAY(AC239)=DAY($F$186)),(MID(INDEX($A$187:$B$210,MATCH("CIG",$A$187:$A$210,0),2),8,1))*1,"")))</f>
        <v>8</v>
      </c>
      <c r="AP239" s="1061">
        <f>IF(AND(ISNUMBER(AP238),AC239&lt;$F$186+26/25),(MID(INDEX($A$187:$B$210,MATCH("CCG",$A$187:$A$210,0),2),8+(3*COUNT($AP$207:AP238)),1))*1,IF(AND(HOUR(AC239)=HOUR($F$186),DAY(AC239)=DAY($F$186)),(MID(INDEX($A$187:$B$210,MATCH("CCG",$A$187:$A$210,0),2),8,1))*1,""))</f>
        <v>8</v>
      </c>
      <c r="AQ239" s="1061" t="str">
        <f>IF(AND(AQ238&lt;&gt;"",AC239&lt;$F$186+26/25),MID(INDEX($A$187:$B$210,MATCH("CLD",$A$187:$A$210,0),2),7+(3*SUM(COUNTIF($AQ$207:AQ238,"OV"),COUNTIF($AQ$207:AQ238,"BK"),COUNTIF($AQ$207:AQ238,"SC"),COUNTIF($AQ$207:AQ238,"FW"),COUNTIF($AQ$207:AQ238,"CL"))),2),IF(AND(HOUR(AC239)=HOUR($F$186),DAY(AC239)=DAY($F$186)),MID(INDEX($A$187:$B$210,MATCH("CLD",$A$187:$A$210,0),2),7,2),""))</f>
        <v>CL</v>
      </c>
      <c r="AR239" s="1149">
        <f t="shared" si="55"/>
        <v>8</v>
      </c>
      <c r="AS239" s="1150" t="str">
        <f t="shared" si="56"/>
        <v>BK</v>
      </c>
      <c r="AT239" s="112">
        <f t="shared" si="57"/>
        <v>8</v>
      </c>
      <c r="AU239" s="1610" t="str">
        <f t="shared" si="58"/>
        <v>SC</v>
      </c>
      <c r="AV239" s="1148">
        <f t="shared" si="84"/>
        <v>40</v>
      </c>
      <c r="AW239" s="920" t="str">
        <f t="shared" si="87"/>
        <v>SCT</v>
      </c>
      <c r="AX239" s="1608">
        <f t="shared" si="85"/>
        <v>40</v>
      </c>
      <c r="AY239" s="112">
        <f>IF(BA239="Y",AZ239,IF(AND(ISNUMBER(AY238),AC239&lt;$F$186+26/25),(MID(INDEX($A$187:$B$210,MATCH("VIS",$A$187:$A$210,0),2),8+(3*COUNT($AY$207:AY238)),1))*1,IF(AND(HOUR(AC239)=HOUR($F$186),DAY(AC239)=DAY($F$186)),(MID(INDEX($A$187:$B$210,MATCH("VIS",$A$187:$A$210,0),2),8,1))*1,"")))</f>
        <v>7</v>
      </c>
      <c r="AZ239" s="112">
        <f>IF(AND(ISNUMBER(AZ238),AC239&lt;$F$186+26/25),(MID(INDEX($A$187:$B$210,MATCH("CVS",$A$187:$A$210,0),2),8+(3*COUNT($AZ$207:AZ238)),1))*1,IF(AND(HOUR(AC239)=HOUR($F$186),DAY(AC239)=DAY($F$186)),(MID(INDEX($A$187:$B$210,MATCH("CVS",$A$187:$A$210,0),2),8,1))*1,""))</f>
        <v>7</v>
      </c>
      <c r="BA239" s="1610" t="str">
        <f>IF(AND(BA238&lt;&gt;"",AC239&lt;$F$186+26/25),MID(INDEX($A$187:$B$210,MATCH("PCO",$A$187:$A$210,0),2),8+(3*SUM(COUNTIF($BA$207:BA238,"Y"),COUNTIF($BA$207:BA238,"N"))),1),IF(AND(HOUR(AC239)=HOUR($F$186),DAY(AC239)=DAY($F$186)),MID(INDEX($A$187:$B$210,MATCH("PCO",$A$187:$A$210,0),2),8,1),""))</f>
        <v>N</v>
      </c>
      <c r="BB239" s="1610" t="e">
        <f>IF(AND(BB238&lt;&gt;"",AC239&lt;$F$186+26/25),MID(INDEX($A$187:$B$210,MATCH("TYP",$A$187:$A$210,0),2),8+(3*SUM(COUNTIF($BB$207:BB238,"S"),COUNTIF($BB$207:BB238,"Z"), COUNTIF($BB$207:BB238,"R"),COUNTIF($BB$207:BB238,"X"))),1),IF(AND(HOUR(AC239)=HOUR($F$186),DAY(AC239)=DAY($F$186)),MID(INDEX($A$187:$B$210,MATCH("TYP",$A$187:$A$210,0),2),8,1),""))</f>
        <v>#N/A</v>
      </c>
      <c r="BC239" s="112" t="str">
        <f>IF(AND(LEN(BC238)=2,AC239&lt;$F$186+26/25),MID(INDEX($A$187:$B$211,MATCH("OBV",$A$187:$A$211,0),2),7+(3*SUM(COUNTIF($BC$207:BC238," N"),COUNTIF($BC$207:BC238,"HZ"),COUNTIF($BC$207:BC238,"BR"),COUNTIF($BC$207:BC238,"FG"),COUNTIF($BC$207:BC238,"BL"))),2),IF(AND(HOUR(AC239)=HOUR($F$186),DAY(AC239)=DAY($F$186)),MID(INDEX($A$187:$B$211,MATCH("OBV",$A$187:$A$211,0),2),7,2),""))</f>
        <v xml:space="preserve"> N</v>
      </c>
      <c r="BD239" s="112"/>
      <c r="BE239" s="112"/>
      <c r="BF239" s="112"/>
      <c r="BG239" s="1610" t="str">
        <f t="shared" si="40"/>
        <v xml:space="preserve"> N</v>
      </c>
      <c r="BH239" s="115">
        <f t="shared" si="62"/>
        <v>7</v>
      </c>
      <c r="BI239" s="200" t="str">
        <f t="shared" si="76"/>
        <v/>
      </c>
      <c r="BJ239" s="62" t="str">
        <f t="shared" si="75"/>
        <v/>
      </c>
      <c r="BK239" s="1145">
        <f t="shared" si="69"/>
        <v>9</v>
      </c>
      <c r="BL239" s="62" t="str">
        <f t="shared" si="77"/>
        <v/>
      </c>
      <c r="BM239" s="1145">
        <f t="shared" si="73"/>
        <v>16</v>
      </c>
      <c r="BN239" s="1901" t="str">
        <f t="shared" si="44"/>
        <v xml:space="preserve"> N</v>
      </c>
      <c r="BO239" s="1144" t="e">
        <f t="shared" si="78"/>
        <v>#N/A</v>
      </c>
      <c r="BP239" s="106">
        <f t="shared" si="70"/>
        <v>7</v>
      </c>
      <c r="BQ239" s="66" t="str">
        <f t="shared" si="79"/>
        <v/>
      </c>
      <c r="BR239" s="106" t="str">
        <f t="shared" si="80"/>
        <v/>
      </c>
      <c r="BS239" s="834">
        <f t="shared" ref="BS239:BS270" si="96">IF(COUNT(BR239:BR244)&gt;0,IF(MOD(HOUR(AC239),6)=0,AVERAGE(MAX(BR239:BR245),MIN(BR239:BR245)),IF(MOD(HOUR(AC239),3)=0,MAX(BR240:BR245),IF(MOD(HOUR(AC238),3)=0,BS238,BS240))),"")</f>
        <v>41</v>
      </c>
      <c r="BT239" s="106" t="str">
        <f t="shared" si="81"/>
        <v/>
      </c>
      <c r="BU239" s="834">
        <f t="shared" si="63"/>
        <v>43</v>
      </c>
      <c r="BV239" s="66" t="str">
        <f t="shared" si="64"/>
        <v xml:space="preserve"> N</v>
      </c>
      <c r="BW239" s="66" t="e">
        <f t="shared" si="65"/>
        <v>#N/A</v>
      </c>
      <c r="BX239" s="1198">
        <f t="shared" si="86"/>
        <v>7</v>
      </c>
      <c r="BY239" s="1146" t="str">
        <f t="shared" si="66"/>
        <v>NSW</v>
      </c>
      <c r="CA239" s="3675">
        <f t="shared" si="67"/>
        <v>44748.375</v>
      </c>
      <c r="CB239" s="3675"/>
    </row>
    <row r="240" spans="1:80" ht="10.5">
      <c r="A240" s="978" t="str">
        <f>Worksheet!Q77</f>
        <v>OUTPUT FROM GALWEM 0.25 Degree 18Z JUL 05 2022</v>
      </c>
      <c r="B240" s="452" t="str">
        <f>IF(OR(LEFT(A240,1)="0",LEFT(A240,1)="1"),(VALUE(LEFT(A240,3))/24)+B$237,IF(LEFT(A240)="/",B$237,""))</f>
        <v/>
      </c>
      <c r="C240" s="466" t="str">
        <f>IF(B240="","",VALUE(CONCATENATE(IF(MID(A240,25,1)="0","3","2"),MID(A240,25,1),".",MID(A240,26,2))))</f>
        <v/>
      </c>
      <c r="D240" s="454" t="str">
        <f t="shared" si="88"/>
        <v/>
      </c>
      <c r="E240" s="476" t="str">
        <f>IF(B240="","",IF(OR(F240="NONE",I240=""),40,IF(OR(VALUE(MID(A240,12,2))&gt;94,VALUE(MID(A240,14,2))&gt;94),100,70)))</f>
        <v/>
      </c>
      <c r="F240" s="460" t="str">
        <f t="shared" si="89"/>
        <v/>
      </c>
      <c r="G240" s="460" t="str">
        <f>IF(D240="","",IF(F240="NONE","SCT",IF(F240&gt;249,250,IF(AND(F240&gt;199,F240&lt;250),200,IF(AND(F240&gt;99,F240&lt;200),MROUND(F240,10),IF(AND(F240&gt;49,F240&lt;100),MROUND(F240,5),IF(F240&lt;5,5,F240)))))))</f>
        <v/>
      </c>
      <c r="H240" s="460" t="str">
        <f>IF(G240="","",IF(AND(G240&lt;&gt;"SCT",G240&lt;20),G240,IF(VALUE(MID(A240,12,2))&gt;84,20,G240)))</f>
        <v/>
      </c>
      <c r="I240" s="460" t="str">
        <f t="shared" ref="I240:I303" si="97">IF(H240="","",IF(AND(OR(H240&gt;30,H240="SCT"),VALUE(MID(A240,14,2))&gt;84),30,IF(H240="SCT",40,H240)))</f>
        <v/>
      </c>
      <c r="J240" s="461" t="str">
        <f>IF(B240="","",IF(VALUE(MID(A240,35,2))&lt;50,VALUE(MID(A240,35,2)),(100-VALUE(MID(A240,35,2)))*(0-1)))</f>
        <v/>
      </c>
      <c r="K240" s="462" t="str">
        <f t="shared" ref="K240:K265" si="98">IF(B240="","",IF(VALUE(MID(A240,8,2))&lt;50,VALUE(MID(A240,8,2)),(100-VALUE(MID(A240,8,2)))*(-1)))</f>
        <v/>
      </c>
      <c r="L240" s="462" t="str">
        <f t="shared" si="90"/>
        <v/>
      </c>
      <c r="M240" s="462" t="str">
        <f>IF(B240="","",IF(AND(D240&gt;2,D240&lt;15,L240=2,OR(I240="",I240&gt;200)),6,7))</f>
        <v/>
      </c>
      <c r="N240" s="462"/>
      <c r="O240" s="462" t="str">
        <f>IF(B240="","",IF(AND(D240&gt;2,D240&lt;15,L240=1,OR(I240="",I240&gt;200)),3,IF(AND(D240&gt;2,D240&lt;15,L240=1,I240&lt;250),6,7)))</f>
        <v/>
      </c>
      <c r="P240" s="462" t="str">
        <f>IF(B240="","",IF(AND(D240&gt;2,D240&lt;15,L240&lt;1,OR(I240="",I240&gt;200)),1,IF(AND(D240&gt;2,D240&lt;15,L240&lt;1,I240&lt;201),2,7)))</f>
        <v/>
      </c>
      <c r="Q240" s="462" t="str">
        <f t="shared" si="91"/>
        <v/>
      </c>
      <c r="R240" s="462" t="str">
        <f t="shared" ref="R240:R266" si="99">IF(D240="","",IF(OR(MID(A240,44,1)="S",MID(A240,44,1)="X"),Q240/4,IF(OR(MID(A240,44,1)="T",MID(A240,44,1)="P"),Q240/3,IF(MID(A240,44,1)=" ",7,Q240/2))))</f>
        <v/>
      </c>
      <c r="S240" s="465" t="str">
        <f t="shared" si="92"/>
        <v/>
      </c>
      <c r="T240" s="1118" t="str">
        <f>IF(S240="","",IF(S240&gt;6.99999,"NSW",IF(OR(MID(A240,44,1)="X",MID(A240,44,1)="T"),"TS",IF(MID(A240,44,1)="S","SN",IF(MID(A240,44,1)="R","RA",IF(MID(A240,44,1)="P","PL",IF(MID(A240,44,1)="Z","FZ","BR")))))))</f>
        <v/>
      </c>
      <c r="U240" s="463" t="str">
        <f t="shared" si="93"/>
        <v/>
      </c>
      <c r="V240" s="464" t="str">
        <f t="shared" ref="V240:V271" si="100">IF(OR(D240=21,D240=12),MAX(VALUE(MID(A240,30,2)),VALUE(MID(A241,30,2)),VALUE(MID(A239,30,2))),"")</f>
        <v/>
      </c>
      <c r="W240" s="411" t="str">
        <f>IF(D240="","",B240)</f>
        <v/>
      </c>
      <c r="X240" s="410"/>
      <c r="Y240" s="458" t="str">
        <f t="shared" si="94"/>
        <v/>
      </c>
      <c r="Z240" s="458" t="str">
        <f t="shared" si="95"/>
        <v/>
      </c>
      <c r="AC240" s="977">
        <f t="shared" si="68"/>
        <v>44748.416666666664</v>
      </c>
      <c r="AD240" s="1610" t="str">
        <f>IF(AND(HOUR(AC240)=HOUR(Worksheet!AF$68),DAY(AC240)=DAY(Worksheet!AF$68)),"START","")</f>
        <v/>
      </c>
      <c r="AE240" s="1149">
        <f>IF(AND(HOUR(AC240)=HOUR($F$186),DAY(AC240)=DAY($F$186)),(MID($B$189,6,3))*1,IF(AND(ISNUMBER(AE239),AC240&lt;$F$186+1+(1/25)),(MID($B$189,6+(3*COUNT($AE$207:AE239)),3))*1,""))</f>
        <v>73</v>
      </c>
      <c r="AF240" s="1164">
        <f t="shared" si="82"/>
        <v>80.803999999999988</v>
      </c>
      <c r="AG240" s="1150">
        <f t="shared" si="50"/>
        <v>78.800000000000011</v>
      </c>
      <c r="AH240" s="1163">
        <f>IF(AND(ISNUMBER(AH239),AC240&lt;$F$186+26/25),(MID($B$190,6+(3*COUNT($AH$207:AH239)),3))*1,IF(AND(HOUR(AC240)=HOUR($F$186),DAY(AC240)=DAY($F$186)),(MID($B$190,6,3))*1,""))</f>
        <v>72</v>
      </c>
      <c r="AI240" s="1901">
        <f>IF(AH240="","",IF(AND(AE240&lt;0,AH240&gt;0),0-AH240,AH240))</f>
        <v>72</v>
      </c>
      <c r="AJ240" s="1164">
        <f t="shared" si="52"/>
        <v>73.844000000000037</v>
      </c>
      <c r="AK240" s="1150">
        <f t="shared" si="53"/>
        <v>75.2</v>
      </c>
      <c r="AL240" s="1152">
        <f t="shared" si="83"/>
        <v>29.93</v>
      </c>
      <c r="AM240" s="1153">
        <f t="shared" si="54"/>
        <v>29.95</v>
      </c>
      <c r="AN240" s="1147"/>
      <c r="AO240" s="976">
        <f>IF(BA240="Y",AP240,IF(AND(ISNUMBER(AO239),AC240&lt;$F$186+26/25),(MID(INDEX($A$187:$B$210,MATCH("CIG",$A$187:$A$210,0),2),8+(3*COUNT($AO$207:AO239)),1))*1,IF(AND(HOUR(AC240)=HOUR($F$186),DAY(AC240)=DAY($F$186)),(MID(INDEX($A$187:$B$210,MATCH("CIG",$A$187:$A$210,0),2),8,1))*1,"")))</f>
        <v>8</v>
      </c>
      <c r="AP240" s="1061">
        <f>IF(AND(ISNUMBER(AP239),AC240&lt;$F$186+26/25),(MID(INDEX($A$187:$B$210,MATCH("CCG",$A$187:$A$210,0),2),8+(3*COUNT($AP$207:AP239)),1))*1,IF(AND(HOUR(AC240)=HOUR($F$186),DAY(AC240)=DAY($F$186)),(MID(INDEX($A$187:$B$210,MATCH("CCG",$A$187:$A$210,0),2),8,1))*1,""))</f>
        <v>8</v>
      </c>
      <c r="AQ240" s="1061" t="str">
        <f>IF(AND(AQ239&lt;&gt;"",AC240&lt;$F$186+26/25),MID(INDEX($A$187:$B$210,MATCH("CLD",$A$187:$A$210,0),2),7+(3*SUM(COUNTIF($AQ$207:AQ239,"OV"),COUNTIF($AQ$207:AQ239,"BK"),COUNTIF($AQ$207:AQ239,"SC"),COUNTIF($AQ$207:AQ239,"FW"),COUNTIF($AQ$207:AQ239,"CL"))),2),IF(AND(HOUR(AC240)=HOUR($F$186),DAY(AC240)=DAY($F$186)),MID(INDEX($A$187:$B$210,MATCH("CLD",$A$187:$A$210,0),2),7,2),""))</f>
        <v>SC</v>
      </c>
      <c r="AR240" s="1149">
        <f t="shared" ref="AR240:AR271" si="101">IF(OR(AC240&lt;($F$373-0.001),AC240&gt;($F$374+0.001)),"",IF(AC240-$F$373&lt;2.24,IF(MOD(HOUR(AC240),3)=0,(MID(INDEX($A$369:$B$392,MATCH("CIG",$A$369:$A$392,0),2),8+(3*(AC240-$F$373)*8),1))*1,IF(MOD(HOUR(AC239),3)=0,AR239,AR241)),IF(MOD(HOUR(AC240),6)=0,(MID(INDEX($A$369:$B$392,MATCH("CIG",$A$369:$A$392,0),2),62+(3*(ROUND(((AC240-$F$373)-2.25)*4,1))),1))*1,"")))</f>
        <v>8</v>
      </c>
      <c r="AS240" s="1150" t="str">
        <f t="shared" ref="AS240:AS271" si="102">IF(OR(AC240&lt;($F$373-0.001),AC240&gt;($F$374+0.001)),"",IF(AC240-$F$373&lt;2.24,IF(MOD(HOUR(AC240),3)=0,(MID(INDEX($A$369:$B$392,MATCH("CLD",$A$369:$A$392,0),2),7+(3*(AC240-$F$373)*8),2)),IF(MOD(HOUR(AC239),3)=0,AS239,AS241)),IF(MOD(HOUR(AC240),6)=0,(MID(INDEX($A$369:$B$392,MATCH("CLD",$A$369:$A$392,0),2),61+(3*(ROUND(((AC240-$F$373)-2.25)*4,1))),2)),"")))</f>
        <v>BK</v>
      </c>
      <c r="AT240" s="112">
        <f t="shared" ref="AT240:AT271" si="103">IF(OR(AC240&lt;($F$345-0.001),AC240&gt;($F$346+0.001)),"",IF(AC240-$F$345&lt;2.24,IF(MOD(HOUR(AC240),3)=0,(MID(INDEX($A$344:$B$369,MATCH("CIG",$A$344:$A$369,0),2),8+(3*(AC240-$F$345)*8),1))*1,IF(MOD(HOUR(AC239),3)=0,AT239,AT241)),IF(MOD(HOUR(AC240),6)=0,(MID(INDEX($A$344:$B$369,MATCH("CIG",$A$344:$A$369,0),2),62+(3*(ROUND(((AC240-$F$345)-2.25)*4,1))),1))*1,"")))</f>
        <v>8</v>
      </c>
      <c r="AU240" s="1610" t="str">
        <f t="shared" ref="AU240:AU271" si="104">IF(OR(AC240&lt;($F$345-0.001),AC240&gt;($F$346+0.001)),"",IF(AC240-$F$345&lt;2.24,IF(MOD(HOUR(AC240),3)=0,(MID(INDEX($A$344:$B$369,MATCH("CLD",$A$344:$A$369,0),2),7+(3*(AC240-$F$345)*8),2)),IF(MOD(HOUR(AC239),3)=0,AU239,AU241)),IF(MOD(HOUR(AC240),6)=0,(MID(INDEX($A$344:$B$369,MATCH("CLD",$A$344:$A$369,0),2),61+(3*(ROUND(((AC240-$F$345)-2.25)*4,1))),2)),"")))</f>
        <v>SC</v>
      </c>
      <c r="AV240" s="1148">
        <f t="shared" si="84"/>
        <v>40</v>
      </c>
      <c r="AW240" s="920" t="str">
        <f t="shared" si="87"/>
        <v>SCT</v>
      </c>
      <c r="AX240" s="1608">
        <f t="shared" si="85"/>
        <v>40</v>
      </c>
      <c r="AY240" s="112">
        <f>IF(BA240="Y",AZ240,IF(AND(ISNUMBER(AY239),AC240&lt;$F$186+26/25),(MID(INDEX($A$187:$B$210,MATCH("VIS",$A$187:$A$210,0),2),8+(3*COUNT($AY$207:AY239)),1))*1,IF(AND(HOUR(AC240)=HOUR($F$186),DAY(AC240)=DAY($F$186)),(MID(INDEX($A$187:$B$210,MATCH("VIS",$A$187:$A$210,0),2),8,1))*1,"")))</f>
        <v>7</v>
      </c>
      <c r="AZ240" s="112">
        <f>IF(AND(ISNUMBER(AZ239),AC240&lt;$F$186+26/25),(MID(INDEX($A$187:$B$210,MATCH("CVS",$A$187:$A$210,0),2),8+(3*COUNT($AZ$207:AZ239)),1))*1,IF(AND(HOUR(AC240)=HOUR($F$186),DAY(AC240)=DAY($F$186)),(MID(INDEX($A$187:$B$210,MATCH("CVS",$A$187:$A$210,0),2),8,1))*1,""))</f>
        <v>7</v>
      </c>
      <c r="BA240" s="1610" t="str">
        <f>IF(AND(BA239&lt;&gt;"",AC240&lt;$F$186+26/25),MID(INDEX($A$187:$B$210,MATCH("PCO",$A$187:$A$210,0),2),8+(3*SUM(COUNTIF($BA$207:BA239,"Y"),COUNTIF($BA$207:BA239,"N"))),1),IF(AND(HOUR(AC240)=HOUR($F$186),DAY(AC240)=DAY($F$186)),MID(INDEX($A$187:$B$210,MATCH("PCO",$A$187:$A$210,0),2),8,1),""))</f>
        <v>N</v>
      </c>
      <c r="BB240" s="1610" t="e">
        <f>IF(AND(BB239&lt;&gt;"",AC240&lt;$F$186+26/25),MID(INDEX($A$187:$B$210,MATCH("TYP",$A$187:$A$210,0),2),8+(3*SUM(COUNTIF($BB$207:BB239,"S"),COUNTIF($BB$207:BB239,"Z"), COUNTIF($BB$207:BB239,"R"),COUNTIF($BB$207:BB239,"X"))),1),IF(AND(HOUR(AC240)=HOUR($F$186),DAY(AC240)=DAY($F$186)),MID(INDEX($A$187:$B$210,MATCH("TYP",$A$187:$A$210,0),2),8,1),""))</f>
        <v>#N/A</v>
      </c>
      <c r="BC240" s="112" t="str">
        <f>IF(AND(LEN(BC239)=2,AC240&lt;$F$186+26/25),MID(INDEX($A$187:$B$211,MATCH("OBV",$A$187:$A$211,0),2),7+(3*SUM(COUNTIF($BC$207:BC239," N"),COUNTIF($BC$207:BC239,"HZ"),COUNTIF($BC$207:BC239,"BR"),COUNTIF($BC$207:BC239,"FG"),COUNTIF($BC$207:BC239,"BL"))),2),IF(AND(HOUR(AC240)=HOUR($F$186),DAY(AC240)=DAY($F$186)),MID(INDEX($A$187:$B$211,MATCH("OBV",$A$187:$A$211,0),2),7,2),""))</f>
        <v xml:space="preserve"> N</v>
      </c>
      <c r="BD240" s="112"/>
      <c r="BE240" s="112"/>
      <c r="BF240" s="112"/>
      <c r="BG240" s="1610" t="str">
        <f t="shared" si="40"/>
        <v xml:space="preserve"> N</v>
      </c>
      <c r="BH240" s="115">
        <f t="shared" ref="BH240:BH271" si="105">IF(OR(AC240&lt;($F$373-0.001),AC240&gt;($F$374+0.001)),"",IF(AC240-$F$373&lt;2.24,IF(MOD(HOUR(AC240),3)=0,(MID(INDEX($A$370:$B$392,MATCH("VIS",$A$370:$A$392,0),2),8+(3*(AC240-$F$373)*8),1))*1,IF(MOD(HOUR(AC239),3)=0,BH239,BH241)),IF(MOD(HOUR(AC240),6)=0,(MID(INDEX($A$370:$B$392,MATCH("VIS",$A$370:$A$392,0),2),62+(3*(ROUND(((AC240-$F$373)-2.25)*4,1))),1))*1,"")))</f>
        <v>7</v>
      </c>
      <c r="BI240" s="200" t="str">
        <f t="shared" si="76"/>
        <v/>
      </c>
      <c r="BJ240" s="62" t="str">
        <f t="shared" si="75"/>
        <v/>
      </c>
      <c r="BK240" s="1145">
        <f t="shared" si="69"/>
        <v>9</v>
      </c>
      <c r="BL240" s="62" t="str">
        <f t="shared" si="77"/>
        <v/>
      </c>
      <c r="BM240" s="1145">
        <f t="shared" si="73"/>
        <v>16</v>
      </c>
      <c r="BN240" s="1901" t="str">
        <f t="shared" si="44"/>
        <v xml:space="preserve"> N</v>
      </c>
      <c r="BO240" s="1144" t="e">
        <f t="shared" si="78"/>
        <v>#N/A</v>
      </c>
      <c r="BP240" s="106">
        <f t="shared" si="70"/>
        <v>7</v>
      </c>
      <c r="BQ240" s="66" t="str">
        <f t="shared" si="79"/>
        <v/>
      </c>
      <c r="BR240" s="106" t="str">
        <f t="shared" si="80"/>
        <v/>
      </c>
      <c r="BS240" s="834">
        <f t="shared" si="96"/>
        <v>41</v>
      </c>
      <c r="BT240" s="106" t="str">
        <f t="shared" si="81"/>
        <v/>
      </c>
      <c r="BU240" s="834">
        <f t="shared" si="63"/>
        <v>43</v>
      </c>
      <c r="BV240" s="66" t="str">
        <f t="shared" ref="BV240:BV271" si="106">IF(OR($AC240&lt;($F$345-0.001),$AC240&gt;($F$346+0.001)),"",IF($AC240-$F$345&lt;2.24,IF(MOD(HOUR($AC240),3)=0,MID(INDEX($A$344:$B$369,MATCH("OBV",$A$344:$A$369,0),2),7+(3*($AC240-$F$345)*8),2),IF(MOD(HOUR($AC239),3)=0,BV239,BV241)),IF(MOD(HOUR($AC240),6)=0,MID(INDEX($A$344:$B$369,MATCH("OBV",$A$344:$A$369,0),2),61+(3*(ROUND((($AC240-$F$345)-2.25)*4,2))),2),"")))</f>
        <v xml:space="preserve"> N</v>
      </c>
      <c r="BW240" s="66" t="e">
        <f t="shared" ref="BW240:BW271" si="107">IF(OR($AC240&lt;($F$345-0.001),$AC240&gt;($F$346+0.001)),"",IF($AC240-$F$345&lt;2.24,IF(MOD(HOUR($AC240),3)=0,MID(INDEX($A$344:$B$369,MATCH("TYP",$A$344:$A$369,0),2),7+(3*($AC240-$F$345)*8),2),IF(MOD(HOUR($AC239),3)=0,BW239,BW241)),IF(MOD(HOUR($AC240),6)=0,MID(INDEX($A$344:$B$369,MATCH("TYP",$A$344:$A$369,0),2),61+(3*(ROUND((($AC240-$F$345)-2.25)*4,2))),2),"")))</f>
        <v>#N/A</v>
      </c>
      <c r="BX240" s="1198">
        <f t="shared" si="86"/>
        <v>7</v>
      </c>
      <c r="BY240" s="1146" t="str">
        <f t="shared" si="66"/>
        <v>NSW</v>
      </c>
      <c r="CA240" s="3675">
        <f t="shared" si="67"/>
        <v>44748.416666666664</v>
      </c>
      <c r="CB240" s="3675"/>
    </row>
    <row r="241" spans="1:80" ht="10.5">
      <c r="A241" s="978">
        <f>Worksheet!Q78</f>
        <v>0</v>
      </c>
      <c r="B241" s="452">
        <f>IF(OR(LEFT(A241,1)="0",LEFT(A241,1)="1"),(VALUE(LEFT(A241,3))/24)+B$237,IF(LEFT(A241)="/",B$237,""))</f>
        <v>44747.75</v>
      </c>
      <c r="C241" s="466">
        <f>IF(B241="","",VALUE(CONCATENATE(IF(MID(A241,25,1)="0","3","2"),MID(A241,25,1),".",MID(A241,26,2))))</f>
        <v>2</v>
      </c>
      <c r="D241" s="454">
        <f t="shared" si="88"/>
        <v>18</v>
      </c>
      <c r="E241" s="476" t="e">
        <f>IF(B241="","",IF(OR(F241="NONE",I241=""),40,IF(OR(VALUE(MID(A241,12,2))&gt;94,VALUE(MID(A241,14,2))&gt;94),100,70)))</f>
        <v>#VALUE!</v>
      </c>
      <c r="F241" s="460" t="e">
        <f t="shared" si="89"/>
        <v>#VALUE!</v>
      </c>
      <c r="G241" s="460" t="e">
        <f>IF(D241="","",IF(F241="NONE","SCT",IF(F241&gt;249,250,IF(AND(F241&gt;199,F241&lt;250),200,IF(AND(F241&gt;99,F241&lt;200),MROUND(F241,10),IF(AND(F241&gt;49,F241&lt;100),MROUND(F241,5),IF(F241&lt;5,5,F241)))))))</f>
        <v>#VALUE!</v>
      </c>
      <c r="H241" s="460" t="e">
        <f>IF(G241="","",IF(AND(G241&lt;&gt;"SCT",G241&lt;20),G241,IF(VALUE(MID(A241,12,2))&gt;84,20,G241)))</f>
        <v>#VALUE!</v>
      </c>
      <c r="I241" s="460" t="e">
        <f>IF(H241="","",IF(AND(OR(H241&gt;30,H241="SCT"),VALUE(MID(A241,14,2))&gt;84),30,IF(H241="SCT",40,H241)))</f>
        <v>#VALUE!</v>
      </c>
      <c r="J241" s="461" t="e">
        <f>IF(B241="","",IF(VALUE(MID(A241,35,2))&lt;50,VALUE(MID(A241,35,2)),(100-VALUE(MID(A241,35,2)))*(0-1)))</f>
        <v>#VALUE!</v>
      </c>
      <c r="K241" s="462" t="e">
        <f t="shared" si="98"/>
        <v>#VALUE!</v>
      </c>
      <c r="L241" s="462" t="e">
        <f t="shared" si="90"/>
        <v>#VALUE!</v>
      </c>
      <c r="M241" s="462" t="e">
        <f>IF(B241="","",IF(AND(D241&gt;2,D241&lt;15,L241=2,OR(I241="",I241&gt;200)),6,7))</f>
        <v>#VALUE!</v>
      </c>
      <c r="N241" s="462"/>
      <c r="O241" s="462" t="e">
        <f>IF(B241="","",IF(AND(D241&gt;2,D241&lt;15,L241=1,OR(I241="",I241&gt;200)),3,IF(AND(D241&gt;2,D241&lt;15,L241=1,I241&lt;250),6,7)))</f>
        <v>#VALUE!</v>
      </c>
      <c r="P241" s="462" t="e">
        <f>IF(B241="","",IF(AND(D241&gt;2,D241&lt;15,L241&lt;1,OR(I241="",I241&gt;200)),1,IF(AND(D241&gt;2,D241&lt;15,L241&lt;1,I241&lt;201),2,7)))</f>
        <v>#VALUE!</v>
      </c>
      <c r="Q241" s="462" t="e">
        <f t="shared" si="91"/>
        <v>#VALUE!</v>
      </c>
      <c r="R241" s="462" t="e">
        <f t="shared" si="99"/>
        <v>#VALUE!</v>
      </c>
      <c r="S241" s="465" t="e">
        <f t="shared" si="92"/>
        <v>#VALUE!</v>
      </c>
      <c r="T241" s="1118" t="e">
        <f>IF(S241="","",IF(S241&gt;6.99999,"NSW",IF(OR(MID(A241,44,1)="X",MID(A241,44,1)="T"),"TS",IF(MID(A241,44,1)="S","SN",IF(MID(A241,44,1)="R","RA",IF(MID(A241,44,1)="P","PL",IF(MID(A241,44,1)="Z","FZ","BR")))))))</f>
        <v>#VALUE!</v>
      </c>
      <c r="U241" s="463" t="str">
        <f t="shared" si="93"/>
        <v/>
      </c>
      <c r="V241" s="464" t="str">
        <f t="shared" si="100"/>
        <v/>
      </c>
      <c r="W241" s="411">
        <f>IF(D241="","",B241)</f>
        <v>44747.75</v>
      </c>
      <c r="X241" s="410"/>
      <c r="Y241" s="458" t="e">
        <f t="shared" si="94"/>
        <v>#VALUE!</v>
      </c>
      <c r="Z241" s="458" t="e">
        <f t="shared" si="95"/>
        <v>#VALUE!</v>
      </c>
      <c r="AC241" s="977">
        <f t="shared" si="68"/>
        <v>44748.458333333328</v>
      </c>
      <c r="AD241" s="1610" t="str">
        <f>IF(AND(HOUR(AC241)=HOUR(Worksheet!AF$68),DAY(AC241)=DAY(Worksheet!AF$68)),"START","")</f>
        <v/>
      </c>
      <c r="AE241" s="1149">
        <f>IF(AND(HOUR(AC241)=HOUR($F$186),DAY(AC241)=DAY($F$186)),(MID($B$189,6,3))*1,IF(AND(ISNUMBER(AE240),AC241&lt;$F$186+1+(1/25)),(MID($B$189,6+(3*COUNT($AE$207:AE240)),3))*1,""))</f>
        <v>73</v>
      </c>
      <c r="AF241" s="1164">
        <f t="shared" si="82"/>
        <v>80.792000000000016</v>
      </c>
      <c r="AG241" s="1150">
        <f t="shared" si="50"/>
        <v>78.800000000000011</v>
      </c>
      <c r="AH241" s="1163">
        <f>IF(AND(ISNUMBER(AH240),AC241&lt;$F$186+26/25),(MID($B$190,6+(3*COUNT($AH$207:AH240)),3))*1,IF(AND(HOUR(AC241)=HOUR($F$186),DAY(AC241)=DAY($F$186)),(MID($B$190,6,3))*1,""))</f>
        <v>72</v>
      </c>
      <c r="AI241" s="1901">
        <f t="shared" ref="AI241:AI304" si="108">IF(AH241="","",IF(AND(AE241&lt;0,AH241&gt;0),0-AH241,AH241))</f>
        <v>72</v>
      </c>
      <c r="AJ241" s="1164">
        <f t="shared" si="52"/>
        <v>74.090000000000046</v>
      </c>
      <c r="AK241" s="1150">
        <f t="shared" si="53"/>
        <v>75.2</v>
      </c>
      <c r="AL241" s="1152">
        <f t="shared" si="83"/>
        <v>29.94</v>
      </c>
      <c r="AM241" s="1153">
        <f t="shared" si="54"/>
        <v>29.97</v>
      </c>
      <c r="AN241" s="1147"/>
      <c r="AO241" s="976">
        <f>IF(BA241="Y",AP241,IF(AND(ISNUMBER(AO240),AC241&lt;$F$186+26/25),(MID(INDEX($A$187:$B$210,MATCH("CIG",$A$187:$A$210,0),2),8+(3*COUNT($AO$207:AO240)),1))*1,IF(AND(HOUR(AC241)=HOUR($F$186),DAY(AC241)=DAY($F$186)),(MID(INDEX($A$187:$B$210,MATCH("CIG",$A$187:$A$210,0),2),8,1))*1,"")))</f>
        <v>8</v>
      </c>
      <c r="AP241" s="1061">
        <f>IF(AND(ISNUMBER(AP240),AC241&lt;$F$186+26/25),(MID(INDEX($A$187:$B$210,MATCH("CCG",$A$187:$A$210,0),2),8+(3*COUNT($AP$207:AP240)),1))*1,IF(AND(HOUR(AC241)=HOUR($F$186),DAY(AC241)=DAY($F$186)),(MID(INDEX($A$187:$B$210,MATCH("CCG",$A$187:$A$210,0),2),8,1))*1,""))</f>
        <v>8</v>
      </c>
      <c r="AQ241" s="1061" t="str">
        <f>IF(AND(AQ240&lt;&gt;"",AC241&lt;$F$186+26/25),MID(INDEX($A$187:$B$210,MATCH("CLD",$A$187:$A$210,0),2),7+(3*SUM(COUNTIF($AQ$207:AQ240,"OV"),COUNTIF($AQ$207:AQ240,"BK"),COUNTIF($AQ$207:AQ240,"SC"),COUNTIF($AQ$207:AQ240,"FW"),COUNTIF($AQ$207:AQ240,"CL"))),2),IF(AND(HOUR(AC241)=HOUR($F$186),DAY(AC241)=DAY($F$186)),MID(INDEX($A$187:$B$210,MATCH("CLD",$A$187:$A$210,0),2),7,2),""))</f>
        <v>SC</v>
      </c>
      <c r="AR241" s="1149">
        <f t="shared" si="101"/>
        <v>8</v>
      </c>
      <c r="AS241" s="1150" t="str">
        <f t="shared" si="102"/>
        <v>BK</v>
      </c>
      <c r="AT241" s="112">
        <f t="shared" si="103"/>
        <v>8</v>
      </c>
      <c r="AU241" s="1610" t="str">
        <f t="shared" si="104"/>
        <v>BK</v>
      </c>
      <c r="AV241" s="1148">
        <f t="shared" si="84"/>
        <v>40</v>
      </c>
      <c r="AW241" s="920" t="str">
        <f t="shared" si="87"/>
        <v>SCT</v>
      </c>
      <c r="AX241" s="1608">
        <f t="shared" si="85"/>
        <v>40</v>
      </c>
      <c r="AY241" s="112">
        <f>IF(BA241="Y",AZ241,IF(AND(ISNUMBER(AY240),AC241&lt;$F$186+26/25),(MID(INDEX($A$187:$B$210,MATCH("VIS",$A$187:$A$210,0),2),8+(3*COUNT($AY$207:AY240)),1))*1,IF(AND(HOUR(AC241)=HOUR($F$186),DAY(AC241)=DAY($F$186)),(MID(INDEX($A$187:$B$210,MATCH("VIS",$A$187:$A$210,0),2),8,1))*1,"")))</f>
        <v>7</v>
      </c>
      <c r="AZ241" s="112">
        <f>IF(AND(ISNUMBER(AZ240),AC241&lt;$F$186+26/25),(MID(INDEX($A$187:$B$210,MATCH("CVS",$A$187:$A$210,0),2),8+(3*COUNT($AZ$207:AZ240)),1))*1,IF(AND(HOUR(AC241)=HOUR($F$186),DAY(AC241)=DAY($F$186)),(MID(INDEX($A$187:$B$210,MATCH("CVS",$A$187:$A$210,0),2),8,1))*1,""))</f>
        <v>7</v>
      </c>
      <c r="BA241" s="1610" t="str">
        <f>IF(AND(BA240&lt;&gt;"",AC241&lt;$F$186+26/25),MID(INDEX($A$187:$B$210,MATCH("PCO",$A$187:$A$210,0),2),8+(3*SUM(COUNTIF($BA$207:BA240,"Y"),COUNTIF($BA$207:BA240,"N"))),1),IF(AND(HOUR(AC241)=HOUR($F$186),DAY(AC241)=DAY($F$186)),MID(INDEX($A$187:$B$210,MATCH("PCO",$A$187:$A$210,0),2),8,1),""))</f>
        <v>N</v>
      </c>
      <c r="BB241" s="1610" t="e">
        <f>IF(AND(BB240&lt;&gt;"",AC241&lt;$F$186+26/25),MID(INDEX($A$187:$B$210,MATCH("TYP",$A$187:$A$210,0),2),8+(3*SUM(COUNTIF($BB$207:BB240,"S"),COUNTIF($BB$207:BB240,"Z"), COUNTIF($BB$207:BB240,"R"),COUNTIF($BB$207:BB240,"X"))),1),IF(AND(HOUR(AC241)=HOUR($F$186),DAY(AC241)=DAY($F$186)),MID(INDEX($A$187:$B$210,MATCH("TYP",$A$187:$A$210,0),2),8,1),""))</f>
        <v>#N/A</v>
      </c>
      <c r="BC241" s="112" t="str">
        <f>IF(AND(LEN(BC240)=2,AC241&lt;$F$186+26/25),MID(INDEX($A$187:$B$211,MATCH("OBV",$A$187:$A$211,0),2),7+(3*SUM(COUNTIF($BC$207:BC240," N"),COUNTIF($BC$207:BC240,"HZ"),COUNTIF($BC$207:BC240,"BR"),COUNTIF($BC$207:BC240,"FG"),COUNTIF($BC$207:BC240,"BL"))),2),IF(AND(HOUR(AC241)=HOUR($F$186),DAY(AC241)=DAY($F$186)),MID(INDEX($A$187:$B$211,MATCH("OBV",$A$187:$A$211,0),2),7,2),""))</f>
        <v xml:space="preserve"> N</v>
      </c>
      <c r="BD241" s="112"/>
      <c r="BE241" s="112"/>
      <c r="BF241" s="112"/>
      <c r="BG241" s="1610" t="str">
        <f t="shared" si="40"/>
        <v xml:space="preserve"> N</v>
      </c>
      <c r="BH241" s="115">
        <f t="shared" si="105"/>
        <v>7</v>
      </c>
      <c r="BI241" s="200" t="str">
        <f t="shared" si="76"/>
        <v/>
      </c>
      <c r="BJ241" s="62" t="str">
        <f t="shared" si="75"/>
        <v/>
      </c>
      <c r="BK241" s="1145">
        <f t="shared" si="69"/>
        <v>15</v>
      </c>
      <c r="BL241" s="62" t="str">
        <f t="shared" si="77"/>
        <v/>
      </c>
      <c r="BM241" s="1145">
        <f t="shared" si="73"/>
        <v>20</v>
      </c>
      <c r="BN241" s="1901" t="str">
        <f t="shared" si="44"/>
        <v xml:space="preserve"> N</v>
      </c>
      <c r="BO241" s="1144" t="e">
        <f t="shared" si="78"/>
        <v>#N/A</v>
      </c>
      <c r="BP241" s="106">
        <f t="shared" ref="BP241:BP272" si="109">IF(OR(AC241&lt;($F$345-0.001),AC241&gt;($F$346+0.001)),"",IF(AC241-$F$345&lt;2.24,IF(MOD(HOUR(AC241),3)=0,(MID(INDEX($A$344:$B$369,MATCH("VIS",$A$344:$A$369,0),2),8+(3*(AC241-$F$345)*8),1))*1,IF(MOD(HOUR(AC240),3)=0,BP240,BP242)),IF(MOD(HOUR(AC241),6)=0,(MID(INDEX($A$344:$B$369,MATCH("VIS",$A$344:$A$369,0),2),62+(3*(ROUND(((AC241-$F$345)-2.25)*4,1))),1))*1,"")))</f>
        <v>7</v>
      </c>
      <c r="BQ241" s="66" t="str">
        <f t="shared" si="79"/>
        <v/>
      </c>
      <c r="BR241" s="106" t="str">
        <f t="shared" si="80"/>
        <v/>
      </c>
      <c r="BS241" s="834">
        <f t="shared" si="96"/>
        <v>25</v>
      </c>
      <c r="BT241" s="106" t="str">
        <f t="shared" si="81"/>
        <v/>
      </c>
      <c r="BU241" s="834">
        <f t="shared" si="63"/>
        <v>29</v>
      </c>
      <c r="BV241" s="66" t="str">
        <f t="shared" si="106"/>
        <v xml:space="preserve"> N</v>
      </c>
      <c r="BW241" s="66" t="e">
        <f t="shared" si="107"/>
        <v>#N/A</v>
      </c>
      <c r="BX241" s="1198">
        <f t="shared" si="86"/>
        <v>7</v>
      </c>
      <c r="BY241" s="1146" t="str">
        <f t="shared" si="66"/>
        <v>NSW</v>
      </c>
      <c r="CA241" s="3675">
        <f t="shared" si="67"/>
        <v>44748.458333333328</v>
      </c>
      <c r="CB241" s="3675"/>
    </row>
    <row r="242" spans="1:80" ht="10.5">
      <c r="A242" s="978" t="str">
        <f>Worksheet!Q79</f>
        <v>TTTPTT DPR1R2R3 VVVLI PSQNHDDFF HHSTT1T2T3 W CIGVIS</v>
      </c>
      <c r="B242" s="452">
        <f>IF(OR(LEFT(A242,1)="0",LEFT(A242,1)="1"),MROUND((VALUE(LEFT(A242,3))/24)+B$237,1/24),B$237)</f>
        <v>44747.75</v>
      </c>
      <c r="C242" s="466" t="e">
        <f t="shared" ref="C242:C305" si="110">IF(B242="","",VALUE(CONCATENATE(IF(MID(A242,25,1)="0","3","2"),MID(A242,25,1),".",MID(A242,26,2))))</f>
        <v>#VALUE!</v>
      </c>
      <c r="D242" s="454" t="e">
        <f t="shared" si="88"/>
        <v>#VALUE!</v>
      </c>
      <c r="E242" s="476" t="e">
        <f t="shared" ref="E242:E305" si="111">IF(B242="","",IF(OR(F242="NONE",I242=""),40,IF(OR(VALUE(MID(A242,12,2))&gt;94,VALUE(MID(A242,14,2))&gt;94),100,70)))</f>
        <v>#VALUE!</v>
      </c>
      <c r="F242" s="460" t="e">
        <f t="shared" si="89"/>
        <v>#VALUE!</v>
      </c>
      <c r="G242" s="460" t="e">
        <f t="shared" ref="G242:G305" si="112">IF(D242="","",IF(F242="NONE","SCT",IF(F242&gt;249,250,IF(AND(F242&gt;199,F242&lt;250),200,IF(AND(F242&gt;99,F242&lt;200),MROUND(F242,10),IF(AND(F242&gt;49,F242&lt;100),MROUND(F242,5),IF(F242&lt;5,5,F242)))))))</f>
        <v>#VALUE!</v>
      </c>
      <c r="H242" s="460" t="e">
        <f t="shared" ref="H242:H305" si="113">IF(G242="","",IF(AND(G242&lt;&gt;"SCT",G242&lt;20),G242,IF(VALUE(MID(A242,12,2))&gt;84,20,G242)))</f>
        <v>#VALUE!</v>
      </c>
      <c r="I242" s="460" t="e">
        <f t="shared" si="97"/>
        <v>#VALUE!</v>
      </c>
      <c r="J242" s="461" t="e">
        <f t="shared" ref="J242:J305" si="114">IF(B242="","",IF(VALUE(MID(A242,35,2))&lt;50,VALUE(MID(A242,35,2)),(100-VALUE(MID(A242,35,2)))*(0-1)))</f>
        <v>#VALUE!</v>
      </c>
      <c r="K242" s="462" t="e">
        <f t="shared" si="98"/>
        <v>#VALUE!</v>
      </c>
      <c r="L242" s="462" t="e">
        <f t="shared" si="90"/>
        <v>#VALUE!</v>
      </c>
      <c r="M242" s="462" t="e">
        <f t="shared" ref="M242:M305" si="115">IF(B242="","",IF(AND(D242&gt;2,D242&lt;15,L242=2,OR(I242="",I242&gt;200)),6,7))</f>
        <v>#VALUE!</v>
      </c>
      <c r="N242" s="462"/>
      <c r="O242" s="462" t="e">
        <f t="shared" ref="O242:O305" si="116">IF(B242="","",IF(AND(D242&gt;2,D242&lt;15,L242=1,OR(I242="",I242&gt;200)),3,IF(AND(D242&gt;2,D242&lt;15,L242=1,I242&lt;250),6,7)))</f>
        <v>#VALUE!</v>
      </c>
      <c r="P242" s="462" t="e">
        <f t="shared" ref="P242:P305" si="117">IF(B242="","",IF(AND(D242&gt;2,D242&lt;15,L242&lt;1,OR(I242="",I242&gt;200)),1,IF(AND(D242&gt;2,D242&lt;15,L242&lt;1,I242&lt;201),2,7)))</f>
        <v>#VALUE!</v>
      </c>
      <c r="Q242" s="462" t="e">
        <f t="shared" si="91"/>
        <v>#VALUE!</v>
      </c>
      <c r="R242" s="462" t="e">
        <f t="shared" si="99"/>
        <v>#VALUE!</v>
      </c>
      <c r="S242" s="465" t="e">
        <f t="shared" si="92"/>
        <v>#VALUE!</v>
      </c>
      <c r="T242" s="1118" t="e">
        <f t="shared" ref="T242:T305" si="118">IF(S242="","",IF(S242&gt;6.99999,"NSW",IF(OR(MID(A242,44,1)="X",MID(A242,44,1)="T"),"TS",IF(MID(A242,44,1)="S","SN",IF(MID(A242,44,1)="R","RA",IF(MID(A242,44,1)="P","PL",IF(MID(A242,44,1)="Z","FZ","BR")))))))</f>
        <v>#VALUE!</v>
      </c>
      <c r="U242" s="463" t="e">
        <f t="shared" si="93"/>
        <v>#VALUE!</v>
      </c>
      <c r="V242" s="464" t="e">
        <f t="shared" si="100"/>
        <v>#VALUE!</v>
      </c>
      <c r="W242" s="411" t="e">
        <f>IF(D242="","",MROUND(B242,1/24))</f>
        <v>#VALUE!</v>
      </c>
      <c r="X242" s="454">
        <f t="shared" ref="X242:X253" si="119">HOUR(B242)</f>
        <v>18</v>
      </c>
      <c r="Y242" s="458" t="e">
        <f t="shared" si="94"/>
        <v>#VALUE!</v>
      </c>
      <c r="Z242" s="458" t="e">
        <f t="shared" si="95"/>
        <v>#VALUE!</v>
      </c>
      <c r="AC242" s="977">
        <f t="shared" si="68"/>
        <v>44748.5</v>
      </c>
      <c r="AD242" s="1610" t="str">
        <f>IF(AND(HOUR(AC242)=HOUR(Worksheet!AF$68),DAY(AC242)=DAY(Worksheet!AF$68)),"START","")</f>
        <v/>
      </c>
      <c r="AE242" s="1149">
        <f>IF(AND(HOUR(AC242)=HOUR($F$186),DAY(AC242)=DAY($F$186)),(MID($B$189,6,3))*1,IF(AND(ISNUMBER(AE241),AC242&lt;$F$186+1+(1/25)),(MID($B$189,6+(3*COUNT($AE$207:AE241)),3))*1,""))</f>
        <v>75</v>
      </c>
      <c r="AF242" s="1164">
        <f t="shared" si="82"/>
        <v>80.78000000000003</v>
      </c>
      <c r="AG242" s="1150">
        <f t="shared" si="50"/>
        <v>78.800000000000011</v>
      </c>
      <c r="AH242" s="1163">
        <f>IF(AND(ISNUMBER(AH241),AC242&lt;$F$186+26/25),(MID($B$190,6+(3*COUNT($AH$207:AH241)),3))*1,IF(AND(HOUR(AC242)=HOUR($F$186),DAY(AC242)=DAY($F$186)),(MID($B$190,6,3))*1,""))</f>
        <v>74</v>
      </c>
      <c r="AI242" s="1901">
        <f>IF(AH242="","",IF(AND(AE242&lt;0,AH242&gt;0),0-AH242,AH242))</f>
        <v>74</v>
      </c>
      <c r="AJ242" s="1164">
        <f t="shared" si="52"/>
        <v>74.33600000000007</v>
      </c>
      <c r="AK242" s="1150">
        <f t="shared" si="53"/>
        <v>75.2</v>
      </c>
      <c r="AL242" s="1152">
        <f t="shared" si="83"/>
        <v>29.95</v>
      </c>
      <c r="AM242" s="1153">
        <f t="shared" si="54"/>
        <v>29.98</v>
      </c>
      <c r="AN242" s="1147"/>
      <c r="AO242" s="976">
        <f>IF(BA242="Y",AP242,IF(AND(ISNUMBER(AO241),AC242&lt;$F$186+26/25),(MID(INDEX($A$187:$B$210,MATCH("CIG",$A$187:$A$210,0),2),8+(3*COUNT($AO$207:AO241)),1))*1,IF(AND(HOUR(AC242)=HOUR($F$186),DAY(AC242)=DAY($F$186)),(MID(INDEX($A$187:$B$210,MATCH("CIG",$A$187:$A$210,0),2),8,1))*1,"")))</f>
        <v>8</v>
      </c>
      <c r="AP242" s="1061">
        <f>IF(AND(ISNUMBER(AP241),AC242&lt;$F$186+26/25),(MID(INDEX($A$187:$B$210,MATCH("CCG",$A$187:$A$210,0),2),8+(3*COUNT($AP$207:AP241)),1))*1,IF(AND(HOUR(AC242)=HOUR($F$186),DAY(AC242)=DAY($F$186)),(MID(INDEX($A$187:$B$210,MATCH("CCG",$A$187:$A$210,0),2),8,1))*1,""))</f>
        <v>8</v>
      </c>
      <c r="AQ242" s="1061" t="str">
        <f>IF(AND(AQ241&lt;&gt;"",AC242&lt;$F$186+26/25),MID(INDEX($A$187:$B$210,MATCH("CLD",$A$187:$A$210,0),2),7+(3*SUM(COUNTIF($AQ$207:AQ241,"OV"),COUNTIF($AQ$207:AQ241,"BK"),COUNTIF($AQ$207:AQ241,"SC"),COUNTIF($AQ$207:AQ241,"FW"),COUNTIF($AQ$207:AQ241,"CL"))),2),IF(AND(HOUR(AC242)=HOUR($F$186),DAY(AC242)=DAY($F$186)),MID(INDEX($A$187:$B$210,MATCH("CLD",$A$187:$A$210,0),2),7,2),""))</f>
        <v>SC</v>
      </c>
      <c r="AR242" s="1149">
        <f t="shared" si="101"/>
        <v>8</v>
      </c>
      <c r="AS242" s="1150" t="str">
        <f t="shared" si="102"/>
        <v>BK</v>
      </c>
      <c r="AT242" s="112">
        <f t="shared" si="103"/>
        <v>8</v>
      </c>
      <c r="AU242" s="1610" t="str">
        <f t="shared" si="104"/>
        <v>BK</v>
      </c>
      <c r="AV242" s="1148">
        <f t="shared" si="84"/>
        <v>40</v>
      </c>
      <c r="AW242" s="920" t="str">
        <f t="shared" si="87"/>
        <v>SCT</v>
      </c>
      <c r="AX242" s="1608">
        <f t="shared" si="85"/>
        <v>40</v>
      </c>
      <c r="AY242" s="112">
        <f>IF(BA242="Y",AZ242,IF(AND(ISNUMBER(AY241),AC242&lt;$F$186+26/25),(MID(INDEX($A$187:$B$210,MATCH("VIS",$A$187:$A$210,0),2),8+(3*COUNT($AY$207:AY241)),1))*1,IF(AND(HOUR(AC242)=HOUR($F$186),DAY(AC242)=DAY($F$186)),(MID(INDEX($A$187:$B$210,MATCH("VIS",$A$187:$A$210,0),2),8,1))*1,"")))</f>
        <v>7</v>
      </c>
      <c r="AZ242" s="112">
        <f>IF(AND(ISNUMBER(AZ241),AC242&lt;$F$186+26/25),(MID(INDEX($A$187:$B$210,MATCH("CVS",$A$187:$A$210,0),2),8+(3*COUNT($AZ$207:AZ241)),1))*1,IF(AND(HOUR(AC242)=HOUR($F$186),DAY(AC242)=DAY($F$186)),(MID(INDEX($A$187:$B$210,MATCH("CVS",$A$187:$A$210,0),2),8,1))*1,""))</f>
        <v>7</v>
      </c>
      <c r="BA242" s="1610" t="str">
        <f>IF(AND(BA241&lt;&gt;"",AC242&lt;$F$186+26/25),MID(INDEX($A$187:$B$210,MATCH("PCO",$A$187:$A$210,0),2),8+(3*SUM(COUNTIF($BA$207:BA241,"Y"),COUNTIF($BA$207:BA241,"N"))),1),IF(AND(HOUR(AC242)=HOUR($F$186),DAY(AC242)=DAY($F$186)),MID(INDEX($A$187:$B$210,MATCH("PCO",$A$187:$A$210,0),2),8,1),""))</f>
        <v>N</v>
      </c>
      <c r="BB242" s="1610" t="e">
        <f>IF(AND(BB241&lt;&gt;"",AC242&lt;$F$186+26/25),MID(INDEX($A$187:$B$210,MATCH("TYP",$A$187:$A$210,0),2),8+(3*SUM(COUNTIF($BB$207:BB241,"S"),COUNTIF($BB$207:BB241,"Z"), COUNTIF($BB$207:BB241,"R"),COUNTIF($BB$207:BB241,"X"))),1),IF(AND(HOUR(AC242)=HOUR($F$186),DAY(AC242)=DAY($F$186)),MID(INDEX($A$187:$B$210,MATCH("TYP",$A$187:$A$210,0),2),8,1),""))</f>
        <v>#N/A</v>
      </c>
      <c r="BC242" s="112" t="str">
        <f>IF(AND(LEN(BC241)=2,AC242&lt;$F$186+26/25),MID(INDEX($A$187:$B$211,MATCH("OBV",$A$187:$A$211,0),2),7+(3*SUM(COUNTIF($BC$207:BC241," N"),COUNTIF($BC$207:BC241,"HZ"),COUNTIF($BC$207:BC241,"BR"),COUNTIF($BC$207:BC241,"FG"),COUNTIF($BC$207:BC241,"BL"))),2),IF(AND(HOUR(AC242)=HOUR($F$186),DAY(AC242)=DAY($F$186)),MID(INDEX($A$187:$B$211,MATCH("OBV",$A$187:$A$211,0),2),7,2),""))</f>
        <v xml:space="preserve"> N</v>
      </c>
      <c r="BD242" s="112"/>
      <c r="BE242" s="112"/>
      <c r="BF242" s="112"/>
      <c r="BG242" s="1610" t="str">
        <f t="shared" si="40"/>
        <v xml:space="preserve"> N</v>
      </c>
      <c r="BH242" s="115">
        <f t="shared" si="105"/>
        <v>7</v>
      </c>
      <c r="BI242" s="200" t="str">
        <f t="shared" si="76"/>
        <v/>
      </c>
      <c r="BJ242" s="62">
        <f t="shared" si="75"/>
        <v>9</v>
      </c>
      <c r="BK242" s="1145">
        <f>IF(COUNT(BJ242:BJ247)&gt;0,IF(MOD(HOUR(AC242),6)=0,AVERAGE(MAX(BJ242:BJ248),MIN(BJ242:BJ248)),IF(MOD(HOUR(AC242),3)=0,MAX(BJ243:BJ248),IF(MOD(HOUR(AC241),3)=0,BK241,BK243))),"")</f>
        <v>15</v>
      </c>
      <c r="BL242" s="62">
        <f t="shared" si="77"/>
        <v>16</v>
      </c>
      <c r="BM242" s="1145">
        <f t="shared" si="73"/>
        <v>20</v>
      </c>
      <c r="BN242" s="1901" t="str">
        <f>IF(ISERROR(MATCH("OBV",$A$370:$A$394,0)),"",IF(OR(AC242&lt;($F$373-0.001),AC242&gt;($F$374+0.001)),"",IF(AC242-$F$373&lt;2.24,IF(MOD(HOUR(AC242),3)=0,MID(INDEX($A$370:$B$394,MATCH("OBV",$A$370:$A$394,0),2),7+(3*(AC242-$F$373)*8),2),IF(MOD(HOUR(AC241),3)=0,BN241,BN243)),IF(MOD(HOUR(AC242),6)=0,MID(INDEX($A$370:$B$394,MATCH("OBV",$A$370:$A$394,0),2),61+(3*(ROUND(((AC242-$F$373)-2.25)*4,2))),2),""))))</f>
        <v xml:space="preserve"> N</v>
      </c>
      <c r="BO242" s="1144" t="e">
        <f t="shared" si="78"/>
        <v>#N/A</v>
      </c>
      <c r="BP242" s="106">
        <f t="shared" si="109"/>
        <v>7</v>
      </c>
      <c r="BQ242" s="66" t="str">
        <f t="shared" si="79"/>
        <v/>
      </c>
      <c r="BR242" s="106">
        <f t="shared" si="80"/>
        <v>41</v>
      </c>
      <c r="BS242" s="834">
        <f t="shared" si="96"/>
        <v>25</v>
      </c>
      <c r="BT242" s="106">
        <f t="shared" si="81"/>
        <v>43</v>
      </c>
      <c r="BU242" s="834">
        <f t="shared" si="63"/>
        <v>29</v>
      </c>
      <c r="BV242" s="66" t="str">
        <f t="shared" si="106"/>
        <v xml:space="preserve"> N</v>
      </c>
      <c r="BW242" s="66" t="e">
        <f t="shared" si="107"/>
        <v>#N/A</v>
      </c>
      <c r="BX242" s="1198">
        <f t="shared" si="86"/>
        <v>7</v>
      </c>
      <c r="BY242" s="1146" t="str">
        <f t="shared" si="66"/>
        <v>NSW</v>
      </c>
      <c r="CA242" s="3675">
        <f t="shared" si="67"/>
        <v>44748.5</v>
      </c>
      <c r="CB242" s="3675"/>
    </row>
    <row r="243" spans="1:80" ht="10.5">
      <c r="A243" s="978" t="str">
        <f>Worksheet!Q80</f>
        <v>////// 21516170 -5896 149972506 8134312724   ---177</v>
      </c>
      <c r="B243" s="452">
        <f t="shared" ref="B243:B306" si="120">IF(OR(LEFT(A243,1)="0",LEFT(A243,1)="1"),MROUND((VALUE(LEFT(A243,3))/24)+B$237,1/24),B$237)</f>
        <v>44747.75</v>
      </c>
      <c r="C243" s="466">
        <f t="shared" si="110"/>
        <v>29.97</v>
      </c>
      <c r="D243" s="454">
        <f t="shared" si="88"/>
        <v>18</v>
      </c>
      <c r="E243" s="476">
        <f t="shared" si="111"/>
        <v>40</v>
      </c>
      <c r="F243" s="460" t="str">
        <f t="shared" si="89"/>
        <v>NONE</v>
      </c>
      <c r="G243" s="460" t="str">
        <f t="shared" si="112"/>
        <v>SCT</v>
      </c>
      <c r="H243" s="460" t="str">
        <f t="shared" si="113"/>
        <v>SCT</v>
      </c>
      <c r="I243" s="460">
        <f t="shared" si="97"/>
        <v>40</v>
      </c>
      <c r="J243" s="461">
        <f t="shared" si="114"/>
        <v>34</v>
      </c>
      <c r="K243" s="462">
        <f t="shared" si="98"/>
        <v>21</v>
      </c>
      <c r="L243" s="462">
        <f t="shared" si="90"/>
        <v>13</v>
      </c>
      <c r="M243" s="462">
        <f t="shared" si="115"/>
        <v>7</v>
      </c>
      <c r="N243" s="462"/>
      <c r="O243" s="462">
        <f t="shared" si="116"/>
        <v>7</v>
      </c>
      <c r="P243" s="462">
        <f t="shared" si="117"/>
        <v>7</v>
      </c>
      <c r="Q243" s="462">
        <f t="shared" si="91"/>
        <v>17.7</v>
      </c>
      <c r="R243" s="462">
        <f t="shared" si="99"/>
        <v>7</v>
      </c>
      <c r="S243" s="465">
        <f t="shared" si="92"/>
        <v>7</v>
      </c>
      <c r="T243" s="1118" t="str">
        <f t="shared" si="118"/>
        <v>NSW</v>
      </c>
      <c r="U243" s="463" t="str">
        <f t="shared" si="93"/>
        <v/>
      </c>
      <c r="V243" s="464" t="str">
        <f t="shared" si="100"/>
        <v/>
      </c>
      <c r="W243" s="411">
        <f t="shared" ref="W243:W290" si="121">IF(D243="","",MROUND(B243,1/24))</f>
        <v>44747.75</v>
      </c>
      <c r="X243" s="454">
        <f t="shared" si="119"/>
        <v>18</v>
      </c>
      <c r="Y243" s="458">
        <f t="shared" si="94"/>
        <v>93.2</v>
      </c>
      <c r="Z243" s="458">
        <f t="shared" si="95"/>
        <v>69.800000000000011</v>
      </c>
      <c r="AC243" s="977">
        <f t="shared" si="68"/>
        <v>44748.541666666664</v>
      </c>
      <c r="AD243" s="1610" t="str">
        <f>IF(AND(HOUR(AC243)=HOUR(Worksheet!AF$68),DAY(AC243)=DAY(Worksheet!AF$68)),"START","")</f>
        <v>START</v>
      </c>
      <c r="AE243" s="1149">
        <f>IF(AND(HOUR(AC243)=HOUR($F$186),DAY(AC243)=DAY($F$186)),(MID($B$189,6,3))*1,IF(AND(ISNUMBER(AE242),AC243&lt;$F$186+1+(1/25)),(MID($B$189,6+(3*COUNT($AE$207:AE242)),3))*1,""))</f>
        <v>79</v>
      </c>
      <c r="AF243" s="1164">
        <f t="shared" si="82"/>
        <v>83.899999999999991</v>
      </c>
      <c r="AG243" s="1150">
        <f t="shared" si="50"/>
        <v>82.4</v>
      </c>
      <c r="AH243" s="1163">
        <f>IF(AND(ISNUMBER(AH242),AC243&lt;$F$186+26/25),(MID($B$190,6+(3*COUNT($AH$207:AH242)),3))*1,IF(AND(HOUR(AC243)=HOUR($F$186),DAY(AC243)=DAY($F$186)),(MID($B$190,6,3))*1,""))</f>
        <v>75</v>
      </c>
      <c r="AI243" s="1901">
        <f t="shared" si="108"/>
        <v>75</v>
      </c>
      <c r="AJ243" s="1164">
        <f t="shared" si="52"/>
        <v>75.080000000000055</v>
      </c>
      <c r="AK243" s="1150">
        <f t="shared" si="53"/>
        <v>77</v>
      </c>
      <c r="AL243" s="1152">
        <f t="shared" si="83"/>
        <v>29.946666666666665</v>
      </c>
      <c r="AM243" s="1153">
        <f t="shared" si="54"/>
        <v>29.98</v>
      </c>
      <c r="AN243" s="1147"/>
      <c r="AO243" s="976">
        <f>IF(BA243="Y",AP243,IF(AND(ISNUMBER(AO242),AC243&lt;$F$186+26/25),(MID(INDEX($A$187:$B$210,MATCH("CIG",$A$187:$A$210,0),2),8+(3*COUNT($AO$207:AO242)),1))*1,IF(AND(HOUR(AC243)=HOUR($F$186),DAY(AC243)=DAY($F$186)),(MID(INDEX($A$187:$B$210,MATCH("CIG",$A$187:$A$210,0),2),8,1))*1,"")))</f>
        <v>8</v>
      </c>
      <c r="AP243" s="1061">
        <f>IF(AND(ISNUMBER(AP242),AC243&lt;$F$186+26/25),(MID(INDEX($A$187:$B$210,MATCH("CCG",$A$187:$A$210,0),2),8+(3*COUNT($AP$207:AP242)),1))*1,IF(AND(HOUR(AC243)=HOUR($F$186),DAY(AC243)=DAY($F$186)),(MID(INDEX($A$187:$B$210,MATCH("CCG",$A$187:$A$210,0),2),8,1))*1,""))</f>
        <v>8</v>
      </c>
      <c r="AQ243" s="1061" t="str">
        <f>IF(AND(AQ242&lt;&gt;"",AC243&lt;$F$186+26/25),MID(INDEX($A$187:$B$210,MATCH("CLD",$A$187:$A$210,0),2),7+(3*SUM(COUNTIF($AQ$207:AQ242,"OV"),COUNTIF($AQ$207:AQ242,"BK"),COUNTIF($AQ$207:AQ242,"SC"),COUNTIF($AQ$207:AQ242,"FW"),COUNTIF($AQ$207:AQ242,"CL"))),2),IF(AND(HOUR(AC243)=HOUR($F$186),DAY(AC243)=DAY($F$186)),MID(INDEX($A$187:$B$210,MATCH("CLD",$A$187:$A$210,0),2),7,2),""))</f>
        <v>SC</v>
      </c>
      <c r="AR243" s="1149">
        <f t="shared" si="101"/>
        <v>8</v>
      </c>
      <c r="AS243" s="1150" t="str">
        <f t="shared" si="102"/>
        <v>BK</v>
      </c>
      <c r="AT243" s="112">
        <f t="shared" si="103"/>
        <v>8</v>
      </c>
      <c r="AU243" s="1610" t="str">
        <f t="shared" si="104"/>
        <v>BK</v>
      </c>
      <c r="AV243" s="1148">
        <f t="shared" si="84"/>
        <v>40</v>
      </c>
      <c r="AW243" s="920" t="str">
        <f t="shared" si="87"/>
        <v>SCT</v>
      </c>
      <c r="AX243" s="1608">
        <f t="shared" si="85"/>
        <v>40</v>
      </c>
      <c r="AY243" s="112">
        <f>IF(BA243="Y",AZ243,IF(AND(ISNUMBER(AY242),AC243&lt;$F$186+26/25),(MID(INDEX($A$187:$B$210,MATCH("VIS",$A$187:$A$210,0),2),8+(3*COUNT($AY$207:AY242)),1))*1,IF(AND(HOUR(AC243)=HOUR($F$186),DAY(AC243)=DAY($F$186)),(MID(INDEX($A$187:$B$210,MATCH("VIS",$A$187:$A$210,0),2),8,1))*1,"")))</f>
        <v>7</v>
      </c>
      <c r="AZ243" s="112">
        <f>IF(AND(ISNUMBER(AZ242),AC243&lt;$F$186+26/25),(MID(INDEX($A$187:$B$210,MATCH("CVS",$A$187:$A$210,0),2),8+(3*COUNT($AZ$207:AZ242)),1))*1,IF(AND(HOUR(AC243)=HOUR($F$186),DAY(AC243)=DAY($F$186)),(MID(INDEX($A$187:$B$210,MATCH("CVS",$A$187:$A$210,0),2),8,1))*1,""))</f>
        <v>7</v>
      </c>
      <c r="BA243" s="1610" t="str">
        <f>IF(AND(BA242&lt;&gt;"",AC243&lt;$F$186+26/25),MID(INDEX($A$187:$B$210,MATCH("PCO",$A$187:$A$210,0),2),8+(3*SUM(COUNTIF($BA$207:BA242,"Y"),COUNTIF($BA$207:BA242,"N"))),1),IF(AND(HOUR(AC243)=HOUR($F$186),DAY(AC243)=DAY($F$186)),MID(INDEX($A$187:$B$210,MATCH("PCO",$A$187:$A$210,0),2),8,1),""))</f>
        <v>N</v>
      </c>
      <c r="BB243" s="1610" t="e">
        <f>IF(AND(BB242&lt;&gt;"",AC243&lt;$F$186+26/25),MID(INDEX($A$187:$B$210,MATCH("TYP",$A$187:$A$210,0),2),8+(3*SUM(COUNTIF($BB$207:BB242,"S"),COUNTIF($BB$207:BB242,"Z"), COUNTIF($BB$207:BB242,"R"),COUNTIF($BB$207:BB242,"X"))),1),IF(AND(HOUR(AC243)=HOUR($F$186),DAY(AC243)=DAY($F$186)),MID(INDEX($A$187:$B$210,MATCH("TYP",$A$187:$A$210,0),2),8,1),""))</f>
        <v>#N/A</v>
      </c>
      <c r="BC243" s="112" t="str">
        <f>IF(AND(LEN(BC242)=2,AC243&lt;$F$186+26/25),MID(INDEX($A$187:$B$211,MATCH("OBV",$A$187:$A$211,0),2),7+(3*SUM(COUNTIF($BC$207:BC242," N"),COUNTIF($BC$207:BC242,"HZ"),COUNTIF($BC$207:BC242,"BR"),COUNTIF($BC$207:BC242,"FG"),COUNTIF($BC$207:BC242,"BL"))),2),IF(AND(HOUR(AC243)=HOUR($F$186),DAY(AC243)=DAY($F$186)),MID(INDEX($A$187:$B$211,MATCH("OBV",$A$187:$A$211,0),2),7,2),""))</f>
        <v xml:space="preserve"> N</v>
      </c>
      <c r="BD243" s="112"/>
      <c r="BE243" s="112"/>
      <c r="BF243" s="112"/>
      <c r="BG243" s="1610" t="str">
        <f t="shared" si="40"/>
        <v xml:space="preserve"> N</v>
      </c>
      <c r="BH243" s="115">
        <f t="shared" si="105"/>
        <v>7</v>
      </c>
      <c r="BI243" s="200" t="str">
        <f t="shared" si="76"/>
        <v/>
      </c>
      <c r="BJ243" s="62" t="str">
        <f t="shared" si="75"/>
        <v/>
      </c>
      <c r="BK243" s="1145">
        <f t="shared" ref="BK243:BK306" si="122">IF(COUNT(BJ243:BJ248)&gt;0,IF(MOD(HOUR(AC243),6)=0,AVERAGE(MAX(BJ243:BJ249),MIN(BJ243:BJ249)),IF(MOD(HOUR(AC243),3)=0,MAX(BJ244:BJ249),IF(MOD(HOUR(AC242),3)=0,BK242,BK244))),"")</f>
        <v>15</v>
      </c>
      <c r="BL243" s="62" t="str">
        <f t="shared" si="77"/>
        <v/>
      </c>
      <c r="BM243" s="1145">
        <f t="shared" si="73"/>
        <v>20</v>
      </c>
      <c r="BN243" s="1901" t="str">
        <f t="shared" ref="BN243:BN306" si="123">IF(ISERROR(MATCH("OBV",$A$370:$A$394,0)),"",IF(OR(AC243&lt;($F$373-0.001),AC243&gt;($F$374+0.001)),"",IF(AC243-$F$373&lt;2.24,IF(MOD(HOUR(AC243),3)=0,MID(INDEX($A$370:$B$394,MATCH("OBV",$A$370:$A$394,0),2),7+(3*(AC243-$F$373)*8),2),IF(MOD(HOUR(AC242),3)=0,BN242,BN244)),IF(MOD(HOUR(AC243),6)=0,MID(INDEX($A$370:$B$394,MATCH("OBV",$A$370:$A$394,0),2),61+(3*(ROUND(((AC243-$F$373)-2.25)*4,2))),2),""))))</f>
        <v xml:space="preserve"> N</v>
      </c>
      <c r="BO243" s="1144" t="e">
        <f t="shared" si="78"/>
        <v>#N/A</v>
      </c>
      <c r="BP243" s="106">
        <f t="shared" si="109"/>
        <v>7</v>
      </c>
      <c r="BQ243" s="66" t="str">
        <f t="shared" si="79"/>
        <v/>
      </c>
      <c r="BR243" s="106" t="str">
        <f t="shared" si="80"/>
        <v/>
      </c>
      <c r="BS243" s="834">
        <f t="shared" si="96"/>
        <v>25</v>
      </c>
      <c r="BT243" s="106" t="str">
        <f t="shared" si="81"/>
        <v/>
      </c>
      <c r="BU243" s="834">
        <f t="shared" si="63"/>
        <v>29</v>
      </c>
      <c r="BV243" s="66" t="str">
        <f t="shared" si="106"/>
        <v xml:space="preserve"> N</v>
      </c>
      <c r="BW243" s="66" t="e">
        <f t="shared" si="107"/>
        <v>#N/A</v>
      </c>
      <c r="BX243" s="1198">
        <f t="shared" si="86"/>
        <v>7</v>
      </c>
      <c r="BY243" s="1146" t="str">
        <f t="shared" si="66"/>
        <v>NSW</v>
      </c>
      <c r="CA243" s="3675">
        <f t="shared" si="67"/>
        <v>44748.541666666664</v>
      </c>
      <c r="CB243" s="3675"/>
    </row>
    <row r="244" spans="1:80" ht="12.5">
      <c r="A244" s="978" t="str">
        <f>Worksheet!Q81</f>
        <v>001000 21506170 -2095 139952405 8134322724   ---177</v>
      </c>
      <c r="B244" s="452">
        <f t="shared" si="120"/>
        <v>44747.791666666664</v>
      </c>
      <c r="C244" s="466">
        <f t="shared" si="110"/>
        <v>29.95</v>
      </c>
      <c r="D244" s="454">
        <f t="shared" si="88"/>
        <v>19</v>
      </c>
      <c r="E244" s="476">
        <f t="shared" si="111"/>
        <v>40</v>
      </c>
      <c r="F244" s="460" t="str">
        <f t="shared" si="89"/>
        <v>NONE</v>
      </c>
      <c r="G244" s="460" t="str">
        <f t="shared" si="112"/>
        <v>SCT</v>
      </c>
      <c r="H244" s="460" t="str">
        <f t="shared" si="113"/>
        <v>SCT</v>
      </c>
      <c r="I244" s="460">
        <f t="shared" si="97"/>
        <v>40</v>
      </c>
      <c r="J244" s="461">
        <f t="shared" si="114"/>
        <v>34</v>
      </c>
      <c r="K244" s="462">
        <f t="shared" si="98"/>
        <v>21</v>
      </c>
      <c r="L244" s="462">
        <f t="shared" si="90"/>
        <v>13</v>
      </c>
      <c r="M244" s="462">
        <f t="shared" si="115"/>
        <v>7</v>
      </c>
      <c r="N244" s="462"/>
      <c r="O244" s="462">
        <f t="shared" si="116"/>
        <v>7</v>
      </c>
      <c r="P244" s="462">
        <f t="shared" si="117"/>
        <v>7</v>
      </c>
      <c r="Q244" s="462">
        <f t="shared" si="91"/>
        <v>17.7</v>
      </c>
      <c r="R244" s="462">
        <f t="shared" si="99"/>
        <v>7</v>
      </c>
      <c r="S244" s="465">
        <f t="shared" si="92"/>
        <v>7</v>
      </c>
      <c r="T244" s="1118" t="str">
        <f t="shared" si="118"/>
        <v>NSW</v>
      </c>
      <c r="U244" s="463" t="str">
        <f t="shared" si="93"/>
        <v/>
      </c>
      <c r="V244" s="464" t="str">
        <f t="shared" si="100"/>
        <v/>
      </c>
      <c r="W244" s="411">
        <f t="shared" si="121"/>
        <v>44747.791666666664</v>
      </c>
      <c r="X244" s="454">
        <f t="shared" si="119"/>
        <v>19</v>
      </c>
      <c r="Y244" s="458">
        <f t="shared" si="94"/>
        <v>93.2</v>
      </c>
      <c r="Z244" s="458">
        <f t="shared" si="95"/>
        <v>69.800000000000011</v>
      </c>
      <c r="AC244" s="977">
        <f t="shared" si="68"/>
        <v>44748.583333333328</v>
      </c>
      <c r="AD244" s="1610" t="str">
        <f>IF(AND(HOUR(AC244)=HOUR(Worksheet!AF$68),DAY(AC244)=DAY(Worksheet!AF$68)),"START","")</f>
        <v/>
      </c>
      <c r="AE244" s="1149">
        <f>IF(AND(HOUR(AC244)=HOUR($F$186),DAY(AC244)=DAY($F$186)),(MID($B$189,6,3))*1,IF(AND(ISNUMBER(AE243),AC244&lt;$F$186+1+(1/25)),(MID($B$189,6+(3*COUNT($AE$207:AE243)),3))*1,""))</f>
        <v>83</v>
      </c>
      <c r="AF244" s="1164">
        <f t="shared" si="82"/>
        <v>87.019999999999968</v>
      </c>
      <c r="AG244" s="1150">
        <f t="shared" si="50"/>
        <v>84.2</v>
      </c>
      <c r="AH244" s="1163">
        <f>IF(AND(ISNUMBER(AH243),AC244&lt;$F$186+26/25),(MID($B$190,6+(3*COUNT($AH$207:AH243)),3))*1,IF(AND(HOUR(AC244)=HOUR($F$186),DAY(AC244)=DAY($F$186)),(MID($B$190,6,3))*1,""))</f>
        <v>75</v>
      </c>
      <c r="AI244" s="1901">
        <f t="shared" si="108"/>
        <v>75</v>
      </c>
      <c r="AJ244" s="1164">
        <f t="shared" si="52"/>
        <v>75.824000000000055</v>
      </c>
      <c r="AK244" s="1150">
        <f t="shared" si="53"/>
        <v>77</v>
      </c>
      <c r="AL244" s="1152">
        <f t="shared" si="83"/>
        <v>29.943333333333335</v>
      </c>
      <c r="AM244" s="1153">
        <f t="shared" si="54"/>
        <v>29.97</v>
      </c>
      <c r="AN244" s="1154"/>
      <c r="AO244" s="976">
        <f>IF(BA244="Y",AP244,IF(AND(ISNUMBER(AO243),AC244&lt;$F$186+26/25),(MID(INDEX($A$187:$B$210,MATCH("CIG",$A$187:$A$210,0),2),8+(3*COUNT($AO$207:AO243)),1))*1,IF(AND(HOUR(AC244)=HOUR($F$186),DAY(AC244)=DAY($F$186)),(MID(INDEX($A$187:$B$210,MATCH("CIG",$A$187:$A$210,0),2),8,1))*1,"")))</f>
        <v>8</v>
      </c>
      <c r="AP244" s="1061">
        <f>IF(AND(ISNUMBER(AP243),AC244&lt;$F$186+26/25),(MID(INDEX($A$187:$B$210,MATCH("CCG",$A$187:$A$210,0),2),8+(3*COUNT($AP$207:AP243)),1))*1,IF(AND(HOUR(AC244)=HOUR($F$186),DAY(AC244)=DAY($F$186)),(MID(INDEX($A$187:$B$210,MATCH("CCG",$A$187:$A$210,0),2),8,1))*1,""))</f>
        <v>8</v>
      </c>
      <c r="AQ244" s="1061" t="str">
        <f>IF(AND(AQ243&lt;&gt;"",AC244&lt;$F$186+26/25),MID(INDEX($A$187:$B$210,MATCH("CLD",$A$187:$A$210,0),2),7+(3*SUM(COUNTIF($AQ$207:AQ243,"OV"),COUNTIF($AQ$207:AQ243,"BK"),COUNTIF($AQ$207:AQ243,"SC"),COUNTIF($AQ$207:AQ243,"FW"),COUNTIF($AQ$207:AQ243,"CL"))),2),IF(AND(HOUR(AC244)=HOUR($F$186),DAY(AC244)=DAY($F$186)),MID(INDEX($A$187:$B$210,MATCH("CLD",$A$187:$A$210,0),2),7,2),""))</f>
        <v>BK</v>
      </c>
      <c r="AR244" s="1149">
        <f t="shared" si="101"/>
        <v>8</v>
      </c>
      <c r="AS244" s="1150" t="str">
        <f t="shared" si="102"/>
        <v>BK</v>
      </c>
      <c r="AT244" s="112">
        <f t="shared" si="103"/>
        <v>8</v>
      </c>
      <c r="AU244" s="1610" t="str">
        <f t="shared" si="104"/>
        <v>SC</v>
      </c>
      <c r="AV244" s="1148">
        <f t="shared" si="84"/>
        <v>40</v>
      </c>
      <c r="AW244" s="920" t="str">
        <f t="shared" si="87"/>
        <v>SCT</v>
      </c>
      <c r="AX244" s="1608">
        <f t="shared" si="85"/>
        <v>40</v>
      </c>
      <c r="AY244" s="112">
        <f>IF(BA244="Y",AZ244,IF(AND(ISNUMBER(AY243),AC244&lt;$F$186+26/25),(MID(INDEX($A$187:$B$210,MATCH("VIS",$A$187:$A$210,0),2),8+(3*COUNT($AY$207:AY243)),1))*1,IF(AND(HOUR(AC244)=HOUR($F$186),DAY(AC244)=DAY($F$186)),(MID(INDEX($A$187:$B$210,MATCH("VIS",$A$187:$A$210,0),2),8,1))*1,"")))</f>
        <v>7</v>
      </c>
      <c r="AZ244" s="112">
        <f>IF(AND(ISNUMBER(AZ243),AC244&lt;$F$186+26/25),(MID(INDEX($A$187:$B$210,MATCH("CVS",$A$187:$A$210,0),2),8+(3*COUNT($AZ$207:AZ243)),1))*1,IF(AND(HOUR(AC244)=HOUR($F$186),DAY(AC244)=DAY($F$186)),(MID(INDEX($A$187:$B$210,MATCH("CVS",$A$187:$A$210,0),2),8,1))*1,""))</f>
        <v>7</v>
      </c>
      <c r="BA244" s="1610" t="str">
        <f>IF(AND(BA243&lt;&gt;"",AC244&lt;$F$186+26/25),MID(INDEX($A$187:$B$210,MATCH("PCO",$A$187:$A$210,0),2),8+(3*SUM(COUNTIF($BA$207:BA243,"Y"),COUNTIF($BA$207:BA243,"N"))),1),IF(AND(HOUR(AC244)=HOUR($F$186),DAY(AC244)=DAY($F$186)),MID(INDEX($A$187:$B$210,MATCH("PCO",$A$187:$A$210,0),2),8,1),""))</f>
        <v>N</v>
      </c>
      <c r="BB244" s="1610" t="e">
        <f>IF(AND(BB243&lt;&gt;"",AC244&lt;$F$186+26/25),MID(INDEX($A$187:$B$210,MATCH("TYP",$A$187:$A$210,0),2),8+(3*SUM(COUNTIF($BB$207:BB243,"S"),COUNTIF($BB$207:BB243,"Z"), COUNTIF($BB$207:BB243,"R"),COUNTIF($BB$207:BB243,"X"))),1),IF(AND(HOUR(AC244)=HOUR($F$186),DAY(AC244)=DAY($F$186)),MID(INDEX($A$187:$B$210,MATCH("TYP",$A$187:$A$210,0),2),8,1),""))</f>
        <v>#N/A</v>
      </c>
      <c r="BC244" s="112" t="str">
        <f>IF(AND(LEN(BC243)=2,AC244&lt;$F$186+26/25),MID(INDEX($A$187:$B$211,MATCH("OBV",$A$187:$A$211,0),2),7+(3*SUM(COUNTIF($BC$207:BC243," N"),COUNTIF($BC$207:BC243,"HZ"),COUNTIF($BC$207:BC243,"BR"),COUNTIF($BC$207:BC243,"FG"),COUNTIF($BC$207:BC243,"BL"))),2),IF(AND(HOUR(AC244)=HOUR($F$186),DAY(AC244)=DAY($F$186)),MID(INDEX($A$187:$B$211,MATCH("OBV",$A$187:$A$211,0),2),7,2),""))</f>
        <v xml:space="preserve"> N</v>
      </c>
      <c r="BD244" s="112"/>
      <c r="BE244" s="112"/>
      <c r="BF244" s="112"/>
      <c r="BG244" s="1610" t="str">
        <f t="shared" si="40"/>
        <v xml:space="preserve"> N</v>
      </c>
      <c r="BH244" s="115">
        <f t="shared" si="105"/>
        <v>7</v>
      </c>
      <c r="BI244" s="200" t="str">
        <f t="shared" si="76"/>
        <v/>
      </c>
      <c r="BJ244" s="62" t="str">
        <f t="shared" si="75"/>
        <v/>
      </c>
      <c r="BK244" s="1145">
        <f t="shared" si="122"/>
        <v>21</v>
      </c>
      <c r="BL244" s="62" t="str">
        <f t="shared" si="77"/>
        <v/>
      </c>
      <c r="BM244" s="1145">
        <f t="shared" si="73"/>
        <v>24</v>
      </c>
      <c r="BN244" s="1901" t="str">
        <f>IF(ISERROR(MATCH("OBV",$A$370:$A$394,0)),"",IF(OR(AC244&lt;($F$373-0.001),AC244&gt;($F$374+0.001)),"",IF(AC244-$F$373&lt;2.24,IF(MOD(HOUR(AC244),3)=0,MID(INDEX($A$370:$B$394,MATCH("OBV",$A$370:$A$394,0),2),7+(3*(AC244-$F$373)*8),2),IF(MOD(HOUR(AC243),3)=0,BN243,BN245)),IF(MOD(HOUR(AC244),6)=0,MID(INDEX($A$370:$B$394,MATCH("OBV",$A$370:$A$394,0),2),61+(3*(ROUND(((AC244-$F$373)-2.25)*4,2))),2),""))))</f>
        <v xml:space="preserve"> N</v>
      </c>
      <c r="BO244" s="1144" t="e">
        <f t="shared" si="78"/>
        <v>#N/A</v>
      </c>
      <c r="BP244" s="106">
        <f t="shared" si="109"/>
        <v>7</v>
      </c>
      <c r="BQ244" s="66" t="str">
        <f t="shared" si="79"/>
        <v/>
      </c>
      <c r="BR244" s="106" t="str">
        <f t="shared" si="80"/>
        <v/>
      </c>
      <c r="BS244" s="834">
        <f>IF(COUNT(BR244:BR249)&gt;0,IF(MOD(HOUR(AC244),6)=0,AVERAGE(MAX(BR244:BR250),MIN(BR244:BR250)),IF(MOD(HOUR(AC244),3)=0,MAX(BR245:BR250),IF(MOD(HOUR(AC243),3)=0,BS243,BS245))),"")</f>
        <v>9</v>
      </c>
      <c r="BT244" s="106" t="str">
        <f t="shared" si="81"/>
        <v/>
      </c>
      <c r="BU244" s="834">
        <f>IF(COUNT(BT244:BT249)&gt;0,IF(MOD(HOUR(AC244),6)=0,AVERAGE(MAX(BT244:BT250),MIN(BT244:BT250)),IF(MOD(HOUR(AC244),3)=0,MAX(BT245:BT250),IF(MOD(HOUR(AC243),3)=0,BU243,BU245))),"")</f>
        <v>15</v>
      </c>
      <c r="BV244" s="66" t="str">
        <f t="shared" si="106"/>
        <v xml:space="preserve"> N</v>
      </c>
      <c r="BW244" s="66" t="e">
        <f t="shared" si="107"/>
        <v>#N/A</v>
      </c>
      <c r="BX244" s="1198">
        <f t="shared" si="86"/>
        <v>7</v>
      </c>
      <c r="BY244" s="1146" t="str">
        <f t="shared" si="66"/>
        <v>NSW</v>
      </c>
      <c r="CA244" s="3675">
        <f t="shared" si="67"/>
        <v>44748.583333333328</v>
      </c>
      <c r="CB244" s="3675"/>
    </row>
    <row r="245" spans="1:80" ht="12.5">
      <c r="A245" s="978" t="str">
        <f>Worksheet!Q82</f>
        <v>002000 21506069 -0395 139932404 8234322825   ---177</v>
      </c>
      <c r="B245" s="452">
        <f t="shared" si="120"/>
        <v>44747.833333333328</v>
      </c>
      <c r="C245" s="466">
        <f t="shared" si="110"/>
        <v>29.93</v>
      </c>
      <c r="D245" s="454">
        <f t="shared" si="88"/>
        <v>20</v>
      </c>
      <c r="E245" s="476">
        <f t="shared" si="111"/>
        <v>40</v>
      </c>
      <c r="F245" s="460" t="str">
        <f t="shared" si="89"/>
        <v>NONE</v>
      </c>
      <c r="G245" s="460" t="str">
        <f t="shared" si="112"/>
        <v>SCT</v>
      </c>
      <c r="H245" s="460" t="str">
        <f t="shared" si="113"/>
        <v>SCT</v>
      </c>
      <c r="I245" s="460">
        <f t="shared" si="97"/>
        <v>40</v>
      </c>
      <c r="J245" s="461">
        <f t="shared" si="114"/>
        <v>34</v>
      </c>
      <c r="K245" s="462">
        <f t="shared" si="98"/>
        <v>21</v>
      </c>
      <c r="L245" s="462">
        <f t="shared" si="90"/>
        <v>13</v>
      </c>
      <c r="M245" s="462">
        <f t="shared" si="115"/>
        <v>7</v>
      </c>
      <c r="N245" s="462"/>
      <c r="O245" s="462">
        <f t="shared" si="116"/>
        <v>7</v>
      </c>
      <c r="P245" s="462">
        <f t="shared" si="117"/>
        <v>7</v>
      </c>
      <c r="Q245" s="462">
        <f t="shared" si="91"/>
        <v>17.7</v>
      </c>
      <c r="R245" s="462">
        <f t="shared" si="99"/>
        <v>7</v>
      </c>
      <c r="S245" s="465">
        <f t="shared" si="92"/>
        <v>7</v>
      </c>
      <c r="T245" s="1118" t="str">
        <f t="shared" si="118"/>
        <v>NSW</v>
      </c>
      <c r="U245" s="463" t="str">
        <f t="shared" si="93"/>
        <v/>
      </c>
      <c r="V245" s="464" t="str">
        <f t="shared" si="100"/>
        <v/>
      </c>
      <c r="W245" s="411">
        <f t="shared" si="121"/>
        <v>44747.833333333328</v>
      </c>
      <c r="X245" s="454">
        <f t="shared" si="119"/>
        <v>20</v>
      </c>
      <c r="Y245" s="458">
        <f t="shared" si="94"/>
        <v>93.2</v>
      </c>
      <c r="Z245" s="458">
        <f t="shared" si="95"/>
        <v>69.800000000000011</v>
      </c>
      <c r="AC245" s="977">
        <f t="shared" si="68"/>
        <v>44748.625</v>
      </c>
      <c r="AD245" s="1610" t="str">
        <f>IF(AND(HOUR(AC245)=HOUR(Worksheet!AF$68),DAY(AC245)=DAY(Worksheet!AF$68)),"START","")</f>
        <v/>
      </c>
      <c r="AE245" s="1149">
        <f>IF(AND(HOUR(AC245)=HOUR($F$186),DAY(AC245)=DAY($F$186)),(MID($B$189,6,3))*1,IF(AND(ISNUMBER(AE244),AC245&lt;$F$186+1+(1/25)),(MID($B$189,6+(3*COUNT($AE$207:AE244)),3))*1,""))</f>
        <v>86</v>
      </c>
      <c r="AF245" s="1164">
        <f t="shared" si="82"/>
        <v>90.13999999999993</v>
      </c>
      <c r="AG245" s="1150">
        <f t="shared" si="50"/>
        <v>87.800000000000011</v>
      </c>
      <c r="AH245" s="1163">
        <f>IF(AND(ISNUMBER(AH244),AC245&lt;$F$186+26/25),(MID($B$190,6+(3*COUNT($AH$207:AH244)),3))*1,IF(AND(HOUR(AC245)=HOUR($F$186),DAY(AC245)=DAY($F$186)),(MID($B$190,6,3))*1,""))</f>
        <v>76</v>
      </c>
      <c r="AI245" s="1901">
        <f t="shared" si="108"/>
        <v>76</v>
      </c>
      <c r="AJ245" s="1164">
        <f t="shared" si="52"/>
        <v>76.56800000000004</v>
      </c>
      <c r="AK245" s="1150">
        <f t="shared" si="53"/>
        <v>78.800000000000011</v>
      </c>
      <c r="AL245" s="1152">
        <f t="shared" si="83"/>
        <v>29.94</v>
      </c>
      <c r="AM245" s="1153">
        <f t="shared" si="54"/>
        <v>29.97</v>
      </c>
      <c r="AN245" s="1154"/>
      <c r="AO245" s="976">
        <f>IF(BA245="Y",AP245,IF(AND(ISNUMBER(AO244),AC245&lt;$F$186+26/25),(MID(INDEX($A$187:$B$210,MATCH("CIG",$A$187:$A$210,0),2),8+(3*COUNT($AO$207:AO244)),1))*1,IF(AND(HOUR(AC245)=HOUR($F$186),DAY(AC245)=DAY($F$186)),(MID(INDEX($A$187:$B$210,MATCH("CIG",$A$187:$A$210,0),2),8,1))*1,"")))</f>
        <v>8</v>
      </c>
      <c r="AP245" s="1061">
        <f>IF(AND(ISNUMBER(AP244),AC245&lt;$F$186+26/25),(MID(INDEX($A$187:$B$210,MATCH("CCG",$A$187:$A$210,0),2),8+(3*COUNT($AP$207:AP244)),1))*1,IF(AND(HOUR(AC245)=HOUR($F$186),DAY(AC245)=DAY($F$186)),(MID(INDEX($A$187:$B$210,MATCH("CCG",$A$187:$A$210,0),2),8,1))*1,""))</f>
        <v>8</v>
      </c>
      <c r="AQ245" s="1061" t="str">
        <f>IF(AND(AQ244&lt;&gt;"",AC245&lt;$F$186+26/25),MID(INDEX($A$187:$B$210,MATCH("CLD",$A$187:$A$210,0),2),7+(3*SUM(COUNTIF($AQ$207:AQ244,"OV"),COUNTIF($AQ$207:AQ244,"BK"),COUNTIF($AQ$207:AQ244,"SC"),COUNTIF($AQ$207:AQ244,"FW"),COUNTIF($AQ$207:AQ244,"CL"))),2),IF(AND(HOUR(AC245)=HOUR($F$186),DAY(AC245)=DAY($F$186)),MID(INDEX($A$187:$B$210,MATCH("CLD",$A$187:$A$210,0),2),7,2),""))</f>
        <v>BK</v>
      </c>
      <c r="AR245" s="1149">
        <f t="shared" si="101"/>
        <v>8</v>
      </c>
      <c r="AS245" s="1150" t="str">
        <f t="shared" si="102"/>
        <v>BK</v>
      </c>
      <c r="AT245" s="112">
        <f t="shared" si="103"/>
        <v>8</v>
      </c>
      <c r="AU245" s="1610" t="str">
        <f t="shared" si="104"/>
        <v>SC</v>
      </c>
      <c r="AV245" s="1148">
        <f t="shared" si="84"/>
        <v>40</v>
      </c>
      <c r="AW245" s="920" t="str">
        <f t="shared" si="87"/>
        <v>SCT</v>
      </c>
      <c r="AX245" s="1608">
        <f t="shared" si="85"/>
        <v>40</v>
      </c>
      <c r="AY245" s="112">
        <f>IF(BA245="Y",AZ245,IF(AND(ISNUMBER(AY244),AC245&lt;$F$186+26/25),(MID(INDEX($A$187:$B$210,MATCH("VIS",$A$187:$A$210,0),2),8+(3*COUNT($AY$207:AY244)),1))*1,IF(AND(HOUR(AC245)=HOUR($F$186),DAY(AC245)=DAY($F$186)),(MID(INDEX($A$187:$B$210,MATCH("VIS",$A$187:$A$210,0),2),8,1))*1,"")))</f>
        <v>7</v>
      </c>
      <c r="AZ245" s="112">
        <f>IF(AND(ISNUMBER(AZ244),AC245&lt;$F$186+26/25),(MID(INDEX($A$187:$B$210,MATCH("CVS",$A$187:$A$210,0),2),8+(3*COUNT($AZ$207:AZ244)),1))*1,IF(AND(HOUR(AC245)=HOUR($F$186),DAY(AC245)=DAY($F$186)),(MID(INDEX($A$187:$B$210,MATCH("CVS",$A$187:$A$210,0),2),8,1))*1,""))</f>
        <v>7</v>
      </c>
      <c r="BA245" s="1610" t="str">
        <f>IF(AND(BA244&lt;&gt;"",AC245&lt;$F$186+26/25),MID(INDEX($A$187:$B$210,MATCH("PCO",$A$187:$A$210,0),2),8+(3*SUM(COUNTIF($BA$207:BA244,"Y"),COUNTIF($BA$207:BA244,"N"))),1),IF(AND(HOUR(AC245)=HOUR($F$186),DAY(AC245)=DAY($F$186)),MID(INDEX($A$187:$B$210,MATCH("PCO",$A$187:$A$210,0),2),8,1),""))</f>
        <v>N</v>
      </c>
      <c r="BB245" s="1610" t="e">
        <f>IF(AND(BB244&lt;&gt;"",AC245&lt;$F$186+26/25),MID(INDEX($A$187:$B$210,MATCH("TYP",$A$187:$A$210,0),2),8+(3*SUM(COUNTIF($BB$207:BB244,"S"),COUNTIF($BB$207:BB244,"Z"), COUNTIF($BB$207:BB244,"R"),COUNTIF($BB$207:BB244,"X"))),1),IF(AND(HOUR(AC245)=HOUR($F$186),DAY(AC245)=DAY($F$186)),MID(INDEX($A$187:$B$210,MATCH("TYP",$A$187:$A$210,0),2),8,1),""))</f>
        <v>#N/A</v>
      </c>
      <c r="BC245" s="112" t="str">
        <f>IF(AND(LEN(BC244)=2,AC245&lt;$F$186+26/25),MID(INDEX($A$187:$B$211,MATCH("OBV",$A$187:$A$211,0),2),7+(3*SUM(COUNTIF($BC$207:BC244," N"),COUNTIF($BC$207:BC244,"HZ"),COUNTIF($BC$207:BC244,"BR"),COUNTIF($BC$207:BC244,"FG"),COUNTIF($BC$207:BC244,"BL"))),2),IF(AND(HOUR(AC245)=HOUR($F$186),DAY(AC245)=DAY($F$186)),MID(INDEX($A$187:$B$211,MATCH("OBV",$A$187:$A$211,0),2),7,2),""))</f>
        <v xml:space="preserve"> N</v>
      </c>
      <c r="BD245" s="112"/>
      <c r="BE245" s="112"/>
      <c r="BF245" s="112"/>
      <c r="BG245" s="1610" t="str">
        <f>IF(BA245="Y",IF(ISERROR(BB245),"RA",BB245),IF(AY245=7,IF(OR(BC245="BR",BC245="HZ")," N",BC245),BC245))</f>
        <v xml:space="preserve"> N</v>
      </c>
      <c r="BH245" s="115">
        <f t="shared" si="105"/>
        <v>7</v>
      </c>
      <c r="BI245" s="200" t="str">
        <f t="shared" si="76"/>
        <v/>
      </c>
      <c r="BJ245" s="62" t="str">
        <f t="shared" si="75"/>
        <v/>
      </c>
      <c r="BK245" s="1145">
        <f t="shared" si="122"/>
        <v>21</v>
      </c>
      <c r="BL245" s="62" t="str">
        <f t="shared" si="77"/>
        <v/>
      </c>
      <c r="BM245" s="1145">
        <f t="shared" si="73"/>
        <v>24</v>
      </c>
      <c r="BN245" s="1901" t="str">
        <f t="shared" si="123"/>
        <v xml:space="preserve"> N</v>
      </c>
      <c r="BO245" s="1144" t="e">
        <f t="shared" si="78"/>
        <v>#N/A</v>
      </c>
      <c r="BP245" s="106">
        <f t="shared" si="109"/>
        <v>7</v>
      </c>
      <c r="BQ245" s="66" t="str">
        <f t="shared" si="79"/>
        <v/>
      </c>
      <c r="BR245" s="106" t="str">
        <f t="shared" si="80"/>
        <v/>
      </c>
      <c r="BS245" s="834">
        <f>IF(COUNT(BR245:BR250)&gt;0,IF(MOD(HOUR(AC245),6)=0,AVERAGE(MAX(BR245:BR251),MIN(BR245:BR251)),IF(MOD(HOUR(AC245),3)=0,MAX(BR246:BR251),IF(MOD(HOUR(AC244),3)=0,BS244,BS246))),"")</f>
        <v>9</v>
      </c>
      <c r="BT245" s="106" t="str">
        <f t="shared" si="81"/>
        <v/>
      </c>
      <c r="BU245" s="834">
        <f t="shared" si="63"/>
        <v>15</v>
      </c>
      <c r="BV245" s="66" t="str">
        <f t="shared" si="106"/>
        <v xml:space="preserve"> N</v>
      </c>
      <c r="BW245" s="66" t="e">
        <f t="shared" si="107"/>
        <v>#N/A</v>
      </c>
      <c r="BX245" s="1198">
        <f t="shared" si="86"/>
        <v>7</v>
      </c>
      <c r="BY245" s="1146" t="str">
        <f t="shared" si="66"/>
        <v>NSW</v>
      </c>
      <c r="CA245" s="3675">
        <f t="shared" si="67"/>
        <v>44748.625</v>
      </c>
      <c r="CB245" s="3675"/>
    </row>
    <row r="246" spans="1:80" ht="10.5">
      <c r="A246" s="978" t="str">
        <f>Worksheet!Q83</f>
        <v>003000 21496068 -1795 129922403 8234322825   ---177</v>
      </c>
      <c r="B246" s="452">
        <f t="shared" si="120"/>
        <v>44747.875</v>
      </c>
      <c r="C246" s="466">
        <f t="shared" si="110"/>
        <v>29.92</v>
      </c>
      <c r="D246" s="454">
        <f t="shared" si="88"/>
        <v>21</v>
      </c>
      <c r="E246" s="476">
        <f t="shared" si="111"/>
        <v>40</v>
      </c>
      <c r="F246" s="460" t="str">
        <f t="shared" si="89"/>
        <v>NONE</v>
      </c>
      <c r="G246" s="460" t="str">
        <f t="shared" si="112"/>
        <v>SCT</v>
      </c>
      <c r="H246" s="460" t="str">
        <f t="shared" si="113"/>
        <v>SCT</v>
      </c>
      <c r="I246" s="460">
        <f t="shared" si="97"/>
        <v>40</v>
      </c>
      <c r="J246" s="461">
        <f t="shared" si="114"/>
        <v>34</v>
      </c>
      <c r="K246" s="462">
        <f t="shared" si="98"/>
        <v>21</v>
      </c>
      <c r="L246" s="462">
        <f t="shared" si="90"/>
        <v>13</v>
      </c>
      <c r="M246" s="462">
        <f t="shared" si="115"/>
        <v>7</v>
      </c>
      <c r="N246" s="462"/>
      <c r="O246" s="462">
        <f t="shared" si="116"/>
        <v>7</v>
      </c>
      <c r="P246" s="462">
        <f t="shared" si="117"/>
        <v>7</v>
      </c>
      <c r="Q246" s="462">
        <f t="shared" si="91"/>
        <v>17.7</v>
      </c>
      <c r="R246" s="462">
        <f t="shared" si="99"/>
        <v>7</v>
      </c>
      <c r="S246" s="465">
        <f t="shared" si="92"/>
        <v>7</v>
      </c>
      <c r="T246" s="1118" t="str">
        <f t="shared" si="118"/>
        <v>NSW</v>
      </c>
      <c r="U246" s="463">
        <f t="shared" si="93"/>
        <v>240</v>
      </c>
      <c r="V246" s="464">
        <f t="shared" si="100"/>
        <v>4</v>
      </c>
      <c r="W246" s="411">
        <f t="shared" si="121"/>
        <v>44747.875</v>
      </c>
      <c r="X246" s="454">
        <f t="shared" si="119"/>
        <v>21</v>
      </c>
      <c r="Y246" s="458">
        <f t="shared" si="94"/>
        <v>93.2</v>
      </c>
      <c r="Z246" s="458">
        <f t="shared" si="95"/>
        <v>69.800000000000011</v>
      </c>
      <c r="AC246" s="977">
        <f t="shared" si="68"/>
        <v>44748.666666666664</v>
      </c>
      <c r="AD246" s="1610" t="str">
        <f>IF(AND(HOUR(AC246)=HOUR(Worksheet!AF$68),DAY(AC246)=DAY(Worksheet!AF$68)),"START","")</f>
        <v/>
      </c>
      <c r="AE246" s="1149">
        <f>IF(AND(HOUR(AC246)=HOUR($F$186),DAY(AC246)=DAY($F$186)),(MID($B$189,6,3))*1,IF(AND(ISNUMBER(AE245),AC246&lt;$F$186+1+(1/25)),(MID($B$189,6+(3*COUNT($AE$207:AE245)),3))*1,""))</f>
        <v>88</v>
      </c>
      <c r="AF246" s="1164">
        <f t="shared" si="82"/>
        <v>92.251999999999967</v>
      </c>
      <c r="AG246" s="1150">
        <f t="shared" si="50"/>
        <v>89.6</v>
      </c>
      <c r="AH246" s="1163">
        <f>IF(AND(ISNUMBER(AH245),AC246&lt;$F$186+26/25),(MID($B$190,6+(3*COUNT($AH$207:AH245)),3))*1,IF(AND(HOUR(AC246)=HOUR($F$186),DAY(AC246)=DAY($F$186)),(MID($B$190,6,3))*1,""))</f>
        <v>76</v>
      </c>
      <c r="AI246" s="1901">
        <f>IF(AH246="","",IF(AND(AE246&lt;0,AH246&gt;0),0-AH246,AH246))</f>
        <v>76</v>
      </c>
      <c r="AJ246" s="1164">
        <f t="shared" si="52"/>
        <v>75.884000000000029</v>
      </c>
      <c r="AK246" s="1150">
        <f t="shared" si="53"/>
        <v>77</v>
      </c>
      <c r="AL246" s="1152">
        <f t="shared" si="83"/>
        <v>29.93</v>
      </c>
      <c r="AM246" s="1153">
        <f t="shared" si="54"/>
        <v>29.97</v>
      </c>
      <c r="AN246" s="1155"/>
      <c r="AO246" s="976">
        <f>IF(BA246="Y",AP246,IF(AND(ISNUMBER(AO245),AC246&lt;$F$186+26/25),(MID(INDEX($A$187:$B$210,MATCH("CIG",$A$187:$A$210,0),2),8+(3*COUNT($AO$207:AO245)),1))*1,IF(AND(HOUR(AC246)=HOUR($F$186),DAY(AC246)=DAY($F$186)),(MID(INDEX($A$187:$B$210,MATCH("CIG",$A$187:$A$210,0),2),8,1))*1,"")))</f>
        <v>8</v>
      </c>
      <c r="AP246" s="1061">
        <f>IF(AND(ISNUMBER(AP245),AC246&lt;$F$186+26/25),(MID(INDEX($A$187:$B$210,MATCH("CCG",$A$187:$A$210,0),2),8+(3*COUNT($AP$207:AP245)),1))*1,IF(AND(HOUR(AC246)=HOUR($F$186),DAY(AC246)=DAY($F$186)),(MID(INDEX($A$187:$B$210,MATCH("CCG",$A$187:$A$210,0),2),8,1))*1,""))</f>
        <v>8</v>
      </c>
      <c r="AQ246" s="1061" t="str">
        <f>IF(AND(AQ245&lt;&gt;"",AC246&lt;$F$186+26/25),MID(INDEX($A$187:$B$210,MATCH("CLD",$A$187:$A$210,0),2),7+(3*SUM(COUNTIF($AQ$207:AQ245,"OV"),COUNTIF($AQ$207:AQ245,"BK"),COUNTIF($AQ$207:AQ245,"SC"),COUNTIF($AQ$207:AQ245,"FW"),COUNTIF($AQ$207:AQ245,"CL"))),2),IF(AND(HOUR(AC246)=HOUR($F$186),DAY(AC246)=DAY($F$186)),MID(INDEX($A$187:$B$210,MATCH("CLD",$A$187:$A$210,0),2),7,2),""))</f>
        <v>SC</v>
      </c>
      <c r="AR246" s="1149">
        <f t="shared" si="101"/>
        <v>8</v>
      </c>
      <c r="AS246" s="1150" t="str">
        <f t="shared" si="102"/>
        <v>BK</v>
      </c>
      <c r="AT246" s="112">
        <f t="shared" si="103"/>
        <v>8</v>
      </c>
      <c r="AU246" s="1610" t="str">
        <f t="shared" si="104"/>
        <v>SC</v>
      </c>
      <c r="AV246" s="1148">
        <f t="shared" si="84"/>
        <v>40</v>
      </c>
      <c r="AW246" s="920" t="str">
        <f t="shared" si="87"/>
        <v>SCT</v>
      </c>
      <c r="AX246" s="1608">
        <f t="shared" si="85"/>
        <v>40</v>
      </c>
      <c r="AY246" s="112">
        <f>IF(BA246="Y",AZ246,IF(AND(ISNUMBER(AY245),AC246&lt;$F$186+26/25),(MID(INDEX($A$187:$B$210,MATCH("VIS",$A$187:$A$210,0),2),8+(3*COUNT($AY$207:AY245)),1))*1,IF(AND(HOUR(AC246)=HOUR($F$186),DAY(AC246)=DAY($F$186)),(MID(INDEX($A$187:$B$210,MATCH("VIS",$A$187:$A$210,0),2),8,1))*1,"")))</f>
        <v>7</v>
      </c>
      <c r="AZ246" s="112">
        <f>IF(AND(ISNUMBER(AZ245),AC246&lt;$F$186+26/25),(MID(INDEX($A$187:$B$210,MATCH("CVS",$A$187:$A$210,0),2),8+(3*COUNT($AZ$207:AZ245)),1))*1,IF(AND(HOUR(AC246)=HOUR($F$186),DAY(AC246)=DAY($F$186)),(MID(INDEX($A$187:$B$210,MATCH("CVS",$A$187:$A$210,0),2),8,1))*1,""))</f>
        <v>7</v>
      </c>
      <c r="BA246" s="1610" t="str">
        <f>IF(AND(BA245&lt;&gt;"",AC246&lt;$F$186+26/25),MID(INDEX($A$187:$B$210,MATCH("PCO",$A$187:$A$210,0),2),8+(3*SUM(COUNTIF($BA$207:BA245,"Y"),COUNTIF($BA$207:BA245,"N"))),1),IF(AND(HOUR(AC246)=HOUR($F$186),DAY(AC246)=DAY($F$186)),MID(INDEX($A$187:$B$210,MATCH("PCO",$A$187:$A$210,0),2),8,1),""))</f>
        <v>N</v>
      </c>
      <c r="BB246" s="1610" t="e">
        <f>IF(AND(BB245&lt;&gt;"",AC246&lt;$F$186+26/25),MID(INDEX($A$187:$B$210,MATCH("TYP",$A$187:$A$210,0),2),8+(3*SUM(COUNTIF($BB$207:BB245,"S"),COUNTIF($BB$207:BB245,"Z"), COUNTIF($BB$207:BB245,"R"),COUNTIF($BB$207:BB245,"X"))),1),IF(AND(HOUR(AC246)=HOUR($F$186),DAY(AC246)=DAY($F$186)),MID(INDEX($A$187:$B$210,MATCH("TYP",$A$187:$A$210,0),2),8,1),""))</f>
        <v>#N/A</v>
      </c>
      <c r="BC246" s="112" t="str">
        <f>IF(AND(LEN(BC245)=2,AC246&lt;$F$186+26/25),MID(INDEX($A$187:$B$211,MATCH("OBV",$A$187:$A$211,0),2),7+(3*SUM(COUNTIF($BC$207:BC245," N"),COUNTIF($BC$207:BC245,"HZ"),COUNTIF($BC$207:BC245,"BR"),COUNTIF($BC$207:BC245,"FG"),COUNTIF($BC$207:BC245,"BL"))),2),IF(AND(HOUR(AC246)=HOUR($F$186),DAY(AC246)=DAY($F$186)),MID(INDEX($A$187:$B$211,MATCH("OBV",$A$187:$A$211,0),2),7,2),""))</f>
        <v xml:space="preserve"> N</v>
      </c>
      <c r="BD246" s="112"/>
      <c r="BE246" s="112"/>
      <c r="BF246" s="112"/>
      <c r="BG246" s="1610" t="str">
        <f t="shared" ref="BG246:BG309" si="124">IF(BA246="Y",IF(ISERROR(BB246),"RA",BB246),IF(AY246=7,IF(OR(BC246="BR",BC246="HZ")," N",BC246),BC246))</f>
        <v xml:space="preserve"> N</v>
      </c>
      <c r="BH246" s="115">
        <f t="shared" si="105"/>
        <v>7</v>
      </c>
      <c r="BI246" s="200" t="str">
        <f t="shared" si="76"/>
        <v/>
      </c>
      <c r="BJ246" s="62" t="str">
        <f t="shared" si="75"/>
        <v/>
      </c>
      <c r="BK246" s="1145">
        <f t="shared" si="122"/>
        <v>21</v>
      </c>
      <c r="BL246" s="62" t="str">
        <f t="shared" si="77"/>
        <v/>
      </c>
      <c r="BM246" s="1145">
        <f t="shared" si="73"/>
        <v>24</v>
      </c>
      <c r="BN246" s="1901" t="str">
        <f t="shared" si="123"/>
        <v xml:space="preserve"> N</v>
      </c>
      <c r="BO246" s="1144" t="e">
        <f t="shared" si="78"/>
        <v>#N/A</v>
      </c>
      <c r="BP246" s="106">
        <f t="shared" si="109"/>
        <v>7</v>
      </c>
      <c r="BQ246" s="66" t="str">
        <f t="shared" si="79"/>
        <v/>
      </c>
      <c r="BR246" s="106" t="str">
        <f t="shared" si="80"/>
        <v/>
      </c>
      <c r="BS246" s="834">
        <f t="shared" si="96"/>
        <v>9</v>
      </c>
      <c r="BT246" s="106" t="str">
        <f t="shared" si="81"/>
        <v/>
      </c>
      <c r="BU246" s="834">
        <f t="shared" si="63"/>
        <v>15</v>
      </c>
      <c r="BV246" s="66" t="str">
        <f t="shared" si="106"/>
        <v xml:space="preserve"> N</v>
      </c>
      <c r="BW246" s="66" t="e">
        <f t="shared" si="107"/>
        <v>#N/A</v>
      </c>
      <c r="BX246" s="1198">
        <f t="shared" si="86"/>
        <v>7</v>
      </c>
      <c r="BY246" s="1146" t="str">
        <f t="shared" si="66"/>
        <v>NSW</v>
      </c>
      <c r="CA246" s="3675">
        <f t="shared" si="67"/>
        <v>44748.666666666664</v>
      </c>
      <c r="CB246" s="3675"/>
    </row>
    <row r="247" spans="1:80" ht="10.5">
      <c r="A247" s="978" t="str">
        <f>Worksheet!Q84</f>
        <v>004000 21495968 00194 129922304 8234332825   368176</v>
      </c>
      <c r="B247" s="452">
        <f t="shared" si="120"/>
        <v>44747.916666666664</v>
      </c>
      <c r="C247" s="466">
        <f t="shared" si="110"/>
        <v>29.92</v>
      </c>
      <c r="D247" s="454">
        <f t="shared" si="88"/>
        <v>22</v>
      </c>
      <c r="E247" s="476">
        <f t="shared" si="111"/>
        <v>70</v>
      </c>
      <c r="F247" s="460">
        <f t="shared" si="89"/>
        <v>368</v>
      </c>
      <c r="G247" s="460">
        <f t="shared" si="112"/>
        <v>250</v>
      </c>
      <c r="H247" s="460">
        <f t="shared" si="113"/>
        <v>250</v>
      </c>
      <c r="I247" s="460">
        <f t="shared" si="97"/>
        <v>250</v>
      </c>
      <c r="J247" s="461">
        <f t="shared" si="114"/>
        <v>34</v>
      </c>
      <c r="K247" s="462">
        <f t="shared" si="98"/>
        <v>21</v>
      </c>
      <c r="L247" s="462">
        <f t="shared" si="90"/>
        <v>13</v>
      </c>
      <c r="M247" s="462">
        <f t="shared" si="115"/>
        <v>7</v>
      </c>
      <c r="N247" s="462"/>
      <c r="O247" s="462">
        <f t="shared" si="116"/>
        <v>7</v>
      </c>
      <c r="P247" s="462">
        <f t="shared" si="117"/>
        <v>7</v>
      </c>
      <c r="Q247" s="462">
        <f t="shared" si="91"/>
        <v>17.600000000000001</v>
      </c>
      <c r="R247" s="462">
        <f t="shared" si="99"/>
        <v>7</v>
      </c>
      <c r="S247" s="465">
        <f t="shared" si="92"/>
        <v>7</v>
      </c>
      <c r="T247" s="1118" t="str">
        <f t="shared" si="118"/>
        <v>NSW</v>
      </c>
      <c r="U247" s="463" t="str">
        <f t="shared" si="93"/>
        <v/>
      </c>
      <c r="V247" s="464" t="str">
        <f t="shared" si="100"/>
        <v/>
      </c>
      <c r="W247" s="411">
        <f t="shared" si="121"/>
        <v>44747.916666666664</v>
      </c>
      <c r="X247" s="454">
        <f t="shared" si="119"/>
        <v>22</v>
      </c>
      <c r="Y247" s="458">
        <f t="shared" si="94"/>
        <v>93.2</v>
      </c>
      <c r="Z247" s="458">
        <f t="shared" si="95"/>
        <v>69.800000000000011</v>
      </c>
      <c r="AC247" s="977">
        <f t="shared" si="68"/>
        <v>44748.708333333328</v>
      </c>
      <c r="AD247" s="1610" t="str">
        <f>IF(AND(HOUR(AC247)=HOUR(Worksheet!AF$68),DAY(AC247)=DAY(Worksheet!AF$68)),"START","")</f>
        <v/>
      </c>
      <c r="AE247" s="1149">
        <f>IF(AND(HOUR(AC247)=HOUR($F$186),DAY(AC247)=DAY($F$186)),(MID($B$189,6,3))*1,IF(AND(ISNUMBER(AE246),AC247&lt;$F$186+1+(1/25)),(MID($B$189,6+(3*COUNT($AE$207:AE246)),3))*1,""))</f>
        <v>89</v>
      </c>
      <c r="AF247" s="1164">
        <f t="shared" si="82"/>
        <v>94.364000000000019</v>
      </c>
      <c r="AG247" s="1150">
        <f t="shared" si="50"/>
        <v>91.4</v>
      </c>
      <c r="AH247" s="1163">
        <f>IF(AND(ISNUMBER(AH246),AC247&lt;$F$186+26/25),(MID($B$190,6+(3*COUNT($AH$207:AH246)),3))*1,IF(AND(HOUR(AC247)=HOUR($F$186),DAY(AC247)=DAY($F$186)),(MID($B$190,6,3))*1,""))</f>
        <v>76</v>
      </c>
      <c r="AI247" s="1901">
        <f>IF(AH247="","",IF(AND(AE247&lt;0,AH247&gt;0),0-AH247,AH247))</f>
        <v>76</v>
      </c>
      <c r="AJ247" s="1164">
        <f t="shared" si="52"/>
        <v>75.200000000000031</v>
      </c>
      <c r="AK247" s="1150">
        <f t="shared" si="53"/>
        <v>75.2</v>
      </c>
      <c r="AL247" s="1152">
        <f t="shared" si="83"/>
        <v>29.92</v>
      </c>
      <c r="AM247" s="1153">
        <f t="shared" si="54"/>
        <v>29.95</v>
      </c>
      <c r="AN247" s="1156"/>
      <c r="AO247" s="976">
        <f>IF(BA247="Y",AP247,IF(AND(ISNUMBER(AO246),AC247&lt;$F$186+26/25),(MID(INDEX($A$187:$B$210,MATCH("CIG",$A$187:$A$210,0),2),8+(3*COUNT($AO$207:AO246)),1))*1,IF(AND(HOUR(AC247)=HOUR($F$186),DAY(AC247)=DAY($F$186)),(MID(INDEX($A$187:$B$210,MATCH("CIG",$A$187:$A$210,0),2),8,1))*1,"")))</f>
        <v>8</v>
      </c>
      <c r="AP247" s="1061">
        <f>IF(AND(ISNUMBER(AP246),AC247&lt;$F$186+26/25),(MID(INDEX($A$187:$B$210,MATCH("CCG",$A$187:$A$210,0),2),8+(3*COUNT($AP$207:AP246)),1))*1,IF(AND(HOUR(AC247)=HOUR($F$186),DAY(AC247)=DAY($F$186)),(MID(INDEX($A$187:$B$210,MATCH("CCG",$A$187:$A$210,0),2),8,1))*1,""))</f>
        <v>8</v>
      </c>
      <c r="AQ247" s="1061" t="str">
        <f>IF(AND(AQ246&lt;&gt;"",AC247&lt;$F$186+26/25),MID(INDEX($A$187:$B$210,MATCH("CLD",$A$187:$A$210,0),2),7+(3*SUM(COUNTIF($AQ$207:AQ246,"OV"),COUNTIF($AQ$207:AQ246,"BK"),COUNTIF($AQ$207:AQ246,"SC"),COUNTIF($AQ$207:AQ246,"FW"),COUNTIF($AQ$207:AQ246,"CL"))),2),IF(AND(HOUR(AC247)=HOUR($F$186),DAY(AC247)=DAY($F$186)),MID(INDEX($A$187:$B$210,MATCH("CLD",$A$187:$A$210,0),2),7,2),""))</f>
        <v>BK</v>
      </c>
      <c r="AR247" s="1149">
        <f t="shared" si="101"/>
        <v>8</v>
      </c>
      <c r="AS247" s="1150" t="str">
        <f t="shared" si="102"/>
        <v>SC</v>
      </c>
      <c r="AT247" s="112">
        <f t="shared" si="103"/>
        <v>8</v>
      </c>
      <c r="AU247" s="1610" t="str">
        <f t="shared" si="104"/>
        <v>SC</v>
      </c>
      <c r="AV247" s="1148">
        <f t="shared" si="84"/>
        <v>40</v>
      </c>
      <c r="AW247" s="920" t="str">
        <f t="shared" si="87"/>
        <v>SCT</v>
      </c>
      <c r="AX247" s="1608">
        <f t="shared" si="85"/>
        <v>40</v>
      </c>
      <c r="AY247" s="112">
        <f>IF(BA247="Y",AZ247,IF(AND(ISNUMBER(AY246),AC247&lt;$F$186+26/25),(MID(INDEX($A$187:$B$210,MATCH("VIS",$A$187:$A$210,0),2),8+(3*COUNT($AY$207:AY246)),1))*1,IF(AND(HOUR(AC247)=HOUR($F$186),DAY(AC247)=DAY($F$186)),(MID(INDEX($A$187:$B$210,MATCH("VIS",$A$187:$A$210,0),2),8,1))*1,"")))</f>
        <v>7</v>
      </c>
      <c r="AZ247" s="112">
        <f>IF(AND(ISNUMBER(AZ246),AC247&lt;$F$186+26/25),(MID(INDEX($A$187:$B$210,MATCH("CVS",$A$187:$A$210,0),2),8+(3*COUNT($AZ$207:AZ246)),1))*1,IF(AND(HOUR(AC247)=HOUR($F$186),DAY(AC247)=DAY($F$186)),(MID(INDEX($A$187:$B$210,MATCH("CVS",$A$187:$A$210,0),2),8,1))*1,""))</f>
        <v>7</v>
      </c>
      <c r="BA247" s="1610" t="str">
        <f>IF(AND(BA246&lt;&gt;"",AC247&lt;$F$186+26/25),MID(INDEX($A$187:$B$210,MATCH("PCO",$A$187:$A$210,0),2),8+(3*SUM(COUNTIF($BA$207:BA246,"Y"),COUNTIF($BA$207:BA246,"N"))),1),IF(AND(HOUR(AC247)=HOUR($F$186),DAY(AC247)=DAY($F$186)),MID(INDEX($A$187:$B$210,MATCH("PCO",$A$187:$A$210,0),2),8,1),""))</f>
        <v>N</v>
      </c>
      <c r="BB247" s="1610" t="e">
        <f>IF(AND(BB246&lt;&gt;"",AC247&lt;$F$186+26/25),MID(INDEX($A$187:$B$210,MATCH("TYP",$A$187:$A$210,0),2),8+(3*SUM(COUNTIF($BB$207:BB246,"S"),COUNTIF($BB$207:BB246,"Z"), COUNTIF($BB$207:BB246,"R"),COUNTIF($BB$207:BB246,"X"))),1),IF(AND(HOUR(AC247)=HOUR($F$186),DAY(AC247)=DAY($F$186)),MID(INDEX($A$187:$B$210,MATCH("TYP",$A$187:$A$210,0),2),8,1),""))</f>
        <v>#N/A</v>
      </c>
      <c r="BC247" s="112" t="str">
        <f>IF(AND(LEN(BC246)=2,AC247&lt;$F$186+26/25),MID(INDEX($A$187:$B$211,MATCH("OBV",$A$187:$A$211,0),2),7+(3*SUM(COUNTIF($BC$207:BC246," N"),COUNTIF($BC$207:BC246,"HZ"),COUNTIF($BC$207:BC246,"BR"),COUNTIF($BC$207:BC246,"FG"),COUNTIF($BC$207:BC246,"BL"))),2),IF(AND(HOUR(AC247)=HOUR($F$186),DAY(AC247)=DAY($F$186)),MID(INDEX($A$187:$B$211,MATCH("OBV",$A$187:$A$211,0),2),7,2),""))</f>
        <v xml:space="preserve"> N</v>
      </c>
      <c r="BD247" s="112"/>
      <c r="BE247" s="112"/>
      <c r="BF247" s="112"/>
      <c r="BG247" s="1610" t="str">
        <f t="shared" si="124"/>
        <v xml:space="preserve"> N</v>
      </c>
      <c r="BH247" s="115">
        <f t="shared" si="105"/>
        <v>7</v>
      </c>
      <c r="BI247" s="200" t="str">
        <f t="shared" si="76"/>
        <v/>
      </c>
      <c r="BJ247" s="62" t="str">
        <f t="shared" si="75"/>
        <v/>
      </c>
      <c r="BK247" s="1145">
        <f t="shared" si="122"/>
        <v>26.5</v>
      </c>
      <c r="BL247" s="62" t="str">
        <f t="shared" si="77"/>
        <v/>
      </c>
      <c r="BM247" s="1145">
        <f t="shared" si="73"/>
        <v>31.5</v>
      </c>
      <c r="BN247" s="1901" t="str">
        <f t="shared" si="123"/>
        <v xml:space="preserve"> N</v>
      </c>
      <c r="BO247" s="1144" t="e">
        <f t="shared" si="78"/>
        <v>#N/A</v>
      </c>
      <c r="BP247" s="106">
        <f t="shared" si="109"/>
        <v>7</v>
      </c>
      <c r="BQ247" s="66" t="str">
        <f t="shared" si="79"/>
        <v/>
      </c>
      <c r="BR247" s="106" t="str">
        <f t="shared" si="80"/>
        <v/>
      </c>
      <c r="BS247" s="834">
        <f t="shared" si="96"/>
        <v>8</v>
      </c>
      <c r="BT247" s="106" t="str">
        <f t="shared" si="81"/>
        <v/>
      </c>
      <c r="BU247" s="834">
        <f t="shared" si="63"/>
        <v>19.5</v>
      </c>
      <c r="BV247" s="66" t="str">
        <f t="shared" si="106"/>
        <v xml:space="preserve"> N</v>
      </c>
      <c r="BW247" s="66" t="e">
        <f t="shared" si="107"/>
        <v>#N/A</v>
      </c>
      <c r="BX247" s="1198">
        <f t="shared" si="86"/>
        <v>6</v>
      </c>
      <c r="BY247" s="1146" t="str">
        <f t="shared" si="66"/>
        <v>TS</v>
      </c>
      <c r="CA247" s="3675">
        <f t="shared" si="67"/>
        <v>44748.708333333328</v>
      </c>
      <c r="CB247" s="3675"/>
    </row>
    <row r="248" spans="1:80" ht="10.5">
      <c r="A248" s="978" t="str">
        <f>Worksheet!Q85</f>
        <v>005000 22516068 00193 129922303 8233322825   376172</v>
      </c>
      <c r="B248" s="452">
        <f t="shared" si="120"/>
        <v>44747.958333333328</v>
      </c>
      <c r="C248" s="466">
        <f t="shared" si="110"/>
        <v>29.92</v>
      </c>
      <c r="D248" s="454">
        <f t="shared" si="88"/>
        <v>23</v>
      </c>
      <c r="E248" s="476">
        <f t="shared" si="111"/>
        <v>70</v>
      </c>
      <c r="F248" s="460">
        <f t="shared" si="89"/>
        <v>376</v>
      </c>
      <c r="G248" s="460">
        <f t="shared" si="112"/>
        <v>250</v>
      </c>
      <c r="H248" s="460">
        <f t="shared" si="113"/>
        <v>250</v>
      </c>
      <c r="I248" s="460">
        <f t="shared" si="97"/>
        <v>250</v>
      </c>
      <c r="J248" s="461">
        <f t="shared" si="114"/>
        <v>33</v>
      </c>
      <c r="K248" s="462">
        <f t="shared" si="98"/>
        <v>22</v>
      </c>
      <c r="L248" s="462">
        <f t="shared" si="90"/>
        <v>11</v>
      </c>
      <c r="M248" s="462">
        <f t="shared" si="115"/>
        <v>7</v>
      </c>
      <c r="N248" s="462"/>
      <c r="O248" s="462">
        <f t="shared" si="116"/>
        <v>7</v>
      </c>
      <c r="P248" s="462">
        <f t="shared" si="117"/>
        <v>7</v>
      </c>
      <c r="Q248" s="462">
        <f t="shared" si="91"/>
        <v>17.2</v>
      </c>
      <c r="R248" s="462">
        <f t="shared" si="99"/>
        <v>7</v>
      </c>
      <c r="S248" s="465">
        <f t="shared" si="92"/>
        <v>7</v>
      </c>
      <c r="T248" s="1118" t="str">
        <f t="shared" si="118"/>
        <v>NSW</v>
      </c>
      <c r="U248" s="463" t="str">
        <f t="shared" si="93"/>
        <v/>
      </c>
      <c r="V248" s="464" t="str">
        <f t="shared" si="100"/>
        <v/>
      </c>
      <c r="W248" s="411">
        <f t="shared" si="121"/>
        <v>44747.958333333328</v>
      </c>
      <c r="X248" s="454">
        <f t="shared" si="119"/>
        <v>23</v>
      </c>
      <c r="Y248" s="458">
        <f t="shared" si="94"/>
        <v>91.4</v>
      </c>
      <c r="Z248" s="458">
        <f t="shared" si="95"/>
        <v>71.599999999999994</v>
      </c>
      <c r="AC248" s="977">
        <f t="shared" si="68"/>
        <v>44748.75</v>
      </c>
      <c r="AD248" s="1610" t="str">
        <f>IF(AND(HOUR(AC248)=HOUR(Worksheet!AF$68),DAY(AC248)=DAY(Worksheet!AF$68)),"START","")</f>
        <v/>
      </c>
      <c r="AE248" s="1149">
        <f>IF(AND(HOUR(AC248)=HOUR($F$186),DAY(AC248)=DAY($F$186)),(MID($B$189,6,3))*1,IF(AND(ISNUMBER(AE247),AC248&lt;$F$186+1+(1/25)),(MID($B$189,6+(3*COUNT($AE$207:AE247)),3))*1,""))</f>
        <v>90</v>
      </c>
      <c r="AF248" s="1164">
        <f t="shared" si="82"/>
        <v>96.476000000000056</v>
      </c>
      <c r="AG248" s="1150">
        <f t="shared" si="50"/>
        <v>91.4</v>
      </c>
      <c r="AH248" s="1163">
        <f>IF(AND(ISNUMBER(AH247),AC248&lt;$F$186+26/25),(MID($B$190,6+(3*COUNT($AH$207:AH247)),3))*1,IF(AND(HOUR(AC248)=HOUR($F$186),DAY(AC248)=DAY($F$186)),(MID($B$190,6,3))*1,""))</f>
        <v>76</v>
      </c>
      <c r="AI248" s="1901">
        <f t="shared" si="108"/>
        <v>76</v>
      </c>
      <c r="AJ248" s="1164">
        <f t="shared" si="52"/>
        <v>74.51600000000002</v>
      </c>
      <c r="AK248" s="1150">
        <f t="shared" si="53"/>
        <v>75.2</v>
      </c>
      <c r="AL248" s="1152">
        <f t="shared" si="83"/>
        <v>29.91</v>
      </c>
      <c r="AM248" s="1153">
        <f t="shared" si="54"/>
        <v>29.93</v>
      </c>
      <c r="AN248" s="1156"/>
      <c r="AO248" s="976">
        <f>IF(BA248="Y",AP248,IF(AND(ISNUMBER(AO247),AC248&lt;$F$186+26/25),(MID(INDEX($A$187:$B$210,MATCH("CIG",$A$187:$A$210,0),2),8+(3*COUNT($AO$207:AO247)),1))*1,IF(AND(HOUR(AC248)=HOUR($F$186),DAY(AC248)=DAY($F$186)),(MID(INDEX($A$187:$B$210,MATCH("CIG",$A$187:$A$210,0),2),8,1))*1,"")))</f>
        <v>8</v>
      </c>
      <c r="AP248" s="1061">
        <f>IF(AND(ISNUMBER(AP247),AC248&lt;$F$186+26/25),(MID(INDEX($A$187:$B$210,MATCH("CCG",$A$187:$A$210,0),2),8+(3*COUNT($AP$207:AP247)),1))*1,IF(AND(HOUR(AC248)=HOUR($F$186),DAY(AC248)=DAY($F$186)),(MID(INDEX($A$187:$B$210,MATCH("CCG",$A$187:$A$210,0),2),8,1))*1,""))</f>
        <v>8</v>
      </c>
      <c r="AQ248" s="1061" t="str">
        <f>IF(AND(AQ247&lt;&gt;"",AC248&lt;$F$186+26/25),MID(INDEX($A$187:$B$210,MATCH("CLD",$A$187:$A$210,0),2),7+(3*SUM(COUNTIF($AQ$207:AQ247,"OV"),COUNTIF($AQ$207:AQ247,"BK"),COUNTIF($AQ$207:AQ247,"SC"),COUNTIF($AQ$207:AQ247,"FW"),COUNTIF($AQ$207:AQ247,"CL"))),2),IF(AND(HOUR(AC248)=HOUR($F$186),DAY(AC248)=DAY($F$186)),MID(INDEX($A$187:$B$210,MATCH("CLD",$A$187:$A$210,0),2),7,2),""))</f>
        <v>BK</v>
      </c>
      <c r="AR248" s="1149">
        <f t="shared" si="101"/>
        <v>8</v>
      </c>
      <c r="AS248" s="1150" t="str">
        <f t="shared" si="102"/>
        <v>SC</v>
      </c>
      <c r="AT248" s="112">
        <f t="shared" si="103"/>
        <v>8</v>
      </c>
      <c r="AU248" s="1610" t="str">
        <f t="shared" si="104"/>
        <v>SC</v>
      </c>
      <c r="AV248" s="1148">
        <f t="shared" si="84"/>
        <v>70</v>
      </c>
      <c r="AW248" s="920" t="str">
        <f t="shared" si="87"/>
        <v>BKN</v>
      </c>
      <c r="AX248" s="1608">
        <f t="shared" si="85"/>
        <v>250</v>
      </c>
      <c r="AY248" s="112">
        <f>IF(BA248="Y",AZ248,IF(AND(ISNUMBER(AY247),AC248&lt;$F$186+26/25),(MID(INDEX($A$187:$B$210,MATCH("VIS",$A$187:$A$210,0),2),8+(3*COUNT($AY$207:AY247)),1))*1,IF(AND(HOUR(AC248)=HOUR($F$186),DAY(AC248)=DAY($F$186)),(MID(INDEX($A$187:$B$210,MATCH("VIS",$A$187:$A$210,0),2),8,1))*1,"")))</f>
        <v>7</v>
      </c>
      <c r="AZ248" s="112">
        <f>IF(AND(ISNUMBER(AZ247),AC248&lt;$F$186+26/25),(MID(INDEX($A$187:$B$210,MATCH("CVS",$A$187:$A$210,0),2),8+(3*COUNT($AZ$207:AZ247)),1))*1,IF(AND(HOUR(AC248)=HOUR($F$186),DAY(AC248)=DAY($F$186)),(MID(INDEX($A$187:$B$210,MATCH("CVS",$A$187:$A$210,0),2),8,1))*1,""))</f>
        <v>7</v>
      </c>
      <c r="BA248" s="1610" t="str">
        <f>IF(AND(BA247&lt;&gt;"",AC248&lt;$F$186+26/25),MID(INDEX($A$187:$B$210,MATCH("PCO",$A$187:$A$210,0),2),8+(3*SUM(COUNTIF($BA$207:BA247,"Y"),COUNTIF($BA$207:BA247,"N"))),1),IF(AND(HOUR(AC248)=HOUR($F$186),DAY(AC248)=DAY($F$186)),MID(INDEX($A$187:$B$210,MATCH("PCO",$A$187:$A$210,0),2),8,1),""))</f>
        <v>N</v>
      </c>
      <c r="BB248" s="1610" t="e">
        <f>IF(AND(BB247&lt;&gt;"",AC248&lt;$F$186+26/25),MID(INDEX($A$187:$B$210,MATCH("TYP",$A$187:$A$210,0),2),8+(3*SUM(COUNTIF($BB$207:BB247,"S"),COUNTIF($BB$207:BB247,"Z"), COUNTIF($BB$207:BB247,"R"),COUNTIF($BB$207:BB247,"X"))),1),IF(AND(HOUR(AC248)=HOUR($F$186),DAY(AC248)=DAY($F$186)),MID(INDEX($A$187:$B$210,MATCH("TYP",$A$187:$A$210,0),2),8,1),""))</f>
        <v>#N/A</v>
      </c>
      <c r="BC248" s="112" t="str">
        <f>IF(AND(LEN(BC247)=2,AC248&lt;$F$186+26/25),MID(INDEX($A$187:$B$211,MATCH("OBV",$A$187:$A$211,0),2),7+(3*SUM(COUNTIF($BC$207:BC247," N"),COUNTIF($BC$207:BC247,"HZ"),COUNTIF($BC$207:BC247,"BR"),COUNTIF($BC$207:BC247,"FG"),COUNTIF($BC$207:BC247,"BL"))),2),IF(AND(HOUR(AC248)=HOUR($F$186),DAY(AC248)=DAY($F$186)),MID(INDEX($A$187:$B$211,MATCH("OBV",$A$187:$A$211,0),2),7,2),""))</f>
        <v xml:space="preserve"> N</v>
      </c>
      <c r="BD248" s="112"/>
      <c r="BE248" s="112"/>
      <c r="BF248" s="112"/>
      <c r="BG248" s="1610" t="str">
        <f t="shared" si="124"/>
        <v xml:space="preserve"> N</v>
      </c>
      <c r="BH248" s="115">
        <f t="shared" si="105"/>
        <v>7</v>
      </c>
      <c r="BI248" s="200" t="str">
        <f t="shared" si="76"/>
        <v/>
      </c>
      <c r="BJ248" s="62">
        <f t="shared" si="75"/>
        <v>21</v>
      </c>
      <c r="BK248" s="1145">
        <f t="shared" si="122"/>
        <v>26.5</v>
      </c>
      <c r="BL248" s="62">
        <f t="shared" si="77"/>
        <v>24</v>
      </c>
      <c r="BM248" s="1145">
        <f t="shared" si="73"/>
        <v>31.5</v>
      </c>
      <c r="BN248" s="1901" t="str">
        <f t="shared" si="123"/>
        <v xml:space="preserve"> N</v>
      </c>
      <c r="BO248" s="1144" t="e">
        <f t="shared" si="78"/>
        <v>#N/A</v>
      </c>
      <c r="BP248" s="106">
        <f t="shared" si="109"/>
        <v>7</v>
      </c>
      <c r="BQ248" s="66" t="str">
        <f t="shared" si="79"/>
        <v/>
      </c>
      <c r="BR248" s="106">
        <f t="shared" si="80"/>
        <v>9</v>
      </c>
      <c r="BS248" s="834">
        <f t="shared" si="96"/>
        <v>8</v>
      </c>
      <c r="BT248" s="106">
        <f t="shared" si="81"/>
        <v>15</v>
      </c>
      <c r="BU248" s="834">
        <f t="shared" si="63"/>
        <v>19.5</v>
      </c>
      <c r="BV248" s="66" t="str">
        <f t="shared" si="106"/>
        <v xml:space="preserve"> N</v>
      </c>
      <c r="BW248" s="66" t="e">
        <f t="shared" si="107"/>
        <v>#N/A</v>
      </c>
      <c r="BX248" s="1198">
        <f t="shared" si="86"/>
        <v>7</v>
      </c>
      <c r="BY248" s="1146" t="str">
        <f t="shared" si="66"/>
        <v>NSW</v>
      </c>
      <c r="CA248" s="3675">
        <f t="shared" si="67"/>
        <v>44748.75</v>
      </c>
      <c r="CB248" s="3675"/>
    </row>
    <row r="249" spans="1:80" ht="10.5">
      <c r="A249" s="978" t="str">
        <f>Worksheet!Q86</f>
        <v>006000 23546169 -0991 129922303 8232322825   ---162</v>
      </c>
      <c r="B249" s="452">
        <f t="shared" si="120"/>
        <v>44748</v>
      </c>
      <c r="C249" s="466">
        <f t="shared" si="110"/>
        <v>29.92</v>
      </c>
      <c r="D249" s="454">
        <f t="shared" si="88"/>
        <v>0</v>
      </c>
      <c r="E249" s="476">
        <f t="shared" si="111"/>
        <v>40</v>
      </c>
      <c r="F249" s="460" t="str">
        <f t="shared" si="89"/>
        <v>NONE</v>
      </c>
      <c r="G249" s="460" t="str">
        <f t="shared" si="112"/>
        <v>SCT</v>
      </c>
      <c r="H249" s="460" t="str">
        <f t="shared" si="113"/>
        <v>SCT</v>
      </c>
      <c r="I249" s="460">
        <f t="shared" si="97"/>
        <v>40</v>
      </c>
      <c r="J249" s="461">
        <f t="shared" si="114"/>
        <v>32</v>
      </c>
      <c r="K249" s="462">
        <f t="shared" si="98"/>
        <v>23</v>
      </c>
      <c r="L249" s="462">
        <f t="shared" si="90"/>
        <v>9</v>
      </c>
      <c r="M249" s="462">
        <f t="shared" si="115"/>
        <v>7</v>
      </c>
      <c r="N249" s="462"/>
      <c r="O249" s="462">
        <f t="shared" si="116"/>
        <v>7</v>
      </c>
      <c r="P249" s="462">
        <f t="shared" si="117"/>
        <v>7</v>
      </c>
      <c r="Q249" s="462">
        <f t="shared" si="91"/>
        <v>16.2</v>
      </c>
      <c r="R249" s="462">
        <f t="shared" si="99"/>
        <v>7</v>
      </c>
      <c r="S249" s="465">
        <f t="shared" si="92"/>
        <v>7</v>
      </c>
      <c r="T249" s="1118" t="str">
        <f t="shared" si="118"/>
        <v>NSW</v>
      </c>
      <c r="U249" s="463" t="str">
        <f t="shared" si="93"/>
        <v/>
      </c>
      <c r="V249" s="464" t="str">
        <f t="shared" si="100"/>
        <v/>
      </c>
      <c r="W249" s="411">
        <f t="shared" si="121"/>
        <v>44748</v>
      </c>
      <c r="X249" s="454">
        <f t="shared" si="119"/>
        <v>0</v>
      </c>
      <c r="Y249" s="458">
        <f t="shared" si="94"/>
        <v>89.6</v>
      </c>
      <c r="Z249" s="458">
        <f t="shared" si="95"/>
        <v>73.400000000000006</v>
      </c>
      <c r="AC249" s="977">
        <f t="shared" si="68"/>
        <v>44748.791666666664</v>
      </c>
      <c r="AD249" s="1610" t="str">
        <f>IF(AND(HOUR(AC249)=HOUR(Worksheet!AF$68),DAY(AC249)=DAY(Worksheet!AF$68)),"START","")</f>
        <v/>
      </c>
      <c r="AE249" s="1149">
        <f>IF(AND(HOUR(AC249)=HOUR($F$186),DAY(AC249)=DAY($F$186)),(MID($B$189,6,3))*1,IF(AND(ISNUMBER(AE248),AC249&lt;$F$186+1+(1/25)),(MID($B$189,6+(3*COUNT($AE$207:AE248)),3))*1,""))</f>
        <v>91</v>
      </c>
      <c r="AF249" s="1164">
        <f t="shared" si="82"/>
        <v>95.864000000000019</v>
      </c>
      <c r="AG249" s="1150">
        <f t="shared" si="50"/>
        <v>93.2</v>
      </c>
      <c r="AH249" s="1163">
        <f>IF(AND(ISNUMBER(AH248),AC249&lt;$F$186+26/25),(MID($B$190,6+(3*COUNT($AH$207:AH248)),3))*1,IF(AND(HOUR(AC249)=HOUR($F$186),DAY(AC249)=DAY($F$186)),(MID($B$190,6,3))*1,""))</f>
        <v>75</v>
      </c>
      <c r="AI249" s="1901">
        <f t="shared" si="108"/>
        <v>75</v>
      </c>
      <c r="AJ249" s="1164">
        <f t="shared" si="52"/>
        <v>74.438000000000002</v>
      </c>
      <c r="AK249" s="1150">
        <f t="shared" si="53"/>
        <v>73.400000000000006</v>
      </c>
      <c r="AL249" s="1152">
        <f t="shared" si="83"/>
        <v>29.896666666666668</v>
      </c>
      <c r="AM249" s="1153">
        <f t="shared" si="54"/>
        <v>29.93</v>
      </c>
      <c r="AN249" s="1156"/>
      <c r="AO249" s="976">
        <f>IF(BA249="Y",AP249,IF(AND(ISNUMBER(AO248),AC249&lt;$F$186+26/25),(MID(INDEX($A$187:$B$210,MATCH("CIG",$A$187:$A$210,0),2),8+(3*COUNT($AO$207:AO248)),1))*1,IF(AND(HOUR(AC249)=HOUR($F$186),DAY(AC249)=DAY($F$186)),(MID(INDEX($A$187:$B$210,MATCH("CIG",$A$187:$A$210,0),2),8,1))*1,"")))</f>
        <v>8</v>
      </c>
      <c r="AP249" s="1061">
        <f>IF(AND(ISNUMBER(AP248),AC249&lt;$F$186+26/25),(MID(INDEX($A$187:$B$210,MATCH("CCG",$A$187:$A$210,0),2),8+(3*COUNT($AP$207:AP248)),1))*1,IF(AND(HOUR(AC249)=HOUR($F$186),DAY(AC249)=DAY($F$186)),(MID(INDEX($A$187:$B$210,MATCH("CCG",$A$187:$A$210,0),2),8,1))*1,""))</f>
        <v>7</v>
      </c>
      <c r="AQ249" s="1061" t="str">
        <f>IF(AND(AQ248&lt;&gt;"",AC249&lt;$F$186+26/25),MID(INDEX($A$187:$B$210,MATCH("CLD",$A$187:$A$210,0),2),7+(3*SUM(COUNTIF($AQ$207:AQ248,"OV"),COUNTIF($AQ$207:AQ248,"BK"),COUNTIF($AQ$207:AQ248,"SC"),COUNTIF($AQ$207:AQ248,"FW"),COUNTIF($AQ$207:AQ248,"CL"))),2),IF(AND(HOUR(AC249)=HOUR($F$186),DAY(AC249)=DAY($F$186)),MID(INDEX($A$187:$B$210,MATCH("CLD",$A$187:$A$210,0),2),7,2),""))</f>
        <v>BK</v>
      </c>
      <c r="AR249" s="1149">
        <f t="shared" si="101"/>
        <v>8</v>
      </c>
      <c r="AS249" s="1150" t="str">
        <f t="shared" si="102"/>
        <v>SC</v>
      </c>
      <c r="AT249" s="112">
        <f t="shared" si="103"/>
        <v>8</v>
      </c>
      <c r="AU249" s="1610" t="str">
        <f t="shared" si="104"/>
        <v>SC</v>
      </c>
      <c r="AV249" s="1148">
        <f t="shared" si="84"/>
        <v>70</v>
      </c>
      <c r="AW249" s="920" t="str">
        <f t="shared" si="87"/>
        <v>BKN</v>
      </c>
      <c r="AX249" s="1608">
        <f t="shared" si="85"/>
        <v>250</v>
      </c>
      <c r="AY249" s="112">
        <f>IF(BA249="Y",AZ249,IF(AND(ISNUMBER(AY248),AC249&lt;$F$186+26/25),(MID(INDEX($A$187:$B$210,MATCH("VIS",$A$187:$A$210,0),2),8+(3*COUNT($AY$207:AY248)),1))*1,IF(AND(HOUR(AC249)=HOUR($F$186),DAY(AC249)=DAY($F$186)),(MID(INDEX($A$187:$B$210,MATCH("VIS",$A$187:$A$210,0),2),8,1))*1,"")))</f>
        <v>7</v>
      </c>
      <c r="AZ249" s="112">
        <f>IF(AND(ISNUMBER(AZ248),AC249&lt;$F$186+26/25),(MID(INDEX($A$187:$B$210,MATCH("CVS",$A$187:$A$210,0),2),8+(3*COUNT($AZ$207:AZ248)),1))*1,IF(AND(HOUR(AC249)=HOUR($F$186),DAY(AC249)=DAY($F$186)),(MID(INDEX($A$187:$B$210,MATCH("CVS",$A$187:$A$210,0),2),8,1))*1,""))</f>
        <v>7</v>
      </c>
      <c r="BA249" s="1610" t="str">
        <f>IF(AND(BA248&lt;&gt;"",AC249&lt;$F$186+26/25),MID(INDEX($A$187:$B$210,MATCH("PCO",$A$187:$A$210,0),2),8+(3*SUM(COUNTIF($BA$207:BA248,"Y"),COUNTIF($BA$207:BA248,"N"))),1),IF(AND(HOUR(AC249)=HOUR($F$186),DAY(AC249)=DAY($F$186)),MID(INDEX($A$187:$B$210,MATCH("PCO",$A$187:$A$210,0),2),8,1),""))</f>
        <v>N</v>
      </c>
      <c r="BB249" s="1610" t="e">
        <f>IF(AND(BB248&lt;&gt;"",AC249&lt;$F$186+26/25),MID(INDEX($A$187:$B$210,MATCH("TYP",$A$187:$A$210,0),2),8+(3*SUM(COUNTIF($BB$207:BB248,"S"),COUNTIF($BB$207:BB248,"Z"), COUNTIF($BB$207:BB248,"R"),COUNTIF($BB$207:BB248,"X"))),1),IF(AND(HOUR(AC249)=HOUR($F$186),DAY(AC249)=DAY($F$186)),MID(INDEX($A$187:$B$210,MATCH("TYP",$A$187:$A$210,0),2),8,1),""))</f>
        <v>#N/A</v>
      </c>
      <c r="BC249" s="112" t="str">
        <f>IF(AND(LEN(BC248)=2,AC249&lt;$F$186+26/25),MID(INDEX($A$187:$B$211,MATCH("OBV",$A$187:$A$211,0),2),7+(3*SUM(COUNTIF($BC$207:BC248," N"),COUNTIF($BC$207:BC248,"HZ"),COUNTIF($BC$207:BC248,"BR"),COUNTIF($BC$207:BC248,"FG"),COUNTIF($BC$207:BC248,"BL"))),2),IF(AND(HOUR(AC249)=HOUR($F$186),DAY(AC249)=DAY($F$186)),MID(INDEX($A$187:$B$211,MATCH("OBV",$A$187:$A$211,0),2),7,2),""))</f>
        <v xml:space="preserve"> N</v>
      </c>
      <c r="BD249" s="112"/>
      <c r="BE249" s="112"/>
      <c r="BF249" s="112"/>
      <c r="BG249" s="1610" t="str">
        <f t="shared" si="124"/>
        <v xml:space="preserve"> N</v>
      </c>
      <c r="BH249" s="115">
        <f t="shared" si="105"/>
        <v>7</v>
      </c>
      <c r="BI249" s="200" t="str">
        <f t="shared" si="76"/>
        <v/>
      </c>
      <c r="BJ249" s="62" t="str">
        <f t="shared" si="75"/>
        <v/>
      </c>
      <c r="BK249" s="1145">
        <f t="shared" si="122"/>
        <v>26.5</v>
      </c>
      <c r="BL249" s="62" t="str">
        <f t="shared" si="77"/>
        <v/>
      </c>
      <c r="BM249" s="1145">
        <f t="shared" si="73"/>
        <v>31.5</v>
      </c>
      <c r="BN249" s="1901" t="str">
        <f t="shared" si="123"/>
        <v xml:space="preserve"> N</v>
      </c>
      <c r="BO249" s="1144" t="e">
        <f t="shared" si="78"/>
        <v>#N/A</v>
      </c>
      <c r="BP249" s="106">
        <f t="shared" si="109"/>
        <v>7</v>
      </c>
      <c r="BQ249" s="66" t="str">
        <f t="shared" si="79"/>
        <v/>
      </c>
      <c r="BR249" s="106" t="str">
        <f t="shared" si="80"/>
        <v/>
      </c>
      <c r="BS249" s="834">
        <f t="shared" si="96"/>
        <v>8</v>
      </c>
      <c r="BT249" s="106" t="str">
        <f t="shared" si="81"/>
        <v/>
      </c>
      <c r="BU249" s="834">
        <f t="shared" si="63"/>
        <v>19.5</v>
      </c>
      <c r="BV249" s="66" t="str">
        <f t="shared" si="106"/>
        <v xml:space="preserve"> N</v>
      </c>
      <c r="BW249" s="66" t="e">
        <f t="shared" si="107"/>
        <v>#N/A</v>
      </c>
      <c r="BX249" s="1198">
        <f t="shared" si="86"/>
        <v>7</v>
      </c>
      <c r="BY249" s="1146" t="str">
        <f t="shared" si="66"/>
        <v>NSW</v>
      </c>
      <c r="CA249" s="3675">
        <f t="shared" si="67"/>
        <v>44748.791666666664</v>
      </c>
      <c r="CB249" s="3675"/>
    </row>
    <row r="250" spans="1:80" ht="10.5">
      <c r="A250" s="978" t="str">
        <f>Worksheet!Q87</f>
        <v>007000 23576370 01491 129932204 8230322825   ---151</v>
      </c>
      <c r="B250" s="452">
        <f t="shared" si="120"/>
        <v>44748.041666666664</v>
      </c>
      <c r="C250" s="466">
        <f t="shared" si="110"/>
        <v>29.93</v>
      </c>
      <c r="D250" s="454">
        <f t="shared" si="88"/>
        <v>1</v>
      </c>
      <c r="E250" s="476">
        <f t="shared" si="111"/>
        <v>40</v>
      </c>
      <c r="F250" s="460" t="str">
        <f t="shared" si="89"/>
        <v>NONE</v>
      </c>
      <c r="G250" s="460" t="str">
        <f t="shared" si="112"/>
        <v>SCT</v>
      </c>
      <c r="H250" s="460" t="str">
        <f t="shared" si="113"/>
        <v>SCT</v>
      </c>
      <c r="I250" s="460">
        <f t="shared" si="97"/>
        <v>40</v>
      </c>
      <c r="J250" s="461">
        <f t="shared" si="114"/>
        <v>30</v>
      </c>
      <c r="K250" s="462">
        <f t="shared" si="98"/>
        <v>23</v>
      </c>
      <c r="L250" s="462">
        <f t="shared" si="90"/>
        <v>7</v>
      </c>
      <c r="M250" s="462">
        <f t="shared" si="115"/>
        <v>7</v>
      </c>
      <c r="N250" s="462"/>
      <c r="O250" s="462">
        <f t="shared" si="116"/>
        <v>7</v>
      </c>
      <c r="P250" s="462">
        <f t="shared" si="117"/>
        <v>7</v>
      </c>
      <c r="Q250" s="462">
        <f t="shared" si="91"/>
        <v>15.100000000000001</v>
      </c>
      <c r="R250" s="462">
        <f t="shared" si="99"/>
        <v>7</v>
      </c>
      <c r="S250" s="465">
        <f t="shared" si="92"/>
        <v>7</v>
      </c>
      <c r="T250" s="1118" t="str">
        <f t="shared" si="118"/>
        <v>NSW</v>
      </c>
      <c r="U250" s="463" t="str">
        <f t="shared" si="93"/>
        <v/>
      </c>
      <c r="V250" s="464" t="str">
        <f t="shared" si="100"/>
        <v/>
      </c>
      <c r="W250" s="411">
        <f t="shared" si="121"/>
        <v>44748.041666666664</v>
      </c>
      <c r="X250" s="454">
        <f t="shared" si="119"/>
        <v>1</v>
      </c>
      <c r="Y250" s="458">
        <f t="shared" si="94"/>
        <v>86</v>
      </c>
      <c r="Z250" s="458">
        <f t="shared" si="95"/>
        <v>73.400000000000006</v>
      </c>
      <c r="AC250" s="977">
        <f t="shared" si="68"/>
        <v>44748.833333333328</v>
      </c>
      <c r="AD250" s="1610" t="str">
        <f>IF(AND(HOUR(AC250)=HOUR(Worksheet!AF$68),DAY(AC250)=DAY(Worksheet!AF$68)),"START","")</f>
        <v/>
      </c>
      <c r="AE250" s="1149">
        <f>IF(AND(HOUR(AC250)=HOUR($F$186),DAY(AC250)=DAY($F$186)),(MID($B$189,6,3))*1,IF(AND(ISNUMBER(AE249),AC250&lt;$F$186+1+(1/25)),(MID($B$189,6+(3*COUNT($AE$207:AE249)),3))*1,""))</f>
        <v>91</v>
      </c>
      <c r="AF250" s="1164">
        <f t="shared" si="82"/>
        <v>95.251999999999967</v>
      </c>
      <c r="AG250" s="1150">
        <f t="shared" si="50"/>
        <v>91.4</v>
      </c>
      <c r="AH250" s="1163">
        <f>IF(AND(ISNUMBER(AH249),AC250&lt;$F$186+26/25),(MID($B$190,6+(3*COUNT($AH$207:AH249)),3))*1,IF(AND(HOUR(AC250)=HOUR($F$186),DAY(AC250)=DAY($F$186)),(MID($B$190,6,3))*1,""))</f>
        <v>75</v>
      </c>
      <c r="AI250" s="1901">
        <f t="shared" si="108"/>
        <v>75</v>
      </c>
      <c r="AJ250" s="1164">
        <f t="shared" si="52"/>
        <v>74.36</v>
      </c>
      <c r="AK250" s="1150">
        <f t="shared" si="53"/>
        <v>73.400000000000006</v>
      </c>
      <c r="AL250" s="1152">
        <f t="shared" si="83"/>
        <v>29.883333333333333</v>
      </c>
      <c r="AM250" s="1153">
        <f t="shared" si="54"/>
        <v>29.92</v>
      </c>
      <c r="AN250" s="1156"/>
      <c r="AO250" s="976">
        <f>IF(BA250="Y",AP250,IF(AND(ISNUMBER(AO249),AC250&lt;$F$186+26/25),(MID(INDEX($A$187:$B$210,MATCH("CIG",$A$187:$A$210,0),2),8+(3*COUNT($AO$207:AO249)),1))*1,IF(AND(HOUR(AC250)=HOUR($F$186),DAY(AC250)=DAY($F$186)),(MID(INDEX($A$187:$B$210,MATCH("CIG",$A$187:$A$210,0),2),8,1))*1,"")))</f>
        <v>8</v>
      </c>
      <c r="AP250" s="1061">
        <f>IF(AND(ISNUMBER(AP249),AC250&lt;$F$186+26/25),(MID(INDEX($A$187:$B$210,MATCH("CCG",$A$187:$A$210,0),2),8+(3*COUNT($AP$207:AP249)),1))*1,IF(AND(HOUR(AC250)=HOUR($F$186),DAY(AC250)=DAY($F$186)),(MID(INDEX($A$187:$B$210,MATCH("CCG",$A$187:$A$210,0),2),8,1))*1,""))</f>
        <v>7</v>
      </c>
      <c r="AQ250" s="1061" t="str">
        <f>IF(AND(AQ249&lt;&gt;"",AC250&lt;$F$186+26/25),MID(INDEX($A$187:$B$210,MATCH("CLD",$A$187:$A$210,0),2),7+(3*SUM(COUNTIF($AQ$207:AQ249,"OV"),COUNTIF($AQ$207:AQ249,"BK"),COUNTIF($AQ$207:AQ249,"SC"),COUNTIF($AQ$207:AQ249,"FW"),COUNTIF($AQ$207:AQ249,"CL"))),2),IF(AND(HOUR(AC250)=HOUR($F$186),DAY(AC250)=DAY($F$186)),MID(INDEX($A$187:$B$210,MATCH("CLD",$A$187:$A$210,0),2),7,2),""))</f>
        <v>BK</v>
      </c>
      <c r="AR250" s="1149">
        <f t="shared" si="101"/>
        <v>8</v>
      </c>
      <c r="AS250" s="1150" t="str">
        <f t="shared" si="102"/>
        <v>BK</v>
      </c>
      <c r="AT250" s="112">
        <f t="shared" si="103"/>
        <v>8</v>
      </c>
      <c r="AU250" s="1610" t="str">
        <f t="shared" si="104"/>
        <v>BK</v>
      </c>
      <c r="AV250" s="1148">
        <f t="shared" si="84"/>
        <v>70</v>
      </c>
      <c r="AW250" s="920" t="str">
        <f t="shared" si="87"/>
        <v>BKN</v>
      </c>
      <c r="AX250" s="1608">
        <f t="shared" si="85"/>
        <v>250</v>
      </c>
      <c r="AY250" s="112">
        <f>IF(BA250="Y",AZ250,IF(AND(ISNUMBER(AY249),AC250&lt;$F$186+26/25),(MID(INDEX($A$187:$B$210,MATCH("VIS",$A$187:$A$210,0),2),8+(3*COUNT($AY$207:AY249)),1))*1,IF(AND(HOUR(AC250)=HOUR($F$186),DAY(AC250)=DAY($F$186)),(MID(INDEX($A$187:$B$210,MATCH("VIS",$A$187:$A$210,0),2),8,1))*1,"")))</f>
        <v>7</v>
      </c>
      <c r="AZ250" s="112">
        <f>IF(AND(ISNUMBER(AZ249),AC250&lt;$F$186+26/25),(MID(INDEX($A$187:$B$210,MATCH("CVS",$A$187:$A$210,0),2),8+(3*COUNT($AZ$207:AZ249)),1))*1,IF(AND(HOUR(AC250)=HOUR($F$186),DAY(AC250)=DAY($F$186)),(MID(INDEX($A$187:$B$210,MATCH("CVS",$A$187:$A$210,0),2),8,1))*1,""))</f>
        <v>7</v>
      </c>
      <c r="BA250" s="1610" t="str">
        <f>IF(AND(BA249&lt;&gt;"",AC250&lt;$F$186+26/25),MID(INDEX($A$187:$B$210,MATCH("PCO",$A$187:$A$210,0),2),8+(3*SUM(COUNTIF($BA$207:BA249,"Y"),COUNTIF($BA$207:BA249,"N"))),1),IF(AND(HOUR(AC250)=HOUR($F$186),DAY(AC250)=DAY($F$186)),MID(INDEX($A$187:$B$210,MATCH("PCO",$A$187:$A$210,0),2),8,1),""))</f>
        <v>N</v>
      </c>
      <c r="BB250" s="1610" t="e">
        <f>IF(AND(BB249&lt;&gt;"",AC250&lt;$F$186+26/25),MID(INDEX($A$187:$B$210,MATCH("TYP",$A$187:$A$210,0),2),8+(3*SUM(COUNTIF($BB$207:BB249,"S"),COUNTIF($BB$207:BB249,"Z"), COUNTIF($BB$207:BB249,"R"),COUNTIF($BB$207:BB249,"X"))),1),IF(AND(HOUR(AC250)=HOUR($F$186),DAY(AC250)=DAY($F$186)),MID(INDEX($A$187:$B$210,MATCH("TYP",$A$187:$A$210,0),2),8,1),""))</f>
        <v>#N/A</v>
      </c>
      <c r="BC250" s="112" t="str">
        <f>IF(AND(LEN(BC249)=2,AC250&lt;$F$186+26/25),MID(INDEX($A$187:$B$211,MATCH("OBV",$A$187:$A$211,0),2),7+(3*SUM(COUNTIF($BC$207:BC249," N"),COUNTIF($BC$207:BC249,"HZ"),COUNTIF($BC$207:BC249,"BR"),COUNTIF($BC$207:BC249,"FG"),COUNTIF($BC$207:BC249,"BL"))),2),IF(AND(HOUR(AC250)=HOUR($F$186),DAY(AC250)=DAY($F$186)),MID(INDEX($A$187:$B$211,MATCH("OBV",$A$187:$A$211,0),2),7,2),""))</f>
        <v xml:space="preserve"> N</v>
      </c>
      <c r="BD250" s="112"/>
      <c r="BE250" s="112"/>
      <c r="BF250" s="112"/>
      <c r="BG250" s="1610" t="str">
        <f t="shared" si="124"/>
        <v xml:space="preserve"> N</v>
      </c>
      <c r="BH250" s="115">
        <f t="shared" si="105"/>
        <v>7</v>
      </c>
      <c r="BI250" s="200" t="str">
        <f t="shared" si="76"/>
        <v/>
      </c>
      <c r="BJ250" s="62" t="str">
        <f t="shared" si="75"/>
        <v/>
      </c>
      <c r="BK250" s="1145">
        <f t="shared" si="122"/>
        <v>32</v>
      </c>
      <c r="BL250" s="62" t="str">
        <f t="shared" si="77"/>
        <v/>
      </c>
      <c r="BM250" s="1145">
        <f t="shared" si="73"/>
        <v>39</v>
      </c>
      <c r="BN250" s="1901" t="str">
        <f t="shared" si="123"/>
        <v xml:space="preserve"> N</v>
      </c>
      <c r="BO250" s="1144" t="e">
        <f t="shared" si="78"/>
        <v>#N/A</v>
      </c>
      <c r="BP250" s="106">
        <f t="shared" si="109"/>
        <v>7</v>
      </c>
      <c r="BQ250" s="66" t="str">
        <f t="shared" si="79"/>
        <v/>
      </c>
      <c r="BR250" s="106" t="str">
        <f t="shared" si="80"/>
        <v/>
      </c>
      <c r="BS250" s="834">
        <f t="shared" si="96"/>
        <v>7</v>
      </c>
      <c r="BT250" s="106" t="str">
        <f t="shared" si="81"/>
        <v/>
      </c>
      <c r="BU250" s="834">
        <f t="shared" si="63"/>
        <v>24</v>
      </c>
      <c r="BV250" s="66" t="str">
        <f t="shared" si="106"/>
        <v xml:space="preserve"> N</v>
      </c>
      <c r="BW250" s="66" t="e">
        <f t="shared" si="107"/>
        <v>#N/A</v>
      </c>
      <c r="BX250" s="1198">
        <f t="shared" si="86"/>
        <v>4</v>
      </c>
      <c r="BY250" s="1146" t="str">
        <f t="shared" si="66"/>
        <v>TS</v>
      </c>
      <c r="CA250" s="3675">
        <f t="shared" si="67"/>
        <v>44748.833333333328</v>
      </c>
      <c r="CB250" s="3675"/>
    </row>
    <row r="251" spans="1:80" ht="10.5">
      <c r="A251" s="978" t="str">
        <f>Worksheet!Q88</f>
        <v>008000 24616471 00091 129932104 8129312825   ---146</v>
      </c>
      <c r="B251" s="452">
        <f t="shared" si="120"/>
        <v>44748.083333333328</v>
      </c>
      <c r="C251" s="466">
        <f t="shared" si="110"/>
        <v>29.93</v>
      </c>
      <c r="D251" s="454">
        <f t="shared" si="88"/>
        <v>2</v>
      </c>
      <c r="E251" s="476">
        <f t="shared" si="111"/>
        <v>40</v>
      </c>
      <c r="F251" s="460" t="str">
        <f t="shared" si="89"/>
        <v>NONE</v>
      </c>
      <c r="G251" s="460" t="str">
        <f t="shared" si="112"/>
        <v>SCT</v>
      </c>
      <c r="H251" s="460" t="str">
        <f t="shared" si="113"/>
        <v>SCT</v>
      </c>
      <c r="I251" s="460">
        <f t="shared" si="97"/>
        <v>40</v>
      </c>
      <c r="J251" s="461">
        <f t="shared" si="114"/>
        <v>29</v>
      </c>
      <c r="K251" s="462">
        <f t="shared" si="98"/>
        <v>24</v>
      </c>
      <c r="L251" s="462">
        <f t="shared" si="90"/>
        <v>5</v>
      </c>
      <c r="M251" s="462">
        <f t="shared" si="115"/>
        <v>7</v>
      </c>
      <c r="N251" s="462"/>
      <c r="O251" s="462">
        <f t="shared" si="116"/>
        <v>7</v>
      </c>
      <c r="P251" s="462">
        <f t="shared" si="117"/>
        <v>7</v>
      </c>
      <c r="Q251" s="462">
        <f t="shared" si="91"/>
        <v>14.600000000000001</v>
      </c>
      <c r="R251" s="462">
        <f t="shared" si="99"/>
        <v>7</v>
      </c>
      <c r="S251" s="465">
        <f t="shared" si="92"/>
        <v>7</v>
      </c>
      <c r="T251" s="1118" t="str">
        <f t="shared" si="118"/>
        <v>NSW</v>
      </c>
      <c r="U251" s="463" t="str">
        <f t="shared" si="93"/>
        <v/>
      </c>
      <c r="V251" s="464" t="str">
        <f t="shared" si="100"/>
        <v/>
      </c>
      <c r="W251" s="411">
        <f t="shared" si="121"/>
        <v>44748.083333333328</v>
      </c>
      <c r="X251" s="454">
        <f t="shared" si="119"/>
        <v>2</v>
      </c>
      <c r="Y251" s="458">
        <f t="shared" si="94"/>
        <v>84.2</v>
      </c>
      <c r="Z251" s="458">
        <f t="shared" si="95"/>
        <v>75.2</v>
      </c>
      <c r="AC251" s="977">
        <f t="shared" si="68"/>
        <v>44748.875</v>
      </c>
      <c r="AD251" s="1610" t="str">
        <f>IF(AND(HOUR(AC251)=HOUR(Worksheet!AF$68),DAY(AC251)=DAY(Worksheet!AF$68)),"START","")</f>
        <v/>
      </c>
      <c r="AE251" s="1149">
        <f>IF(AND(HOUR(AC251)=HOUR($F$186),DAY(AC251)=DAY($F$186)),(MID($B$189,6,3))*1,IF(AND(ISNUMBER(AE250),AC251&lt;$F$186+1+(1/25)),(MID($B$189,6+(3*COUNT($AE$207:AE250)),3))*1,""))</f>
        <v>91</v>
      </c>
      <c r="AF251" s="1164">
        <f t="shared" si="82"/>
        <v>94.63999999999993</v>
      </c>
      <c r="AG251" s="1150">
        <f t="shared" si="50"/>
        <v>89.6</v>
      </c>
      <c r="AH251" s="1163">
        <f>IF(AND(ISNUMBER(AH250),AC251&lt;$F$186+26/25),(MID($B$190,6+(3*COUNT($AH$207:AH250)),3))*1,IF(AND(HOUR(AC251)=HOUR($F$186),DAY(AC251)=DAY($F$186)),(MID($B$190,6,3))*1,""))</f>
        <v>74</v>
      </c>
      <c r="AI251" s="1901">
        <f t="shared" si="108"/>
        <v>74</v>
      </c>
      <c r="AJ251" s="1164">
        <f t="shared" si="52"/>
        <v>74.281999999999982</v>
      </c>
      <c r="AK251" s="1150">
        <f t="shared" si="53"/>
        <v>73.400000000000006</v>
      </c>
      <c r="AL251" s="1152">
        <f t="shared" si="83"/>
        <v>29.87</v>
      </c>
      <c r="AM251" s="1153">
        <f t="shared" si="54"/>
        <v>29.92</v>
      </c>
      <c r="AN251" s="1156"/>
      <c r="AO251" s="976">
        <f>IF(BA251="Y",AP251,IF(AND(ISNUMBER(AO250),AC251&lt;$F$186+26/25),(MID(INDEX($A$187:$B$210,MATCH("CIG",$A$187:$A$210,0),2),8+(3*COUNT($AO$207:AO250)),1))*1,IF(AND(HOUR(AC251)=HOUR($F$186),DAY(AC251)=DAY($F$186)),(MID(INDEX($A$187:$B$210,MATCH("CIG",$A$187:$A$210,0),2),8,1))*1,"")))</f>
        <v>8</v>
      </c>
      <c r="AP251" s="1061">
        <f>IF(AND(ISNUMBER(AP250),AC251&lt;$F$186+26/25),(MID(INDEX($A$187:$B$210,MATCH("CCG",$A$187:$A$210,0),2),8+(3*COUNT($AP$207:AP250)),1))*1,IF(AND(HOUR(AC251)=HOUR($F$186),DAY(AC251)=DAY($F$186)),(MID(INDEX($A$187:$B$210,MATCH("CCG",$A$187:$A$210,0),2),8,1))*1,""))</f>
        <v>8</v>
      </c>
      <c r="AQ251" s="1061" t="str">
        <f>IF(AND(AQ250&lt;&gt;"",AC251&lt;$F$186+26/25),MID(INDEX($A$187:$B$210,MATCH("CLD",$A$187:$A$210,0),2),7+(3*SUM(COUNTIF($AQ$207:AQ250,"OV"),COUNTIF($AQ$207:AQ250,"BK"),COUNTIF($AQ$207:AQ250,"SC"),COUNTIF($AQ$207:AQ250,"FW"),COUNTIF($AQ$207:AQ250,"CL"))),2),IF(AND(HOUR(AC251)=HOUR($F$186),DAY(AC251)=DAY($F$186)),MID(INDEX($A$187:$B$210,MATCH("CLD",$A$187:$A$210,0),2),7,2),""))</f>
        <v>BK</v>
      </c>
      <c r="AR251" s="1149">
        <f t="shared" si="101"/>
        <v>8</v>
      </c>
      <c r="AS251" s="1150" t="str">
        <f t="shared" si="102"/>
        <v>BK</v>
      </c>
      <c r="AT251" s="112">
        <f t="shared" si="103"/>
        <v>8</v>
      </c>
      <c r="AU251" s="1610" t="str">
        <f t="shared" si="104"/>
        <v>BK</v>
      </c>
      <c r="AV251" s="1148">
        <f t="shared" si="84"/>
        <v>70</v>
      </c>
      <c r="AW251" s="920" t="str">
        <f t="shared" si="87"/>
        <v>BKN</v>
      </c>
      <c r="AX251" s="1608">
        <f t="shared" si="85"/>
        <v>250</v>
      </c>
      <c r="AY251" s="112">
        <f>IF(BA251="Y",AZ251,IF(AND(ISNUMBER(AY250),AC251&lt;$F$186+26/25),(MID(INDEX($A$187:$B$210,MATCH("VIS",$A$187:$A$210,0),2),8+(3*COUNT($AY$207:AY250)),1))*1,IF(AND(HOUR(AC251)=HOUR($F$186),DAY(AC251)=DAY($F$186)),(MID(INDEX($A$187:$B$210,MATCH("VIS",$A$187:$A$210,0),2),8,1))*1,"")))</f>
        <v>7</v>
      </c>
      <c r="AZ251" s="112">
        <f>IF(AND(ISNUMBER(AZ250),AC251&lt;$F$186+26/25),(MID(INDEX($A$187:$B$210,MATCH("CVS",$A$187:$A$210,0),2),8+(3*COUNT($AZ$207:AZ250)),1))*1,IF(AND(HOUR(AC251)=HOUR($F$186),DAY(AC251)=DAY($F$186)),(MID(INDEX($A$187:$B$210,MATCH("CVS",$A$187:$A$210,0),2),8,1))*1,""))</f>
        <v>7</v>
      </c>
      <c r="BA251" s="1610" t="str">
        <f>IF(AND(BA250&lt;&gt;"",AC251&lt;$F$186+26/25),MID(INDEX($A$187:$B$210,MATCH("PCO",$A$187:$A$210,0),2),8+(3*SUM(COUNTIF($BA$207:BA250,"Y"),COUNTIF($BA$207:BA250,"N"))),1),IF(AND(HOUR(AC251)=HOUR($F$186),DAY(AC251)=DAY($F$186)),MID(INDEX($A$187:$B$210,MATCH("PCO",$A$187:$A$210,0),2),8,1),""))</f>
        <v>N</v>
      </c>
      <c r="BB251" s="1610" t="e">
        <f>IF(AND(BB250&lt;&gt;"",AC251&lt;$F$186+26/25),MID(INDEX($A$187:$B$210,MATCH("TYP",$A$187:$A$210,0),2),8+(3*SUM(COUNTIF($BB$207:BB250,"S"),COUNTIF($BB$207:BB250,"Z"), COUNTIF($BB$207:BB250,"R"),COUNTIF($BB$207:BB250,"X"))),1),IF(AND(HOUR(AC251)=HOUR($F$186),DAY(AC251)=DAY($F$186)),MID(INDEX($A$187:$B$210,MATCH("TYP",$A$187:$A$210,0),2),8,1),""))</f>
        <v>#N/A</v>
      </c>
      <c r="BC251" s="112" t="str">
        <f>IF(AND(LEN(BC250)=2,AC251&lt;$F$186+26/25),MID(INDEX($A$187:$B$211,MATCH("OBV",$A$187:$A$211,0),2),7+(3*SUM(COUNTIF($BC$207:BC250," N"),COUNTIF($BC$207:BC250,"HZ"),COUNTIF($BC$207:BC250,"BR"),COUNTIF($BC$207:BC250,"FG"),COUNTIF($BC$207:BC250,"BL"))),2),IF(AND(HOUR(AC251)=HOUR($F$186),DAY(AC251)=DAY($F$186)),MID(INDEX($A$187:$B$211,MATCH("OBV",$A$187:$A$211,0),2),7,2),""))</f>
        <v xml:space="preserve"> N</v>
      </c>
      <c r="BD251" s="112"/>
      <c r="BE251" s="112"/>
      <c r="BF251" s="112"/>
      <c r="BG251" s="1610" t="str">
        <f t="shared" si="124"/>
        <v xml:space="preserve"> N</v>
      </c>
      <c r="BH251" s="115">
        <f t="shared" si="105"/>
        <v>7</v>
      </c>
      <c r="BI251" s="200" t="str">
        <f t="shared" si="76"/>
        <v/>
      </c>
      <c r="BJ251" s="62" t="str">
        <f t="shared" si="75"/>
        <v/>
      </c>
      <c r="BK251" s="1145">
        <f t="shared" si="122"/>
        <v>32</v>
      </c>
      <c r="BL251" s="62" t="str">
        <f t="shared" si="77"/>
        <v/>
      </c>
      <c r="BM251" s="1145">
        <f t="shared" si="73"/>
        <v>39</v>
      </c>
      <c r="BN251" s="1901" t="str">
        <f t="shared" si="123"/>
        <v xml:space="preserve"> N</v>
      </c>
      <c r="BO251" s="1144" t="e">
        <f t="shared" si="78"/>
        <v>#N/A</v>
      </c>
      <c r="BP251" s="106">
        <f t="shared" si="109"/>
        <v>7</v>
      </c>
      <c r="BQ251" s="66" t="str">
        <f t="shared" si="79"/>
        <v/>
      </c>
      <c r="BR251" s="106" t="str">
        <f t="shared" si="80"/>
        <v/>
      </c>
      <c r="BS251" s="834">
        <f t="shared" si="96"/>
        <v>7</v>
      </c>
      <c r="BT251" s="106" t="str">
        <f t="shared" si="81"/>
        <v/>
      </c>
      <c r="BU251" s="834">
        <f t="shared" si="63"/>
        <v>24</v>
      </c>
      <c r="BV251" s="66" t="str">
        <f t="shared" si="106"/>
        <v xml:space="preserve"> N</v>
      </c>
      <c r="BW251" s="66" t="e">
        <f t="shared" si="107"/>
        <v>#N/A</v>
      </c>
      <c r="BX251" s="1198">
        <f t="shared" si="86"/>
        <v>4</v>
      </c>
      <c r="BY251" s="1146" t="str">
        <f t="shared" si="66"/>
        <v>TS</v>
      </c>
      <c r="CA251" s="3675">
        <f t="shared" si="67"/>
        <v>44748.875</v>
      </c>
      <c r="CB251" s="3675"/>
    </row>
    <row r="252" spans="1:80" ht="10.5">
      <c r="A252" s="978" t="str">
        <f>Worksheet!Q89</f>
        <v>009000 24626570 -2592 129932104 8128312725   ---141</v>
      </c>
      <c r="B252" s="452">
        <f t="shared" si="120"/>
        <v>44748.125</v>
      </c>
      <c r="C252" s="466">
        <f t="shared" si="110"/>
        <v>29.93</v>
      </c>
      <c r="D252" s="454">
        <f t="shared" si="88"/>
        <v>3</v>
      </c>
      <c r="E252" s="476">
        <f t="shared" si="111"/>
        <v>40</v>
      </c>
      <c r="F252" s="460" t="str">
        <f t="shared" si="89"/>
        <v>NONE</v>
      </c>
      <c r="G252" s="460" t="str">
        <f t="shared" si="112"/>
        <v>SCT</v>
      </c>
      <c r="H252" s="460" t="str">
        <f t="shared" si="113"/>
        <v>SCT</v>
      </c>
      <c r="I252" s="460">
        <f t="shared" si="97"/>
        <v>40</v>
      </c>
      <c r="J252" s="461">
        <f t="shared" si="114"/>
        <v>28</v>
      </c>
      <c r="K252" s="462">
        <f t="shared" si="98"/>
        <v>24</v>
      </c>
      <c r="L252" s="462">
        <f t="shared" si="90"/>
        <v>4</v>
      </c>
      <c r="M252" s="462">
        <f t="shared" si="115"/>
        <v>7</v>
      </c>
      <c r="N252" s="462"/>
      <c r="O252" s="462">
        <f t="shared" si="116"/>
        <v>7</v>
      </c>
      <c r="P252" s="462">
        <f t="shared" si="117"/>
        <v>7</v>
      </c>
      <c r="Q252" s="462">
        <f t="shared" si="91"/>
        <v>14.100000000000001</v>
      </c>
      <c r="R252" s="462">
        <f t="shared" si="99"/>
        <v>7</v>
      </c>
      <c r="S252" s="465">
        <f t="shared" si="92"/>
        <v>7</v>
      </c>
      <c r="T252" s="1118" t="str">
        <f t="shared" si="118"/>
        <v>NSW</v>
      </c>
      <c r="U252" s="463" t="str">
        <f t="shared" si="93"/>
        <v/>
      </c>
      <c r="V252" s="464" t="str">
        <f t="shared" si="100"/>
        <v/>
      </c>
      <c r="W252" s="411">
        <f t="shared" si="121"/>
        <v>44748.125</v>
      </c>
      <c r="X252" s="454">
        <f t="shared" si="119"/>
        <v>3</v>
      </c>
      <c r="Y252" s="458">
        <f t="shared" si="94"/>
        <v>82.4</v>
      </c>
      <c r="Z252" s="458">
        <f t="shared" si="95"/>
        <v>75.2</v>
      </c>
      <c r="AC252" s="977">
        <f t="shared" si="68"/>
        <v>44748.916666666664</v>
      </c>
      <c r="AD252" s="1610" t="str">
        <f>IF(AND(HOUR(AC252)=HOUR(Worksheet!AF$68),DAY(AC252)=DAY(Worksheet!AF$68)),"START","")</f>
        <v/>
      </c>
      <c r="AE252" s="1149">
        <f>IF(AND(HOUR(AC252)=HOUR($F$186),DAY(AC252)=DAY($F$186)),(MID($B$189,6,3))*1,IF(AND(ISNUMBER(AE251),AC252&lt;$F$186+1+(1/25)),(MID($B$189,6+(3*COUNT($AE$207:AE251)),3))*1,""))</f>
        <v>90</v>
      </c>
      <c r="AF252" s="1164">
        <f t="shared" si="82"/>
        <v>92.785999999999959</v>
      </c>
      <c r="AG252" s="1150">
        <f t="shared" si="50"/>
        <v>91.4</v>
      </c>
      <c r="AH252" s="1163">
        <f>IF(AND(ISNUMBER(AH251),AC252&lt;$F$186+26/25),(MID($B$190,6+(3*COUNT($AH$207:AH251)),3))*1,IF(AND(HOUR(AC252)=HOUR($F$186),DAY(AC252)=DAY($F$186)),(MID($B$190,6,3))*1,""))</f>
        <v>74</v>
      </c>
      <c r="AI252" s="1901">
        <f t="shared" si="108"/>
        <v>74</v>
      </c>
      <c r="AJ252" s="1164">
        <f t="shared" si="52"/>
        <v>75.403999999999982</v>
      </c>
      <c r="AK252" s="1150">
        <f t="shared" si="53"/>
        <v>73.400000000000006</v>
      </c>
      <c r="AL252" s="1152">
        <f t="shared" si="83"/>
        <v>29.866666666666667</v>
      </c>
      <c r="AM252" s="1153">
        <f t="shared" si="54"/>
        <v>29.9</v>
      </c>
      <c r="AN252" s="1156"/>
      <c r="AO252" s="976">
        <f>IF(BA252="Y",AP252,IF(AND(ISNUMBER(AO251),AC252&lt;$F$186+26/25),(MID(INDEX($A$187:$B$210,MATCH("CIG",$A$187:$A$210,0),2),8+(3*COUNT($AO$207:AO251)),1))*1,IF(AND(HOUR(AC252)=HOUR($F$186),DAY(AC252)=DAY($F$186)),(MID(INDEX($A$187:$B$210,MATCH("CIG",$A$187:$A$210,0),2),8,1))*1,"")))</f>
        <v>8</v>
      </c>
      <c r="AP252" s="1061">
        <f>IF(AND(ISNUMBER(AP251),AC252&lt;$F$186+26/25),(MID(INDEX($A$187:$B$210,MATCH("CCG",$A$187:$A$210,0),2),8+(3*COUNT($AP$207:AP251)),1))*1,IF(AND(HOUR(AC252)=HOUR($F$186),DAY(AC252)=DAY($F$186)),(MID(INDEX($A$187:$B$210,MATCH("CCG",$A$187:$A$210,0),2),8,1))*1,""))</f>
        <v>8</v>
      </c>
      <c r="AQ252" s="1061" t="str">
        <f>IF(AND(AQ251&lt;&gt;"",AC252&lt;$F$186+26/25),MID(INDEX($A$187:$B$210,MATCH("CLD",$A$187:$A$210,0),2),7+(3*SUM(COUNTIF($AQ$207:AQ251,"OV"),COUNTIF($AQ$207:AQ251,"BK"),COUNTIF($AQ$207:AQ251,"SC"),COUNTIF($AQ$207:AQ251,"FW"),COUNTIF($AQ$207:AQ251,"CL"))),2),IF(AND(HOUR(AC252)=HOUR($F$186),DAY(AC252)=DAY($F$186)),MID(INDEX($A$187:$B$210,MATCH("CLD",$A$187:$A$210,0),2),7,2),""))</f>
        <v>SC</v>
      </c>
      <c r="AR252" s="1149">
        <f t="shared" si="101"/>
        <v>8</v>
      </c>
      <c r="AS252" s="1150" t="str">
        <f t="shared" si="102"/>
        <v>BK</v>
      </c>
      <c r="AT252" s="112">
        <f t="shared" si="103"/>
        <v>8</v>
      </c>
      <c r="AU252" s="1610" t="str">
        <f t="shared" si="104"/>
        <v>BK</v>
      </c>
      <c r="AV252" s="1148">
        <f t="shared" si="84"/>
        <v>70</v>
      </c>
      <c r="AW252" s="920" t="str">
        <f t="shared" si="87"/>
        <v>BKN</v>
      </c>
      <c r="AX252" s="1608">
        <f t="shared" si="85"/>
        <v>250</v>
      </c>
      <c r="AY252" s="112">
        <f>IF(BA252="Y",AZ252,IF(AND(ISNUMBER(AY251),AC252&lt;$F$186+26/25),(MID(INDEX($A$187:$B$210,MATCH("VIS",$A$187:$A$210,0),2),8+(3*COUNT($AY$207:AY251)),1))*1,IF(AND(HOUR(AC252)=HOUR($F$186),DAY(AC252)=DAY($F$186)),(MID(INDEX($A$187:$B$210,MATCH("VIS",$A$187:$A$210,0),2),8,1))*1,"")))</f>
        <v>7</v>
      </c>
      <c r="AZ252" s="112">
        <f>IF(AND(ISNUMBER(AZ251),AC252&lt;$F$186+26/25),(MID(INDEX($A$187:$B$210,MATCH("CVS",$A$187:$A$210,0),2),8+(3*COUNT($AZ$207:AZ251)),1))*1,IF(AND(HOUR(AC252)=HOUR($F$186),DAY(AC252)=DAY($F$186)),(MID(INDEX($A$187:$B$210,MATCH("CVS",$A$187:$A$210,0),2),8,1))*1,""))</f>
        <v>7</v>
      </c>
      <c r="BA252" s="1610" t="str">
        <f>IF(AND(BA251&lt;&gt;"",AC252&lt;$F$186+26/25),MID(INDEX($A$187:$B$210,MATCH("PCO",$A$187:$A$210,0),2),8+(3*SUM(COUNTIF($BA$207:BA251,"Y"),COUNTIF($BA$207:BA251,"N"))),1),IF(AND(HOUR(AC252)=HOUR($F$186),DAY(AC252)=DAY($F$186)),MID(INDEX($A$187:$B$210,MATCH("PCO",$A$187:$A$210,0),2),8,1),""))</f>
        <v>N</v>
      </c>
      <c r="BB252" s="1610" t="e">
        <f>IF(AND(BB251&lt;&gt;"",AC252&lt;$F$186+26/25),MID(INDEX($A$187:$B$210,MATCH("TYP",$A$187:$A$210,0),2),8+(3*SUM(COUNTIF($BB$207:BB251,"S"),COUNTIF($BB$207:BB251,"Z"), COUNTIF($BB$207:BB251,"R"),COUNTIF($BB$207:BB251,"X"))),1),IF(AND(HOUR(AC252)=HOUR($F$186),DAY(AC252)=DAY($F$186)),MID(INDEX($A$187:$B$210,MATCH("TYP",$A$187:$A$210,0),2),8,1),""))</f>
        <v>#N/A</v>
      </c>
      <c r="BC252" s="112" t="str">
        <f>IF(AND(LEN(BC251)=2,AC252&lt;$F$186+26/25),MID(INDEX($A$187:$B$211,MATCH("OBV",$A$187:$A$211,0),2),7+(3*SUM(COUNTIF($BC$207:BC251," N"),COUNTIF($BC$207:BC251,"HZ"),COUNTIF($BC$207:BC251,"BR"),COUNTIF($BC$207:BC251,"FG"),COUNTIF($BC$207:BC251,"BL"))),2),IF(AND(HOUR(AC252)=HOUR($F$186),DAY(AC252)=DAY($F$186)),MID(INDEX($A$187:$B$211,MATCH("OBV",$A$187:$A$211,0),2),7,2),""))</f>
        <v xml:space="preserve"> N</v>
      </c>
      <c r="BD252" s="112"/>
      <c r="BE252" s="112"/>
      <c r="BF252" s="112"/>
      <c r="BG252" s="1610" t="str">
        <f t="shared" si="124"/>
        <v xml:space="preserve"> N</v>
      </c>
      <c r="BH252" s="115">
        <f t="shared" si="105"/>
        <v>7</v>
      </c>
      <c r="BI252" s="200" t="str">
        <f t="shared" si="76"/>
        <v/>
      </c>
      <c r="BJ252" s="62" t="str">
        <f t="shared" si="75"/>
        <v/>
      </c>
      <c r="BK252" s="1145">
        <f t="shared" si="122"/>
        <v>32</v>
      </c>
      <c r="BL252" s="62" t="str">
        <f t="shared" si="77"/>
        <v/>
      </c>
      <c r="BM252" s="1145">
        <f t="shared" si="73"/>
        <v>39</v>
      </c>
      <c r="BN252" s="1901" t="str">
        <f t="shared" si="123"/>
        <v xml:space="preserve"> N</v>
      </c>
      <c r="BO252" s="1144" t="e">
        <f t="shared" si="78"/>
        <v>#N/A</v>
      </c>
      <c r="BP252" s="106">
        <f t="shared" si="109"/>
        <v>7</v>
      </c>
      <c r="BQ252" s="66" t="str">
        <f t="shared" si="79"/>
        <v/>
      </c>
      <c r="BR252" s="106" t="str">
        <f t="shared" si="80"/>
        <v/>
      </c>
      <c r="BS252" s="834">
        <f t="shared" si="96"/>
        <v>7</v>
      </c>
      <c r="BT252" s="106" t="str">
        <f t="shared" si="81"/>
        <v/>
      </c>
      <c r="BU252" s="834">
        <f t="shared" si="63"/>
        <v>24</v>
      </c>
      <c r="BV252" s="66" t="str">
        <f t="shared" si="106"/>
        <v xml:space="preserve"> N</v>
      </c>
      <c r="BW252" s="66" t="e">
        <f t="shared" si="107"/>
        <v>#N/A</v>
      </c>
      <c r="BX252" s="1198">
        <f t="shared" si="86"/>
        <v>4</v>
      </c>
      <c r="BY252" s="1146" t="str">
        <f t="shared" si="66"/>
        <v>TS</v>
      </c>
      <c r="CA252" s="3675">
        <f t="shared" si="67"/>
        <v>44748.916666666664</v>
      </c>
      <c r="CB252" s="3675"/>
    </row>
    <row r="253" spans="1:80" ht="10.5">
      <c r="A253" s="978" t="str">
        <f>Worksheet!Q90</f>
        <v>010000 24636570 -0893 139932104 8127302725   ---133</v>
      </c>
      <c r="B253" s="452">
        <f t="shared" si="120"/>
        <v>44748.166666666664</v>
      </c>
      <c r="C253" s="466">
        <f t="shared" si="110"/>
        <v>29.93</v>
      </c>
      <c r="D253" s="454">
        <f t="shared" si="88"/>
        <v>4</v>
      </c>
      <c r="E253" s="476">
        <f t="shared" si="111"/>
        <v>40</v>
      </c>
      <c r="F253" s="460" t="str">
        <f t="shared" si="89"/>
        <v>NONE</v>
      </c>
      <c r="G253" s="460" t="str">
        <f t="shared" si="112"/>
        <v>SCT</v>
      </c>
      <c r="H253" s="460" t="str">
        <f t="shared" si="113"/>
        <v>SCT</v>
      </c>
      <c r="I253" s="460">
        <f t="shared" si="97"/>
        <v>40</v>
      </c>
      <c r="J253" s="461">
        <f t="shared" si="114"/>
        <v>27</v>
      </c>
      <c r="K253" s="462">
        <f t="shared" si="98"/>
        <v>24</v>
      </c>
      <c r="L253" s="462">
        <f t="shared" si="90"/>
        <v>3</v>
      </c>
      <c r="M253" s="462">
        <f t="shared" si="115"/>
        <v>7</v>
      </c>
      <c r="N253" s="462"/>
      <c r="O253" s="462">
        <f t="shared" si="116"/>
        <v>7</v>
      </c>
      <c r="P253" s="462">
        <f t="shared" si="117"/>
        <v>7</v>
      </c>
      <c r="Q253" s="462">
        <f t="shared" si="91"/>
        <v>13.3</v>
      </c>
      <c r="R253" s="462">
        <f t="shared" si="99"/>
        <v>7</v>
      </c>
      <c r="S253" s="465">
        <f t="shared" si="92"/>
        <v>7</v>
      </c>
      <c r="T253" s="1118" t="str">
        <f t="shared" si="118"/>
        <v>NSW</v>
      </c>
      <c r="U253" s="463" t="str">
        <f t="shared" si="93"/>
        <v/>
      </c>
      <c r="V253" s="464" t="str">
        <f t="shared" si="100"/>
        <v/>
      </c>
      <c r="W253" s="411">
        <f t="shared" si="121"/>
        <v>44748.166666666664</v>
      </c>
      <c r="X253" s="454">
        <f t="shared" si="119"/>
        <v>4</v>
      </c>
      <c r="Y253" s="458">
        <f t="shared" si="94"/>
        <v>80.599999999999994</v>
      </c>
      <c r="Z253" s="458">
        <f t="shared" si="95"/>
        <v>75.2</v>
      </c>
      <c r="AC253" s="977">
        <f t="shared" si="68"/>
        <v>44748.958333333328</v>
      </c>
      <c r="AD253" s="1610" t="str">
        <f>IF(AND(HOUR(AC253)=HOUR(Worksheet!AF$68),DAY(AC253)=DAY(Worksheet!AF$68)),"START","")</f>
        <v/>
      </c>
      <c r="AE253" s="1149">
        <f>IF(AND(HOUR(AC253)=HOUR($F$186),DAY(AC253)=DAY($F$186)),(MID($B$189,6,3))*1,IF(AND(ISNUMBER(AE252),AC253&lt;$F$186+1+(1/25)),(MID($B$189,6+(3*COUNT($AE$207:AE252)),3))*1,""))</f>
        <v>89</v>
      </c>
      <c r="AF253" s="1164">
        <f t="shared" si="82"/>
        <v>90.932000000000002</v>
      </c>
      <c r="AG253" s="1150">
        <f t="shared" si="50"/>
        <v>89.6</v>
      </c>
      <c r="AH253" s="1163">
        <f>IF(AND(ISNUMBER(AH252),AC253&lt;$F$186+26/25),(MID($B$190,6+(3*COUNT($AH$207:AH252)),3))*1,IF(AND(HOUR(AC253)=HOUR($F$186),DAY(AC253)=DAY($F$186)),(MID($B$190,6,3))*1,""))</f>
        <v>74</v>
      </c>
      <c r="AI253" s="1901">
        <f t="shared" si="108"/>
        <v>74</v>
      </c>
      <c r="AJ253" s="1164">
        <f t="shared" si="52"/>
        <v>76.525999999999968</v>
      </c>
      <c r="AK253" s="1150">
        <f t="shared" si="53"/>
        <v>75.2</v>
      </c>
      <c r="AL253" s="1152">
        <f t="shared" si="83"/>
        <v>29.863333333333333</v>
      </c>
      <c r="AM253" s="1153">
        <f t="shared" si="54"/>
        <v>29.9</v>
      </c>
      <c r="AN253" s="1156"/>
      <c r="AO253" s="976">
        <f>IF(BA253="Y",AP253,IF(AND(ISNUMBER(AO252),AC253&lt;$F$186+26/25),(MID(INDEX($A$187:$B$210,MATCH("CIG",$A$187:$A$210,0),2),8+(3*COUNT($AO$207:AO252)),1))*1,IF(AND(HOUR(AC253)=HOUR($F$186),DAY(AC253)=DAY($F$186)),(MID(INDEX($A$187:$B$210,MATCH("CIG",$A$187:$A$210,0),2),8,1))*1,"")))</f>
        <v>8</v>
      </c>
      <c r="AP253" s="1061">
        <f>IF(AND(ISNUMBER(AP252),AC253&lt;$F$186+26/25),(MID(INDEX($A$187:$B$210,MATCH("CCG",$A$187:$A$210,0),2),8+(3*COUNT($AP$207:AP252)),1))*1,IF(AND(HOUR(AC253)=HOUR($F$186),DAY(AC253)=DAY($F$186)),(MID(INDEX($A$187:$B$210,MATCH("CCG",$A$187:$A$210,0),2),8,1))*1,""))</f>
        <v>8</v>
      </c>
      <c r="AQ253" s="1061" t="str">
        <f>IF(AND(AQ252&lt;&gt;"",AC253&lt;$F$186+26/25),MID(INDEX($A$187:$B$210,MATCH("CLD",$A$187:$A$210,0),2),7+(3*SUM(COUNTIF($AQ$207:AQ252,"OV"),COUNTIF($AQ$207:AQ252,"BK"),COUNTIF($AQ$207:AQ252,"SC"),COUNTIF($AQ$207:AQ252,"FW"),COUNTIF($AQ$207:AQ252,"CL"))),2),IF(AND(HOUR(AC253)=HOUR($F$186),DAY(AC253)=DAY($F$186)),MID(INDEX($A$187:$B$210,MATCH("CLD",$A$187:$A$210,0),2),7,2),""))</f>
        <v>SC</v>
      </c>
      <c r="AR253" s="1149">
        <f t="shared" si="101"/>
        <v>8</v>
      </c>
      <c r="AS253" s="1150" t="str">
        <f t="shared" si="102"/>
        <v>BK</v>
      </c>
      <c r="AT253" s="112">
        <f t="shared" si="103"/>
        <v>8</v>
      </c>
      <c r="AU253" s="1610" t="str">
        <f t="shared" si="104"/>
        <v>SC</v>
      </c>
      <c r="AV253" s="1148">
        <f t="shared" si="84"/>
        <v>70</v>
      </c>
      <c r="AW253" s="920" t="str">
        <f t="shared" si="87"/>
        <v>BKN</v>
      </c>
      <c r="AX253" s="1608">
        <f t="shared" si="85"/>
        <v>250</v>
      </c>
      <c r="AY253" s="112">
        <f>IF(BA253="Y",AZ253,IF(AND(ISNUMBER(AY252),AC253&lt;$F$186+26/25),(MID(INDEX($A$187:$B$210,MATCH("VIS",$A$187:$A$210,0),2),8+(3*COUNT($AY$207:AY252)),1))*1,IF(AND(HOUR(AC253)=HOUR($F$186),DAY(AC253)=DAY($F$186)),(MID(INDEX($A$187:$B$210,MATCH("VIS",$A$187:$A$210,0),2),8,1))*1,"")))</f>
        <v>7</v>
      </c>
      <c r="AZ253" s="112">
        <f>IF(AND(ISNUMBER(AZ252),AC253&lt;$F$186+26/25),(MID(INDEX($A$187:$B$210,MATCH("CVS",$A$187:$A$210,0),2),8+(3*COUNT($AZ$207:AZ252)),1))*1,IF(AND(HOUR(AC253)=HOUR($F$186),DAY(AC253)=DAY($F$186)),(MID(INDEX($A$187:$B$210,MATCH("CVS",$A$187:$A$210,0),2),8,1))*1,""))</f>
        <v>7</v>
      </c>
      <c r="BA253" s="1610" t="str">
        <f>IF(AND(BA252&lt;&gt;"",AC253&lt;$F$186+26/25),MID(INDEX($A$187:$B$210,MATCH("PCO",$A$187:$A$210,0),2),8+(3*SUM(COUNTIF($BA$207:BA252,"Y"),COUNTIF($BA$207:BA252,"N"))),1),IF(AND(HOUR(AC253)=HOUR($F$186),DAY(AC253)=DAY($F$186)),MID(INDEX($A$187:$B$210,MATCH("PCO",$A$187:$A$210,0),2),8,1),""))</f>
        <v>N</v>
      </c>
      <c r="BB253" s="1610" t="e">
        <f>IF(AND(BB252&lt;&gt;"",AC253&lt;$F$186+26/25),MID(INDEX($A$187:$B$210,MATCH("TYP",$A$187:$A$210,0),2),8+(3*SUM(COUNTIF($BB$207:BB252,"S"),COUNTIF($BB$207:BB252,"Z"), COUNTIF($BB$207:BB252,"R"),COUNTIF($BB$207:BB252,"X"))),1),IF(AND(HOUR(AC253)=HOUR($F$186),DAY(AC253)=DAY($F$186)),MID(INDEX($A$187:$B$210,MATCH("TYP",$A$187:$A$210,0),2),8,1),""))</f>
        <v>#N/A</v>
      </c>
      <c r="BC253" s="112" t="str">
        <f>IF(AND(LEN(BC252)=2,AC253&lt;$F$186+26/25),MID(INDEX($A$187:$B$211,MATCH("OBV",$A$187:$A$211,0),2),7+(3*SUM(COUNTIF($BC$207:BC252," N"),COUNTIF($BC$207:BC252,"HZ"),COUNTIF($BC$207:BC252,"BR"),COUNTIF($BC$207:BC252,"FG"),COUNTIF($BC$207:BC252,"BL"))),2),IF(AND(HOUR(AC253)=HOUR($F$186),DAY(AC253)=DAY($F$186)),MID(INDEX($A$187:$B$211,MATCH("OBV",$A$187:$A$211,0),2),7,2),""))</f>
        <v xml:space="preserve"> N</v>
      </c>
      <c r="BD253" s="112"/>
      <c r="BE253" s="112"/>
      <c r="BF253" s="112"/>
      <c r="BG253" s="1610" t="str">
        <f t="shared" si="124"/>
        <v xml:space="preserve"> N</v>
      </c>
      <c r="BH253" s="115">
        <f t="shared" si="105"/>
        <v>7</v>
      </c>
      <c r="BI253" s="200" t="str">
        <f t="shared" si="76"/>
        <v/>
      </c>
      <c r="BJ253" s="62" t="str">
        <f t="shared" si="75"/>
        <v/>
      </c>
      <c r="BK253" s="1145">
        <f t="shared" si="122"/>
        <v>44.5</v>
      </c>
      <c r="BL253" s="62" t="str">
        <f t="shared" si="77"/>
        <v/>
      </c>
      <c r="BM253" s="1145">
        <f t="shared" si="73"/>
        <v>39.5</v>
      </c>
      <c r="BN253" s="1901" t="str">
        <f t="shared" si="123"/>
        <v xml:space="preserve"> N</v>
      </c>
      <c r="BO253" s="1144" t="e">
        <f t="shared" si="78"/>
        <v>#N/A</v>
      </c>
      <c r="BP253" s="106">
        <f t="shared" si="109"/>
        <v>7</v>
      </c>
      <c r="BQ253" s="66" t="str">
        <f t="shared" si="79"/>
        <v/>
      </c>
      <c r="BR253" s="106" t="str">
        <f t="shared" si="80"/>
        <v/>
      </c>
      <c r="BS253" s="834">
        <f t="shared" si="96"/>
        <v>18.5</v>
      </c>
      <c r="BT253" s="106" t="str">
        <f t="shared" si="81"/>
        <v/>
      </c>
      <c r="BU253" s="834">
        <f t="shared" si="63"/>
        <v>29</v>
      </c>
      <c r="BV253" s="66" t="str">
        <f t="shared" si="106"/>
        <v xml:space="preserve"> N</v>
      </c>
      <c r="BW253" s="66" t="e">
        <f t="shared" si="107"/>
        <v>#N/A</v>
      </c>
      <c r="BX253" s="1198">
        <f t="shared" si="86"/>
        <v>7</v>
      </c>
      <c r="BY253" s="1146" t="str">
        <f t="shared" si="66"/>
        <v>NSW</v>
      </c>
      <c r="CA253" s="3675">
        <f t="shared" si="67"/>
        <v>44748.958333333328</v>
      </c>
      <c r="CB253" s="3675"/>
    </row>
    <row r="254" spans="1:80" ht="10.5">
      <c r="A254" s="978" t="str">
        <f>Worksheet!Q91</f>
        <v>011000 24656673 01493 139932104 8127302724   ---124</v>
      </c>
      <c r="B254" s="452">
        <f t="shared" si="120"/>
        <v>44748.208333333328</v>
      </c>
      <c r="C254" s="466">
        <f t="shared" si="110"/>
        <v>29.93</v>
      </c>
      <c r="D254" s="454">
        <f t="shared" si="88"/>
        <v>5</v>
      </c>
      <c r="E254" s="476">
        <f t="shared" si="111"/>
        <v>40</v>
      </c>
      <c r="F254" s="460" t="str">
        <f t="shared" si="89"/>
        <v>NONE</v>
      </c>
      <c r="G254" s="460" t="str">
        <f t="shared" si="112"/>
        <v>SCT</v>
      </c>
      <c r="H254" s="460" t="str">
        <f t="shared" si="113"/>
        <v>SCT</v>
      </c>
      <c r="I254" s="460">
        <f t="shared" si="97"/>
        <v>40</v>
      </c>
      <c r="J254" s="461">
        <f t="shared" si="114"/>
        <v>27</v>
      </c>
      <c r="K254" s="462">
        <f t="shared" si="98"/>
        <v>24</v>
      </c>
      <c r="L254" s="462">
        <f t="shared" si="90"/>
        <v>3</v>
      </c>
      <c r="M254" s="462">
        <f t="shared" si="115"/>
        <v>7</v>
      </c>
      <c r="N254" s="462"/>
      <c r="O254" s="462">
        <f t="shared" si="116"/>
        <v>7</v>
      </c>
      <c r="P254" s="462">
        <f t="shared" si="117"/>
        <v>7</v>
      </c>
      <c r="Q254" s="462">
        <f t="shared" si="91"/>
        <v>12.4</v>
      </c>
      <c r="R254" s="462">
        <f t="shared" si="99"/>
        <v>7</v>
      </c>
      <c r="S254" s="465">
        <f t="shared" si="92"/>
        <v>7</v>
      </c>
      <c r="T254" s="1118" t="str">
        <f t="shared" si="118"/>
        <v>NSW</v>
      </c>
      <c r="U254" s="463" t="str">
        <f t="shared" si="93"/>
        <v/>
      </c>
      <c r="V254" s="464" t="str">
        <f t="shared" si="100"/>
        <v/>
      </c>
      <c r="W254" s="411">
        <f t="shared" si="121"/>
        <v>44748.208333333328</v>
      </c>
      <c r="X254" s="410"/>
      <c r="Y254" s="458">
        <f t="shared" si="94"/>
        <v>80.599999999999994</v>
      </c>
      <c r="Z254" s="458">
        <f t="shared" si="95"/>
        <v>75.2</v>
      </c>
      <c r="AC254" s="977">
        <f t="shared" si="68"/>
        <v>44749</v>
      </c>
      <c r="AD254" s="1610" t="str">
        <f>IF(AND(HOUR(AC254)=HOUR(Worksheet!AF$68),DAY(AC254)=DAY(Worksheet!AF$68)),"START","")</f>
        <v/>
      </c>
      <c r="AE254" s="1149">
        <f>IF(AND(HOUR(AC254)=HOUR($F$186),DAY(AC254)=DAY($F$186)),(MID($B$189,6,3))*1,IF(AND(ISNUMBER(AE253),AC254&lt;$F$186+1+(1/25)),(MID($B$189,6+(3*COUNT($AE$207:AE253)),3))*1,""))</f>
        <v>87</v>
      </c>
      <c r="AF254" s="1164">
        <f t="shared" si="82"/>
        <v>89.078000000000031</v>
      </c>
      <c r="AG254" s="1150">
        <f t="shared" si="50"/>
        <v>87.800000000000011</v>
      </c>
      <c r="AH254" s="1163">
        <f>IF(AND(ISNUMBER(AH253),AC254&lt;$F$186+26/25),(MID($B$190,6+(3*COUNT($AH$207:AH253)),3))*1,IF(AND(HOUR(AC254)=HOUR($F$186),DAY(AC254)=DAY($F$186)),(MID($B$190,6,3))*1,""))</f>
        <v>75</v>
      </c>
      <c r="AI254" s="1901">
        <f t="shared" si="108"/>
        <v>75</v>
      </c>
      <c r="AJ254" s="1164">
        <f t="shared" si="52"/>
        <v>77.647999999999968</v>
      </c>
      <c r="AK254" s="1150">
        <f t="shared" si="53"/>
        <v>75.2</v>
      </c>
      <c r="AL254" s="1152">
        <f t="shared" si="83"/>
        <v>29.86</v>
      </c>
      <c r="AM254" s="1153">
        <f t="shared" si="54"/>
        <v>29.9</v>
      </c>
      <c r="AN254" s="1157"/>
      <c r="AO254" s="976">
        <f>IF(BA254="Y",AP254,IF(AND(ISNUMBER(AO253),AC254&lt;$F$186+26/25),(MID(INDEX($A$187:$B$210,MATCH("CIG",$A$187:$A$210,0),2),8+(3*COUNT($AO$207:AO253)),1))*1,IF(AND(HOUR(AC254)=HOUR($F$186),DAY(AC254)=DAY($F$186)),(MID(INDEX($A$187:$B$210,MATCH("CIG",$A$187:$A$210,0),2),8,1))*1,"")))</f>
        <v>8</v>
      </c>
      <c r="AP254" s="1061">
        <f>IF(AND(ISNUMBER(AP253),AC254&lt;$F$186+26/25),(MID(INDEX($A$187:$B$210,MATCH("CCG",$A$187:$A$210,0),2),8+(3*COUNT($AP$207:AP253)),1))*1,IF(AND(HOUR(AC254)=HOUR($F$186),DAY(AC254)=DAY($F$186)),(MID(INDEX($A$187:$B$210,MATCH("CCG",$A$187:$A$210,0),2),8,1))*1,""))</f>
        <v>8</v>
      </c>
      <c r="AQ254" s="1061" t="str">
        <f>IF(AND(AQ253&lt;&gt;"",AC254&lt;$F$186+26/25),MID(INDEX($A$187:$B$210,MATCH("CLD",$A$187:$A$210,0),2),7+(3*SUM(COUNTIF($AQ$207:AQ253,"OV"),COUNTIF($AQ$207:AQ253,"BK"),COUNTIF($AQ$207:AQ253,"SC"),COUNTIF($AQ$207:AQ253,"FW"),COUNTIF($AQ$207:AQ253,"CL"))),2),IF(AND(HOUR(AC254)=HOUR($F$186),DAY(AC254)=DAY($F$186)),MID(INDEX($A$187:$B$210,MATCH("CLD",$A$187:$A$210,0),2),7,2),""))</f>
        <v>SC</v>
      </c>
      <c r="AR254" s="1149">
        <f t="shared" si="101"/>
        <v>8</v>
      </c>
      <c r="AS254" s="1150" t="str">
        <f t="shared" si="102"/>
        <v>BK</v>
      </c>
      <c r="AT254" s="112">
        <f t="shared" si="103"/>
        <v>8</v>
      </c>
      <c r="AU254" s="1610" t="str">
        <f t="shared" si="104"/>
        <v>SC</v>
      </c>
      <c r="AV254" s="1148">
        <f t="shared" si="84"/>
        <v>70</v>
      </c>
      <c r="AW254" s="920" t="str">
        <f t="shared" si="87"/>
        <v>BKN</v>
      </c>
      <c r="AX254" s="1608">
        <f t="shared" si="85"/>
        <v>250</v>
      </c>
      <c r="AY254" s="112">
        <f>IF(BA254="Y",AZ254,IF(AND(ISNUMBER(AY253),AC254&lt;$F$186+26/25),(MID(INDEX($A$187:$B$210,MATCH("VIS",$A$187:$A$210,0),2),8+(3*COUNT($AY$207:AY253)),1))*1,IF(AND(HOUR(AC254)=HOUR($F$186),DAY(AC254)=DAY($F$186)),(MID(INDEX($A$187:$B$210,MATCH("VIS",$A$187:$A$210,0),2),8,1))*1,"")))</f>
        <v>7</v>
      </c>
      <c r="AZ254" s="112">
        <f>IF(AND(ISNUMBER(AZ253),AC254&lt;$F$186+26/25),(MID(INDEX($A$187:$B$210,MATCH("CVS",$A$187:$A$210,0),2),8+(3*COUNT($AZ$207:AZ253)),1))*1,IF(AND(HOUR(AC254)=HOUR($F$186),DAY(AC254)=DAY($F$186)),(MID(INDEX($A$187:$B$210,MATCH("CVS",$A$187:$A$210,0),2),8,1))*1,""))</f>
        <v>7</v>
      </c>
      <c r="BA254" s="1610" t="str">
        <f>IF(AND(BA253&lt;&gt;"",AC254&lt;$F$186+26/25),MID(INDEX($A$187:$B$210,MATCH("PCO",$A$187:$A$210,0),2),8+(3*SUM(COUNTIF($BA$207:BA253,"Y"),COUNTIF($BA$207:BA253,"N"))),1),IF(AND(HOUR(AC254)=HOUR($F$186),DAY(AC254)=DAY($F$186)),MID(INDEX($A$187:$B$210,MATCH("PCO",$A$187:$A$210,0),2),8,1),""))</f>
        <v>N</v>
      </c>
      <c r="BB254" s="1610" t="e">
        <f>IF(AND(BB253&lt;&gt;"",AC254&lt;$F$186+26/25),MID(INDEX($A$187:$B$210,MATCH("TYP",$A$187:$A$210,0),2),8+(3*SUM(COUNTIF($BB$207:BB253,"S"),COUNTIF($BB$207:BB253,"Z"), COUNTIF($BB$207:BB253,"R"),COUNTIF($BB$207:BB253,"X"))),1),IF(AND(HOUR(AC254)=HOUR($F$186),DAY(AC254)=DAY($F$186)),MID(INDEX($A$187:$B$210,MATCH("TYP",$A$187:$A$210,0),2),8,1),""))</f>
        <v>#N/A</v>
      </c>
      <c r="BC254" s="112" t="str">
        <f>IF(AND(LEN(BC253)=2,AC254&lt;$F$186+26/25),MID(INDEX($A$187:$B$211,MATCH("OBV",$A$187:$A$211,0),2),7+(3*SUM(COUNTIF($BC$207:BC253," N"),COUNTIF($BC$207:BC253,"HZ"),COUNTIF($BC$207:BC253,"BR"),COUNTIF($BC$207:BC253,"FG"),COUNTIF($BC$207:BC253,"BL"))),2),IF(AND(HOUR(AC254)=HOUR($F$186),DAY(AC254)=DAY($F$186)),MID(INDEX($A$187:$B$211,MATCH("OBV",$A$187:$A$211,0),2),7,2),""))</f>
        <v xml:space="preserve"> N</v>
      </c>
      <c r="BD254" s="112"/>
      <c r="BE254" s="112"/>
      <c r="BF254" s="112"/>
      <c r="BG254" s="1610" t="str">
        <f t="shared" si="124"/>
        <v xml:space="preserve"> N</v>
      </c>
      <c r="BH254" s="115">
        <f t="shared" si="105"/>
        <v>7</v>
      </c>
      <c r="BI254" s="200" t="str">
        <f t="shared" si="76"/>
        <v/>
      </c>
      <c r="BJ254" s="62">
        <f t="shared" si="75"/>
        <v>32</v>
      </c>
      <c r="BK254" s="1145">
        <f t="shared" si="122"/>
        <v>44.5</v>
      </c>
      <c r="BL254" s="62">
        <f t="shared" si="77"/>
        <v>39</v>
      </c>
      <c r="BM254" s="1145">
        <f t="shared" si="73"/>
        <v>39.5</v>
      </c>
      <c r="BN254" s="1901" t="str">
        <f t="shared" si="123"/>
        <v xml:space="preserve"> N</v>
      </c>
      <c r="BO254" s="1144" t="e">
        <f t="shared" si="78"/>
        <v>#N/A</v>
      </c>
      <c r="BP254" s="106">
        <f t="shared" si="109"/>
        <v>7</v>
      </c>
      <c r="BQ254" s="66" t="str">
        <f t="shared" si="79"/>
        <v/>
      </c>
      <c r="BR254" s="106">
        <f t="shared" si="80"/>
        <v>7</v>
      </c>
      <c r="BS254" s="834">
        <f t="shared" si="96"/>
        <v>18.5</v>
      </c>
      <c r="BT254" s="106">
        <f t="shared" si="81"/>
        <v>24</v>
      </c>
      <c r="BU254" s="834">
        <f t="shared" si="63"/>
        <v>29</v>
      </c>
      <c r="BV254" s="66" t="str">
        <f t="shared" si="106"/>
        <v xml:space="preserve"> N</v>
      </c>
      <c r="BW254" s="66" t="e">
        <f t="shared" si="107"/>
        <v>#N/A</v>
      </c>
      <c r="BX254" s="1198">
        <f t="shared" si="86"/>
        <v>7</v>
      </c>
      <c r="BY254" s="1146" t="str">
        <f t="shared" si="66"/>
        <v>NSW</v>
      </c>
      <c r="CA254" s="3675">
        <f t="shared" si="67"/>
        <v>44749</v>
      </c>
      <c r="CB254" s="3675"/>
    </row>
    <row r="255" spans="1:80" ht="10.5">
      <c r="A255" s="978" t="str">
        <f>Worksheet!Q92</f>
        <v>012000 24686977 -0893 139942104 8126292724   ---122</v>
      </c>
      <c r="B255" s="452">
        <f t="shared" si="120"/>
        <v>44748.25</v>
      </c>
      <c r="C255" s="466">
        <f t="shared" si="110"/>
        <v>29.94</v>
      </c>
      <c r="D255" s="454">
        <f t="shared" si="88"/>
        <v>6</v>
      </c>
      <c r="E255" s="476">
        <f t="shared" si="111"/>
        <v>40</v>
      </c>
      <c r="F255" s="460" t="str">
        <f t="shared" si="89"/>
        <v>NONE</v>
      </c>
      <c r="G255" s="460" t="str">
        <f t="shared" si="112"/>
        <v>SCT</v>
      </c>
      <c r="H255" s="460" t="str">
        <f t="shared" si="113"/>
        <v>SCT</v>
      </c>
      <c r="I255" s="460">
        <f t="shared" si="97"/>
        <v>40</v>
      </c>
      <c r="J255" s="461">
        <f t="shared" si="114"/>
        <v>26</v>
      </c>
      <c r="K255" s="462">
        <f t="shared" si="98"/>
        <v>24</v>
      </c>
      <c r="L255" s="462">
        <f t="shared" si="90"/>
        <v>2</v>
      </c>
      <c r="M255" s="462">
        <f t="shared" si="115"/>
        <v>7</v>
      </c>
      <c r="N255" s="462"/>
      <c r="O255" s="462">
        <f t="shared" si="116"/>
        <v>7</v>
      </c>
      <c r="P255" s="462">
        <f t="shared" si="117"/>
        <v>7</v>
      </c>
      <c r="Q255" s="462">
        <f t="shared" si="91"/>
        <v>12.200000000000001</v>
      </c>
      <c r="R255" s="462">
        <f t="shared" si="99"/>
        <v>7</v>
      </c>
      <c r="S255" s="465">
        <f t="shared" si="92"/>
        <v>7</v>
      </c>
      <c r="T255" s="1118" t="str">
        <f t="shared" si="118"/>
        <v>NSW</v>
      </c>
      <c r="U255" s="463" t="str">
        <f t="shared" si="93"/>
        <v/>
      </c>
      <c r="V255" s="464" t="str">
        <f t="shared" si="100"/>
        <v/>
      </c>
      <c r="W255" s="411">
        <f t="shared" si="121"/>
        <v>44748.25</v>
      </c>
      <c r="X255" s="410"/>
      <c r="Y255" s="458">
        <f t="shared" si="94"/>
        <v>78.800000000000011</v>
      </c>
      <c r="Z255" s="458">
        <f t="shared" si="95"/>
        <v>75.2</v>
      </c>
      <c r="AC255" s="977">
        <f t="shared" si="68"/>
        <v>44749.041666666664</v>
      </c>
      <c r="AD255" s="1610" t="str">
        <f>IF(AND(HOUR(AC255)=HOUR(Worksheet!AF$68),DAY(AC255)=DAY(Worksheet!AF$68)),"START","")</f>
        <v/>
      </c>
      <c r="AE255" s="1149">
        <f>IF(AND(HOUR(AC255)=HOUR($F$186),DAY(AC255)=DAY($F$186)),(MID($B$189,6,3))*1,IF(AND(ISNUMBER(AE254),AC255&lt;$F$186+1+(1/25)),(MID($B$189,6+(3*COUNT($AE$207:AE254)),3))*1,""))</f>
        <v>83</v>
      </c>
      <c r="AF255" s="1164">
        <f t="shared" si="82"/>
        <v>87.896000000000015</v>
      </c>
      <c r="AG255" s="1150">
        <f t="shared" si="50"/>
        <v>86</v>
      </c>
      <c r="AH255" s="1163">
        <f>IF(AND(ISNUMBER(AH254),AC255&lt;$F$186+26/25),(MID($B$190,6+(3*COUNT($AH$207:AH254)),3))*1,IF(AND(HOUR(AC255)=HOUR($F$186),DAY(AC255)=DAY($F$186)),(MID($B$190,6,3))*1,""))</f>
        <v>74</v>
      </c>
      <c r="AI255" s="1901">
        <f t="shared" si="108"/>
        <v>74</v>
      </c>
      <c r="AJ255" s="1164">
        <f t="shared" si="52"/>
        <v>77.257999999999981</v>
      </c>
      <c r="AK255" s="1150">
        <f t="shared" si="53"/>
        <v>75.2</v>
      </c>
      <c r="AL255" s="1152">
        <f t="shared" si="83"/>
        <v>29.86</v>
      </c>
      <c r="AM255" s="1153">
        <f t="shared" si="54"/>
        <v>29.9</v>
      </c>
      <c r="AN255" s="1158"/>
      <c r="AO255" s="976">
        <f>IF(BA255="Y",AP255,IF(AND(ISNUMBER(AO254),AC255&lt;$F$186+26/25),(MID(INDEX($A$187:$B$210,MATCH("CIG",$A$187:$A$210,0),2),8+(3*COUNT($AO$207:AO254)),1))*1,IF(AND(HOUR(AC255)=HOUR($F$186),DAY(AC255)=DAY($F$186)),(MID(INDEX($A$187:$B$210,MATCH("CIG",$A$187:$A$210,0),2),8,1))*1,"")))</f>
        <v>8</v>
      </c>
      <c r="AP255" s="1061">
        <f>IF(AND(ISNUMBER(AP254),AC255&lt;$F$186+26/25),(MID(INDEX($A$187:$B$210,MATCH("CCG",$A$187:$A$210,0),2),8+(3*COUNT($AP$207:AP254)),1))*1,IF(AND(HOUR(AC255)=HOUR($F$186),DAY(AC255)=DAY($F$186)),(MID(INDEX($A$187:$B$210,MATCH("CCG",$A$187:$A$210,0),2),8,1))*1,""))</f>
        <v>8</v>
      </c>
      <c r="AQ255" s="1061" t="str">
        <f>IF(AND(AQ254&lt;&gt;"",AC255&lt;$F$186+26/25),MID(INDEX($A$187:$B$210,MATCH("CLD",$A$187:$A$210,0),2),7+(3*SUM(COUNTIF($AQ$207:AQ254,"OV"),COUNTIF($AQ$207:AQ254,"BK"),COUNTIF($AQ$207:AQ254,"SC"),COUNTIF($AQ$207:AQ254,"FW"),COUNTIF($AQ$207:AQ254,"CL"))),2),IF(AND(HOUR(AC255)=HOUR($F$186),DAY(AC255)=DAY($F$186)),MID(INDEX($A$187:$B$210,MATCH("CLD",$A$187:$A$210,0),2),7,2),""))</f>
        <v>BK</v>
      </c>
      <c r="AR255" s="1149">
        <f t="shared" si="101"/>
        <v>8</v>
      </c>
      <c r="AS255" s="1150" t="str">
        <f t="shared" si="102"/>
        <v>BK</v>
      </c>
      <c r="AT255" s="112">
        <f t="shared" si="103"/>
        <v>8</v>
      </c>
      <c r="AU255" s="1610" t="str">
        <f t="shared" si="104"/>
        <v>SC</v>
      </c>
      <c r="AV255" s="1148">
        <f t="shared" si="84"/>
        <v>70</v>
      </c>
      <c r="AW255" s="920" t="str">
        <f t="shared" si="87"/>
        <v>BKN</v>
      </c>
      <c r="AX255" s="1608">
        <f t="shared" si="85"/>
        <v>250</v>
      </c>
      <c r="AY255" s="112">
        <f>IF(BA255="Y",AZ255,IF(AND(ISNUMBER(AY254),AC255&lt;$F$186+26/25),(MID(INDEX($A$187:$B$210,MATCH("VIS",$A$187:$A$210,0),2),8+(3*COUNT($AY$207:AY254)),1))*1,IF(AND(HOUR(AC255)=HOUR($F$186),DAY(AC255)=DAY($F$186)),(MID(INDEX($A$187:$B$210,MATCH("VIS",$A$187:$A$210,0),2),8,1))*1,"")))</f>
        <v>7</v>
      </c>
      <c r="AZ255" s="112">
        <f>IF(AND(ISNUMBER(AZ254),AC255&lt;$F$186+26/25),(MID(INDEX($A$187:$B$210,MATCH("CVS",$A$187:$A$210,0),2),8+(3*COUNT($AZ$207:AZ254)),1))*1,IF(AND(HOUR(AC255)=HOUR($F$186),DAY(AC255)=DAY($F$186)),(MID(INDEX($A$187:$B$210,MATCH("CVS",$A$187:$A$210,0),2),8,1))*1,""))</f>
        <v>7</v>
      </c>
      <c r="BA255" s="1610" t="str">
        <f>IF(AND(BA254&lt;&gt;"",AC255&lt;$F$186+26/25),MID(INDEX($A$187:$B$210,MATCH("PCO",$A$187:$A$210,0),2),8+(3*SUM(COUNTIF($BA$207:BA254,"Y"),COUNTIF($BA$207:BA254,"N"))),1),IF(AND(HOUR(AC255)=HOUR($F$186),DAY(AC255)=DAY($F$186)),MID(INDEX($A$187:$B$210,MATCH("PCO",$A$187:$A$210,0),2),8,1),""))</f>
        <v>N</v>
      </c>
      <c r="BB255" s="1610" t="e">
        <f>IF(AND(BB254&lt;&gt;"",AC255&lt;$F$186+26/25),MID(INDEX($A$187:$B$210,MATCH("TYP",$A$187:$A$210,0),2),8+(3*SUM(COUNTIF($BB$207:BB254,"S"),COUNTIF($BB$207:BB254,"Z"), COUNTIF($BB$207:BB254,"R"),COUNTIF($BB$207:BB254,"X"))),1),IF(AND(HOUR(AC255)=HOUR($F$186),DAY(AC255)=DAY($F$186)),MID(INDEX($A$187:$B$210,MATCH("TYP",$A$187:$A$210,0),2),8,1),""))</f>
        <v>#N/A</v>
      </c>
      <c r="BC255" s="112" t="str">
        <f>IF(AND(LEN(BC254)=2,AC255&lt;$F$186+26/25),MID(INDEX($A$187:$B$211,MATCH("OBV",$A$187:$A$211,0),2),7+(3*SUM(COUNTIF($BC$207:BC254," N"),COUNTIF($BC$207:BC254,"HZ"),COUNTIF($BC$207:BC254,"BR"),COUNTIF($BC$207:BC254,"FG"),COUNTIF($BC$207:BC254,"BL"))),2),IF(AND(HOUR(AC255)=HOUR($F$186),DAY(AC255)=DAY($F$186)),MID(INDEX($A$187:$B$211,MATCH("OBV",$A$187:$A$211,0),2),7,2),""))</f>
        <v xml:space="preserve"> N</v>
      </c>
      <c r="BD255" s="112"/>
      <c r="BE255" s="112"/>
      <c r="BF255" s="112"/>
      <c r="BG255" s="1610" t="str">
        <f t="shared" si="124"/>
        <v xml:space="preserve"> N</v>
      </c>
      <c r="BH255" s="115">
        <f t="shared" si="105"/>
        <v>7</v>
      </c>
      <c r="BI255" s="200" t="str">
        <f t="shared" si="76"/>
        <v/>
      </c>
      <c r="BJ255" s="62" t="str">
        <f t="shared" si="75"/>
        <v/>
      </c>
      <c r="BK255" s="1145">
        <f t="shared" si="122"/>
        <v>44.5</v>
      </c>
      <c r="BL255" s="62" t="str">
        <f t="shared" si="77"/>
        <v/>
      </c>
      <c r="BM255" s="1145">
        <f t="shared" si="73"/>
        <v>39.5</v>
      </c>
      <c r="BN255" s="1901" t="str">
        <f t="shared" si="123"/>
        <v xml:space="preserve"> N</v>
      </c>
      <c r="BO255" s="1144" t="e">
        <f t="shared" si="78"/>
        <v>#N/A</v>
      </c>
      <c r="BP255" s="106">
        <f t="shared" si="109"/>
        <v>7</v>
      </c>
      <c r="BQ255" s="66" t="str">
        <f t="shared" si="79"/>
        <v/>
      </c>
      <c r="BR255" s="106" t="str">
        <f t="shared" si="80"/>
        <v/>
      </c>
      <c r="BS255" s="834">
        <f t="shared" si="96"/>
        <v>18.5</v>
      </c>
      <c r="BT255" s="106" t="str">
        <f t="shared" si="81"/>
        <v/>
      </c>
      <c r="BU255" s="834">
        <f t="shared" si="63"/>
        <v>29</v>
      </c>
      <c r="BV255" s="66" t="str">
        <f t="shared" si="106"/>
        <v xml:space="preserve"> N</v>
      </c>
      <c r="BW255" s="66" t="e">
        <f t="shared" si="107"/>
        <v>#N/A</v>
      </c>
      <c r="BX255" s="1198">
        <f t="shared" si="86"/>
        <v>7</v>
      </c>
      <c r="BY255" s="1146" t="str">
        <f t="shared" si="66"/>
        <v>NSW</v>
      </c>
      <c r="CA255" s="3675">
        <f t="shared" si="67"/>
        <v>44749.041666666664</v>
      </c>
      <c r="CB255" s="3675"/>
    </row>
    <row r="256" spans="1:80" ht="10.5">
      <c r="A256" s="978" t="str">
        <f>Worksheet!Q93</f>
        <v>013000 24737280 00594 139942205 8026292624   ---128</v>
      </c>
      <c r="B256" s="452">
        <f t="shared" si="120"/>
        <v>44748.291666666664</v>
      </c>
      <c r="C256" s="466">
        <f t="shared" si="110"/>
        <v>29.94</v>
      </c>
      <c r="D256" s="454">
        <f t="shared" si="88"/>
        <v>7</v>
      </c>
      <c r="E256" s="476">
        <f t="shared" si="111"/>
        <v>40</v>
      </c>
      <c r="F256" s="460" t="str">
        <f t="shared" si="89"/>
        <v>NONE</v>
      </c>
      <c r="G256" s="460" t="str">
        <f t="shared" si="112"/>
        <v>SCT</v>
      </c>
      <c r="H256" s="460" t="str">
        <f t="shared" si="113"/>
        <v>SCT</v>
      </c>
      <c r="I256" s="460">
        <f t="shared" si="97"/>
        <v>40</v>
      </c>
      <c r="J256" s="461">
        <f t="shared" si="114"/>
        <v>26</v>
      </c>
      <c r="K256" s="462">
        <f t="shared" si="98"/>
        <v>24</v>
      </c>
      <c r="L256" s="462">
        <f t="shared" si="90"/>
        <v>2</v>
      </c>
      <c r="M256" s="462">
        <f t="shared" si="115"/>
        <v>7</v>
      </c>
      <c r="N256" s="462"/>
      <c r="O256" s="462">
        <f t="shared" si="116"/>
        <v>7</v>
      </c>
      <c r="P256" s="462">
        <f t="shared" si="117"/>
        <v>7</v>
      </c>
      <c r="Q256" s="462">
        <f t="shared" si="91"/>
        <v>12.8</v>
      </c>
      <c r="R256" s="462">
        <f t="shared" si="99"/>
        <v>7</v>
      </c>
      <c r="S256" s="465">
        <f t="shared" si="92"/>
        <v>7</v>
      </c>
      <c r="T256" s="1118" t="str">
        <f t="shared" si="118"/>
        <v>NSW</v>
      </c>
      <c r="U256" s="463" t="str">
        <f t="shared" si="93"/>
        <v/>
      </c>
      <c r="V256" s="464" t="str">
        <f t="shared" si="100"/>
        <v/>
      </c>
      <c r="W256" s="411">
        <f t="shared" si="121"/>
        <v>44748.291666666664</v>
      </c>
      <c r="X256" s="410"/>
      <c r="Y256" s="458">
        <f t="shared" si="94"/>
        <v>78.800000000000011</v>
      </c>
      <c r="Z256" s="458">
        <f t="shared" si="95"/>
        <v>75.2</v>
      </c>
      <c r="AC256" s="977">
        <f t="shared" si="68"/>
        <v>44749.083333333328</v>
      </c>
      <c r="AD256" s="1610" t="str">
        <f>IF(AND(HOUR(AC256)=HOUR(Worksheet!AF$68),DAY(AC256)=DAY(Worksheet!AF$68)),"START","")</f>
        <v/>
      </c>
      <c r="AE256" s="1149" t="str">
        <f>IF(AND(HOUR(AC256)=HOUR($F$186),DAY(AC256)=DAY($F$186)),(MID($B$189,6,3))*1,IF(AND(ISNUMBER(AE255),AC256&lt;$F$186+1+(1/25)),(MID($B$189,6+(3*COUNT($AE$207:AE255)),3))*1,""))</f>
        <v/>
      </c>
      <c r="AF256" s="1164">
        <f t="shared" si="82"/>
        <v>86.713999999999999</v>
      </c>
      <c r="AG256" s="1150">
        <f t="shared" si="50"/>
        <v>82.4</v>
      </c>
      <c r="AH256" s="1163" t="str">
        <f>IF(AND(ISNUMBER(AH255),AC256&lt;$F$186+26/25),(MID($B$190,6+(3*COUNT($AH$207:AH255)),3))*1,IF(AND(HOUR(AC256)=HOUR($F$186),DAY(AC256)=DAY($F$186)),(MID($B$190,6,3))*1,""))</f>
        <v/>
      </c>
      <c r="AI256" s="1901" t="str">
        <f t="shared" si="108"/>
        <v/>
      </c>
      <c r="AJ256" s="1164">
        <f t="shared" si="52"/>
        <v>76.867999999999995</v>
      </c>
      <c r="AK256" s="1150">
        <f t="shared" si="53"/>
        <v>75.2</v>
      </c>
      <c r="AL256" s="1152">
        <f t="shared" si="83"/>
        <v>29.86</v>
      </c>
      <c r="AM256" s="1153">
        <f t="shared" si="54"/>
        <v>29.92</v>
      </c>
      <c r="AN256" s="1159"/>
      <c r="AO256" s="976" t="str">
        <f>IF(BA256="Y",AP256,IF(AND(ISNUMBER(AO255),AC256&lt;$F$186+26/25),(MID(INDEX($A$187:$B$210,MATCH("CIG",$A$187:$A$210,0),2),8+(3*COUNT($AO$207:AO255)),1))*1,IF(AND(HOUR(AC256)=HOUR($F$186),DAY(AC256)=DAY($F$186)),(MID(INDEX($A$187:$B$210,MATCH("CIG",$A$187:$A$210,0),2),8,1))*1,"")))</f>
        <v/>
      </c>
      <c r="AP256" s="1061" t="str">
        <f>IF(AND(ISNUMBER(AP255),AC256&lt;$F$186+26/25),(MID(INDEX($A$187:$B$210,MATCH("CCG",$A$187:$A$210,0),2),8+(3*COUNT($AP$207:AP255)),1))*1,IF(AND(HOUR(AC256)=HOUR($F$186),DAY(AC256)=DAY($F$186)),(MID(INDEX($A$187:$B$210,MATCH("CCG",$A$187:$A$210,0),2),8,1))*1,""))</f>
        <v/>
      </c>
      <c r="AQ256" s="1061" t="str">
        <f>IF(AND(AQ255&lt;&gt;"",AC256&lt;$F$186+26/25),MID(INDEX($A$187:$B$210,MATCH("CLD",$A$187:$A$210,0),2),7+(3*SUM(COUNTIF($AQ$207:AQ255,"OV"),COUNTIF($AQ$207:AQ255,"BK"),COUNTIF($AQ$207:AQ255,"SC"),COUNTIF($AQ$207:AQ255,"FW"),COUNTIF($AQ$207:AQ255,"CL"))),2),IF(AND(HOUR(AC256)=HOUR($F$186),DAY(AC256)=DAY($F$186)),MID(INDEX($A$187:$B$210,MATCH("CLD",$A$187:$A$210,0),2),7,2),""))</f>
        <v/>
      </c>
      <c r="AR256" s="1149">
        <f t="shared" si="101"/>
        <v>8</v>
      </c>
      <c r="AS256" s="1150" t="str">
        <f t="shared" si="102"/>
        <v>OV</v>
      </c>
      <c r="AT256" s="112">
        <f t="shared" si="103"/>
        <v>8</v>
      </c>
      <c r="AU256" s="1610" t="str">
        <f t="shared" si="104"/>
        <v>BK</v>
      </c>
      <c r="AV256" s="1148">
        <f t="shared" si="84"/>
        <v>70</v>
      </c>
      <c r="AW256" s="920" t="str">
        <f t="shared" si="87"/>
        <v>BKN</v>
      </c>
      <c r="AX256" s="1608">
        <f t="shared" si="85"/>
        <v>250</v>
      </c>
      <c r="AY256" s="112" t="str">
        <f>IF(BA256="Y",AZ256,IF(AND(ISNUMBER(AY255),AC256&lt;$F$186+26/25),(MID(INDEX($A$187:$B$210,MATCH("VIS",$A$187:$A$210,0),2),8+(3*COUNT($AY$207:AY255)),1))*1,IF(AND(HOUR(AC256)=HOUR($F$186),DAY(AC256)=DAY($F$186)),(MID(INDEX($A$187:$B$210,MATCH("VIS",$A$187:$A$210,0),2),8,1))*1,"")))</f>
        <v/>
      </c>
      <c r="AZ256" s="112" t="str">
        <f>IF(AND(ISNUMBER(AZ255),AC256&lt;$F$186+26/25),(MID(INDEX($A$187:$B$210,MATCH("CVS",$A$187:$A$210,0),2),8+(3*COUNT($AZ$207:AZ255)),1))*1,IF(AND(HOUR(AC256)=HOUR($F$186),DAY(AC256)=DAY($F$186)),(MID(INDEX($A$187:$B$210,MATCH("CVS",$A$187:$A$210,0),2),8,1))*1,""))</f>
        <v/>
      </c>
      <c r="BA256" s="1610" t="str">
        <f>IF(AND(BA255&lt;&gt;"",AC256&lt;$F$186+26/25),MID(INDEX($A$187:$B$210,MATCH("PCO",$A$187:$A$210,0),2),8+(3*SUM(COUNTIF($BA$207:BA255,"Y"),COUNTIF($BA$207:BA255,"N"))),1),IF(AND(HOUR(AC256)=HOUR($F$186),DAY(AC256)=DAY($F$186)),MID(INDEX($A$187:$B$210,MATCH("PCO",$A$187:$A$210,0),2),8,1),""))</f>
        <v/>
      </c>
      <c r="BB256" s="1610" t="e">
        <f>IF(AND(BB255&lt;&gt;"",AC256&lt;$F$186+26/25),MID(INDEX($A$187:$B$210,MATCH("TYP",$A$187:$A$210,0),2),8+(3*SUM(COUNTIF($BB$207:BB255,"S"),COUNTIF($BB$207:BB255,"Z"), COUNTIF($BB$207:BB255,"R"),COUNTIF($BB$207:BB255,"X"))),1),IF(AND(HOUR(AC256)=HOUR($F$186),DAY(AC256)=DAY($F$186)),MID(INDEX($A$187:$B$210,MATCH("TYP",$A$187:$A$210,0),2),8,1),""))</f>
        <v>#N/A</v>
      </c>
      <c r="BC256" s="112" t="str">
        <f>IF(AND(LEN(BC255)=2,AC256&lt;$F$186+26/25),MID(INDEX($A$187:$B$211,MATCH("OBV",$A$187:$A$211,0),2),7+(3*SUM(COUNTIF($BC$207:BC255," N"),COUNTIF($BC$207:BC255,"HZ"),COUNTIF($BC$207:BC255,"BR"),COUNTIF($BC$207:BC255,"FG"),COUNTIF($BC$207:BC255,"BL"))),2),IF(AND(HOUR(AC256)=HOUR($F$186),DAY(AC256)=DAY($F$186)),MID(INDEX($A$187:$B$211,MATCH("OBV",$A$187:$A$211,0),2),7,2),""))</f>
        <v/>
      </c>
      <c r="BD256" s="112"/>
      <c r="BE256" s="112"/>
      <c r="BF256" s="112"/>
      <c r="BG256" s="1610" t="str">
        <f t="shared" si="124"/>
        <v/>
      </c>
      <c r="BH256" s="115">
        <f t="shared" si="105"/>
        <v>6</v>
      </c>
      <c r="BI256" s="200" t="str">
        <f t="shared" si="76"/>
        <v>RA</v>
      </c>
      <c r="BJ256" s="62" t="str">
        <f t="shared" si="75"/>
        <v/>
      </c>
      <c r="BK256" s="1145">
        <f t="shared" si="122"/>
        <v>57</v>
      </c>
      <c r="BL256" s="62" t="str">
        <f t="shared" si="77"/>
        <v/>
      </c>
      <c r="BM256" s="1145">
        <f t="shared" si="73"/>
        <v>40</v>
      </c>
      <c r="BN256" s="1901" t="str">
        <f t="shared" si="123"/>
        <v xml:space="preserve"> N</v>
      </c>
      <c r="BO256" s="1144" t="e">
        <f t="shared" si="78"/>
        <v>#N/A</v>
      </c>
      <c r="BP256" s="106">
        <f t="shared" si="109"/>
        <v>7</v>
      </c>
      <c r="BQ256" s="66" t="str">
        <f t="shared" si="79"/>
        <v/>
      </c>
      <c r="BR256" s="106" t="str">
        <f t="shared" si="80"/>
        <v/>
      </c>
      <c r="BS256" s="834">
        <f t="shared" si="96"/>
        <v>30</v>
      </c>
      <c r="BT256" s="106" t="str">
        <f t="shared" si="81"/>
        <v/>
      </c>
      <c r="BU256" s="834">
        <f t="shared" si="63"/>
        <v>34</v>
      </c>
      <c r="BV256" s="66" t="str">
        <f t="shared" si="106"/>
        <v xml:space="preserve"> N</v>
      </c>
      <c r="BW256" s="66" t="e">
        <f t="shared" si="107"/>
        <v>#N/A</v>
      </c>
      <c r="BX256" s="1198">
        <f t="shared" si="86"/>
        <v>7</v>
      </c>
      <c r="BY256" s="1146" t="str">
        <f t="shared" si="66"/>
        <v>NSW</v>
      </c>
      <c r="CA256" s="3675">
        <f t="shared" si="67"/>
        <v>44749.083333333328</v>
      </c>
      <c r="CB256" s="3675"/>
    </row>
    <row r="257" spans="1:80" ht="10.5">
      <c r="A257" s="978" t="str">
        <f>Worksheet!Q94</f>
        <v>014000 24787079 03594 139932305 8026272624   ---133</v>
      </c>
      <c r="B257" s="452">
        <f t="shared" si="120"/>
        <v>44748.333333333328</v>
      </c>
      <c r="C257" s="466">
        <f t="shared" si="110"/>
        <v>29.93</v>
      </c>
      <c r="D257" s="454">
        <f t="shared" si="88"/>
        <v>8</v>
      </c>
      <c r="E257" s="476">
        <f t="shared" si="111"/>
        <v>40</v>
      </c>
      <c r="F257" s="460" t="str">
        <f t="shared" si="89"/>
        <v>NONE</v>
      </c>
      <c r="G257" s="460" t="str">
        <f t="shared" si="112"/>
        <v>SCT</v>
      </c>
      <c r="H257" s="460" t="str">
        <f t="shared" si="113"/>
        <v>SCT</v>
      </c>
      <c r="I257" s="460">
        <f t="shared" si="97"/>
        <v>40</v>
      </c>
      <c r="J257" s="461">
        <f t="shared" si="114"/>
        <v>26</v>
      </c>
      <c r="K257" s="462">
        <f t="shared" si="98"/>
        <v>24</v>
      </c>
      <c r="L257" s="462">
        <f t="shared" si="90"/>
        <v>2</v>
      </c>
      <c r="M257" s="462">
        <f t="shared" si="115"/>
        <v>7</v>
      </c>
      <c r="N257" s="462"/>
      <c r="O257" s="462">
        <f t="shared" si="116"/>
        <v>7</v>
      </c>
      <c r="P257" s="462">
        <f t="shared" si="117"/>
        <v>7</v>
      </c>
      <c r="Q257" s="462">
        <f t="shared" si="91"/>
        <v>13.3</v>
      </c>
      <c r="R257" s="462">
        <f t="shared" si="99"/>
        <v>7</v>
      </c>
      <c r="S257" s="465">
        <f t="shared" si="92"/>
        <v>7</v>
      </c>
      <c r="T257" s="1118" t="str">
        <f t="shared" si="118"/>
        <v>NSW</v>
      </c>
      <c r="U257" s="463" t="str">
        <f t="shared" si="93"/>
        <v/>
      </c>
      <c r="V257" s="464" t="str">
        <f t="shared" si="100"/>
        <v/>
      </c>
      <c r="W257" s="411">
        <f t="shared" si="121"/>
        <v>44748.333333333328</v>
      </c>
      <c r="X257" s="410"/>
      <c r="Y257" s="458">
        <f t="shared" si="94"/>
        <v>78.800000000000011</v>
      </c>
      <c r="Z257" s="458">
        <f t="shared" si="95"/>
        <v>75.2</v>
      </c>
      <c r="AC257" s="977">
        <f t="shared" si="68"/>
        <v>44749.125</v>
      </c>
      <c r="AD257" s="1610" t="str">
        <f>IF(AND(HOUR(AC257)=HOUR(Worksheet!AF$68),DAY(AC257)=DAY(Worksheet!AF$68)),"START","")</f>
        <v/>
      </c>
      <c r="AE257" s="1149" t="str">
        <f>IF(AND(HOUR(AC257)=HOUR($F$186),DAY(AC257)=DAY($F$186)),(MID($B$189,6,3))*1,IF(AND(ISNUMBER(AE256),AC257&lt;$F$186+1+(1/25)),(MID($B$189,6+(3*COUNT($AE$207:AE256)),3))*1,""))</f>
        <v/>
      </c>
      <c r="AF257" s="1164">
        <f t="shared" si="82"/>
        <v>85.531999999999982</v>
      </c>
      <c r="AG257" s="1150">
        <f t="shared" si="50"/>
        <v>82.4</v>
      </c>
      <c r="AH257" s="1163" t="str">
        <f>IF(AND(ISNUMBER(AH256),AC257&lt;$F$186+26/25),(MID($B$190,6+(3*COUNT($AH$207:AH256)),3))*1,IF(AND(HOUR(AC257)=HOUR($F$186),DAY(AC257)=DAY($F$186)),(MID($B$190,6,3))*1,""))</f>
        <v/>
      </c>
      <c r="AI257" s="1901" t="str">
        <f t="shared" si="108"/>
        <v/>
      </c>
      <c r="AJ257" s="1164">
        <f t="shared" si="52"/>
        <v>76.478000000000009</v>
      </c>
      <c r="AK257" s="1150">
        <f t="shared" si="53"/>
        <v>75.2</v>
      </c>
      <c r="AL257" s="1152">
        <f t="shared" si="83"/>
        <v>29.86</v>
      </c>
      <c r="AM257" s="1153">
        <f t="shared" si="54"/>
        <v>29.94</v>
      </c>
      <c r="AN257" s="1160"/>
      <c r="AO257" s="976" t="str">
        <f>IF(BA257="Y",AP257,IF(AND(ISNUMBER(AO256),AC257&lt;$F$186+26/25),(MID(INDEX($A$187:$B$210,MATCH("CIG",$A$187:$A$210,0),2),8+(3*COUNT($AO$207:AO256)),1))*1,IF(AND(HOUR(AC257)=HOUR($F$186),DAY(AC257)=DAY($F$186)),(MID(INDEX($A$187:$B$210,MATCH("CIG",$A$187:$A$210,0),2),8,1))*1,"")))</f>
        <v/>
      </c>
      <c r="AP257" s="1061" t="str">
        <f>IF(AND(ISNUMBER(AP256),AC257&lt;$F$186+26/25),(MID(INDEX($A$187:$B$210,MATCH("CCG",$A$187:$A$210,0),2),8+(3*COUNT($AP$207:AP256)),1))*1,IF(AND(HOUR(AC257)=HOUR($F$186),DAY(AC257)=DAY($F$186)),(MID(INDEX($A$187:$B$210,MATCH("CCG",$A$187:$A$210,0),2),8,1))*1,""))</f>
        <v/>
      </c>
      <c r="AQ257" s="1061" t="str">
        <f>IF(AND(AQ256&lt;&gt;"",AC257&lt;$F$186+26/25),MID(INDEX($A$187:$B$210,MATCH("CLD",$A$187:$A$210,0),2),7+(3*SUM(COUNTIF($AQ$207:AQ256,"OV"),COUNTIF($AQ$207:AQ256,"BK"),COUNTIF($AQ$207:AQ256,"SC"),COUNTIF($AQ$207:AQ256,"FW"),COUNTIF($AQ$207:AQ256,"CL"))),2),IF(AND(HOUR(AC257)=HOUR($F$186),DAY(AC257)=DAY($F$186)),MID(INDEX($A$187:$B$210,MATCH("CLD",$A$187:$A$210,0),2),7,2),""))</f>
        <v/>
      </c>
      <c r="AR257" s="1149">
        <f t="shared" si="101"/>
        <v>8</v>
      </c>
      <c r="AS257" s="1150" t="str">
        <f t="shared" si="102"/>
        <v>OV</v>
      </c>
      <c r="AT257" s="112">
        <f t="shared" si="103"/>
        <v>8</v>
      </c>
      <c r="AU257" s="1610" t="str">
        <f t="shared" si="104"/>
        <v>BK</v>
      </c>
      <c r="AV257" s="1148">
        <f t="shared" si="84"/>
        <v>70</v>
      </c>
      <c r="AW257" s="920" t="str">
        <f t="shared" si="87"/>
        <v>BKN</v>
      </c>
      <c r="AX257" s="1608">
        <f t="shared" si="85"/>
        <v>250</v>
      </c>
      <c r="AY257" s="112" t="str">
        <f>IF(BA257="Y",AZ257,IF(AND(ISNUMBER(AY256),AC257&lt;$F$186+26/25),(MID(INDEX($A$187:$B$210,MATCH("VIS",$A$187:$A$210,0),2),8+(3*COUNT($AY$207:AY256)),1))*1,IF(AND(HOUR(AC257)=HOUR($F$186),DAY(AC257)=DAY($F$186)),(MID(INDEX($A$187:$B$210,MATCH("VIS",$A$187:$A$210,0),2),8,1))*1,"")))</f>
        <v/>
      </c>
      <c r="AZ257" s="112" t="str">
        <f>IF(AND(ISNUMBER(AZ256),AC257&lt;$F$186+26/25),(MID(INDEX($A$187:$B$210,MATCH("CVS",$A$187:$A$210,0),2),8+(3*COUNT($AZ$207:AZ256)),1))*1,IF(AND(HOUR(AC257)=HOUR($F$186),DAY(AC257)=DAY($F$186)),(MID(INDEX($A$187:$B$210,MATCH("CVS",$A$187:$A$210,0),2),8,1))*1,""))</f>
        <v/>
      </c>
      <c r="BA257" s="1610" t="str">
        <f>IF(AND(BA256&lt;&gt;"",AC257&lt;$F$186+26/25),MID(INDEX($A$187:$B$210,MATCH("PCO",$A$187:$A$210,0),2),8+(3*SUM(COUNTIF($BA$207:BA256,"Y"),COUNTIF($BA$207:BA256,"N"))),1),IF(AND(HOUR(AC257)=HOUR($F$186),DAY(AC257)=DAY($F$186)),MID(INDEX($A$187:$B$210,MATCH("PCO",$A$187:$A$210,0),2),8,1),""))</f>
        <v/>
      </c>
      <c r="BB257" s="1610" t="e">
        <f>IF(AND(BB256&lt;&gt;"",AC257&lt;$F$186+26/25),MID(INDEX($A$187:$B$210,MATCH("TYP",$A$187:$A$210,0),2),8+(3*SUM(COUNTIF($BB$207:BB256,"S"),COUNTIF($BB$207:BB256,"Z"), COUNTIF($BB$207:BB256,"R"),COUNTIF($BB$207:BB256,"X"))),1),IF(AND(HOUR(AC257)=HOUR($F$186),DAY(AC257)=DAY($F$186)),MID(INDEX($A$187:$B$210,MATCH("TYP",$A$187:$A$210,0),2),8,1),""))</f>
        <v>#N/A</v>
      </c>
      <c r="BC257" s="112" t="str">
        <f>IF(AND(LEN(BC256)=2,AC257&lt;$F$186+26/25),MID(INDEX($A$187:$B$211,MATCH("OBV",$A$187:$A$211,0),2),7+(3*SUM(COUNTIF($BC$207:BC256," N"),COUNTIF($BC$207:BC256,"HZ"),COUNTIF($BC$207:BC256,"BR"),COUNTIF($BC$207:BC256,"FG"),COUNTIF($BC$207:BC256,"BL"))),2),IF(AND(HOUR(AC257)=HOUR($F$186),DAY(AC257)=DAY($F$186)),MID(INDEX($A$187:$B$211,MATCH("OBV",$A$187:$A$211,0),2),7,2),""))</f>
        <v/>
      </c>
      <c r="BD257" s="112"/>
      <c r="BE257" s="112"/>
      <c r="BF257" s="112"/>
      <c r="BG257" s="1610" t="str">
        <f t="shared" si="124"/>
        <v/>
      </c>
      <c r="BH257" s="115">
        <f t="shared" si="105"/>
        <v>6</v>
      </c>
      <c r="BI257" s="200" t="str">
        <f t="shared" si="76"/>
        <v>RA</v>
      </c>
      <c r="BJ257" s="62" t="str">
        <f t="shared" si="75"/>
        <v/>
      </c>
      <c r="BK257" s="1145">
        <f t="shared" si="122"/>
        <v>57</v>
      </c>
      <c r="BL257" s="62" t="str">
        <f t="shared" si="77"/>
        <v/>
      </c>
      <c r="BM257" s="1145">
        <f t="shared" si="73"/>
        <v>40</v>
      </c>
      <c r="BN257" s="1901" t="str">
        <f t="shared" si="123"/>
        <v xml:space="preserve"> N</v>
      </c>
      <c r="BO257" s="1144" t="e">
        <f t="shared" si="78"/>
        <v>#N/A</v>
      </c>
      <c r="BP257" s="106">
        <f t="shared" si="109"/>
        <v>7</v>
      </c>
      <c r="BQ257" s="66" t="str">
        <f t="shared" si="79"/>
        <v/>
      </c>
      <c r="BR257" s="106" t="str">
        <f t="shared" si="80"/>
        <v/>
      </c>
      <c r="BS257" s="834">
        <f t="shared" si="96"/>
        <v>30</v>
      </c>
      <c r="BT257" s="106" t="str">
        <f t="shared" si="81"/>
        <v/>
      </c>
      <c r="BU257" s="834">
        <f t="shared" si="63"/>
        <v>34</v>
      </c>
      <c r="BV257" s="66" t="str">
        <f t="shared" si="106"/>
        <v xml:space="preserve"> N</v>
      </c>
      <c r="BW257" s="66" t="e">
        <f t="shared" si="107"/>
        <v>#N/A</v>
      </c>
      <c r="BX257" s="1198">
        <f t="shared" si="86"/>
        <v>7</v>
      </c>
      <c r="BY257" s="1146" t="str">
        <f t="shared" si="66"/>
        <v>NSW</v>
      </c>
      <c r="CA257" s="3675">
        <f t="shared" si="67"/>
        <v>44749.125</v>
      </c>
      <c r="CB257" s="3675"/>
    </row>
    <row r="258" spans="1:80" ht="10.5">
      <c r="A258" s="978" t="str">
        <f>Worksheet!Q95</f>
        <v>015000 24816876 01894 139942305 8026272724   ---131</v>
      </c>
      <c r="B258" s="452">
        <f t="shared" si="120"/>
        <v>44748.375</v>
      </c>
      <c r="C258" s="466">
        <f t="shared" si="110"/>
        <v>29.94</v>
      </c>
      <c r="D258" s="454">
        <f t="shared" si="88"/>
        <v>9</v>
      </c>
      <c r="E258" s="476">
        <f t="shared" si="111"/>
        <v>40</v>
      </c>
      <c r="F258" s="460" t="str">
        <f t="shared" si="89"/>
        <v>NONE</v>
      </c>
      <c r="G258" s="460" t="str">
        <f t="shared" si="112"/>
        <v>SCT</v>
      </c>
      <c r="H258" s="460" t="str">
        <f t="shared" si="113"/>
        <v>SCT</v>
      </c>
      <c r="I258" s="460">
        <f t="shared" si="97"/>
        <v>40</v>
      </c>
      <c r="J258" s="461">
        <f t="shared" si="114"/>
        <v>26</v>
      </c>
      <c r="K258" s="462">
        <f t="shared" si="98"/>
        <v>24</v>
      </c>
      <c r="L258" s="462">
        <f t="shared" si="90"/>
        <v>2</v>
      </c>
      <c r="M258" s="462">
        <f t="shared" si="115"/>
        <v>7</v>
      </c>
      <c r="N258" s="462"/>
      <c r="O258" s="462">
        <f t="shared" si="116"/>
        <v>7</v>
      </c>
      <c r="P258" s="462">
        <f t="shared" si="117"/>
        <v>7</v>
      </c>
      <c r="Q258" s="462">
        <f t="shared" si="91"/>
        <v>13.100000000000001</v>
      </c>
      <c r="R258" s="462">
        <f t="shared" si="99"/>
        <v>7</v>
      </c>
      <c r="S258" s="465">
        <f t="shared" si="92"/>
        <v>7</v>
      </c>
      <c r="T258" s="1118" t="str">
        <f t="shared" si="118"/>
        <v>NSW</v>
      </c>
      <c r="U258" s="463" t="str">
        <f t="shared" si="93"/>
        <v/>
      </c>
      <c r="V258" s="464" t="str">
        <f t="shared" si="100"/>
        <v/>
      </c>
      <c r="W258" s="411">
        <f t="shared" si="121"/>
        <v>44748.375</v>
      </c>
      <c r="X258" s="410"/>
      <c r="Y258" s="458">
        <f t="shared" si="94"/>
        <v>78.800000000000011</v>
      </c>
      <c r="Z258" s="458">
        <f t="shared" si="95"/>
        <v>75.2</v>
      </c>
      <c r="AC258" s="977">
        <f t="shared" si="68"/>
        <v>44749.166666666664</v>
      </c>
      <c r="AD258" s="1610" t="str">
        <f>IF(AND(HOUR(AC258)=HOUR(Worksheet!AF$68),DAY(AC258)=DAY(Worksheet!AF$68)),"START","")</f>
        <v/>
      </c>
      <c r="AE258" s="1149" t="str">
        <f>IF(AND(HOUR(AC258)=HOUR($F$186),DAY(AC258)=DAY($F$186)),(MID($B$189,6,3))*1,IF(AND(ISNUMBER(AE257),AC258&lt;$F$186+1+(1/25)),(MID($B$189,6+(3*COUNT($AE$207:AE257)),3))*1,""))</f>
        <v/>
      </c>
      <c r="AF258" s="1164">
        <f t="shared" si="82"/>
        <v>84.463999999999999</v>
      </c>
      <c r="AG258" s="1150">
        <f t="shared" si="50"/>
        <v>80.599999999999994</v>
      </c>
      <c r="AH258" s="1163" t="str">
        <f>IF(AND(ISNUMBER(AH257),AC258&lt;$F$186+26/25),(MID($B$190,6+(3*COUNT($AH$207:AH257)),3))*1,IF(AND(HOUR(AC258)=HOUR($F$186),DAY(AC258)=DAY($F$186)),(MID($B$190,6,3))*1,""))</f>
        <v/>
      </c>
      <c r="AI258" s="1901" t="str">
        <f t="shared" si="108"/>
        <v/>
      </c>
      <c r="AJ258" s="1164">
        <f t="shared" si="52"/>
        <v>76.567999999999998</v>
      </c>
      <c r="AK258" s="1150">
        <f t="shared" si="53"/>
        <v>75.2</v>
      </c>
      <c r="AL258" s="1152">
        <f t="shared" si="83"/>
        <v>29.863333333333333</v>
      </c>
      <c r="AM258" s="1153">
        <f t="shared" si="54"/>
        <v>29.94</v>
      </c>
      <c r="AN258" s="1160"/>
      <c r="AO258" s="976" t="str">
        <f>IF(BA258="Y",AP258,IF(AND(ISNUMBER(AO257),AC258&lt;$F$186+26/25),(MID(INDEX($A$187:$B$210,MATCH("CIG",$A$187:$A$210,0),2),8+(3*COUNT($AO$207:AO257)),1))*1,IF(AND(HOUR(AC258)=HOUR($F$186),DAY(AC258)=DAY($F$186)),(MID(INDEX($A$187:$B$210,MATCH("CIG",$A$187:$A$210,0),2),8,1))*1,"")))</f>
        <v/>
      </c>
      <c r="AP258" s="1061" t="str">
        <f>IF(AND(ISNUMBER(AP257),AC258&lt;$F$186+26/25),(MID(INDEX($A$187:$B$210,MATCH("CCG",$A$187:$A$210,0),2),8+(3*COUNT($AP$207:AP257)),1))*1,IF(AND(HOUR(AC258)=HOUR($F$186),DAY(AC258)=DAY($F$186)),(MID(INDEX($A$187:$B$210,MATCH("CCG",$A$187:$A$210,0),2),8,1))*1,""))</f>
        <v/>
      </c>
      <c r="AQ258" s="1061" t="str">
        <f>IF(AND(AQ257&lt;&gt;"",AC258&lt;$F$186+26/25),MID(INDEX($A$187:$B$210,MATCH("CLD",$A$187:$A$210,0),2),7+(3*SUM(COUNTIF($AQ$207:AQ257,"OV"),COUNTIF($AQ$207:AQ257,"BK"),COUNTIF($AQ$207:AQ257,"SC"),COUNTIF($AQ$207:AQ257,"FW"),COUNTIF($AQ$207:AQ257,"CL"))),2),IF(AND(HOUR(AC258)=HOUR($F$186),DAY(AC258)=DAY($F$186)),MID(INDEX($A$187:$B$210,MATCH("CLD",$A$187:$A$210,0),2),7,2),""))</f>
        <v/>
      </c>
      <c r="AR258" s="1149">
        <f t="shared" si="101"/>
        <v>8</v>
      </c>
      <c r="AS258" s="1150" t="str">
        <f t="shared" si="102"/>
        <v>OV</v>
      </c>
      <c r="AT258" s="112">
        <f t="shared" si="103"/>
        <v>8</v>
      </c>
      <c r="AU258" s="1610" t="str">
        <f t="shared" si="104"/>
        <v>BK</v>
      </c>
      <c r="AV258" s="1148">
        <f t="shared" si="84"/>
        <v>70</v>
      </c>
      <c r="AW258" s="920" t="str">
        <f t="shared" si="87"/>
        <v>BKN</v>
      </c>
      <c r="AX258" s="1608">
        <f t="shared" si="85"/>
        <v>250</v>
      </c>
      <c r="AY258" s="112" t="str">
        <f>IF(BA258="Y",AZ258,IF(AND(ISNUMBER(AY257),AC258&lt;$F$186+26/25),(MID(INDEX($A$187:$B$210,MATCH("VIS",$A$187:$A$210,0),2),8+(3*COUNT($AY$207:AY257)),1))*1,IF(AND(HOUR(AC258)=HOUR($F$186),DAY(AC258)=DAY($F$186)),(MID(INDEX($A$187:$B$210,MATCH("VIS",$A$187:$A$210,0),2),8,1))*1,"")))</f>
        <v/>
      </c>
      <c r="AZ258" s="112" t="str">
        <f>IF(AND(ISNUMBER(AZ257),AC258&lt;$F$186+26/25),(MID(INDEX($A$187:$B$210,MATCH("CVS",$A$187:$A$210,0),2),8+(3*COUNT($AZ$207:AZ257)),1))*1,IF(AND(HOUR(AC258)=HOUR($F$186),DAY(AC258)=DAY($F$186)),(MID(INDEX($A$187:$B$210,MATCH("CVS",$A$187:$A$210,0),2),8,1))*1,""))</f>
        <v/>
      </c>
      <c r="BA258" s="1610" t="str">
        <f>IF(AND(BA257&lt;&gt;"",AC258&lt;$F$186+26/25),MID(INDEX($A$187:$B$210,MATCH("PCO",$A$187:$A$210,0),2),8+(3*SUM(COUNTIF($BA$207:BA257,"Y"),COUNTIF($BA$207:BA257,"N"))),1),IF(AND(HOUR(AC258)=HOUR($F$186),DAY(AC258)=DAY($F$186)),MID(INDEX($A$187:$B$210,MATCH("PCO",$A$187:$A$210,0),2),8,1),""))</f>
        <v/>
      </c>
      <c r="BB258" s="1610" t="e">
        <f>IF(AND(BB257&lt;&gt;"",AC258&lt;$F$186+26/25),MID(INDEX($A$187:$B$210,MATCH("TYP",$A$187:$A$210,0),2),8+(3*SUM(COUNTIF($BB$207:BB257,"S"),COUNTIF($BB$207:BB257,"Z"), COUNTIF($BB$207:BB257,"R"),COUNTIF($BB$207:BB257,"X"))),1),IF(AND(HOUR(AC258)=HOUR($F$186),DAY(AC258)=DAY($F$186)),MID(INDEX($A$187:$B$210,MATCH("TYP",$A$187:$A$210,0),2),8,1),""))</f>
        <v>#N/A</v>
      </c>
      <c r="BC258" s="112" t="str">
        <f>IF(AND(LEN(BC257)=2,AC258&lt;$F$186+26/25),MID(INDEX($A$187:$B$211,MATCH("OBV",$A$187:$A$211,0),2),7+(3*SUM(COUNTIF($BC$207:BC257," N"),COUNTIF($BC$207:BC257,"HZ"),COUNTIF($BC$207:BC257,"BR"),COUNTIF($BC$207:BC257,"FG"),COUNTIF($BC$207:BC257,"BL"))),2),IF(AND(HOUR(AC258)=HOUR($F$186),DAY(AC258)=DAY($F$186)),MID(INDEX($A$187:$B$211,MATCH("OBV",$A$187:$A$211,0),2),7,2),""))</f>
        <v/>
      </c>
      <c r="BD258" s="112"/>
      <c r="BE258" s="112"/>
      <c r="BF258" s="112"/>
      <c r="BG258" s="1610" t="str">
        <f t="shared" si="124"/>
        <v/>
      </c>
      <c r="BH258" s="115">
        <f t="shared" si="105"/>
        <v>6</v>
      </c>
      <c r="BI258" s="200" t="str">
        <f t="shared" si="76"/>
        <v>RA</v>
      </c>
      <c r="BJ258" s="62" t="str">
        <f t="shared" si="75"/>
        <v/>
      </c>
      <c r="BK258" s="1145">
        <f t="shared" si="122"/>
        <v>57</v>
      </c>
      <c r="BL258" s="62" t="str">
        <f t="shared" si="77"/>
        <v/>
      </c>
      <c r="BM258" s="1145">
        <f t="shared" si="73"/>
        <v>40</v>
      </c>
      <c r="BN258" s="1901" t="str">
        <f t="shared" si="123"/>
        <v xml:space="preserve"> N</v>
      </c>
      <c r="BO258" s="1144" t="e">
        <f t="shared" si="78"/>
        <v>#N/A</v>
      </c>
      <c r="BP258" s="106">
        <f t="shared" si="109"/>
        <v>7</v>
      </c>
      <c r="BQ258" s="66" t="str">
        <f t="shared" si="79"/>
        <v/>
      </c>
      <c r="BR258" s="106" t="str">
        <f t="shared" si="80"/>
        <v/>
      </c>
      <c r="BS258" s="834">
        <f t="shared" si="96"/>
        <v>30</v>
      </c>
      <c r="BT258" s="106" t="str">
        <f t="shared" si="81"/>
        <v/>
      </c>
      <c r="BU258" s="834">
        <f t="shared" si="63"/>
        <v>34</v>
      </c>
      <c r="BV258" s="66" t="str">
        <f t="shared" si="106"/>
        <v xml:space="preserve"> N</v>
      </c>
      <c r="BW258" s="66" t="e">
        <f t="shared" si="107"/>
        <v>#N/A</v>
      </c>
      <c r="BX258" s="1198">
        <f t="shared" si="86"/>
        <v>7</v>
      </c>
      <c r="BY258" s="1146" t="str">
        <f t="shared" si="66"/>
        <v>NSW</v>
      </c>
      <c r="CA258" s="3675">
        <f t="shared" si="67"/>
        <v>44749.166666666664</v>
      </c>
      <c r="CB258" s="3675"/>
    </row>
    <row r="259" spans="1:80" ht="10.5">
      <c r="A259" s="978" t="str">
        <f>Worksheet!Q96</f>
        <v>016000 24836875 -0994 139952205 8026272724   ---125</v>
      </c>
      <c r="B259" s="452">
        <f t="shared" si="120"/>
        <v>44748.416666666664</v>
      </c>
      <c r="C259" s="466">
        <f t="shared" si="110"/>
        <v>29.95</v>
      </c>
      <c r="D259" s="454">
        <f t="shared" si="88"/>
        <v>10</v>
      </c>
      <c r="E259" s="476">
        <f t="shared" si="111"/>
        <v>40</v>
      </c>
      <c r="F259" s="460" t="str">
        <f t="shared" si="89"/>
        <v>NONE</v>
      </c>
      <c r="G259" s="460" t="str">
        <f t="shared" si="112"/>
        <v>SCT</v>
      </c>
      <c r="H259" s="460" t="str">
        <f t="shared" si="113"/>
        <v>SCT</v>
      </c>
      <c r="I259" s="460">
        <f t="shared" si="97"/>
        <v>40</v>
      </c>
      <c r="J259" s="461">
        <f t="shared" si="114"/>
        <v>26</v>
      </c>
      <c r="K259" s="462">
        <f t="shared" si="98"/>
        <v>24</v>
      </c>
      <c r="L259" s="462">
        <f t="shared" si="90"/>
        <v>2</v>
      </c>
      <c r="M259" s="462">
        <f t="shared" si="115"/>
        <v>7</v>
      </c>
      <c r="N259" s="462"/>
      <c r="O259" s="462">
        <f t="shared" si="116"/>
        <v>7</v>
      </c>
      <c r="P259" s="462">
        <f t="shared" si="117"/>
        <v>7</v>
      </c>
      <c r="Q259" s="462">
        <f t="shared" si="91"/>
        <v>12.5</v>
      </c>
      <c r="R259" s="462">
        <f t="shared" si="99"/>
        <v>7</v>
      </c>
      <c r="S259" s="465">
        <f t="shared" si="92"/>
        <v>7</v>
      </c>
      <c r="T259" s="1118" t="str">
        <f t="shared" si="118"/>
        <v>NSW</v>
      </c>
      <c r="U259" s="463" t="str">
        <f t="shared" si="93"/>
        <v/>
      </c>
      <c r="V259" s="464" t="str">
        <f t="shared" si="100"/>
        <v/>
      </c>
      <c r="W259" s="411">
        <f t="shared" si="121"/>
        <v>44748.416666666664</v>
      </c>
      <c r="X259" s="410"/>
      <c r="Y259" s="458">
        <f t="shared" si="94"/>
        <v>78.800000000000011</v>
      </c>
      <c r="Z259" s="458">
        <f t="shared" si="95"/>
        <v>75.2</v>
      </c>
      <c r="AC259" s="977">
        <f t="shared" si="68"/>
        <v>44749.208333333328</v>
      </c>
      <c r="AD259" s="1610" t="str">
        <f>IF(AND(HOUR(AC259)=HOUR(Worksheet!AF$68),DAY(AC259)=DAY(Worksheet!AF$68)),"START","")</f>
        <v/>
      </c>
      <c r="AE259" s="1149" t="str">
        <f>IF(AND(HOUR(AC259)=HOUR($F$186),DAY(AC259)=DAY($F$186)),(MID($B$189,6,3))*1,IF(AND(ISNUMBER(AE258),AC259&lt;$F$186+1+(1/25)),(MID($B$189,6+(3*COUNT($AE$207:AE258)),3))*1,""))</f>
        <v/>
      </c>
      <c r="AF259" s="1164">
        <f t="shared" si="82"/>
        <v>83.396000000000015</v>
      </c>
      <c r="AG259" s="1150">
        <f t="shared" si="50"/>
        <v>80.599999999999994</v>
      </c>
      <c r="AH259" s="1163" t="str">
        <f>IF(AND(ISNUMBER(AH258),AC259&lt;$F$186+26/25),(MID($B$190,6+(3*COUNT($AH$207:AH258)),3))*1,IF(AND(HOUR(AC259)=HOUR($F$186),DAY(AC259)=DAY($F$186)),(MID($B$190,6,3))*1,""))</f>
        <v/>
      </c>
      <c r="AI259" s="1901" t="str">
        <f t="shared" si="108"/>
        <v/>
      </c>
      <c r="AJ259" s="1164">
        <f t="shared" si="52"/>
        <v>76.658000000000001</v>
      </c>
      <c r="AK259" s="1150">
        <f t="shared" si="53"/>
        <v>75.2</v>
      </c>
      <c r="AL259" s="1152">
        <f t="shared" si="83"/>
        <v>29.866666666666667</v>
      </c>
      <c r="AM259" s="1153">
        <f t="shared" si="54"/>
        <v>29.94</v>
      </c>
      <c r="AN259" s="1157"/>
      <c r="AO259" s="976" t="str">
        <f>IF(BA259="Y",AP259,IF(AND(ISNUMBER(AO258),AC259&lt;$F$186+26/25),(MID(INDEX($A$187:$B$210,MATCH("CIG",$A$187:$A$210,0),2),8+(3*COUNT($AO$207:AO258)),1))*1,IF(AND(HOUR(AC259)=HOUR($F$186),DAY(AC259)=DAY($F$186)),(MID(INDEX($A$187:$B$210,MATCH("CIG",$A$187:$A$210,0),2),8,1))*1,"")))</f>
        <v/>
      </c>
      <c r="AP259" s="1061" t="str">
        <f>IF(AND(ISNUMBER(AP258),AC259&lt;$F$186+26/25),(MID(INDEX($A$187:$B$210,MATCH("CCG",$A$187:$A$210,0),2),8+(3*COUNT($AP$207:AP258)),1))*1,IF(AND(HOUR(AC259)=HOUR($F$186),DAY(AC259)=DAY($F$186)),(MID(INDEX($A$187:$B$210,MATCH("CCG",$A$187:$A$210,0),2),8,1))*1,""))</f>
        <v/>
      </c>
      <c r="AQ259" s="1061" t="str">
        <f>IF(AND(AQ258&lt;&gt;"",AC259&lt;$F$186+26/25),MID(INDEX($A$187:$B$210,MATCH("CLD",$A$187:$A$210,0),2),7+(3*SUM(COUNTIF($AQ$207:AQ258,"OV"),COUNTIF($AQ$207:AQ258,"BK"),COUNTIF($AQ$207:AQ258,"SC"),COUNTIF($AQ$207:AQ258,"FW"),COUNTIF($AQ$207:AQ258,"CL"))),2),IF(AND(HOUR(AC259)=HOUR($F$186),DAY(AC259)=DAY($F$186)),MID(INDEX($A$187:$B$210,MATCH("CLD",$A$187:$A$210,0),2),7,2),""))</f>
        <v/>
      </c>
      <c r="AR259" s="1149">
        <f t="shared" si="101"/>
        <v>7</v>
      </c>
      <c r="AS259" s="1150" t="str">
        <f t="shared" si="102"/>
        <v>OV</v>
      </c>
      <c r="AT259" s="112">
        <f t="shared" si="103"/>
        <v>8</v>
      </c>
      <c r="AU259" s="1610" t="str">
        <f t="shared" si="104"/>
        <v>OV</v>
      </c>
      <c r="AV259" s="1148">
        <f t="shared" si="84"/>
        <v>70</v>
      </c>
      <c r="AW259" s="920" t="str">
        <f t="shared" si="87"/>
        <v>BKN</v>
      </c>
      <c r="AX259" s="1608">
        <f t="shared" si="85"/>
        <v>250</v>
      </c>
      <c r="AY259" s="112" t="str">
        <f>IF(BA259="Y",AZ259,IF(AND(ISNUMBER(AY258),AC259&lt;$F$186+26/25),(MID(INDEX($A$187:$B$210,MATCH("VIS",$A$187:$A$210,0),2),8+(3*COUNT($AY$207:AY258)),1))*1,IF(AND(HOUR(AC259)=HOUR($F$186),DAY(AC259)=DAY($F$186)),(MID(INDEX($A$187:$B$210,MATCH("VIS",$A$187:$A$210,0),2),8,1))*1,"")))</f>
        <v/>
      </c>
      <c r="AZ259" s="112" t="str">
        <f>IF(AND(ISNUMBER(AZ258),AC259&lt;$F$186+26/25),(MID(INDEX($A$187:$B$210,MATCH("CVS",$A$187:$A$210,0),2),8+(3*COUNT($AZ$207:AZ258)),1))*1,IF(AND(HOUR(AC259)=HOUR($F$186),DAY(AC259)=DAY($F$186)),(MID(INDEX($A$187:$B$210,MATCH("CVS",$A$187:$A$210,0),2),8,1))*1,""))</f>
        <v/>
      </c>
      <c r="BA259" s="1610" t="str">
        <f>IF(AND(BA258&lt;&gt;"",AC259&lt;$F$186+26/25),MID(INDEX($A$187:$B$210,MATCH("PCO",$A$187:$A$210,0),2),8+(3*SUM(COUNTIF($BA$207:BA258,"Y"),COUNTIF($BA$207:BA258,"N"))),1),IF(AND(HOUR(AC259)=HOUR($F$186),DAY(AC259)=DAY($F$186)),MID(INDEX($A$187:$B$210,MATCH("PCO",$A$187:$A$210,0),2),8,1),""))</f>
        <v/>
      </c>
      <c r="BB259" s="1610" t="e">
        <f>IF(AND(BB258&lt;&gt;"",AC259&lt;$F$186+26/25),MID(INDEX($A$187:$B$210,MATCH("TYP",$A$187:$A$210,0),2),8+(3*SUM(COUNTIF($BB$207:BB258,"S"),COUNTIF($BB$207:BB258,"Z"), COUNTIF($BB$207:BB258,"R"),COUNTIF($BB$207:BB258,"X"))),1),IF(AND(HOUR(AC259)=HOUR($F$186),DAY(AC259)=DAY($F$186)),MID(INDEX($A$187:$B$210,MATCH("TYP",$A$187:$A$210,0),2),8,1),""))</f>
        <v>#N/A</v>
      </c>
      <c r="BC259" s="112" t="str">
        <f>IF(AND(LEN(BC258)=2,AC259&lt;$F$186+26/25),MID(INDEX($A$187:$B$211,MATCH("OBV",$A$187:$A$211,0),2),7+(3*SUM(COUNTIF($BC$207:BC258," N"),COUNTIF($BC$207:BC258,"HZ"),COUNTIF($BC$207:BC258,"BR"),COUNTIF($BC$207:BC258,"FG"),COUNTIF($BC$207:BC258,"BL"))),2),IF(AND(HOUR(AC259)=HOUR($F$186),DAY(AC259)=DAY($F$186)),MID(INDEX($A$187:$B$211,MATCH("OBV",$A$187:$A$211,0),2),7,2),""))</f>
        <v/>
      </c>
      <c r="BD259" s="112"/>
      <c r="BE259" s="112"/>
      <c r="BF259" s="112"/>
      <c r="BG259" s="1610" t="str">
        <f t="shared" si="124"/>
        <v/>
      </c>
      <c r="BH259" s="115">
        <f t="shared" si="105"/>
        <v>4</v>
      </c>
      <c r="BI259" s="200" t="str">
        <f t="shared" si="76"/>
        <v>RA</v>
      </c>
      <c r="BJ259" s="62" t="str">
        <f t="shared" si="75"/>
        <v/>
      </c>
      <c r="BK259" s="1145">
        <f t="shared" si="122"/>
        <v>41.5</v>
      </c>
      <c r="BL259" s="62" t="str">
        <f t="shared" si="77"/>
        <v/>
      </c>
      <c r="BM259" s="1145">
        <f t="shared" si="73"/>
        <v>35</v>
      </c>
      <c r="BN259" s="1901" t="str">
        <f t="shared" si="123"/>
        <v>BR</v>
      </c>
      <c r="BO259" s="1144" t="e">
        <f t="shared" si="78"/>
        <v>#N/A</v>
      </c>
      <c r="BP259" s="106">
        <f t="shared" si="109"/>
        <v>6</v>
      </c>
      <c r="BQ259" s="66" t="str">
        <f t="shared" si="79"/>
        <v>RA</v>
      </c>
      <c r="BR259" s="106" t="str">
        <f t="shared" si="80"/>
        <v/>
      </c>
      <c r="BS259" s="834">
        <f t="shared" si="96"/>
        <v>32.5</v>
      </c>
      <c r="BT259" s="106" t="str">
        <f t="shared" si="81"/>
        <v/>
      </c>
      <c r="BU259" s="834">
        <f t="shared" si="63"/>
        <v>31.5</v>
      </c>
      <c r="BV259" s="66" t="str">
        <f t="shared" si="106"/>
        <v xml:space="preserve"> N</v>
      </c>
      <c r="BW259" s="66" t="e">
        <f t="shared" si="107"/>
        <v>#N/A</v>
      </c>
      <c r="BX259" s="1198">
        <f t="shared" si="86"/>
        <v>7</v>
      </c>
      <c r="BY259" s="1146" t="str">
        <f t="shared" si="66"/>
        <v>NSW</v>
      </c>
      <c r="CA259" s="3675">
        <f t="shared" si="67"/>
        <v>44749.208333333328</v>
      </c>
      <c r="CB259" s="3675"/>
    </row>
    <row r="260" spans="1:80" ht="10.5">
      <c r="A260" s="978" t="str">
        <f>Worksheet!Q97</f>
        <v>017000 24856974 -0395 149972205 8026262624   ---121</v>
      </c>
      <c r="B260" s="452">
        <f t="shared" si="120"/>
        <v>44748.458333333328</v>
      </c>
      <c r="C260" s="466">
        <f t="shared" si="110"/>
        <v>29.97</v>
      </c>
      <c r="D260" s="454">
        <f t="shared" si="88"/>
        <v>11</v>
      </c>
      <c r="E260" s="476">
        <f t="shared" si="111"/>
        <v>40</v>
      </c>
      <c r="F260" s="460" t="str">
        <f t="shared" si="89"/>
        <v>NONE</v>
      </c>
      <c r="G260" s="460" t="str">
        <f t="shared" si="112"/>
        <v>SCT</v>
      </c>
      <c r="H260" s="460" t="str">
        <f t="shared" si="113"/>
        <v>SCT</v>
      </c>
      <c r="I260" s="460">
        <f t="shared" si="97"/>
        <v>40</v>
      </c>
      <c r="J260" s="461">
        <f t="shared" si="114"/>
        <v>26</v>
      </c>
      <c r="K260" s="462">
        <f t="shared" si="98"/>
        <v>24</v>
      </c>
      <c r="L260" s="462">
        <f t="shared" si="90"/>
        <v>2</v>
      </c>
      <c r="M260" s="462">
        <f t="shared" si="115"/>
        <v>7</v>
      </c>
      <c r="N260" s="462"/>
      <c r="O260" s="462">
        <f t="shared" si="116"/>
        <v>7</v>
      </c>
      <c r="P260" s="462">
        <f t="shared" si="117"/>
        <v>7</v>
      </c>
      <c r="Q260" s="462">
        <f t="shared" si="91"/>
        <v>12.100000000000001</v>
      </c>
      <c r="R260" s="462">
        <f t="shared" si="99"/>
        <v>7</v>
      </c>
      <c r="S260" s="465">
        <f t="shared" si="92"/>
        <v>7</v>
      </c>
      <c r="T260" s="1118" t="str">
        <f t="shared" si="118"/>
        <v>NSW</v>
      </c>
      <c r="U260" s="463" t="str">
        <f t="shared" si="93"/>
        <v/>
      </c>
      <c r="V260" s="464" t="str">
        <f t="shared" si="100"/>
        <v/>
      </c>
      <c r="W260" s="411">
        <f t="shared" si="121"/>
        <v>44748.458333333328</v>
      </c>
      <c r="X260" s="410"/>
      <c r="Y260" s="458">
        <f t="shared" si="94"/>
        <v>78.800000000000011</v>
      </c>
      <c r="Z260" s="458">
        <f t="shared" si="95"/>
        <v>75.2</v>
      </c>
      <c r="AC260" s="977">
        <f t="shared" si="68"/>
        <v>44749.25</v>
      </c>
      <c r="AD260" s="1610" t="str">
        <f>IF(AND(HOUR(AC260)=HOUR(Worksheet!AF$68),DAY(AC260)=DAY(Worksheet!AF$68)),"START","")</f>
        <v/>
      </c>
      <c r="AE260" s="1149" t="str">
        <f>IF(AND(HOUR(AC260)=HOUR($F$186),DAY(AC260)=DAY($F$186)),(MID($B$189,6,3))*1,IF(AND(ISNUMBER(AE259),AC260&lt;$F$186+1+(1/25)),(MID($B$189,6+(3*COUNT($AE$207:AE259)),3))*1,""))</f>
        <v/>
      </c>
      <c r="AF260" s="1164">
        <f t="shared" si="82"/>
        <v>82.328000000000031</v>
      </c>
      <c r="AG260" s="1150">
        <f t="shared" si="50"/>
        <v>80.599999999999994</v>
      </c>
      <c r="AH260" s="1163" t="str">
        <f>IF(AND(ISNUMBER(AH259),AC260&lt;$F$186+26/25),(MID($B$190,6+(3*COUNT($AH$207:AH259)),3))*1,IF(AND(HOUR(AC260)=HOUR($F$186),DAY(AC260)=DAY($F$186)),(MID($B$190,6,3))*1,""))</f>
        <v/>
      </c>
      <c r="AI260" s="1901" t="str">
        <f t="shared" si="108"/>
        <v/>
      </c>
      <c r="AJ260" s="1164">
        <f t="shared" si="52"/>
        <v>76.74799999999999</v>
      </c>
      <c r="AK260" s="1150">
        <f t="shared" si="53"/>
        <v>75.2</v>
      </c>
      <c r="AL260" s="1152">
        <f t="shared" si="83"/>
        <v>29.87</v>
      </c>
      <c r="AM260" s="1153">
        <f t="shared" si="54"/>
        <v>29.94</v>
      </c>
      <c r="AN260" s="1156"/>
      <c r="AO260" s="976" t="str">
        <f>IF(BA260="Y",AP260,IF(AND(ISNUMBER(AO259),AC260&lt;$F$186+26/25),(MID(INDEX($A$187:$B$210,MATCH("CIG",$A$187:$A$210,0),2),8+(3*COUNT($AO$207:AO259)),1))*1,IF(AND(HOUR(AC260)=HOUR($F$186),DAY(AC260)=DAY($F$186)),(MID(INDEX($A$187:$B$210,MATCH("CIG",$A$187:$A$210,0),2),8,1))*1,"")))</f>
        <v/>
      </c>
      <c r="AP260" s="1061" t="str">
        <f>IF(AND(ISNUMBER(AP259),AC260&lt;$F$186+26/25),(MID(INDEX($A$187:$B$210,MATCH("CCG",$A$187:$A$210,0),2),8+(3*COUNT($AP$207:AP259)),1))*1,IF(AND(HOUR(AC260)=HOUR($F$186),DAY(AC260)=DAY($F$186)),(MID(INDEX($A$187:$B$210,MATCH("CCG",$A$187:$A$210,0),2),8,1))*1,""))</f>
        <v/>
      </c>
      <c r="AQ260" s="1061" t="str">
        <f>IF(AND(AQ259&lt;&gt;"",AC260&lt;$F$186+26/25),MID(INDEX($A$187:$B$210,MATCH("CLD",$A$187:$A$210,0),2),7+(3*SUM(COUNTIF($AQ$207:AQ259,"OV"),COUNTIF($AQ$207:AQ259,"BK"),COUNTIF($AQ$207:AQ259,"SC"),COUNTIF($AQ$207:AQ259,"FW"),COUNTIF($AQ$207:AQ259,"CL"))),2),IF(AND(HOUR(AC260)=HOUR($F$186),DAY(AC260)=DAY($F$186)),MID(INDEX($A$187:$B$210,MATCH("CLD",$A$187:$A$210,0),2),7,2),""))</f>
        <v/>
      </c>
      <c r="AR260" s="1149">
        <f t="shared" si="101"/>
        <v>7</v>
      </c>
      <c r="AS260" s="1150" t="str">
        <f t="shared" si="102"/>
        <v>OV</v>
      </c>
      <c r="AT260" s="112">
        <f t="shared" si="103"/>
        <v>8</v>
      </c>
      <c r="AU260" s="1610" t="str">
        <f t="shared" si="104"/>
        <v>OV</v>
      </c>
      <c r="AV260" s="1148">
        <f t="shared" si="84"/>
        <v>70</v>
      </c>
      <c r="AW260" s="920" t="str">
        <f t="shared" si="87"/>
        <v>BKN</v>
      </c>
      <c r="AX260" s="1608">
        <f t="shared" si="85"/>
        <v>250</v>
      </c>
      <c r="AY260" s="112" t="str">
        <f>IF(BA260="Y",AZ260,IF(AND(ISNUMBER(AY259),AC260&lt;$F$186+26/25),(MID(INDEX($A$187:$B$210,MATCH("VIS",$A$187:$A$210,0),2),8+(3*COUNT($AY$207:AY259)),1))*1,IF(AND(HOUR(AC260)=HOUR($F$186),DAY(AC260)=DAY($F$186)),(MID(INDEX($A$187:$B$210,MATCH("VIS",$A$187:$A$210,0),2),8,1))*1,"")))</f>
        <v/>
      </c>
      <c r="AZ260" s="112" t="str">
        <f>IF(AND(ISNUMBER(AZ259),AC260&lt;$F$186+26/25),(MID(INDEX($A$187:$B$210,MATCH("CVS",$A$187:$A$210,0),2),8+(3*COUNT($AZ$207:AZ259)),1))*1,IF(AND(HOUR(AC260)=HOUR($F$186),DAY(AC260)=DAY($F$186)),(MID(INDEX($A$187:$B$210,MATCH("CVS",$A$187:$A$210,0),2),8,1))*1,""))</f>
        <v/>
      </c>
      <c r="BA260" s="1610" t="str">
        <f>IF(AND(BA259&lt;&gt;"",AC260&lt;$F$186+26/25),MID(INDEX($A$187:$B$210,MATCH("PCO",$A$187:$A$210,0),2),8+(3*SUM(COUNTIF($BA$207:BA259,"Y"),COUNTIF($BA$207:BA259,"N"))),1),IF(AND(HOUR(AC260)=HOUR($F$186),DAY(AC260)=DAY($F$186)),MID(INDEX($A$187:$B$210,MATCH("PCO",$A$187:$A$210,0),2),8,1),""))</f>
        <v/>
      </c>
      <c r="BB260" s="1610" t="e">
        <f>IF(AND(BB259&lt;&gt;"",AC260&lt;$F$186+26/25),MID(INDEX($A$187:$B$210,MATCH("TYP",$A$187:$A$210,0),2),8+(3*SUM(COUNTIF($BB$207:BB259,"S"),COUNTIF($BB$207:BB259,"Z"), COUNTIF($BB$207:BB259,"R"),COUNTIF($BB$207:BB259,"X"))),1),IF(AND(HOUR(AC260)=HOUR($F$186),DAY(AC260)=DAY($F$186)),MID(INDEX($A$187:$B$210,MATCH("TYP",$A$187:$A$210,0),2),8,1),""))</f>
        <v>#N/A</v>
      </c>
      <c r="BC260" s="112" t="str">
        <f>IF(AND(LEN(BC259)=2,AC260&lt;$F$186+26/25),MID(INDEX($A$187:$B$211,MATCH("OBV",$A$187:$A$211,0),2),7+(3*SUM(COUNTIF($BC$207:BC259," N"),COUNTIF($BC$207:BC259,"HZ"),COUNTIF($BC$207:BC259,"BR"),COUNTIF($BC$207:BC259,"FG"),COUNTIF($BC$207:BC259,"BL"))),2),IF(AND(HOUR(AC260)=HOUR($F$186),DAY(AC260)=DAY($F$186)),MID(INDEX($A$187:$B$211,MATCH("OBV",$A$187:$A$211,0),2),7,2),""))</f>
        <v/>
      </c>
      <c r="BD260" s="112"/>
      <c r="BE260" s="112"/>
      <c r="BF260" s="112"/>
      <c r="BG260" s="1610" t="str">
        <f t="shared" si="124"/>
        <v/>
      </c>
      <c r="BH260" s="115">
        <f t="shared" si="105"/>
        <v>4</v>
      </c>
      <c r="BI260" s="200" t="str">
        <f t="shared" si="76"/>
        <v>RA</v>
      </c>
      <c r="BJ260" s="62">
        <f t="shared" si="75"/>
        <v>57</v>
      </c>
      <c r="BK260" s="1145">
        <f>IF(COUNT(BJ260:BJ265)&gt;0,IF(MOD(HOUR(AC260),6)=0,AVERAGE(MAX(BJ260:BJ266),MIN(BJ260:BJ266)),IF(MOD(HOUR(AC260),3)=0,MAX(BJ261:BJ266),IF(MOD(HOUR(AC259),3)=0,BK259,BK261))),"")</f>
        <v>41.5</v>
      </c>
      <c r="BL260" s="62">
        <f t="shared" si="77"/>
        <v>40</v>
      </c>
      <c r="BM260" s="1145">
        <f t="shared" si="73"/>
        <v>35</v>
      </c>
      <c r="BN260" s="1901" t="str">
        <f t="shared" si="123"/>
        <v>BR</v>
      </c>
      <c r="BO260" s="1144" t="e">
        <f t="shared" si="78"/>
        <v>#N/A</v>
      </c>
      <c r="BP260" s="106">
        <f t="shared" si="109"/>
        <v>6</v>
      </c>
      <c r="BQ260" s="66" t="str">
        <f t="shared" si="79"/>
        <v>RA</v>
      </c>
      <c r="BR260" s="106">
        <f t="shared" si="80"/>
        <v>30</v>
      </c>
      <c r="BS260" s="834">
        <f t="shared" si="96"/>
        <v>32.5</v>
      </c>
      <c r="BT260" s="106">
        <f t="shared" si="81"/>
        <v>34</v>
      </c>
      <c r="BU260" s="834">
        <f t="shared" si="63"/>
        <v>31.5</v>
      </c>
      <c r="BV260" s="66" t="str">
        <f t="shared" si="106"/>
        <v xml:space="preserve"> N</v>
      </c>
      <c r="BW260" s="66" t="e">
        <f t="shared" si="107"/>
        <v>#N/A</v>
      </c>
      <c r="BX260" s="1198">
        <f t="shared" si="86"/>
        <v>7</v>
      </c>
      <c r="BY260" s="1146" t="str">
        <f t="shared" si="66"/>
        <v>NSW</v>
      </c>
      <c r="CA260" s="3675">
        <f t="shared" si="67"/>
        <v>44749.25</v>
      </c>
      <c r="CB260" s="3675"/>
    </row>
    <row r="261" spans="1:80" ht="10.5">
      <c r="A261" s="978" t="str">
        <f>Worksheet!Q98</f>
        <v>018000 24887175 02094 149982305 8026262624   ---132</v>
      </c>
      <c r="B261" s="452">
        <f t="shared" si="120"/>
        <v>44748.5</v>
      </c>
      <c r="C261" s="466">
        <f t="shared" si="110"/>
        <v>29.98</v>
      </c>
      <c r="D261" s="454">
        <f t="shared" si="88"/>
        <v>12</v>
      </c>
      <c r="E261" s="476">
        <f t="shared" si="111"/>
        <v>40</v>
      </c>
      <c r="F261" s="460" t="str">
        <f t="shared" si="89"/>
        <v>NONE</v>
      </c>
      <c r="G261" s="460" t="str">
        <f t="shared" si="112"/>
        <v>SCT</v>
      </c>
      <c r="H261" s="460" t="str">
        <f t="shared" si="113"/>
        <v>SCT</v>
      </c>
      <c r="I261" s="460">
        <f t="shared" si="97"/>
        <v>40</v>
      </c>
      <c r="J261" s="461">
        <f t="shared" si="114"/>
        <v>26</v>
      </c>
      <c r="K261" s="462">
        <f t="shared" si="98"/>
        <v>24</v>
      </c>
      <c r="L261" s="462">
        <f t="shared" si="90"/>
        <v>2</v>
      </c>
      <c r="M261" s="462">
        <f t="shared" si="115"/>
        <v>7</v>
      </c>
      <c r="N261" s="462"/>
      <c r="O261" s="462">
        <f t="shared" si="116"/>
        <v>7</v>
      </c>
      <c r="P261" s="462">
        <f t="shared" si="117"/>
        <v>7</v>
      </c>
      <c r="Q261" s="462">
        <f t="shared" si="91"/>
        <v>13.200000000000001</v>
      </c>
      <c r="R261" s="462">
        <f t="shared" si="99"/>
        <v>7</v>
      </c>
      <c r="S261" s="465">
        <f t="shared" si="92"/>
        <v>7</v>
      </c>
      <c r="T261" s="1118" t="str">
        <f t="shared" si="118"/>
        <v>NSW</v>
      </c>
      <c r="U261" s="463">
        <f t="shared" si="93"/>
        <v>230</v>
      </c>
      <c r="V261" s="464">
        <f t="shared" si="100"/>
        <v>6</v>
      </c>
      <c r="W261" s="411">
        <f t="shared" si="121"/>
        <v>44748.5</v>
      </c>
      <c r="X261" s="410"/>
      <c r="Y261" s="458">
        <f t="shared" si="94"/>
        <v>78.800000000000011</v>
      </c>
      <c r="Z261" s="458">
        <f t="shared" si="95"/>
        <v>75.2</v>
      </c>
      <c r="AC261" s="977">
        <f t="shared" si="68"/>
        <v>44749.291666666664</v>
      </c>
      <c r="AD261" s="1610" t="str">
        <f>IF(AND(HOUR(AC261)=HOUR(Worksheet!AF$68),DAY(AC261)=DAY(Worksheet!AF$68)),"START","")</f>
        <v/>
      </c>
      <c r="AE261" s="1149" t="str">
        <f>IF(AND(HOUR(AC261)=HOUR($F$186),DAY(AC261)=DAY($F$186)),(MID($B$189,6,3))*1,IF(AND(ISNUMBER(AE260),AC261&lt;$F$186+1+(1/25)),(MID($B$189,6+(3*COUNT($AE$207:AE260)),3))*1,""))</f>
        <v/>
      </c>
      <c r="AF261" s="1164">
        <f t="shared" si="82"/>
        <v>81.134000000000029</v>
      </c>
      <c r="AG261" s="1150">
        <f t="shared" si="50"/>
        <v>80.599999999999994</v>
      </c>
      <c r="AH261" s="1163" t="str">
        <f>IF(AND(ISNUMBER(AH260),AC261&lt;$F$186+26/25),(MID($B$190,6+(3*COUNT($AH$207:AH260)),3))*1,IF(AND(HOUR(AC261)=HOUR($F$186),DAY(AC261)=DAY($F$186)),(MID($B$190,6,3))*1,""))</f>
        <v/>
      </c>
      <c r="AI261" s="1901" t="str">
        <f t="shared" si="108"/>
        <v/>
      </c>
      <c r="AJ261" s="1164">
        <f t="shared" si="52"/>
        <v>76.922000000000011</v>
      </c>
      <c r="AK261" s="1150">
        <f t="shared" si="53"/>
        <v>75.2</v>
      </c>
      <c r="AL261" s="1152">
        <f t="shared" si="83"/>
        <v>29.883333333333333</v>
      </c>
      <c r="AM261" s="1153">
        <f t="shared" si="54"/>
        <v>29.94</v>
      </c>
      <c r="AN261" s="1161"/>
      <c r="AO261" s="976" t="str">
        <f>IF(BA261="Y",AP261,IF(AND(ISNUMBER(AO260),AC261&lt;$F$186+26/25),(MID(INDEX($A$187:$B$210,MATCH("CIG",$A$187:$A$210,0),2),8+(3*COUNT($AO$207:AO260)),1))*1,IF(AND(HOUR(AC261)=HOUR($F$186),DAY(AC261)=DAY($F$186)),(MID(INDEX($A$187:$B$210,MATCH("CIG",$A$187:$A$210,0),2),8,1))*1,"")))</f>
        <v/>
      </c>
      <c r="AP261" s="1061" t="str">
        <f>IF(AND(ISNUMBER(AP260),AC261&lt;$F$186+26/25),(MID(INDEX($A$187:$B$210,MATCH("CCG",$A$187:$A$210,0),2),8+(3*COUNT($AP$207:AP260)),1))*1,IF(AND(HOUR(AC261)=HOUR($F$186),DAY(AC261)=DAY($F$186)),(MID(INDEX($A$187:$B$210,MATCH("CCG",$A$187:$A$210,0),2),8,1))*1,""))</f>
        <v/>
      </c>
      <c r="AQ261" s="1061" t="str">
        <f>IF(AND(AQ260&lt;&gt;"",AC261&lt;$F$186+26/25),MID(INDEX($A$187:$B$210,MATCH("CLD",$A$187:$A$210,0),2),7+(3*SUM(COUNTIF($AQ$207:AQ260,"OV"),COUNTIF($AQ$207:AQ260,"BK"),COUNTIF($AQ$207:AQ260,"SC"),COUNTIF($AQ$207:AQ260,"FW"),COUNTIF($AQ$207:AQ260,"CL"))),2),IF(AND(HOUR(AC261)=HOUR($F$186),DAY(AC261)=DAY($F$186)),MID(INDEX($A$187:$B$210,MATCH("CLD",$A$187:$A$210,0),2),7,2),""))</f>
        <v/>
      </c>
      <c r="AR261" s="1149">
        <f t="shared" si="101"/>
        <v>7</v>
      </c>
      <c r="AS261" s="1150" t="str">
        <f t="shared" si="102"/>
        <v>OV</v>
      </c>
      <c r="AT261" s="112">
        <f t="shared" si="103"/>
        <v>8</v>
      </c>
      <c r="AU261" s="1610" t="str">
        <f t="shared" si="104"/>
        <v>OV</v>
      </c>
      <c r="AV261" s="1148">
        <f t="shared" si="84"/>
        <v>70</v>
      </c>
      <c r="AW261" s="920" t="str">
        <f t="shared" si="87"/>
        <v>BKN</v>
      </c>
      <c r="AX261" s="1608">
        <f t="shared" si="85"/>
        <v>250</v>
      </c>
      <c r="AY261" s="112" t="str">
        <f>IF(BA261="Y",AZ261,IF(AND(ISNUMBER(AY260),AC261&lt;$F$186+26/25),(MID(INDEX($A$187:$B$210,MATCH("VIS",$A$187:$A$210,0),2),8+(3*COUNT($AY$207:AY260)),1))*1,IF(AND(HOUR(AC261)=HOUR($F$186),DAY(AC261)=DAY($F$186)),(MID(INDEX($A$187:$B$210,MATCH("VIS",$A$187:$A$210,0),2),8,1))*1,"")))</f>
        <v/>
      </c>
      <c r="AZ261" s="112" t="str">
        <f>IF(AND(ISNUMBER(AZ260),AC261&lt;$F$186+26/25),(MID(INDEX($A$187:$B$210,MATCH("CVS",$A$187:$A$210,0),2),8+(3*COUNT($AZ$207:AZ260)),1))*1,IF(AND(HOUR(AC261)=HOUR($F$186),DAY(AC261)=DAY($F$186)),(MID(INDEX($A$187:$B$210,MATCH("CVS",$A$187:$A$210,0),2),8,1))*1,""))</f>
        <v/>
      </c>
      <c r="BA261" s="1610" t="str">
        <f>IF(AND(BA260&lt;&gt;"",AC261&lt;$F$186+26/25),MID(INDEX($A$187:$B$210,MATCH("PCO",$A$187:$A$210,0),2),8+(3*SUM(COUNTIF($BA$207:BA260,"Y"),COUNTIF($BA$207:BA260,"N"))),1),IF(AND(HOUR(AC261)=HOUR($F$186),DAY(AC261)=DAY($F$186)),MID(INDEX($A$187:$B$210,MATCH("PCO",$A$187:$A$210,0),2),8,1),""))</f>
        <v/>
      </c>
      <c r="BB261" s="1610" t="e">
        <f>IF(AND(BB260&lt;&gt;"",AC261&lt;$F$186+26/25),MID(INDEX($A$187:$B$210,MATCH("TYP",$A$187:$A$210,0),2),8+(3*SUM(COUNTIF($BB$207:BB260,"S"),COUNTIF($BB$207:BB260,"Z"), COUNTIF($BB$207:BB260,"R"),COUNTIF($BB$207:BB260,"X"))),1),IF(AND(HOUR(AC261)=HOUR($F$186),DAY(AC261)=DAY($F$186)),MID(INDEX($A$187:$B$210,MATCH("TYP",$A$187:$A$210,0),2),8,1),""))</f>
        <v>#N/A</v>
      </c>
      <c r="BC261" s="112" t="str">
        <f>IF(AND(LEN(BC260)=2,AC261&lt;$F$186+26/25),MID(INDEX($A$187:$B$211,MATCH("OBV",$A$187:$A$211,0),2),7+(3*SUM(COUNTIF($BC$207:BC260," N"),COUNTIF($BC$207:BC260,"HZ"),COUNTIF($BC$207:BC260,"BR"),COUNTIF($BC$207:BC260,"FG"),COUNTIF($BC$207:BC260,"BL"))),2),IF(AND(HOUR(AC261)=HOUR($F$186),DAY(AC261)=DAY($F$186)),MID(INDEX($A$187:$B$211,MATCH("OBV",$A$187:$A$211,0),2),7,2),""))</f>
        <v/>
      </c>
      <c r="BD261" s="112"/>
      <c r="BE261" s="112"/>
      <c r="BF261" s="112"/>
      <c r="BG261" s="1610" t="str">
        <f t="shared" si="124"/>
        <v/>
      </c>
      <c r="BH261" s="115">
        <f t="shared" si="105"/>
        <v>4</v>
      </c>
      <c r="BI261" s="200" t="str">
        <f t="shared" si="76"/>
        <v>RA</v>
      </c>
      <c r="BJ261" s="62" t="str">
        <f t="shared" si="75"/>
        <v/>
      </c>
      <c r="BK261" s="1145">
        <f t="shared" si="122"/>
        <v>41.5</v>
      </c>
      <c r="BL261" s="62" t="str">
        <f t="shared" si="77"/>
        <v/>
      </c>
      <c r="BM261" s="1145">
        <f t="shared" si="73"/>
        <v>35</v>
      </c>
      <c r="BN261" s="1901" t="str">
        <f t="shared" si="123"/>
        <v>BR</v>
      </c>
      <c r="BO261" s="1144" t="e">
        <f t="shared" si="78"/>
        <v>#N/A</v>
      </c>
      <c r="BP261" s="106">
        <f t="shared" si="109"/>
        <v>6</v>
      </c>
      <c r="BQ261" s="66" t="str">
        <f t="shared" si="79"/>
        <v>RA</v>
      </c>
      <c r="BR261" s="106" t="str">
        <f t="shared" si="80"/>
        <v/>
      </c>
      <c r="BS261" s="834">
        <f t="shared" si="96"/>
        <v>32.5</v>
      </c>
      <c r="BT261" s="106" t="str">
        <f t="shared" si="81"/>
        <v/>
      </c>
      <c r="BU261" s="834">
        <f t="shared" si="63"/>
        <v>31.5</v>
      </c>
      <c r="BV261" s="66" t="str">
        <f t="shared" si="106"/>
        <v xml:space="preserve"> N</v>
      </c>
      <c r="BW261" s="66" t="e">
        <f t="shared" si="107"/>
        <v>#N/A</v>
      </c>
      <c r="BX261" s="1198">
        <f t="shared" si="86"/>
        <v>7</v>
      </c>
      <c r="BY261" s="1146" t="str">
        <f t="shared" si="66"/>
        <v>NSW</v>
      </c>
      <c r="CA261" s="3675">
        <f t="shared" si="67"/>
        <v>44749.291666666664</v>
      </c>
      <c r="CB261" s="3675"/>
    </row>
    <row r="262" spans="1:80" ht="10.5">
      <c r="A262" s="978" t="str">
        <f>Worksheet!Q99</f>
        <v>019000 25887177 00293 159982306 7928262624   ---145</v>
      </c>
      <c r="B262" s="452">
        <f t="shared" si="120"/>
        <v>44748.541666666664</v>
      </c>
      <c r="C262" s="466">
        <f t="shared" si="110"/>
        <v>29.98</v>
      </c>
      <c r="D262" s="454">
        <f t="shared" si="88"/>
        <v>13</v>
      </c>
      <c r="E262" s="476">
        <f t="shared" si="111"/>
        <v>40</v>
      </c>
      <c r="F262" s="460" t="str">
        <f t="shared" si="89"/>
        <v>NONE</v>
      </c>
      <c r="G262" s="460" t="str">
        <f t="shared" si="112"/>
        <v>SCT</v>
      </c>
      <c r="H262" s="460" t="str">
        <f t="shared" si="113"/>
        <v>SCT</v>
      </c>
      <c r="I262" s="460">
        <f t="shared" si="97"/>
        <v>40</v>
      </c>
      <c r="J262" s="461">
        <f t="shared" si="114"/>
        <v>28</v>
      </c>
      <c r="K262" s="462">
        <f t="shared" si="98"/>
        <v>25</v>
      </c>
      <c r="L262" s="462">
        <f t="shared" si="90"/>
        <v>3</v>
      </c>
      <c r="M262" s="462">
        <f t="shared" si="115"/>
        <v>7</v>
      </c>
      <c r="N262" s="462"/>
      <c r="O262" s="462">
        <f t="shared" si="116"/>
        <v>7</v>
      </c>
      <c r="P262" s="462">
        <f t="shared" si="117"/>
        <v>7</v>
      </c>
      <c r="Q262" s="462">
        <f t="shared" si="91"/>
        <v>14.5</v>
      </c>
      <c r="R262" s="462">
        <f t="shared" si="99"/>
        <v>7</v>
      </c>
      <c r="S262" s="465">
        <f t="shared" si="92"/>
        <v>7</v>
      </c>
      <c r="T262" s="1118" t="str">
        <f t="shared" si="118"/>
        <v>NSW</v>
      </c>
      <c r="U262" s="463" t="str">
        <f t="shared" si="93"/>
        <v/>
      </c>
      <c r="V262" s="464" t="str">
        <f t="shared" si="100"/>
        <v/>
      </c>
      <c r="W262" s="411">
        <f t="shared" si="121"/>
        <v>44748.541666666664</v>
      </c>
      <c r="X262" s="410"/>
      <c r="Y262" s="458">
        <f t="shared" si="94"/>
        <v>82.4</v>
      </c>
      <c r="Z262" s="458">
        <f t="shared" si="95"/>
        <v>77</v>
      </c>
      <c r="AC262" s="977">
        <f t="shared" si="68"/>
        <v>44749.333333333328</v>
      </c>
      <c r="AD262" s="1610" t="str">
        <f>IF(AND(HOUR(AC262)=HOUR(Worksheet!AF$68),DAY(AC262)=DAY(Worksheet!AF$68)),"START","")</f>
        <v/>
      </c>
      <c r="AE262" s="1149" t="str">
        <f>IF(AND(HOUR(AC262)=HOUR($F$186),DAY(AC262)=DAY($F$186)),(MID($B$189,6,3))*1,IF(AND(ISNUMBER(AE261),AC262&lt;$F$186+1+(1/25)),(MID($B$189,6+(3*COUNT($AE$207:AE261)),3))*1,""))</f>
        <v/>
      </c>
      <c r="AF262" s="1164">
        <f t="shared" si="82"/>
        <v>79.94000000000004</v>
      </c>
      <c r="AG262" s="1150">
        <f t="shared" si="50"/>
        <v>78.800000000000011</v>
      </c>
      <c r="AH262" s="1163" t="str">
        <f>IF(AND(ISNUMBER(AH261),AC262&lt;$F$186+26/25),(MID($B$190,6+(3*COUNT($AH$207:AH261)),3))*1,IF(AND(HOUR(AC262)=HOUR($F$186),DAY(AC262)=DAY($F$186)),(MID($B$190,6,3))*1,""))</f>
        <v/>
      </c>
      <c r="AI262" s="1901" t="str">
        <f t="shared" si="108"/>
        <v/>
      </c>
      <c r="AJ262" s="1164">
        <f t="shared" si="52"/>
        <v>77.096000000000018</v>
      </c>
      <c r="AK262" s="1150">
        <f t="shared" si="53"/>
        <v>75.2</v>
      </c>
      <c r="AL262" s="1152">
        <f t="shared" si="83"/>
        <v>29.896666666666668</v>
      </c>
      <c r="AM262" s="1153">
        <f t="shared" si="54"/>
        <v>29.93</v>
      </c>
      <c r="AN262" s="1161"/>
      <c r="AO262" s="976" t="str">
        <f>IF(BA262="Y",AP262,IF(AND(ISNUMBER(AO261),AC262&lt;$F$186+26/25),(MID(INDEX($A$187:$B$210,MATCH("CIG",$A$187:$A$210,0),2),8+(3*COUNT($AO$207:AO261)),1))*1,IF(AND(HOUR(AC262)=HOUR($F$186),DAY(AC262)=DAY($F$186)),(MID(INDEX($A$187:$B$210,MATCH("CIG",$A$187:$A$210,0),2),8,1))*1,"")))</f>
        <v/>
      </c>
      <c r="AP262" s="1061" t="str">
        <f>IF(AND(ISNUMBER(AP261),AC262&lt;$F$186+26/25),(MID(INDEX($A$187:$B$210,MATCH("CCG",$A$187:$A$210,0),2),8+(3*COUNT($AP$207:AP261)),1))*1,IF(AND(HOUR(AC262)=HOUR($F$186),DAY(AC262)=DAY($F$186)),(MID(INDEX($A$187:$B$210,MATCH("CCG",$A$187:$A$210,0),2),8,1))*1,""))</f>
        <v/>
      </c>
      <c r="AQ262" s="1061" t="str">
        <f>IF(AND(AQ261&lt;&gt;"",AC262&lt;$F$186+26/25),MID(INDEX($A$187:$B$210,MATCH("CLD",$A$187:$A$210,0),2),7+(3*SUM(COUNTIF($AQ$207:AQ261,"OV"),COUNTIF($AQ$207:AQ261,"BK"),COUNTIF($AQ$207:AQ261,"SC"),COUNTIF($AQ$207:AQ261,"FW"),COUNTIF($AQ$207:AQ261,"CL"))),2),IF(AND(HOUR(AC262)=HOUR($F$186),DAY(AC262)=DAY($F$186)),MID(INDEX($A$187:$B$210,MATCH("CLD",$A$187:$A$210,0),2),7,2),""))</f>
        <v/>
      </c>
      <c r="AR262" s="1149">
        <f t="shared" si="101"/>
        <v>8</v>
      </c>
      <c r="AS262" s="1150" t="str">
        <f t="shared" si="102"/>
        <v>BK</v>
      </c>
      <c r="AT262" s="112">
        <f t="shared" si="103"/>
        <v>7</v>
      </c>
      <c r="AU262" s="1610" t="str">
        <f t="shared" si="104"/>
        <v>OV</v>
      </c>
      <c r="AV262" s="1148">
        <f t="shared" si="84"/>
        <v>70</v>
      </c>
      <c r="AW262" s="920" t="str">
        <f t="shared" si="87"/>
        <v>BKN</v>
      </c>
      <c r="AX262" s="1608">
        <f t="shared" si="85"/>
        <v>250</v>
      </c>
      <c r="AY262" s="112" t="str">
        <f>IF(BA262="Y",AZ262,IF(AND(ISNUMBER(AY261),AC262&lt;$F$186+26/25),(MID(INDEX($A$187:$B$210,MATCH("VIS",$A$187:$A$210,0),2),8+(3*COUNT($AY$207:AY261)),1))*1,IF(AND(HOUR(AC262)=HOUR($F$186),DAY(AC262)=DAY($F$186)),(MID(INDEX($A$187:$B$210,MATCH("VIS",$A$187:$A$210,0),2),8,1))*1,"")))</f>
        <v/>
      </c>
      <c r="AZ262" s="112" t="str">
        <f>IF(AND(ISNUMBER(AZ261),AC262&lt;$F$186+26/25),(MID(INDEX($A$187:$B$210,MATCH("CVS",$A$187:$A$210,0),2),8+(3*COUNT($AZ$207:AZ261)),1))*1,IF(AND(HOUR(AC262)=HOUR($F$186),DAY(AC262)=DAY($F$186)),(MID(INDEX($A$187:$B$210,MATCH("CVS",$A$187:$A$210,0),2),8,1))*1,""))</f>
        <v/>
      </c>
      <c r="BA262" s="1610" t="str">
        <f>IF(AND(BA261&lt;&gt;"",AC262&lt;$F$186+26/25),MID(INDEX($A$187:$B$210,MATCH("PCO",$A$187:$A$210,0),2),8+(3*SUM(COUNTIF($BA$207:BA261,"Y"),COUNTIF($BA$207:BA261,"N"))),1),IF(AND(HOUR(AC262)=HOUR($F$186),DAY(AC262)=DAY($F$186)),MID(INDEX($A$187:$B$210,MATCH("PCO",$A$187:$A$210,0),2),8,1),""))</f>
        <v/>
      </c>
      <c r="BB262" s="1610" t="e">
        <f>IF(AND(BB261&lt;&gt;"",AC262&lt;$F$186+26/25),MID(INDEX($A$187:$B$210,MATCH("TYP",$A$187:$A$210,0),2),8+(3*SUM(COUNTIF($BB$207:BB261,"S"),COUNTIF($BB$207:BB261,"Z"), COUNTIF($BB$207:BB261,"R"),COUNTIF($BB$207:BB261,"X"))),1),IF(AND(HOUR(AC262)=HOUR($F$186),DAY(AC262)=DAY($F$186)),MID(INDEX($A$187:$B$210,MATCH("TYP",$A$187:$A$210,0),2),8,1),""))</f>
        <v>#N/A</v>
      </c>
      <c r="BC262" s="112" t="str">
        <f>IF(AND(LEN(BC261)=2,AC262&lt;$F$186+26/25),MID(INDEX($A$187:$B$211,MATCH("OBV",$A$187:$A$211,0),2),7+(3*SUM(COUNTIF($BC$207:BC261," N"),COUNTIF($BC$207:BC261,"HZ"),COUNTIF($BC$207:BC261,"BR"),COUNTIF($BC$207:BC261,"FG"),COUNTIF($BC$207:BC261,"BL"))),2),IF(AND(HOUR(AC262)=HOUR($F$186),DAY(AC262)=DAY($F$186)),MID(INDEX($A$187:$B$211,MATCH("OBV",$A$187:$A$211,0),2),7,2),""))</f>
        <v/>
      </c>
      <c r="BD262" s="112"/>
      <c r="BE262" s="112"/>
      <c r="BF262" s="112"/>
      <c r="BG262" s="1610" t="str">
        <f t="shared" si="124"/>
        <v/>
      </c>
      <c r="BH262" s="115">
        <f t="shared" si="105"/>
        <v>5</v>
      </c>
      <c r="BI262" s="200" t="str">
        <f t="shared" si="76"/>
        <v>BR</v>
      </c>
      <c r="BJ262" s="62" t="str">
        <f t="shared" si="75"/>
        <v/>
      </c>
      <c r="BK262" s="1145">
        <f t="shared" si="122"/>
        <v>26</v>
      </c>
      <c r="BL262" s="62" t="str">
        <f t="shared" si="77"/>
        <v/>
      </c>
      <c r="BM262" s="1145">
        <f t="shared" si="73"/>
        <v>30</v>
      </c>
      <c r="BN262" s="1901" t="str">
        <f t="shared" si="123"/>
        <v>BR</v>
      </c>
      <c r="BO262" s="1144" t="e">
        <f t="shared" si="78"/>
        <v>#N/A</v>
      </c>
      <c r="BP262" s="106">
        <f t="shared" si="109"/>
        <v>6</v>
      </c>
      <c r="BQ262" s="66" t="str">
        <f t="shared" si="79"/>
        <v>RA</v>
      </c>
      <c r="BR262" s="106" t="str">
        <f t="shared" si="80"/>
        <v/>
      </c>
      <c r="BS262" s="834">
        <f t="shared" si="96"/>
        <v>35</v>
      </c>
      <c r="BT262" s="106" t="str">
        <f t="shared" si="81"/>
        <v/>
      </c>
      <c r="BU262" s="834">
        <f t="shared" si="63"/>
        <v>29</v>
      </c>
      <c r="BV262" s="66" t="str">
        <f t="shared" si="106"/>
        <v xml:space="preserve"> N</v>
      </c>
      <c r="BW262" s="66" t="e">
        <f t="shared" si="107"/>
        <v>#N/A</v>
      </c>
      <c r="BX262" s="1198">
        <f t="shared" si="86"/>
        <v>6</v>
      </c>
      <c r="BY262" s="1146" t="str">
        <f t="shared" si="66"/>
        <v>BR</v>
      </c>
      <c r="CA262" s="3675">
        <f t="shared" si="67"/>
        <v>44749.333333333328</v>
      </c>
      <c r="CB262" s="3675"/>
    </row>
    <row r="263" spans="1:80" ht="10.5">
      <c r="A263" s="978" t="str">
        <f>Worksheet!Q100</f>
        <v>020000 25837077 -1293 149972406 8029272624   ---154</v>
      </c>
      <c r="B263" s="452">
        <f t="shared" si="120"/>
        <v>44748.583333333328</v>
      </c>
      <c r="C263" s="466">
        <f t="shared" si="110"/>
        <v>29.97</v>
      </c>
      <c r="D263" s="454">
        <f t="shared" si="88"/>
        <v>14</v>
      </c>
      <c r="E263" s="476">
        <f t="shared" si="111"/>
        <v>40</v>
      </c>
      <c r="F263" s="460" t="str">
        <f t="shared" si="89"/>
        <v>NONE</v>
      </c>
      <c r="G263" s="460" t="str">
        <f t="shared" si="112"/>
        <v>SCT</v>
      </c>
      <c r="H263" s="460" t="str">
        <f t="shared" si="113"/>
        <v>SCT</v>
      </c>
      <c r="I263" s="460">
        <f t="shared" si="97"/>
        <v>40</v>
      </c>
      <c r="J263" s="461">
        <f t="shared" si="114"/>
        <v>29</v>
      </c>
      <c r="K263" s="462">
        <f t="shared" si="98"/>
        <v>25</v>
      </c>
      <c r="L263" s="462">
        <f t="shared" si="90"/>
        <v>4</v>
      </c>
      <c r="M263" s="462">
        <f t="shared" si="115"/>
        <v>7</v>
      </c>
      <c r="N263" s="462"/>
      <c r="O263" s="462">
        <f t="shared" si="116"/>
        <v>7</v>
      </c>
      <c r="P263" s="462">
        <f t="shared" si="117"/>
        <v>7</v>
      </c>
      <c r="Q263" s="462">
        <f t="shared" si="91"/>
        <v>15.4</v>
      </c>
      <c r="R263" s="462">
        <f t="shared" si="99"/>
        <v>7</v>
      </c>
      <c r="S263" s="465">
        <f t="shared" si="92"/>
        <v>7</v>
      </c>
      <c r="T263" s="1118" t="str">
        <f t="shared" si="118"/>
        <v>NSW</v>
      </c>
      <c r="U263" s="463" t="str">
        <f t="shared" si="93"/>
        <v/>
      </c>
      <c r="V263" s="464" t="str">
        <f t="shared" si="100"/>
        <v/>
      </c>
      <c r="W263" s="411">
        <f t="shared" si="121"/>
        <v>44748.583333333328</v>
      </c>
      <c r="X263" s="410"/>
      <c r="Y263" s="458">
        <f t="shared" si="94"/>
        <v>84.2</v>
      </c>
      <c r="Z263" s="458">
        <f t="shared" si="95"/>
        <v>77</v>
      </c>
      <c r="AC263" s="977">
        <f t="shared" si="68"/>
        <v>44749.375</v>
      </c>
      <c r="AD263" s="1610" t="str">
        <f>IF(AND(HOUR(AC263)=HOUR(Worksheet!AF$68),DAY(AC263)=DAY(Worksheet!AF$68)),"START","")</f>
        <v/>
      </c>
      <c r="AE263" s="1149" t="str">
        <f>IF(AND(HOUR(AC263)=HOUR($F$186),DAY(AC263)=DAY($F$186)),(MID($B$189,6,3))*1,IF(AND(ISNUMBER(AE262),AC263&lt;$F$186+1+(1/25)),(MID($B$189,6+(3*COUNT($AE$207:AE262)),3))*1,""))</f>
        <v/>
      </c>
      <c r="AF263" s="1164">
        <f t="shared" si="82"/>
        <v>78.746000000000038</v>
      </c>
      <c r="AG263" s="1150">
        <f t="shared" si="50"/>
        <v>78.800000000000011</v>
      </c>
      <c r="AH263" s="1163" t="str">
        <f>IF(AND(ISNUMBER(AH262),AC263&lt;$F$186+26/25),(MID($B$190,6+(3*COUNT($AH$207:AH262)),3))*1,IF(AND(HOUR(AC263)=HOUR($F$186),DAY(AC263)=DAY($F$186)),(MID($B$190,6,3))*1,""))</f>
        <v/>
      </c>
      <c r="AI263" s="1901" t="str">
        <f t="shared" si="108"/>
        <v/>
      </c>
      <c r="AJ263" s="1164">
        <f t="shared" si="52"/>
        <v>77.270000000000039</v>
      </c>
      <c r="AK263" s="1150">
        <f t="shared" si="53"/>
        <v>75.2</v>
      </c>
      <c r="AL263" s="1152">
        <f t="shared" si="83"/>
        <v>29.91</v>
      </c>
      <c r="AM263" s="1153">
        <f t="shared" si="54"/>
        <v>29.93</v>
      </c>
      <c r="AN263" s="1162"/>
      <c r="AO263" s="976" t="str">
        <f>IF(BA263="Y",AP263,IF(AND(ISNUMBER(AO262),AC263&lt;$F$186+26/25),(MID(INDEX($A$187:$B$210,MATCH("CIG",$A$187:$A$210,0),2),8+(3*COUNT($AO$207:AO262)),1))*1,IF(AND(HOUR(AC263)=HOUR($F$186),DAY(AC263)=DAY($F$186)),(MID(INDEX($A$187:$B$210,MATCH("CIG",$A$187:$A$210,0),2),8,1))*1,"")))</f>
        <v/>
      </c>
      <c r="AP263" s="1061" t="str">
        <f>IF(AND(ISNUMBER(AP262),AC263&lt;$F$186+26/25),(MID(INDEX($A$187:$B$210,MATCH("CCG",$A$187:$A$210,0),2),8+(3*COUNT($AP$207:AP262)),1))*1,IF(AND(HOUR(AC263)=HOUR($F$186),DAY(AC263)=DAY($F$186)),(MID(INDEX($A$187:$B$210,MATCH("CCG",$A$187:$A$210,0),2),8,1))*1,""))</f>
        <v/>
      </c>
      <c r="AQ263" s="1061" t="str">
        <f>IF(AND(AQ262&lt;&gt;"",AC263&lt;$F$186+26/25),MID(INDEX($A$187:$B$210,MATCH("CLD",$A$187:$A$210,0),2),7+(3*SUM(COUNTIF($AQ$207:AQ262,"OV"),COUNTIF($AQ$207:AQ262,"BK"),COUNTIF($AQ$207:AQ262,"SC"),COUNTIF($AQ$207:AQ262,"FW"),COUNTIF($AQ$207:AQ262,"CL"))),2),IF(AND(HOUR(AC263)=HOUR($F$186),DAY(AC263)=DAY($F$186)),MID(INDEX($A$187:$B$210,MATCH("CLD",$A$187:$A$210,0),2),7,2),""))</f>
        <v/>
      </c>
      <c r="AR263" s="1149">
        <f t="shared" si="101"/>
        <v>8</v>
      </c>
      <c r="AS263" s="1150" t="str">
        <f t="shared" si="102"/>
        <v>BK</v>
      </c>
      <c r="AT263" s="112">
        <f t="shared" si="103"/>
        <v>7</v>
      </c>
      <c r="AU263" s="1610" t="str">
        <f t="shared" si="104"/>
        <v>OV</v>
      </c>
      <c r="AV263" s="1148">
        <f t="shared" si="84"/>
        <v>70</v>
      </c>
      <c r="AW263" s="920" t="str">
        <f t="shared" si="87"/>
        <v>BKN</v>
      </c>
      <c r="AX263" s="1608">
        <f t="shared" si="85"/>
        <v>200</v>
      </c>
      <c r="AY263" s="112" t="str">
        <f>IF(BA263="Y",AZ263,IF(AND(ISNUMBER(AY262),AC263&lt;$F$186+26/25),(MID(INDEX($A$187:$B$210,MATCH("VIS",$A$187:$A$210,0),2),8+(3*COUNT($AY$207:AY262)),1))*1,IF(AND(HOUR(AC263)=HOUR($F$186),DAY(AC263)=DAY($F$186)),(MID(INDEX($A$187:$B$210,MATCH("VIS",$A$187:$A$210,0),2),8,1))*1,"")))</f>
        <v/>
      </c>
      <c r="AZ263" s="112" t="str">
        <f>IF(AND(ISNUMBER(AZ262),AC263&lt;$F$186+26/25),(MID(INDEX($A$187:$B$210,MATCH("CVS",$A$187:$A$210,0),2),8+(3*COUNT($AZ$207:AZ262)),1))*1,IF(AND(HOUR(AC263)=HOUR($F$186),DAY(AC263)=DAY($F$186)),(MID(INDEX($A$187:$B$210,MATCH("CVS",$A$187:$A$210,0),2),8,1))*1,""))</f>
        <v/>
      </c>
      <c r="BA263" s="1610" t="str">
        <f>IF(AND(BA262&lt;&gt;"",AC263&lt;$F$186+26/25),MID(INDEX($A$187:$B$210,MATCH("PCO",$A$187:$A$210,0),2),8+(3*SUM(COUNTIF($BA$207:BA262,"Y"),COUNTIF($BA$207:BA262,"N"))),1),IF(AND(HOUR(AC263)=HOUR($F$186),DAY(AC263)=DAY($F$186)),MID(INDEX($A$187:$B$210,MATCH("PCO",$A$187:$A$210,0),2),8,1),""))</f>
        <v/>
      </c>
      <c r="BB263" s="1610" t="e">
        <f>IF(AND(BB262&lt;&gt;"",AC263&lt;$F$186+26/25),MID(INDEX($A$187:$B$210,MATCH("TYP",$A$187:$A$210,0),2),8+(3*SUM(COUNTIF($BB$207:BB262,"S"),COUNTIF($BB$207:BB262,"Z"), COUNTIF($BB$207:BB262,"R"),COUNTIF($BB$207:BB262,"X"))),1),IF(AND(HOUR(AC263)=HOUR($F$186),DAY(AC263)=DAY($F$186)),MID(INDEX($A$187:$B$210,MATCH("TYP",$A$187:$A$210,0),2),8,1),""))</f>
        <v>#N/A</v>
      </c>
      <c r="BC263" s="112" t="str">
        <f>IF(AND(LEN(BC262)=2,AC263&lt;$F$186+26/25),MID(INDEX($A$187:$B$211,MATCH("OBV",$A$187:$A$211,0),2),7+(3*SUM(COUNTIF($BC$207:BC262," N"),COUNTIF($BC$207:BC262,"HZ"),COUNTIF($BC$207:BC262,"BR"),COUNTIF($BC$207:BC262,"FG"),COUNTIF($BC$207:BC262,"BL"))),2),IF(AND(HOUR(AC263)=HOUR($F$186),DAY(AC263)=DAY($F$186)),MID(INDEX($A$187:$B$211,MATCH("OBV",$A$187:$A$211,0),2),7,2),""))</f>
        <v/>
      </c>
      <c r="BD263" s="112"/>
      <c r="BE263" s="112"/>
      <c r="BF263" s="112"/>
      <c r="BG263" s="1610" t="str">
        <f t="shared" si="124"/>
        <v/>
      </c>
      <c r="BH263" s="115">
        <f t="shared" si="105"/>
        <v>5</v>
      </c>
      <c r="BI263" s="200" t="str">
        <f t="shared" si="76"/>
        <v>BR</v>
      </c>
      <c r="BJ263" s="62" t="str">
        <f t="shared" si="75"/>
        <v/>
      </c>
      <c r="BK263" s="1145">
        <f t="shared" si="122"/>
        <v>26</v>
      </c>
      <c r="BL263" s="62" t="str">
        <f t="shared" si="77"/>
        <v/>
      </c>
      <c r="BM263" s="1145">
        <f t="shared" si="73"/>
        <v>30</v>
      </c>
      <c r="BN263" s="1901" t="str">
        <f t="shared" si="123"/>
        <v>BR</v>
      </c>
      <c r="BO263" s="1144" t="e">
        <f t="shared" si="78"/>
        <v>#N/A</v>
      </c>
      <c r="BP263" s="106">
        <f t="shared" si="109"/>
        <v>6</v>
      </c>
      <c r="BQ263" s="66" t="str">
        <f t="shared" si="79"/>
        <v>RA</v>
      </c>
      <c r="BR263" s="106" t="str">
        <f t="shared" si="80"/>
        <v/>
      </c>
      <c r="BS263" s="834">
        <f t="shared" si="96"/>
        <v>35</v>
      </c>
      <c r="BT263" s="106" t="str">
        <f t="shared" si="81"/>
        <v/>
      </c>
      <c r="BU263" s="834">
        <f t="shared" si="63"/>
        <v>29</v>
      </c>
      <c r="BV263" s="66" t="str">
        <f t="shared" si="106"/>
        <v xml:space="preserve"> N</v>
      </c>
      <c r="BW263" s="66" t="e">
        <f t="shared" si="107"/>
        <v>#N/A</v>
      </c>
      <c r="BX263" s="1198">
        <f t="shared" si="86"/>
        <v>7</v>
      </c>
      <c r="BY263" s="1146" t="str">
        <f t="shared" si="66"/>
        <v>NSW</v>
      </c>
      <c r="CA263" s="3675">
        <f t="shared" si="67"/>
        <v>44749.375</v>
      </c>
      <c r="CB263" s="3675"/>
    </row>
    <row r="264" spans="1:80" ht="10.5">
      <c r="A264" s="978" t="str">
        <f>Worksheet!Q101</f>
        <v>021000 26776876 01092 149972406 8031282624   ---162</v>
      </c>
      <c r="B264" s="452">
        <f t="shared" si="120"/>
        <v>44748.625</v>
      </c>
      <c r="C264" s="466">
        <f t="shared" si="110"/>
        <v>29.97</v>
      </c>
      <c r="D264" s="454">
        <f t="shared" si="88"/>
        <v>15</v>
      </c>
      <c r="E264" s="476">
        <f t="shared" si="111"/>
        <v>40</v>
      </c>
      <c r="F264" s="460" t="str">
        <f t="shared" si="89"/>
        <v>NONE</v>
      </c>
      <c r="G264" s="460" t="str">
        <f t="shared" si="112"/>
        <v>SCT</v>
      </c>
      <c r="H264" s="460" t="str">
        <f t="shared" si="113"/>
        <v>SCT</v>
      </c>
      <c r="I264" s="460">
        <f t="shared" si="97"/>
        <v>40</v>
      </c>
      <c r="J264" s="461">
        <f t="shared" si="114"/>
        <v>31</v>
      </c>
      <c r="K264" s="462">
        <f t="shared" si="98"/>
        <v>26</v>
      </c>
      <c r="L264" s="462">
        <f t="shared" si="90"/>
        <v>5</v>
      </c>
      <c r="M264" s="462">
        <f t="shared" si="115"/>
        <v>7</v>
      </c>
      <c r="N264" s="462"/>
      <c r="O264" s="462">
        <f t="shared" si="116"/>
        <v>7</v>
      </c>
      <c r="P264" s="462">
        <f t="shared" si="117"/>
        <v>7</v>
      </c>
      <c r="Q264" s="462">
        <f t="shared" si="91"/>
        <v>16.2</v>
      </c>
      <c r="R264" s="462">
        <f t="shared" si="99"/>
        <v>7</v>
      </c>
      <c r="S264" s="465">
        <f t="shared" si="92"/>
        <v>7</v>
      </c>
      <c r="T264" s="1118" t="str">
        <f t="shared" si="118"/>
        <v>NSW</v>
      </c>
      <c r="U264" s="463" t="str">
        <f t="shared" si="93"/>
        <v/>
      </c>
      <c r="V264" s="464" t="str">
        <f t="shared" si="100"/>
        <v/>
      </c>
      <c r="W264" s="411">
        <f t="shared" si="121"/>
        <v>44748.625</v>
      </c>
      <c r="X264" s="410"/>
      <c r="Y264" s="458">
        <f t="shared" si="94"/>
        <v>87.800000000000011</v>
      </c>
      <c r="Z264" s="458">
        <f t="shared" si="95"/>
        <v>78.800000000000011</v>
      </c>
      <c r="AC264" s="977">
        <f t="shared" si="68"/>
        <v>44749.416666666664</v>
      </c>
      <c r="AD264" s="1610" t="str">
        <f>IF(AND(HOUR(AC264)=HOUR(Worksheet!AF$68),DAY(AC264)=DAY(Worksheet!AF$68)),"START","")</f>
        <v/>
      </c>
      <c r="AE264" s="1149" t="str">
        <f>IF(AND(HOUR(AC264)=HOUR($F$186),DAY(AC264)=DAY($F$186)),(MID($B$189,6,3))*1,IF(AND(ISNUMBER(AE263),AC264&lt;$F$186+1+(1/25)),(MID($B$189,6+(3*COUNT($AE$207:AE263)),3))*1,""))</f>
        <v/>
      </c>
      <c r="AF264" s="1164">
        <f t="shared" si="82"/>
        <v>78.806000000000054</v>
      </c>
      <c r="AG264" s="1150">
        <f t="shared" si="50"/>
        <v>78.800000000000011</v>
      </c>
      <c r="AH264" s="1163" t="str">
        <f>IF(AND(ISNUMBER(AH263),AC264&lt;$F$186+26/25),(MID($B$190,6+(3*COUNT($AH$207:AH263)),3))*1,IF(AND(HOUR(AC264)=HOUR($F$186),DAY(AC264)=DAY($F$186)),(MID($B$190,6,3))*1,""))</f>
        <v/>
      </c>
      <c r="AI264" s="1901" t="str">
        <f t="shared" si="108"/>
        <v/>
      </c>
      <c r="AJ264" s="1164">
        <f t="shared" si="52"/>
        <v>77.16200000000002</v>
      </c>
      <c r="AK264" s="1150">
        <f t="shared" si="53"/>
        <v>75.2</v>
      </c>
      <c r="AL264" s="1152">
        <f t="shared" si="83"/>
        <v>29.91</v>
      </c>
      <c r="AM264" s="1153">
        <f t="shared" si="54"/>
        <v>29.93</v>
      </c>
      <c r="AN264" s="1161"/>
      <c r="AO264" s="976" t="str">
        <f>IF(BA264="Y",AP264,IF(AND(ISNUMBER(AO263),AC264&lt;$F$186+26/25),(MID(INDEX($A$187:$B$210,MATCH("CIG",$A$187:$A$210,0),2),8+(3*COUNT($AO$207:AO263)),1))*1,IF(AND(HOUR(AC264)=HOUR($F$186),DAY(AC264)=DAY($F$186)),(MID(INDEX($A$187:$B$210,MATCH("CIG",$A$187:$A$210,0),2),8,1))*1,"")))</f>
        <v/>
      </c>
      <c r="AP264" s="1061" t="str">
        <f>IF(AND(ISNUMBER(AP263),AC264&lt;$F$186+26/25),(MID(INDEX($A$187:$B$210,MATCH("CCG",$A$187:$A$210,0),2),8+(3*COUNT($AP$207:AP263)),1))*1,IF(AND(HOUR(AC264)=HOUR($F$186),DAY(AC264)=DAY($F$186)),(MID(INDEX($A$187:$B$210,MATCH("CCG",$A$187:$A$210,0),2),8,1))*1,""))</f>
        <v/>
      </c>
      <c r="AQ264" s="1061" t="str">
        <f>IF(AND(AQ263&lt;&gt;"",AC264&lt;$F$186+26/25),MID(INDEX($A$187:$B$210,MATCH("CLD",$A$187:$A$210,0),2),7+(3*SUM(COUNTIF($AQ$207:AQ263,"OV"),COUNTIF($AQ$207:AQ263,"BK"),COUNTIF($AQ$207:AQ263,"SC"),COUNTIF($AQ$207:AQ263,"FW"),COUNTIF($AQ$207:AQ263,"CL"))),2),IF(AND(HOUR(AC264)=HOUR($F$186),DAY(AC264)=DAY($F$186)),MID(INDEX($A$187:$B$210,MATCH("CLD",$A$187:$A$210,0),2),7,2),""))</f>
        <v/>
      </c>
      <c r="AR264" s="1149">
        <f t="shared" si="101"/>
        <v>8</v>
      </c>
      <c r="AS264" s="1150" t="str">
        <f t="shared" si="102"/>
        <v>BK</v>
      </c>
      <c r="AT264" s="112">
        <f t="shared" si="103"/>
        <v>7</v>
      </c>
      <c r="AU264" s="1610" t="str">
        <f t="shared" si="104"/>
        <v>OV</v>
      </c>
      <c r="AV264" s="1148">
        <f t="shared" si="84"/>
        <v>70</v>
      </c>
      <c r="AW264" s="920" t="str">
        <f t="shared" si="87"/>
        <v>BKN</v>
      </c>
      <c r="AX264" s="1608">
        <f t="shared" si="85"/>
        <v>200</v>
      </c>
      <c r="AY264" s="112" t="str">
        <f>IF(BA264="Y",AZ264,IF(AND(ISNUMBER(AY263),AC264&lt;$F$186+26/25),(MID(INDEX($A$187:$B$210,MATCH("VIS",$A$187:$A$210,0),2),8+(3*COUNT($AY$207:AY263)),1))*1,IF(AND(HOUR(AC264)=HOUR($F$186),DAY(AC264)=DAY($F$186)),(MID(INDEX($A$187:$B$210,MATCH("VIS",$A$187:$A$210,0),2),8,1))*1,"")))</f>
        <v/>
      </c>
      <c r="AZ264" s="112" t="str">
        <f>IF(AND(ISNUMBER(AZ263),AC264&lt;$F$186+26/25),(MID(INDEX($A$187:$B$210,MATCH("CVS",$A$187:$A$210,0),2),8+(3*COUNT($AZ$207:AZ263)),1))*1,IF(AND(HOUR(AC264)=HOUR($F$186),DAY(AC264)=DAY($F$186)),(MID(INDEX($A$187:$B$210,MATCH("CVS",$A$187:$A$210,0),2),8,1))*1,""))</f>
        <v/>
      </c>
      <c r="BA264" s="1610" t="str">
        <f>IF(AND(BA263&lt;&gt;"",AC264&lt;$F$186+26/25),MID(INDEX($A$187:$B$210,MATCH("PCO",$A$187:$A$210,0),2),8+(3*SUM(COUNTIF($BA$207:BA263,"Y"),COUNTIF($BA$207:BA263,"N"))),1),IF(AND(HOUR(AC264)=HOUR($F$186),DAY(AC264)=DAY($F$186)),MID(INDEX($A$187:$B$210,MATCH("PCO",$A$187:$A$210,0),2),8,1),""))</f>
        <v/>
      </c>
      <c r="BB264" s="1610" t="e">
        <f>IF(AND(BB263&lt;&gt;"",AC264&lt;$F$186+26/25),MID(INDEX($A$187:$B$210,MATCH("TYP",$A$187:$A$210,0),2),8+(3*SUM(COUNTIF($BB$207:BB263,"S"),COUNTIF($BB$207:BB263,"Z"), COUNTIF($BB$207:BB263,"R"),COUNTIF($BB$207:BB263,"X"))),1),IF(AND(HOUR(AC264)=HOUR($F$186),DAY(AC264)=DAY($F$186)),MID(INDEX($A$187:$B$210,MATCH("TYP",$A$187:$A$210,0),2),8,1),""))</f>
        <v>#N/A</v>
      </c>
      <c r="BC264" s="112" t="str">
        <f>IF(AND(LEN(BC263)=2,AC264&lt;$F$186+26/25),MID(INDEX($A$187:$B$211,MATCH("OBV",$A$187:$A$211,0),2),7+(3*SUM(COUNTIF($BC$207:BC263," N"),COUNTIF($BC$207:BC263,"HZ"),COUNTIF($BC$207:BC263,"BR"),COUNTIF($BC$207:BC263,"FG"),COUNTIF($BC$207:BC263,"BL"))),2),IF(AND(HOUR(AC264)=HOUR($F$186),DAY(AC264)=DAY($F$186)),MID(INDEX($A$187:$B$211,MATCH("OBV",$A$187:$A$211,0),2),7,2),""))</f>
        <v/>
      </c>
      <c r="BD264" s="112"/>
      <c r="BE264" s="112"/>
      <c r="BF264" s="112"/>
      <c r="BG264" s="1610" t="str">
        <f t="shared" si="124"/>
        <v/>
      </c>
      <c r="BH264" s="115">
        <f t="shared" si="105"/>
        <v>5</v>
      </c>
      <c r="BI264" s="200" t="str">
        <f t="shared" si="76"/>
        <v>BR</v>
      </c>
      <c r="BJ264" s="62" t="str">
        <f t="shared" si="75"/>
        <v/>
      </c>
      <c r="BK264" s="1145">
        <f t="shared" si="122"/>
        <v>26</v>
      </c>
      <c r="BL264" s="62" t="str">
        <f t="shared" si="77"/>
        <v/>
      </c>
      <c r="BM264" s="1145">
        <f t="shared" si="73"/>
        <v>30</v>
      </c>
      <c r="BN264" s="1901" t="str">
        <f t="shared" si="123"/>
        <v>BR</v>
      </c>
      <c r="BO264" s="1144" t="e">
        <f t="shared" si="78"/>
        <v>#N/A</v>
      </c>
      <c r="BP264" s="106">
        <f t="shared" si="109"/>
        <v>6</v>
      </c>
      <c r="BQ264" s="66" t="str">
        <f t="shared" si="79"/>
        <v>RA</v>
      </c>
      <c r="BR264" s="106" t="str">
        <f t="shared" si="80"/>
        <v/>
      </c>
      <c r="BS264" s="834">
        <f t="shared" si="96"/>
        <v>35</v>
      </c>
      <c r="BT264" s="106" t="str">
        <f t="shared" si="81"/>
        <v/>
      </c>
      <c r="BU264" s="834">
        <f t="shared" si="63"/>
        <v>29</v>
      </c>
      <c r="BV264" s="66" t="str">
        <f t="shared" si="106"/>
        <v xml:space="preserve"> N</v>
      </c>
      <c r="BW264" s="66" t="e">
        <f t="shared" si="107"/>
        <v>#N/A</v>
      </c>
      <c r="BX264" s="1198">
        <f t="shared" si="86"/>
        <v>7</v>
      </c>
      <c r="BY264" s="1146" t="str">
        <f t="shared" si="66"/>
        <v>NSW</v>
      </c>
      <c r="CA264" s="3675">
        <f t="shared" si="67"/>
        <v>44749.416666666664</v>
      </c>
      <c r="CB264" s="3675"/>
    </row>
    <row r="265" spans="1:80" ht="10.5">
      <c r="A265" s="978" t="str">
        <f>Worksheet!Q102</f>
        <v>022000 25707874 -1492 149972506 8032302624   ---168</v>
      </c>
      <c r="B265" s="452">
        <f t="shared" si="120"/>
        <v>44748.666666666664</v>
      </c>
      <c r="C265" s="466">
        <f t="shared" si="110"/>
        <v>29.97</v>
      </c>
      <c r="D265" s="454">
        <f t="shared" si="88"/>
        <v>16</v>
      </c>
      <c r="E265" s="476">
        <f t="shared" si="111"/>
        <v>40</v>
      </c>
      <c r="F265" s="460" t="str">
        <f t="shared" si="89"/>
        <v>NONE</v>
      </c>
      <c r="G265" s="460" t="str">
        <f t="shared" si="112"/>
        <v>SCT</v>
      </c>
      <c r="H265" s="460" t="str">
        <f t="shared" si="113"/>
        <v>SCT</v>
      </c>
      <c r="I265" s="460">
        <f t="shared" si="97"/>
        <v>40</v>
      </c>
      <c r="J265" s="461">
        <f t="shared" si="114"/>
        <v>32</v>
      </c>
      <c r="K265" s="462">
        <f t="shared" si="98"/>
        <v>25</v>
      </c>
      <c r="L265" s="462">
        <f t="shared" si="90"/>
        <v>7</v>
      </c>
      <c r="M265" s="462">
        <f t="shared" si="115"/>
        <v>7</v>
      </c>
      <c r="N265" s="462"/>
      <c r="O265" s="462">
        <f t="shared" si="116"/>
        <v>7</v>
      </c>
      <c r="P265" s="462">
        <f t="shared" si="117"/>
        <v>7</v>
      </c>
      <c r="Q265" s="462">
        <f t="shared" si="91"/>
        <v>16.8</v>
      </c>
      <c r="R265" s="462">
        <f t="shared" si="99"/>
        <v>7</v>
      </c>
      <c r="S265" s="465">
        <f t="shared" si="92"/>
        <v>7</v>
      </c>
      <c r="T265" s="1118" t="str">
        <f t="shared" si="118"/>
        <v>NSW</v>
      </c>
      <c r="U265" s="463" t="str">
        <f t="shared" si="93"/>
        <v/>
      </c>
      <c r="V265" s="464" t="str">
        <f t="shared" si="100"/>
        <v/>
      </c>
      <c r="W265" s="411">
        <f t="shared" si="121"/>
        <v>44748.666666666664</v>
      </c>
      <c r="X265" s="410"/>
      <c r="Y265" s="458">
        <f t="shared" si="94"/>
        <v>89.6</v>
      </c>
      <c r="Z265" s="458">
        <f t="shared" si="95"/>
        <v>77</v>
      </c>
      <c r="AC265" s="977">
        <f t="shared" si="68"/>
        <v>44749.458333333328</v>
      </c>
      <c r="AD265" s="1610" t="str">
        <f>IF(AND(HOUR(AC265)=HOUR(Worksheet!AF$68),DAY(AC265)=DAY(Worksheet!AF$68)),"START","")</f>
        <v/>
      </c>
      <c r="AE265" s="1149" t="str">
        <f>IF(AND(HOUR(AC265)=HOUR($F$186),DAY(AC265)=DAY($F$186)),(MID($B$189,6,3))*1,IF(AND(ISNUMBER(AE264),AC265&lt;$F$186+1+(1/25)),(MID($B$189,6+(3*COUNT($AE$207:AE264)),3))*1,""))</f>
        <v/>
      </c>
      <c r="AF265" s="1164">
        <f t="shared" si="82"/>
        <v>78.866000000000085</v>
      </c>
      <c r="AG265" s="1150">
        <f t="shared" si="50"/>
        <v>78.800000000000011</v>
      </c>
      <c r="AH265" s="1163" t="str">
        <f>IF(AND(ISNUMBER(AH264),AC265&lt;$F$186+26/25),(MID($B$190,6+(3*COUNT($AH$207:AH264)),3))*1,IF(AND(HOUR(AC265)=HOUR($F$186),DAY(AC265)=DAY($F$186)),(MID($B$190,6,3))*1,""))</f>
        <v/>
      </c>
      <c r="AI265" s="1901" t="str">
        <f t="shared" si="108"/>
        <v/>
      </c>
      <c r="AJ265" s="1164">
        <f t="shared" si="52"/>
        <v>77.053999999999988</v>
      </c>
      <c r="AK265" s="1150">
        <f t="shared" si="53"/>
        <v>75.2</v>
      </c>
      <c r="AL265" s="1152">
        <f t="shared" si="83"/>
        <v>29.91</v>
      </c>
      <c r="AM265" s="1153">
        <f t="shared" si="54"/>
        <v>29.94</v>
      </c>
      <c r="AN265" s="1161"/>
      <c r="AO265" s="976" t="str">
        <f>IF(BA265="Y",AP265,IF(AND(ISNUMBER(AO264),AC265&lt;$F$186+26/25),(MID(INDEX($A$187:$B$210,MATCH("CIG",$A$187:$A$210,0),2),8+(3*COUNT($AO$207:AO264)),1))*1,IF(AND(HOUR(AC265)=HOUR($F$186),DAY(AC265)=DAY($F$186)),(MID(INDEX($A$187:$B$210,MATCH("CIG",$A$187:$A$210,0),2),8,1))*1,"")))</f>
        <v/>
      </c>
      <c r="AP265" s="1061" t="str">
        <f>IF(AND(ISNUMBER(AP264),AC265&lt;$F$186+26/25),(MID(INDEX($A$187:$B$210,MATCH("CCG",$A$187:$A$210,0),2),8+(3*COUNT($AP$207:AP264)),1))*1,IF(AND(HOUR(AC265)=HOUR($F$186),DAY(AC265)=DAY($F$186)),(MID(INDEX($A$187:$B$210,MATCH("CCG",$A$187:$A$210,0),2),8,1))*1,""))</f>
        <v/>
      </c>
      <c r="AQ265" s="1061" t="str">
        <f>IF(AND(AQ264&lt;&gt;"",AC265&lt;$F$186+26/25),MID(INDEX($A$187:$B$210,MATCH("CLD",$A$187:$A$210,0),2),7+(3*SUM(COUNTIF($AQ$207:AQ264,"OV"),COUNTIF($AQ$207:AQ264,"BK"),COUNTIF($AQ$207:AQ264,"SC"),COUNTIF($AQ$207:AQ264,"FW"),COUNTIF($AQ$207:AQ264,"CL"))),2),IF(AND(HOUR(AC265)=HOUR($F$186),DAY(AC265)=DAY($F$186)),MID(INDEX($A$187:$B$210,MATCH("CLD",$A$187:$A$210,0),2),7,2),""))</f>
        <v/>
      </c>
      <c r="AR265" s="1149">
        <f t="shared" si="101"/>
        <v>8</v>
      </c>
      <c r="AS265" s="1150" t="str">
        <f t="shared" si="102"/>
        <v>BK</v>
      </c>
      <c r="AT265" s="112">
        <f t="shared" si="103"/>
        <v>7</v>
      </c>
      <c r="AU265" s="1610" t="str">
        <f t="shared" si="104"/>
        <v>OV</v>
      </c>
      <c r="AV265" s="1148">
        <f t="shared" si="84"/>
        <v>40</v>
      </c>
      <c r="AW265" s="920" t="str">
        <f t="shared" si="87"/>
        <v>SCT</v>
      </c>
      <c r="AX265" s="1608">
        <f t="shared" si="85"/>
        <v>40</v>
      </c>
      <c r="AY265" s="112" t="str">
        <f>IF(BA265="Y",AZ265,IF(AND(ISNUMBER(AY264),AC265&lt;$F$186+26/25),(MID(INDEX($A$187:$B$210,MATCH("VIS",$A$187:$A$210,0),2),8+(3*COUNT($AY$207:AY264)),1))*1,IF(AND(HOUR(AC265)=HOUR($F$186),DAY(AC265)=DAY($F$186)),(MID(INDEX($A$187:$B$210,MATCH("VIS",$A$187:$A$210,0),2),8,1))*1,"")))</f>
        <v/>
      </c>
      <c r="AZ265" s="112" t="str">
        <f>IF(AND(ISNUMBER(AZ264),AC265&lt;$F$186+26/25),(MID(INDEX($A$187:$B$210,MATCH("CVS",$A$187:$A$210,0),2),8+(3*COUNT($AZ$207:AZ264)),1))*1,IF(AND(HOUR(AC265)=HOUR($F$186),DAY(AC265)=DAY($F$186)),(MID(INDEX($A$187:$B$210,MATCH("CVS",$A$187:$A$210,0),2),8,1))*1,""))</f>
        <v/>
      </c>
      <c r="BA265" s="1610" t="str">
        <f>IF(AND(BA264&lt;&gt;"",AC265&lt;$F$186+26/25),MID(INDEX($A$187:$B$210,MATCH("PCO",$A$187:$A$210,0),2),8+(3*SUM(COUNTIF($BA$207:BA264,"Y"),COUNTIF($BA$207:BA264,"N"))),1),IF(AND(HOUR(AC265)=HOUR($F$186),DAY(AC265)=DAY($F$186)),MID(INDEX($A$187:$B$210,MATCH("PCO",$A$187:$A$210,0),2),8,1),""))</f>
        <v/>
      </c>
      <c r="BB265" s="1610" t="e">
        <f>IF(AND(BB264&lt;&gt;"",AC265&lt;$F$186+26/25),MID(INDEX($A$187:$B$210,MATCH("TYP",$A$187:$A$210,0),2),8+(3*SUM(COUNTIF($BB$207:BB264,"S"),COUNTIF($BB$207:BB264,"Z"), COUNTIF($BB$207:BB264,"R"),COUNTIF($BB$207:BB264,"X"))),1),IF(AND(HOUR(AC265)=HOUR($F$186),DAY(AC265)=DAY($F$186)),MID(INDEX($A$187:$B$210,MATCH("TYP",$A$187:$A$210,0),2),8,1),""))</f>
        <v>#N/A</v>
      </c>
      <c r="BC265" s="112" t="str">
        <f>IF(AND(LEN(BC264)=2,AC265&lt;$F$186+26/25),MID(INDEX($A$187:$B$211,MATCH("OBV",$A$187:$A$211,0),2),7+(3*SUM(COUNTIF($BC$207:BC264," N"),COUNTIF($BC$207:BC264,"HZ"),COUNTIF($BC$207:BC264,"BR"),COUNTIF($BC$207:BC264,"FG"),COUNTIF($BC$207:BC264,"BL"))),2),IF(AND(HOUR(AC265)=HOUR($F$186),DAY(AC265)=DAY($F$186)),MID(INDEX($A$187:$B$211,MATCH("OBV",$A$187:$A$211,0),2),7,2),""))</f>
        <v/>
      </c>
      <c r="BD265" s="112"/>
      <c r="BE265" s="112"/>
      <c r="BF265" s="112"/>
      <c r="BG265" s="1610" t="str">
        <f t="shared" si="124"/>
        <v/>
      </c>
      <c r="BH265" s="115">
        <f t="shared" si="105"/>
        <v>5</v>
      </c>
      <c r="BI265" s="200" t="str">
        <f t="shared" si="76"/>
        <v>BR</v>
      </c>
      <c r="BJ265" s="62" t="str">
        <f t="shared" si="75"/>
        <v/>
      </c>
      <c r="BK265" s="1145">
        <f t="shared" si="122"/>
        <v>24.5</v>
      </c>
      <c r="BL265" s="62" t="str">
        <f t="shared" si="77"/>
        <v/>
      </c>
      <c r="BM265" s="1145">
        <f t="shared" si="73"/>
        <v>24.5</v>
      </c>
      <c r="BN265" s="1901" t="str">
        <f t="shared" si="123"/>
        <v>BR</v>
      </c>
      <c r="BO265" s="1144" t="e">
        <f t="shared" si="78"/>
        <v>#N/A</v>
      </c>
      <c r="BP265" s="106">
        <f t="shared" si="109"/>
        <v>5</v>
      </c>
      <c r="BQ265" s="66" t="str">
        <f t="shared" si="79"/>
        <v>RA</v>
      </c>
      <c r="BR265" s="106" t="str">
        <f t="shared" si="80"/>
        <v/>
      </c>
      <c r="BS265" s="834">
        <f t="shared" si="96"/>
        <v>31.5</v>
      </c>
      <c r="BT265" s="106" t="str">
        <f t="shared" si="81"/>
        <v/>
      </c>
      <c r="BU265" s="834">
        <f t="shared" si="63"/>
        <v>23</v>
      </c>
      <c r="BV265" s="66" t="str">
        <f t="shared" si="106"/>
        <v>BR</v>
      </c>
      <c r="BW265" s="66" t="e">
        <f t="shared" si="107"/>
        <v>#N/A</v>
      </c>
      <c r="BX265" s="1198">
        <f t="shared" si="86"/>
        <v>7</v>
      </c>
      <c r="BY265" s="1146" t="str">
        <f t="shared" si="66"/>
        <v>NSW</v>
      </c>
      <c r="CA265" s="3675">
        <f t="shared" si="67"/>
        <v>44749.458333333328</v>
      </c>
      <c r="CB265" s="3675"/>
    </row>
    <row r="266" spans="1:80" ht="10.5">
      <c r="A266" s="978" t="str">
        <f>Worksheet!Q103</f>
        <v>023004 24617380 07093 139952607 8133312624 T ---172</v>
      </c>
      <c r="B266" s="452">
        <f t="shared" si="120"/>
        <v>44748.708333333328</v>
      </c>
      <c r="C266" s="466">
        <f t="shared" si="110"/>
        <v>29.95</v>
      </c>
      <c r="D266" s="454">
        <f t="shared" si="88"/>
        <v>17</v>
      </c>
      <c r="E266" s="476">
        <f t="shared" si="111"/>
        <v>40</v>
      </c>
      <c r="F266" s="460" t="str">
        <f t="shared" si="89"/>
        <v>NONE</v>
      </c>
      <c r="G266" s="460" t="str">
        <f t="shared" si="112"/>
        <v>SCT</v>
      </c>
      <c r="H266" s="460" t="str">
        <f t="shared" si="113"/>
        <v>SCT</v>
      </c>
      <c r="I266" s="460">
        <f t="shared" si="97"/>
        <v>40</v>
      </c>
      <c r="J266" s="461">
        <f t="shared" si="114"/>
        <v>33</v>
      </c>
      <c r="K266" s="462">
        <f t="shared" ref="K266:K290" si="125">IF(D266="","",IF(VALUE(MID(A266,8,2))&lt;50,VALUE(MID(A266,8,2)),(100-VALUE(MID(A266,8,2)))*(-1)))</f>
        <v>24</v>
      </c>
      <c r="L266" s="462">
        <f t="shared" ref="L266:L290" si="126">IF(D266="","",J266-K266)</f>
        <v>9</v>
      </c>
      <c r="M266" s="462">
        <f t="shared" si="115"/>
        <v>7</v>
      </c>
      <c r="N266" s="462"/>
      <c r="O266" s="462">
        <f t="shared" si="116"/>
        <v>7</v>
      </c>
      <c r="P266" s="462">
        <f t="shared" si="117"/>
        <v>7</v>
      </c>
      <c r="Q266" s="462">
        <f t="shared" si="91"/>
        <v>17.2</v>
      </c>
      <c r="R266" s="462">
        <f t="shared" si="99"/>
        <v>5.7333333333333334</v>
      </c>
      <c r="S266" s="465">
        <f t="shared" si="92"/>
        <v>5.7333333333333334</v>
      </c>
      <c r="T266" s="1118" t="str">
        <f t="shared" si="118"/>
        <v>TS</v>
      </c>
      <c r="U266" s="463" t="str">
        <f t="shared" si="93"/>
        <v/>
      </c>
      <c r="V266" s="464" t="str">
        <f t="shared" si="100"/>
        <v/>
      </c>
      <c r="W266" s="411">
        <f t="shared" si="121"/>
        <v>44748.708333333328</v>
      </c>
      <c r="X266" s="410"/>
      <c r="Y266" s="458">
        <f t="shared" si="94"/>
        <v>91.4</v>
      </c>
      <c r="Z266" s="458">
        <f t="shared" si="95"/>
        <v>75.2</v>
      </c>
      <c r="AC266" s="977">
        <f t="shared" si="68"/>
        <v>44749.5</v>
      </c>
      <c r="AD266" s="1610" t="str">
        <f>IF(AND(HOUR(AC266)=HOUR(Worksheet!AF$68),DAY(AC266)=DAY(Worksheet!AF$68)),"START","")</f>
        <v/>
      </c>
      <c r="AE266" s="1149" t="str">
        <f>IF(AND(HOUR(AC266)=HOUR($F$186),DAY(AC266)=DAY($F$186)),(MID($B$189,6,3))*1,IF(AND(ISNUMBER(AE265),AC266&lt;$F$186+1+(1/25)),(MID($B$189,6+(3*COUNT($AE$207:AE265)),3))*1,""))</f>
        <v/>
      </c>
      <c r="AF266" s="1164">
        <f t="shared" si="82"/>
        <v>78.926000000000101</v>
      </c>
      <c r="AG266" s="1150">
        <f t="shared" si="50"/>
        <v>78.800000000000011</v>
      </c>
      <c r="AH266" s="1163" t="str">
        <f>IF(AND(ISNUMBER(AH265),AC266&lt;$F$186+26/25),(MID($B$190,6+(3*COUNT($AH$207:AH265)),3))*1,IF(AND(HOUR(AC266)=HOUR($F$186),DAY(AC266)=DAY($F$186)),(MID($B$190,6,3))*1,""))</f>
        <v/>
      </c>
      <c r="AI266" s="1901" t="str">
        <f t="shared" si="108"/>
        <v/>
      </c>
      <c r="AJ266" s="1164">
        <f t="shared" si="52"/>
        <v>76.94599999999997</v>
      </c>
      <c r="AK266" s="1150">
        <f t="shared" si="53"/>
        <v>77</v>
      </c>
      <c r="AL266" s="1152">
        <f t="shared" si="83"/>
        <v>29.91</v>
      </c>
      <c r="AM266" s="1153">
        <f t="shared" si="54"/>
        <v>29.96</v>
      </c>
      <c r="AN266" s="1161"/>
      <c r="AO266" s="976" t="str">
        <f>IF(BA266="Y",AP266,IF(AND(ISNUMBER(AO265),AC266&lt;$F$186+26/25),(MID(INDEX($A$187:$B$210,MATCH("CIG",$A$187:$A$210,0),2),8+(3*COUNT($AO$207:AO265)),1))*1,IF(AND(HOUR(AC266)=HOUR($F$186),DAY(AC266)=DAY($F$186)),(MID(INDEX($A$187:$B$210,MATCH("CIG",$A$187:$A$210,0),2),8,1))*1,"")))</f>
        <v/>
      </c>
      <c r="AP266" s="1061" t="str">
        <f>IF(AND(ISNUMBER(AP265),AC266&lt;$F$186+26/25),(MID(INDEX($A$187:$B$210,MATCH("CCG",$A$187:$A$210,0),2),8+(3*COUNT($AP$207:AP265)),1))*1,IF(AND(HOUR(AC266)=HOUR($F$186),DAY(AC266)=DAY($F$186)),(MID(INDEX($A$187:$B$210,MATCH("CCG",$A$187:$A$210,0),2),8,1))*1,""))</f>
        <v/>
      </c>
      <c r="AQ266" s="1061" t="str">
        <f>IF(AND(AQ265&lt;&gt;"",AC266&lt;$F$186+26/25),MID(INDEX($A$187:$B$210,MATCH("CLD",$A$187:$A$210,0),2),7+(3*SUM(COUNTIF($AQ$207:AQ265,"OV"),COUNTIF($AQ$207:AQ265,"BK"),COUNTIF($AQ$207:AQ265,"SC"),COUNTIF($AQ$207:AQ265,"FW"),COUNTIF($AQ$207:AQ265,"CL"))),2),IF(AND(HOUR(AC266)=HOUR($F$186),DAY(AC266)=DAY($F$186)),MID(INDEX($A$187:$B$210,MATCH("CLD",$A$187:$A$210,0),2),7,2),""))</f>
        <v/>
      </c>
      <c r="AR266" s="1149">
        <f t="shared" si="101"/>
        <v>8</v>
      </c>
      <c r="AS266" s="1150" t="str">
        <f t="shared" si="102"/>
        <v>BK</v>
      </c>
      <c r="AT266" s="112">
        <f t="shared" si="103"/>
        <v>7</v>
      </c>
      <c r="AU266" s="1610" t="str">
        <f t="shared" si="104"/>
        <v>OV</v>
      </c>
      <c r="AV266" s="1148">
        <f t="shared" si="84"/>
        <v>40</v>
      </c>
      <c r="AW266" s="920" t="str">
        <f t="shared" si="87"/>
        <v>SCT</v>
      </c>
      <c r="AX266" s="1608">
        <f t="shared" si="85"/>
        <v>40</v>
      </c>
      <c r="AY266" s="112" t="str">
        <f>IF(BA266="Y",AZ266,IF(AND(ISNUMBER(AY265),AC266&lt;$F$186+26/25),(MID(INDEX($A$187:$B$210,MATCH("VIS",$A$187:$A$210,0),2),8+(3*COUNT($AY$207:AY265)),1))*1,IF(AND(HOUR(AC266)=HOUR($F$186),DAY(AC266)=DAY($F$186)),(MID(INDEX($A$187:$B$210,MATCH("VIS",$A$187:$A$210,0),2),8,1))*1,"")))</f>
        <v/>
      </c>
      <c r="AZ266" s="112" t="str">
        <f>IF(AND(ISNUMBER(AZ265),AC266&lt;$F$186+26/25),(MID(INDEX($A$187:$B$210,MATCH("CVS",$A$187:$A$210,0),2),8+(3*COUNT($AZ$207:AZ265)),1))*1,IF(AND(HOUR(AC266)=HOUR($F$186),DAY(AC266)=DAY($F$186)),(MID(INDEX($A$187:$B$210,MATCH("CVS",$A$187:$A$210,0),2),8,1))*1,""))</f>
        <v/>
      </c>
      <c r="BA266" s="1610" t="str">
        <f>IF(AND(BA265&lt;&gt;"",AC266&lt;$F$186+26/25),MID(INDEX($A$187:$B$210,MATCH("PCO",$A$187:$A$210,0),2),8+(3*SUM(COUNTIF($BA$207:BA265,"Y"),COUNTIF($BA$207:BA265,"N"))),1),IF(AND(HOUR(AC266)=HOUR($F$186),DAY(AC266)=DAY($F$186)),MID(INDEX($A$187:$B$210,MATCH("PCO",$A$187:$A$210,0),2),8,1),""))</f>
        <v/>
      </c>
      <c r="BB266" s="1610" t="e">
        <f>IF(AND(BB265&lt;&gt;"",AC266&lt;$F$186+26/25),MID(INDEX($A$187:$B$210,MATCH("TYP",$A$187:$A$210,0),2),8+(3*SUM(COUNTIF($BB$207:BB265,"S"),COUNTIF($BB$207:BB265,"Z"), COUNTIF($BB$207:BB265,"R"),COUNTIF($BB$207:BB265,"X"))),1),IF(AND(HOUR(AC266)=HOUR($F$186),DAY(AC266)=DAY($F$186)),MID(INDEX($A$187:$B$210,MATCH("TYP",$A$187:$A$210,0),2),8,1),""))</f>
        <v>#N/A</v>
      </c>
      <c r="BC266" s="112" t="str">
        <f>IF(AND(LEN(BC265)=2,AC266&lt;$F$186+26/25),MID(INDEX($A$187:$B$211,MATCH("OBV",$A$187:$A$211,0),2),7+(3*SUM(COUNTIF($BC$207:BC265," N"),COUNTIF($BC$207:BC265,"HZ"),COUNTIF($BC$207:BC265,"BR"),COUNTIF($BC$207:BC265,"FG"),COUNTIF($BC$207:BC265,"BL"))),2),IF(AND(HOUR(AC266)=HOUR($F$186),DAY(AC266)=DAY($F$186)),MID(INDEX($A$187:$B$211,MATCH("OBV",$A$187:$A$211,0),2),7,2),""))</f>
        <v/>
      </c>
      <c r="BD266" s="112"/>
      <c r="BE266" s="112"/>
      <c r="BF266" s="112"/>
      <c r="BG266" s="1610" t="str">
        <f t="shared" si="124"/>
        <v/>
      </c>
      <c r="BH266" s="115">
        <f t="shared" si="105"/>
        <v>5</v>
      </c>
      <c r="BI266" s="200" t="str">
        <f t="shared" si="76"/>
        <v>BR</v>
      </c>
      <c r="BJ266" s="62">
        <f t="shared" si="75"/>
        <v>26</v>
      </c>
      <c r="BK266" s="1145">
        <f t="shared" si="122"/>
        <v>24.5</v>
      </c>
      <c r="BL266" s="62">
        <f t="shared" si="77"/>
        <v>30</v>
      </c>
      <c r="BM266" s="1145">
        <f t="shared" si="73"/>
        <v>24.5</v>
      </c>
      <c r="BN266" s="1901" t="str">
        <f t="shared" si="123"/>
        <v>BR</v>
      </c>
      <c r="BO266" s="1144" t="e">
        <f t="shared" si="78"/>
        <v>#N/A</v>
      </c>
      <c r="BP266" s="106">
        <f t="shared" si="109"/>
        <v>5</v>
      </c>
      <c r="BQ266" s="66" t="str">
        <f t="shared" si="79"/>
        <v>RA</v>
      </c>
      <c r="BR266" s="106">
        <f t="shared" si="80"/>
        <v>35</v>
      </c>
      <c r="BS266" s="834">
        <f t="shared" si="96"/>
        <v>31.5</v>
      </c>
      <c r="BT266" s="106">
        <f t="shared" si="81"/>
        <v>29</v>
      </c>
      <c r="BU266" s="834">
        <f t="shared" si="63"/>
        <v>23</v>
      </c>
      <c r="BV266" s="66" t="str">
        <f t="shared" si="106"/>
        <v>BR</v>
      </c>
      <c r="BW266" s="66" t="e">
        <f t="shared" si="107"/>
        <v>#N/A</v>
      </c>
      <c r="BX266" s="1198">
        <f t="shared" si="86"/>
        <v>6</v>
      </c>
      <c r="BY266" s="1146" t="str">
        <f t="shared" si="66"/>
        <v>BR</v>
      </c>
      <c r="CA266" s="3675">
        <f t="shared" si="67"/>
        <v>44749.5</v>
      </c>
      <c r="CB266" s="3675"/>
    </row>
    <row r="267" spans="1:80" ht="10.5">
      <c r="A267" s="978" t="str">
        <f>Worksheet!Q104</f>
        <v>024002 24607179 -2093 139932606 8233312724   360169</v>
      </c>
      <c r="B267" s="452">
        <f t="shared" si="120"/>
        <v>44748.75</v>
      </c>
      <c r="C267" s="466">
        <f t="shared" si="110"/>
        <v>29.93</v>
      </c>
      <c r="D267" s="454">
        <f t="shared" si="88"/>
        <v>18</v>
      </c>
      <c r="E267" s="476">
        <f t="shared" si="111"/>
        <v>70</v>
      </c>
      <c r="F267" s="460">
        <f t="shared" si="89"/>
        <v>360</v>
      </c>
      <c r="G267" s="460">
        <f t="shared" si="112"/>
        <v>250</v>
      </c>
      <c r="H267" s="460">
        <f t="shared" si="113"/>
        <v>250</v>
      </c>
      <c r="I267" s="460">
        <f t="shared" si="97"/>
        <v>250</v>
      </c>
      <c r="J267" s="461">
        <f t="shared" si="114"/>
        <v>33</v>
      </c>
      <c r="K267" s="462">
        <f t="shared" si="125"/>
        <v>24</v>
      </c>
      <c r="L267" s="462">
        <f t="shared" si="126"/>
        <v>9</v>
      </c>
      <c r="M267" s="462">
        <f t="shared" si="115"/>
        <v>7</v>
      </c>
      <c r="N267" s="462"/>
      <c r="O267" s="462">
        <f t="shared" si="116"/>
        <v>7</v>
      </c>
      <c r="P267" s="462">
        <f t="shared" si="117"/>
        <v>7</v>
      </c>
      <c r="Q267" s="462">
        <f t="shared" si="91"/>
        <v>16.900000000000002</v>
      </c>
      <c r="R267" s="462">
        <f>IF(D267="","",IF(OR(MID(A267,44,1)="S",MID(A267,44,1)="X"),Q267/4,IF(OR(MID(A267,44,1)="T",MID(A267,44,1)="P"),Q267/3,IF(MID(A267,44,1)=" ",7,Q267/2))))</f>
        <v>7</v>
      </c>
      <c r="S267" s="465">
        <f t="shared" si="92"/>
        <v>7</v>
      </c>
      <c r="T267" s="1118" t="str">
        <f t="shared" si="118"/>
        <v>NSW</v>
      </c>
      <c r="U267" s="463" t="str">
        <f t="shared" si="93"/>
        <v/>
      </c>
      <c r="V267" s="464" t="str">
        <f t="shared" si="100"/>
        <v/>
      </c>
      <c r="W267" s="411">
        <f t="shared" si="121"/>
        <v>44748.75</v>
      </c>
      <c r="X267" s="410"/>
      <c r="Y267" s="458">
        <f t="shared" si="94"/>
        <v>91.4</v>
      </c>
      <c r="Z267" s="458">
        <f t="shared" si="95"/>
        <v>75.2</v>
      </c>
      <c r="AC267" s="977">
        <f t="shared" si="68"/>
        <v>44749.541666666664</v>
      </c>
      <c r="AD267" s="1610" t="str">
        <f>IF(AND(HOUR(AC267)=HOUR(Worksheet!AF$68),DAY(AC267)=DAY(Worksheet!AF$68)),"START","")</f>
        <v/>
      </c>
      <c r="AE267" s="1149" t="str">
        <f>IF(AND(HOUR(AC267)=HOUR($F$186),DAY(AC267)=DAY($F$186)),(MID($B$189,6,3))*1,IF(AND(ISNUMBER(AE266),AC267&lt;$F$186+1+(1/25)),(MID($B$189,6+(3*COUNT($AE$207:AE266)),3))*1,""))</f>
        <v/>
      </c>
      <c r="AF267" s="1164">
        <f t="shared" si="82"/>
        <v>82.286000000000072</v>
      </c>
      <c r="AG267" s="1150">
        <f t="shared" si="50"/>
        <v>81.2</v>
      </c>
      <c r="AH267" s="1163" t="str">
        <f>IF(AND(ISNUMBER(AH266),AC267&lt;$F$186+26/25),(MID($B$190,6+(3*COUNT($AH$207:AH266)),3))*1,IF(AND(HOUR(AC267)=HOUR($F$186),DAY(AC267)=DAY($F$186)),(MID($B$190,6,3))*1,""))</f>
        <v/>
      </c>
      <c r="AI267" s="1901" t="str">
        <f t="shared" si="108"/>
        <v/>
      </c>
      <c r="AJ267" s="1164">
        <f t="shared" si="52"/>
        <v>77.035999999999959</v>
      </c>
      <c r="AK267" s="1150">
        <f t="shared" si="53"/>
        <v>77</v>
      </c>
      <c r="AL267" s="1152">
        <f t="shared" si="83"/>
        <v>29.906666666666666</v>
      </c>
      <c r="AM267" s="1153">
        <f t="shared" si="54"/>
        <v>29.966666666666669</v>
      </c>
      <c r="AN267" s="1162"/>
      <c r="AO267" s="976" t="str">
        <f>IF(BA267="Y",AP267,IF(AND(ISNUMBER(AO266),AC267&lt;$F$186+26/25),(MID(INDEX($A$187:$B$210,MATCH("CIG",$A$187:$A$210,0),2),8+(3*COUNT($AO$207:AO266)),1))*1,IF(AND(HOUR(AC267)=HOUR($F$186),DAY(AC267)=DAY($F$186)),(MID(INDEX($A$187:$B$210,MATCH("CIG",$A$187:$A$210,0),2),8,1))*1,"")))</f>
        <v/>
      </c>
      <c r="AP267" s="1061" t="str">
        <f>IF(AND(ISNUMBER(AP266),AC267&lt;$F$186+26/25),(MID(INDEX($A$187:$B$210,MATCH("CCG",$A$187:$A$210,0),2),8+(3*COUNT($AP$207:AP266)),1))*1,IF(AND(HOUR(AC267)=HOUR($F$186),DAY(AC267)=DAY($F$186)),(MID(INDEX($A$187:$B$210,MATCH("CCG",$A$187:$A$210,0),2),8,1))*1,""))</f>
        <v/>
      </c>
      <c r="AQ267" s="1061" t="str">
        <f>IF(AND(AQ266&lt;&gt;"",AC267&lt;$F$186+26/25),MID(INDEX($A$187:$B$210,MATCH("CLD",$A$187:$A$210,0),2),7+(3*SUM(COUNTIF($AQ$207:AQ266,"OV"),COUNTIF($AQ$207:AQ266,"BK"),COUNTIF($AQ$207:AQ266,"SC"),COUNTIF($AQ$207:AQ266,"FW"),COUNTIF($AQ$207:AQ266,"CL"))),2),IF(AND(HOUR(AC267)=HOUR($F$186),DAY(AC267)=DAY($F$186)),MID(INDEX($A$187:$B$210,MATCH("CLD",$A$187:$A$210,0),2),7,2),""))</f>
        <v/>
      </c>
      <c r="AR267" s="1149">
        <f t="shared" si="101"/>
        <v>8</v>
      </c>
      <c r="AS267" s="1150" t="str">
        <f t="shared" si="102"/>
        <v>BK</v>
      </c>
      <c r="AT267" s="112">
        <f t="shared" si="103"/>
        <v>7</v>
      </c>
      <c r="AU267" s="1610" t="str">
        <f t="shared" si="104"/>
        <v>OV</v>
      </c>
      <c r="AV267" s="1148">
        <f t="shared" si="84"/>
        <v>40</v>
      </c>
      <c r="AW267" s="920" t="str">
        <f t="shared" si="87"/>
        <v>SCT</v>
      </c>
      <c r="AX267" s="1608">
        <f t="shared" si="85"/>
        <v>40</v>
      </c>
      <c r="AY267" s="112" t="str">
        <f>IF(BA267="Y",AZ267,IF(AND(ISNUMBER(AY266),AC267&lt;$F$186+26/25),(MID(INDEX($A$187:$B$210,MATCH("VIS",$A$187:$A$210,0),2),8+(3*COUNT($AY$207:AY266)),1))*1,IF(AND(HOUR(AC267)=HOUR($F$186),DAY(AC267)=DAY($F$186)),(MID(INDEX($A$187:$B$210,MATCH("VIS",$A$187:$A$210,0),2),8,1))*1,"")))</f>
        <v/>
      </c>
      <c r="AZ267" s="112" t="str">
        <f>IF(AND(ISNUMBER(AZ266),AC267&lt;$F$186+26/25),(MID(INDEX($A$187:$B$210,MATCH("CVS",$A$187:$A$210,0),2),8+(3*COUNT($AZ$207:AZ266)),1))*1,IF(AND(HOUR(AC267)=HOUR($F$186),DAY(AC267)=DAY($F$186)),(MID(INDEX($A$187:$B$210,MATCH("CVS",$A$187:$A$210,0),2),8,1))*1,""))</f>
        <v/>
      </c>
      <c r="BA267" s="1610" t="str">
        <f>IF(AND(BA266&lt;&gt;"",AC267&lt;$F$186+26/25),MID(INDEX($A$187:$B$210,MATCH("PCO",$A$187:$A$210,0),2),8+(3*SUM(COUNTIF($BA$207:BA266,"Y"),COUNTIF($BA$207:BA266,"N"))),1),IF(AND(HOUR(AC267)=HOUR($F$186),DAY(AC267)=DAY($F$186)),MID(INDEX($A$187:$B$210,MATCH("PCO",$A$187:$A$210,0),2),8,1),""))</f>
        <v/>
      </c>
      <c r="BB267" s="1610" t="e">
        <f>IF(AND(BB266&lt;&gt;"",AC267&lt;$F$186+26/25),MID(INDEX($A$187:$B$210,MATCH("TYP",$A$187:$A$210,0),2),8+(3*SUM(COUNTIF($BB$207:BB266,"S"),COUNTIF($BB$207:BB266,"Z"), COUNTIF($BB$207:BB266,"R"),COUNTIF($BB$207:BB266,"X"))),1),IF(AND(HOUR(AC267)=HOUR($F$186),DAY(AC267)=DAY($F$186)),MID(INDEX($A$187:$B$210,MATCH("TYP",$A$187:$A$210,0),2),8,1),""))</f>
        <v>#N/A</v>
      </c>
      <c r="BC267" s="112" t="str">
        <f>IF(AND(LEN(BC266)=2,AC267&lt;$F$186+26/25),MID(INDEX($A$187:$B$211,MATCH("OBV",$A$187:$A$211,0),2),7+(3*SUM(COUNTIF($BC$207:BC266," N"),COUNTIF($BC$207:BC266,"HZ"),COUNTIF($BC$207:BC266,"BR"),COUNTIF($BC$207:BC266,"FG"),COUNTIF($BC$207:BC266,"BL"))),2),IF(AND(HOUR(AC267)=HOUR($F$186),DAY(AC267)=DAY($F$186)),MID(INDEX($A$187:$B$211,MATCH("OBV",$A$187:$A$211,0),2),7,2),""))</f>
        <v/>
      </c>
      <c r="BD267" s="112"/>
      <c r="BE267" s="112"/>
      <c r="BF267" s="112"/>
      <c r="BG267" s="1610" t="str">
        <f t="shared" si="124"/>
        <v/>
      </c>
      <c r="BH267" s="115">
        <f t="shared" si="105"/>
        <v>5</v>
      </c>
      <c r="BI267" s="200" t="str">
        <f t="shared" si="76"/>
        <v>BR</v>
      </c>
      <c r="BJ267" s="62" t="str">
        <f t="shared" si="75"/>
        <v/>
      </c>
      <c r="BK267" s="1145">
        <f t="shared" si="122"/>
        <v>24.5</v>
      </c>
      <c r="BL267" s="62" t="str">
        <f t="shared" si="77"/>
        <v/>
      </c>
      <c r="BM267" s="1145">
        <f t="shared" si="73"/>
        <v>24.5</v>
      </c>
      <c r="BN267" s="1901" t="str">
        <f t="shared" si="123"/>
        <v>BR</v>
      </c>
      <c r="BO267" s="1144" t="e">
        <f t="shared" si="78"/>
        <v>#N/A</v>
      </c>
      <c r="BP267" s="106">
        <f t="shared" si="109"/>
        <v>5</v>
      </c>
      <c r="BQ267" s="66" t="str">
        <f t="shared" si="79"/>
        <v>RA</v>
      </c>
      <c r="BR267" s="106" t="str">
        <f t="shared" si="80"/>
        <v/>
      </c>
      <c r="BS267" s="834">
        <f t="shared" si="96"/>
        <v>31.5</v>
      </c>
      <c r="BT267" s="106" t="str">
        <f t="shared" si="81"/>
        <v/>
      </c>
      <c r="BU267" s="834">
        <f t="shared" si="63"/>
        <v>23</v>
      </c>
      <c r="BV267" s="66" t="str">
        <f t="shared" si="106"/>
        <v>BR</v>
      </c>
      <c r="BW267" s="66" t="e">
        <f t="shared" si="107"/>
        <v>#N/A</v>
      </c>
      <c r="BX267" s="1198">
        <f t="shared" si="86"/>
        <v>6</v>
      </c>
      <c r="BY267" s="1146" t="str">
        <f t="shared" si="66"/>
        <v>BR</v>
      </c>
      <c r="CA267" s="3675">
        <f t="shared" si="67"/>
        <v>44749.541666666664</v>
      </c>
      <c r="CB267" s="3675"/>
    </row>
    <row r="268" spans="1:80" ht="10.5">
      <c r="A268" s="978" t="str">
        <f>Worksheet!Q105</f>
        <v>025002 23576978 07593 139932706 8234322724 R 373173</v>
      </c>
      <c r="B268" s="452">
        <f t="shared" si="120"/>
        <v>44748.791666666664</v>
      </c>
      <c r="C268" s="466">
        <f t="shared" si="110"/>
        <v>29.93</v>
      </c>
      <c r="D268" s="454">
        <f t="shared" si="88"/>
        <v>19</v>
      </c>
      <c r="E268" s="476">
        <f t="shared" si="111"/>
        <v>70</v>
      </c>
      <c r="F268" s="460">
        <f t="shared" si="89"/>
        <v>373</v>
      </c>
      <c r="G268" s="460">
        <f t="shared" si="112"/>
        <v>250</v>
      </c>
      <c r="H268" s="460">
        <f t="shared" si="113"/>
        <v>250</v>
      </c>
      <c r="I268" s="460">
        <f t="shared" si="97"/>
        <v>250</v>
      </c>
      <c r="J268" s="461">
        <f t="shared" si="114"/>
        <v>34</v>
      </c>
      <c r="K268" s="462">
        <f t="shared" si="125"/>
        <v>23</v>
      </c>
      <c r="L268" s="462">
        <f t="shared" si="126"/>
        <v>11</v>
      </c>
      <c r="M268" s="462">
        <f t="shared" si="115"/>
        <v>7</v>
      </c>
      <c r="N268" s="462"/>
      <c r="O268" s="462">
        <f t="shared" si="116"/>
        <v>7</v>
      </c>
      <c r="P268" s="462">
        <f t="shared" si="117"/>
        <v>7</v>
      </c>
      <c r="Q268" s="462">
        <f t="shared" si="91"/>
        <v>17.3</v>
      </c>
      <c r="R268" s="462">
        <f t="shared" ref="R268:R317" si="127">IF(D268="","",IF(OR(MID(A268,44,1)="S",MID(A268,44,1)="X"),Q268/4,IF(OR(MID(A268,44,1)="T",MID(A268,44,1)="P"),Q268/3,IF(MID(A268,44,1)=" ",7,Q268/2))))</f>
        <v>8.65</v>
      </c>
      <c r="S268" s="465">
        <f t="shared" si="92"/>
        <v>7</v>
      </c>
      <c r="T268" s="1118" t="str">
        <f t="shared" si="118"/>
        <v>NSW</v>
      </c>
      <c r="U268" s="463" t="str">
        <f t="shared" si="93"/>
        <v/>
      </c>
      <c r="V268" s="464" t="str">
        <f t="shared" si="100"/>
        <v/>
      </c>
      <c r="W268" s="411">
        <f t="shared" si="121"/>
        <v>44748.791666666664</v>
      </c>
      <c r="X268" s="410"/>
      <c r="Y268" s="458">
        <f t="shared" si="94"/>
        <v>93.2</v>
      </c>
      <c r="Z268" s="458">
        <f t="shared" si="95"/>
        <v>73.400000000000006</v>
      </c>
      <c r="AC268" s="977">
        <f t="shared" si="68"/>
        <v>44749.583333333328</v>
      </c>
      <c r="AD268" s="1610" t="str">
        <f>IF(AND(HOUR(AC268)=HOUR(Worksheet!AF$68),DAY(AC268)=DAY(Worksheet!AF$68)),"START","")</f>
        <v/>
      </c>
      <c r="AE268" s="1149" t="str">
        <f>IF(AND(HOUR(AC268)=HOUR($F$186),DAY(AC268)=DAY($F$186)),(MID($B$189,6,3))*1,IF(AND(ISNUMBER(AE267),AC268&lt;$F$186+1+(1/25)),(MID($B$189,6+(3*COUNT($AE$207:AE267)),3))*1,""))</f>
        <v/>
      </c>
      <c r="AF268" s="1164">
        <f t="shared" si="82"/>
        <v>85.646000000000058</v>
      </c>
      <c r="AG268" s="1150">
        <f t="shared" si="50"/>
        <v>83.600000000000009</v>
      </c>
      <c r="AH268" s="1163" t="str">
        <f>IF(AND(ISNUMBER(AH267),AC268&lt;$F$186+26/25),(MID($B$190,6+(3*COUNT($AH$207:AH267)),3))*1,IF(AND(HOUR(AC268)=HOUR($F$186),DAY(AC268)=DAY($F$186)),(MID($B$190,6,3))*1,""))</f>
        <v/>
      </c>
      <c r="AI268" s="1901" t="str">
        <f t="shared" si="108"/>
        <v/>
      </c>
      <c r="AJ268" s="1164">
        <f t="shared" si="52"/>
        <v>77.125999999999962</v>
      </c>
      <c r="AK268" s="1150">
        <f t="shared" si="53"/>
        <v>77</v>
      </c>
      <c r="AL268" s="1152">
        <f t="shared" si="83"/>
        <v>29.903333333333332</v>
      </c>
      <c r="AM268" s="1153">
        <f t="shared" si="54"/>
        <v>29.973333333333333</v>
      </c>
      <c r="AN268" s="1147"/>
      <c r="AO268" s="976" t="str">
        <f>IF(BA268="Y",AP268,IF(AND(ISNUMBER(AO267),AC268&lt;$F$186+26/25),(MID(INDEX($A$187:$B$210,MATCH("CIG",$A$187:$A$210,0),2),8+(3*COUNT($AO$207:AO267)),1))*1,IF(AND(HOUR(AC268)=HOUR($F$186),DAY(AC268)=DAY($F$186)),(MID(INDEX($A$187:$B$210,MATCH("CIG",$A$187:$A$210,0),2),8,1))*1,"")))</f>
        <v/>
      </c>
      <c r="AP268" s="1061" t="str">
        <f>IF(AND(ISNUMBER(AP267),AC268&lt;$F$186+26/25),(MID(INDEX($A$187:$B$210,MATCH("CCG",$A$187:$A$210,0),2),8+(3*COUNT($AP$207:AP267)),1))*1,IF(AND(HOUR(AC268)=HOUR($F$186),DAY(AC268)=DAY($F$186)),(MID(INDEX($A$187:$B$210,MATCH("CCG",$A$187:$A$210,0),2),8,1))*1,""))</f>
        <v/>
      </c>
      <c r="AQ268" s="1061" t="str">
        <f>IF(AND(AQ267&lt;&gt;"",AC268&lt;$F$186+26/25),MID(INDEX($A$187:$B$210,MATCH("CLD",$A$187:$A$210,0),2),7+(3*SUM(COUNTIF($AQ$207:AQ267,"OV"),COUNTIF($AQ$207:AQ267,"BK"),COUNTIF($AQ$207:AQ267,"SC"),COUNTIF($AQ$207:AQ267,"FW"),COUNTIF($AQ$207:AQ267,"CL"))),2),IF(AND(HOUR(AC268)=HOUR($F$186),DAY(AC268)=DAY($F$186)),MID(INDEX($A$187:$B$210,MATCH("CLD",$A$187:$A$210,0),2),7,2),""))</f>
        <v/>
      </c>
      <c r="AR268" s="1149">
        <f t="shared" si="101"/>
        <v>8</v>
      </c>
      <c r="AS268" s="1150" t="str">
        <f t="shared" si="102"/>
        <v>BK</v>
      </c>
      <c r="AT268" s="112">
        <f t="shared" si="103"/>
        <v>7</v>
      </c>
      <c r="AU268" s="1610" t="str">
        <f t="shared" si="104"/>
        <v>OV</v>
      </c>
      <c r="AV268" s="1148">
        <f t="shared" si="84"/>
        <v>40</v>
      </c>
      <c r="AW268" s="920" t="str">
        <f t="shared" si="87"/>
        <v>SCT</v>
      </c>
      <c r="AX268" s="1608">
        <f t="shared" si="85"/>
        <v>40</v>
      </c>
      <c r="AY268" s="112" t="str">
        <f>IF(BA268="Y",AZ268,IF(AND(ISNUMBER(AY267),AC268&lt;$F$186+26/25),(MID(INDEX($A$187:$B$210,MATCH("VIS",$A$187:$A$210,0),2),8+(3*COUNT($AY$207:AY267)),1))*1,IF(AND(HOUR(AC268)=HOUR($F$186),DAY(AC268)=DAY($F$186)),(MID(INDEX($A$187:$B$210,MATCH("VIS",$A$187:$A$210,0),2),8,1))*1,"")))</f>
        <v/>
      </c>
      <c r="AZ268" s="112" t="str">
        <f>IF(AND(ISNUMBER(AZ267),AC268&lt;$F$186+26/25),(MID(INDEX($A$187:$B$210,MATCH("CVS",$A$187:$A$210,0),2),8+(3*COUNT($AZ$207:AZ267)),1))*1,IF(AND(HOUR(AC268)=HOUR($F$186),DAY(AC268)=DAY($F$186)),(MID(INDEX($A$187:$B$210,MATCH("CVS",$A$187:$A$210,0),2),8,1))*1,""))</f>
        <v/>
      </c>
      <c r="BA268" s="1610" t="str">
        <f>IF(AND(BA267&lt;&gt;"",AC268&lt;$F$186+26/25),MID(INDEX($A$187:$B$210,MATCH("PCO",$A$187:$A$210,0),2),8+(3*SUM(COUNTIF($BA$207:BA267,"Y"),COUNTIF($BA$207:BA267,"N"))),1),IF(AND(HOUR(AC268)=HOUR($F$186),DAY(AC268)=DAY($F$186)),MID(INDEX($A$187:$B$210,MATCH("PCO",$A$187:$A$210,0),2),8,1),""))</f>
        <v/>
      </c>
      <c r="BB268" s="1610" t="e">
        <f>IF(AND(BB267&lt;&gt;"",AC268&lt;$F$186+26/25),MID(INDEX($A$187:$B$210,MATCH("TYP",$A$187:$A$210,0),2),8+(3*SUM(COUNTIF($BB$207:BB267,"S"),COUNTIF($BB$207:BB267,"Z"), COUNTIF($BB$207:BB267,"R"),COUNTIF($BB$207:BB267,"X"))),1),IF(AND(HOUR(AC268)=HOUR($F$186),DAY(AC268)=DAY($F$186)),MID(INDEX($A$187:$B$210,MATCH("TYP",$A$187:$A$210,0),2),8,1),""))</f>
        <v>#N/A</v>
      </c>
      <c r="BC268" s="112" t="str">
        <f>IF(AND(LEN(BC267)=2,AC268&lt;$F$186+26/25),MID(INDEX($A$187:$B$211,MATCH("OBV",$A$187:$A$211,0),2),7+(3*SUM(COUNTIF($BC$207:BC267," N"),COUNTIF($BC$207:BC267,"HZ"),COUNTIF($BC$207:BC267,"BR"),COUNTIF($BC$207:BC267,"FG"),COUNTIF($BC$207:BC267,"BL"))),2),IF(AND(HOUR(AC268)=HOUR($F$186),DAY(AC268)=DAY($F$186)),MID(INDEX($A$187:$B$211,MATCH("OBV",$A$187:$A$211,0),2),7,2),""))</f>
        <v/>
      </c>
      <c r="BD268" s="112"/>
      <c r="BE268" s="112"/>
      <c r="BF268" s="112"/>
      <c r="BG268" s="1610" t="str">
        <f t="shared" si="124"/>
        <v/>
      </c>
      <c r="BH268" s="115">
        <f t="shared" si="105"/>
        <v>7</v>
      </c>
      <c r="BI268" s="200" t="str">
        <f t="shared" si="76"/>
        <v/>
      </c>
      <c r="BJ268" s="62" t="str">
        <f t="shared" si="75"/>
        <v/>
      </c>
      <c r="BK268" s="1145">
        <f t="shared" si="122"/>
        <v>23</v>
      </c>
      <c r="BL268" s="62" t="str">
        <f t="shared" si="77"/>
        <v/>
      </c>
      <c r="BM268" s="1145">
        <f t="shared" si="73"/>
        <v>19</v>
      </c>
      <c r="BN268" s="1901" t="str">
        <f t="shared" si="123"/>
        <v xml:space="preserve"> N</v>
      </c>
      <c r="BO268" s="1144" t="e">
        <f t="shared" si="78"/>
        <v>#N/A</v>
      </c>
      <c r="BP268" s="106">
        <f t="shared" si="109"/>
        <v>7</v>
      </c>
      <c r="BQ268" s="66" t="str">
        <f t="shared" si="79"/>
        <v/>
      </c>
      <c r="BR268" s="106" t="str">
        <f t="shared" si="80"/>
        <v/>
      </c>
      <c r="BS268" s="834">
        <f t="shared" si="96"/>
        <v>28</v>
      </c>
      <c r="BT268" s="106" t="str">
        <f t="shared" si="81"/>
        <v/>
      </c>
      <c r="BU268" s="834">
        <f t="shared" si="63"/>
        <v>17</v>
      </c>
      <c r="BV268" s="66" t="str">
        <f t="shared" si="106"/>
        <v xml:space="preserve"> N</v>
      </c>
      <c r="BW268" s="66" t="e">
        <f t="shared" si="107"/>
        <v>#N/A</v>
      </c>
      <c r="BX268" s="1198">
        <f t="shared" si="86"/>
        <v>7</v>
      </c>
      <c r="BY268" s="1146" t="str">
        <f t="shared" si="66"/>
        <v>NSW</v>
      </c>
      <c r="CA268" s="3675">
        <f t="shared" si="67"/>
        <v>44749.583333333328</v>
      </c>
      <c r="CB268" s="3675"/>
    </row>
    <row r="269" spans="1:80" ht="10.5">
      <c r="A269" s="978" t="str">
        <f>Worksheet!Q106</f>
        <v>026007 23576878 07193 129922705 8233312724 X 363172</v>
      </c>
      <c r="B269" s="452">
        <f t="shared" si="120"/>
        <v>44748.833333333328</v>
      </c>
      <c r="C269" s="466">
        <f t="shared" si="110"/>
        <v>29.92</v>
      </c>
      <c r="D269" s="454">
        <f t="shared" si="88"/>
        <v>20</v>
      </c>
      <c r="E269" s="476">
        <f t="shared" si="111"/>
        <v>70</v>
      </c>
      <c r="F269" s="460">
        <f t="shared" si="89"/>
        <v>363</v>
      </c>
      <c r="G269" s="460">
        <f t="shared" si="112"/>
        <v>250</v>
      </c>
      <c r="H269" s="460">
        <f t="shared" si="113"/>
        <v>250</v>
      </c>
      <c r="I269" s="460">
        <f t="shared" si="97"/>
        <v>250</v>
      </c>
      <c r="J269" s="461">
        <f t="shared" si="114"/>
        <v>33</v>
      </c>
      <c r="K269" s="462">
        <f t="shared" si="125"/>
        <v>23</v>
      </c>
      <c r="L269" s="462">
        <f t="shared" si="126"/>
        <v>10</v>
      </c>
      <c r="M269" s="462">
        <f t="shared" si="115"/>
        <v>7</v>
      </c>
      <c r="N269" s="462"/>
      <c r="O269" s="462">
        <f t="shared" si="116"/>
        <v>7</v>
      </c>
      <c r="P269" s="462">
        <f t="shared" si="117"/>
        <v>7</v>
      </c>
      <c r="Q269" s="462">
        <f t="shared" si="91"/>
        <v>17.2</v>
      </c>
      <c r="R269" s="462">
        <f t="shared" si="127"/>
        <v>4.3</v>
      </c>
      <c r="S269" s="465">
        <f t="shared" si="92"/>
        <v>4.3</v>
      </c>
      <c r="T269" s="1118" t="str">
        <f t="shared" si="118"/>
        <v>TS</v>
      </c>
      <c r="U269" s="463" t="str">
        <f t="shared" si="93"/>
        <v/>
      </c>
      <c r="V269" s="464" t="str">
        <f t="shared" si="100"/>
        <v/>
      </c>
      <c r="W269" s="411">
        <f t="shared" si="121"/>
        <v>44748.833333333328</v>
      </c>
      <c r="X269" s="410"/>
      <c r="Y269" s="458">
        <f t="shared" si="94"/>
        <v>91.4</v>
      </c>
      <c r="Z269" s="458">
        <f t="shared" si="95"/>
        <v>73.400000000000006</v>
      </c>
      <c r="AC269" s="977">
        <f t="shared" si="68"/>
        <v>44749.625</v>
      </c>
      <c r="AD269" s="1610" t="str">
        <f>IF(AND(HOUR(AC269)=HOUR(Worksheet!AF$68),DAY(AC269)=DAY(Worksheet!AF$68)),"START","")</f>
        <v/>
      </c>
      <c r="AE269" s="1149" t="str">
        <f>IF(AND(HOUR(AC269)=HOUR($F$186),DAY(AC269)=DAY($F$186)),(MID($B$189,6,3))*1,IF(AND(ISNUMBER(AE268),AC269&lt;$F$186+1+(1/25)),(MID($B$189,6+(3*COUNT($AE$207:AE268)),3))*1,""))</f>
        <v/>
      </c>
      <c r="AF269" s="1164">
        <f t="shared" si="82"/>
        <v>89.006000000000029</v>
      </c>
      <c r="AG269" s="1150">
        <f t="shared" si="50"/>
        <v>86</v>
      </c>
      <c r="AH269" s="1163" t="str">
        <f>IF(AND(ISNUMBER(AH268),AC269&lt;$F$186+26/25),(MID($B$190,6+(3*COUNT($AH$207:AH268)),3))*1,IF(AND(HOUR(AC269)=HOUR($F$186),DAY(AC269)=DAY($F$186)),(MID($B$190,6,3))*1,""))</f>
        <v/>
      </c>
      <c r="AI269" s="1901" t="str">
        <f t="shared" si="108"/>
        <v/>
      </c>
      <c r="AJ269" s="1164">
        <f t="shared" si="52"/>
        <v>77.215999999999951</v>
      </c>
      <c r="AK269" s="1150">
        <f t="shared" si="53"/>
        <v>77</v>
      </c>
      <c r="AL269" s="1152">
        <f t="shared" si="83"/>
        <v>29.9</v>
      </c>
      <c r="AM269" s="1153">
        <f t="shared" si="54"/>
        <v>29.98</v>
      </c>
      <c r="AN269" s="1147"/>
      <c r="AO269" s="976" t="str">
        <f>IF(BA269="Y",AP269,IF(AND(ISNUMBER(AO268),AC269&lt;$F$186+26/25),(MID(INDEX($A$187:$B$210,MATCH("CIG",$A$187:$A$210,0),2),8+(3*COUNT($AO$207:AO268)),1))*1,IF(AND(HOUR(AC269)=HOUR($F$186),DAY(AC269)=DAY($F$186)),(MID(INDEX($A$187:$B$210,MATCH("CIG",$A$187:$A$210,0),2),8,1))*1,"")))</f>
        <v/>
      </c>
      <c r="AP269" s="1061" t="str">
        <f>IF(AND(ISNUMBER(AP268),AC269&lt;$F$186+26/25),(MID(INDEX($A$187:$B$210,MATCH("CCG",$A$187:$A$210,0),2),8+(3*COUNT($AP$207:AP268)),1))*1,IF(AND(HOUR(AC269)=HOUR($F$186),DAY(AC269)=DAY($F$186)),(MID(INDEX($A$187:$B$210,MATCH("CCG",$A$187:$A$210,0),2),8,1))*1,""))</f>
        <v/>
      </c>
      <c r="AQ269" s="1061" t="str">
        <f>IF(AND(AQ268&lt;&gt;"",AC269&lt;$F$186+26/25),MID(INDEX($A$187:$B$210,MATCH("CLD",$A$187:$A$210,0),2),7+(3*SUM(COUNTIF($AQ$207:AQ268,"OV"),COUNTIF($AQ$207:AQ268,"BK"),COUNTIF($AQ$207:AQ268,"SC"),COUNTIF($AQ$207:AQ268,"FW"),COUNTIF($AQ$207:AQ268,"CL"))),2),IF(AND(HOUR(AC269)=HOUR($F$186),DAY(AC269)=DAY($F$186)),MID(INDEX($A$187:$B$210,MATCH("CLD",$A$187:$A$210,0),2),7,2),""))</f>
        <v/>
      </c>
      <c r="AR269" s="1149">
        <f t="shared" si="101"/>
        <v>8</v>
      </c>
      <c r="AS269" s="1150" t="str">
        <f t="shared" si="102"/>
        <v>BK</v>
      </c>
      <c r="AT269" s="112">
        <f t="shared" si="103"/>
        <v>7</v>
      </c>
      <c r="AU269" s="1610" t="str">
        <f t="shared" si="104"/>
        <v>OV</v>
      </c>
      <c r="AV269" s="1148">
        <f t="shared" si="84"/>
        <v>40</v>
      </c>
      <c r="AW269" s="920" t="str">
        <f t="shared" si="87"/>
        <v>SCT</v>
      </c>
      <c r="AX269" s="1608">
        <f t="shared" si="85"/>
        <v>40</v>
      </c>
      <c r="AY269" s="112" t="str">
        <f>IF(BA269="Y",AZ269,IF(AND(ISNUMBER(AY268),AC269&lt;$F$186+26/25),(MID(INDEX($A$187:$B$210,MATCH("VIS",$A$187:$A$210,0),2),8+(3*COUNT($AY$207:AY268)),1))*1,IF(AND(HOUR(AC269)=HOUR($F$186),DAY(AC269)=DAY($F$186)),(MID(INDEX($A$187:$B$210,MATCH("VIS",$A$187:$A$210,0),2),8,1))*1,"")))</f>
        <v/>
      </c>
      <c r="AZ269" s="112" t="str">
        <f>IF(AND(ISNUMBER(AZ268),AC269&lt;$F$186+26/25),(MID(INDEX($A$187:$B$210,MATCH("CVS",$A$187:$A$210,0),2),8+(3*COUNT($AZ$207:AZ268)),1))*1,IF(AND(HOUR(AC269)=HOUR($F$186),DAY(AC269)=DAY($F$186)),(MID(INDEX($A$187:$B$210,MATCH("CVS",$A$187:$A$210,0),2),8,1))*1,""))</f>
        <v/>
      </c>
      <c r="BA269" s="1610" t="str">
        <f>IF(AND(BA268&lt;&gt;"",AC269&lt;$F$186+26/25),MID(INDEX($A$187:$B$210,MATCH("PCO",$A$187:$A$210,0),2),8+(3*SUM(COUNTIF($BA$207:BA268,"Y"),COUNTIF($BA$207:BA268,"N"))),1),IF(AND(HOUR(AC269)=HOUR($F$186),DAY(AC269)=DAY($F$186)),MID(INDEX($A$187:$B$210,MATCH("PCO",$A$187:$A$210,0),2),8,1),""))</f>
        <v/>
      </c>
      <c r="BB269" s="1610" t="e">
        <f>IF(AND(BB268&lt;&gt;"",AC269&lt;$F$186+26/25),MID(INDEX($A$187:$B$210,MATCH("TYP",$A$187:$A$210,0),2),8+(3*SUM(COUNTIF($BB$207:BB268,"S"),COUNTIF($BB$207:BB268,"Z"), COUNTIF($BB$207:BB268,"R"),COUNTIF($BB$207:BB268,"X"))),1),IF(AND(HOUR(AC269)=HOUR($F$186),DAY(AC269)=DAY($F$186)),MID(INDEX($A$187:$B$210,MATCH("TYP",$A$187:$A$210,0),2),8,1),""))</f>
        <v>#N/A</v>
      </c>
      <c r="BC269" s="112" t="str">
        <f>IF(AND(LEN(BC268)=2,AC269&lt;$F$186+26/25),MID(INDEX($A$187:$B$211,MATCH("OBV",$A$187:$A$211,0),2),7+(3*SUM(COUNTIF($BC$207:BC268," N"),COUNTIF($BC$207:BC268,"HZ"),COUNTIF($BC$207:BC268,"BR"),COUNTIF($BC$207:BC268,"FG"),COUNTIF($BC$207:BC268,"BL"))),2),IF(AND(HOUR(AC269)=HOUR($F$186),DAY(AC269)=DAY($F$186)),MID(INDEX($A$187:$B$211,MATCH("OBV",$A$187:$A$211,0),2),7,2),""))</f>
        <v/>
      </c>
      <c r="BD269" s="112"/>
      <c r="BE269" s="112"/>
      <c r="BF269" s="112"/>
      <c r="BG269" s="1610" t="str">
        <f t="shared" si="124"/>
        <v/>
      </c>
      <c r="BH269" s="115">
        <f t="shared" si="105"/>
        <v>7</v>
      </c>
      <c r="BI269" s="200" t="str">
        <f t="shared" si="76"/>
        <v/>
      </c>
      <c r="BJ269" s="62" t="str">
        <f t="shared" si="75"/>
        <v/>
      </c>
      <c r="BK269" s="1145">
        <f t="shared" si="122"/>
        <v>23</v>
      </c>
      <c r="BL269" s="62" t="str">
        <f t="shared" si="77"/>
        <v/>
      </c>
      <c r="BM269" s="1145">
        <f t="shared" si="73"/>
        <v>19</v>
      </c>
      <c r="BN269" s="1901" t="str">
        <f t="shared" si="123"/>
        <v xml:space="preserve"> N</v>
      </c>
      <c r="BO269" s="1144" t="e">
        <f t="shared" si="78"/>
        <v>#N/A</v>
      </c>
      <c r="BP269" s="106">
        <f t="shared" si="109"/>
        <v>7</v>
      </c>
      <c r="BQ269" s="66" t="str">
        <f t="shared" si="79"/>
        <v/>
      </c>
      <c r="BR269" s="106" t="str">
        <f t="shared" si="80"/>
        <v/>
      </c>
      <c r="BS269" s="834">
        <f t="shared" si="96"/>
        <v>28</v>
      </c>
      <c r="BT269" s="106" t="str">
        <f t="shared" si="81"/>
        <v/>
      </c>
      <c r="BU269" s="834">
        <f t="shared" si="63"/>
        <v>17</v>
      </c>
      <c r="BV269" s="66" t="str">
        <f t="shared" si="106"/>
        <v xml:space="preserve"> N</v>
      </c>
      <c r="BW269" s="66" t="e">
        <f t="shared" si="107"/>
        <v>#N/A</v>
      </c>
      <c r="BX269" s="1198">
        <f t="shared" si="86"/>
        <v>7</v>
      </c>
      <c r="BY269" s="1146" t="str">
        <f t="shared" si="66"/>
        <v>NSW</v>
      </c>
      <c r="CA269" s="3675">
        <f t="shared" si="67"/>
        <v>44749.625</v>
      </c>
      <c r="CB269" s="3675"/>
    </row>
    <row r="270" spans="1:80" ht="10.5">
      <c r="A270" s="978" t="str">
        <f>Worksheet!Q107</f>
        <v>027003 23586978 00993 129922704 8232312724 X 357167</v>
      </c>
      <c r="B270" s="452">
        <f t="shared" si="120"/>
        <v>44748.875</v>
      </c>
      <c r="C270" s="466">
        <f t="shared" si="110"/>
        <v>29.92</v>
      </c>
      <c r="D270" s="454">
        <f t="shared" si="88"/>
        <v>21</v>
      </c>
      <c r="E270" s="476">
        <f t="shared" si="111"/>
        <v>70</v>
      </c>
      <c r="F270" s="460">
        <f t="shared" si="89"/>
        <v>357</v>
      </c>
      <c r="G270" s="460">
        <f t="shared" si="112"/>
        <v>250</v>
      </c>
      <c r="H270" s="460">
        <f t="shared" si="113"/>
        <v>250</v>
      </c>
      <c r="I270" s="460">
        <f t="shared" si="97"/>
        <v>250</v>
      </c>
      <c r="J270" s="461">
        <f t="shared" si="114"/>
        <v>32</v>
      </c>
      <c r="K270" s="462">
        <f t="shared" si="125"/>
        <v>23</v>
      </c>
      <c r="L270" s="462">
        <f t="shared" si="126"/>
        <v>9</v>
      </c>
      <c r="M270" s="462">
        <f t="shared" si="115"/>
        <v>7</v>
      </c>
      <c r="N270" s="462"/>
      <c r="O270" s="462">
        <f t="shared" si="116"/>
        <v>7</v>
      </c>
      <c r="P270" s="462">
        <f t="shared" si="117"/>
        <v>7</v>
      </c>
      <c r="Q270" s="462">
        <f t="shared" si="91"/>
        <v>16.7</v>
      </c>
      <c r="R270" s="462">
        <f t="shared" si="127"/>
        <v>4.1749999999999998</v>
      </c>
      <c r="S270" s="465">
        <f t="shared" si="92"/>
        <v>4.1749999999999998</v>
      </c>
      <c r="T270" s="1118" t="str">
        <f t="shared" si="118"/>
        <v>TS</v>
      </c>
      <c r="U270" s="463">
        <f t="shared" si="93"/>
        <v>270</v>
      </c>
      <c r="V270" s="464">
        <f t="shared" si="100"/>
        <v>5</v>
      </c>
      <c r="W270" s="411">
        <f t="shared" si="121"/>
        <v>44748.875</v>
      </c>
      <c r="X270" s="410"/>
      <c r="Y270" s="458">
        <f t="shared" si="94"/>
        <v>89.6</v>
      </c>
      <c r="Z270" s="458">
        <f t="shared" si="95"/>
        <v>73.400000000000006</v>
      </c>
      <c r="AC270" s="977">
        <f t="shared" si="68"/>
        <v>44749.666666666664</v>
      </c>
      <c r="AD270" s="1610" t="str">
        <f>IF(AND(HOUR(AC270)=HOUR(Worksheet!AF$68),DAY(AC270)=DAY(Worksheet!AF$68)),"START","")</f>
        <v/>
      </c>
      <c r="AE270" s="1149" t="str">
        <f>IF(AND(HOUR(AC270)=HOUR($F$186),DAY(AC270)=DAY($F$186)),(MID($B$189,6,3))*1,IF(AND(ISNUMBER(AE269),AC270&lt;$F$186+1+(1/25)),(MID($B$189,6+(3*COUNT($AE$207:AE269)),3))*1,""))</f>
        <v/>
      </c>
      <c r="AF270" s="1164">
        <f t="shared" si="82"/>
        <v>91.298000000000016</v>
      </c>
      <c r="AG270" s="1150">
        <f t="shared" si="50"/>
        <v>88.4</v>
      </c>
      <c r="AH270" s="1163" t="str">
        <f>IF(AND(ISNUMBER(AH269),AC270&lt;$F$186+26/25),(MID($B$190,6+(3*COUNT($AH$207:AH269)),3))*1,IF(AND(HOUR(AC270)=HOUR($F$186),DAY(AC270)=DAY($F$186)),(MID($B$190,6,3))*1,""))</f>
        <v/>
      </c>
      <c r="AI270" s="1901" t="str">
        <f t="shared" si="108"/>
        <v/>
      </c>
      <c r="AJ270" s="1164">
        <f t="shared" si="52"/>
        <v>76.165999999999954</v>
      </c>
      <c r="AK270" s="1150">
        <f t="shared" si="53"/>
        <v>75.8</v>
      </c>
      <c r="AL270" s="1152">
        <f t="shared" si="83"/>
        <v>29.893333333333331</v>
      </c>
      <c r="AM270" s="1153">
        <f t="shared" si="54"/>
        <v>29.96</v>
      </c>
      <c r="AN270" s="1147"/>
      <c r="AO270" s="976" t="str">
        <f>IF(BA270="Y",AP270,IF(AND(ISNUMBER(AO269),AC270&lt;$F$186+26/25),(MID(INDEX($A$187:$B$210,MATCH("CIG",$A$187:$A$210,0),2),8+(3*COUNT($AO$207:AO269)),1))*1,IF(AND(HOUR(AC270)=HOUR($F$186),DAY(AC270)=DAY($F$186)),(MID(INDEX($A$187:$B$210,MATCH("CIG",$A$187:$A$210,0),2),8,1))*1,"")))</f>
        <v/>
      </c>
      <c r="AP270" s="1061" t="str">
        <f>IF(AND(ISNUMBER(AP269),AC270&lt;$F$186+26/25),(MID(INDEX($A$187:$B$210,MATCH("CCG",$A$187:$A$210,0),2),8+(3*COUNT($AP$207:AP269)),1))*1,IF(AND(HOUR(AC270)=HOUR($F$186),DAY(AC270)=DAY($F$186)),(MID(INDEX($A$187:$B$210,MATCH("CCG",$A$187:$A$210,0),2),8,1))*1,""))</f>
        <v/>
      </c>
      <c r="AQ270" s="1061" t="str">
        <f>IF(AND(AQ269&lt;&gt;"",AC270&lt;$F$186+26/25),MID(INDEX($A$187:$B$210,MATCH("CLD",$A$187:$A$210,0),2),7+(3*SUM(COUNTIF($AQ$207:AQ269,"OV"),COUNTIF($AQ$207:AQ269,"BK"),COUNTIF($AQ$207:AQ269,"SC"),COUNTIF($AQ$207:AQ269,"FW"),COUNTIF($AQ$207:AQ269,"CL"))),2),IF(AND(HOUR(AC270)=HOUR($F$186),DAY(AC270)=DAY($F$186)),MID(INDEX($A$187:$B$210,MATCH("CLD",$A$187:$A$210,0),2),7,2),""))</f>
        <v/>
      </c>
      <c r="AR270" s="1149">
        <f t="shared" si="101"/>
        <v>8</v>
      </c>
      <c r="AS270" s="1150" t="str">
        <f t="shared" si="102"/>
        <v>BK</v>
      </c>
      <c r="AT270" s="112">
        <f t="shared" si="103"/>
        <v>7</v>
      </c>
      <c r="AU270" s="1610" t="str">
        <f t="shared" si="104"/>
        <v>OV</v>
      </c>
      <c r="AV270" s="1148">
        <f t="shared" si="84"/>
        <v>40</v>
      </c>
      <c r="AW270" s="920" t="str">
        <f t="shared" si="87"/>
        <v>SCT</v>
      </c>
      <c r="AX270" s="1608">
        <f t="shared" si="85"/>
        <v>40</v>
      </c>
      <c r="AY270" s="112" t="str">
        <f>IF(BA270="Y",AZ270,IF(AND(ISNUMBER(AY269),AC270&lt;$F$186+26/25),(MID(INDEX($A$187:$B$210,MATCH("VIS",$A$187:$A$210,0),2),8+(3*COUNT($AY$207:AY269)),1))*1,IF(AND(HOUR(AC270)=HOUR($F$186),DAY(AC270)=DAY($F$186)),(MID(INDEX($A$187:$B$210,MATCH("VIS",$A$187:$A$210,0),2),8,1))*1,"")))</f>
        <v/>
      </c>
      <c r="AZ270" s="112" t="str">
        <f>IF(AND(ISNUMBER(AZ269),AC270&lt;$F$186+26/25),(MID(INDEX($A$187:$B$210,MATCH("CVS",$A$187:$A$210,0),2),8+(3*COUNT($AZ$207:AZ269)),1))*1,IF(AND(HOUR(AC270)=HOUR($F$186),DAY(AC270)=DAY($F$186)),(MID(INDEX($A$187:$B$210,MATCH("CVS",$A$187:$A$210,0),2),8,1))*1,""))</f>
        <v/>
      </c>
      <c r="BA270" s="1610" t="str">
        <f>IF(AND(BA269&lt;&gt;"",AC270&lt;$F$186+26/25),MID(INDEX($A$187:$B$210,MATCH("PCO",$A$187:$A$210,0),2),8+(3*SUM(COUNTIF($BA$207:BA269,"Y"),COUNTIF($BA$207:BA269,"N"))),1),IF(AND(HOUR(AC270)=HOUR($F$186),DAY(AC270)=DAY($F$186)),MID(INDEX($A$187:$B$210,MATCH("PCO",$A$187:$A$210,0),2),8,1),""))</f>
        <v/>
      </c>
      <c r="BB270" s="1610" t="e">
        <f>IF(AND(BB269&lt;&gt;"",AC270&lt;$F$186+26/25),MID(INDEX($A$187:$B$210,MATCH("TYP",$A$187:$A$210,0),2),8+(3*SUM(COUNTIF($BB$207:BB269,"S"),COUNTIF($BB$207:BB269,"Z"), COUNTIF($BB$207:BB269,"R"),COUNTIF($BB$207:BB269,"X"))),1),IF(AND(HOUR(AC270)=HOUR($F$186),DAY(AC270)=DAY($F$186)),MID(INDEX($A$187:$B$210,MATCH("TYP",$A$187:$A$210,0),2),8,1),""))</f>
        <v>#N/A</v>
      </c>
      <c r="BC270" s="112" t="str">
        <f>IF(AND(LEN(BC269)=2,AC270&lt;$F$186+26/25),MID(INDEX($A$187:$B$211,MATCH("OBV",$A$187:$A$211,0),2),7+(3*SUM(COUNTIF($BC$207:BC269," N"),COUNTIF($BC$207:BC269,"HZ"),COUNTIF($BC$207:BC269,"BR"),COUNTIF($BC$207:BC269,"FG"),COUNTIF($BC$207:BC269,"BL"))),2),IF(AND(HOUR(AC270)=HOUR($F$186),DAY(AC270)=DAY($F$186)),MID(INDEX($A$187:$B$211,MATCH("OBV",$A$187:$A$211,0),2),7,2),""))</f>
        <v/>
      </c>
      <c r="BD270" s="112"/>
      <c r="BE270" s="112"/>
      <c r="BF270" s="112"/>
      <c r="BG270" s="1610" t="str">
        <f t="shared" si="124"/>
        <v/>
      </c>
      <c r="BH270" s="115">
        <f t="shared" si="105"/>
        <v>7</v>
      </c>
      <c r="BI270" s="200" t="str">
        <f t="shared" si="76"/>
        <v/>
      </c>
      <c r="BJ270" s="62" t="str">
        <f t="shared" si="75"/>
        <v/>
      </c>
      <c r="BK270" s="1145">
        <f t="shared" si="122"/>
        <v>23</v>
      </c>
      <c r="BL270" s="62" t="str">
        <f t="shared" si="77"/>
        <v/>
      </c>
      <c r="BM270" s="1145">
        <f t="shared" si="73"/>
        <v>19</v>
      </c>
      <c r="BN270" s="1901" t="str">
        <f t="shared" si="123"/>
        <v xml:space="preserve"> N</v>
      </c>
      <c r="BO270" s="1144" t="e">
        <f t="shared" si="78"/>
        <v>#N/A</v>
      </c>
      <c r="BP270" s="106">
        <f t="shared" si="109"/>
        <v>7</v>
      </c>
      <c r="BQ270" s="66" t="str">
        <f t="shared" si="79"/>
        <v/>
      </c>
      <c r="BR270" s="106" t="str">
        <f t="shared" si="80"/>
        <v/>
      </c>
      <c r="BS270" s="834">
        <f t="shared" si="96"/>
        <v>28</v>
      </c>
      <c r="BT270" s="106" t="str">
        <f t="shared" si="81"/>
        <v/>
      </c>
      <c r="BU270" s="834">
        <f t="shared" si="63"/>
        <v>17</v>
      </c>
      <c r="BV270" s="66" t="str">
        <f t="shared" si="106"/>
        <v xml:space="preserve"> N</v>
      </c>
      <c r="BW270" s="66" t="e">
        <f t="shared" si="107"/>
        <v>#N/A</v>
      </c>
      <c r="BX270" s="1198">
        <f t="shared" si="86"/>
        <v>7</v>
      </c>
      <c r="BY270" s="1146" t="str">
        <f t="shared" si="66"/>
        <v>NSW</v>
      </c>
      <c r="CA270" s="3675">
        <f t="shared" si="67"/>
        <v>44749.666666666664</v>
      </c>
      <c r="CB270" s="3675"/>
    </row>
    <row r="271" spans="1:80" ht="10.5">
      <c r="A271" s="978" t="str">
        <f>Worksheet!Q108</f>
        <v>028001 23596978 01393 129902603 8233312724 X 371170</v>
      </c>
      <c r="B271" s="452">
        <f t="shared" si="120"/>
        <v>44748.916666666664</v>
      </c>
      <c r="C271" s="466">
        <f t="shared" si="110"/>
        <v>29.9</v>
      </c>
      <c r="D271" s="454">
        <f t="shared" si="88"/>
        <v>22</v>
      </c>
      <c r="E271" s="476">
        <f t="shared" si="111"/>
        <v>70</v>
      </c>
      <c r="F271" s="460">
        <f t="shared" ref="F271:F302" si="128">IF(D271="","",IF(MID(A271,46,3)="---","NONE",VALUE(MID(A271,46,3))))</f>
        <v>371</v>
      </c>
      <c r="G271" s="460">
        <f t="shared" si="112"/>
        <v>250</v>
      </c>
      <c r="H271" s="460">
        <f t="shared" si="113"/>
        <v>250</v>
      </c>
      <c r="I271" s="460">
        <f t="shared" si="97"/>
        <v>250</v>
      </c>
      <c r="J271" s="461">
        <f t="shared" si="114"/>
        <v>33</v>
      </c>
      <c r="K271" s="462">
        <f t="shared" si="125"/>
        <v>23</v>
      </c>
      <c r="L271" s="462">
        <f t="shared" si="126"/>
        <v>10</v>
      </c>
      <c r="M271" s="462">
        <f t="shared" si="115"/>
        <v>7</v>
      </c>
      <c r="N271" s="462"/>
      <c r="O271" s="462">
        <f t="shared" si="116"/>
        <v>7</v>
      </c>
      <c r="P271" s="462">
        <f t="shared" si="117"/>
        <v>7</v>
      </c>
      <c r="Q271" s="462">
        <f t="shared" ref="Q271:Q302" si="129">IF(D271="","",(MID(A271,49,3))*0.1)</f>
        <v>17</v>
      </c>
      <c r="R271" s="462">
        <f t="shared" si="127"/>
        <v>4.25</v>
      </c>
      <c r="S271" s="465">
        <f t="shared" si="92"/>
        <v>4.25</v>
      </c>
      <c r="T271" s="1118" t="str">
        <f t="shared" si="118"/>
        <v>TS</v>
      </c>
      <c r="U271" s="463" t="str">
        <f t="shared" ref="U271:U290" si="130">IF(OR(D271=21,D271=12),VALUE(MID(A271,28,2))*10,"")</f>
        <v/>
      </c>
      <c r="V271" s="464" t="str">
        <f t="shared" si="100"/>
        <v/>
      </c>
      <c r="W271" s="411">
        <f t="shared" si="121"/>
        <v>44748.916666666664</v>
      </c>
      <c r="X271" s="410"/>
      <c r="Y271" s="458">
        <f t="shared" ref="Y271:Y290" si="131">IF(W271="","",IF(VALUE(MID(A271,35,1))&gt;4,VALUE(MID(A271,35,2))-100,VALUE(MID(A271,35,2)))*(9/5)+32)</f>
        <v>91.4</v>
      </c>
      <c r="Z271" s="458">
        <f t="shared" ref="Z271:Z290" si="132">IF(W271="","",IF(VALUE(MID(A271,8,1))&gt;4,VALUE(MID(A271,8,2))-100,VALUE(MID(A271,8,2)))*(9/5)+32)</f>
        <v>73.400000000000006</v>
      </c>
      <c r="AC271" s="977">
        <f t="shared" si="68"/>
        <v>44749.708333333328</v>
      </c>
      <c r="AD271" s="1610" t="str">
        <f>IF(AND(HOUR(AC271)=HOUR(Worksheet!AF$68),DAY(AC271)=DAY(Worksheet!AF$68)),"START","")</f>
        <v/>
      </c>
      <c r="AE271" s="1149" t="str">
        <f>IF(AND(HOUR(AC271)=HOUR($F$186),DAY(AC271)=DAY($F$186)),(MID($B$189,6,3))*1,IF(AND(ISNUMBER(AE270),AC271&lt;$F$186+1+(1/25)),(MID($B$189,6+(3*COUNT($AE$207:AE270)),3))*1,""))</f>
        <v/>
      </c>
      <c r="AF271" s="1164">
        <f t="shared" si="82"/>
        <v>93.590000000000018</v>
      </c>
      <c r="AG271" s="1150">
        <f t="shared" si="50"/>
        <v>90.8</v>
      </c>
      <c r="AH271" s="1163" t="str">
        <f>IF(AND(ISNUMBER(AH270),AC271&lt;$F$186+26/25),(MID($B$190,6+(3*COUNT($AH$207:AH270)),3))*1,IF(AND(HOUR(AC271)=HOUR($F$186),DAY(AC271)=DAY($F$186)),(MID($B$190,6,3))*1,""))</f>
        <v/>
      </c>
      <c r="AI271" s="1901" t="str">
        <f t="shared" si="108"/>
        <v/>
      </c>
      <c r="AJ271" s="1164">
        <f t="shared" si="52"/>
        <v>75.115999999999971</v>
      </c>
      <c r="AK271" s="1150">
        <f t="shared" si="53"/>
        <v>74.600000000000009</v>
      </c>
      <c r="AL271" s="1152">
        <f t="shared" si="83"/>
        <v>29.886666666666667</v>
      </c>
      <c r="AM271" s="1153">
        <f t="shared" si="54"/>
        <v>29.94</v>
      </c>
      <c r="AN271" s="1147"/>
      <c r="AO271" s="976" t="str">
        <f>IF(BA271="Y",AP271,IF(AND(ISNUMBER(AO270),AC271&lt;$F$186+26/25),(MID(INDEX($A$187:$B$210,MATCH("CIG",$A$187:$A$210,0),2),8+(3*COUNT($AO$207:AO270)),1))*1,IF(AND(HOUR(AC271)=HOUR($F$186),DAY(AC271)=DAY($F$186)),(MID(INDEX($A$187:$B$210,MATCH("CIG",$A$187:$A$210,0),2),8,1))*1,"")))</f>
        <v/>
      </c>
      <c r="AP271" s="1061" t="str">
        <f>IF(AND(ISNUMBER(AP270),AC271&lt;$F$186+26/25),(MID(INDEX($A$187:$B$210,MATCH("CCG",$A$187:$A$210,0),2),8+(3*COUNT($AP$207:AP270)),1))*1,IF(AND(HOUR(AC271)=HOUR($F$186),DAY(AC271)=DAY($F$186)),(MID(INDEX($A$187:$B$210,MATCH("CCG",$A$187:$A$210,0),2),8,1))*1,""))</f>
        <v/>
      </c>
      <c r="AQ271" s="1061" t="str">
        <f>IF(AND(AQ270&lt;&gt;"",AC271&lt;$F$186+26/25),MID(INDEX($A$187:$B$210,MATCH("CLD",$A$187:$A$210,0),2),7+(3*SUM(COUNTIF($AQ$207:AQ270,"OV"),COUNTIF($AQ$207:AQ270,"BK"),COUNTIF($AQ$207:AQ270,"SC"),COUNTIF($AQ$207:AQ270,"FW"),COUNTIF($AQ$207:AQ270,"CL"))),2),IF(AND(HOUR(AC271)=HOUR($F$186),DAY(AC271)=DAY($F$186)),MID(INDEX($A$187:$B$210,MATCH("CLD",$A$187:$A$210,0),2),7,2),""))</f>
        <v/>
      </c>
      <c r="AR271" s="1149">
        <f t="shared" si="101"/>
        <v>7</v>
      </c>
      <c r="AS271" s="1150" t="str">
        <f t="shared" si="102"/>
        <v>BK</v>
      </c>
      <c r="AT271" s="112">
        <f t="shared" si="103"/>
        <v>7</v>
      </c>
      <c r="AU271" s="1610" t="str">
        <f t="shared" si="104"/>
        <v>BK</v>
      </c>
      <c r="AV271" s="1148">
        <f t="shared" si="84"/>
        <v>40</v>
      </c>
      <c r="AW271" s="920" t="str">
        <f t="shared" si="87"/>
        <v>SCT</v>
      </c>
      <c r="AX271" s="1608">
        <f t="shared" si="85"/>
        <v>40</v>
      </c>
      <c r="AY271" s="112" t="str">
        <f>IF(BA271="Y",AZ271,IF(AND(ISNUMBER(AY270),AC271&lt;$F$186+26/25),(MID(INDEX($A$187:$B$210,MATCH("VIS",$A$187:$A$210,0),2),8+(3*COUNT($AY$207:AY270)),1))*1,IF(AND(HOUR(AC271)=HOUR($F$186),DAY(AC271)=DAY($F$186)),(MID(INDEX($A$187:$B$210,MATCH("VIS",$A$187:$A$210,0),2),8,1))*1,"")))</f>
        <v/>
      </c>
      <c r="AZ271" s="112" t="str">
        <f>IF(AND(ISNUMBER(AZ270),AC271&lt;$F$186+26/25),(MID(INDEX($A$187:$B$210,MATCH("CVS",$A$187:$A$210,0),2),8+(3*COUNT($AZ$207:AZ270)),1))*1,IF(AND(HOUR(AC271)=HOUR($F$186),DAY(AC271)=DAY($F$186)),(MID(INDEX($A$187:$B$210,MATCH("CVS",$A$187:$A$210,0),2),8,1))*1,""))</f>
        <v/>
      </c>
      <c r="BA271" s="1610" t="str">
        <f>IF(AND(BA270&lt;&gt;"",AC271&lt;$F$186+26/25),MID(INDEX($A$187:$B$210,MATCH("PCO",$A$187:$A$210,0),2),8+(3*SUM(COUNTIF($BA$207:BA270,"Y"),COUNTIF($BA$207:BA270,"N"))),1),IF(AND(HOUR(AC271)=HOUR($F$186),DAY(AC271)=DAY($F$186)),MID(INDEX($A$187:$B$210,MATCH("PCO",$A$187:$A$210,0),2),8,1),""))</f>
        <v/>
      </c>
      <c r="BB271" s="1610" t="e">
        <f>IF(AND(BB270&lt;&gt;"",AC271&lt;$F$186+26/25),MID(INDEX($A$187:$B$210,MATCH("TYP",$A$187:$A$210,0),2),8+(3*SUM(COUNTIF($BB$207:BB270,"S"),COUNTIF($BB$207:BB270,"Z"), COUNTIF($BB$207:BB270,"R"),COUNTIF($BB$207:BB270,"X"))),1),IF(AND(HOUR(AC271)=HOUR($F$186),DAY(AC271)=DAY($F$186)),MID(INDEX($A$187:$B$210,MATCH("TYP",$A$187:$A$210,0),2),8,1),""))</f>
        <v>#N/A</v>
      </c>
      <c r="BC271" s="112" t="str">
        <f>IF(AND(LEN(BC270)=2,AC271&lt;$F$186+26/25),MID(INDEX($A$187:$B$211,MATCH("OBV",$A$187:$A$211,0),2),7+(3*SUM(COUNTIF($BC$207:BC270," N"),COUNTIF($BC$207:BC270,"HZ"),COUNTIF($BC$207:BC270,"BR"),COUNTIF($BC$207:BC270,"FG"),COUNTIF($BC$207:BC270,"BL"))),2),IF(AND(HOUR(AC271)=HOUR($F$186),DAY(AC271)=DAY($F$186)),MID(INDEX($A$187:$B$211,MATCH("OBV",$A$187:$A$211,0),2),7,2),""))</f>
        <v/>
      </c>
      <c r="BD271" s="112"/>
      <c r="BE271" s="112"/>
      <c r="BF271" s="112"/>
      <c r="BG271" s="1610" t="str">
        <f t="shared" si="124"/>
        <v/>
      </c>
      <c r="BH271" s="115">
        <f t="shared" si="105"/>
        <v>7</v>
      </c>
      <c r="BI271" s="200" t="str">
        <f t="shared" si="76"/>
        <v/>
      </c>
      <c r="BJ271" s="62" t="str">
        <f t="shared" si="75"/>
        <v/>
      </c>
      <c r="BK271" s="1145">
        <f t="shared" si="122"/>
        <v>31.5</v>
      </c>
      <c r="BL271" s="62" t="str">
        <f t="shared" si="77"/>
        <v/>
      </c>
      <c r="BM271" s="1145">
        <f t="shared" si="73"/>
        <v>33</v>
      </c>
      <c r="BN271" s="1901" t="str">
        <f t="shared" si="123"/>
        <v xml:space="preserve"> N</v>
      </c>
      <c r="BO271" s="1144" t="e">
        <f t="shared" si="78"/>
        <v>#N/A</v>
      </c>
      <c r="BP271" s="106">
        <f t="shared" si="109"/>
        <v>7</v>
      </c>
      <c r="BQ271" s="66" t="str">
        <f t="shared" si="79"/>
        <v/>
      </c>
      <c r="BR271" s="106" t="str">
        <f t="shared" si="80"/>
        <v/>
      </c>
      <c r="BS271" s="834">
        <f t="shared" ref="BS271:BS302" si="133">IF(COUNT(BR271:BR276)&gt;0,IF(MOD(HOUR(AC271),6)=0,AVERAGE(MAX(BR271:BR277),MIN(BR271:BR277)),IF(MOD(HOUR(AC271),3)=0,MAX(BR272:BR277),IF(MOD(HOUR(AC270),3)=0,BS270,BS272))),"")</f>
        <v>35.5</v>
      </c>
      <c r="BT271" s="106" t="str">
        <f t="shared" si="81"/>
        <v/>
      </c>
      <c r="BU271" s="834">
        <f t="shared" si="63"/>
        <v>30</v>
      </c>
      <c r="BV271" s="66" t="str">
        <f t="shared" si="106"/>
        <v xml:space="preserve"> N</v>
      </c>
      <c r="BW271" s="66" t="e">
        <f t="shared" si="107"/>
        <v>#N/A</v>
      </c>
      <c r="BX271" s="1198">
        <f t="shared" si="86"/>
        <v>7</v>
      </c>
      <c r="BY271" s="1146" t="str">
        <f t="shared" ref="BY271:BY277" si="134">IF(OR(AC271&lt;($B$237-0.001),AC271&gt;(MAX($B$241:$B$321)+0.001)),"",IF(OR(ISNUMBER(MATCH(AC271,$W$241:$W$321,0)),MOD(HOUR(AC271),3)=0),LOOKUP(AC271,$B$241:$B$321,$T$241:$T$321),IF(MOD(HOUR(AC270),3)=0,IF(AND(BX271&lt;7,BY270="NSW"),BY272,BY270),IF(AND(BX271&lt;7,BY272="NSW"),BY270,BY272))))</f>
        <v>NSW</v>
      </c>
      <c r="CA271" s="3675">
        <f t="shared" si="67"/>
        <v>44749.708333333328</v>
      </c>
      <c r="CB271" s="3675"/>
    </row>
    <row r="272" spans="1:80" ht="10.5">
      <c r="A272" s="978" t="str">
        <f>Worksheet!Q109</f>
        <v>029001 24606976 -0592 129902203 8132312724   383167</v>
      </c>
      <c r="B272" s="452">
        <f t="shared" si="120"/>
        <v>44748.958333333328</v>
      </c>
      <c r="C272" s="466">
        <f t="shared" si="110"/>
        <v>29.9</v>
      </c>
      <c r="D272" s="454">
        <f t="shared" si="88"/>
        <v>23</v>
      </c>
      <c r="E272" s="476">
        <f t="shared" si="111"/>
        <v>70</v>
      </c>
      <c r="F272" s="460">
        <f t="shared" si="128"/>
        <v>383</v>
      </c>
      <c r="G272" s="460">
        <f t="shared" si="112"/>
        <v>250</v>
      </c>
      <c r="H272" s="460">
        <f t="shared" si="113"/>
        <v>250</v>
      </c>
      <c r="I272" s="460">
        <f t="shared" si="97"/>
        <v>250</v>
      </c>
      <c r="J272" s="461">
        <f t="shared" si="114"/>
        <v>32</v>
      </c>
      <c r="K272" s="462">
        <f t="shared" si="125"/>
        <v>24</v>
      </c>
      <c r="L272" s="462">
        <f t="shared" si="126"/>
        <v>8</v>
      </c>
      <c r="M272" s="462">
        <f t="shared" si="115"/>
        <v>7</v>
      </c>
      <c r="N272" s="462"/>
      <c r="O272" s="462">
        <f t="shared" si="116"/>
        <v>7</v>
      </c>
      <c r="P272" s="462">
        <f t="shared" si="117"/>
        <v>7</v>
      </c>
      <c r="Q272" s="462">
        <f t="shared" si="129"/>
        <v>16.7</v>
      </c>
      <c r="R272" s="462">
        <f t="shared" si="127"/>
        <v>7</v>
      </c>
      <c r="S272" s="465">
        <f t="shared" si="92"/>
        <v>7</v>
      </c>
      <c r="T272" s="1118" t="str">
        <f t="shared" si="118"/>
        <v>NSW</v>
      </c>
      <c r="U272" s="463" t="str">
        <f t="shared" si="130"/>
        <v/>
      </c>
      <c r="V272" s="464" t="str">
        <f t="shared" ref="V272:V290" si="135">IF(OR(D272=21,D272=12),MAX(VALUE(MID(A272,30,2)),VALUE(MID(A273,30,2)),VALUE(MID(A271,30,2))),"")</f>
        <v/>
      </c>
      <c r="W272" s="411">
        <f t="shared" si="121"/>
        <v>44748.958333333328</v>
      </c>
      <c r="X272" s="410"/>
      <c r="Y272" s="458">
        <f t="shared" si="131"/>
        <v>89.6</v>
      </c>
      <c r="Z272" s="458">
        <f t="shared" si="132"/>
        <v>75.2</v>
      </c>
      <c r="AC272" s="977">
        <f t="shared" si="68"/>
        <v>44749.75</v>
      </c>
      <c r="AD272" s="1610" t="str">
        <f>IF(AND(HOUR(AC272)=HOUR(Worksheet!AF$68),DAY(AC272)=DAY(Worksheet!AF$68)),"START","")</f>
        <v/>
      </c>
      <c r="AE272" s="1149" t="str">
        <f>IF(AND(HOUR(AC272)=HOUR($F$186),DAY(AC272)=DAY($F$186)),(MID($B$189,6,3))*1,IF(AND(ISNUMBER(AE271),AC272&lt;$F$186+1+(1/25)),(MID($B$189,6+(3*COUNT($AE$207:AE271)),3))*1,""))</f>
        <v/>
      </c>
      <c r="AF272" s="1164">
        <f t="shared" si="82"/>
        <v>95.882000000000005</v>
      </c>
      <c r="AG272" s="1150">
        <f t="shared" ref="AG272:AG335" si="136">IF(OR(AC272&lt;($B$237-0.001),AC272&gt;(MAX($B$241:$B$321)+0.001)),"",IF(OR(ISNUMBER(MATCH(AC272,$W$241:$W$321,0)),MOD(HOUR(AC272),3)=0),LOOKUP(AC272,$B$241:$B$321,$Y$241:$Y$321),IF(MOD(HOUR(AC272),3)=1,(AG274-AG271)/3+AG271,(2*(AG273-AG270)/3)+AG270)))</f>
        <v>93.2</v>
      </c>
      <c r="AH272" s="1163" t="str">
        <f>IF(AND(ISNUMBER(AH271),AC272&lt;$F$186+26/25),(MID($B$190,6+(3*COUNT($AH$207:AH271)),3))*1,IF(AND(HOUR(AC272)=HOUR($F$186),DAY(AC272)=DAY($F$186)),(MID($B$190,6,3))*1,""))</f>
        <v/>
      </c>
      <c r="AI272" s="1901" t="str">
        <f t="shared" si="108"/>
        <v/>
      </c>
      <c r="AJ272" s="1164">
        <f t="shared" ref="AJ272:AJ335" si="137">IF(AC272&lt;($AE$197-0.001),"",IF(MOD(HOUR(AC272),3)=0,(MID($B$220,3+ROUND((9*((AC272-$AE$197)*8)),1),6)*1)*1.8-459.67,IF(MOD(HOUR(AC272),3)=1,(AJ274-AJ271)/3+AJ271,(2*(AJ273-AJ270)/3)+AJ270)))</f>
        <v>74.065999999999974</v>
      </c>
      <c r="AK272" s="1150">
        <f t="shared" ref="AK272:AK335" si="138">IF(OR(AC272&lt;($B$237-0.001),AC272&gt;(MAX($B$241:$B$321)+0.001)),"",IF(OR(ISNUMBER(MATCH(AC272,$W$241:$W$321,0)),MOD(HOUR(AC272),3)=0),LOOKUP(AC272,$B$241:$B$321,$Z$241:$Z$321),IF(MOD(HOUR(AC272),3)=1,(AK274-AK271)/3+AK271,(2*(AK273-AK270)/3)+AK270)))</f>
        <v>73.400000000000006</v>
      </c>
      <c r="AL272" s="1152">
        <f t="shared" si="83"/>
        <v>29.88</v>
      </c>
      <c r="AM272" s="1153">
        <f t="shared" ref="AM272:AM335" si="139">IF(OR(AC272&lt;($B$237-0.001),AC272&gt;(MAX($B$241:$B$321)+0.001)),"",IF(OR(ISNUMBER(MATCH(AC272,$W$241:$W$321,0)),MOD(HOUR(AC272),3)=0),LOOKUP(AC272,$B$241:$B$321,$C$241:$C$321),IF(MOD(HOUR(AC272),3)=1,(AM274-AM271)/3+AM271,(2*(AM273-AM270)/3)+AM270)))</f>
        <v>29.92</v>
      </c>
      <c r="AN272" s="1147"/>
      <c r="AO272" s="976" t="str">
        <f>IF(BA272="Y",AP272,IF(AND(ISNUMBER(AO271),AC272&lt;$F$186+26/25),(MID(INDEX($A$187:$B$210,MATCH("CIG",$A$187:$A$210,0),2),8+(3*COUNT($AO$207:AO271)),1))*1,IF(AND(HOUR(AC272)=HOUR($F$186),DAY(AC272)=DAY($F$186)),(MID(INDEX($A$187:$B$210,MATCH("CIG",$A$187:$A$210,0),2),8,1))*1,"")))</f>
        <v/>
      </c>
      <c r="AP272" s="1061" t="str">
        <f>IF(AND(ISNUMBER(AP271),AC272&lt;$F$186+26/25),(MID(INDEX($A$187:$B$210,MATCH("CCG",$A$187:$A$210,0),2),8+(3*COUNT($AP$207:AP271)),1))*1,IF(AND(HOUR(AC272)=HOUR($F$186),DAY(AC272)=DAY($F$186)),(MID(INDEX($A$187:$B$210,MATCH("CCG",$A$187:$A$210,0),2),8,1))*1,""))</f>
        <v/>
      </c>
      <c r="AQ272" s="1061" t="str">
        <f>IF(AND(AQ271&lt;&gt;"",AC272&lt;$F$186+26/25),MID(INDEX($A$187:$B$210,MATCH("CLD",$A$187:$A$210,0),2),7+(3*SUM(COUNTIF($AQ$207:AQ271,"OV"),COUNTIF($AQ$207:AQ271,"BK"),COUNTIF($AQ$207:AQ271,"SC"),COUNTIF($AQ$207:AQ271,"FW"),COUNTIF($AQ$207:AQ271,"CL"))),2),IF(AND(HOUR(AC272)=HOUR($F$186),DAY(AC272)=DAY($F$186)),MID(INDEX($A$187:$B$210,MATCH("CLD",$A$187:$A$210,0),2),7,2),""))</f>
        <v/>
      </c>
      <c r="AR272" s="1149">
        <f t="shared" ref="AR272:AR303" si="140">IF(OR(AC272&lt;($F$373-0.001),AC272&gt;($F$374+0.001)),"",IF(AC272-$F$373&lt;2.24,IF(MOD(HOUR(AC272),3)=0,(MID(INDEX($A$369:$B$392,MATCH("CIG",$A$369:$A$392,0),2),8+(3*(AC272-$F$373)*8),1))*1,IF(MOD(HOUR(AC271),3)=0,AR271,AR273)),IF(MOD(HOUR(AC272),6)=0,(MID(INDEX($A$369:$B$392,MATCH("CIG",$A$369:$A$392,0),2),62+(3*(ROUND(((AC272-$F$373)-2.25)*4,1))),1))*1,"")))</f>
        <v>7</v>
      </c>
      <c r="AS272" s="1150" t="str">
        <f t="shared" ref="AS272:AS303" si="141">IF(OR(AC272&lt;($F$373-0.001),AC272&gt;($F$374+0.001)),"",IF(AC272-$F$373&lt;2.24,IF(MOD(HOUR(AC272),3)=0,(MID(INDEX($A$369:$B$392,MATCH("CLD",$A$369:$A$392,0),2),7+(3*(AC272-$F$373)*8),2)),IF(MOD(HOUR(AC271),3)=0,AS271,AS273)),IF(MOD(HOUR(AC272),6)=0,(MID(INDEX($A$369:$B$392,MATCH("CLD",$A$369:$A$392,0),2),61+(3*(ROUND(((AC272-$F$373)-2.25)*4,1))),2)),"")))</f>
        <v>BK</v>
      </c>
      <c r="AT272" s="112">
        <f t="shared" ref="AT272:AT303" si="142">IF(OR(AC272&lt;($F$345-0.001),AC272&gt;($F$346+0.001)),"",IF(AC272-$F$345&lt;2.24,IF(MOD(HOUR(AC272),3)=0,(MID(INDEX($A$344:$B$369,MATCH("CIG",$A$344:$A$369,0),2),8+(3*(AC272-$F$345)*8),1))*1,IF(MOD(HOUR(AC271),3)=0,AT271,AT273)),IF(MOD(HOUR(AC272),6)=0,(MID(INDEX($A$344:$B$369,MATCH("CIG",$A$344:$A$369,0),2),62+(3*(ROUND(((AC272-$F$345)-2.25)*4,1))),1))*1,"")))</f>
        <v>7</v>
      </c>
      <c r="AU272" s="1610" t="str">
        <f t="shared" ref="AU272:AU303" si="143">IF(OR(AC272&lt;($F$345-0.001),AC272&gt;($F$346+0.001)),"",IF(AC272-$F$345&lt;2.24,IF(MOD(HOUR(AC272),3)=0,(MID(INDEX($A$344:$B$369,MATCH("CLD",$A$344:$A$369,0),2),7+(3*(AC272-$F$345)*8),2)),IF(MOD(HOUR(AC271),3)=0,AU271,AU273)),IF(MOD(HOUR(AC272),6)=0,(MID(INDEX($A$344:$B$369,MATCH("CLD",$A$344:$A$369,0),2),61+(3*(ROUND(((AC272-$F$345)-2.25)*4,1))),2)),"")))</f>
        <v>BK</v>
      </c>
      <c r="AV272" s="1148">
        <f t="shared" si="84"/>
        <v>40</v>
      </c>
      <c r="AW272" s="920" t="str">
        <f t="shared" si="87"/>
        <v>SCT</v>
      </c>
      <c r="AX272" s="1608">
        <f t="shared" si="85"/>
        <v>40</v>
      </c>
      <c r="AY272" s="112" t="str">
        <f>IF(BA272="Y",AZ272,IF(AND(ISNUMBER(AY271),AC272&lt;$F$186+26/25),(MID(INDEX($A$187:$B$210,MATCH("VIS",$A$187:$A$210,0),2),8+(3*COUNT($AY$207:AY271)),1))*1,IF(AND(HOUR(AC272)=HOUR($F$186),DAY(AC272)=DAY($F$186)),(MID(INDEX($A$187:$B$210,MATCH("VIS",$A$187:$A$210,0),2),8,1))*1,"")))</f>
        <v/>
      </c>
      <c r="AZ272" s="112" t="str">
        <f>IF(AND(ISNUMBER(AZ271),AC272&lt;$F$186+26/25),(MID(INDEX($A$187:$B$210,MATCH("CVS",$A$187:$A$210,0),2),8+(3*COUNT($AZ$207:AZ271)),1))*1,IF(AND(HOUR(AC272)=HOUR($F$186),DAY(AC272)=DAY($F$186)),(MID(INDEX($A$187:$B$210,MATCH("CVS",$A$187:$A$210,0),2),8,1))*1,""))</f>
        <v/>
      </c>
      <c r="BA272" s="1610" t="str">
        <f>IF(AND(BA271&lt;&gt;"",AC272&lt;$F$186+26/25),MID(INDEX($A$187:$B$210,MATCH("PCO",$A$187:$A$210,0),2),8+(3*SUM(COUNTIF($BA$207:BA271,"Y"),COUNTIF($BA$207:BA271,"N"))),1),IF(AND(HOUR(AC272)=HOUR($F$186),DAY(AC272)=DAY($F$186)),MID(INDEX($A$187:$B$210,MATCH("PCO",$A$187:$A$210,0),2),8,1),""))</f>
        <v/>
      </c>
      <c r="BB272" s="1610" t="e">
        <f>IF(AND(BB271&lt;&gt;"",AC272&lt;$F$186+26/25),MID(INDEX($A$187:$B$210,MATCH("TYP",$A$187:$A$210,0),2),8+(3*SUM(COUNTIF($BB$207:BB271,"S"),COUNTIF($BB$207:BB271,"Z"), COUNTIF($BB$207:BB271,"R"),COUNTIF($BB$207:BB271,"X"))),1),IF(AND(HOUR(AC272)=HOUR($F$186),DAY(AC272)=DAY($F$186)),MID(INDEX($A$187:$B$210,MATCH("TYP",$A$187:$A$210,0),2),8,1),""))</f>
        <v>#N/A</v>
      </c>
      <c r="BC272" s="112" t="str">
        <f>IF(AND(LEN(BC271)=2,AC272&lt;$F$186+26/25),MID(INDEX($A$187:$B$211,MATCH("OBV",$A$187:$A$211,0),2),7+(3*SUM(COUNTIF($BC$207:BC271," N"),COUNTIF($BC$207:BC271,"HZ"),COUNTIF($BC$207:BC271,"BR"),COUNTIF($BC$207:BC271,"FG"),COUNTIF($BC$207:BC271,"BL"))),2),IF(AND(HOUR(AC272)=HOUR($F$186),DAY(AC272)=DAY($F$186)),MID(INDEX($A$187:$B$211,MATCH("OBV",$A$187:$A$211,0),2),7,2),""))</f>
        <v/>
      </c>
      <c r="BD272" s="112"/>
      <c r="BE272" s="112"/>
      <c r="BF272" s="112"/>
      <c r="BG272" s="1610" t="str">
        <f t="shared" si="124"/>
        <v/>
      </c>
      <c r="BH272" s="115">
        <f t="shared" ref="BH272:BH303" si="144">IF(OR(AC272&lt;($F$373-0.001),AC272&gt;($F$374+0.001)),"",IF(AC272-$F$373&lt;2.24,IF(MOD(HOUR(AC272),3)=0,(MID(INDEX($A$370:$B$392,MATCH("VIS",$A$370:$A$392,0),2),8+(3*(AC272-$F$373)*8),1))*1,IF(MOD(HOUR(AC271),3)=0,BH271,BH273)),IF(MOD(HOUR(AC272),6)=0,(MID(INDEX($A$370:$B$392,MATCH("VIS",$A$370:$A$392,0),2),62+(3*(ROUND(((AC272-$F$373)-2.25)*4,1))),1))*1,"")))</f>
        <v>7</v>
      </c>
      <c r="BI272" s="200" t="str">
        <f t="shared" si="76"/>
        <v/>
      </c>
      <c r="BJ272" s="62">
        <f t="shared" si="75"/>
        <v>23</v>
      </c>
      <c r="BK272" s="1145">
        <f>IF(COUNT(BJ272:BJ277)&gt;0,IF(MOD(HOUR(AC272),6)=0,AVERAGE(MAX(BJ272:BJ278),MIN(BJ272:BJ278)),IF(MOD(HOUR(AC272),3)=0,MAX(BJ273:BJ278),IF(MOD(HOUR(AC271),3)=0,BK271,BK273))),"")</f>
        <v>31.5</v>
      </c>
      <c r="BL272" s="62">
        <f t="shared" si="77"/>
        <v>19</v>
      </c>
      <c r="BM272" s="1145">
        <f t="shared" si="73"/>
        <v>33</v>
      </c>
      <c r="BN272" s="1901" t="str">
        <f t="shared" si="123"/>
        <v xml:space="preserve"> N</v>
      </c>
      <c r="BO272" s="1144" t="e">
        <f t="shared" si="78"/>
        <v>#N/A</v>
      </c>
      <c r="BP272" s="106">
        <f t="shared" si="109"/>
        <v>7</v>
      </c>
      <c r="BQ272" s="66" t="str">
        <f t="shared" si="79"/>
        <v/>
      </c>
      <c r="BR272" s="106">
        <f t="shared" si="80"/>
        <v>28</v>
      </c>
      <c r="BS272" s="834">
        <f t="shared" si="133"/>
        <v>35.5</v>
      </c>
      <c r="BT272" s="106">
        <f t="shared" si="81"/>
        <v>17</v>
      </c>
      <c r="BU272" s="834">
        <f t="shared" ref="BU272:BU335" si="145">IF(COUNT(BT272:BT277)&gt;0,IF(MOD(HOUR(AC272),6)=0,AVERAGE(MAX(BT272:BT278),MIN(BT272:BT278)),IF(MOD(HOUR(AC272),3)=0,MAX(BT273:BT278),IF(MOD(HOUR(AC271),3)=0,BU271,BU273))),"")</f>
        <v>30</v>
      </c>
      <c r="BV272" s="66" t="str">
        <f t="shared" ref="BV272:BV303" si="146">IF(OR($AC272&lt;($F$345-0.001),$AC272&gt;($F$346+0.001)),"",IF($AC272-$F$345&lt;2.24,IF(MOD(HOUR($AC272),3)=0,MID(INDEX($A$344:$B$369,MATCH("OBV",$A$344:$A$369,0),2),7+(3*($AC272-$F$345)*8),2),IF(MOD(HOUR($AC271),3)=0,BV271,BV273)),IF(MOD(HOUR($AC272),6)=0,MID(INDEX($A$344:$B$369,MATCH("OBV",$A$344:$A$369,0),2),61+(3*(ROUND((($AC272-$F$345)-2.25)*4,2))),2),"")))</f>
        <v xml:space="preserve"> N</v>
      </c>
      <c r="BW272" s="66" t="e">
        <f t="shared" ref="BW272:BW303" si="147">IF(OR($AC272&lt;($F$345-0.001),$AC272&gt;($F$346+0.001)),"",IF($AC272-$F$345&lt;2.24,IF(MOD(HOUR($AC272),3)=0,MID(INDEX($A$344:$B$369,MATCH("TYP",$A$344:$A$369,0),2),7+(3*($AC272-$F$345)*8),2),IF(MOD(HOUR($AC271),3)=0,BW271,BW273)),IF(MOD(HOUR($AC272),6)=0,MID(INDEX($A$344:$B$369,MATCH("TYP",$A$344:$A$369,0),2),61+(3*(ROUND((($AC272-$F$345)-2.25)*4,2))),2),"")))</f>
        <v>#N/A</v>
      </c>
      <c r="BX272" s="1198">
        <f t="shared" si="86"/>
        <v>7</v>
      </c>
      <c r="BY272" s="1146" t="str">
        <f t="shared" si="134"/>
        <v>NSW</v>
      </c>
      <c r="CA272" s="3675">
        <f t="shared" ref="CA272:CA335" si="148">AC272</f>
        <v>44749.75</v>
      </c>
      <c r="CB272" s="3675"/>
    </row>
    <row r="273" spans="1:80" ht="10.5">
      <c r="A273" s="978" t="str">
        <f>Worksheet!Q110</f>
        <v>030000 24616874 00791 129902003 8131312724   373159</v>
      </c>
      <c r="B273" s="452">
        <f t="shared" si="120"/>
        <v>44749</v>
      </c>
      <c r="C273" s="466">
        <f t="shared" si="110"/>
        <v>29.9</v>
      </c>
      <c r="D273" s="454">
        <f t="shared" si="88"/>
        <v>0</v>
      </c>
      <c r="E273" s="476">
        <f t="shared" si="111"/>
        <v>70</v>
      </c>
      <c r="F273" s="460">
        <f t="shared" si="128"/>
        <v>373</v>
      </c>
      <c r="G273" s="460">
        <f t="shared" si="112"/>
        <v>250</v>
      </c>
      <c r="H273" s="460">
        <f t="shared" si="113"/>
        <v>250</v>
      </c>
      <c r="I273" s="460">
        <f t="shared" si="97"/>
        <v>250</v>
      </c>
      <c r="J273" s="461">
        <f t="shared" si="114"/>
        <v>31</v>
      </c>
      <c r="K273" s="462">
        <f t="shared" si="125"/>
        <v>24</v>
      </c>
      <c r="L273" s="462">
        <f t="shared" si="126"/>
        <v>7</v>
      </c>
      <c r="M273" s="462">
        <f t="shared" si="115"/>
        <v>7</v>
      </c>
      <c r="N273" s="462"/>
      <c r="O273" s="462">
        <f t="shared" si="116"/>
        <v>7</v>
      </c>
      <c r="P273" s="462">
        <f t="shared" si="117"/>
        <v>7</v>
      </c>
      <c r="Q273" s="462">
        <f t="shared" si="129"/>
        <v>15.9</v>
      </c>
      <c r="R273" s="462">
        <f t="shared" si="127"/>
        <v>7</v>
      </c>
      <c r="S273" s="465">
        <f t="shared" si="92"/>
        <v>7</v>
      </c>
      <c r="T273" s="1118" t="str">
        <f t="shared" si="118"/>
        <v>NSW</v>
      </c>
      <c r="U273" s="463" t="str">
        <f t="shared" si="130"/>
        <v/>
      </c>
      <c r="V273" s="464" t="str">
        <f t="shared" si="135"/>
        <v/>
      </c>
      <c r="W273" s="411">
        <f t="shared" si="121"/>
        <v>44749</v>
      </c>
      <c r="X273" s="410"/>
      <c r="Y273" s="458">
        <f t="shared" si="131"/>
        <v>87.800000000000011</v>
      </c>
      <c r="Z273" s="458">
        <f t="shared" si="132"/>
        <v>75.2</v>
      </c>
      <c r="AC273" s="977">
        <f t="shared" ref="AC273:AC336" si="149">MROUND(AC272+1/24,1/24)</f>
        <v>44749.791666666664</v>
      </c>
      <c r="AD273" s="1610" t="str">
        <f>IF(AND(HOUR(AC273)=HOUR(Worksheet!AF$68),DAY(AC273)=DAY(Worksheet!AF$68)),"START","")</f>
        <v/>
      </c>
      <c r="AE273" s="1149" t="str">
        <f>IF(AND(HOUR(AC273)=HOUR($F$186),DAY(AC273)=DAY($F$186)),(MID($B$189,6,3))*1,IF(AND(ISNUMBER(AE272),AC273&lt;$F$186+1+(1/25)),(MID($B$189,6+(3*COUNT($AE$207:AE272)),3))*1,""))</f>
        <v/>
      </c>
      <c r="AF273" s="1164">
        <f t="shared" si="82"/>
        <v>96.001999999999967</v>
      </c>
      <c r="AG273" s="1150">
        <f t="shared" si="136"/>
        <v>93.2</v>
      </c>
      <c r="AH273" s="1163" t="str">
        <f>IF(AND(ISNUMBER(AH272),AC273&lt;$F$186+26/25),(MID($B$190,6+(3*COUNT($AH$207:AH272)),3))*1,IF(AND(HOUR(AC273)=HOUR($F$186),DAY(AC273)=DAY($F$186)),(MID($B$190,6,3))*1,""))</f>
        <v/>
      </c>
      <c r="AI273" s="1901" t="str">
        <f t="shared" si="108"/>
        <v/>
      </c>
      <c r="AJ273" s="1164">
        <f t="shared" si="137"/>
        <v>73.669999999999973</v>
      </c>
      <c r="AK273" s="1150">
        <f t="shared" si="138"/>
        <v>72.8</v>
      </c>
      <c r="AL273" s="1152">
        <f t="shared" si="83"/>
        <v>29.866666666666667</v>
      </c>
      <c r="AM273" s="1153">
        <f t="shared" si="139"/>
        <v>29.91</v>
      </c>
      <c r="AN273" s="1147"/>
      <c r="AO273" s="976" t="str">
        <f>IF(BA273="Y",AP273,IF(AND(ISNUMBER(AO272),AC273&lt;$F$186+26/25),(MID(INDEX($A$187:$B$210,MATCH("CIG",$A$187:$A$210,0),2),8+(3*COUNT($AO$207:AO272)),1))*1,IF(AND(HOUR(AC273)=HOUR($F$186),DAY(AC273)=DAY($F$186)),(MID(INDEX($A$187:$B$210,MATCH("CIG",$A$187:$A$210,0),2),8,1))*1,"")))</f>
        <v/>
      </c>
      <c r="AP273" s="1061" t="str">
        <f>IF(AND(ISNUMBER(AP272),AC273&lt;$F$186+26/25),(MID(INDEX($A$187:$B$210,MATCH("CCG",$A$187:$A$210,0),2),8+(3*COUNT($AP$207:AP272)),1))*1,IF(AND(HOUR(AC273)=HOUR($F$186),DAY(AC273)=DAY($F$186)),(MID(INDEX($A$187:$B$210,MATCH("CCG",$A$187:$A$210,0),2),8,1))*1,""))</f>
        <v/>
      </c>
      <c r="AQ273" s="1061" t="str">
        <f>IF(AND(AQ272&lt;&gt;"",AC273&lt;$F$186+26/25),MID(INDEX($A$187:$B$210,MATCH("CLD",$A$187:$A$210,0),2),7+(3*SUM(COUNTIF($AQ$207:AQ272,"OV"),COUNTIF($AQ$207:AQ272,"BK"),COUNTIF($AQ$207:AQ272,"SC"),COUNTIF($AQ$207:AQ272,"FW"),COUNTIF($AQ$207:AQ272,"CL"))),2),IF(AND(HOUR(AC273)=HOUR($F$186),DAY(AC273)=DAY($F$186)),MID(INDEX($A$187:$B$210,MATCH("CLD",$A$187:$A$210,0),2),7,2),""))</f>
        <v/>
      </c>
      <c r="AR273" s="1149">
        <f t="shared" si="140"/>
        <v>7</v>
      </c>
      <c r="AS273" s="1150" t="str">
        <f t="shared" si="141"/>
        <v>BK</v>
      </c>
      <c r="AT273" s="112">
        <f t="shared" si="142"/>
        <v>7</v>
      </c>
      <c r="AU273" s="1610" t="str">
        <f t="shared" si="143"/>
        <v>BK</v>
      </c>
      <c r="AV273" s="1148">
        <f t="shared" si="84"/>
        <v>40</v>
      </c>
      <c r="AW273" s="920" t="str">
        <f t="shared" si="87"/>
        <v>SCT</v>
      </c>
      <c r="AX273" s="1608">
        <f t="shared" si="85"/>
        <v>40</v>
      </c>
      <c r="AY273" s="112" t="str">
        <f>IF(BA273="Y",AZ273,IF(AND(ISNUMBER(AY272),AC273&lt;$F$186+26/25),(MID(INDEX($A$187:$B$210,MATCH("VIS",$A$187:$A$210,0),2),8+(3*COUNT($AY$207:AY272)),1))*1,IF(AND(HOUR(AC273)=HOUR($F$186),DAY(AC273)=DAY($F$186)),(MID(INDEX($A$187:$B$210,MATCH("VIS",$A$187:$A$210,0),2),8,1))*1,"")))</f>
        <v/>
      </c>
      <c r="AZ273" s="112" t="str">
        <f>IF(AND(ISNUMBER(AZ272),AC273&lt;$F$186+26/25),(MID(INDEX($A$187:$B$210,MATCH("CVS",$A$187:$A$210,0),2),8+(3*COUNT($AZ$207:AZ272)),1))*1,IF(AND(HOUR(AC273)=HOUR($F$186),DAY(AC273)=DAY($F$186)),(MID(INDEX($A$187:$B$210,MATCH("CVS",$A$187:$A$210,0),2),8,1))*1,""))</f>
        <v/>
      </c>
      <c r="BA273" s="1610" t="str">
        <f>IF(AND(BA272&lt;&gt;"",AC273&lt;$F$186+26/25),MID(INDEX($A$187:$B$210,MATCH("PCO",$A$187:$A$210,0),2),8+(3*SUM(COUNTIF($BA$207:BA272,"Y"),COUNTIF($BA$207:BA272,"N"))),1),IF(AND(HOUR(AC273)=HOUR($F$186),DAY(AC273)=DAY($F$186)),MID(INDEX($A$187:$B$210,MATCH("PCO",$A$187:$A$210,0),2),8,1),""))</f>
        <v/>
      </c>
      <c r="BB273" s="1610" t="e">
        <f>IF(AND(BB272&lt;&gt;"",AC273&lt;$F$186+26/25),MID(INDEX($A$187:$B$210,MATCH("TYP",$A$187:$A$210,0),2),8+(3*SUM(COUNTIF($BB$207:BB272,"S"),COUNTIF($BB$207:BB272,"Z"), COUNTIF($BB$207:BB272,"R"),COUNTIF($BB$207:BB272,"X"))),1),IF(AND(HOUR(AC273)=HOUR($F$186),DAY(AC273)=DAY($F$186)),MID(INDEX($A$187:$B$210,MATCH("TYP",$A$187:$A$210,0),2),8,1),""))</f>
        <v>#N/A</v>
      </c>
      <c r="BC273" s="112" t="str">
        <f>IF(AND(LEN(BC272)=2,AC273&lt;$F$186+26/25),MID(INDEX($A$187:$B$211,MATCH("OBV",$A$187:$A$211,0),2),7+(3*SUM(COUNTIF($BC$207:BC272," N"),COUNTIF($BC$207:BC272,"HZ"),COUNTIF($BC$207:BC272,"BR"),COUNTIF($BC$207:BC272,"FG"),COUNTIF($BC$207:BC272,"BL"))),2),IF(AND(HOUR(AC273)=HOUR($F$186),DAY(AC273)=DAY($F$186)),MID(INDEX($A$187:$B$211,MATCH("OBV",$A$187:$A$211,0),2),7,2),""))</f>
        <v/>
      </c>
      <c r="BD273" s="112"/>
      <c r="BE273" s="112"/>
      <c r="BF273" s="112"/>
      <c r="BG273" s="1610" t="str">
        <f t="shared" si="124"/>
        <v/>
      </c>
      <c r="BH273" s="115">
        <f t="shared" si="144"/>
        <v>7</v>
      </c>
      <c r="BI273" s="200" t="str">
        <f t="shared" si="76"/>
        <v/>
      </c>
      <c r="BJ273" s="62" t="str">
        <f t="shared" si="75"/>
        <v/>
      </c>
      <c r="BK273" s="1145">
        <f t="shared" si="122"/>
        <v>31.5</v>
      </c>
      <c r="BL273" s="62" t="str">
        <f t="shared" si="77"/>
        <v/>
      </c>
      <c r="BM273" s="1145">
        <f t="shared" ref="BM273:BM336" si="150">IF(COUNT(BL273:BL278)&gt;0,IF(MOD(HOUR(AC273),6)=0,AVERAGE(MAX(BL273:BL279),MIN(BL273:BL279)),IF(MOD(HOUR(AC273),3)=0,MAX(BL274:BL279),IF(MOD(HOUR(AC272),3)=0,BM272,BM274))),"")</f>
        <v>33</v>
      </c>
      <c r="BN273" s="1901" t="str">
        <f t="shared" si="123"/>
        <v xml:space="preserve"> N</v>
      </c>
      <c r="BO273" s="1144" t="e">
        <f t="shared" si="78"/>
        <v>#N/A</v>
      </c>
      <c r="BP273" s="106">
        <f t="shared" ref="BP273:BP304" si="151">IF(OR(AC273&lt;($F$345-0.001),AC273&gt;($F$346+0.001)),"",IF(AC273-$F$345&lt;2.24,IF(MOD(HOUR(AC273),3)=0,(MID(INDEX($A$344:$B$369,MATCH("VIS",$A$344:$A$369,0),2),8+(3*(AC273-$F$345)*8),1))*1,IF(MOD(HOUR(AC272),3)=0,BP272,BP274)),IF(MOD(HOUR(AC273),6)=0,(MID(INDEX($A$344:$B$369,MATCH("VIS",$A$344:$A$369,0),2),62+(3*(ROUND(((AC273-$F$345)-2.25)*4,1))),1))*1,"")))</f>
        <v>7</v>
      </c>
      <c r="BQ273" s="66" t="str">
        <f t="shared" si="79"/>
        <v/>
      </c>
      <c r="BR273" s="106" t="str">
        <f t="shared" si="80"/>
        <v/>
      </c>
      <c r="BS273" s="834">
        <f t="shared" si="133"/>
        <v>35.5</v>
      </c>
      <c r="BT273" s="106" t="str">
        <f t="shared" si="81"/>
        <v/>
      </c>
      <c r="BU273" s="834">
        <f t="shared" si="145"/>
        <v>30</v>
      </c>
      <c r="BV273" s="66" t="str">
        <f t="shared" si="146"/>
        <v xml:space="preserve"> N</v>
      </c>
      <c r="BW273" s="66" t="e">
        <f t="shared" si="147"/>
        <v>#N/A</v>
      </c>
      <c r="BX273" s="1198">
        <f t="shared" si="86"/>
        <v>7</v>
      </c>
      <c r="BY273" s="1146" t="str">
        <f t="shared" si="134"/>
        <v>NSW</v>
      </c>
      <c r="CA273" s="3675">
        <f t="shared" si="148"/>
        <v>44749.791666666664</v>
      </c>
      <c r="CB273" s="3675"/>
    </row>
    <row r="274" spans="1:80" ht="10.5">
      <c r="A274" s="978" t="str">
        <f>Worksheet!Q111</f>
        <v>031000 24606672 01692 129901804 8130312725   342147</v>
      </c>
      <c r="B274" s="452">
        <f t="shared" si="120"/>
        <v>44749.041666666664</v>
      </c>
      <c r="C274" s="466">
        <f t="shared" si="110"/>
        <v>29.9</v>
      </c>
      <c r="D274" s="454">
        <f t="shared" si="88"/>
        <v>1</v>
      </c>
      <c r="E274" s="476">
        <f t="shared" si="111"/>
        <v>70</v>
      </c>
      <c r="F274" s="460">
        <f t="shared" si="128"/>
        <v>342</v>
      </c>
      <c r="G274" s="460">
        <f t="shared" si="112"/>
        <v>250</v>
      </c>
      <c r="H274" s="460">
        <f t="shared" si="113"/>
        <v>250</v>
      </c>
      <c r="I274" s="460">
        <f t="shared" si="97"/>
        <v>250</v>
      </c>
      <c r="J274" s="461">
        <f t="shared" si="114"/>
        <v>30</v>
      </c>
      <c r="K274" s="462">
        <f t="shared" si="125"/>
        <v>24</v>
      </c>
      <c r="L274" s="462">
        <f t="shared" si="126"/>
        <v>6</v>
      </c>
      <c r="M274" s="462">
        <f t="shared" si="115"/>
        <v>7</v>
      </c>
      <c r="N274" s="462"/>
      <c r="O274" s="462">
        <f t="shared" si="116"/>
        <v>7</v>
      </c>
      <c r="P274" s="462">
        <f t="shared" si="117"/>
        <v>7</v>
      </c>
      <c r="Q274" s="462">
        <f t="shared" si="129"/>
        <v>14.700000000000001</v>
      </c>
      <c r="R274" s="462">
        <f t="shared" si="127"/>
        <v>7</v>
      </c>
      <c r="S274" s="465">
        <f t="shared" si="92"/>
        <v>7</v>
      </c>
      <c r="T274" s="1118" t="str">
        <f t="shared" si="118"/>
        <v>NSW</v>
      </c>
      <c r="U274" s="463" t="str">
        <f t="shared" si="130"/>
        <v/>
      </c>
      <c r="V274" s="464" t="str">
        <f t="shared" si="135"/>
        <v/>
      </c>
      <c r="W274" s="411">
        <f t="shared" si="121"/>
        <v>44749.041666666664</v>
      </c>
      <c r="X274" s="410"/>
      <c r="Y274" s="458">
        <f t="shared" si="131"/>
        <v>86</v>
      </c>
      <c r="Z274" s="458">
        <f t="shared" si="132"/>
        <v>75.2</v>
      </c>
      <c r="AC274" s="977">
        <f t="shared" si="149"/>
        <v>44749.833333333328</v>
      </c>
      <c r="AD274" s="1610" t="str">
        <f>IF(AND(HOUR(AC274)=HOUR(Worksheet!AF$68),DAY(AC274)=DAY(Worksheet!AF$68)),"START","")</f>
        <v/>
      </c>
      <c r="AE274" s="1149" t="str">
        <f>IF(AND(HOUR(AC274)=HOUR($F$186),DAY(AC274)=DAY($F$186)),(MID($B$189,6,3))*1,IF(AND(ISNUMBER(AE273),AC274&lt;$F$186+1+(1/25)),(MID($B$189,6+(3*COUNT($AE$207:AE273)),3))*1,""))</f>
        <v/>
      </c>
      <c r="AF274" s="1164">
        <f t="shared" si="82"/>
        <v>96.121999999999943</v>
      </c>
      <c r="AG274" s="1150">
        <f t="shared" si="136"/>
        <v>93.2</v>
      </c>
      <c r="AH274" s="1163" t="str">
        <f>IF(AND(ISNUMBER(AH273),AC274&lt;$F$186+26/25),(MID($B$190,6+(3*COUNT($AH$207:AH273)),3))*1,IF(AND(HOUR(AC274)=HOUR($F$186),DAY(AC274)=DAY($F$186)),(MID($B$190,6,3))*1,""))</f>
        <v/>
      </c>
      <c r="AI274" s="1901" t="str">
        <f t="shared" si="108"/>
        <v/>
      </c>
      <c r="AJ274" s="1164">
        <f t="shared" si="137"/>
        <v>73.273999999999987</v>
      </c>
      <c r="AK274" s="1150">
        <f t="shared" si="138"/>
        <v>72.2</v>
      </c>
      <c r="AL274" s="1152">
        <f t="shared" si="83"/>
        <v>29.853333333333332</v>
      </c>
      <c r="AM274" s="1153">
        <f t="shared" si="139"/>
        <v>29.900000000000002</v>
      </c>
      <c r="AN274" s="1147"/>
      <c r="AO274" s="976" t="str">
        <f>IF(BA274="Y",AP274,IF(AND(ISNUMBER(AO273),AC274&lt;$F$186+26/25),(MID(INDEX($A$187:$B$210,MATCH("CIG",$A$187:$A$210,0),2),8+(3*COUNT($AO$207:AO273)),1))*1,IF(AND(HOUR(AC274)=HOUR($F$186),DAY(AC274)=DAY($F$186)),(MID(INDEX($A$187:$B$210,MATCH("CIG",$A$187:$A$210,0),2),8,1))*1,"")))</f>
        <v/>
      </c>
      <c r="AP274" s="1061" t="str">
        <f>IF(AND(ISNUMBER(AP273),AC274&lt;$F$186+26/25),(MID(INDEX($A$187:$B$210,MATCH("CCG",$A$187:$A$210,0),2),8+(3*COUNT($AP$207:AP273)),1))*1,IF(AND(HOUR(AC274)=HOUR($F$186),DAY(AC274)=DAY($F$186)),(MID(INDEX($A$187:$B$210,MATCH("CCG",$A$187:$A$210,0),2),8,1))*1,""))</f>
        <v/>
      </c>
      <c r="AQ274" s="1061" t="str">
        <f>IF(AND(AQ273&lt;&gt;"",AC274&lt;$F$186+26/25),MID(INDEX($A$187:$B$210,MATCH("CLD",$A$187:$A$210,0),2),7+(3*SUM(COUNTIF($AQ$207:AQ273,"OV"),COUNTIF($AQ$207:AQ273,"BK"),COUNTIF($AQ$207:AQ273,"SC"),COUNTIF($AQ$207:AQ273,"FW"),COUNTIF($AQ$207:AQ273,"CL"))),2),IF(AND(HOUR(AC274)=HOUR($F$186),DAY(AC274)=DAY($F$186)),MID(INDEX($A$187:$B$210,MATCH("CLD",$A$187:$A$210,0),2),7,2),""))</f>
        <v/>
      </c>
      <c r="AR274" s="1149">
        <f t="shared" si="140"/>
        <v>8</v>
      </c>
      <c r="AS274" s="1150" t="str">
        <f t="shared" si="141"/>
        <v>BK</v>
      </c>
      <c r="AT274" s="112">
        <f t="shared" si="142"/>
        <v>8</v>
      </c>
      <c r="AU274" s="1610" t="str">
        <f t="shared" si="143"/>
        <v>BK</v>
      </c>
      <c r="AV274" s="1148">
        <f t="shared" si="84"/>
        <v>40</v>
      </c>
      <c r="AW274" s="920" t="str">
        <f t="shared" si="87"/>
        <v>SCT</v>
      </c>
      <c r="AX274" s="1608">
        <f t="shared" si="85"/>
        <v>40</v>
      </c>
      <c r="AY274" s="112" t="str">
        <f>IF(BA274="Y",AZ274,IF(AND(ISNUMBER(AY273),AC274&lt;$F$186+26/25),(MID(INDEX($A$187:$B$210,MATCH("VIS",$A$187:$A$210,0),2),8+(3*COUNT($AY$207:AY273)),1))*1,IF(AND(HOUR(AC274)=HOUR($F$186),DAY(AC274)=DAY($F$186)),(MID(INDEX($A$187:$B$210,MATCH("VIS",$A$187:$A$210,0),2),8,1))*1,"")))</f>
        <v/>
      </c>
      <c r="AZ274" s="112" t="str">
        <f>IF(AND(ISNUMBER(AZ273),AC274&lt;$F$186+26/25),(MID(INDEX($A$187:$B$210,MATCH("CVS",$A$187:$A$210,0),2),8+(3*COUNT($AZ$207:AZ273)),1))*1,IF(AND(HOUR(AC274)=HOUR($F$186),DAY(AC274)=DAY($F$186)),(MID(INDEX($A$187:$B$210,MATCH("CVS",$A$187:$A$210,0),2),8,1))*1,""))</f>
        <v/>
      </c>
      <c r="BA274" s="1610" t="str">
        <f>IF(AND(BA273&lt;&gt;"",AC274&lt;$F$186+26/25),MID(INDEX($A$187:$B$210,MATCH("PCO",$A$187:$A$210,0),2),8+(3*SUM(COUNTIF($BA$207:BA273,"Y"),COUNTIF($BA$207:BA273,"N"))),1),IF(AND(HOUR(AC274)=HOUR($F$186),DAY(AC274)=DAY($F$186)),MID(INDEX($A$187:$B$210,MATCH("PCO",$A$187:$A$210,0),2),8,1),""))</f>
        <v/>
      </c>
      <c r="BB274" s="1610" t="e">
        <f>IF(AND(BB273&lt;&gt;"",AC274&lt;$F$186+26/25),MID(INDEX($A$187:$B$210,MATCH("TYP",$A$187:$A$210,0),2),8+(3*SUM(COUNTIF($BB$207:BB273,"S"),COUNTIF($BB$207:BB273,"Z"), COUNTIF($BB$207:BB273,"R"),COUNTIF($BB$207:BB273,"X"))),1),IF(AND(HOUR(AC274)=HOUR($F$186),DAY(AC274)=DAY($F$186)),MID(INDEX($A$187:$B$210,MATCH("TYP",$A$187:$A$210,0),2),8,1),""))</f>
        <v>#N/A</v>
      </c>
      <c r="BC274" s="112" t="str">
        <f>IF(AND(LEN(BC273)=2,AC274&lt;$F$186+26/25),MID(INDEX($A$187:$B$211,MATCH("OBV",$A$187:$A$211,0),2),7+(3*SUM(COUNTIF($BC$207:BC273," N"),COUNTIF($BC$207:BC273,"HZ"),COUNTIF($BC$207:BC273,"BR"),COUNTIF($BC$207:BC273,"FG"),COUNTIF($BC$207:BC273,"BL"))),2),IF(AND(HOUR(AC274)=HOUR($F$186),DAY(AC274)=DAY($F$186)),MID(INDEX($A$187:$B$211,MATCH("OBV",$A$187:$A$211,0),2),7,2),""))</f>
        <v/>
      </c>
      <c r="BD274" s="112"/>
      <c r="BE274" s="112"/>
      <c r="BF274" s="112"/>
      <c r="BG274" s="1610" t="str">
        <f t="shared" si="124"/>
        <v/>
      </c>
      <c r="BH274" s="115">
        <f t="shared" si="144"/>
        <v>7</v>
      </c>
      <c r="BI274" s="200" t="str">
        <f t="shared" si="76"/>
        <v/>
      </c>
      <c r="BJ274" s="62" t="str">
        <f t="shared" si="75"/>
        <v/>
      </c>
      <c r="BK274" s="1145">
        <f t="shared" si="122"/>
        <v>40</v>
      </c>
      <c r="BL274" s="62" t="str">
        <f t="shared" si="77"/>
        <v/>
      </c>
      <c r="BM274" s="1145">
        <f t="shared" si="150"/>
        <v>47</v>
      </c>
      <c r="BN274" s="1901" t="str">
        <f t="shared" si="123"/>
        <v xml:space="preserve"> N</v>
      </c>
      <c r="BO274" s="1144" t="e">
        <f t="shared" si="78"/>
        <v>#N/A</v>
      </c>
      <c r="BP274" s="106">
        <f t="shared" si="151"/>
        <v>7</v>
      </c>
      <c r="BQ274" s="66" t="str">
        <f t="shared" si="79"/>
        <v/>
      </c>
      <c r="BR274" s="106" t="str">
        <f t="shared" si="80"/>
        <v/>
      </c>
      <c r="BS274" s="834">
        <f t="shared" si="133"/>
        <v>43</v>
      </c>
      <c r="BT274" s="106" t="str">
        <f t="shared" si="81"/>
        <v/>
      </c>
      <c r="BU274" s="834">
        <f t="shared" si="145"/>
        <v>43</v>
      </c>
      <c r="BV274" s="66" t="str">
        <f t="shared" si="146"/>
        <v xml:space="preserve"> N</v>
      </c>
      <c r="BW274" s="66" t="e">
        <f t="shared" si="147"/>
        <v>#N/A</v>
      </c>
      <c r="BX274" s="1198">
        <f t="shared" si="86"/>
        <v>7</v>
      </c>
      <c r="BY274" s="1146" t="str">
        <f t="shared" si="134"/>
        <v>NSW</v>
      </c>
      <c r="CA274" s="3675">
        <f t="shared" si="148"/>
        <v>44749.833333333328</v>
      </c>
      <c r="CB274" s="3675"/>
    </row>
    <row r="275" spans="1:80" ht="10.5">
      <c r="A275" s="978" t="str">
        <f>Worksheet!Q112</f>
        <v>032000 24596671 00592 129921804 8128312725   322141</v>
      </c>
      <c r="B275" s="452">
        <f t="shared" si="120"/>
        <v>44749.083333333328</v>
      </c>
      <c r="C275" s="466">
        <f t="shared" si="110"/>
        <v>29.92</v>
      </c>
      <c r="D275" s="454">
        <f t="shared" si="88"/>
        <v>2</v>
      </c>
      <c r="E275" s="476">
        <f t="shared" si="111"/>
        <v>70</v>
      </c>
      <c r="F275" s="460">
        <f t="shared" si="128"/>
        <v>322</v>
      </c>
      <c r="G275" s="460">
        <f t="shared" si="112"/>
        <v>250</v>
      </c>
      <c r="H275" s="460">
        <f t="shared" si="113"/>
        <v>250</v>
      </c>
      <c r="I275" s="460">
        <f t="shared" si="97"/>
        <v>250</v>
      </c>
      <c r="J275" s="461">
        <f t="shared" si="114"/>
        <v>28</v>
      </c>
      <c r="K275" s="462">
        <f t="shared" si="125"/>
        <v>24</v>
      </c>
      <c r="L275" s="462">
        <f t="shared" si="126"/>
        <v>4</v>
      </c>
      <c r="M275" s="462">
        <f t="shared" si="115"/>
        <v>7</v>
      </c>
      <c r="N275" s="462"/>
      <c r="O275" s="462">
        <f t="shared" si="116"/>
        <v>7</v>
      </c>
      <c r="P275" s="462">
        <f t="shared" si="117"/>
        <v>7</v>
      </c>
      <c r="Q275" s="462">
        <f t="shared" si="129"/>
        <v>14.100000000000001</v>
      </c>
      <c r="R275" s="462">
        <f t="shared" si="127"/>
        <v>7</v>
      </c>
      <c r="S275" s="465">
        <f t="shared" si="92"/>
        <v>7</v>
      </c>
      <c r="T275" s="1118" t="str">
        <f t="shared" si="118"/>
        <v>NSW</v>
      </c>
      <c r="U275" s="463" t="str">
        <f t="shared" si="130"/>
        <v/>
      </c>
      <c r="V275" s="464" t="str">
        <f t="shared" si="135"/>
        <v/>
      </c>
      <c r="W275" s="411">
        <f t="shared" si="121"/>
        <v>44749.083333333328</v>
      </c>
      <c r="X275" s="410"/>
      <c r="Y275" s="458">
        <f t="shared" si="131"/>
        <v>82.4</v>
      </c>
      <c r="Z275" s="458">
        <f t="shared" si="132"/>
        <v>75.2</v>
      </c>
      <c r="AA275" s="459"/>
      <c r="AB275" s="459"/>
      <c r="AC275" s="977">
        <f t="shared" si="149"/>
        <v>44749.875</v>
      </c>
      <c r="AD275" s="1610" t="str">
        <f>IF(AND(HOUR(AC275)=HOUR(Worksheet!AF$68),DAY(AC275)=DAY(Worksheet!AF$68)),"START","")</f>
        <v/>
      </c>
      <c r="AE275" s="1149" t="str">
        <f>IF(AND(HOUR(AC275)=HOUR($F$186),DAY(AC275)=DAY($F$186)),(MID($B$189,6,3))*1,IF(AND(ISNUMBER(AE274),AC275&lt;$F$186+1+(1/25)),(MID($B$189,6+(3*COUNT($AE$207:AE274)),3))*1,""))</f>
        <v/>
      </c>
      <c r="AF275" s="1164">
        <f t="shared" si="82"/>
        <v>96.241999999999905</v>
      </c>
      <c r="AG275" s="1150">
        <f t="shared" si="136"/>
        <v>93.2</v>
      </c>
      <c r="AH275" s="1163" t="str">
        <f>IF(AND(ISNUMBER(AH274),AC275&lt;$F$186+26/25),(MID($B$190,6+(3*COUNT($AH$207:AH274)),3))*1,IF(AND(HOUR(AC275)=HOUR($F$186),DAY(AC275)=DAY($F$186)),(MID($B$190,6,3))*1,""))</f>
        <v/>
      </c>
      <c r="AI275" s="1901" t="str">
        <f t="shared" si="108"/>
        <v/>
      </c>
      <c r="AJ275" s="1164">
        <f t="shared" si="137"/>
        <v>72.877999999999986</v>
      </c>
      <c r="AK275" s="1150">
        <f t="shared" si="138"/>
        <v>71.599999999999994</v>
      </c>
      <c r="AL275" s="1152">
        <f t="shared" si="83"/>
        <v>29.84</v>
      </c>
      <c r="AM275" s="1153">
        <f t="shared" si="139"/>
        <v>29.89</v>
      </c>
      <c r="AN275" s="1147"/>
      <c r="AO275" s="976" t="str">
        <f>IF(BA275="Y",AP275,IF(AND(ISNUMBER(AO274),AC275&lt;$F$186+26/25),(MID(INDEX($A$187:$B$210,MATCH("CIG",$A$187:$A$210,0),2),8+(3*COUNT($AO$207:AO274)),1))*1,IF(AND(HOUR(AC275)=HOUR($F$186),DAY(AC275)=DAY($F$186)),(MID(INDEX($A$187:$B$210,MATCH("CIG",$A$187:$A$210,0),2),8,1))*1,"")))</f>
        <v/>
      </c>
      <c r="AP275" s="1061" t="str">
        <f>IF(AND(ISNUMBER(AP274),AC275&lt;$F$186+26/25),(MID(INDEX($A$187:$B$210,MATCH("CCG",$A$187:$A$210,0),2),8+(3*COUNT($AP$207:AP274)),1))*1,IF(AND(HOUR(AC275)=HOUR($F$186),DAY(AC275)=DAY($F$186)),(MID(INDEX($A$187:$B$210,MATCH("CCG",$A$187:$A$210,0),2),8,1))*1,""))</f>
        <v/>
      </c>
      <c r="AQ275" s="1061" t="str">
        <f>IF(AND(AQ274&lt;&gt;"",AC275&lt;$F$186+26/25),MID(INDEX($A$187:$B$210,MATCH("CLD",$A$187:$A$210,0),2),7+(3*SUM(COUNTIF($AQ$207:AQ274,"OV"),COUNTIF($AQ$207:AQ274,"BK"),COUNTIF($AQ$207:AQ274,"SC"),COUNTIF($AQ$207:AQ274,"FW"),COUNTIF($AQ$207:AQ274,"CL"))),2),IF(AND(HOUR(AC275)=HOUR($F$186),DAY(AC275)=DAY($F$186)),MID(INDEX($A$187:$B$210,MATCH("CLD",$A$187:$A$210,0),2),7,2),""))</f>
        <v/>
      </c>
      <c r="AR275" s="1149">
        <f t="shared" si="140"/>
        <v>8</v>
      </c>
      <c r="AS275" s="1150" t="str">
        <f t="shared" si="141"/>
        <v>BK</v>
      </c>
      <c r="AT275" s="112">
        <f t="shared" si="142"/>
        <v>8</v>
      </c>
      <c r="AU275" s="1610" t="str">
        <f t="shared" si="143"/>
        <v>BK</v>
      </c>
      <c r="AV275" s="1148">
        <f t="shared" si="84"/>
        <v>40</v>
      </c>
      <c r="AW275" s="920" t="str">
        <f t="shared" si="87"/>
        <v>SCT</v>
      </c>
      <c r="AX275" s="1608">
        <f t="shared" si="85"/>
        <v>40</v>
      </c>
      <c r="AY275" s="112" t="str">
        <f>IF(BA275="Y",AZ275,IF(AND(ISNUMBER(AY274),AC275&lt;$F$186+26/25),(MID(INDEX($A$187:$B$210,MATCH("VIS",$A$187:$A$210,0),2),8+(3*COUNT($AY$207:AY274)),1))*1,IF(AND(HOUR(AC275)=HOUR($F$186),DAY(AC275)=DAY($F$186)),(MID(INDEX($A$187:$B$210,MATCH("VIS",$A$187:$A$210,0),2),8,1))*1,"")))</f>
        <v/>
      </c>
      <c r="AZ275" s="112" t="str">
        <f>IF(AND(ISNUMBER(AZ274),AC275&lt;$F$186+26/25),(MID(INDEX($A$187:$B$210,MATCH("CVS",$A$187:$A$210,0),2),8+(3*COUNT($AZ$207:AZ274)),1))*1,IF(AND(HOUR(AC275)=HOUR($F$186),DAY(AC275)=DAY($F$186)),(MID(INDEX($A$187:$B$210,MATCH("CVS",$A$187:$A$210,0),2),8,1))*1,""))</f>
        <v/>
      </c>
      <c r="BA275" s="1610" t="str">
        <f>IF(AND(BA274&lt;&gt;"",AC275&lt;$F$186+26/25),MID(INDEX($A$187:$B$210,MATCH("PCO",$A$187:$A$210,0),2),8+(3*SUM(COUNTIF($BA$207:BA274,"Y"),COUNTIF($BA$207:BA274,"N"))),1),IF(AND(HOUR(AC275)=HOUR($F$186),DAY(AC275)=DAY($F$186)),MID(INDEX($A$187:$B$210,MATCH("PCO",$A$187:$A$210,0),2),8,1),""))</f>
        <v/>
      </c>
      <c r="BB275" s="1610" t="e">
        <f>IF(AND(BB274&lt;&gt;"",AC275&lt;$F$186+26/25),MID(INDEX($A$187:$B$210,MATCH("TYP",$A$187:$A$210,0),2),8+(3*SUM(COUNTIF($BB$207:BB274,"S"),COUNTIF($BB$207:BB274,"Z"), COUNTIF($BB$207:BB274,"R"),COUNTIF($BB$207:BB274,"X"))),1),IF(AND(HOUR(AC275)=HOUR($F$186),DAY(AC275)=DAY($F$186)),MID(INDEX($A$187:$B$210,MATCH("TYP",$A$187:$A$210,0),2),8,1),""))</f>
        <v>#N/A</v>
      </c>
      <c r="BC275" s="112" t="str">
        <f>IF(AND(LEN(BC274)=2,AC275&lt;$F$186+26/25),MID(INDEX($A$187:$B$211,MATCH("OBV",$A$187:$A$211,0),2),7+(3*SUM(COUNTIF($BC$207:BC274," N"),COUNTIF($BC$207:BC274,"HZ"),COUNTIF($BC$207:BC274,"BR"),COUNTIF($BC$207:BC274,"FG"),COUNTIF($BC$207:BC274,"BL"))),2),IF(AND(HOUR(AC275)=HOUR($F$186),DAY(AC275)=DAY($F$186)),MID(INDEX($A$187:$B$211,MATCH("OBV",$A$187:$A$211,0),2),7,2),""))</f>
        <v/>
      </c>
      <c r="BD275" s="112"/>
      <c r="BE275" s="112"/>
      <c r="BF275" s="112"/>
      <c r="BG275" s="1610" t="str">
        <f t="shared" si="124"/>
        <v/>
      </c>
      <c r="BH275" s="115">
        <f t="shared" si="144"/>
        <v>7</v>
      </c>
      <c r="BI275" s="200" t="str">
        <f t="shared" si="76"/>
        <v/>
      </c>
      <c r="BJ275" s="62" t="str">
        <f t="shared" si="75"/>
        <v/>
      </c>
      <c r="BK275" s="1145">
        <f t="shared" si="122"/>
        <v>40</v>
      </c>
      <c r="BL275" s="62" t="str">
        <f t="shared" si="77"/>
        <v/>
      </c>
      <c r="BM275" s="1145">
        <f t="shared" si="150"/>
        <v>47</v>
      </c>
      <c r="BN275" s="1901" t="str">
        <f t="shared" si="123"/>
        <v xml:space="preserve"> N</v>
      </c>
      <c r="BO275" s="1144" t="e">
        <f t="shared" si="78"/>
        <v>#N/A</v>
      </c>
      <c r="BP275" s="106">
        <f t="shared" si="151"/>
        <v>7</v>
      </c>
      <c r="BQ275" s="66" t="str">
        <f t="shared" si="79"/>
        <v/>
      </c>
      <c r="BR275" s="106" t="str">
        <f t="shared" si="80"/>
        <v/>
      </c>
      <c r="BS275" s="834">
        <f t="shared" si="133"/>
        <v>43</v>
      </c>
      <c r="BT275" s="106" t="str">
        <f t="shared" si="81"/>
        <v/>
      </c>
      <c r="BU275" s="834">
        <f t="shared" si="145"/>
        <v>43</v>
      </c>
      <c r="BV275" s="66" t="str">
        <f t="shared" si="146"/>
        <v xml:space="preserve"> N</v>
      </c>
      <c r="BW275" s="66" t="e">
        <f t="shared" si="147"/>
        <v>#N/A</v>
      </c>
      <c r="BX275" s="1198">
        <f t="shared" si="86"/>
        <v>7</v>
      </c>
      <c r="BY275" s="1146" t="str">
        <f t="shared" si="134"/>
        <v>NSW</v>
      </c>
      <c r="CA275" s="3675">
        <f t="shared" si="148"/>
        <v>44749.875</v>
      </c>
      <c r="CB275" s="3675"/>
    </row>
    <row r="276" spans="1:80" ht="10.5">
      <c r="A276" s="978" t="str">
        <f>Worksheet!Q113</f>
        <v>033000 24596571 01492 139941804 8128312725   314138</v>
      </c>
      <c r="B276" s="452">
        <f t="shared" si="120"/>
        <v>44749.125</v>
      </c>
      <c r="C276" s="466">
        <f t="shared" si="110"/>
        <v>29.94</v>
      </c>
      <c r="D276" s="454">
        <f t="shared" si="88"/>
        <v>3</v>
      </c>
      <c r="E276" s="476">
        <f t="shared" si="111"/>
        <v>70</v>
      </c>
      <c r="F276" s="460">
        <f t="shared" si="128"/>
        <v>314</v>
      </c>
      <c r="G276" s="460">
        <f t="shared" si="112"/>
        <v>250</v>
      </c>
      <c r="H276" s="460">
        <f t="shared" si="113"/>
        <v>250</v>
      </c>
      <c r="I276" s="460">
        <f t="shared" si="97"/>
        <v>250</v>
      </c>
      <c r="J276" s="461">
        <f t="shared" si="114"/>
        <v>28</v>
      </c>
      <c r="K276" s="462">
        <f t="shared" si="125"/>
        <v>24</v>
      </c>
      <c r="L276" s="462">
        <f t="shared" si="126"/>
        <v>4</v>
      </c>
      <c r="M276" s="462">
        <f t="shared" si="115"/>
        <v>7</v>
      </c>
      <c r="N276" s="462"/>
      <c r="O276" s="462">
        <f t="shared" si="116"/>
        <v>7</v>
      </c>
      <c r="P276" s="462">
        <f t="shared" si="117"/>
        <v>7</v>
      </c>
      <c r="Q276" s="462">
        <f t="shared" si="129"/>
        <v>13.8</v>
      </c>
      <c r="R276" s="462">
        <f t="shared" si="127"/>
        <v>7</v>
      </c>
      <c r="S276" s="465">
        <f>IF(D276="","",MIN(M276:R276))</f>
        <v>7</v>
      </c>
      <c r="T276" s="1118" t="str">
        <f t="shared" si="118"/>
        <v>NSW</v>
      </c>
      <c r="U276" s="463" t="str">
        <f t="shared" si="130"/>
        <v/>
      </c>
      <c r="V276" s="464" t="str">
        <f t="shared" si="135"/>
        <v/>
      </c>
      <c r="W276" s="411">
        <f t="shared" si="121"/>
        <v>44749.125</v>
      </c>
      <c r="X276" s="410"/>
      <c r="Y276" s="458">
        <f t="shared" si="131"/>
        <v>82.4</v>
      </c>
      <c r="Z276" s="458">
        <f t="shared" si="132"/>
        <v>75.2</v>
      </c>
      <c r="AA276" s="459"/>
      <c r="AB276" s="459"/>
      <c r="AC276" s="977">
        <f t="shared" si="149"/>
        <v>44749.916666666664</v>
      </c>
      <c r="AD276" s="1610" t="str">
        <f>IF(AND(HOUR(AC276)=HOUR(Worksheet!AF$68),DAY(AC276)=DAY(Worksheet!AF$68)),"START","")</f>
        <v/>
      </c>
      <c r="AE276" s="1149" t="str">
        <f>IF(AND(HOUR(AC276)=HOUR($F$186),DAY(AC276)=DAY($F$186)),(MID($B$189,6,3))*1,IF(AND(ISNUMBER(AE275),AC276&lt;$F$186+1+(1/25)),(MID($B$189,6+(3*COUNT($AE$207:AE275)),3))*1,""))</f>
        <v/>
      </c>
      <c r="AF276" s="1164">
        <f t="shared" si="82"/>
        <v>90.973999999999947</v>
      </c>
      <c r="AG276" s="1150">
        <f t="shared" si="136"/>
        <v>92</v>
      </c>
      <c r="AH276" s="1163" t="str">
        <f>IF(AND(ISNUMBER(AH275),AC276&lt;$F$186+26/25),(MID($B$190,6+(3*COUNT($AH$207:AH275)),3))*1,IF(AND(HOUR(AC276)=HOUR($F$186),DAY(AC276)=DAY($F$186)),(MID($B$190,6,3))*1,""))</f>
        <v/>
      </c>
      <c r="AI276" s="1901" t="str">
        <f t="shared" si="108"/>
        <v/>
      </c>
      <c r="AJ276" s="1164">
        <f t="shared" si="137"/>
        <v>74.569999999999993</v>
      </c>
      <c r="AK276" s="1150">
        <f t="shared" si="138"/>
        <v>72.8</v>
      </c>
      <c r="AL276" s="1152">
        <f t="shared" si="83"/>
        <v>29.853333333333332</v>
      </c>
      <c r="AM276" s="1153">
        <f t="shared" si="139"/>
        <v>29.896666666666668</v>
      </c>
      <c r="AN276" s="1147"/>
      <c r="AO276" s="976" t="str">
        <f>IF(BA276="Y",AP276,IF(AND(ISNUMBER(AO275),AC276&lt;$F$186+26/25),(MID(INDEX($A$187:$B$210,MATCH("CIG",$A$187:$A$210,0),2),8+(3*COUNT($AO$207:AO275)),1))*1,IF(AND(HOUR(AC276)=HOUR($F$186),DAY(AC276)=DAY($F$186)),(MID(INDEX($A$187:$B$210,MATCH("CIG",$A$187:$A$210,0),2),8,1))*1,"")))</f>
        <v/>
      </c>
      <c r="AP276" s="1061" t="str">
        <f>IF(AND(ISNUMBER(AP275),AC276&lt;$F$186+26/25),(MID(INDEX($A$187:$B$210,MATCH("CCG",$A$187:$A$210,0),2),8+(3*COUNT($AP$207:AP275)),1))*1,IF(AND(HOUR(AC276)=HOUR($F$186),DAY(AC276)=DAY($F$186)),(MID(INDEX($A$187:$B$210,MATCH("CCG",$A$187:$A$210,0),2),8,1))*1,""))</f>
        <v/>
      </c>
      <c r="AQ276" s="1061" t="str">
        <f>IF(AND(AQ275&lt;&gt;"",AC276&lt;$F$186+26/25),MID(INDEX($A$187:$B$210,MATCH("CLD",$A$187:$A$210,0),2),7+(3*SUM(COUNTIF($AQ$207:AQ275,"OV"),COUNTIF($AQ$207:AQ275,"BK"),COUNTIF($AQ$207:AQ275,"SC"),COUNTIF($AQ$207:AQ275,"FW"),COUNTIF($AQ$207:AQ275,"CL"))),2),IF(AND(HOUR(AC276)=HOUR($F$186),DAY(AC276)=DAY($F$186)),MID(INDEX($A$187:$B$210,MATCH("CLD",$A$187:$A$210,0),2),7,2),""))</f>
        <v/>
      </c>
      <c r="AR276" s="1149">
        <f t="shared" si="140"/>
        <v>8</v>
      </c>
      <c r="AS276" s="1150" t="str">
        <f t="shared" si="141"/>
        <v>BK</v>
      </c>
      <c r="AT276" s="112">
        <f t="shared" si="142"/>
        <v>8</v>
      </c>
      <c r="AU276" s="1610" t="str">
        <f t="shared" si="143"/>
        <v>BK</v>
      </c>
      <c r="AV276" s="1148">
        <f t="shared" si="84"/>
        <v>40</v>
      </c>
      <c r="AW276" s="920" t="str">
        <f t="shared" si="87"/>
        <v>SCT</v>
      </c>
      <c r="AX276" s="1608">
        <f t="shared" si="85"/>
        <v>40</v>
      </c>
      <c r="AY276" s="112" t="str">
        <f>IF(BA276="Y",AZ276,IF(AND(ISNUMBER(AY275),AC276&lt;$F$186+26/25),(MID(INDEX($A$187:$B$210,MATCH("VIS",$A$187:$A$210,0),2),8+(3*COUNT($AY$207:AY275)),1))*1,IF(AND(HOUR(AC276)=HOUR($F$186),DAY(AC276)=DAY($F$186)),(MID(INDEX($A$187:$B$210,MATCH("VIS",$A$187:$A$210,0),2),8,1))*1,"")))</f>
        <v/>
      </c>
      <c r="AZ276" s="112" t="str">
        <f>IF(AND(ISNUMBER(AZ275),AC276&lt;$F$186+26/25),(MID(INDEX($A$187:$B$210,MATCH("CVS",$A$187:$A$210,0),2),8+(3*COUNT($AZ$207:AZ275)),1))*1,IF(AND(HOUR(AC276)=HOUR($F$186),DAY(AC276)=DAY($F$186)),(MID(INDEX($A$187:$B$210,MATCH("CVS",$A$187:$A$210,0),2),8,1))*1,""))</f>
        <v/>
      </c>
      <c r="BA276" s="1610" t="str">
        <f>IF(AND(BA275&lt;&gt;"",AC276&lt;$F$186+26/25),MID(INDEX($A$187:$B$210,MATCH("PCO",$A$187:$A$210,0),2),8+(3*SUM(COUNTIF($BA$207:BA275,"Y"),COUNTIF($BA$207:BA275,"N"))),1),IF(AND(HOUR(AC276)=HOUR($F$186),DAY(AC276)=DAY($F$186)),MID(INDEX($A$187:$B$210,MATCH("PCO",$A$187:$A$210,0),2),8,1),""))</f>
        <v/>
      </c>
      <c r="BB276" s="1610" t="e">
        <f>IF(AND(BB275&lt;&gt;"",AC276&lt;$F$186+26/25),MID(INDEX($A$187:$B$210,MATCH("TYP",$A$187:$A$210,0),2),8+(3*SUM(COUNTIF($BB$207:BB275,"S"),COUNTIF($BB$207:BB275,"Z"), COUNTIF($BB$207:BB275,"R"),COUNTIF($BB$207:BB275,"X"))),1),IF(AND(HOUR(AC276)=HOUR($F$186),DAY(AC276)=DAY($F$186)),MID(INDEX($A$187:$B$210,MATCH("TYP",$A$187:$A$210,0),2),8,1),""))</f>
        <v>#N/A</v>
      </c>
      <c r="BC276" s="112" t="str">
        <f>IF(AND(LEN(BC275)=2,AC276&lt;$F$186+26/25),MID(INDEX($A$187:$B$211,MATCH("OBV",$A$187:$A$211,0),2),7+(3*SUM(COUNTIF($BC$207:BC275," N"),COUNTIF($BC$207:BC275,"HZ"),COUNTIF($BC$207:BC275,"BR"),COUNTIF($BC$207:BC275,"FG"),COUNTIF($BC$207:BC275,"BL"))),2),IF(AND(HOUR(AC276)=HOUR($F$186),DAY(AC276)=DAY($F$186)),MID(INDEX($A$187:$B$211,MATCH("OBV",$A$187:$A$211,0),2),7,2),""))</f>
        <v/>
      </c>
      <c r="BD276" s="112"/>
      <c r="BE276" s="112"/>
      <c r="BF276" s="112"/>
      <c r="BG276" s="1610" t="str">
        <f t="shared" si="124"/>
        <v/>
      </c>
      <c r="BH276" s="115">
        <f t="shared" si="144"/>
        <v>7</v>
      </c>
      <c r="BI276" s="200" t="str">
        <f t="shared" si="76"/>
        <v/>
      </c>
      <c r="BJ276" s="62" t="str">
        <f t="shared" si="75"/>
        <v/>
      </c>
      <c r="BK276" s="1145">
        <f t="shared" si="122"/>
        <v>40</v>
      </c>
      <c r="BL276" s="62" t="str">
        <f t="shared" si="77"/>
        <v/>
      </c>
      <c r="BM276" s="1145">
        <f t="shared" si="150"/>
        <v>47</v>
      </c>
      <c r="BN276" s="1901" t="str">
        <f t="shared" si="123"/>
        <v xml:space="preserve"> N</v>
      </c>
      <c r="BO276" s="1144" t="e">
        <f t="shared" si="78"/>
        <v>#N/A</v>
      </c>
      <c r="BP276" s="106">
        <f t="shared" si="151"/>
        <v>7</v>
      </c>
      <c r="BQ276" s="66" t="str">
        <f t="shared" si="79"/>
        <v/>
      </c>
      <c r="BR276" s="106" t="str">
        <f t="shared" si="80"/>
        <v/>
      </c>
      <c r="BS276" s="834">
        <f t="shared" si="133"/>
        <v>43</v>
      </c>
      <c r="BT276" s="106" t="str">
        <f t="shared" si="81"/>
        <v/>
      </c>
      <c r="BU276" s="834">
        <f t="shared" si="145"/>
        <v>43</v>
      </c>
      <c r="BV276" s="66" t="str">
        <f t="shared" si="146"/>
        <v xml:space="preserve"> N</v>
      </c>
      <c r="BW276" s="66" t="e">
        <f t="shared" si="147"/>
        <v>#N/A</v>
      </c>
      <c r="BX276" s="1198">
        <f t="shared" si="86"/>
        <v>7</v>
      </c>
      <c r="BY276" s="1146" t="str">
        <f t="shared" si="134"/>
        <v>NSW</v>
      </c>
      <c r="CA276" s="3675">
        <f t="shared" si="148"/>
        <v>44749.916666666664</v>
      </c>
      <c r="CB276" s="3675"/>
    </row>
    <row r="277" spans="1:80" ht="10.5">
      <c r="A277" s="978" t="str">
        <f>Worksheet!Q114</f>
        <v>034000 24616571 -0693 139941904 8127312725   292136</v>
      </c>
      <c r="B277" s="452">
        <f t="shared" si="120"/>
        <v>44749.166666666664</v>
      </c>
      <c r="C277" s="466">
        <f t="shared" si="110"/>
        <v>29.94</v>
      </c>
      <c r="D277" s="454">
        <f t="shared" si="88"/>
        <v>4</v>
      </c>
      <c r="E277" s="476">
        <f t="shared" si="111"/>
        <v>70</v>
      </c>
      <c r="F277" s="460">
        <f t="shared" si="128"/>
        <v>292</v>
      </c>
      <c r="G277" s="460">
        <f t="shared" si="112"/>
        <v>250</v>
      </c>
      <c r="H277" s="460">
        <f t="shared" si="113"/>
        <v>250</v>
      </c>
      <c r="I277" s="460">
        <f t="shared" si="97"/>
        <v>250</v>
      </c>
      <c r="J277" s="461">
        <f t="shared" si="114"/>
        <v>27</v>
      </c>
      <c r="K277" s="462">
        <f t="shared" si="125"/>
        <v>24</v>
      </c>
      <c r="L277" s="462">
        <f t="shared" si="126"/>
        <v>3</v>
      </c>
      <c r="M277" s="462">
        <f t="shared" si="115"/>
        <v>7</v>
      </c>
      <c r="N277" s="462"/>
      <c r="O277" s="462">
        <f t="shared" si="116"/>
        <v>7</v>
      </c>
      <c r="P277" s="462">
        <f t="shared" si="117"/>
        <v>7</v>
      </c>
      <c r="Q277" s="462">
        <f t="shared" si="129"/>
        <v>13.600000000000001</v>
      </c>
      <c r="R277" s="462">
        <f t="shared" si="127"/>
        <v>7</v>
      </c>
      <c r="S277" s="465">
        <f t="shared" ref="S277:S317" si="152">IF(D277="","",MIN(M277:R277))</f>
        <v>7</v>
      </c>
      <c r="T277" s="1118" t="str">
        <f t="shared" si="118"/>
        <v>NSW</v>
      </c>
      <c r="U277" s="463" t="str">
        <f t="shared" si="130"/>
        <v/>
      </c>
      <c r="V277" s="464" t="str">
        <f t="shared" si="135"/>
        <v/>
      </c>
      <c r="W277" s="411">
        <f t="shared" si="121"/>
        <v>44749.166666666664</v>
      </c>
      <c r="X277" s="410"/>
      <c r="Y277" s="458">
        <f t="shared" si="131"/>
        <v>80.599999999999994</v>
      </c>
      <c r="Z277" s="458">
        <f t="shared" si="132"/>
        <v>75.2</v>
      </c>
      <c r="AC277" s="977">
        <f t="shared" si="149"/>
        <v>44749.958333333328</v>
      </c>
      <c r="AD277" s="1610" t="str">
        <f>IF(AND(HOUR(AC277)=HOUR(Worksheet!AF$68),DAY(AC277)=DAY(Worksheet!AF$68)),"START","")</f>
        <v/>
      </c>
      <c r="AE277" s="1149" t="str">
        <f>IF(AND(HOUR(AC277)=HOUR($F$186),DAY(AC277)=DAY($F$186)),(MID($B$189,6,3))*1,IF(AND(ISNUMBER(AE276),AC277&lt;$F$186+1+(1/25)),(MID($B$189,6+(3*COUNT($AE$207:AE276)),3))*1,""))</f>
        <v/>
      </c>
      <c r="AF277" s="1164">
        <f t="shared" si="82"/>
        <v>85.706000000000003</v>
      </c>
      <c r="AG277" s="1150">
        <f t="shared" si="136"/>
        <v>90.8</v>
      </c>
      <c r="AH277" s="1163" t="str">
        <f>IF(AND(ISNUMBER(AH276),AC277&lt;$F$186+26/25),(MID($B$190,6+(3*COUNT($AH$207:AH276)),3))*1,IF(AND(HOUR(AC277)=HOUR($F$186),DAY(AC277)=DAY($F$186)),(MID($B$190,6,3))*1,""))</f>
        <v/>
      </c>
      <c r="AI277" s="1901" t="str">
        <f t="shared" si="108"/>
        <v/>
      </c>
      <c r="AJ277" s="1164">
        <f t="shared" si="137"/>
        <v>76.262</v>
      </c>
      <c r="AK277" s="1150">
        <f t="shared" si="138"/>
        <v>74</v>
      </c>
      <c r="AL277" s="1152">
        <f t="shared" si="83"/>
        <v>29.866666666666667</v>
      </c>
      <c r="AM277" s="1153">
        <f t="shared" si="139"/>
        <v>29.903333333333332</v>
      </c>
      <c r="AN277" s="1147"/>
      <c r="AO277" s="976" t="str">
        <f>IF(BA277="Y",AP277,IF(AND(ISNUMBER(AO276),AC277&lt;$F$186+26/25),(MID(INDEX($A$187:$B$210,MATCH("CIG",$A$187:$A$210,0),2),8+(3*COUNT($AO$207:AO276)),1))*1,IF(AND(HOUR(AC277)=HOUR($F$186),DAY(AC277)=DAY($F$186)),(MID(INDEX($A$187:$B$210,MATCH("CIG",$A$187:$A$210,0),2),8,1))*1,"")))</f>
        <v/>
      </c>
      <c r="AP277" s="1061" t="str">
        <f>IF(AND(ISNUMBER(AP276),AC277&lt;$F$186+26/25),(MID(INDEX($A$187:$B$210,MATCH("CCG",$A$187:$A$210,0),2),8+(3*COUNT($AP$207:AP276)),1))*1,IF(AND(HOUR(AC277)=HOUR($F$186),DAY(AC277)=DAY($F$186)),(MID(INDEX($A$187:$B$210,MATCH("CCG",$A$187:$A$210,0),2),8,1))*1,""))</f>
        <v/>
      </c>
      <c r="AQ277" s="1061" t="str">
        <f>IF(AND(AQ276&lt;&gt;"",AC277&lt;$F$186+26/25),MID(INDEX($A$187:$B$210,MATCH("CLD",$A$187:$A$210,0),2),7+(3*SUM(COUNTIF($AQ$207:AQ276,"OV"),COUNTIF($AQ$207:AQ276,"BK"),COUNTIF($AQ$207:AQ276,"SC"),COUNTIF($AQ$207:AQ276,"FW"),COUNTIF($AQ$207:AQ276,"CL"))),2),IF(AND(HOUR(AC277)=HOUR($F$186),DAY(AC277)=DAY($F$186)),MID(INDEX($A$187:$B$210,MATCH("CLD",$A$187:$A$210,0),2),7,2),""))</f>
        <v/>
      </c>
      <c r="AR277" s="1149">
        <f t="shared" si="140"/>
        <v>7</v>
      </c>
      <c r="AS277" s="1150" t="str">
        <f t="shared" si="141"/>
        <v>OV</v>
      </c>
      <c r="AT277" s="112">
        <f t="shared" si="142"/>
        <v>8</v>
      </c>
      <c r="AU277" s="1610" t="str">
        <f t="shared" si="143"/>
        <v>BK</v>
      </c>
      <c r="AV277" s="1148">
        <f t="shared" si="84"/>
        <v>40</v>
      </c>
      <c r="AW277" s="920" t="str">
        <f t="shared" si="87"/>
        <v>SCT</v>
      </c>
      <c r="AX277" s="1608">
        <f t="shared" si="85"/>
        <v>40</v>
      </c>
      <c r="AY277" s="112" t="str">
        <f>IF(BA277="Y",AZ277,IF(AND(ISNUMBER(AY276),AC277&lt;$F$186+26/25),(MID(INDEX($A$187:$B$210,MATCH("VIS",$A$187:$A$210,0),2),8+(3*COUNT($AY$207:AY276)),1))*1,IF(AND(HOUR(AC277)=HOUR($F$186),DAY(AC277)=DAY($F$186)),(MID(INDEX($A$187:$B$210,MATCH("VIS",$A$187:$A$210,0),2),8,1))*1,"")))</f>
        <v/>
      </c>
      <c r="AZ277" s="112" t="str">
        <f>IF(AND(ISNUMBER(AZ276),AC277&lt;$F$186+26/25),(MID(INDEX($A$187:$B$210,MATCH("CVS",$A$187:$A$210,0),2),8+(3*COUNT($AZ$207:AZ276)),1))*1,IF(AND(HOUR(AC277)=HOUR($F$186),DAY(AC277)=DAY($F$186)),(MID(INDEX($A$187:$B$210,MATCH("CVS",$A$187:$A$210,0),2),8,1))*1,""))</f>
        <v/>
      </c>
      <c r="BA277" s="1610" t="str">
        <f>IF(AND(BA276&lt;&gt;"",AC277&lt;$F$186+26/25),MID(INDEX($A$187:$B$210,MATCH("PCO",$A$187:$A$210,0),2),8+(3*SUM(COUNTIF($BA$207:BA276,"Y"),COUNTIF($BA$207:BA276,"N"))),1),IF(AND(HOUR(AC277)=HOUR($F$186),DAY(AC277)=DAY($F$186)),MID(INDEX($A$187:$B$210,MATCH("PCO",$A$187:$A$210,0),2),8,1),""))</f>
        <v/>
      </c>
      <c r="BB277" s="1610" t="e">
        <f>IF(AND(BB276&lt;&gt;"",AC277&lt;$F$186+26/25),MID(INDEX($A$187:$B$210,MATCH("TYP",$A$187:$A$210,0),2),8+(3*SUM(COUNTIF($BB$207:BB276,"S"),COUNTIF($BB$207:BB276,"Z"), COUNTIF($BB$207:BB276,"R"),COUNTIF($BB$207:BB276,"X"))),1),IF(AND(HOUR(AC277)=HOUR($F$186),DAY(AC277)=DAY($F$186)),MID(INDEX($A$187:$B$210,MATCH("TYP",$A$187:$A$210,0),2),8,1),""))</f>
        <v>#N/A</v>
      </c>
      <c r="BC277" s="112" t="str">
        <f>IF(AND(LEN(BC276)=2,AC277&lt;$F$186+26/25),MID(INDEX($A$187:$B$211,MATCH("OBV",$A$187:$A$211,0),2),7+(3*SUM(COUNTIF($BC$207:BC276," N"),COUNTIF($BC$207:BC276,"HZ"),COUNTIF($BC$207:BC276,"BR"),COUNTIF($BC$207:BC276,"FG"),COUNTIF($BC$207:BC276,"BL"))),2),IF(AND(HOUR(AC277)=HOUR($F$186),DAY(AC277)=DAY($F$186)),MID(INDEX($A$187:$B$211,MATCH("OBV",$A$187:$A$211,0),2),7,2),""))</f>
        <v/>
      </c>
      <c r="BD277" s="112"/>
      <c r="BE277" s="112"/>
      <c r="BF277" s="112"/>
      <c r="BG277" s="1610" t="str">
        <f t="shared" si="124"/>
        <v/>
      </c>
      <c r="BH277" s="115">
        <f t="shared" si="144"/>
        <v>7</v>
      </c>
      <c r="BI277" s="200" t="str">
        <f t="shared" si="76"/>
        <v/>
      </c>
      <c r="BJ277" s="62" t="str">
        <f t="shared" si="75"/>
        <v/>
      </c>
      <c r="BK277" s="1145">
        <f t="shared" si="122"/>
        <v>44</v>
      </c>
      <c r="BL277" s="62" t="str">
        <f t="shared" si="77"/>
        <v/>
      </c>
      <c r="BM277" s="1145">
        <f t="shared" si="150"/>
        <v>47</v>
      </c>
      <c r="BN277" s="1901" t="str">
        <f t="shared" si="123"/>
        <v xml:space="preserve"> N</v>
      </c>
      <c r="BO277" s="1144" t="e">
        <f t="shared" si="78"/>
        <v>#N/A</v>
      </c>
      <c r="BP277" s="106">
        <f t="shared" si="151"/>
        <v>7</v>
      </c>
      <c r="BQ277" s="66" t="str">
        <f t="shared" si="79"/>
        <v/>
      </c>
      <c r="BR277" s="106" t="str">
        <f t="shared" si="80"/>
        <v/>
      </c>
      <c r="BS277" s="834">
        <f t="shared" si="133"/>
        <v>34.5</v>
      </c>
      <c r="BT277" s="106" t="str">
        <f t="shared" si="81"/>
        <v/>
      </c>
      <c r="BU277" s="834">
        <f t="shared" si="145"/>
        <v>36</v>
      </c>
      <c r="BV277" s="66" t="str">
        <f t="shared" si="146"/>
        <v xml:space="preserve"> N</v>
      </c>
      <c r="BW277" s="66" t="e">
        <f t="shared" si="147"/>
        <v>#N/A</v>
      </c>
      <c r="BX277" s="1198">
        <f t="shared" si="86"/>
        <v>7</v>
      </c>
      <c r="BY277" s="1146" t="str">
        <f t="shared" si="134"/>
        <v>NSW</v>
      </c>
      <c r="CA277" s="3675">
        <f t="shared" si="148"/>
        <v>44749.958333333328</v>
      </c>
      <c r="CB277" s="3675"/>
    </row>
    <row r="278" spans="1:80" ht="10.5">
      <c r="A278" s="978" t="str">
        <f>Worksheet!Q115</f>
        <v>035000 24636670 -1393 139941904 8127302725   276134</v>
      </c>
      <c r="B278" s="452">
        <f t="shared" si="120"/>
        <v>44749.208333333328</v>
      </c>
      <c r="C278" s="466">
        <f t="shared" si="110"/>
        <v>29.94</v>
      </c>
      <c r="D278" s="454">
        <f t="shared" si="88"/>
        <v>5</v>
      </c>
      <c r="E278" s="476">
        <f t="shared" si="111"/>
        <v>70</v>
      </c>
      <c r="F278" s="460">
        <f t="shared" si="128"/>
        <v>276</v>
      </c>
      <c r="G278" s="460">
        <f t="shared" si="112"/>
        <v>250</v>
      </c>
      <c r="H278" s="460">
        <f t="shared" si="113"/>
        <v>250</v>
      </c>
      <c r="I278" s="460">
        <f t="shared" si="97"/>
        <v>250</v>
      </c>
      <c r="J278" s="461">
        <f t="shared" si="114"/>
        <v>27</v>
      </c>
      <c r="K278" s="462">
        <f t="shared" si="125"/>
        <v>24</v>
      </c>
      <c r="L278" s="462">
        <f t="shared" si="126"/>
        <v>3</v>
      </c>
      <c r="M278" s="462">
        <f t="shared" si="115"/>
        <v>7</v>
      </c>
      <c r="N278" s="462"/>
      <c r="O278" s="462">
        <f t="shared" si="116"/>
        <v>7</v>
      </c>
      <c r="P278" s="462">
        <f t="shared" si="117"/>
        <v>7</v>
      </c>
      <c r="Q278" s="462">
        <f t="shared" si="129"/>
        <v>13.4</v>
      </c>
      <c r="R278" s="462">
        <f t="shared" si="127"/>
        <v>7</v>
      </c>
      <c r="S278" s="465">
        <f t="shared" si="152"/>
        <v>7</v>
      </c>
      <c r="T278" s="1118" t="str">
        <f t="shared" si="118"/>
        <v>NSW</v>
      </c>
      <c r="U278" s="463" t="str">
        <f t="shared" si="130"/>
        <v/>
      </c>
      <c r="V278" s="464" t="str">
        <f t="shared" si="135"/>
        <v/>
      </c>
      <c r="W278" s="411">
        <f t="shared" si="121"/>
        <v>44749.208333333328</v>
      </c>
      <c r="X278" s="410"/>
      <c r="Y278" s="458">
        <f t="shared" si="131"/>
        <v>80.599999999999994</v>
      </c>
      <c r="Z278" s="458">
        <f t="shared" si="132"/>
        <v>75.2</v>
      </c>
      <c r="AC278" s="977">
        <f t="shared" si="149"/>
        <v>44750</v>
      </c>
      <c r="AD278" s="1610" t="str">
        <f>IF(AND(HOUR(AC278)=HOUR(Worksheet!AF$68),DAY(AC278)=DAY(Worksheet!AF$68)),"START","")</f>
        <v/>
      </c>
      <c r="AE278" s="1149" t="str">
        <f>IF(AND(HOUR(AC278)=HOUR($F$186),DAY(AC278)=DAY($F$186)),(MID($B$189,6,3))*1,IF(AND(ISNUMBER(AE277),AC278&lt;$F$186+1+(1/25)),(MID($B$189,6+(3*COUNT($AE$207:AE277)),3))*1,""))</f>
        <v/>
      </c>
      <c r="AF278" s="1164">
        <f t="shared" si="82"/>
        <v>80.438000000000045</v>
      </c>
      <c r="AG278" s="1150">
        <f t="shared" si="136"/>
        <v>89.6</v>
      </c>
      <c r="AH278" s="1163" t="str">
        <f>IF(AND(ISNUMBER(AH277),AC278&lt;$F$186+26/25),(MID($B$190,6+(3*COUNT($AH$207:AH277)),3))*1,IF(AND(HOUR(AC278)=HOUR($F$186),DAY(AC278)=DAY($F$186)),(MID($B$190,6,3))*1,""))</f>
        <v/>
      </c>
      <c r="AI278" s="1901" t="str">
        <f t="shared" si="108"/>
        <v/>
      </c>
      <c r="AJ278" s="1164">
        <f t="shared" si="137"/>
        <v>77.954000000000008</v>
      </c>
      <c r="AK278" s="1150">
        <f t="shared" si="138"/>
        <v>75.2</v>
      </c>
      <c r="AL278" s="1152">
        <f t="shared" si="83"/>
        <v>29.88</v>
      </c>
      <c r="AM278" s="1153">
        <f t="shared" si="139"/>
        <v>29.91</v>
      </c>
      <c r="AN278" s="1147"/>
      <c r="AO278" s="976" t="str">
        <f>IF(BA278="Y",AP278,IF(AND(ISNUMBER(AO277),AC278&lt;$F$186+26/25),(MID(INDEX($A$187:$B$210,MATCH("CIG",$A$187:$A$210,0),2),8+(3*COUNT($AO$207:AO277)),1))*1,IF(AND(HOUR(AC278)=HOUR($F$186),DAY(AC278)=DAY($F$186)),(MID(INDEX($A$187:$B$210,MATCH("CIG",$A$187:$A$210,0),2),8,1))*1,"")))</f>
        <v/>
      </c>
      <c r="AP278" s="1061" t="str">
        <f>IF(AND(ISNUMBER(AP277),AC278&lt;$F$186+26/25),(MID(INDEX($A$187:$B$210,MATCH("CCG",$A$187:$A$210,0),2),8+(3*COUNT($AP$207:AP277)),1))*1,IF(AND(HOUR(AC278)=HOUR($F$186),DAY(AC278)=DAY($F$186)),(MID(INDEX($A$187:$B$210,MATCH("CCG",$A$187:$A$210,0),2),8,1))*1,""))</f>
        <v/>
      </c>
      <c r="AQ278" s="1061" t="str">
        <f>IF(AND(AQ277&lt;&gt;"",AC278&lt;$F$186+26/25),MID(INDEX($A$187:$B$210,MATCH("CLD",$A$187:$A$210,0),2),7+(3*SUM(COUNTIF($AQ$207:AQ277,"OV"),COUNTIF($AQ$207:AQ277,"BK"),COUNTIF($AQ$207:AQ277,"SC"),COUNTIF($AQ$207:AQ277,"FW"),COUNTIF($AQ$207:AQ277,"CL"))),2),IF(AND(HOUR(AC278)=HOUR($F$186),DAY(AC278)=DAY($F$186)),MID(INDEX($A$187:$B$210,MATCH("CLD",$A$187:$A$210,0),2),7,2),""))</f>
        <v/>
      </c>
      <c r="AR278" s="1149">
        <f t="shared" si="140"/>
        <v>7</v>
      </c>
      <c r="AS278" s="1150" t="str">
        <f t="shared" si="141"/>
        <v>OV</v>
      </c>
      <c r="AT278" s="112">
        <f t="shared" si="142"/>
        <v>8</v>
      </c>
      <c r="AU278" s="1610" t="str">
        <f t="shared" si="143"/>
        <v>BK</v>
      </c>
      <c r="AV278" s="1148">
        <f t="shared" si="84"/>
        <v>40</v>
      </c>
      <c r="AW278" s="920" t="str">
        <f t="shared" si="87"/>
        <v>SCT</v>
      </c>
      <c r="AX278" s="1608">
        <f t="shared" si="85"/>
        <v>40</v>
      </c>
      <c r="AY278" s="112" t="str">
        <f>IF(BA278="Y",AZ278,IF(AND(ISNUMBER(AY277),AC278&lt;$F$186+26/25),(MID(INDEX($A$187:$B$210,MATCH("VIS",$A$187:$A$210,0),2),8+(3*COUNT($AY$207:AY277)),1))*1,IF(AND(HOUR(AC278)=HOUR($F$186),DAY(AC278)=DAY($F$186)),(MID(INDEX($A$187:$B$210,MATCH("VIS",$A$187:$A$210,0),2),8,1))*1,"")))</f>
        <v/>
      </c>
      <c r="AZ278" s="112" t="str">
        <f>IF(AND(ISNUMBER(AZ277),AC278&lt;$F$186+26/25),(MID(INDEX($A$187:$B$210,MATCH("CVS",$A$187:$A$210,0),2),8+(3*COUNT($AZ$207:AZ277)),1))*1,IF(AND(HOUR(AC278)=HOUR($F$186),DAY(AC278)=DAY($F$186)),(MID(INDEX($A$187:$B$210,MATCH("CVS",$A$187:$A$210,0),2),8,1))*1,""))</f>
        <v/>
      </c>
      <c r="BA278" s="1610" t="str">
        <f>IF(AND(BA277&lt;&gt;"",AC278&lt;$F$186+26/25),MID(INDEX($A$187:$B$210,MATCH("PCO",$A$187:$A$210,0),2),8+(3*SUM(COUNTIF($BA$207:BA277,"Y"),COUNTIF($BA$207:BA277,"N"))),1),IF(AND(HOUR(AC278)=HOUR($F$186),DAY(AC278)=DAY($F$186)),MID(INDEX($A$187:$B$210,MATCH("PCO",$A$187:$A$210,0),2),8,1),""))</f>
        <v/>
      </c>
      <c r="BB278" s="1610" t="e">
        <f>IF(AND(BB277&lt;&gt;"",AC278&lt;$F$186+26/25),MID(INDEX($A$187:$B$210,MATCH("TYP",$A$187:$A$210,0),2),8+(3*SUM(COUNTIF($BB$207:BB277,"S"),COUNTIF($BB$207:BB277,"Z"), COUNTIF($BB$207:BB277,"R"),COUNTIF($BB$207:BB277,"X"))),1),IF(AND(HOUR(AC278)=HOUR($F$186),DAY(AC278)=DAY($F$186)),MID(INDEX($A$187:$B$210,MATCH("TYP",$A$187:$A$210,0),2),8,1),""))</f>
        <v>#N/A</v>
      </c>
      <c r="BC278" s="112" t="str">
        <f>IF(AND(LEN(BC277)=2,AC278&lt;$F$186+26/25),MID(INDEX($A$187:$B$211,MATCH("OBV",$A$187:$A$211,0),2),7+(3*SUM(COUNTIF($BC$207:BC277," N"),COUNTIF($BC$207:BC277,"HZ"),COUNTIF($BC$207:BC277,"BR"),COUNTIF($BC$207:BC277,"FG"),COUNTIF($BC$207:BC277,"BL"))),2),IF(AND(HOUR(AC278)=HOUR($F$186),DAY(AC278)=DAY($F$186)),MID(INDEX($A$187:$B$211,MATCH("OBV",$A$187:$A$211,0),2),7,2),""))</f>
        <v/>
      </c>
      <c r="BD278" s="112"/>
      <c r="BE278" s="112"/>
      <c r="BF278" s="112"/>
      <c r="BG278" s="1610" t="str">
        <f t="shared" si="124"/>
        <v/>
      </c>
      <c r="BH278" s="115">
        <f t="shared" si="144"/>
        <v>7</v>
      </c>
      <c r="BI278" s="200" t="str">
        <f t="shared" si="76"/>
        <v/>
      </c>
      <c r="BJ278" s="62">
        <f t="shared" si="75"/>
        <v>40</v>
      </c>
      <c r="BK278" s="1145">
        <f t="shared" si="122"/>
        <v>44</v>
      </c>
      <c r="BL278" s="62">
        <f t="shared" si="77"/>
        <v>47</v>
      </c>
      <c r="BM278" s="1145">
        <f t="shared" si="150"/>
        <v>47</v>
      </c>
      <c r="BN278" s="1901" t="str">
        <f t="shared" si="123"/>
        <v xml:space="preserve"> N</v>
      </c>
      <c r="BO278" s="1144" t="e">
        <f t="shared" si="78"/>
        <v>#N/A</v>
      </c>
      <c r="BP278" s="106">
        <f t="shared" si="151"/>
        <v>7</v>
      </c>
      <c r="BQ278" s="66" t="str">
        <f t="shared" si="79"/>
        <v/>
      </c>
      <c r="BR278" s="106">
        <f t="shared" si="80"/>
        <v>43</v>
      </c>
      <c r="BS278" s="834">
        <f t="shared" si="133"/>
        <v>34.5</v>
      </c>
      <c r="BT278" s="106">
        <f t="shared" si="81"/>
        <v>43</v>
      </c>
      <c r="BU278" s="834">
        <f t="shared" si="145"/>
        <v>36</v>
      </c>
      <c r="BV278" s="66" t="str">
        <f t="shared" si="146"/>
        <v xml:space="preserve"> N</v>
      </c>
      <c r="BW278" s="66" t="e">
        <f t="shared" si="147"/>
        <v>#N/A</v>
      </c>
      <c r="BX278" s="1198">
        <f t="shared" si="86"/>
        <v>7</v>
      </c>
      <c r="BY278" s="1146" t="str">
        <f>IF(OR(AC278&lt;($B$237-0.001),AC278&gt;(MAX($B$241:$B$321)+0.001)),"",IF(OR(ISNUMBER(MATCH(AC278,$W$241:$W$321,0)),MOD(HOUR(AC278),3)=0),LOOKUP(AC278,$B$241:$B$321,$T$241:$T$321),IF(MOD(HOUR(AC277),3)=0,IF(AND(BX278&lt;7,BY277="NSW"),BY279,BY277),IF(AND(BX278&lt;7,BY279="NSW"),BY277,BY279))))</f>
        <v>NSW</v>
      </c>
      <c r="CA278" s="3675">
        <f t="shared" si="148"/>
        <v>44750</v>
      </c>
      <c r="CB278" s="3675"/>
    </row>
    <row r="279" spans="1:80" ht="10.5">
      <c r="A279" s="978" t="str">
        <f>Worksheet!Q116</f>
        <v>036000 24676770 -0793 139942004 8027302725   273130</v>
      </c>
      <c r="B279" s="452">
        <f t="shared" si="120"/>
        <v>44749.25</v>
      </c>
      <c r="C279" s="466">
        <f t="shared" si="110"/>
        <v>29.94</v>
      </c>
      <c r="D279" s="454">
        <f t="shared" si="88"/>
        <v>6</v>
      </c>
      <c r="E279" s="476">
        <f t="shared" si="111"/>
        <v>70</v>
      </c>
      <c r="F279" s="460">
        <f t="shared" si="128"/>
        <v>273</v>
      </c>
      <c r="G279" s="460">
        <f t="shared" si="112"/>
        <v>250</v>
      </c>
      <c r="H279" s="460">
        <f t="shared" si="113"/>
        <v>250</v>
      </c>
      <c r="I279" s="460">
        <f t="shared" si="97"/>
        <v>250</v>
      </c>
      <c r="J279" s="461">
        <f t="shared" si="114"/>
        <v>27</v>
      </c>
      <c r="K279" s="462">
        <f t="shared" si="125"/>
        <v>24</v>
      </c>
      <c r="L279" s="462">
        <f t="shared" si="126"/>
        <v>3</v>
      </c>
      <c r="M279" s="462">
        <f t="shared" si="115"/>
        <v>7</v>
      </c>
      <c r="N279" s="462"/>
      <c r="O279" s="462">
        <f t="shared" si="116"/>
        <v>7</v>
      </c>
      <c r="P279" s="462">
        <f t="shared" si="117"/>
        <v>7</v>
      </c>
      <c r="Q279" s="462">
        <f t="shared" si="129"/>
        <v>13</v>
      </c>
      <c r="R279" s="462">
        <f t="shared" si="127"/>
        <v>7</v>
      </c>
      <c r="S279" s="465">
        <f t="shared" si="152"/>
        <v>7</v>
      </c>
      <c r="T279" s="1118" t="str">
        <f t="shared" si="118"/>
        <v>NSW</v>
      </c>
      <c r="U279" s="463" t="str">
        <f t="shared" si="130"/>
        <v/>
      </c>
      <c r="V279" s="464" t="str">
        <f t="shared" si="135"/>
        <v/>
      </c>
      <c r="W279" s="411">
        <f t="shared" si="121"/>
        <v>44749.25</v>
      </c>
      <c r="X279" s="410"/>
      <c r="Y279" s="458">
        <f t="shared" si="131"/>
        <v>80.599999999999994</v>
      </c>
      <c r="Z279" s="458">
        <f t="shared" si="132"/>
        <v>75.2</v>
      </c>
      <c r="AC279" s="977">
        <f t="shared" si="149"/>
        <v>44750.041666666664</v>
      </c>
      <c r="AD279" s="1610" t="str">
        <f>IF(AND(HOUR(AC279)=HOUR(Worksheet!AF$68),DAY(AC279)=DAY(Worksheet!AF$68)),"START","")</f>
        <v/>
      </c>
      <c r="AE279" s="1149" t="str">
        <f>IF(AND(HOUR(AC279)=HOUR($F$186),DAY(AC279)=DAY($F$186)),(MID($B$189,6,3))*1,IF(AND(ISNUMBER(AE278),AC279&lt;$F$186+1+(1/25)),(MID($B$189,6+(3*COUNT($AE$207:AE278)),3))*1,""))</f>
        <v/>
      </c>
      <c r="AF279" s="1164">
        <f t="shared" si="82"/>
        <v>79.580000000000027</v>
      </c>
      <c r="AG279" s="1150">
        <f t="shared" si="136"/>
        <v>87.2</v>
      </c>
      <c r="AH279" s="1163" t="str">
        <f>IF(AND(ISNUMBER(AH278),AC279&lt;$F$186+26/25),(MID($B$190,6+(3*COUNT($AH$207:AH278)),3))*1,IF(AND(HOUR(AC279)=HOUR($F$186),DAY(AC279)=DAY($F$186)),(MID($B$190,6,3))*1,""))</f>
        <v/>
      </c>
      <c r="AI279" s="1901" t="str">
        <f t="shared" si="108"/>
        <v/>
      </c>
      <c r="AJ279" s="1164">
        <f t="shared" si="137"/>
        <v>77.654000000000011</v>
      </c>
      <c r="AK279" s="1150">
        <f t="shared" si="138"/>
        <v>75.2</v>
      </c>
      <c r="AL279" s="1152">
        <f t="shared" si="83"/>
        <v>29.88</v>
      </c>
      <c r="AM279" s="1153">
        <f t="shared" si="139"/>
        <v>29.916666666666668</v>
      </c>
      <c r="AN279" s="1147"/>
      <c r="AO279" s="976" t="str">
        <f>IF(BA279="Y",AP279,IF(AND(ISNUMBER(AO278),AC279&lt;$F$186+26/25),(MID(INDEX($A$187:$B$210,MATCH("CIG",$A$187:$A$210,0),2),8+(3*COUNT($AO$207:AO278)),1))*1,IF(AND(HOUR(AC279)=HOUR($F$186),DAY(AC279)=DAY($F$186)),(MID(INDEX($A$187:$B$210,MATCH("CIG",$A$187:$A$210,0),2),8,1))*1,"")))</f>
        <v/>
      </c>
      <c r="AP279" s="1061" t="str">
        <f>IF(AND(ISNUMBER(AP278),AC279&lt;$F$186+26/25),(MID(INDEX($A$187:$B$210,MATCH("CCG",$A$187:$A$210,0),2),8+(3*COUNT($AP$207:AP278)),1))*1,IF(AND(HOUR(AC279)=HOUR($F$186),DAY(AC279)=DAY($F$186)),(MID(INDEX($A$187:$B$210,MATCH("CCG",$A$187:$A$210,0),2),8,1))*1,""))</f>
        <v/>
      </c>
      <c r="AQ279" s="1061" t="str">
        <f>IF(AND(AQ278&lt;&gt;"",AC279&lt;$F$186+26/25),MID(INDEX($A$187:$B$210,MATCH("CLD",$A$187:$A$210,0),2),7+(3*SUM(COUNTIF($AQ$207:AQ278,"OV"),COUNTIF($AQ$207:AQ278,"BK"),COUNTIF($AQ$207:AQ278,"SC"),COUNTIF($AQ$207:AQ278,"FW"),COUNTIF($AQ$207:AQ278,"CL"))),2),IF(AND(HOUR(AC279)=HOUR($F$186),DAY(AC279)=DAY($F$186)),MID(INDEX($A$187:$B$210,MATCH("CLD",$A$187:$A$210,0),2),7,2),""))</f>
        <v/>
      </c>
      <c r="AR279" s="1149" t="str">
        <f t="shared" si="140"/>
        <v/>
      </c>
      <c r="AS279" s="1150" t="str">
        <f t="shared" si="141"/>
        <v/>
      </c>
      <c r="AT279" s="112">
        <f t="shared" si="142"/>
        <v>8</v>
      </c>
      <c r="AU279" s="1610" t="str">
        <f t="shared" si="143"/>
        <v>BK</v>
      </c>
      <c r="AV279" s="1148">
        <f t="shared" si="84"/>
        <v>40</v>
      </c>
      <c r="AW279" s="920" t="str">
        <f t="shared" si="87"/>
        <v>SCT</v>
      </c>
      <c r="AX279" s="1608">
        <f t="shared" si="85"/>
        <v>40</v>
      </c>
      <c r="AY279" s="112" t="str">
        <f>IF(BA279="Y",AZ279,IF(AND(ISNUMBER(AY278),AC279&lt;$F$186+26/25),(MID(INDEX($A$187:$B$210,MATCH("VIS",$A$187:$A$210,0),2),8+(3*COUNT($AY$207:AY278)),1))*1,IF(AND(HOUR(AC279)=HOUR($F$186),DAY(AC279)=DAY($F$186)),(MID(INDEX($A$187:$B$210,MATCH("VIS",$A$187:$A$210,0),2),8,1))*1,"")))</f>
        <v/>
      </c>
      <c r="AZ279" s="112" t="str">
        <f>IF(AND(ISNUMBER(AZ278),AC279&lt;$F$186+26/25),(MID(INDEX($A$187:$B$210,MATCH("CVS",$A$187:$A$210,0),2),8+(3*COUNT($AZ$207:AZ278)),1))*1,IF(AND(HOUR(AC279)=HOUR($F$186),DAY(AC279)=DAY($F$186)),(MID(INDEX($A$187:$B$210,MATCH("CVS",$A$187:$A$210,0),2),8,1))*1,""))</f>
        <v/>
      </c>
      <c r="BA279" s="1610" t="str">
        <f>IF(AND(BA278&lt;&gt;"",AC279&lt;$F$186+26/25),MID(INDEX($A$187:$B$210,MATCH("PCO",$A$187:$A$210,0),2),8+(3*SUM(COUNTIF($BA$207:BA278,"Y"),COUNTIF($BA$207:BA278,"N"))),1),IF(AND(HOUR(AC279)=HOUR($F$186),DAY(AC279)=DAY($F$186)),MID(INDEX($A$187:$B$210,MATCH("PCO",$A$187:$A$210,0),2),8,1),""))</f>
        <v/>
      </c>
      <c r="BB279" s="1610" t="e">
        <f>IF(AND(BB278&lt;&gt;"",AC279&lt;$F$186+26/25),MID(INDEX($A$187:$B$210,MATCH("TYP",$A$187:$A$210,0),2),8+(3*SUM(COUNTIF($BB$207:BB278,"S"),COUNTIF($BB$207:BB278,"Z"), COUNTIF($BB$207:BB278,"R"),COUNTIF($BB$207:BB278,"X"))),1),IF(AND(HOUR(AC279)=HOUR($F$186),DAY(AC279)=DAY($F$186)),MID(INDEX($A$187:$B$210,MATCH("TYP",$A$187:$A$210,0),2),8,1),""))</f>
        <v>#N/A</v>
      </c>
      <c r="BC279" s="112" t="str">
        <f>IF(AND(LEN(BC278)=2,AC279&lt;$F$186+26/25),MID(INDEX($A$187:$B$211,MATCH("OBV",$A$187:$A$211,0),2),7+(3*SUM(COUNTIF($BC$207:BC278," N"),COUNTIF($BC$207:BC278,"HZ"),COUNTIF($BC$207:BC278,"BR"),COUNTIF($BC$207:BC278,"FG"),COUNTIF($BC$207:BC278,"BL"))),2),IF(AND(HOUR(AC279)=HOUR($F$186),DAY(AC279)=DAY($F$186)),MID(INDEX($A$187:$B$211,MATCH("OBV",$A$187:$A$211,0),2),7,2),""))</f>
        <v/>
      </c>
      <c r="BD279" s="112"/>
      <c r="BE279" s="112"/>
      <c r="BF279" s="112"/>
      <c r="BG279" s="1610" t="str">
        <f t="shared" si="124"/>
        <v/>
      </c>
      <c r="BH279" s="115" t="str">
        <f t="shared" si="144"/>
        <v/>
      </c>
      <c r="BI279" s="200" t="str">
        <f t="shared" si="76"/>
        <v/>
      </c>
      <c r="BJ279" s="62" t="str">
        <f t="shared" si="75"/>
        <v/>
      </c>
      <c r="BK279" s="1145">
        <f t="shared" si="122"/>
        <v>44</v>
      </c>
      <c r="BL279" s="62" t="str">
        <f t="shared" si="77"/>
        <v/>
      </c>
      <c r="BM279" s="1145" t="str">
        <f t="shared" si="150"/>
        <v/>
      </c>
      <c r="BN279" s="1901" t="str">
        <f t="shared" si="123"/>
        <v/>
      </c>
      <c r="BO279" s="1144" t="str">
        <f t="shared" si="78"/>
        <v/>
      </c>
      <c r="BP279" s="106">
        <f t="shared" si="151"/>
        <v>7</v>
      </c>
      <c r="BQ279" s="66" t="str">
        <f t="shared" si="79"/>
        <v/>
      </c>
      <c r="BR279" s="106" t="str">
        <f t="shared" si="80"/>
        <v/>
      </c>
      <c r="BS279" s="834">
        <f t="shared" si="133"/>
        <v>34.5</v>
      </c>
      <c r="BT279" s="106" t="str">
        <f t="shared" si="81"/>
        <v/>
      </c>
      <c r="BU279" s="834">
        <f t="shared" si="145"/>
        <v>36</v>
      </c>
      <c r="BV279" s="66" t="str">
        <f t="shared" si="146"/>
        <v xml:space="preserve"> N</v>
      </c>
      <c r="BW279" s="66" t="e">
        <f t="shared" si="147"/>
        <v>#N/A</v>
      </c>
      <c r="BX279" s="1198">
        <f t="shared" si="86"/>
        <v>7</v>
      </c>
      <c r="BY279" s="1146" t="str">
        <f t="shared" ref="BY279:BY342" si="153">IF(OR(AC279&lt;($B$237-0.001),AC279&gt;(MAX($B$241:$B$321)+0.001)),"",IF(OR(ISNUMBER(MATCH(AC279,$W$241:$W$321,0)),MOD(HOUR(AC279),3)=0),LOOKUP(AC279,$B$241:$B$321,$T$241:$T$321),IF(MOD(HOUR(AC278),3)=0,IF(AND(BX279&lt;7,BY278="NSW"),BY280,BY278),IF(AND(BX279&lt;7,BY280="NSW"),BY278,BY280))))</f>
        <v>NSW</v>
      </c>
      <c r="CA279" s="3675">
        <f t="shared" si="148"/>
        <v>44750.041666666664</v>
      </c>
      <c r="CB279" s="3675"/>
    </row>
    <row r="280" spans="1:80" ht="10.5">
      <c r="A280" s="978" t="str">
        <f>Worksheet!Q117</f>
        <v>037000 24716771 00293 139942105 8027292724   261127</v>
      </c>
      <c r="B280" s="452">
        <f t="shared" si="120"/>
        <v>44749.291666666664</v>
      </c>
      <c r="C280" s="466">
        <f t="shared" si="110"/>
        <v>29.94</v>
      </c>
      <c r="D280" s="454">
        <f t="shared" si="88"/>
        <v>7</v>
      </c>
      <c r="E280" s="476">
        <f t="shared" si="111"/>
        <v>70</v>
      </c>
      <c r="F280" s="460">
        <f t="shared" si="128"/>
        <v>261</v>
      </c>
      <c r="G280" s="460">
        <f t="shared" si="112"/>
        <v>250</v>
      </c>
      <c r="H280" s="460">
        <f t="shared" si="113"/>
        <v>250</v>
      </c>
      <c r="I280" s="460">
        <f t="shared" si="97"/>
        <v>250</v>
      </c>
      <c r="J280" s="461">
        <f t="shared" si="114"/>
        <v>27</v>
      </c>
      <c r="K280" s="462">
        <f t="shared" si="125"/>
        <v>24</v>
      </c>
      <c r="L280" s="462">
        <f t="shared" si="126"/>
        <v>3</v>
      </c>
      <c r="M280" s="462">
        <f t="shared" si="115"/>
        <v>7</v>
      </c>
      <c r="N280" s="462"/>
      <c r="O280" s="462">
        <f t="shared" si="116"/>
        <v>7</v>
      </c>
      <c r="P280" s="462">
        <f t="shared" si="117"/>
        <v>7</v>
      </c>
      <c r="Q280" s="462">
        <f t="shared" si="129"/>
        <v>12.700000000000001</v>
      </c>
      <c r="R280" s="462">
        <f t="shared" si="127"/>
        <v>7</v>
      </c>
      <c r="S280" s="465">
        <f t="shared" si="152"/>
        <v>7</v>
      </c>
      <c r="T280" s="1118" t="str">
        <f t="shared" si="118"/>
        <v>NSW</v>
      </c>
      <c r="U280" s="463" t="str">
        <f t="shared" si="130"/>
        <v/>
      </c>
      <c r="V280" s="464" t="str">
        <f t="shared" si="135"/>
        <v/>
      </c>
      <c r="W280" s="411">
        <f t="shared" si="121"/>
        <v>44749.291666666664</v>
      </c>
      <c r="X280" s="410"/>
      <c r="Y280" s="458">
        <f t="shared" si="131"/>
        <v>80.599999999999994</v>
      </c>
      <c r="Z280" s="458">
        <f t="shared" si="132"/>
        <v>75.2</v>
      </c>
      <c r="AC280" s="977">
        <f t="shared" si="149"/>
        <v>44750.083333333328</v>
      </c>
      <c r="AD280" s="1610" t="str">
        <f>IF(AND(HOUR(AC280)=HOUR(Worksheet!AF$68),DAY(AC280)=DAY(Worksheet!AF$68)),"START","")</f>
        <v/>
      </c>
      <c r="AE280" s="1149" t="str">
        <f>IF(AND(HOUR(AC280)=HOUR($F$186),DAY(AC280)=DAY($F$186)),(MID($B$189,6,3))*1,IF(AND(ISNUMBER(AE279),AC280&lt;$F$186+1+(1/25)),(MID($B$189,6+(3*COUNT($AE$207:AE279)),3))*1,""))</f>
        <v/>
      </c>
      <c r="AF280" s="1164">
        <f t="shared" si="82"/>
        <v>78.721999999999994</v>
      </c>
      <c r="AG280" s="1150">
        <f t="shared" si="136"/>
        <v>84.8</v>
      </c>
      <c r="AH280" s="1163" t="str">
        <f>IF(AND(ISNUMBER(AH279),AC280&lt;$F$186+26/25),(MID($B$190,6+(3*COUNT($AH$207:AH279)),3))*1,IF(AND(HOUR(AC280)=HOUR($F$186),DAY(AC280)=DAY($F$186)),(MID($B$190,6,3))*1,""))</f>
        <v/>
      </c>
      <c r="AI280" s="1901" t="str">
        <f t="shared" si="108"/>
        <v/>
      </c>
      <c r="AJ280" s="1164">
        <f t="shared" si="137"/>
        <v>77.354000000000028</v>
      </c>
      <c r="AK280" s="1150">
        <f t="shared" si="138"/>
        <v>75.2</v>
      </c>
      <c r="AL280" s="1152">
        <f t="shared" si="83"/>
        <v>29.88</v>
      </c>
      <c r="AM280" s="1153">
        <f t="shared" si="139"/>
        <v>29.923333333333332</v>
      </c>
      <c r="AN280" s="1147"/>
      <c r="AO280" s="976" t="str">
        <f>IF(BA280="Y",AP280,IF(AND(ISNUMBER(AO279),AC280&lt;$F$186+26/25),(MID(INDEX($A$187:$B$210,MATCH("CIG",$A$187:$A$210,0),2),8+(3*COUNT($AO$207:AO279)),1))*1,IF(AND(HOUR(AC280)=HOUR($F$186),DAY(AC280)=DAY($F$186)),(MID(INDEX($A$187:$B$210,MATCH("CIG",$A$187:$A$210,0),2),8,1))*1,"")))</f>
        <v/>
      </c>
      <c r="AP280" s="1061" t="str">
        <f>IF(AND(ISNUMBER(AP279),AC280&lt;$F$186+26/25),(MID(INDEX($A$187:$B$210,MATCH("CCG",$A$187:$A$210,0),2),8+(3*COUNT($AP$207:AP279)),1))*1,IF(AND(HOUR(AC280)=HOUR($F$186),DAY(AC280)=DAY($F$186)),(MID(INDEX($A$187:$B$210,MATCH("CCG",$A$187:$A$210,0),2),8,1))*1,""))</f>
        <v/>
      </c>
      <c r="AQ280" s="1061" t="str">
        <f>IF(AND(AQ279&lt;&gt;"",AC280&lt;$F$186+26/25),MID(INDEX($A$187:$B$210,MATCH("CLD",$A$187:$A$210,0),2),7+(3*SUM(COUNTIF($AQ$207:AQ279,"OV"),COUNTIF($AQ$207:AQ279,"BK"),COUNTIF($AQ$207:AQ279,"SC"),COUNTIF($AQ$207:AQ279,"FW"),COUNTIF($AQ$207:AQ279,"CL"))),2),IF(AND(HOUR(AC280)=HOUR($F$186),DAY(AC280)=DAY($F$186)),MID(INDEX($A$187:$B$210,MATCH("CLD",$A$187:$A$210,0),2),7,2),""))</f>
        <v/>
      </c>
      <c r="AR280" s="1149" t="str">
        <f t="shared" si="140"/>
        <v/>
      </c>
      <c r="AS280" s="1150" t="str">
        <f t="shared" si="141"/>
        <v/>
      </c>
      <c r="AT280" s="112">
        <f t="shared" si="142"/>
        <v>8</v>
      </c>
      <c r="AU280" s="1610" t="str">
        <f t="shared" si="143"/>
        <v>OV</v>
      </c>
      <c r="AV280" s="1148">
        <f t="shared" si="84"/>
        <v>40</v>
      </c>
      <c r="AW280" s="920" t="str">
        <f t="shared" si="87"/>
        <v>SCT</v>
      </c>
      <c r="AX280" s="1608">
        <f t="shared" si="85"/>
        <v>40</v>
      </c>
      <c r="AY280" s="112" t="str">
        <f>IF(BA280="Y",AZ280,IF(AND(ISNUMBER(AY279),AC280&lt;$F$186+26/25),(MID(INDEX($A$187:$B$210,MATCH("VIS",$A$187:$A$210,0),2),8+(3*COUNT($AY$207:AY279)),1))*1,IF(AND(HOUR(AC280)=HOUR($F$186),DAY(AC280)=DAY($F$186)),(MID(INDEX($A$187:$B$210,MATCH("VIS",$A$187:$A$210,0),2),8,1))*1,"")))</f>
        <v/>
      </c>
      <c r="AZ280" s="112" t="str">
        <f>IF(AND(ISNUMBER(AZ279),AC280&lt;$F$186+26/25),(MID(INDEX($A$187:$B$210,MATCH("CVS",$A$187:$A$210,0),2),8+(3*COUNT($AZ$207:AZ279)),1))*1,IF(AND(HOUR(AC280)=HOUR($F$186),DAY(AC280)=DAY($F$186)),(MID(INDEX($A$187:$B$210,MATCH("CVS",$A$187:$A$210,0),2),8,1))*1,""))</f>
        <v/>
      </c>
      <c r="BA280" s="1610" t="str">
        <f>IF(AND(BA279&lt;&gt;"",AC280&lt;$F$186+26/25),MID(INDEX($A$187:$B$210,MATCH("PCO",$A$187:$A$210,0),2),8+(3*SUM(COUNTIF($BA$207:BA279,"Y"),COUNTIF($BA$207:BA279,"N"))),1),IF(AND(HOUR(AC280)=HOUR($F$186),DAY(AC280)=DAY($F$186)),MID(INDEX($A$187:$B$210,MATCH("PCO",$A$187:$A$210,0),2),8,1),""))</f>
        <v/>
      </c>
      <c r="BB280" s="1610" t="e">
        <f>IF(AND(BB279&lt;&gt;"",AC280&lt;$F$186+26/25),MID(INDEX($A$187:$B$210,MATCH("TYP",$A$187:$A$210,0),2),8+(3*SUM(COUNTIF($BB$207:BB279,"S"),COUNTIF($BB$207:BB279,"Z"), COUNTIF($BB$207:BB279,"R"),COUNTIF($BB$207:BB279,"X"))),1),IF(AND(HOUR(AC280)=HOUR($F$186),DAY(AC280)=DAY($F$186)),MID(INDEX($A$187:$B$210,MATCH("TYP",$A$187:$A$210,0),2),8,1),""))</f>
        <v>#N/A</v>
      </c>
      <c r="BC280" s="112" t="str">
        <f>IF(AND(LEN(BC279)=2,AC280&lt;$F$186+26/25),MID(INDEX($A$187:$B$211,MATCH("OBV",$A$187:$A$211,0),2),7+(3*SUM(COUNTIF($BC$207:BC279," N"),COUNTIF($BC$207:BC279,"HZ"),COUNTIF($BC$207:BC279,"BR"),COUNTIF($BC$207:BC279,"FG"),COUNTIF($BC$207:BC279,"BL"))),2),IF(AND(HOUR(AC280)=HOUR($F$186),DAY(AC280)=DAY($F$186)),MID(INDEX($A$187:$B$211,MATCH("OBV",$A$187:$A$211,0),2),7,2),""))</f>
        <v/>
      </c>
      <c r="BD280" s="112"/>
      <c r="BE280" s="112"/>
      <c r="BF280" s="112"/>
      <c r="BG280" s="1610" t="str">
        <f t="shared" si="124"/>
        <v/>
      </c>
      <c r="BH280" s="115" t="str">
        <f t="shared" si="144"/>
        <v/>
      </c>
      <c r="BI280" s="200" t="str">
        <f t="shared" si="76"/>
        <v/>
      </c>
      <c r="BJ280" s="62" t="str">
        <f t="shared" si="75"/>
        <v/>
      </c>
      <c r="BK280" s="1145">
        <f t="shared" si="122"/>
        <v>48</v>
      </c>
      <c r="BL280" s="62" t="str">
        <f t="shared" si="77"/>
        <v/>
      </c>
      <c r="BM280" s="1145" t="str">
        <f t="shared" si="150"/>
        <v/>
      </c>
      <c r="BN280" s="1901" t="str">
        <f t="shared" si="123"/>
        <v/>
      </c>
      <c r="BO280" s="1144" t="str">
        <f t="shared" si="78"/>
        <v/>
      </c>
      <c r="BP280" s="106">
        <f t="shared" si="151"/>
        <v>6</v>
      </c>
      <c r="BQ280" s="66" t="str">
        <f t="shared" si="79"/>
        <v>HZ</v>
      </c>
      <c r="BR280" s="106" t="str">
        <f t="shared" si="80"/>
        <v/>
      </c>
      <c r="BS280" s="834">
        <f t="shared" si="133"/>
        <v>26</v>
      </c>
      <c r="BT280" s="106" t="str">
        <f t="shared" si="81"/>
        <v/>
      </c>
      <c r="BU280" s="834">
        <f t="shared" si="145"/>
        <v>29</v>
      </c>
      <c r="BV280" s="66" t="str">
        <f t="shared" si="146"/>
        <v>HZ</v>
      </c>
      <c r="BW280" s="66" t="e">
        <f t="shared" si="147"/>
        <v>#N/A</v>
      </c>
      <c r="BX280" s="1198">
        <f t="shared" si="86"/>
        <v>7</v>
      </c>
      <c r="BY280" s="1146" t="str">
        <f t="shared" si="153"/>
        <v>NSW</v>
      </c>
      <c r="CA280" s="3675">
        <f t="shared" si="148"/>
        <v>44750.083333333328</v>
      </c>
      <c r="CB280" s="3675"/>
    </row>
    <row r="281" spans="1:80" ht="10.5">
      <c r="A281" s="978" t="str">
        <f>Worksheet!Q118</f>
        <v>038000 24766972 00693 139932205 8026282724   252126</v>
      </c>
      <c r="B281" s="452">
        <f t="shared" si="120"/>
        <v>44749.333333333328</v>
      </c>
      <c r="C281" s="466">
        <f t="shared" si="110"/>
        <v>29.93</v>
      </c>
      <c r="D281" s="454">
        <f t="shared" si="88"/>
        <v>8</v>
      </c>
      <c r="E281" s="476">
        <f t="shared" si="111"/>
        <v>70</v>
      </c>
      <c r="F281" s="460">
        <f t="shared" si="128"/>
        <v>252</v>
      </c>
      <c r="G281" s="460">
        <f t="shared" si="112"/>
        <v>250</v>
      </c>
      <c r="H281" s="460">
        <f t="shared" si="113"/>
        <v>250</v>
      </c>
      <c r="I281" s="460">
        <f t="shared" si="97"/>
        <v>250</v>
      </c>
      <c r="J281" s="461">
        <f t="shared" si="114"/>
        <v>26</v>
      </c>
      <c r="K281" s="462">
        <f t="shared" si="125"/>
        <v>24</v>
      </c>
      <c r="L281" s="462">
        <f t="shared" si="126"/>
        <v>2</v>
      </c>
      <c r="M281" s="462">
        <f t="shared" si="115"/>
        <v>6</v>
      </c>
      <c r="N281" s="462"/>
      <c r="O281" s="462">
        <f t="shared" si="116"/>
        <v>7</v>
      </c>
      <c r="P281" s="462">
        <f t="shared" si="117"/>
        <v>7</v>
      </c>
      <c r="Q281" s="462">
        <f t="shared" si="129"/>
        <v>12.600000000000001</v>
      </c>
      <c r="R281" s="462">
        <f t="shared" si="127"/>
        <v>7</v>
      </c>
      <c r="S281" s="465">
        <f t="shared" si="152"/>
        <v>6</v>
      </c>
      <c r="T281" s="1118" t="str">
        <f t="shared" si="118"/>
        <v>BR</v>
      </c>
      <c r="U281" s="463" t="str">
        <f t="shared" si="130"/>
        <v/>
      </c>
      <c r="V281" s="464" t="str">
        <f t="shared" si="135"/>
        <v/>
      </c>
      <c r="W281" s="411">
        <f t="shared" si="121"/>
        <v>44749.333333333328</v>
      </c>
      <c r="X281" s="410"/>
      <c r="Y281" s="458">
        <f t="shared" si="131"/>
        <v>78.800000000000011</v>
      </c>
      <c r="Z281" s="458">
        <f t="shared" si="132"/>
        <v>75.2</v>
      </c>
      <c r="AC281" s="977">
        <f t="shared" si="149"/>
        <v>44750.125</v>
      </c>
      <c r="AD281" s="1610" t="str">
        <f>IF(AND(HOUR(AC281)=HOUR(Worksheet!AF$68),DAY(AC281)=DAY(Worksheet!AF$68)),"START","")</f>
        <v/>
      </c>
      <c r="AE281" s="1149" t="str">
        <f>IF(AND(HOUR(AC281)=HOUR($F$186),DAY(AC281)=DAY($F$186)),(MID($B$189,6,3))*1,IF(AND(ISNUMBER(AE280),AC281&lt;$F$186+1+(1/25)),(MID($B$189,6+(3*COUNT($AE$207:AE280)),3))*1,""))</f>
        <v/>
      </c>
      <c r="AF281" s="1164">
        <f t="shared" si="82"/>
        <v>77.863999999999976</v>
      </c>
      <c r="AG281" s="1150">
        <f t="shared" si="136"/>
        <v>82.4</v>
      </c>
      <c r="AH281" s="1163" t="str">
        <f>IF(AND(ISNUMBER(AH280),AC281&lt;$F$186+26/25),(MID($B$190,6+(3*COUNT($AH$207:AH280)),3))*1,IF(AND(HOUR(AC281)=HOUR($F$186),DAY(AC281)=DAY($F$186)),(MID($B$190,6,3))*1,""))</f>
        <v/>
      </c>
      <c r="AI281" s="1901" t="str">
        <f t="shared" si="108"/>
        <v/>
      </c>
      <c r="AJ281" s="1164">
        <f t="shared" si="137"/>
        <v>77.05400000000003</v>
      </c>
      <c r="AK281" s="1150">
        <f t="shared" si="138"/>
        <v>75.2</v>
      </c>
      <c r="AL281" s="1152">
        <f t="shared" si="83"/>
        <v>29.88</v>
      </c>
      <c r="AM281" s="1153">
        <f t="shared" si="139"/>
        <v>29.93</v>
      </c>
      <c r="AN281" s="1147"/>
      <c r="AO281" s="976" t="str">
        <f>IF(BA281="Y",AP281,IF(AND(ISNUMBER(AO280),AC281&lt;$F$186+26/25),(MID(INDEX($A$187:$B$210,MATCH("CIG",$A$187:$A$210,0),2),8+(3*COUNT($AO$207:AO280)),1))*1,IF(AND(HOUR(AC281)=HOUR($F$186),DAY(AC281)=DAY($F$186)),(MID(INDEX($A$187:$B$210,MATCH("CIG",$A$187:$A$210,0),2),8,1))*1,"")))</f>
        <v/>
      </c>
      <c r="AP281" s="1061" t="str">
        <f>IF(AND(ISNUMBER(AP280),AC281&lt;$F$186+26/25),(MID(INDEX($A$187:$B$210,MATCH("CCG",$A$187:$A$210,0),2),8+(3*COUNT($AP$207:AP280)),1))*1,IF(AND(HOUR(AC281)=HOUR($F$186),DAY(AC281)=DAY($F$186)),(MID(INDEX($A$187:$B$210,MATCH("CCG",$A$187:$A$210,0),2),8,1))*1,""))</f>
        <v/>
      </c>
      <c r="AQ281" s="1061" t="str">
        <f>IF(AND(AQ280&lt;&gt;"",AC281&lt;$F$186+26/25),MID(INDEX($A$187:$B$210,MATCH("CLD",$A$187:$A$210,0),2),7+(3*SUM(COUNTIF($AQ$207:AQ280,"OV"),COUNTIF($AQ$207:AQ280,"BK"),COUNTIF($AQ$207:AQ280,"SC"),COUNTIF($AQ$207:AQ280,"FW"),COUNTIF($AQ$207:AQ280,"CL"))),2),IF(AND(HOUR(AC281)=HOUR($F$186),DAY(AC281)=DAY($F$186)),MID(INDEX($A$187:$B$210,MATCH("CLD",$A$187:$A$210,0),2),7,2),""))</f>
        <v/>
      </c>
      <c r="AR281" s="1149" t="str">
        <f t="shared" si="140"/>
        <v/>
      </c>
      <c r="AS281" s="1150" t="str">
        <f t="shared" si="141"/>
        <v/>
      </c>
      <c r="AT281" s="112">
        <f t="shared" si="142"/>
        <v>8</v>
      </c>
      <c r="AU281" s="1610" t="str">
        <f t="shared" si="143"/>
        <v>OV</v>
      </c>
      <c r="AV281" s="1148">
        <f t="shared" si="84"/>
        <v>40</v>
      </c>
      <c r="AW281" s="920" t="str">
        <f t="shared" si="87"/>
        <v>SCT</v>
      </c>
      <c r="AX281" s="1608">
        <f t="shared" si="85"/>
        <v>40</v>
      </c>
      <c r="AY281" s="112" t="str">
        <f>IF(BA281="Y",AZ281,IF(AND(ISNUMBER(AY280),AC281&lt;$F$186+26/25),(MID(INDEX($A$187:$B$210,MATCH("VIS",$A$187:$A$210,0),2),8+(3*COUNT($AY$207:AY280)),1))*1,IF(AND(HOUR(AC281)=HOUR($F$186),DAY(AC281)=DAY($F$186)),(MID(INDEX($A$187:$B$210,MATCH("VIS",$A$187:$A$210,0),2),8,1))*1,"")))</f>
        <v/>
      </c>
      <c r="AZ281" s="112" t="str">
        <f>IF(AND(ISNUMBER(AZ280),AC281&lt;$F$186+26/25),(MID(INDEX($A$187:$B$210,MATCH("CVS",$A$187:$A$210,0),2),8+(3*COUNT($AZ$207:AZ280)),1))*1,IF(AND(HOUR(AC281)=HOUR($F$186),DAY(AC281)=DAY($F$186)),(MID(INDEX($A$187:$B$210,MATCH("CVS",$A$187:$A$210,0),2),8,1))*1,""))</f>
        <v/>
      </c>
      <c r="BA281" s="1610" t="str">
        <f>IF(AND(BA280&lt;&gt;"",AC281&lt;$F$186+26/25),MID(INDEX($A$187:$B$210,MATCH("PCO",$A$187:$A$210,0),2),8+(3*SUM(COUNTIF($BA$207:BA280,"Y"),COUNTIF($BA$207:BA280,"N"))),1),IF(AND(HOUR(AC281)=HOUR($F$186),DAY(AC281)=DAY($F$186)),MID(INDEX($A$187:$B$210,MATCH("PCO",$A$187:$A$210,0),2),8,1),""))</f>
        <v/>
      </c>
      <c r="BB281" s="1610" t="e">
        <f>IF(AND(BB280&lt;&gt;"",AC281&lt;$F$186+26/25),MID(INDEX($A$187:$B$210,MATCH("TYP",$A$187:$A$210,0),2),8+(3*SUM(COUNTIF($BB$207:BB280,"S"),COUNTIF($BB$207:BB280,"Z"), COUNTIF($BB$207:BB280,"R"),COUNTIF($BB$207:BB280,"X"))),1),IF(AND(HOUR(AC281)=HOUR($F$186),DAY(AC281)=DAY($F$186)),MID(INDEX($A$187:$B$210,MATCH("TYP",$A$187:$A$210,0),2),8,1),""))</f>
        <v>#N/A</v>
      </c>
      <c r="BC281" s="112" t="str">
        <f>IF(AND(LEN(BC280)=2,AC281&lt;$F$186+26/25),MID(INDEX($A$187:$B$211,MATCH("OBV",$A$187:$A$211,0),2),7+(3*SUM(COUNTIF($BC$207:BC280," N"),COUNTIF($BC$207:BC280,"HZ"),COUNTIF($BC$207:BC280,"BR"),COUNTIF($BC$207:BC280,"FG"),COUNTIF($BC$207:BC280,"BL"))),2),IF(AND(HOUR(AC281)=HOUR($F$186),DAY(AC281)=DAY($F$186)),MID(INDEX($A$187:$B$211,MATCH("OBV",$A$187:$A$211,0),2),7,2),""))</f>
        <v/>
      </c>
      <c r="BD281" s="112"/>
      <c r="BE281" s="112"/>
      <c r="BF281" s="112"/>
      <c r="BG281" s="1610" t="str">
        <f t="shared" si="124"/>
        <v/>
      </c>
      <c r="BH281" s="115" t="str">
        <f t="shared" si="144"/>
        <v/>
      </c>
      <c r="BI281" s="200" t="str">
        <f t="shared" si="76"/>
        <v/>
      </c>
      <c r="BJ281" s="62" t="str">
        <f t="shared" si="75"/>
        <v/>
      </c>
      <c r="BK281" s="1145">
        <f t="shared" si="122"/>
        <v>48</v>
      </c>
      <c r="BL281" s="62" t="str">
        <f t="shared" si="77"/>
        <v/>
      </c>
      <c r="BM281" s="1145" t="str">
        <f t="shared" si="150"/>
        <v/>
      </c>
      <c r="BN281" s="1901" t="str">
        <f t="shared" si="123"/>
        <v/>
      </c>
      <c r="BO281" s="1144" t="str">
        <f t="shared" si="78"/>
        <v/>
      </c>
      <c r="BP281" s="106">
        <f t="shared" si="151"/>
        <v>6</v>
      </c>
      <c r="BQ281" s="66" t="str">
        <f t="shared" si="79"/>
        <v>HZ</v>
      </c>
      <c r="BR281" s="106" t="str">
        <f t="shared" si="80"/>
        <v/>
      </c>
      <c r="BS281" s="834">
        <f t="shared" si="133"/>
        <v>26</v>
      </c>
      <c r="BT281" s="106" t="str">
        <f t="shared" si="81"/>
        <v/>
      </c>
      <c r="BU281" s="834">
        <f t="shared" si="145"/>
        <v>29</v>
      </c>
      <c r="BV281" s="66" t="str">
        <f t="shared" si="146"/>
        <v>HZ</v>
      </c>
      <c r="BW281" s="66" t="e">
        <f t="shared" si="147"/>
        <v>#N/A</v>
      </c>
      <c r="BX281" s="1198">
        <f t="shared" si="86"/>
        <v>7</v>
      </c>
      <c r="BY281" s="1146" t="str">
        <f t="shared" si="153"/>
        <v>NSW</v>
      </c>
      <c r="CA281" s="3675">
        <f t="shared" si="148"/>
        <v>44750.125</v>
      </c>
      <c r="CB281" s="3675"/>
    </row>
    <row r="282" spans="1:80" ht="10.5">
      <c r="A282" s="978" t="str">
        <f>Worksheet!Q119</f>
        <v>039000 24807174 -0394 139932305 8026272624   245126</v>
      </c>
      <c r="B282" s="452">
        <f t="shared" si="120"/>
        <v>44749.375</v>
      </c>
      <c r="C282" s="466">
        <f t="shared" si="110"/>
        <v>29.93</v>
      </c>
      <c r="D282" s="454">
        <f t="shared" si="88"/>
        <v>9</v>
      </c>
      <c r="E282" s="476">
        <f t="shared" si="111"/>
        <v>70</v>
      </c>
      <c r="F282" s="460">
        <f t="shared" si="128"/>
        <v>245</v>
      </c>
      <c r="G282" s="460">
        <f t="shared" si="112"/>
        <v>200</v>
      </c>
      <c r="H282" s="460">
        <f t="shared" si="113"/>
        <v>200</v>
      </c>
      <c r="I282" s="460">
        <f t="shared" si="97"/>
        <v>200</v>
      </c>
      <c r="J282" s="461">
        <f t="shared" si="114"/>
        <v>26</v>
      </c>
      <c r="K282" s="462">
        <f t="shared" si="125"/>
        <v>24</v>
      </c>
      <c r="L282" s="462">
        <f t="shared" si="126"/>
        <v>2</v>
      </c>
      <c r="M282" s="462">
        <f t="shared" si="115"/>
        <v>7</v>
      </c>
      <c r="N282" s="462"/>
      <c r="O282" s="462">
        <f t="shared" si="116"/>
        <v>7</v>
      </c>
      <c r="P282" s="462">
        <f t="shared" si="117"/>
        <v>7</v>
      </c>
      <c r="Q282" s="462">
        <f t="shared" si="129"/>
        <v>12.600000000000001</v>
      </c>
      <c r="R282" s="462">
        <f t="shared" si="127"/>
        <v>7</v>
      </c>
      <c r="S282" s="465">
        <f t="shared" si="152"/>
        <v>7</v>
      </c>
      <c r="T282" s="1118" t="str">
        <f t="shared" si="118"/>
        <v>NSW</v>
      </c>
      <c r="U282" s="463" t="str">
        <f t="shared" si="130"/>
        <v/>
      </c>
      <c r="V282" s="464" t="str">
        <f t="shared" si="135"/>
        <v/>
      </c>
      <c r="W282" s="411">
        <f t="shared" si="121"/>
        <v>44749.375</v>
      </c>
      <c r="X282" s="410"/>
      <c r="Y282" s="458">
        <f t="shared" si="131"/>
        <v>78.800000000000011</v>
      </c>
      <c r="Z282" s="458">
        <f t="shared" si="132"/>
        <v>75.2</v>
      </c>
      <c r="AC282" s="977">
        <f t="shared" si="149"/>
        <v>44750.166666666664</v>
      </c>
      <c r="AD282" s="1610" t="str">
        <f>IF(AND(HOUR(AC282)=HOUR(Worksheet!AF$68),DAY(AC282)=DAY(Worksheet!AF$68)),"START","")</f>
        <v/>
      </c>
      <c r="AE282" s="1149" t="str">
        <f>IF(AND(HOUR(AC282)=HOUR($F$186),DAY(AC282)=DAY($F$186)),(MID($B$189,6,3))*1,IF(AND(ISNUMBER(AE281),AC282&lt;$F$186+1+(1/25)),(MID($B$189,6+(3*COUNT($AE$207:AE281)),3))*1,""))</f>
        <v/>
      </c>
      <c r="AF282" s="1164">
        <f t="shared" si="82"/>
        <v>77.653999999999982</v>
      </c>
      <c r="AG282" s="1150">
        <f t="shared" si="136"/>
        <v>81.8</v>
      </c>
      <c r="AH282" s="1163" t="str">
        <f>IF(AND(ISNUMBER(AH281),AC282&lt;$F$186+26/25),(MID($B$190,6+(3*COUNT($AH$207:AH281)),3))*1,IF(AND(HOUR(AC282)=HOUR($F$186),DAY(AC282)=DAY($F$186)),(MID($B$190,6,3))*1,""))</f>
        <v/>
      </c>
      <c r="AI282" s="1901" t="str">
        <f t="shared" si="108"/>
        <v/>
      </c>
      <c r="AJ282" s="1164">
        <f t="shared" si="137"/>
        <v>76.904000000000011</v>
      </c>
      <c r="AK282" s="1150">
        <f t="shared" si="138"/>
        <v>75.2</v>
      </c>
      <c r="AL282" s="1152">
        <f t="shared" si="83"/>
        <v>29.876666666666665</v>
      </c>
      <c r="AM282" s="1153">
        <f t="shared" si="139"/>
        <v>29.926666666666666</v>
      </c>
      <c r="AN282" s="1147"/>
      <c r="AO282" s="976" t="str">
        <f>IF(BA282="Y",AP282,IF(AND(ISNUMBER(AO281),AC282&lt;$F$186+26/25),(MID(INDEX($A$187:$B$210,MATCH("CIG",$A$187:$A$210,0),2),8+(3*COUNT($AO$207:AO281)),1))*1,IF(AND(HOUR(AC282)=HOUR($F$186),DAY(AC282)=DAY($F$186)),(MID(INDEX($A$187:$B$210,MATCH("CIG",$A$187:$A$210,0),2),8,1))*1,"")))</f>
        <v/>
      </c>
      <c r="AP282" s="1061" t="str">
        <f>IF(AND(ISNUMBER(AP281),AC282&lt;$F$186+26/25),(MID(INDEX($A$187:$B$210,MATCH("CCG",$A$187:$A$210,0),2),8+(3*COUNT($AP$207:AP281)),1))*1,IF(AND(HOUR(AC282)=HOUR($F$186),DAY(AC282)=DAY($F$186)),(MID(INDEX($A$187:$B$210,MATCH("CCG",$A$187:$A$210,0),2),8,1))*1,""))</f>
        <v/>
      </c>
      <c r="AQ282" s="1061" t="str">
        <f>IF(AND(AQ281&lt;&gt;"",AC282&lt;$F$186+26/25),MID(INDEX($A$187:$B$210,MATCH("CLD",$A$187:$A$210,0),2),7+(3*SUM(COUNTIF($AQ$207:AQ281,"OV"),COUNTIF($AQ$207:AQ281,"BK"),COUNTIF($AQ$207:AQ281,"SC"),COUNTIF($AQ$207:AQ281,"FW"),COUNTIF($AQ$207:AQ281,"CL"))),2),IF(AND(HOUR(AC282)=HOUR($F$186),DAY(AC282)=DAY($F$186)),MID(INDEX($A$187:$B$210,MATCH("CLD",$A$187:$A$210,0),2),7,2),""))</f>
        <v/>
      </c>
      <c r="AR282" s="1149" t="str">
        <f t="shared" si="140"/>
        <v/>
      </c>
      <c r="AS282" s="1150" t="str">
        <f t="shared" si="141"/>
        <v/>
      </c>
      <c r="AT282" s="112">
        <f t="shared" si="142"/>
        <v>8</v>
      </c>
      <c r="AU282" s="1610" t="str">
        <f t="shared" si="143"/>
        <v>OV</v>
      </c>
      <c r="AV282" s="1148">
        <f t="shared" si="84"/>
        <v>40</v>
      </c>
      <c r="AW282" s="920" t="str">
        <f t="shared" si="87"/>
        <v>SCT</v>
      </c>
      <c r="AX282" s="1608">
        <f t="shared" si="85"/>
        <v>40</v>
      </c>
      <c r="AY282" s="112" t="str">
        <f>IF(BA282="Y",AZ282,IF(AND(ISNUMBER(AY281),AC282&lt;$F$186+26/25),(MID(INDEX($A$187:$B$210,MATCH("VIS",$A$187:$A$210,0),2),8+(3*COUNT($AY$207:AY281)),1))*1,IF(AND(HOUR(AC282)=HOUR($F$186),DAY(AC282)=DAY($F$186)),(MID(INDEX($A$187:$B$210,MATCH("VIS",$A$187:$A$210,0),2),8,1))*1,"")))</f>
        <v/>
      </c>
      <c r="AZ282" s="112" t="str">
        <f>IF(AND(ISNUMBER(AZ281),AC282&lt;$F$186+26/25),(MID(INDEX($A$187:$B$210,MATCH("CVS",$A$187:$A$210,0),2),8+(3*COUNT($AZ$207:AZ281)),1))*1,IF(AND(HOUR(AC282)=HOUR($F$186),DAY(AC282)=DAY($F$186)),(MID(INDEX($A$187:$B$210,MATCH("CVS",$A$187:$A$210,0),2),8,1))*1,""))</f>
        <v/>
      </c>
      <c r="BA282" s="1610" t="str">
        <f>IF(AND(BA281&lt;&gt;"",AC282&lt;$F$186+26/25),MID(INDEX($A$187:$B$210,MATCH("PCO",$A$187:$A$210,0),2),8+(3*SUM(COUNTIF($BA$207:BA281,"Y"),COUNTIF($BA$207:BA281,"N"))),1),IF(AND(HOUR(AC282)=HOUR($F$186),DAY(AC282)=DAY($F$186)),MID(INDEX($A$187:$B$210,MATCH("PCO",$A$187:$A$210,0),2),8,1),""))</f>
        <v/>
      </c>
      <c r="BB282" s="1610" t="e">
        <f>IF(AND(BB281&lt;&gt;"",AC282&lt;$F$186+26/25),MID(INDEX($A$187:$B$210,MATCH("TYP",$A$187:$A$210,0),2),8+(3*SUM(COUNTIF($BB$207:BB281,"S"),COUNTIF($BB$207:BB281,"Z"), COUNTIF($BB$207:BB281,"R"),COUNTIF($BB$207:BB281,"X"))),1),IF(AND(HOUR(AC282)=HOUR($F$186),DAY(AC282)=DAY($F$186)),MID(INDEX($A$187:$B$210,MATCH("TYP",$A$187:$A$210,0),2),8,1),""))</f>
        <v>#N/A</v>
      </c>
      <c r="BC282" s="112" t="str">
        <f>IF(AND(LEN(BC281)=2,AC282&lt;$F$186+26/25),MID(INDEX($A$187:$B$211,MATCH("OBV",$A$187:$A$211,0),2),7+(3*SUM(COUNTIF($BC$207:BC281," N"),COUNTIF($BC$207:BC281,"HZ"),COUNTIF($BC$207:BC281,"BR"),COUNTIF($BC$207:BC281,"FG"),COUNTIF($BC$207:BC281,"BL"))),2),IF(AND(HOUR(AC282)=HOUR($F$186),DAY(AC282)=DAY($F$186)),MID(INDEX($A$187:$B$211,MATCH("OBV",$A$187:$A$211,0),2),7,2),""))</f>
        <v/>
      </c>
      <c r="BD282" s="112"/>
      <c r="BE282" s="112"/>
      <c r="BF282" s="112"/>
      <c r="BG282" s="1610" t="str">
        <f t="shared" si="124"/>
        <v/>
      </c>
      <c r="BH282" s="115" t="str">
        <f t="shared" si="144"/>
        <v/>
      </c>
      <c r="BI282" s="200" t="str">
        <f t="shared" si="76"/>
        <v/>
      </c>
      <c r="BJ282" s="62" t="str">
        <f t="shared" ref="BJ282:BJ345" si="154">IF(AC282=$F$373,MID(INDEX($A$369:$B$393,MATCH("P06",$A$369:$A$393,0),2),12,3)*1,IF(OR(AC282&lt;($F$373+0.01),AC282&gt;($F$374+0.001)),"",IF(AC282-$F$373&lt;2.49,IF(MOD(HOUR(AC282),6)=0,(MID(INDEX($A$370:$B$392,MATCH("P06",$A$370:$A$392,0),2),12+(6*(AC282-($F$373+0.25))*4),3))*1,""),IF(MOD(HOUR(AC282),6)=0,(MID(INDEX($A$370:$B$392,MATCH("P06",$A$370:$A$392,0),2),63+(3*(ROUND(((AC282-$F$373-2.5)*4),3))),3))*1,""))))</f>
        <v/>
      </c>
      <c r="BK282" s="1145">
        <f t="shared" si="122"/>
        <v>48</v>
      </c>
      <c r="BL282" s="62" t="str">
        <f t="shared" si="77"/>
        <v/>
      </c>
      <c r="BM282" s="1145" t="str">
        <f t="shared" si="150"/>
        <v/>
      </c>
      <c r="BN282" s="1901" t="str">
        <f t="shared" si="123"/>
        <v/>
      </c>
      <c r="BO282" s="1144" t="str">
        <f t="shared" si="78"/>
        <v/>
      </c>
      <c r="BP282" s="106">
        <f t="shared" si="151"/>
        <v>6</v>
      </c>
      <c r="BQ282" s="66" t="str">
        <f t="shared" si="79"/>
        <v>HZ</v>
      </c>
      <c r="BR282" s="106" t="str">
        <f t="shared" si="80"/>
        <v/>
      </c>
      <c r="BS282" s="834">
        <f t="shared" si="133"/>
        <v>26</v>
      </c>
      <c r="BT282" s="106" t="str">
        <f t="shared" si="81"/>
        <v/>
      </c>
      <c r="BU282" s="834">
        <f t="shared" si="145"/>
        <v>29</v>
      </c>
      <c r="BV282" s="66" t="str">
        <f t="shared" si="146"/>
        <v>HZ</v>
      </c>
      <c r="BW282" s="66" t="e">
        <f t="shared" si="147"/>
        <v>#N/A</v>
      </c>
      <c r="BX282" s="1198">
        <f t="shared" si="86"/>
        <v>7</v>
      </c>
      <c r="BY282" s="1146" t="str">
        <f t="shared" si="153"/>
        <v>NSW</v>
      </c>
      <c r="CA282" s="3675">
        <f t="shared" si="148"/>
        <v>44750.166666666664</v>
      </c>
      <c r="CB282" s="3675"/>
    </row>
    <row r="283" spans="1:80" ht="10.5">
      <c r="A283" s="978" t="str">
        <f>Worksheet!Q120</f>
        <v>040000 24837276 -1394 139932305 8026272624   213123</v>
      </c>
      <c r="B283" s="452">
        <f t="shared" si="120"/>
        <v>44749.416666666664</v>
      </c>
      <c r="C283" s="466">
        <f t="shared" si="110"/>
        <v>29.93</v>
      </c>
      <c r="D283" s="454">
        <f t="shared" si="88"/>
        <v>10</v>
      </c>
      <c r="E283" s="476">
        <f t="shared" si="111"/>
        <v>70</v>
      </c>
      <c r="F283" s="460">
        <f t="shared" si="128"/>
        <v>213</v>
      </c>
      <c r="G283" s="460">
        <f t="shared" si="112"/>
        <v>200</v>
      </c>
      <c r="H283" s="460">
        <f t="shared" si="113"/>
        <v>200</v>
      </c>
      <c r="I283" s="460">
        <f t="shared" si="97"/>
        <v>200</v>
      </c>
      <c r="J283" s="461">
        <f t="shared" si="114"/>
        <v>26</v>
      </c>
      <c r="K283" s="462">
        <f t="shared" si="125"/>
        <v>24</v>
      </c>
      <c r="L283" s="462">
        <f t="shared" si="126"/>
        <v>2</v>
      </c>
      <c r="M283" s="462">
        <f t="shared" si="115"/>
        <v>7</v>
      </c>
      <c r="N283" s="462"/>
      <c r="O283" s="462">
        <f t="shared" si="116"/>
        <v>7</v>
      </c>
      <c r="P283" s="462">
        <f t="shared" si="117"/>
        <v>7</v>
      </c>
      <c r="Q283" s="462">
        <f t="shared" si="129"/>
        <v>12.3</v>
      </c>
      <c r="R283" s="462">
        <f t="shared" si="127"/>
        <v>7</v>
      </c>
      <c r="S283" s="465">
        <f t="shared" si="152"/>
        <v>7</v>
      </c>
      <c r="T283" s="1118" t="str">
        <f t="shared" si="118"/>
        <v>NSW</v>
      </c>
      <c r="U283" s="463" t="str">
        <f t="shared" si="130"/>
        <v/>
      </c>
      <c r="V283" s="464" t="str">
        <f t="shared" si="135"/>
        <v/>
      </c>
      <c r="W283" s="411">
        <f t="shared" si="121"/>
        <v>44749.416666666664</v>
      </c>
      <c r="X283" s="410"/>
      <c r="Y283" s="458">
        <f t="shared" si="131"/>
        <v>78.800000000000011</v>
      </c>
      <c r="Z283" s="458">
        <f t="shared" si="132"/>
        <v>75.2</v>
      </c>
      <c r="AC283" s="977">
        <f t="shared" si="149"/>
        <v>44750.208333333328</v>
      </c>
      <c r="AD283" s="1610" t="str">
        <f>IF(AND(HOUR(AC283)=HOUR(Worksheet!AF$68),DAY(AC283)=DAY(Worksheet!AF$68)),"START","")</f>
        <v/>
      </c>
      <c r="AE283" s="1149" t="str">
        <f>IF(AND(HOUR(AC283)=HOUR($F$186),DAY(AC283)=DAY($F$186)),(MID($B$189,6,3))*1,IF(AND(ISNUMBER(AE282),AC283&lt;$F$186+1+(1/25)),(MID($B$189,6+(3*COUNT($AE$207:AE282)),3))*1,""))</f>
        <v/>
      </c>
      <c r="AF283" s="1164">
        <f t="shared" si="82"/>
        <v>77.443999999999974</v>
      </c>
      <c r="AG283" s="1150">
        <f t="shared" si="136"/>
        <v>81.2</v>
      </c>
      <c r="AH283" s="1163" t="str">
        <f>IF(AND(ISNUMBER(AH282),AC283&lt;$F$186+26/25),(MID($B$190,6+(3*COUNT($AH$207:AH282)),3))*1,IF(AND(HOUR(AC283)=HOUR($F$186),DAY(AC283)=DAY($F$186)),(MID($B$190,6,3))*1,""))</f>
        <v/>
      </c>
      <c r="AI283" s="1901" t="str">
        <f t="shared" si="108"/>
        <v/>
      </c>
      <c r="AJ283" s="1164">
        <f t="shared" si="137"/>
        <v>76.754000000000005</v>
      </c>
      <c r="AK283" s="1150">
        <f t="shared" si="138"/>
        <v>75.2</v>
      </c>
      <c r="AL283" s="1152">
        <f t="shared" si="83"/>
        <v>29.873333333333335</v>
      </c>
      <c r="AM283" s="1153">
        <f t="shared" si="139"/>
        <v>29.923333333333336</v>
      </c>
      <c r="AN283" s="1147"/>
      <c r="AO283" s="976" t="str">
        <f>IF(BA283="Y",AP283,IF(AND(ISNUMBER(AO282),AC283&lt;$F$186+26/25),(MID(INDEX($A$187:$B$210,MATCH("CIG",$A$187:$A$210,0),2),8+(3*COUNT($AO$207:AO282)),1))*1,IF(AND(HOUR(AC283)=HOUR($F$186),DAY(AC283)=DAY($F$186)),(MID(INDEX($A$187:$B$210,MATCH("CIG",$A$187:$A$210,0),2),8,1))*1,"")))</f>
        <v/>
      </c>
      <c r="AP283" s="1061" t="str">
        <f>IF(AND(ISNUMBER(AP282),AC283&lt;$F$186+26/25),(MID(INDEX($A$187:$B$210,MATCH("CCG",$A$187:$A$210,0),2),8+(3*COUNT($AP$207:AP282)),1))*1,IF(AND(HOUR(AC283)=HOUR($F$186),DAY(AC283)=DAY($F$186)),(MID(INDEX($A$187:$B$210,MATCH("CCG",$A$187:$A$210,0),2),8,1))*1,""))</f>
        <v/>
      </c>
      <c r="AQ283" s="1061" t="str">
        <f>IF(AND(AQ282&lt;&gt;"",AC283&lt;$F$186+26/25),MID(INDEX($A$187:$B$210,MATCH("CLD",$A$187:$A$210,0),2),7+(3*SUM(COUNTIF($AQ$207:AQ282,"OV"),COUNTIF($AQ$207:AQ282,"BK"),COUNTIF($AQ$207:AQ282,"SC"),COUNTIF($AQ$207:AQ282,"FW"),COUNTIF($AQ$207:AQ282,"CL"))),2),IF(AND(HOUR(AC283)=HOUR($F$186),DAY(AC283)=DAY($F$186)),MID(INDEX($A$187:$B$210,MATCH("CLD",$A$187:$A$210,0),2),7,2),""))</f>
        <v/>
      </c>
      <c r="AR283" s="1149" t="str">
        <f t="shared" si="140"/>
        <v/>
      </c>
      <c r="AS283" s="1150" t="str">
        <f t="shared" si="141"/>
        <v/>
      </c>
      <c r="AT283" s="112">
        <f t="shared" si="142"/>
        <v>8</v>
      </c>
      <c r="AU283" s="1610" t="str">
        <f t="shared" si="143"/>
        <v>BK</v>
      </c>
      <c r="AV283" s="1148">
        <f t="shared" si="84"/>
        <v>40</v>
      </c>
      <c r="AW283" s="920" t="str">
        <f t="shared" si="87"/>
        <v>SCT</v>
      </c>
      <c r="AX283" s="1608">
        <f t="shared" si="85"/>
        <v>40</v>
      </c>
      <c r="AY283" s="112" t="str">
        <f>IF(BA283="Y",AZ283,IF(AND(ISNUMBER(AY282),AC283&lt;$F$186+26/25),(MID(INDEX($A$187:$B$210,MATCH("VIS",$A$187:$A$210,0),2),8+(3*COUNT($AY$207:AY282)),1))*1,IF(AND(HOUR(AC283)=HOUR($F$186),DAY(AC283)=DAY($F$186)),(MID(INDEX($A$187:$B$210,MATCH("VIS",$A$187:$A$210,0),2),8,1))*1,"")))</f>
        <v/>
      </c>
      <c r="AZ283" s="112" t="str">
        <f>IF(AND(ISNUMBER(AZ282),AC283&lt;$F$186+26/25),(MID(INDEX($A$187:$B$210,MATCH("CVS",$A$187:$A$210,0),2),8+(3*COUNT($AZ$207:AZ282)),1))*1,IF(AND(HOUR(AC283)=HOUR($F$186),DAY(AC283)=DAY($F$186)),(MID(INDEX($A$187:$B$210,MATCH("CVS",$A$187:$A$210,0),2),8,1))*1,""))</f>
        <v/>
      </c>
      <c r="BA283" s="1610" t="str">
        <f>IF(AND(BA282&lt;&gt;"",AC283&lt;$F$186+26/25),MID(INDEX($A$187:$B$210,MATCH("PCO",$A$187:$A$210,0),2),8+(3*SUM(COUNTIF($BA$207:BA282,"Y"),COUNTIF($BA$207:BA282,"N"))),1),IF(AND(HOUR(AC283)=HOUR($F$186),DAY(AC283)=DAY($F$186)),MID(INDEX($A$187:$B$210,MATCH("PCO",$A$187:$A$210,0),2),8,1),""))</f>
        <v/>
      </c>
      <c r="BB283" s="1610" t="e">
        <f>IF(AND(BB282&lt;&gt;"",AC283&lt;$F$186+26/25),MID(INDEX($A$187:$B$210,MATCH("TYP",$A$187:$A$210,0),2),8+(3*SUM(COUNTIF($BB$207:BB282,"S"),COUNTIF($BB$207:BB282,"Z"), COUNTIF($BB$207:BB282,"R"),COUNTIF($BB$207:BB282,"X"))),1),IF(AND(HOUR(AC283)=HOUR($F$186),DAY(AC283)=DAY($F$186)),MID(INDEX($A$187:$B$210,MATCH("TYP",$A$187:$A$210,0),2),8,1),""))</f>
        <v>#N/A</v>
      </c>
      <c r="BC283" s="112" t="str">
        <f>IF(AND(LEN(BC282)=2,AC283&lt;$F$186+26/25),MID(INDEX($A$187:$B$211,MATCH("OBV",$A$187:$A$211,0),2),7+(3*SUM(COUNTIF($BC$207:BC282," N"),COUNTIF($BC$207:BC282,"HZ"),COUNTIF($BC$207:BC282,"BR"),COUNTIF($BC$207:BC282,"FG"),COUNTIF($BC$207:BC282,"BL"))),2),IF(AND(HOUR(AC283)=HOUR($F$186),DAY(AC283)=DAY($F$186)),MID(INDEX($A$187:$B$211,MATCH("OBV",$A$187:$A$211,0),2),7,2),""))</f>
        <v/>
      </c>
      <c r="BD283" s="112"/>
      <c r="BE283" s="112"/>
      <c r="BF283" s="112"/>
      <c r="BG283" s="1610" t="str">
        <f t="shared" si="124"/>
        <v/>
      </c>
      <c r="BH283" s="115" t="str">
        <f t="shared" si="144"/>
        <v/>
      </c>
      <c r="BI283" s="200" t="str">
        <f t="shared" ref="BI283:BI346" si="155">IF(AND(BM283&lt;&gt;"",BM283&gt;49.9),"TS",IF(BK283="","",IF(BK283&gt;49.9,IF(IF(ISERROR(BW284),"RA",IF(BO283=" S","SN",IF(BO283=" R","RA",IF(BO283=" Z","FZ",""))))="","UP",IF(ISERROR(BO283),"RA",IF(BO283=" S","SN",IF(BO283=" R","RA",IF(BO283=" Z","FZ",""))))),IF(BH283&lt;7,IF(BK283&lt;30,"BR",IF(ISERROR(BO283),"RA",IF(BO283=" S","SN",IF(BO283=" R","RA",IF(BO283=" Z","FZ",""))))),""))))</f>
        <v/>
      </c>
      <c r="BJ283" s="62" t="str">
        <f t="shared" si="154"/>
        <v/>
      </c>
      <c r="BK283" s="1145">
        <f t="shared" si="122"/>
        <v>46.5</v>
      </c>
      <c r="BL283" s="62" t="str">
        <f t="shared" ref="BL283:BL346" si="156">IF(AC283=$F$373,MID(INDEX($A$369:$B$393,MATCH("T06",$A$369:$A$393,0),2),9,3)*1,IF(OR(AC283&lt;($F$373+0.01),AC283&gt;($F$374+0.001)),"",IF(AC283-$F$373&lt;2.49,IF(MOD(HOUR(AC283),6)=0,(MID(INDEX($A$370:$B$392,MATCH("T06",$A$370:$A$392,0),2),10+(6*(AC283-($F$373+0.25))*4),2))*1,""),IF(ROUND(AC283,2)=$F$374,(MID(INDEX($A$370:$B$392,MATCH("T06",$A$370:$A$392,0),2),64,2))*1,""))))</f>
        <v/>
      </c>
      <c r="BM283" s="1145" t="str">
        <f t="shared" si="150"/>
        <v/>
      </c>
      <c r="BN283" s="1901" t="str">
        <f t="shared" si="123"/>
        <v/>
      </c>
      <c r="BO283" s="1144" t="str">
        <f t="shared" ref="BO283:BO346" si="157">IF(OR($AC283&lt;($F$373-0.001),$AC283&gt;($F$374+0.001)),"",IF($AC283-$F$373&lt;2.24,IF(MOD(HOUR($AC283),3)=0,MID(INDEX($A$369:$B$392,MATCH("TYP",$A$369:$A$392,0),2),7+(3*($AC283-$F$373)*8),2),IF(MOD(HOUR($AC282),3)=0,BO282,BO284)),IF(MOD(HOUR($AC283),6)=0,MID(INDEX($A$369:$B$392,MATCH("TYP",$A$369:$A$392,0),2),61+(3*(ROUND((($AC283-$F$373)-2.25)*4,2))),2),"")))</f>
        <v/>
      </c>
      <c r="BP283" s="106">
        <f t="shared" si="151"/>
        <v>7</v>
      </c>
      <c r="BQ283" s="66" t="str">
        <f t="shared" ref="BQ283:BQ346" si="158">IF(AND(BU283&lt;&gt;"",BU283&gt;49.9),"TS",IF(BS283="","",IF(BS283&gt;49.9,IF(IF(ISERROR(BW283),"RA",IF(BW283=" S","SN",IF(BW283=" R","RA",IF(BW283=" Z","FZ",""))))="","UP",IF(ISERROR(BW283),"RA",IF(BW283=" 8","SN",IF(BW283=" R","RA",IF(BW283=" Z","FZ",""))))),IF(BP283&lt;7,IF(BS283&lt;30,IF(BV283=" N","BR",BV283),IF(IF(ISERROR(BW283),"RA",IF(BW283=" S","SN",IF(BW283=" R","RA",IF(BW283=" Z","FZ",""))))="",IF(BV283=" N","",BV283),IF(ISERROR(BW283),"RA",IF(BW283=" S","SN",IF(BW283=" R","RA",IF(BW283=" Z","FZ","")))))),""))))</f>
        <v/>
      </c>
      <c r="BR283" s="106" t="str">
        <f t="shared" ref="BR283:BR346" si="159">IF(AC283=$F$345,MID(INDEX($A$344:$B$369,MATCH("P06",$A$344:$A$369,0),2),12,3)*1,IF(OR($AC283&lt;($F$345+0.01),$AC283&gt;($F$346+0.001)),"",IF($AC283-$F$345&lt;2.49,IF(MOD(HOUR($AC283),6)=0,(MID(INDEX($A$344:$B$369,MATCH("P06",$A$344:$A$369,0),2),12+(6*($AC283-($F$345+0.25))*4),3))*1,""),IF(MOD(HOUR($AC283),6)=0,(MID(INDEX($A$344:$B$369,MATCH("P06",$A$344:$A$369,0),2),63+(3*(ROUND((($AC283-$F$345-2.5)*4),3))),3))*1,""))))</f>
        <v/>
      </c>
      <c r="BS283" s="834">
        <f t="shared" si="133"/>
        <v>26.5</v>
      </c>
      <c r="BT283" s="106" t="str">
        <f t="shared" ref="BT283:BT346" si="160">IF(AC283=$F$345,MID(INDEX($A$344:$B$369,MATCH("T06",$A$344:$A$369,0),2),9,3)*1,IF(OR($AC283&lt;($F$345+0.01),$AC283&gt;($F$346+0.001)),"",IF($AC283-$F$345&lt;2.49,IF(MOD(HOUR($AC283),6)=0,(MID(INDEX($A$344:$B$369,MATCH("T06",$A$344:$A$369,0),2),10+(6*($AC283-($F$345+0.25))*4),2))*1,""),IF(ROUND($AC283,2)=$F$346,(MID(INDEX($A$344:$B$369,MATCH("T06",$A$344:$A$369,0),2),64,2))*1,""))))</f>
        <v/>
      </c>
      <c r="BU283" s="834">
        <f t="shared" si="145"/>
        <v>29</v>
      </c>
      <c r="BV283" s="66" t="str">
        <f t="shared" si="146"/>
        <v xml:space="preserve"> N</v>
      </c>
      <c r="BW283" s="66" t="e">
        <f t="shared" si="147"/>
        <v>#N/A</v>
      </c>
      <c r="BX283" s="1198">
        <f t="shared" si="86"/>
        <v>7</v>
      </c>
      <c r="BY283" s="1146" t="str">
        <f t="shared" si="153"/>
        <v>NSW</v>
      </c>
      <c r="CA283" s="3675">
        <f t="shared" si="148"/>
        <v>44750.208333333328</v>
      </c>
      <c r="CB283" s="3675"/>
    </row>
    <row r="284" spans="1:80" ht="10.5">
      <c r="A284" s="978" t="str">
        <f>Worksheet!Q121</f>
        <v>041000 24857176 01194 139942305 8026262624   ---119</v>
      </c>
      <c r="B284" s="452">
        <f t="shared" si="120"/>
        <v>44749.458333333328</v>
      </c>
      <c r="C284" s="466">
        <f t="shared" si="110"/>
        <v>29.94</v>
      </c>
      <c r="D284" s="454">
        <f t="shared" si="88"/>
        <v>11</v>
      </c>
      <c r="E284" s="476">
        <f t="shared" si="111"/>
        <v>40</v>
      </c>
      <c r="F284" s="460" t="str">
        <f t="shared" si="128"/>
        <v>NONE</v>
      </c>
      <c r="G284" s="460" t="str">
        <f t="shared" si="112"/>
        <v>SCT</v>
      </c>
      <c r="H284" s="460" t="str">
        <f t="shared" si="113"/>
        <v>SCT</v>
      </c>
      <c r="I284" s="460">
        <f t="shared" si="97"/>
        <v>40</v>
      </c>
      <c r="J284" s="461">
        <f t="shared" si="114"/>
        <v>26</v>
      </c>
      <c r="K284" s="462">
        <f t="shared" si="125"/>
        <v>24</v>
      </c>
      <c r="L284" s="462">
        <f t="shared" si="126"/>
        <v>2</v>
      </c>
      <c r="M284" s="462">
        <f t="shared" si="115"/>
        <v>7</v>
      </c>
      <c r="N284" s="462"/>
      <c r="O284" s="462">
        <f t="shared" si="116"/>
        <v>7</v>
      </c>
      <c r="P284" s="462">
        <f t="shared" si="117"/>
        <v>7</v>
      </c>
      <c r="Q284" s="462">
        <f t="shared" si="129"/>
        <v>11.9</v>
      </c>
      <c r="R284" s="462">
        <f t="shared" si="127"/>
        <v>7</v>
      </c>
      <c r="S284" s="465">
        <f t="shared" si="152"/>
        <v>7</v>
      </c>
      <c r="T284" s="1118" t="str">
        <f t="shared" si="118"/>
        <v>NSW</v>
      </c>
      <c r="U284" s="463" t="str">
        <f t="shared" si="130"/>
        <v/>
      </c>
      <c r="V284" s="464" t="str">
        <f t="shared" si="135"/>
        <v/>
      </c>
      <c r="W284" s="411">
        <f t="shared" si="121"/>
        <v>44749.458333333328</v>
      </c>
      <c r="X284" s="410"/>
      <c r="Y284" s="458">
        <f t="shared" si="131"/>
        <v>78.800000000000011</v>
      </c>
      <c r="Z284" s="458">
        <f t="shared" si="132"/>
        <v>75.2</v>
      </c>
      <c r="AC284" s="977">
        <f t="shared" si="149"/>
        <v>44750.25</v>
      </c>
      <c r="AD284" s="1610" t="str">
        <f>IF(AND(HOUR(AC284)=HOUR(Worksheet!AF$68),DAY(AC284)=DAY(Worksheet!AF$68)),"START","")</f>
        <v/>
      </c>
      <c r="AE284" s="1149" t="str">
        <f>IF(AND(HOUR(AC284)=HOUR($F$186),DAY(AC284)=DAY($F$186)),(MID($B$189,6,3))*1,IF(AND(ISNUMBER(AE283),AC284&lt;$F$186+1+(1/25)),(MID($B$189,6+(3*COUNT($AE$207:AE283)),3))*1,""))</f>
        <v/>
      </c>
      <c r="AF284" s="1164">
        <f t="shared" si="82"/>
        <v>77.23399999999998</v>
      </c>
      <c r="AG284" s="1150">
        <f t="shared" si="136"/>
        <v>80.599999999999994</v>
      </c>
      <c r="AH284" s="1163" t="str">
        <f>IF(AND(ISNUMBER(AH283),AC284&lt;$F$186+26/25),(MID($B$190,6+(3*COUNT($AH$207:AH283)),3))*1,IF(AND(HOUR(AC284)=HOUR($F$186),DAY(AC284)=DAY($F$186)),(MID($B$190,6,3))*1,""))</f>
        <v/>
      </c>
      <c r="AI284" s="1901" t="str">
        <f t="shared" si="108"/>
        <v/>
      </c>
      <c r="AJ284" s="1164">
        <f t="shared" si="137"/>
        <v>76.603999999999985</v>
      </c>
      <c r="AK284" s="1150">
        <f t="shared" si="138"/>
        <v>75.2</v>
      </c>
      <c r="AL284" s="1152">
        <f t="shared" si="83"/>
        <v>29.87</v>
      </c>
      <c r="AM284" s="1153">
        <f t="shared" si="139"/>
        <v>29.92</v>
      </c>
      <c r="AN284" s="1147"/>
      <c r="AO284" s="976" t="str">
        <f>IF(BA284="Y",AP284,IF(AND(ISNUMBER(AO283),AC284&lt;$F$186+26/25),(MID(INDEX($A$187:$B$210,MATCH("CIG",$A$187:$A$210,0),2),8+(3*COUNT($AO$207:AO283)),1))*1,IF(AND(HOUR(AC284)=HOUR($F$186),DAY(AC284)=DAY($F$186)),(MID(INDEX($A$187:$B$210,MATCH("CIG",$A$187:$A$210,0),2),8,1))*1,"")))</f>
        <v/>
      </c>
      <c r="AP284" s="1061" t="str">
        <f>IF(AND(ISNUMBER(AP283),AC284&lt;$F$186+26/25),(MID(INDEX($A$187:$B$210,MATCH("CCG",$A$187:$A$210,0),2),8+(3*COUNT($AP$207:AP283)),1))*1,IF(AND(HOUR(AC284)=HOUR($F$186),DAY(AC284)=DAY($F$186)),(MID(INDEX($A$187:$B$210,MATCH("CCG",$A$187:$A$210,0),2),8,1))*1,""))</f>
        <v/>
      </c>
      <c r="AQ284" s="1061" t="str">
        <f>IF(AND(AQ283&lt;&gt;"",AC284&lt;$F$186+26/25),MID(INDEX($A$187:$B$210,MATCH("CLD",$A$187:$A$210,0),2),7+(3*SUM(COUNTIF($AQ$207:AQ283,"OV"),COUNTIF($AQ$207:AQ283,"BK"),COUNTIF($AQ$207:AQ283,"SC"),COUNTIF($AQ$207:AQ283,"FW"),COUNTIF($AQ$207:AQ283,"CL"))),2),IF(AND(HOUR(AC284)=HOUR($F$186),DAY(AC284)=DAY($F$186)),MID(INDEX($A$187:$B$210,MATCH("CLD",$A$187:$A$210,0),2),7,2),""))</f>
        <v/>
      </c>
      <c r="AR284" s="1149">
        <f t="shared" si="140"/>
        <v>7</v>
      </c>
      <c r="AS284" s="1150" t="str">
        <f t="shared" si="141"/>
        <v>OV</v>
      </c>
      <c r="AT284" s="112">
        <f t="shared" si="142"/>
        <v>8</v>
      </c>
      <c r="AU284" s="1610" t="str">
        <f t="shared" si="143"/>
        <v>BK</v>
      </c>
      <c r="AV284" s="1148">
        <f t="shared" si="84"/>
        <v>40</v>
      </c>
      <c r="AW284" s="920" t="str">
        <f t="shared" si="87"/>
        <v>SCT</v>
      </c>
      <c r="AX284" s="1608">
        <f t="shared" si="85"/>
        <v>40</v>
      </c>
      <c r="AY284" s="112" t="str">
        <f>IF(BA284="Y",AZ284,IF(AND(ISNUMBER(AY283),AC284&lt;$F$186+26/25),(MID(INDEX($A$187:$B$210,MATCH("VIS",$A$187:$A$210,0),2),8+(3*COUNT($AY$207:AY283)),1))*1,IF(AND(HOUR(AC284)=HOUR($F$186),DAY(AC284)=DAY($F$186)),(MID(INDEX($A$187:$B$210,MATCH("VIS",$A$187:$A$210,0),2),8,1))*1,"")))</f>
        <v/>
      </c>
      <c r="AZ284" s="112" t="str">
        <f>IF(AND(ISNUMBER(AZ283),AC284&lt;$F$186+26/25),(MID(INDEX($A$187:$B$210,MATCH("CVS",$A$187:$A$210,0),2),8+(3*COUNT($AZ$207:AZ283)),1))*1,IF(AND(HOUR(AC284)=HOUR($F$186),DAY(AC284)=DAY($F$186)),(MID(INDEX($A$187:$B$210,MATCH("CVS",$A$187:$A$210,0),2),8,1))*1,""))</f>
        <v/>
      </c>
      <c r="BA284" s="1610" t="str">
        <f>IF(AND(BA283&lt;&gt;"",AC284&lt;$F$186+26/25),MID(INDEX($A$187:$B$210,MATCH("PCO",$A$187:$A$210,0),2),8+(3*SUM(COUNTIF($BA$207:BA283,"Y"),COUNTIF($BA$207:BA283,"N"))),1),IF(AND(HOUR(AC284)=HOUR($F$186),DAY(AC284)=DAY($F$186)),MID(INDEX($A$187:$B$210,MATCH("PCO",$A$187:$A$210,0),2),8,1),""))</f>
        <v/>
      </c>
      <c r="BB284" s="1610" t="e">
        <f>IF(AND(BB283&lt;&gt;"",AC284&lt;$F$186+26/25),MID(INDEX($A$187:$B$210,MATCH("TYP",$A$187:$A$210,0),2),8+(3*SUM(COUNTIF($BB$207:BB283,"S"),COUNTIF($BB$207:BB283,"Z"), COUNTIF($BB$207:BB283,"R"),COUNTIF($BB$207:BB283,"X"))),1),IF(AND(HOUR(AC284)=HOUR($F$186),DAY(AC284)=DAY($F$186)),MID(INDEX($A$187:$B$210,MATCH("TYP",$A$187:$A$210,0),2),8,1),""))</f>
        <v>#N/A</v>
      </c>
      <c r="BC284" s="112" t="str">
        <f>IF(AND(LEN(BC283)=2,AC284&lt;$F$186+26/25),MID(INDEX($A$187:$B$211,MATCH("OBV",$A$187:$A$211,0),2),7+(3*SUM(COUNTIF($BC$207:BC283," N"),COUNTIF($BC$207:BC283,"HZ"),COUNTIF($BC$207:BC283,"BR"),COUNTIF($BC$207:BC283,"FG"),COUNTIF($BC$207:BC283,"BL"))),2),IF(AND(HOUR(AC284)=HOUR($F$186),DAY(AC284)=DAY($F$186)),MID(INDEX($A$187:$B$211,MATCH("OBV",$A$187:$A$211,0),2),7,2),""))</f>
        <v/>
      </c>
      <c r="BD284" s="112"/>
      <c r="BE284" s="112"/>
      <c r="BF284" s="112"/>
      <c r="BG284" s="1610" t="str">
        <f t="shared" si="124"/>
        <v/>
      </c>
      <c r="BH284" s="115">
        <f t="shared" si="144"/>
        <v>4</v>
      </c>
      <c r="BI284" s="200" t="str">
        <f t="shared" si="155"/>
        <v>RA</v>
      </c>
      <c r="BJ284" s="62">
        <f t="shared" si="154"/>
        <v>48</v>
      </c>
      <c r="BK284" s="1145">
        <f t="shared" si="122"/>
        <v>46.5</v>
      </c>
      <c r="BL284" s="62" t="str">
        <f t="shared" si="156"/>
        <v/>
      </c>
      <c r="BM284" s="1145" t="str">
        <f t="shared" si="150"/>
        <v/>
      </c>
      <c r="BN284" s="1901" t="str">
        <f t="shared" si="123"/>
        <v>BR</v>
      </c>
      <c r="BO284" s="1144" t="e">
        <f t="shared" si="157"/>
        <v>#N/A</v>
      </c>
      <c r="BP284" s="106">
        <f t="shared" si="151"/>
        <v>7</v>
      </c>
      <c r="BQ284" s="66" t="str">
        <f t="shared" si="158"/>
        <v/>
      </c>
      <c r="BR284" s="106">
        <f t="shared" si="159"/>
        <v>26</v>
      </c>
      <c r="BS284" s="834">
        <f t="shared" si="133"/>
        <v>26.5</v>
      </c>
      <c r="BT284" s="106">
        <f t="shared" si="160"/>
        <v>29</v>
      </c>
      <c r="BU284" s="834">
        <f t="shared" si="145"/>
        <v>29</v>
      </c>
      <c r="BV284" s="66" t="str">
        <f t="shared" si="146"/>
        <v xml:space="preserve"> N</v>
      </c>
      <c r="BW284" s="66" t="e">
        <f t="shared" si="147"/>
        <v>#N/A</v>
      </c>
      <c r="BX284" s="1198">
        <f t="shared" si="86"/>
        <v>7</v>
      </c>
      <c r="BY284" s="1146" t="str">
        <f t="shared" si="153"/>
        <v>NSW</v>
      </c>
      <c r="CA284" s="3675">
        <f t="shared" si="148"/>
        <v>44750.25</v>
      </c>
      <c r="CB284" s="3675"/>
    </row>
    <row r="285" spans="1:80" ht="10.5">
      <c r="A285" s="978" t="str">
        <f>Worksheet!Q122</f>
        <v>042000 25867076 00294 149962304 7926262624   ---129</v>
      </c>
      <c r="B285" s="452">
        <f t="shared" si="120"/>
        <v>44749.5</v>
      </c>
      <c r="C285" s="466">
        <f t="shared" si="110"/>
        <v>29.96</v>
      </c>
      <c r="D285" s="454">
        <f t="shared" si="88"/>
        <v>12</v>
      </c>
      <c r="E285" s="476">
        <f t="shared" si="111"/>
        <v>40</v>
      </c>
      <c r="F285" s="460" t="str">
        <f t="shared" si="128"/>
        <v>NONE</v>
      </c>
      <c r="G285" s="460" t="str">
        <f t="shared" si="112"/>
        <v>SCT</v>
      </c>
      <c r="H285" s="460" t="str">
        <f t="shared" si="113"/>
        <v>SCT</v>
      </c>
      <c r="I285" s="460">
        <f t="shared" si="97"/>
        <v>40</v>
      </c>
      <c r="J285" s="461">
        <f t="shared" si="114"/>
        <v>26</v>
      </c>
      <c r="K285" s="462">
        <f t="shared" si="125"/>
        <v>25</v>
      </c>
      <c r="L285" s="462">
        <f t="shared" si="126"/>
        <v>1</v>
      </c>
      <c r="M285" s="462">
        <f t="shared" si="115"/>
        <v>7</v>
      </c>
      <c r="N285" s="462"/>
      <c r="O285" s="462">
        <f t="shared" si="116"/>
        <v>6</v>
      </c>
      <c r="P285" s="462">
        <f t="shared" si="117"/>
        <v>7</v>
      </c>
      <c r="Q285" s="462">
        <f t="shared" si="129"/>
        <v>12.9</v>
      </c>
      <c r="R285" s="462">
        <f t="shared" si="127"/>
        <v>7</v>
      </c>
      <c r="S285" s="465">
        <f t="shared" si="152"/>
        <v>6</v>
      </c>
      <c r="T285" s="1118" t="str">
        <f t="shared" si="118"/>
        <v>BR</v>
      </c>
      <c r="U285" s="463">
        <f t="shared" si="130"/>
        <v>230</v>
      </c>
      <c r="V285" s="464">
        <f t="shared" si="135"/>
        <v>6</v>
      </c>
      <c r="W285" s="411">
        <f t="shared" si="121"/>
        <v>44749.5</v>
      </c>
      <c r="X285" s="410"/>
      <c r="Y285" s="458">
        <f t="shared" si="131"/>
        <v>78.800000000000011</v>
      </c>
      <c r="Z285" s="458">
        <f t="shared" si="132"/>
        <v>77</v>
      </c>
      <c r="AC285" s="977">
        <f t="shared" si="149"/>
        <v>44750.291666666664</v>
      </c>
      <c r="AD285" s="1610" t="str">
        <f>IF(AND(HOUR(AC285)=HOUR(Worksheet!AF$68),DAY(AC285)=DAY(Worksheet!AF$68)),"START","")</f>
        <v/>
      </c>
      <c r="AE285" s="1149" t="str">
        <f>IF(AND(HOUR(AC285)=HOUR($F$186),DAY(AC285)=DAY($F$186)),(MID($B$189,6,3))*1,IF(AND(ISNUMBER(AE284),AC285&lt;$F$186+1+(1/25)),(MID($B$189,6+(3*COUNT($AE$207:AE284)),3))*1,""))</f>
        <v/>
      </c>
      <c r="AF285" s="1164">
        <f t="shared" si="82"/>
        <v>77.048000000000016</v>
      </c>
      <c r="AG285" s="1150">
        <f t="shared" si="136"/>
        <v>80</v>
      </c>
      <c r="AH285" s="1163" t="str">
        <f>IF(AND(ISNUMBER(AH284),AC285&lt;$F$186+26/25),(MID($B$190,6+(3*COUNT($AH$207:AH284)),3))*1,IF(AND(HOUR(AC285)=HOUR($F$186),DAY(AC285)=DAY($F$186)),(MID($B$190,6,3))*1,""))</f>
        <v/>
      </c>
      <c r="AI285" s="1901" t="str">
        <f t="shared" si="108"/>
        <v/>
      </c>
      <c r="AJ285" s="1164">
        <f t="shared" si="137"/>
        <v>76.315999999999974</v>
      </c>
      <c r="AK285" s="1150">
        <f t="shared" si="138"/>
        <v>75.2</v>
      </c>
      <c r="AL285" s="1152">
        <f t="shared" si="83"/>
        <v>29.866666666666667</v>
      </c>
      <c r="AM285" s="1153">
        <f t="shared" si="139"/>
        <v>29.916666666666668</v>
      </c>
      <c r="AN285" s="1147"/>
      <c r="AO285" s="976" t="str">
        <f>IF(BA285="Y",AP285,IF(AND(ISNUMBER(AO284),AC285&lt;$F$186+26/25),(MID(INDEX($A$187:$B$210,MATCH("CIG",$A$187:$A$210,0),2),8+(3*COUNT($AO$207:AO284)),1))*1,IF(AND(HOUR(AC285)=HOUR($F$186),DAY(AC285)=DAY($F$186)),(MID(INDEX($A$187:$B$210,MATCH("CIG",$A$187:$A$210,0),2),8,1))*1,"")))</f>
        <v/>
      </c>
      <c r="AP285" s="1061" t="str">
        <f>IF(AND(ISNUMBER(AP284),AC285&lt;$F$186+26/25),(MID(INDEX($A$187:$B$210,MATCH("CCG",$A$187:$A$210,0),2),8+(3*COUNT($AP$207:AP284)),1))*1,IF(AND(HOUR(AC285)=HOUR($F$186),DAY(AC285)=DAY($F$186)),(MID(INDEX($A$187:$B$210,MATCH("CCG",$A$187:$A$210,0),2),8,1))*1,""))</f>
        <v/>
      </c>
      <c r="AQ285" s="1061" t="str">
        <f>IF(AND(AQ284&lt;&gt;"",AC285&lt;$F$186+26/25),MID(INDEX($A$187:$B$210,MATCH("CLD",$A$187:$A$210,0),2),7+(3*SUM(COUNTIF($AQ$207:AQ284,"OV"),COUNTIF($AQ$207:AQ284,"BK"),COUNTIF($AQ$207:AQ284,"SC"),COUNTIF($AQ$207:AQ284,"FW"),COUNTIF($AQ$207:AQ284,"CL"))),2),IF(AND(HOUR(AC285)=HOUR($F$186),DAY(AC285)=DAY($F$186)),MID(INDEX($A$187:$B$210,MATCH("CLD",$A$187:$A$210,0),2),7,2),""))</f>
        <v/>
      </c>
      <c r="AR285" s="1149" t="str">
        <f t="shared" si="140"/>
        <v/>
      </c>
      <c r="AS285" s="1150" t="str">
        <f t="shared" si="141"/>
        <v/>
      </c>
      <c r="AT285" s="112" t="str">
        <f t="shared" si="142"/>
        <v/>
      </c>
      <c r="AU285" s="1610" t="str">
        <f t="shared" si="143"/>
        <v/>
      </c>
      <c r="AV285" s="1148">
        <f t="shared" si="84"/>
        <v>40</v>
      </c>
      <c r="AW285" s="920" t="str">
        <f t="shared" si="87"/>
        <v>SCT</v>
      </c>
      <c r="AX285" s="1608">
        <f t="shared" si="85"/>
        <v>40</v>
      </c>
      <c r="AY285" s="112" t="str">
        <f>IF(BA285="Y",AZ285,IF(AND(ISNUMBER(AY284),AC285&lt;$F$186+26/25),(MID(INDEX($A$187:$B$210,MATCH("VIS",$A$187:$A$210,0),2),8+(3*COUNT($AY$207:AY284)),1))*1,IF(AND(HOUR(AC285)=HOUR($F$186),DAY(AC285)=DAY($F$186)),(MID(INDEX($A$187:$B$210,MATCH("VIS",$A$187:$A$210,0),2),8,1))*1,"")))</f>
        <v/>
      </c>
      <c r="AZ285" s="112" t="str">
        <f>IF(AND(ISNUMBER(AZ284),AC285&lt;$F$186+26/25),(MID(INDEX($A$187:$B$210,MATCH("CVS",$A$187:$A$210,0),2),8+(3*COUNT($AZ$207:AZ284)),1))*1,IF(AND(HOUR(AC285)=HOUR($F$186),DAY(AC285)=DAY($F$186)),(MID(INDEX($A$187:$B$210,MATCH("CVS",$A$187:$A$210,0),2),8,1))*1,""))</f>
        <v/>
      </c>
      <c r="BA285" s="1610" t="str">
        <f>IF(AND(BA284&lt;&gt;"",AC285&lt;$F$186+26/25),MID(INDEX($A$187:$B$210,MATCH("PCO",$A$187:$A$210,0),2),8+(3*SUM(COUNTIF($BA$207:BA284,"Y"),COUNTIF($BA$207:BA284,"N"))),1),IF(AND(HOUR(AC285)=HOUR($F$186),DAY(AC285)=DAY($F$186)),MID(INDEX($A$187:$B$210,MATCH("PCO",$A$187:$A$210,0),2),8,1),""))</f>
        <v/>
      </c>
      <c r="BB285" s="1610" t="e">
        <f>IF(AND(BB284&lt;&gt;"",AC285&lt;$F$186+26/25),MID(INDEX($A$187:$B$210,MATCH("TYP",$A$187:$A$210,0),2),8+(3*SUM(COUNTIF($BB$207:BB284,"S"),COUNTIF($BB$207:BB284,"Z"), COUNTIF($BB$207:BB284,"R"),COUNTIF($BB$207:BB284,"X"))),1),IF(AND(HOUR(AC285)=HOUR($F$186),DAY(AC285)=DAY($F$186)),MID(INDEX($A$187:$B$210,MATCH("TYP",$A$187:$A$210,0),2),8,1),""))</f>
        <v>#N/A</v>
      </c>
      <c r="BC285" s="112" t="str">
        <f>IF(AND(LEN(BC284)=2,AC285&lt;$F$186+26/25),MID(INDEX($A$187:$B$211,MATCH("OBV",$A$187:$A$211,0),2),7+(3*SUM(COUNTIF($BC$207:BC284," N"),COUNTIF($BC$207:BC284,"HZ"),COUNTIF($BC$207:BC284,"BR"),COUNTIF($BC$207:BC284,"FG"),COUNTIF($BC$207:BC284,"BL"))),2),IF(AND(HOUR(AC285)=HOUR($F$186),DAY(AC285)=DAY($F$186)),MID(INDEX($A$187:$B$211,MATCH("OBV",$A$187:$A$211,0),2),7,2),""))</f>
        <v/>
      </c>
      <c r="BD285" s="112"/>
      <c r="BE285" s="112"/>
      <c r="BF285" s="112"/>
      <c r="BG285" s="1610" t="str">
        <f t="shared" si="124"/>
        <v/>
      </c>
      <c r="BH285" s="115" t="str">
        <f t="shared" si="144"/>
        <v/>
      </c>
      <c r="BI285" s="200" t="str">
        <f t="shared" si="155"/>
        <v/>
      </c>
      <c r="BJ285" s="62" t="str">
        <f t="shared" si="154"/>
        <v/>
      </c>
      <c r="BK285" s="1145">
        <f t="shared" si="122"/>
        <v>46.5</v>
      </c>
      <c r="BL285" s="62" t="str">
        <f t="shared" si="156"/>
        <v/>
      </c>
      <c r="BM285" s="1145" t="str">
        <f t="shared" si="150"/>
        <v/>
      </c>
      <c r="BN285" s="1901" t="str">
        <f t="shared" si="123"/>
        <v/>
      </c>
      <c r="BO285" s="1144" t="str">
        <f t="shared" si="157"/>
        <v/>
      </c>
      <c r="BP285" s="106" t="str">
        <f t="shared" si="151"/>
        <v/>
      </c>
      <c r="BQ285" s="66" t="str">
        <f t="shared" si="158"/>
        <v/>
      </c>
      <c r="BR285" s="106" t="str">
        <f t="shared" si="159"/>
        <v/>
      </c>
      <c r="BS285" s="834">
        <f t="shared" si="133"/>
        <v>26.5</v>
      </c>
      <c r="BT285" s="106" t="str">
        <f t="shared" si="160"/>
        <v/>
      </c>
      <c r="BU285" s="834" t="str">
        <f t="shared" si="145"/>
        <v/>
      </c>
      <c r="BV285" s="66" t="str">
        <f t="shared" si="146"/>
        <v/>
      </c>
      <c r="BW285" s="66" t="str">
        <f t="shared" si="147"/>
        <v/>
      </c>
      <c r="BX285" s="1198">
        <f t="shared" si="86"/>
        <v>7</v>
      </c>
      <c r="BY285" s="1146" t="str">
        <f t="shared" si="153"/>
        <v>NSW</v>
      </c>
      <c r="CA285" s="3675">
        <f t="shared" si="148"/>
        <v>44750.291666666664</v>
      </c>
      <c r="CB285" s="3675"/>
    </row>
    <row r="286" spans="1:80" ht="10.5">
      <c r="A286" s="978" t="str">
        <f>Worksheet!Q123</f>
        <v>045000 25787174 -0392 159982506 7930282624   ---160</v>
      </c>
      <c r="B286" s="452">
        <f t="shared" si="120"/>
        <v>44749.625</v>
      </c>
      <c r="C286" s="466">
        <f t="shared" si="110"/>
        <v>29.98</v>
      </c>
      <c r="D286" s="454">
        <f t="shared" si="88"/>
        <v>15</v>
      </c>
      <c r="E286" s="476">
        <f t="shared" si="111"/>
        <v>40</v>
      </c>
      <c r="F286" s="460" t="str">
        <f t="shared" si="128"/>
        <v>NONE</v>
      </c>
      <c r="G286" s="460" t="str">
        <f t="shared" si="112"/>
        <v>SCT</v>
      </c>
      <c r="H286" s="460" t="str">
        <f t="shared" si="113"/>
        <v>SCT</v>
      </c>
      <c r="I286" s="460">
        <f t="shared" si="97"/>
        <v>40</v>
      </c>
      <c r="J286" s="461">
        <f t="shared" si="114"/>
        <v>30</v>
      </c>
      <c r="K286" s="462">
        <f t="shared" si="125"/>
        <v>25</v>
      </c>
      <c r="L286" s="462">
        <f t="shared" si="126"/>
        <v>5</v>
      </c>
      <c r="M286" s="462">
        <f t="shared" si="115"/>
        <v>7</v>
      </c>
      <c r="N286" s="462"/>
      <c r="O286" s="462">
        <f t="shared" si="116"/>
        <v>7</v>
      </c>
      <c r="P286" s="462">
        <f t="shared" si="117"/>
        <v>7</v>
      </c>
      <c r="Q286" s="462">
        <f t="shared" si="129"/>
        <v>16</v>
      </c>
      <c r="R286" s="462">
        <f t="shared" si="127"/>
        <v>7</v>
      </c>
      <c r="S286" s="465">
        <f t="shared" si="152"/>
        <v>7</v>
      </c>
      <c r="T286" s="1118" t="str">
        <f t="shared" si="118"/>
        <v>NSW</v>
      </c>
      <c r="U286" s="463" t="str">
        <f t="shared" si="130"/>
        <v/>
      </c>
      <c r="V286" s="464" t="str">
        <f t="shared" si="135"/>
        <v/>
      </c>
      <c r="W286" s="411">
        <f t="shared" si="121"/>
        <v>44749.625</v>
      </c>
      <c r="X286" s="410"/>
      <c r="Y286" s="458">
        <f t="shared" si="131"/>
        <v>86</v>
      </c>
      <c r="Z286" s="458">
        <f t="shared" si="132"/>
        <v>77</v>
      </c>
      <c r="AC286" s="977">
        <f t="shared" si="149"/>
        <v>44750.333333333328</v>
      </c>
      <c r="AD286" s="1610" t="str">
        <f>IF(AND(HOUR(AC286)=HOUR(Worksheet!AF$68),DAY(AC286)=DAY(Worksheet!AF$68)),"START","")</f>
        <v/>
      </c>
      <c r="AE286" s="1149" t="str">
        <f>IF(AND(HOUR(AC286)=HOUR($F$186),DAY(AC286)=DAY($F$186)),(MID($B$189,6,3))*1,IF(AND(ISNUMBER(AE285),AC286&lt;$F$186+1+(1/25)),(MID($B$189,6+(3*COUNT($AE$207:AE285)),3))*1,""))</f>
        <v/>
      </c>
      <c r="AF286" s="1164">
        <f t="shared" si="82"/>
        <v>76.862000000000066</v>
      </c>
      <c r="AG286" s="1150">
        <f t="shared" si="136"/>
        <v>79.400000000000006</v>
      </c>
      <c r="AH286" s="1163" t="str">
        <f>IF(AND(ISNUMBER(AH285),AC286&lt;$F$186+26/25),(MID($B$190,6+(3*COUNT($AH$207:AH285)),3))*1,IF(AND(HOUR(AC286)=HOUR($F$186),DAY(AC286)=DAY($F$186)),(MID($B$190,6,3))*1,""))</f>
        <v/>
      </c>
      <c r="AI286" s="1901" t="str">
        <f t="shared" si="108"/>
        <v/>
      </c>
      <c r="AJ286" s="1164">
        <f t="shared" si="137"/>
        <v>76.027999999999963</v>
      </c>
      <c r="AK286" s="1150">
        <f t="shared" si="138"/>
        <v>75.2</v>
      </c>
      <c r="AL286" s="1152">
        <f t="shared" si="83"/>
        <v>29.863333333333333</v>
      </c>
      <c r="AM286" s="1153">
        <f t="shared" si="139"/>
        <v>29.913333333333334</v>
      </c>
      <c r="AN286" s="1147"/>
      <c r="AO286" s="976" t="str">
        <f>IF(BA286="Y",AP286,IF(AND(ISNUMBER(AO285),AC286&lt;$F$186+26/25),(MID(INDEX($A$187:$B$210,MATCH("CIG",$A$187:$A$210,0),2),8+(3*COUNT($AO$207:AO285)),1))*1,IF(AND(HOUR(AC286)=HOUR($F$186),DAY(AC286)=DAY($F$186)),(MID(INDEX($A$187:$B$210,MATCH("CIG",$A$187:$A$210,0),2),8,1))*1,"")))</f>
        <v/>
      </c>
      <c r="AP286" s="1061" t="str">
        <f>IF(AND(ISNUMBER(AP285),AC286&lt;$F$186+26/25),(MID(INDEX($A$187:$B$210,MATCH("CCG",$A$187:$A$210,0),2),8+(3*COUNT($AP$207:AP285)),1))*1,IF(AND(HOUR(AC286)=HOUR($F$186),DAY(AC286)=DAY($F$186)),(MID(INDEX($A$187:$B$210,MATCH("CCG",$A$187:$A$210,0),2),8,1))*1,""))</f>
        <v/>
      </c>
      <c r="AQ286" s="1061" t="str">
        <f>IF(AND(AQ285&lt;&gt;"",AC286&lt;$F$186+26/25),MID(INDEX($A$187:$B$210,MATCH("CLD",$A$187:$A$210,0),2),7+(3*SUM(COUNTIF($AQ$207:AQ285,"OV"),COUNTIF($AQ$207:AQ285,"BK"),COUNTIF($AQ$207:AQ285,"SC"),COUNTIF($AQ$207:AQ285,"FW"),COUNTIF($AQ$207:AQ285,"CL"))),2),IF(AND(HOUR(AC286)=HOUR($F$186),DAY(AC286)=DAY($F$186)),MID(INDEX($A$187:$B$210,MATCH("CLD",$A$187:$A$210,0),2),7,2),""))</f>
        <v/>
      </c>
      <c r="AR286" s="1149" t="str">
        <f t="shared" si="140"/>
        <v/>
      </c>
      <c r="AS286" s="1150" t="str">
        <f t="shared" si="141"/>
        <v/>
      </c>
      <c r="AT286" s="112" t="str">
        <f t="shared" si="142"/>
        <v/>
      </c>
      <c r="AU286" s="1610" t="str">
        <f t="shared" si="143"/>
        <v/>
      </c>
      <c r="AV286" s="1148">
        <f t="shared" si="84"/>
        <v>40</v>
      </c>
      <c r="AW286" s="920" t="str">
        <f t="shared" si="87"/>
        <v>SCT</v>
      </c>
      <c r="AX286" s="1608">
        <f t="shared" si="85"/>
        <v>40</v>
      </c>
      <c r="AY286" s="112" t="str">
        <f>IF(BA286="Y",AZ286,IF(AND(ISNUMBER(AY285),AC286&lt;$F$186+26/25),(MID(INDEX($A$187:$B$210,MATCH("VIS",$A$187:$A$210,0),2),8+(3*COUNT($AY$207:AY285)),1))*1,IF(AND(HOUR(AC286)=HOUR($F$186),DAY(AC286)=DAY($F$186)),(MID(INDEX($A$187:$B$210,MATCH("VIS",$A$187:$A$210,0),2),8,1))*1,"")))</f>
        <v/>
      </c>
      <c r="AZ286" s="112" t="str">
        <f>IF(AND(ISNUMBER(AZ285),AC286&lt;$F$186+26/25),(MID(INDEX($A$187:$B$210,MATCH("CVS",$A$187:$A$210,0),2),8+(3*COUNT($AZ$207:AZ285)),1))*1,IF(AND(HOUR(AC286)=HOUR($F$186),DAY(AC286)=DAY($F$186)),(MID(INDEX($A$187:$B$210,MATCH("CVS",$A$187:$A$210,0),2),8,1))*1,""))</f>
        <v/>
      </c>
      <c r="BA286" s="1610" t="str">
        <f>IF(AND(BA285&lt;&gt;"",AC286&lt;$F$186+26/25),MID(INDEX($A$187:$B$210,MATCH("PCO",$A$187:$A$210,0),2),8+(3*SUM(COUNTIF($BA$207:BA285,"Y"),COUNTIF($BA$207:BA285,"N"))),1),IF(AND(HOUR(AC286)=HOUR($F$186),DAY(AC286)=DAY($F$186)),MID(INDEX($A$187:$B$210,MATCH("PCO",$A$187:$A$210,0),2),8,1),""))</f>
        <v/>
      </c>
      <c r="BB286" s="1610" t="e">
        <f>IF(AND(BB285&lt;&gt;"",AC286&lt;$F$186+26/25),MID(INDEX($A$187:$B$210,MATCH("TYP",$A$187:$A$210,0),2),8+(3*SUM(COUNTIF($BB$207:BB285,"S"),COUNTIF($BB$207:BB285,"Z"), COUNTIF($BB$207:BB285,"R"),COUNTIF($BB$207:BB285,"X"))),1),IF(AND(HOUR(AC286)=HOUR($F$186),DAY(AC286)=DAY($F$186)),MID(INDEX($A$187:$B$210,MATCH("TYP",$A$187:$A$210,0),2),8,1),""))</f>
        <v>#N/A</v>
      </c>
      <c r="BC286" s="112" t="str">
        <f>IF(AND(LEN(BC285)=2,AC286&lt;$F$186+26/25),MID(INDEX($A$187:$B$211,MATCH("OBV",$A$187:$A$211,0),2),7+(3*SUM(COUNTIF($BC$207:BC285," N"),COUNTIF($BC$207:BC285,"HZ"),COUNTIF($BC$207:BC285,"BR"),COUNTIF($BC$207:BC285,"FG"),COUNTIF($BC$207:BC285,"BL"))),2),IF(AND(HOUR(AC286)=HOUR($F$186),DAY(AC286)=DAY($F$186)),MID(INDEX($A$187:$B$211,MATCH("OBV",$A$187:$A$211,0),2),7,2),""))</f>
        <v/>
      </c>
      <c r="BD286" s="112"/>
      <c r="BE286" s="112"/>
      <c r="BF286" s="112"/>
      <c r="BG286" s="1610" t="str">
        <f t="shared" si="124"/>
        <v/>
      </c>
      <c r="BH286" s="115" t="str">
        <f t="shared" si="144"/>
        <v/>
      </c>
      <c r="BI286" s="200" t="str">
        <f t="shared" si="155"/>
        <v/>
      </c>
      <c r="BJ286" s="62" t="str">
        <f t="shared" si="154"/>
        <v/>
      </c>
      <c r="BK286" s="1145">
        <f t="shared" si="122"/>
        <v>45</v>
      </c>
      <c r="BL286" s="62" t="str">
        <f t="shared" si="156"/>
        <v/>
      </c>
      <c r="BM286" s="1145">
        <f t="shared" si="150"/>
        <v>33</v>
      </c>
      <c r="BN286" s="1901" t="str">
        <f t="shared" si="123"/>
        <v/>
      </c>
      <c r="BO286" s="1144" t="str">
        <f t="shared" si="157"/>
        <v/>
      </c>
      <c r="BP286" s="106" t="str">
        <f t="shared" si="151"/>
        <v/>
      </c>
      <c r="BQ286" s="66" t="str">
        <f t="shared" si="158"/>
        <v/>
      </c>
      <c r="BR286" s="106" t="str">
        <f t="shared" si="159"/>
        <v/>
      </c>
      <c r="BS286" s="834">
        <f t="shared" si="133"/>
        <v>27</v>
      </c>
      <c r="BT286" s="106" t="str">
        <f t="shared" si="160"/>
        <v/>
      </c>
      <c r="BU286" s="834" t="str">
        <f t="shared" si="145"/>
        <v/>
      </c>
      <c r="BV286" s="66" t="str">
        <f t="shared" si="146"/>
        <v/>
      </c>
      <c r="BW286" s="66" t="str">
        <f t="shared" si="147"/>
        <v/>
      </c>
      <c r="BX286" s="1198">
        <f t="shared" si="86"/>
        <v>7</v>
      </c>
      <c r="BY286" s="1146" t="str">
        <f t="shared" si="153"/>
        <v>NSW</v>
      </c>
      <c r="CA286" s="3675">
        <f t="shared" si="148"/>
        <v>44750.333333333328</v>
      </c>
      <c r="CB286" s="3675"/>
    </row>
    <row r="287" spans="1:80" ht="10.5">
      <c r="A287" s="978" t="str">
        <f>Worksheet!Q124</f>
        <v>048000 23576876 -0493 129922506 8234312724   ---175</v>
      </c>
      <c r="B287" s="452">
        <f t="shared" si="120"/>
        <v>44749.75</v>
      </c>
      <c r="C287" s="466">
        <f t="shared" si="110"/>
        <v>29.92</v>
      </c>
      <c r="D287" s="454">
        <f t="shared" si="88"/>
        <v>18</v>
      </c>
      <c r="E287" s="476">
        <f t="shared" si="111"/>
        <v>40</v>
      </c>
      <c r="F287" s="460" t="str">
        <f t="shared" si="128"/>
        <v>NONE</v>
      </c>
      <c r="G287" s="460" t="str">
        <f t="shared" si="112"/>
        <v>SCT</v>
      </c>
      <c r="H287" s="460" t="str">
        <f t="shared" si="113"/>
        <v>SCT</v>
      </c>
      <c r="I287" s="460">
        <f t="shared" si="97"/>
        <v>40</v>
      </c>
      <c r="J287" s="461">
        <f t="shared" si="114"/>
        <v>34</v>
      </c>
      <c r="K287" s="462">
        <f t="shared" si="125"/>
        <v>23</v>
      </c>
      <c r="L287" s="462">
        <f t="shared" si="126"/>
        <v>11</v>
      </c>
      <c r="M287" s="462">
        <f t="shared" si="115"/>
        <v>7</v>
      </c>
      <c r="N287" s="462"/>
      <c r="O287" s="462">
        <f t="shared" si="116"/>
        <v>7</v>
      </c>
      <c r="P287" s="462">
        <f t="shared" si="117"/>
        <v>7</v>
      </c>
      <c r="Q287" s="462">
        <f t="shared" si="129"/>
        <v>17.5</v>
      </c>
      <c r="R287" s="462">
        <f t="shared" si="127"/>
        <v>7</v>
      </c>
      <c r="S287" s="465">
        <f t="shared" si="152"/>
        <v>7</v>
      </c>
      <c r="T287" s="1118" t="str">
        <f t="shared" si="118"/>
        <v>NSW</v>
      </c>
      <c r="U287" s="463" t="str">
        <f t="shared" si="130"/>
        <v/>
      </c>
      <c r="V287" s="464" t="str">
        <f t="shared" si="135"/>
        <v/>
      </c>
      <c r="W287" s="411">
        <f t="shared" si="121"/>
        <v>44749.75</v>
      </c>
      <c r="X287" s="410"/>
      <c r="Y287" s="458">
        <f t="shared" si="131"/>
        <v>93.2</v>
      </c>
      <c r="Z287" s="458">
        <f t="shared" si="132"/>
        <v>73.400000000000006</v>
      </c>
      <c r="AC287" s="977">
        <f t="shared" si="149"/>
        <v>44750.375</v>
      </c>
      <c r="AD287" s="1610" t="str">
        <f>IF(AND(HOUR(AC287)=HOUR(Worksheet!AF$68),DAY(AC287)=DAY(Worksheet!AF$68)),"START","")</f>
        <v/>
      </c>
      <c r="AE287" s="1149" t="str">
        <f>IF(AND(HOUR(AC287)=HOUR($F$186),DAY(AC287)=DAY($F$186)),(MID($B$189,6,3))*1,IF(AND(ISNUMBER(AE286),AC287&lt;$F$186+1+(1/25)),(MID($B$189,6+(3*COUNT($AE$207:AE286)),3))*1,""))</f>
        <v/>
      </c>
      <c r="AF287" s="1164">
        <f t="shared" si="82"/>
        <v>76.676000000000101</v>
      </c>
      <c r="AG287" s="1150">
        <f t="shared" si="136"/>
        <v>78.800000000000011</v>
      </c>
      <c r="AH287" s="1163" t="str">
        <f>IF(AND(ISNUMBER(AH286),AC287&lt;$F$186+26/25),(MID($B$190,6+(3*COUNT($AH$207:AH286)),3))*1,IF(AND(HOUR(AC287)=HOUR($F$186),DAY(AC287)=DAY($F$186)),(MID($B$190,6,3))*1,""))</f>
        <v/>
      </c>
      <c r="AI287" s="1901" t="str">
        <f t="shared" si="108"/>
        <v/>
      </c>
      <c r="AJ287" s="1164">
        <f t="shared" si="137"/>
        <v>75.739999999999952</v>
      </c>
      <c r="AK287" s="1150">
        <f t="shared" si="138"/>
        <v>75.2</v>
      </c>
      <c r="AL287" s="1152">
        <f t="shared" si="83"/>
        <v>29.86</v>
      </c>
      <c r="AM287" s="1153">
        <f t="shared" si="139"/>
        <v>29.91</v>
      </c>
      <c r="AN287" s="1147"/>
      <c r="AO287" s="976" t="str">
        <f>IF(BA287="Y",AP287,IF(AND(ISNUMBER(AO286),AC287&lt;$F$186+26/25),(MID(INDEX($A$187:$B$210,MATCH("CIG",$A$187:$A$210,0),2),8+(3*COUNT($AO$207:AO286)),1))*1,IF(AND(HOUR(AC287)=HOUR($F$186),DAY(AC287)=DAY($F$186)),(MID(INDEX($A$187:$B$210,MATCH("CIG",$A$187:$A$210,0),2),8,1))*1,"")))</f>
        <v/>
      </c>
      <c r="AP287" s="1061" t="str">
        <f>IF(AND(ISNUMBER(AP286),AC287&lt;$F$186+26/25),(MID(INDEX($A$187:$B$210,MATCH("CCG",$A$187:$A$210,0),2),8+(3*COUNT($AP$207:AP286)),1))*1,IF(AND(HOUR(AC287)=HOUR($F$186),DAY(AC287)=DAY($F$186)),(MID(INDEX($A$187:$B$210,MATCH("CCG",$A$187:$A$210,0),2),8,1))*1,""))</f>
        <v/>
      </c>
      <c r="AQ287" s="1061" t="str">
        <f>IF(AND(AQ286&lt;&gt;"",AC287&lt;$F$186+26/25),MID(INDEX($A$187:$B$210,MATCH("CLD",$A$187:$A$210,0),2),7+(3*SUM(COUNTIF($AQ$207:AQ286,"OV"),COUNTIF($AQ$207:AQ286,"BK"),COUNTIF($AQ$207:AQ286,"SC"),COUNTIF($AQ$207:AQ286,"FW"),COUNTIF($AQ$207:AQ286,"CL"))),2),IF(AND(HOUR(AC287)=HOUR($F$186),DAY(AC287)=DAY($F$186)),MID(INDEX($A$187:$B$210,MATCH("CLD",$A$187:$A$210,0),2),7,2),""))</f>
        <v/>
      </c>
      <c r="AR287" s="1149" t="str">
        <f t="shared" si="140"/>
        <v/>
      </c>
      <c r="AS287" s="1150" t="str">
        <f t="shared" si="141"/>
        <v/>
      </c>
      <c r="AT287" s="112" t="str">
        <f t="shared" si="142"/>
        <v/>
      </c>
      <c r="AU287" s="1610" t="str">
        <f t="shared" si="143"/>
        <v/>
      </c>
      <c r="AV287" s="1148">
        <f t="shared" si="84"/>
        <v>40</v>
      </c>
      <c r="AW287" s="920" t="str">
        <f t="shared" si="87"/>
        <v>SCT</v>
      </c>
      <c r="AX287" s="1608">
        <f t="shared" si="85"/>
        <v>40</v>
      </c>
      <c r="AY287" s="112" t="str">
        <f>IF(BA287="Y",AZ287,IF(AND(ISNUMBER(AY286),AC287&lt;$F$186+26/25),(MID(INDEX($A$187:$B$210,MATCH("VIS",$A$187:$A$210,0),2),8+(3*COUNT($AY$207:AY286)),1))*1,IF(AND(HOUR(AC287)=HOUR($F$186),DAY(AC287)=DAY($F$186)),(MID(INDEX($A$187:$B$210,MATCH("VIS",$A$187:$A$210,0),2),8,1))*1,"")))</f>
        <v/>
      </c>
      <c r="AZ287" s="112" t="str">
        <f>IF(AND(ISNUMBER(AZ286),AC287&lt;$F$186+26/25),(MID(INDEX($A$187:$B$210,MATCH("CVS",$A$187:$A$210,0),2),8+(3*COUNT($AZ$207:AZ286)),1))*1,IF(AND(HOUR(AC287)=HOUR($F$186),DAY(AC287)=DAY($F$186)),(MID(INDEX($A$187:$B$210,MATCH("CVS",$A$187:$A$210,0),2),8,1))*1,""))</f>
        <v/>
      </c>
      <c r="BA287" s="1610" t="str">
        <f>IF(AND(BA286&lt;&gt;"",AC287&lt;$F$186+26/25),MID(INDEX($A$187:$B$210,MATCH("PCO",$A$187:$A$210,0),2),8+(3*SUM(COUNTIF($BA$207:BA286,"Y"),COUNTIF($BA$207:BA286,"N"))),1),IF(AND(HOUR(AC287)=HOUR($F$186),DAY(AC287)=DAY($F$186)),MID(INDEX($A$187:$B$210,MATCH("PCO",$A$187:$A$210,0),2),8,1),""))</f>
        <v/>
      </c>
      <c r="BB287" s="1610" t="e">
        <f>IF(AND(BB286&lt;&gt;"",AC287&lt;$F$186+26/25),MID(INDEX($A$187:$B$210,MATCH("TYP",$A$187:$A$210,0),2),8+(3*SUM(COUNTIF($BB$207:BB286,"S"),COUNTIF($BB$207:BB286,"Z"), COUNTIF($BB$207:BB286,"R"),COUNTIF($BB$207:BB286,"X"))),1),IF(AND(HOUR(AC287)=HOUR($F$186),DAY(AC287)=DAY($F$186)),MID(INDEX($A$187:$B$210,MATCH("TYP",$A$187:$A$210,0),2),8,1),""))</f>
        <v>#N/A</v>
      </c>
      <c r="BC287" s="112" t="str">
        <f>IF(AND(LEN(BC286)=2,AC287&lt;$F$186+26/25),MID(INDEX($A$187:$B$211,MATCH("OBV",$A$187:$A$211,0),2),7+(3*SUM(COUNTIF($BC$207:BC286," N"),COUNTIF($BC$207:BC286,"HZ"),COUNTIF($BC$207:BC286,"BR"),COUNTIF($BC$207:BC286,"FG"),COUNTIF($BC$207:BC286,"BL"))),2),IF(AND(HOUR(AC287)=HOUR($F$186),DAY(AC287)=DAY($F$186)),MID(INDEX($A$187:$B$211,MATCH("OBV",$A$187:$A$211,0),2),7,2),""))</f>
        <v/>
      </c>
      <c r="BD287" s="112"/>
      <c r="BE287" s="112"/>
      <c r="BF287" s="112"/>
      <c r="BG287" s="1610" t="str">
        <f t="shared" si="124"/>
        <v/>
      </c>
      <c r="BH287" s="115" t="str">
        <f t="shared" si="144"/>
        <v/>
      </c>
      <c r="BI287" s="200" t="str">
        <f t="shared" si="155"/>
        <v/>
      </c>
      <c r="BJ287" s="62" t="str">
        <f t="shared" si="154"/>
        <v/>
      </c>
      <c r="BK287" s="1145">
        <f t="shared" si="122"/>
        <v>45</v>
      </c>
      <c r="BL287" s="62" t="str">
        <f t="shared" si="156"/>
        <v/>
      </c>
      <c r="BM287" s="1145">
        <f t="shared" si="150"/>
        <v>33</v>
      </c>
      <c r="BN287" s="1901" t="str">
        <f t="shared" si="123"/>
        <v/>
      </c>
      <c r="BO287" s="1144" t="str">
        <f t="shared" si="157"/>
        <v/>
      </c>
      <c r="BP287" s="106" t="str">
        <f t="shared" si="151"/>
        <v/>
      </c>
      <c r="BQ287" s="66" t="str">
        <f t="shared" si="158"/>
        <v/>
      </c>
      <c r="BR287" s="106" t="str">
        <f t="shared" si="159"/>
        <v/>
      </c>
      <c r="BS287" s="834">
        <f t="shared" si="133"/>
        <v>27</v>
      </c>
      <c r="BT287" s="106" t="str">
        <f t="shared" si="160"/>
        <v/>
      </c>
      <c r="BU287" s="834" t="str">
        <f t="shared" si="145"/>
        <v/>
      </c>
      <c r="BV287" s="66" t="str">
        <f t="shared" si="146"/>
        <v/>
      </c>
      <c r="BW287" s="66" t="str">
        <f t="shared" si="147"/>
        <v/>
      </c>
      <c r="BX287" s="1198">
        <f t="shared" si="86"/>
        <v>7</v>
      </c>
      <c r="BY287" s="1146" t="str">
        <f t="shared" si="153"/>
        <v>NSW</v>
      </c>
      <c r="CA287" s="3675">
        <f t="shared" si="148"/>
        <v>44750.375</v>
      </c>
      <c r="CB287" s="3675"/>
    </row>
    <row r="288" spans="1:80" ht="10.5">
      <c r="A288" s="978" t="str">
        <f>Worksheet!Q125</f>
        <v>051003 22495967 -0694 119892604 8234332825 R ---176</v>
      </c>
      <c r="B288" s="452">
        <f t="shared" si="120"/>
        <v>44749.875</v>
      </c>
      <c r="C288" s="466">
        <f t="shared" si="110"/>
        <v>29.89</v>
      </c>
      <c r="D288" s="454">
        <f t="shared" si="88"/>
        <v>21</v>
      </c>
      <c r="E288" s="476">
        <f t="shared" si="111"/>
        <v>40</v>
      </c>
      <c r="F288" s="460" t="str">
        <f t="shared" si="128"/>
        <v>NONE</v>
      </c>
      <c r="G288" s="460" t="str">
        <f t="shared" si="112"/>
        <v>SCT</v>
      </c>
      <c r="H288" s="460" t="str">
        <f t="shared" si="113"/>
        <v>SCT</v>
      </c>
      <c r="I288" s="460">
        <f t="shared" si="97"/>
        <v>40</v>
      </c>
      <c r="J288" s="461">
        <f t="shared" si="114"/>
        <v>34</v>
      </c>
      <c r="K288" s="462">
        <f t="shared" si="125"/>
        <v>22</v>
      </c>
      <c r="L288" s="462">
        <f t="shared" si="126"/>
        <v>12</v>
      </c>
      <c r="M288" s="462">
        <f t="shared" si="115"/>
        <v>7</v>
      </c>
      <c r="N288" s="462"/>
      <c r="O288" s="462">
        <f t="shared" si="116"/>
        <v>7</v>
      </c>
      <c r="P288" s="462">
        <f t="shared" si="117"/>
        <v>7</v>
      </c>
      <c r="Q288" s="462">
        <f t="shared" si="129"/>
        <v>17.600000000000001</v>
      </c>
      <c r="R288" s="462">
        <f t="shared" si="127"/>
        <v>8.8000000000000007</v>
      </c>
      <c r="S288" s="465">
        <f t="shared" si="152"/>
        <v>7</v>
      </c>
      <c r="T288" s="1118" t="str">
        <f t="shared" si="118"/>
        <v>NSW</v>
      </c>
      <c r="U288" s="463">
        <f t="shared" si="130"/>
        <v>260</v>
      </c>
      <c r="V288" s="464">
        <f t="shared" si="135"/>
        <v>6</v>
      </c>
      <c r="W288" s="411">
        <f t="shared" si="121"/>
        <v>44749.875</v>
      </c>
      <c r="X288" s="410"/>
      <c r="Y288" s="458">
        <f t="shared" si="131"/>
        <v>93.2</v>
      </c>
      <c r="Z288" s="458">
        <f t="shared" si="132"/>
        <v>71.599999999999994</v>
      </c>
      <c r="AC288" s="977">
        <f t="shared" si="149"/>
        <v>44750.416666666664</v>
      </c>
      <c r="AD288" s="1610" t="str">
        <f>IF(AND(HOUR(AC288)=HOUR(Worksheet!AF$68),DAY(AC288)=DAY(Worksheet!AF$68)),"START","")</f>
        <v/>
      </c>
      <c r="AE288" s="1149" t="str">
        <f>IF(AND(HOUR(AC288)=HOUR($F$186),DAY(AC288)=DAY($F$186)),(MID($B$189,6,3))*1,IF(AND(ISNUMBER(AE287),AC288&lt;$F$186+1+(1/25)),(MID($B$189,6+(3*COUNT($AE$207:AE287)),3))*1,""))</f>
        <v/>
      </c>
      <c r="AF288" s="1164">
        <f t="shared" si="82"/>
        <v>76.96400000000007</v>
      </c>
      <c r="AG288" s="1150">
        <f t="shared" si="136"/>
        <v>79.400000000000006</v>
      </c>
      <c r="AH288" s="1163" t="str">
        <f>IF(AND(ISNUMBER(AH287),AC288&lt;$F$186+26/25),(MID($B$190,6+(3*COUNT($AH$207:AH287)),3))*1,IF(AND(HOUR(AC288)=HOUR($F$186),DAY(AC288)=DAY($F$186)),(MID($B$190,6,3))*1,""))</f>
        <v/>
      </c>
      <c r="AI288" s="1901" t="str">
        <f t="shared" si="108"/>
        <v/>
      </c>
      <c r="AJ288" s="1164">
        <f t="shared" si="137"/>
        <v>75.475999999999985</v>
      </c>
      <c r="AK288" s="1150">
        <f t="shared" si="138"/>
        <v>75.2</v>
      </c>
      <c r="AL288" s="1152">
        <f t="shared" si="83"/>
        <v>29.863333333333333</v>
      </c>
      <c r="AM288" s="1153">
        <f t="shared" si="139"/>
        <v>29.923333333333332</v>
      </c>
      <c r="AN288" s="1147"/>
      <c r="AO288" s="976" t="str">
        <f>IF(BA288="Y",AP288,IF(AND(ISNUMBER(AO287),AC288&lt;$F$186+26/25),(MID(INDEX($A$187:$B$210,MATCH("CIG",$A$187:$A$210,0),2),8+(3*COUNT($AO$207:AO287)),1))*1,IF(AND(HOUR(AC288)=HOUR($F$186),DAY(AC288)=DAY($F$186)),(MID(INDEX($A$187:$B$210,MATCH("CIG",$A$187:$A$210,0),2),8,1))*1,"")))</f>
        <v/>
      </c>
      <c r="AP288" s="1061" t="str">
        <f>IF(AND(ISNUMBER(AP287),AC288&lt;$F$186+26/25),(MID(INDEX($A$187:$B$210,MATCH("CCG",$A$187:$A$210,0),2),8+(3*COUNT($AP$207:AP287)),1))*1,IF(AND(HOUR(AC288)=HOUR($F$186),DAY(AC288)=DAY($F$186)),(MID(INDEX($A$187:$B$210,MATCH("CCG",$A$187:$A$210,0),2),8,1))*1,""))</f>
        <v/>
      </c>
      <c r="AQ288" s="1061" t="str">
        <f>IF(AND(AQ287&lt;&gt;"",AC288&lt;$F$186+26/25),MID(INDEX($A$187:$B$210,MATCH("CLD",$A$187:$A$210,0),2),7+(3*SUM(COUNTIF($AQ$207:AQ287,"OV"),COUNTIF($AQ$207:AQ287,"BK"),COUNTIF($AQ$207:AQ287,"SC"),COUNTIF($AQ$207:AQ287,"FW"),COUNTIF($AQ$207:AQ287,"CL"))),2),IF(AND(HOUR(AC288)=HOUR($F$186),DAY(AC288)=DAY($F$186)),MID(INDEX($A$187:$B$210,MATCH("CLD",$A$187:$A$210,0),2),7,2),""))</f>
        <v/>
      </c>
      <c r="AR288" s="1149" t="str">
        <f t="shared" si="140"/>
        <v/>
      </c>
      <c r="AS288" s="1150" t="str">
        <f t="shared" si="141"/>
        <v/>
      </c>
      <c r="AT288" s="112" t="str">
        <f t="shared" si="142"/>
        <v/>
      </c>
      <c r="AU288" s="1610" t="str">
        <f t="shared" si="143"/>
        <v/>
      </c>
      <c r="AV288" s="1148">
        <f t="shared" si="84"/>
        <v>40</v>
      </c>
      <c r="AW288" s="920" t="str">
        <f t="shared" si="87"/>
        <v>SCT</v>
      </c>
      <c r="AX288" s="1608">
        <f t="shared" si="85"/>
        <v>40</v>
      </c>
      <c r="AY288" s="112" t="str">
        <f>IF(BA288="Y",AZ288,IF(AND(ISNUMBER(AY287),AC288&lt;$F$186+26/25),(MID(INDEX($A$187:$B$210,MATCH("VIS",$A$187:$A$210,0),2),8+(3*COUNT($AY$207:AY287)),1))*1,IF(AND(HOUR(AC288)=HOUR($F$186),DAY(AC288)=DAY($F$186)),(MID(INDEX($A$187:$B$210,MATCH("VIS",$A$187:$A$210,0),2),8,1))*1,"")))</f>
        <v/>
      </c>
      <c r="AZ288" s="112" t="str">
        <f>IF(AND(ISNUMBER(AZ287),AC288&lt;$F$186+26/25),(MID(INDEX($A$187:$B$210,MATCH("CVS",$A$187:$A$210,0),2),8+(3*COUNT($AZ$207:AZ287)),1))*1,IF(AND(HOUR(AC288)=HOUR($F$186),DAY(AC288)=DAY($F$186)),(MID(INDEX($A$187:$B$210,MATCH("CVS",$A$187:$A$210,0),2),8,1))*1,""))</f>
        <v/>
      </c>
      <c r="BA288" s="1610" t="str">
        <f>IF(AND(BA287&lt;&gt;"",AC288&lt;$F$186+26/25),MID(INDEX($A$187:$B$210,MATCH("PCO",$A$187:$A$210,0),2),8+(3*SUM(COUNTIF($BA$207:BA287,"Y"),COUNTIF($BA$207:BA287,"N"))),1),IF(AND(HOUR(AC288)=HOUR($F$186),DAY(AC288)=DAY($F$186)),MID(INDEX($A$187:$B$210,MATCH("PCO",$A$187:$A$210,0),2),8,1),""))</f>
        <v/>
      </c>
      <c r="BB288" s="1610" t="e">
        <f>IF(AND(BB287&lt;&gt;"",AC288&lt;$F$186+26/25),MID(INDEX($A$187:$B$210,MATCH("TYP",$A$187:$A$210,0),2),8+(3*SUM(COUNTIF($BB$207:BB287,"S"),COUNTIF($BB$207:BB287,"Z"), COUNTIF($BB$207:BB287,"R"),COUNTIF($BB$207:BB287,"X"))),1),IF(AND(HOUR(AC288)=HOUR($F$186),DAY(AC288)=DAY($F$186)),MID(INDEX($A$187:$B$210,MATCH("TYP",$A$187:$A$210,0),2),8,1),""))</f>
        <v>#N/A</v>
      </c>
      <c r="BC288" s="112" t="str">
        <f>IF(AND(LEN(BC287)=2,AC288&lt;$F$186+26/25),MID(INDEX($A$187:$B$211,MATCH("OBV",$A$187:$A$211,0),2),7+(3*SUM(COUNTIF($BC$207:BC287," N"),COUNTIF($BC$207:BC287,"HZ"),COUNTIF($BC$207:BC287,"BR"),COUNTIF($BC$207:BC287,"FG"),COUNTIF($BC$207:BC287,"BL"))),2),IF(AND(HOUR(AC288)=HOUR($F$186),DAY(AC288)=DAY($F$186)),MID(INDEX($A$187:$B$211,MATCH("OBV",$A$187:$A$211,0),2),7,2),""))</f>
        <v/>
      </c>
      <c r="BD288" s="112"/>
      <c r="BE288" s="112"/>
      <c r="BF288" s="112"/>
      <c r="BG288" s="1610" t="str">
        <f t="shared" si="124"/>
        <v/>
      </c>
      <c r="BH288" s="115" t="str">
        <f t="shared" si="144"/>
        <v/>
      </c>
      <c r="BI288" s="200" t="str">
        <f t="shared" si="155"/>
        <v/>
      </c>
      <c r="BJ288" s="62" t="str">
        <f t="shared" si="154"/>
        <v/>
      </c>
      <c r="BK288" s="1145">
        <f t="shared" si="122"/>
        <v>45</v>
      </c>
      <c r="BL288" s="62" t="str">
        <f t="shared" si="156"/>
        <v/>
      </c>
      <c r="BM288" s="1145">
        <f t="shared" si="150"/>
        <v>33</v>
      </c>
      <c r="BN288" s="1901" t="str">
        <f t="shared" si="123"/>
        <v/>
      </c>
      <c r="BO288" s="1144" t="str">
        <f t="shared" si="157"/>
        <v/>
      </c>
      <c r="BP288" s="106" t="str">
        <f t="shared" si="151"/>
        <v/>
      </c>
      <c r="BQ288" s="66" t="str">
        <f t="shared" si="158"/>
        <v/>
      </c>
      <c r="BR288" s="106" t="str">
        <f t="shared" si="159"/>
        <v/>
      </c>
      <c r="BS288" s="834">
        <f t="shared" si="133"/>
        <v>27</v>
      </c>
      <c r="BT288" s="106" t="str">
        <f t="shared" si="160"/>
        <v/>
      </c>
      <c r="BU288" s="834" t="str">
        <f t="shared" si="145"/>
        <v/>
      </c>
      <c r="BV288" s="66" t="str">
        <f t="shared" si="146"/>
        <v/>
      </c>
      <c r="BW288" s="66" t="str">
        <f t="shared" si="147"/>
        <v/>
      </c>
      <c r="BX288" s="1198">
        <f t="shared" si="86"/>
        <v>7</v>
      </c>
      <c r="BY288" s="1146" t="str">
        <f t="shared" si="153"/>
        <v>NSW</v>
      </c>
      <c r="CA288" s="3675">
        <f t="shared" si="148"/>
        <v>44750.416666666664</v>
      </c>
      <c r="CB288" s="3675"/>
    </row>
    <row r="289" spans="1:80" ht="10.5">
      <c r="A289" s="978" t="str">
        <f>Worksheet!Q126</f>
        <v>054001 24556067 -0991 129912103 8232322825 R ---163</v>
      </c>
      <c r="B289" s="452">
        <f t="shared" si="120"/>
        <v>44750</v>
      </c>
      <c r="C289" s="466">
        <f t="shared" si="110"/>
        <v>29.91</v>
      </c>
      <c r="D289" s="454">
        <f t="shared" si="88"/>
        <v>0</v>
      </c>
      <c r="E289" s="476">
        <f t="shared" si="111"/>
        <v>40</v>
      </c>
      <c r="F289" s="460" t="str">
        <f t="shared" si="128"/>
        <v>NONE</v>
      </c>
      <c r="G289" s="460" t="str">
        <f t="shared" si="112"/>
        <v>SCT</v>
      </c>
      <c r="H289" s="460" t="str">
        <f t="shared" si="113"/>
        <v>SCT</v>
      </c>
      <c r="I289" s="460">
        <f t="shared" si="97"/>
        <v>40</v>
      </c>
      <c r="J289" s="461">
        <f t="shared" si="114"/>
        <v>32</v>
      </c>
      <c r="K289" s="462">
        <f t="shared" si="125"/>
        <v>24</v>
      </c>
      <c r="L289" s="462">
        <f t="shared" si="126"/>
        <v>8</v>
      </c>
      <c r="M289" s="462">
        <f t="shared" si="115"/>
        <v>7</v>
      </c>
      <c r="N289" s="462"/>
      <c r="O289" s="462">
        <f t="shared" si="116"/>
        <v>7</v>
      </c>
      <c r="P289" s="462">
        <f t="shared" si="117"/>
        <v>7</v>
      </c>
      <c r="Q289" s="462">
        <f t="shared" si="129"/>
        <v>16.3</v>
      </c>
      <c r="R289" s="462">
        <f t="shared" si="127"/>
        <v>8.15</v>
      </c>
      <c r="S289" s="465">
        <f t="shared" si="152"/>
        <v>7</v>
      </c>
      <c r="T289" s="1118" t="str">
        <f t="shared" si="118"/>
        <v>NSW</v>
      </c>
      <c r="U289" s="463" t="str">
        <f t="shared" si="130"/>
        <v/>
      </c>
      <c r="V289" s="464" t="str">
        <f t="shared" si="135"/>
        <v/>
      </c>
      <c r="W289" s="411">
        <f t="shared" si="121"/>
        <v>44750</v>
      </c>
      <c r="X289" s="410"/>
      <c r="Y289" s="458">
        <f t="shared" si="131"/>
        <v>89.6</v>
      </c>
      <c r="Z289" s="458">
        <f t="shared" si="132"/>
        <v>75.2</v>
      </c>
      <c r="AC289" s="977">
        <f t="shared" si="149"/>
        <v>44750.458333333328</v>
      </c>
      <c r="AD289" s="1610" t="str">
        <f>IF(AND(HOUR(AC289)=HOUR(Worksheet!AF$68),DAY(AC289)=DAY(Worksheet!AF$68)),"START","")</f>
        <v/>
      </c>
      <c r="AE289" s="1149" t="str">
        <f>IF(AND(HOUR(AC289)=HOUR($F$186),DAY(AC289)=DAY($F$186)),(MID($B$189,6,3))*1,IF(AND(ISNUMBER(AE288),AC289&lt;$F$186+1+(1/25)),(MID($B$189,6+(3*COUNT($AE$207:AE288)),3))*1,""))</f>
        <v/>
      </c>
      <c r="AF289" s="1164">
        <f t="shared" si="82"/>
        <v>77.252000000000052</v>
      </c>
      <c r="AG289" s="1150">
        <f t="shared" si="136"/>
        <v>80</v>
      </c>
      <c r="AH289" s="1163" t="str">
        <f>IF(AND(ISNUMBER(AH288),AC289&lt;$F$186+26/25),(MID($B$190,6+(3*COUNT($AH$207:AH288)),3))*1,IF(AND(HOUR(AC289)=HOUR($F$186),DAY(AC289)=DAY($F$186)),(MID($B$190,6,3))*1,""))</f>
        <v/>
      </c>
      <c r="AI289" s="1901" t="str">
        <f t="shared" si="108"/>
        <v/>
      </c>
      <c r="AJ289" s="1164">
        <f t="shared" si="137"/>
        <v>75.212000000000003</v>
      </c>
      <c r="AK289" s="1150">
        <f t="shared" si="138"/>
        <v>75.2</v>
      </c>
      <c r="AL289" s="1152">
        <f t="shared" si="83"/>
        <v>29.866666666666667</v>
      </c>
      <c r="AM289" s="1153">
        <f t="shared" si="139"/>
        <v>29.936666666666667</v>
      </c>
      <c r="AN289" s="1147"/>
      <c r="AO289" s="976" t="str">
        <f>IF(BA289="Y",AP289,IF(AND(ISNUMBER(AO288),AC289&lt;$F$186+26/25),(MID(INDEX($A$187:$B$210,MATCH("CIG",$A$187:$A$210,0),2),8+(3*COUNT($AO$207:AO288)),1))*1,IF(AND(HOUR(AC289)=HOUR($F$186),DAY(AC289)=DAY($F$186)),(MID(INDEX($A$187:$B$210,MATCH("CIG",$A$187:$A$210,0),2),8,1))*1,"")))</f>
        <v/>
      </c>
      <c r="AP289" s="1061" t="str">
        <f>IF(AND(ISNUMBER(AP288),AC289&lt;$F$186+26/25),(MID(INDEX($A$187:$B$210,MATCH("CCG",$A$187:$A$210,0),2),8+(3*COUNT($AP$207:AP288)),1))*1,IF(AND(HOUR(AC289)=HOUR($F$186),DAY(AC289)=DAY($F$186)),(MID(INDEX($A$187:$B$210,MATCH("CCG",$A$187:$A$210,0),2),8,1))*1,""))</f>
        <v/>
      </c>
      <c r="AQ289" s="1061" t="str">
        <f>IF(AND(AQ288&lt;&gt;"",AC289&lt;$F$186+26/25),MID(INDEX($A$187:$B$210,MATCH("CLD",$A$187:$A$210,0),2),7+(3*SUM(COUNTIF($AQ$207:AQ288,"OV"),COUNTIF($AQ$207:AQ288,"BK"),COUNTIF($AQ$207:AQ288,"SC"),COUNTIF($AQ$207:AQ288,"FW"),COUNTIF($AQ$207:AQ288,"CL"))),2),IF(AND(HOUR(AC289)=HOUR($F$186),DAY(AC289)=DAY($F$186)),MID(INDEX($A$187:$B$210,MATCH("CLD",$A$187:$A$210,0),2),7,2),""))</f>
        <v/>
      </c>
      <c r="AR289" s="1149" t="str">
        <f t="shared" si="140"/>
        <v/>
      </c>
      <c r="AS289" s="1150" t="str">
        <f t="shared" si="141"/>
        <v/>
      </c>
      <c r="AT289" s="112" t="str">
        <f t="shared" si="142"/>
        <v/>
      </c>
      <c r="AU289" s="1610" t="str">
        <f t="shared" si="143"/>
        <v/>
      </c>
      <c r="AV289" s="1148">
        <f t="shared" si="84"/>
        <v>40</v>
      </c>
      <c r="AW289" s="920" t="str">
        <f t="shared" si="87"/>
        <v>SCT</v>
      </c>
      <c r="AX289" s="1608">
        <f t="shared" si="85"/>
        <v>40</v>
      </c>
      <c r="AY289" s="112" t="str">
        <f>IF(BA289="Y",AZ289,IF(AND(ISNUMBER(AY288),AC289&lt;$F$186+26/25),(MID(INDEX($A$187:$B$210,MATCH("VIS",$A$187:$A$210,0),2),8+(3*COUNT($AY$207:AY288)),1))*1,IF(AND(HOUR(AC289)=HOUR($F$186),DAY(AC289)=DAY($F$186)),(MID(INDEX($A$187:$B$210,MATCH("VIS",$A$187:$A$210,0),2),8,1))*1,"")))</f>
        <v/>
      </c>
      <c r="AZ289" s="112" t="str">
        <f>IF(AND(ISNUMBER(AZ288),AC289&lt;$F$186+26/25),(MID(INDEX($A$187:$B$210,MATCH("CVS",$A$187:$A$210,0),2),8+(3*COUNT($AZ$207:AZ288)),1))*1,IF(AND(HOUR(AC289)=HOUR($F$186),DAY(AC289)=DAY($F$186)),(MID(INDEX($A$187:$B$210,MATCH("CVS",$A$187:$A$210,0),2),8,1))*1,""))</f>
        <v/>
      </c>
      <c r="BA289" s="1610" t="str">
        <f>IF(AND(BA288&lt;&gt;"",AC289&lt;$F$186+26/25),MID(INDEX($A$187:$B$210,MATCH("PCO",$A$187:$A$210,0),2),8+(3*SUM(COUNTIF($BA$207:BA288,"Y"),COUNTIF($BA$207:BA288,"N"))),1),IF(AND(HOUR(AC289)=HOUR($F$186),DAY(AC289)=DAY($F$186)),MID(INDEX($A$187:$B$210,MATCH("PCO",$A$187:$A$210,0),2),8,1),""))</f>
        <v/>
      </c>
      <c r="BB289" s="1610" t="e">
        <f>IF(AND(BB288&lt;&gt;"",AC289&lt;$F$186+26/25),MID(INDEX($A$187:$B$210,MATCH("TYP",$A$187:$A$210,0),2),8+(3*SUM(COUNTIF($BB$207:BB288,"S"),COUNTIF($BB$207:BB288,"Z"), COUNTIF($BB$207:BB288,"R"),COUNTIF($BB$207:BB288,"X"))),1),IF(AND(HOUR(AC289)=HOUR($F$186),DAY(AC289)=DAY($F$186)),MID(INDEX($A$187:$B$210,MATCH("TYP",$A$187:$A$210,0),2),8,1),""))</f>
        <v>#N/A</v>
      </c>
      <c r="BC289" s="112" t="str">
        <f>IF(AND(LEN(BC288)=2,AC289&lt;$F$186+26/25),MID(INDEX($A$187:$B$211,MATCH("OBV",$A$187:$A$211,0),2),7+(3*SUM(COUNTIF($BC$207:BC288," N"),COUNTIF($BC$207:BC288,"HZ"),COUNTIF($BC$207:BC288,"BR"),COUNTIF($BC$207:BC288,"FG"),COUNTIF($BC$207:BC288,"BL"))),2),IF(AND(HOUR(AC289)=HOUR($F$186),DAY(AC289)=DAY($F$186)),MID(INDEX($A$187:$B$211,MATCH("OBV",$A$187:$A$211,0),2),7,2),""))</f>
        <v/>
      </c>
      <c r="BD289" s="112"/>
      <c r="BE289" s="112"/>
      <c r="BF289" s="112"/>
      <c r="BG289" s="1610" t="str">
        <f t="shared" si="124"/>
        <v/>
      </c>
      <c r="BH289" s="115" t="str">
        <f t="shared" si="144"/>
        <v/>
      </c>
      <c r="BI289" s="200" t="str">
        <f t="shared" si="155"/>
        <v/>
      </c>
      <c r="BJ289" s="62" t="str">
        <f t="shared" si="154"/>
        <v/>
      </c>
      <c r="BK289" s="1145">
        <f t="shared" si="122"/>
        <v>45</v>
      </c>
      <c r="BL289" s="62" t="str">
        <f t="shared" si="156"/>
        <v/>
      </c>
      <c r="BM289" s="1145">
        <f t="shared" si="150"/>
        <v>33</v>
      </c>
      <c r="BN289" s="1901" t="str">
        <f t="shared" si="123"/>
        <v/>
      </c>
      <c r="BO289" s="1144" t="str">
        <f t="shared" si="157"/>
        <v/>
      </c>
      <c r="BP289" s="106" t="str">
        <f t="shared" si="151"/>
        <v/>
      </c>
      <c r="BQ289" s="66" t="str">
        <f t="shared" si="158"/>
        <v/>
      </c>
      <c r="BR289" s="106" t="str">
        <f t="shared" si="159"/>
        <v/>
      </c>
      <c r="BS289" s="834">
        <f t="shared" si="133"/>
        <v>27</v>
      </c>
      <c r="BT289" s="106" t="str">
        <f t="shared" si="160"/>
        <v/>
      </c>
      <c r="BU289" s="834" t="str">
        <f t="shared" si="145"/>
        <v/>
      </c>
      <c r="BV289" s="66" t="str">
        <f t="shared" si="146"/>
        <v/>
      </c>
      <c r="BW289" s="66" t="str">
        <f t="shared" si="147"/>
        <v/>
      </c>
      <c r="BX289" s="1198">
        <f t="shared" si="86"/>
        <v>7</v>
      </c>
      <c r="BY289" s="1146" t="str">
        <f t="shared" si="153"/>
        <v>NSW</v>
      </c>
      <c r="CA289" s="3675">
        <f t="shared" si="148"/>
        <v>44750.458333333328</v>
      </c>
      <c r="CB289" s="3675"/>
    </row>
    <row r="290" spans="1:80" ht="10.5">
      <c r="A290" s="978" t="str">
        <f>Worksheet!Q127</f>
        <v>057000 24646369 -3292 139931906 8128302825   ---149</v>
      </c>
      <c r="B290" s="452">
        <f t="shared" si="120"/>
        <v>44750.125</v>
      </c>
      <c r="C290" s="466">
        <f t="shared" si="110"/>
        <v>29.93</v>
      </c>
      <c r="D290" s="454">
        <f t="shared" si="88"/>
        <v>3</v>
      </c>
      <c r="E290" s="476">
        <f t="shared" si="111"/>
        <v>40</v>
      </c>
      <c r="F290" s="460" t="str">
        <f t="shared" si="128"/>
        <v>NONE</v>
      </c>
      <c r="G290" s="460" t="str">
        <f t="shared" si="112"/>
        <v>SCT</v>
      </c>
      <c r="H290" s="460" t="str">
        <f t="shared" si="113"/>
        <v>SCT</v>
      </c>
      <c r="I290" s="460">
        <f t="shared" si="97"/>
        <v>40</v>
      </c>
      <c r="J290" s="461">
        <f t="shared" si="114"/>
        <v>28</v>
      </c>
      <c r="K290" s="462">
        <f t="shared" si="125"/>
        <v>24</v>
      </c>
      <c r="L290" s="462">
        <f t="shared" si="126"/>
        <v>4</v>
      </c>
      <c r="M290" s="462">
        <f t="shared" si="115"/>
        <v>7</v>
      </c>
      <c r="N290" s="462"/>
      <c r="O290" s="462">
        <f t="shared" si="116"/>
        <v>7</v>
      </c>
      <c r="P290" s="462">
        <f t="shared" si="117"/>
        <v>7</v>
      </c>
      <c r="Q290" s="462">
        <f t="shared" si="129"/>
        <v>14.9</v>
      </c>
      <c r="R290" s="462">
        <f t="shared" si="127"/>
        <v>7</v>
      </c>
      <c r="S290" s="465">
        <f t="shared" si="152"/>
        <v>7</v>
      </c>
      <c r="T290" s="1118" t="str">
        <f t="shared" si="118"/>
        <v>NSW</v>
      </c>
      <c r="U290" s="463" t="str">
        <f t="shared" si="130"/>
        <v/>
      </c>
      <c r="V290" s="464" t="str">
        <f t="shared" si="135"/>
        <v/>
      </c>
      <c r="W290" s="411">
        <f t="shared" si="121"/>
        <v>44750.125</v>
      </c>
      <c r="X290" s="410"/>
      <c r="Y290" s="458">
        <f t="shared" si="131"/>
        <v>82.4</v>
      </c>
      <c r="Z290" s="458">
        <f t="shared" si="132"/>
        <v>75.2</v>
      </c>
      <c r="AC290" s="977">
        <f t="shared" si="149"/>
        <v>44750.5</v>
      </c>
      <c r="AD290" s="1610" t="str">
        <f>IF(AND(HOUR(AC290)=HOUR(Worksheet!AF$68),DAY(AC290)=DAY(Worksheet!AF$68)),"START","")</f>
        <v/>
      </c>
      <c r="AE290" s="1149" t="str">
        <f>IF(AND(HOUR(AC290)=HOUR($F$186),DAY(AC290)=DAY($F$186)),(MID($B$189,6,3))*1,IF(AND(ISNUMBER(AE289),AC290&lt;$F$186+1+(1/25)),(MID($B$189,6+(3*COUNT($AE$207:AE289)),3))*1,""))</f>
        <v/>
      </c>
      <c r="AF290" s="1164">
        <f t="shared" si="82"/>
        <v>77.54000000000002</v>
      </c>
      <c r="AG290" s="1150">
        <f t="shared" si="136"/>
        <v>80.599999999999994</v>
      </c>
      <c r="AH290" s="1163" t="str">
        <f>IF(AND(ISNUMBER(AH289),AC290&lt;$F$186+26/25),(MID($B$190,6+(3*COUNT($AH$207:AH289)),3))*1,IF(AND(HOUR(AC290)=HOUR($F$186),DAY(AC290)=DAY($F$186)),(MID($B$190,6,3))*1,""))</f>
        <v/>
      </c>
      <c r="AI290" s="1901" t="str">
        <f t="shared" si="108"/>
        <v/>
      </c>
      <c r="AJ290" s="1164">
        <f t="shared" si="137"/>
        <v>74.948000000000036</v>
      </c>
      <c r="AK290" s="1150">
        <f t="shared" si="138"/>
        <v>75.2</v>
      </c>
      <c r="AL290" s="1152">
        <f t="shared" si="83"/>
        <v>29.87</v>
      </c>
      <c r="AM290" s="1153">
        <f t="shared" si="139"/>
        <v>29.95</v>
      </c>
      <c r="AN290" s="1147"/>
      <c r="AO290" s="976" t="str">
        <f>IF(BA290="Y",AP290,IF(AND(ISNUMBER(AO289),AC290&lt;$F$186+26/25),(MID(INDEX($A$187:$B$210,MATCH("CIG",$A$187:$A$210,0),2),8+(3*COUNT($AO$207:AO289)),1))*1,IF(AND(HOUR(AC290)=HOUR($F$186),DAY(AC290)=DAY($F$186)),(MID(INDEX($A$187:$B$210,MATCH("CIG",$A$187:$A$210,0),2),8,1))*1,"")))</f>
        <v/>
      </c>
      <c r="AP290" s="1061" t="str">
        <f>IF(AND(ISNUMBER(AP289),AC290&lt;$F$186+26/25),(MID(INDEX($A$187:$B$210,MATCH("CCG",$A$187:$A$210,0),2),8+(3*COUNT($AP$207:AP289)),1))*1,IF(AND(HOUR(AC290)=HOUR($F$186),DAY(AC290)=DAY($F$186)),(MID(INDEX($A$187:$B$210,MATCH("CCG",$A$187:$A$210,0),2),8,1))*1,""))</f>
        <v/>
      </c>
      <c r="AQ290" s="1061" t="str">
        <f>IF(AND(AQ289&lt;&gt;"",AC290&lt;$F$186+26/25),MID(INDEX($A$187:$B$210,MATCH("CLD",$A$187:$A$210,0),2),7+(3*SUM(COUNTIF($AQ$207:AQ289,"OV"),COUNTIF($AQ$207:AQ289,"BK"),COUNTIF($AQ$207:AQ289,"SC"),COUNTIF($AQ$207:AQ289,"FW"),COUNTIF($AQ$207:AQ289,"CL"))),2),IF(AND(HOUR(AC290)=HOUR($F$186),DAY(AC290)=DAY($F$186)),MID(INDEX($A$187:$B$210,MATCH("CLD",$A$187:$A$210,0),2),7,2),""))</f>
        <v/>
      </c>
      <c r="AR290" s="1149">
        <f t="shared" si="140"/>
        <v>4</v>
      </c>
      <c r="AS290" s="1150" t="str">
        <f t="shared" si="141"/>
        <v>OV</v>
      </c>
      <c r="AT290" s="112">
        <f t="shared" si="142"/>
        <v>8</v>
      </c>
      <c r="AU290" s="1610" t="str">
        <f t="shared" si="143"/>
        <v>BK</v>
      </c>
      <c r="AV290" s="1148">
        <f t="shared" si="84"/>
        <v>40</v>
      </c>
      <c r="AW290" s="920" t="str">
        <f t="shared" si="87"/>
        <v>SCT</v>
      </c>
      <c r="AX290" s="1608">
        <f t="shared" si="85"/>
        <v>40</v>
      </c>
      <c r="AY290" s="112" t="str">
        <f>IF(BA290="Y",AZ290,IF(AND(ISNUMBER(AY289),AC290&lt;$F$186+26/25),(MID(INDEX($A$187:$B$210,MATCH("VIS",$A$187:$A$210,0),2),8+(3*COUNT($AY$207:AY289)),1))*1,IF(AND(HOUR(AC290)=HOUR($F$186),DAY(AC290)=DAY($F$186)),(MID(INDEX($A$187:$B$210,MATCH("VIS",$A$187:$A$210,0),2),8,1))*1,"")))</f>
        <v/>
      </c>
      <c r="AZ290" s="112" t="str">
        <f>IF(AND(ISNUMBER(AZ289),AC290&lt;$F$186+26/25),(MID(INDEX($A$187:$B$210,MATCH("CVS",$A$187:$A$210,0),2),8+(3*COUNT($AZ$207:AZ289)),1))*1,IF(AND(HOUR(AC290)=HOUR($F$186),DAY(AC290)=DAY($F$186)),(MID(INDEX($A$187:$B$210,MATCH("CVS",$A$187:$A$210,0),2),8,1))*1,""))</f>
        <v/>
      </c>
      <c r="BA290" s="1610" t="str">
        <f>IF(AND(BA289&lt;&gt;"",AC290&lt;$F$186+26/25),MID(INDEX($A$187:$B$210,MATCH("PCO",$A$187:$A$210,0),2),8+(3*SUM(COUNTIF($BA$207:BA289,"Y"),COUNTIF($BA$207:BA289,"N"))),1),IF(AND(HOUR(AC290)=HOUR($F$186),DAY(AC290)=DAY($F$186)),MID(INDEX($A$187:$B$210,MATCH("PCO",$A$187:$A$210,0),2),8,1),""))</f>
        <v/>
      </c>
      <c r="BB290" s="1610" t="e">
        <f>IF(AND(BB289&lt;&gt;"",AC290&lt;$F$186+26/25),MID(INDEX($A$187:$B$210,MATCH("TYP",$A$187:$A$210,0),2),8+(3*SUM(COUNTIF($BB$207:BB289,"S"),COUNTIF($BB$207:BB289,"Z"), COUNTIF($BB$207:BB289,"R"),COUNTIF($BB$207:BB289,"X"))),1),IF(AND(HOUR(AC290)=HOUR($F$186),DAY(AC290)=DAY($F$186)),MID(INDEX($A$187:$B$210,MATCH("TYP",$A$187:$A$210,0),2),8,1),""))</f>
        <v>#N/A</v>
      </c>
      <c r="BC290" s="112" t="str">
        <f>IF(AND(LEN(BC289)=2,AC290&lt;$F$186+26/25),MID(INDEX($A$187:$B$211,MATCH("OBV",$A$187:$A$211,0),2),7+(3*SUM(COUNTIF($BC$207:BC289," N"),COUNTIF($BC$207:BC289,"HZ"),COUNTIF($BC$207:BC289,"BR"),COUNTIF($BC$207:BC289,"FG"),COUNTIF($BC$207:BC289,"BL"))),2),IF(AND(HOUR(AC290)=HOUR($F$186),DAY(AC290)=DAY($F$186)),MID(INDEX($A$187:$B$211,MATCH("OBV",$A$187:$A$211,0),2),7,2),""))</f>
        <v/>
      </c>
      <c r="BD290" s="112"/>
      <c r="BE290" s="112"/>
      <c r="BF290" s="112"/>
      <c r="BG290" s="1610" t="str">
        <f t="shared" si="124"/>
        <v/>
      </c>
      <c r="BH290" s="115">
        <f t="shared" si="144"/>
        <v>5</v>
      </c>
      <c r="BI290" s="200" t="str">
        <f t="shared" si="155"/>
        <v>RA</v>
      </c>
      <c r="BJ290" s="62">
        <f t="shared" si="154"/>
        <v>45</v>
      </c>
      <c r="BK290" s="1145">
        <f t="shared" si="122"/>
        <v>45</v>
      </c>
      <c r="BL290" s="62">
        <f t="shared" si="156"/>
        <v>33</v>
      </c>
      <c r="BM290" s="1145">
        <f t="shared" si="150"/>
        <v>33</v>
      </c>
      <c r="BN290" s="1901" t="str">
        <f t="shared" si="123"/>
        <v>BR</v>
      </c>
      <c r="BO290" s="1144" t="e">
        <f t="shared" si="157"/>
        <v>#N/A</v>
      </c>
      <c r="BP290" s="106">
        <f t="shared" si="151"/>
        <v>5</v>
      </c>
      <c r="BQ290" s="66" t="str">
        <f t="shared" si="158"/>
        <v>BR</v>
      </c>
      <c r="BR290" s="106">
        <f t="shared" si="159"/>
        <v>27</v>
      </c>
      <c r="BS290" s="834">
        <f t="shared" si="133"/>
        <v>27</v>
      </c>
      <c r="BT290" s="106" t="str">
        <f t="shared" si="160"/>
        <v/>
      </c>
      <c r="BU290" s="834" t="str">
        <f t="shared" si="145"/>
        <v/>
      </c>
      <c r="BV290" s="66" t="str">
        <f t="shared" si="146"/>
        <v>BR</v>
      </c>
      <c r="BW290" s="66" t="e">
        <f t="shared" si="147"/>
        <v>#N/A</v>
      </c>
      <c r="BX290" s="1198">
        <f t="shared" si="86"/>
        <v>7</v>
      </c>
      <c r="BY290" s="1146" t="str">
        <f t="shared" si="153"/>
        <v>NSW</v>
      </c>
      <c r="CA290" s="3675">
        <f t="shared" si="148"/>
        <v>44750.5</v>
      </c>
      <c r="CB290" s="3675"/>
    </row>
    <row r="291" spans="1:80" ht="10.5">
      <c r="A291" s="978" t="str">
        <f>Worksheet!Q128</f>
        <v>060000 24767073 02594 129922206 8127282624   ---143</v>
      </c>
      <c r="B291" s="452">
        <f t="shared" si="120"/>
        <v>44750.25</v>
      </c>
      <c r="C291" s="466">
        <f t="shared" si="110"/>
        <v>29.92</v>
      </c>
      <c r="D291" s="454">
        <f t="shared" si="88"/>
        <v>6</v>
      </c>
      <c r="E291" s="476">
        <f t="shared" si="111"/>
        <v>40</v>
      </c>
      <c r="F291" s="460" t="str">
        <f t="shared" si="128"/>
        <v>NONE</v>
      </c>
      <c r="G291" s="460" t="str">
        <f t="shared" si="112"/>
        <v>SCT</v>
      </c>
      <c r="H291" s="460" t="str">
        <f t="shared" si="113"/>
        <v>SCT</v>
      </c>
      <c r="I291" s="460">
        <f t="shared" si="97"/>
        <v>40</v>
      </c>
      <c r="J291" s="461">
        <f t="shared" si="114"/>
        <v>27</v>
      </c>
      <c r="K291" s="462">
        <f t="shared" ref="K291:K321" si="161">IF(D291="","",IF(VALUE(MID(A291,8,2))&lt;50,VALUE(MID(A291,8,2)),(100-VALUE(MID(A291,8,2)))*(-1)))</f>
        <v>24</v>
      </c>
      <c r="L291" s="462">
        <f t="shared" ref="L291:L321" si="162">IF(D291="","",J291-K291)</f>
        <v>3</v>
      </c>
      <c r="M291" s="462">
        <f t="shared" si="115"/>
        <v>7</v>
      </c>
      <c r="N291" s="462"/>
      <c r="O291" s="462">
        <f t="shared" si="116"/>
        <v>7</v>
      </c>
      <c r="P291" s="462">
        <f t="shared" si="117"/>
        <v>7</v>
      </c>
      <c r="Q291" s="462">
        <f t="shared" si="129"/>
        <v>14.3</v>
      </c>
      <c r="R291" s="462">
        <f t="shared" si="127"/>
        <v>7</v>
      </c>
      <c r="S291" s="465">
        <f t="shared" si="152"/>
        <v>7</v>
      </c>
      <c r="T291" s="1118" t="str">
        <f t="shared" si="118"/>
        <v>NSW</v>
      </c>
      <c r="U291" s="463" t="str">
        <f t="shared" ref="U291:U321" si="163">IF(OR(D291=21,D291=12),VALUE(MID(A291,28,2))*10,"")</f>
        <v/>
      </c>
      <c r="V291" s="464" t="str">
        <f t="shared" ref="V291:V321" si="164">IF(OR(D291=21,D291=12),MAX(VALUE(MID(A291,30,2)),VALUE(MID(A292,30,2)),VALUE(MID(A290,30,2))),"")</f>
        <v/>
      </c>
      <c r="W291" s="411">
        <f t="shared" ref="W291:W321" si="165">IF(D291="","",MROUND(B291,1/24))</f>
        <v>44750.25</v>
      </c>
      <c r="X291" s="410"/>
      <c r="Y291" s="458">
        <f t="shared" ref="Y291:Y321" si="166">IF(W291="","",IF(VALUE(MID(A291,35,1))&gt;4,VALUE(MID(A291,35,2))-100,VALUE(MID(A291,35,2)))*(9/5)+32)</f>
        <v>80.599999999999994</v>
      </c>
      <c r="Z291" s="458">
        <f t="shared" ref="Z291:Z321" si="167">IF(W291="","",IF(VALUE(MID(A291,8,1))&gt;4,VALUE(MID(A291,8,2))-100,VALUE(MID(A291,8,2)))*(9/5)+32)</f>
        <v>75.2</v>
      </c>
      <c r="AC291" s="977">
        <f t="shared" si="149"/>
        <v>44750.541666666664</v>
      </c>
      <c r="AD291" s="1610" t="str">
        <f>IF(AND(HOUR(AC291)=HOUR(Worksheet!AF$68),DAY(AC291)=DAY(Worksheet!AF$68)),"START","")</f>
        <v/>
      </c>
      <c r="AE291" s="1149" t="str">
        <f>IF(AND(HOUR(AC291)=HOUR($F$186),DAY(AC291)=DAY($F$186)),(MID($B$189,6,3))*1,IF(AND(ISNUMBER(AE290),AC291&lt;$F$186+1+(1/25)),(MID($B$189,6+(3*COUNT($AE$207:AE290)),3))*1,""))</f>
        <v/>
      </c>
      <c r="AF291" s="1164">
        <f t="shared" si="82"/>
        <v>77.773999999999987</v>
      </c>
      <c r="AG291" s="1150">
        <f t="shared" si="136"/>
        <v>83</v>
      </c>
      <c r="AH291" s="1163" t="str">
        <f>IF(AND(ISNUMBER(AH290),AC291&lt;$F$186+26/25),(MID($B$190,6+(3*COUNT($AH$207:AH290)),3))*1,IF(AND(HOUR(AC291)=HOUR($F$186),DAY(AC291)=DAY($F$186)),(MID($B$190,6,3))*1,""))</f>
        <v/>
      </c>
      <c r="AI291" s="1901" t="str">
        <f t="shared" si="108"/>
        <v/>
      </c>
      <c r="AJ291" s="1164">
        <f t="shared" si="137"/>
        <v>75.182000000000002</v>
      </c>
      <c r="AK291" s="1150">
        <f t="shared" si="138"/>
        <v>75.8</v>
      </c>
      <c r="AL291" s="1152">
        <f t="shared" si="83"/>
        <v>29.89</v>
      </c>
      <c r="AM291" s="1153">
        <f t="shared" si="139"/>
        <v>29.95</v>
      </c>
      <c r="AN291" s="1147"/>
      <c r="AO291" s="976" t="str">
        <f>IF(BA291="Y",AP291,IF(AND(ISNUMBER(AO290),AC291&lt;$F$186+26/25),(MID(INDEX($A$187:$B$210,MATCH("CIG",$A$187:$A$210,0),2),8+(3*COUNT($AO$207:AO290)),1))*1,IF(AND(HOUR(AC291)=HOUR($F$186),DAY(AC291)=DAY($F$186)),(MID(INDEX($A$187:$B$210,MATCH("CIG",$A$187:$A$210,0),2),8,1))*1,"")))</f>
        <v/>
      </c>
      <c r="AP291" s="1061" t="str">
        <f>IF(AND(ISNUMBER(AP290),AC291&lt;$F$186+26/25),(MID(INDEX($A$187:$B$210,MATCH("CCG",$A$187:$A$210,0),2),8+(3*COUNT($AP$207:AP290)),1))*1,IF(AND(HOUR(AC291)=HOUR($F$186),DAY(AC291)=DAY($F$186)),(MID(INDEX($A$187:$B$210,MATCH("CCG",$A$187:$A$210,0),2),8,1))*1,""))</f>
        <v/>
      </c>
      <c r="AQ291" s="1061" t="str">
        <f>IF(AND(AQ290&lt;&gt;"",AC291&lt;$F$186+26/25),MID(INDEX($A$187:$B$210,MATCH("CLD",$A$187:$A$210,0),2),7+(3*SUM(COUNTIF($AQ$207:AQ290,"OV"),COUNTIF($AQ$207:AQ290,"BK"),COUNTIF($AQ$207:AQ290,"SC"),COUNTIF($AQ$207:AQ290,"FW"),COUNTIF($AQ$207:AQ290,"CL"))),2),IF(AND(HOUR(AC291)=HOUR($F$186),DAY(AC291)=DAY($F$186)),MID(INDEX($A$187:$B$210,MATCH("CLD",$A$187:$A$210,0),2),7,2),""))</f>
        <v/>
      </c>
      <c r="AR291" s="1149" t="str">
        <f t="shared" si="140"/>
        <v/>
      </c>
      <c r="AS291" s="1150" t="str">
        <f t="shared" si="141"/>
        <v/>
      </c>
      <c r="AT291" s="112" t="str">
        <f t="shared" si="142"/>
        <v/>
      </c>
      <c r="AU291" s="1610" t="str">
        <f t="shared" si="143"/>
        <v/>
      </c>
      <c r="AV291" s="1148">
        <f t="shared" si="84"/>
        <v>40</v>
      </c>
      <c r="AW291" s="920" t="str">
        <f t="shared" si="87"/>
        <v>SCT</v>
      </c>
      <c r="AX291" s="1608">
        <f t="shared" si="85"/>
        <v>40</v>
      </c>
      <c r="AY291" s="112" t="str">
        <f>IF(BA291="Y",AZ291,IF(AND(ISNUMBER(AY290),AC291&lt;$F$186+26/25),(MID(INDEX($A$187:$B$210,MATCH("VIS",$A$187:$A$210,0),2),8+(3*COUNT($AY$207:AY290)),1))*1,IF(AND(HOUR(AC291)=HOUR($F$186),DAY(AC291)=DAY($F$186)),(MID(INDEX($A$187:$B$210,MATCH("VIS",$A$187:$A$210,0),2),8,1))*1,"")))</f>
        <v/>
      </c>
      <c r="AZ291" s="112" t="str">
        <f>IF(AND(ISNUMBER(AZ290),AC291&lt;$F$186+26/25),(MID(INDEX($A$187:$B$210,MATCH("CVS",$A$187:$A$210,0),2),8+(3*COUNT($AZ$207:AZ290)),1))*1,IF(AND(HOUR(AC291)=HOUR($F$186),DAY(AC291)=DAY($F$186)),(MID(INDEX($A$187:$B$210,MATCH("CVS",$A$187:$A$210,0),2),8,1))*1,""))</f>
        <v/>
      </c>
      <c r="BA291" s="1610" t="str">
        <f>IF(AND(BA290&lt;&gt;"",AC291&lt;$F$186+26/25),MID(INDEX($A$187:$B$210,MATCH("PCO",$A$187:$A$210,0),2),8+(3*SUM(COUNTIF($BA$207:BA290,"Y"),COUNTIF($BA$207:BA290,"N"))),1),IF(AND(HOUR(AC291)=HOUR($F$186),DAY(AC291)=DAY($F$186)),MID(INDEX($A$187:$B$210,MATCH("PCO",$A$187:$A$210,0),2),8,1),""))</f>
        <v/>
      </c>
      <c r="BB291" s="1610" t="e">
        <f>IF(AND(BB290&lt;&gt;"",AC291&lt;$F$186+26/25),MID(INDEX($A$187:$B$210,MATCH("TYP",$A$187:$A$210,0),2),8+(3*SUM(COUNTIF($BB$207:BB290,"S"),COUNTIF($BB$207:BB290,"Z"), COUNTIF($BB$207:BB290,"R"),COUNTIF($BB$207:BB290,"X"))),1),IF(AND(HOUR(AC291)=HOUR($F$186),DAY(AC291)=DAY($F$186)),MID(INDEX($A$187:$B$210,MATCH("TYP",$A$187:$A$210,0),2),8,1),""))</f>
        <v>#N/A</v>
      </c>
      <c r="BC291" s="112" t="str">
        <f>IF(AND(LEN(BC290)=2,AC291&lt;$F$186+26/25),MID(INDEX($A$187:$B$211,MATCH("OBV",$A$187:$A$211,0),2),7+(3*SUM(COUNTIF($BC$207:BC290," N"),COUNTIF($BC$207:BC290,"HZ"),COUNTIF($BC$207:BC290,"BR"),COUNTIF($BC$207:BC290,"FG"),COUNTIF($BC$207:BC290,"BL"))),2),IF(AND(HOUR(AC291)=HOUR($F$186),DAY(AC291)=DAY($F$186)),MID(INDEX($A$187:$B$211,MATCH("OBV",$A$187:$A$211,0),2),7,2),""))</f>
        <v/>
      </c>
      <c r="BD291" s="112"/>
      <c r="BE291" s="112"/>
      <c r="BF291" s="112"/>
      <c r="BG291" s="1610" t="str">
        <f t="shared" si="124"/>
        <v/>
      </c>
      <c r="BH291" s="115" t="str">
        <f t="shared" si="144"/>
        <v/>
      </c>
      <c r="BI291" s="200" t="str">
        <f t="shared" si="155"/>
        <v/>
      </c>
      <c r="BJ291" s="62" t="str">
        <f t="shared" si="154"/>
        <v/>
      </c>
      <c r="BK291" s="1145" t="str">
        <f t="shared" si="122"/>
        <v/>
      </c>
      <c r="BL291" s="62" t="str">
        <f t="shared" si="156"/>
        <v/>
      </c>
      <c r="BM291" s="1145" t="str">
        <f t="shared" si="150"/>
        <v/>
      </c>
      <c r="BN291" s="1901" t="str">
        <f t="shared" si="123"/>
        <v/>
      </c>
      <c r="BO291" s="1144" t="str">
        <f t="shared" si="157"/>
        <v/>
      </c>
      <c r="BP291" s="106" t="str">
        <f t="shared" si="151"/>
        <v/>
      </c>
      <c r="BQ291" s="66" t="str">
        <f t="shared" si="158"/>
        <v/>
      </c>
      <c r="BR291" s="106" t="str">
        <f t="shared" si="159"/>
        <v/>
      </c>
      <c r="BS291" s="834">
        <f t="shared" si="133"/>
        <v>27</v>
      </c>
      <c r="BT291" s="106" t="str">
        <f t="shared" si="160"/>
        <v/>
      </c>
      <c r="BU291" s="834" t="str">
        <f t="shared" si="145"/>
        <v/>
      </c>
      <c r="BV291" s="66" t="str">
        <f t="shared" si="146"/>
        <v/>
      </c>
      <c r="BW291" s="66" t="str">
        <f t="shared" si="147"/>
        <v/>
      </c>
      <c r="BX291" s="1198">
        <f t="shared" si="86"/>
        <v>7</v>
      </c>
      <c r="BY291" s="1146" t="str">
        <f t="shared" si="153"/>
        <v>NSW</v>
      </c>
      <c r="CA291" s="3675">
        <f t="shared" si="148"/>
        <v>44750.541666666664</v>
      </c>
      <c r="CB291" s="3675"/>
    </row>
    <row r="292" spans="1:80" ht="10.5">
      <c r="A292" s="978" t="str">
        <f>Worksheet!Q129</f>
        <v>063000 24847170 02695 129912206 8026272624   ---131</v>
      </c>
      <c r="B292" s="452">
        <f t="shared" si="120"/>
        <v>44750.375</v>
      </c>
      <c r="C292" s="466">
        <f t="shared" si="110"/>
        <v>29.91</v>
      </c>
      <c r="D292" s="454">
        <f t="shared" si="88"/>
        <v>9</v>
      </c>
      <c r="E292" s="476">
        <f t="shared" si="111"/>
        <v>40</v>
      </c>
      <c r="F292" s="460" t="str">
        <f t="shared" si="128"/>
        <v>NONE</v>
      </c>
      <c r="G292" s="460" t="str">
        <f t="shared" si="112"/>
        <v>SCT</v>
      </c>
      <c r="H292" s="460" t="str">
        <f t="shared" si="113"/>
        <v>SCT</v>
      </c>
      <c r="I292" s="460">
        <f t="shared" si="97"/>
        <v>40</v>
      </c>
      <c r="J292" s="461">
        <f t="shared" si="114"/>
        <v>26</v>
      </c>
      <c r="K292" s="462">
        <f t="shared" si="161"/>
        <v>24</v>
      </c>
      <c r="L292" s="462">
        <f t="shared" si="162"/>
        <v>2</v>
      </c>
      <c r="M292" s="462">
        <f t="shared" si="115"/>
        <v>7</v>
      </c>
      <c r="N292" s="462"/>
      <c r="O292" s="462">
        <f t="shared" si="116"/>
        <v>7</v>
      </c>
      <c r="P292" s="462">
        <f t="shared" si="117"/>
        <v>7</v>
      </c>
      <c r="Q292" s="462">
        <f t="shared" si="129"/>
        <v>13.100000000000001</v>
      </c>
      <c r="R292" s="462">
        <f t="shared" si="127"/>
        <v>7</v>
      </c>
      <c r="S292" s="465">
        <f t="shared" si="152"/>
        <v>7</v>
      </c>
      <c r="T292" s="1118" t="str">
        <f t="shared" si="118"/>
        <v>NSW</v>
      </c>
      <c r="U292" s="463" t="str">
        <f t="shared" si="163"/>
        <v/>
      </c>
      <c r="V292" s="464" t="str">
        <f t="shared" si="164"/>
        <v/>
      </c>
      <c r="W292" s="411">
        <f t="shared" si="165"/>
        <v>44750.375</v>
      </c>
      <c r="X292" s="410"/>
      <c r="Y292" s="458">
        <f t="shared" si="166"/>
        <v>78.800000000000011</v>
      </c>
      <c r="Z292" s="458">
        <f t="shared" si="167"/>
        <v>75.2</v>
      </c>
      <c r="AC292" s="977">
        <f t="shared" si="149"/>
        <v>44750.583333333328</v>
      </c>
      <c r="AD292" s="1610" t="str">
        <f>IF(AND(HOUR(AC292)=HOUR(Worksheet!AF$68),DAY(AC292)=DAY(Worksheet!AF$68)),"START","")</f>
        <v/>
      </c>
      <c r="AE292" s="1149" t="str">
        <f>IF(AND(HOUR(AC292)=HOUR($F$186),DAY(AC292)=DAY($F$186)),(MID($B$189,6,3))*1,IF(AND(ISNUMBER(AE291),AC292&lt;$F$186+1+(1/25)),(MID($B$189,6+(3*COUNT($AE$207:AE291)),3))*1,""))</f>
        <v/>
      </c>
      <c r="AF292" s="1164">
        <f t="shared" si="82"/>
        <v>78.007999999999939</v>
      </c>
      <c r="AG292" s="1150">
        <f t="shared" si="136"/>
        <v>85.4</v>
      </c>
      <c r="AH292" s="1163" t="str">
        <f>IF(AND(ISNUMBER(AH291),AC292&lt;$F$186+26/25),(MID($B$190,6+(3*COUNT($AH$207:AH291)),3))*1,IF(AND(HOUR(AC292)=HOUR($F$186),DAY(AC292)=DAY($F$186)),(MID($B$190,6,3))*1,""))</f>
        <v/>
      </c>
      <c r="AI292" s="1901" t="str">
        <f t="shared" si="108"/>
        <v/>
      </c>
      <c r="AJ292" s="1164">
        <f t="shared" si="137"/>
        <v>75.415999999999954</v>
      </c>
      <c r="AK292" s="1150">
        <f t="shared" si="138"/>
        <v>76.400000000000006</v>
      </c>
      <c r="AL292" s="1152">
        <f t="shared" si="83"/>
        <v>29.91</v>
      </c>
      <c r="AM292" s="1153">
        <f t="shared" si="139"/>
        <v>29.95</v>
      </c>
      <c r="AN292" s="1147"/>
      <c r="AO292" s="976" t="str">
        <f>IF(BA292="Y",AP292,IF(AND(ISNUMBER(AO291),AC292&lt;$F$186+26/25),(MID(INDEX($A$187:$B$210,MATCH("CIG",$A$187:$A$210,0),2),8+(3*COUNT($AO$207:AO291)),1))*1,IF(AND(HOUR(AC292)=HOUR($F$186),DAY(AC292)=DAY($F$186)),(MID(INDEX($A$187:$B$210,MATCH("CIG",$A$187:$A$210,0),2),8,1))*1,"")))</f>
        <v/>
      </c>
      <c r="AP292" s="1061" t="str">
        <f>IF(AND(ISNUMBER(AP291),AC292&lt;$F$186+26/25),(MID(INDEX($A$187:$B$210,MATCH("CCG",$A$187:$A$210,0),2),8+(3*COUNT($AP$207:AP291)),1))*1,IF(AND(HOUR(AC292)=HOUR($F$186),DAY(AC292)=DAY($F$186)),(MID(INDEX($A$187:$B$210,MATCH("CCG",$A$187:$A$210,0),2),8,1))*1,""))</f>
        <v/>
      </c>
      <c r="AQ292" s="1061" t="str">
        <f>IF(AND(AQ291&lt;&gt;"",AC292&lt;$F$186+26/25),MID(INDEX($A$187:$B$210,MATCH("CLD",$A$187:$A$210,0),2),7+(3*SUM(COUNTIF($AQ$207:AQ291,"OV"),COUNTIF($AQ$207:AQ291,"BK"),COUNTIF($AQ$207:AQ291,"SC"),COUNTIF($AQ$207:AQ291,"FW"),COUNTIF($AQ$207:AQ291,"CL"))),2),IF(AND(HOUR(AC292)=HOUR($F$186),DAY(AC292)=DAY($F$186)),MID(INDEX($A$187:$B$210,MATCH("CLD",$A$187:$A$210,0),2),7,2),""))</f>
        <v/>
      </c>
      <c r="AR292" s="1149" t="str">
        <f t="shared" si="140"/>
        <v/>
      </c>
      <c r="AS292" s="1150" t="str">
        <f t="shared" si="141"/>
        <v/>
      </c>
      <c r="AT292" s="112" t="str">
        <f t="shared" si="142"/>
        <v/>
      </c>
      <c r="AU292" s="1610" t="str">
        <f t="shared" si="143"/>
        <v/>
      </c>
      <c r="AV292" s="1148">
        <f t="shared" si="84"/>
        <v>40</v>
      </c>
      <c r="AW292" s="920" t="str">
        <f t="shared" si="87"/>
        <v>SCT</v>
      </c>
      <c r="AX292" s="1608">
        <f t="shared" si="85"/>
        <v>40</v>
      </c>
      <c r="AY292" s="112" t="str">
        <f>IF(BA292="Y",AZ292,IF(AND(ISNUMBER(AY291),AC292&lt;$F$186+26/25),(MID(INDEX($A$187:$B$210,MATCH("VIS",$A$187:$A$210,0),2),8+(3*COUNT($AY$207:AY291)),1))*1,IF(AND(HOUR(AC292)=HOUR($F$186),DAY(AC292)=DAY($F$186)),(MID(INDEX($A$187:$B$210,MATCH("VIS",$A$187:$A$210,0),2),8,1))*1,"")))</f>
        <v/>
      </c>
      <c r="AZ292" s="112" t="str">
        <f>IF(AND(ISNUMBER(AZ291),AC292&lt;$F$186+26/25),(MID(INDEX($A$187:$B$210,MATCH("CVS",$A$187:$A$210,0),2),8+(3*COUNT($AZ$207:AZ291)),1))*1,IF(AND(HOUR(AC292)=HOUR($F$186),DAY(AC292)=DAY($F$186)),(MID(INDEX($A$187:$B$210,MATCH("CVS",$A$187:$A$210,0),2),8,1))*1,""))</f>
        <v/>
      </c>
      <c r="BA292" s="1610" t="str">
        <f>IF(AND(BA291&lt;&gt;"",AC292&lt;$F$186+26/25),MID(INDEX($A$187:$B$210,MATCH("PCO",$A$187:$A$210,0),2),8+(3*SUM(COUNTIF($BA$207:BA291,"Y"),COUNTIF($BA$207:BA291,"N"))),1),IF(AND(HOUR(AC292)=HOUR($F$186),DAY(AC292)=DAY($F$186)),MID(INDEX($A$187:$B$210,MATCH("PCO",$A$187:$A$210,0),2),8,1),""))</f>
        <v/>
      </c>
      <c r="BB292" s="1610" t="e">
        <f>IF(AND(BB291&lt;&gt;"",AC292&lt;$F$186+26/25),MID(INDEX($A$187:$B$210,MATCH("TYP",$A$187:$A$210,0),2),8+(3*SUM(COUNTIF($BB$207:BB291,"S"),COUNTIF($BB$207:BB291,"Z"), COUNTIF($BB$207:BB291,"R"),COUNTIF($BB$207:BB291,"X"))),1),IF(AND(HOUR(AC292)=HOUR($F$186),DAY(AC292)=DAY($F$186)),MID(INDEX($A$187:$B$210,MATCH("TYP",$A$187:$A$210,0),2),8,1),""))</f>
        <v>#N/A</v>
      </c>
      <c r="BC292" s="112" t="str">
        <f>IF(AND(LEN(BC291)=2,AC292&lt;$F$186+26/25),MID(INDEX($A$187:$B$211,MATCH("OBV",$A$187:$A$211,0),2),7+(3*SUM(COUNTIF($BC$207:BC291," N"),COUNTIF($BC$207:BC291,"HZ"),COUNTIF($BC$207:BC291,"BR"),COUNTIF($BC$207:BC291,"FG"),COUNTIF($BC$207:BC291,"BL"))),2),IF(AND(HOUR(AC292)=HOUR($F$186),DAY(AC292)=DAY($F$186)),MID(INDEX($A$187:$B$211,MATCH("OBV",$A$187:$A$211,0),2),7,2),""))</f>
        <v/>
      </c>
      <c r="BD292" s="112"/>
      <c r="BE292" s="112"/>
      <c r="BF292" s="112"/>
      <c r="BG292" s="1610" t="str">
        <f t="shared" si="124"/>
        <v/>
      </c>
      <c r="BH292" s="115" t="str">
        <f t="shared" si="144"/>
        <v/>
      </c>
      <c r="BI292" s="200" t="str">
        <f t="shared" si="155"/>
        <v/>
      </c>
      <c r="BJ292" s="62" t="str">
        <f t="shared" si="154"/>
        <v/>
      </c>
      <c r="BK292" s="1145" t="str">
        <f t="shared" si="122"/>
        <v/>
      </c>
      <c r="BL292" s="62" t="str">
        <f t="shared" si="156"/>
        <v/>
      </c>
      <c r="BM292" s="1145" t="str">
        <f t="shared" si="150"/>
        <v/>
      </c>
      <c r="BN292" s="1901" t="str">
        <f t="shared" si="123"/>
        <v/>
      </c>
      <c r="BO292" s="1144" t="str">
        <f t="shared" si="157"/>
        <v/>
      </c>
      <c r="BP292" s="106" t="str">
        <f t="shared" si="151"/>
        <v/>
      </c>
      <c r="BQ292" s="66" t="str">
        <f t="shared" si="158"/>
        <v/>
      </c>
      <c r="BR292" s="106" t="str">
        <f t="shared" si="159"/>
        <v/>
      </c>
      <c r="BS292" s="834">
        <f t="shared" si="133"/>
        <v>27</v>
      </c>
      <c r="BT292" s="106" t="str">
        <f t="shared" si="160"/>
        <v/>
      </c>
      <c r="BU292" s="834">
        <f t="shared" si="145"/>
        <v>18</v>
      </c>
      <c r="BV292" s="66" t="str">
        <f t="shared" si="146"/>
        <v/>
      </c>
      <c r="BW292" s="66" t="str">
        <f t="shared" si="147"/>
        <v/>
      </c>
      <c r="BX292" s="1198">
        <f t="shared" si="86"/>
        <v>7</v>
      </c>
      <c r="BY292" s="1146" t="str">
        <f t="shared" si="153"/>
        <v>NSW</v>
      </c>
      <c r="CA292" s="3675">
        <f t="shared" si="148"/>
        <v>44750.583333333328</v>
      </c>
      <c r="CB292" s="3675"/>
    </row>
    <row r="293" spans="1:80" ht="10.5">
      <c r="A293" s="978" t="str">
        <f>Worksheet!Q130</f>
        <v>066000 24887075 00595 139952207 8027262624   ---136</v>
      </c>
      <c r="B293" s="452">
        <f t="shared" si="120"/>
        <v>44750.5</v>
      </c>
      <c r="C293" s="466">
        <f t="shared" si="110"/>
        <v>29.95</v>
      </c>
      <c r="D293" s="454">
        <f t="shared" si="88"/>
        <v>12</v>
      </c>
      <c r="E293" s="476">
        <f t="shared" si="111"/>
        <v>40</v>
      </c>
      <c r="F293" s="460" t="str">
        <f t="shared" si="128"/>
        <v>NONE</v>
      </c>
      <c r="G293" s="460" t="str">
        <f t="shared" si="112"/>
        <v>SCT</v>
      </c>
      <c r="H293" s="460" t="str">
        <f t="shared" si="113"/>
        <v>SCT</v>
      </c>
      <c r="I293" s="460">
        <f t="shared" si="97"/>
        <v>40</v>
      </c>
      <c r="J293" s="461">
        <f t="shared" si="114"/>
        <v>27</v>
      </c>
      <c r="K293" s="462">
        <f t="shared" si="161"/>
        <v>24</v>
      </c>
      <c r="L293" s="462">
        <f t="shared" si="162"/>
        <v>3</v>
      </c>
      <c r="M293" s="462">
        <f t="shared" si="115"/>
        <v>7</v>
      </c>
      <c r="N293" s="462"/>
      <c r="O293" s="462">
        <f t="shared" si="116"/>
        <v>7</v>
      </c>
      <c r="P293" s="462">
        <f t="shared" si="117"/>
        <v>7</v>
      </c>
      <c r="Q293" s="462">
        <f t="shared" si="129"/>
        <v>13.600000000000001</v>
      </c>
      <c r="R293" s="462">
        <f t="shared" si="127"/>
        <v>7</v>
      </c>
      <c r="S293" s="465">
        <f t="shared" si="152"/>
        <v>7</v>
      </c>
      <c r="T293" s="1118" t="str">
        <f t="shared" si="118"/>
        <v>NSW</v>
      </c>
      <c r="U293" s="463">
        <f t="shared" si="163"/>
        <v>220</v>
      </c>
      <c r="V293" s="464">
        <f t="shared" si="164"/>
        <v>9</v>
      </c>
      <c r="W293" s="411">
        <f t="shared" si="165"/>
        <v>44750.5</v>
      </c>
      <c r="X293" s="410"/>
      <c r="Y293" s="458">
        <f t="shared" si="166"/>
        <v>80.599999999999994</v>
      </c>
      <c r="Z293" s="458">
        <f t="shared" si="167"/>
        <v>75.2</v>
      </c>
      <c r="AA293" s="476"/>
      <c r="AB293" s="476"/>
      <c r="AC293" s="977">
        <f t="shared" si="149"/>
        <v>44750.625</v>
      </c>
      <c r="AD293" s="1610" t="str">
        <f>IF(AND(HOUR(AC293)=HOUR(Worksheet!AF$68),DAY(AC293)=DAY(Worksheet!AF$68)),"START","")</f>
        <v/>
      </c>
      <c r="AE293" s="1149" t="str">
        <f>IF(AND(HOUR(AC293)=HOUR($F$186),DAY(AC293)=DAY($F$186)),(MID($B$189,6,3))*1,IF(AND(ISNUMBER(AE292),AC293&lt;$F$186+1+(1/25)),(MID($B$189,6+(3*COUNT($AE$207:AE292)),3))*1,""))</f>
        <v/>
      </c>
      <c r="AF293" s="1164">
        <f t="shared" si="82"/>
        <v>78.241999999999905</v>
      </c>
      <c r="AG293" s="1150">
        <f t="shared" si="136"/>
        <v>87.800000000000011</v>
      </c>
      <c r="AH293" s="1163" t="str">
        <f>IF(AND(ISNUMBER(AH292),AC293&lt;$F$186+26/25),(MID($B$190,6+(3*COUNT($AH$207:AH292)),3))*1,IF(AND(HOUR(AC293)=HOUR($F$186),DAY(AC293)=DAY($F$186)),(MID($B$190,6,3))*1,""))</f>
        <v/>
      </c>
      <c r="AI293" s="1901" t="str">
        <f t="shared" si="108"/>
        <v/>
      </c>
      <c r="AJ293" s="1164">
        <f t="shared" si="137"/>
        <v>75.64999999999992</v>
      </c>
      <c r="AK293" s="1150">
        <f t="shared" si="138"/>
        <v>77</v>
      </c>
      <c r="AL293" s="1152">
        <f t="shared" si="83"/>
        <v>29.93</v>
      </c>
      <c r="AM293" s="1153">
        <f t="shared" si="139"/>
        <v>29.95</v>
      </c>
      <c r="AN293" s="1147"/>
      <c r="AO293" s="976" t="str">
        <f>IF(BA293="Y",AP293,IF(AND(ISNUMBER(AO292),AC293&lt;$F$186+26/25),(MID(INDEX($A$187:$B$210,MATCH("CIG",$A$187:$A$210,0),2),8+(3*COUNT($AO$207:AO292)),1))*1,IF(AND(HOUR(AC293)=HOUR($F$186),DAY(AC293)=DAY($F$186)),(MID(INDEX($A$187:$B$210,MATCH("CIG",$A$187:$A$210,0),2),8,1))*1,"")))</f>
        <v/>
      </c>
      <c r="AP293" s="1061" t="str">
        <f>IF(AND(ISNUMBER(AP292),AC293&lt;$F$186+26/25),(MID(INDEX($A$187:$B$210,MATCH("CCG",$A$187:$A$210,0),2),8+(3*COUNT($AP$207:AP292)),1))*1,IF(AND(HOUR(AC293)=HOUR($F$186),DAY(AC293)=DAY($F$186)),(MID(INDEX($A$187:$B$210,MATCH("CCG",$A$187:$A$210,0),2),8,1))*1,""))</f>
        <v/>
      </c>
      <c r="AQ293" s="1061" t="str">
        <f>IF(AND(AQ292&lt;&gt;"",AC293&lt;$F$186+26/25),MID(INDEX($A$187:$B$210,MATCH("CLD",$A$187:$A$210,0),2),7+(3*SUM(COUNTIF($AQ$207:AQ292,"OV"),COUNTIF($AQ$207:AQ292,"BK"),COUNTIF($AQ$207:AQ292,"SC"),COUNTIF($AQ$207:AQ292,"FW"),COUNTIF($AQ$207:AQ292,"CL"))),2),IF(AND(HOUR(AC293)=HOUR($F$186),DAY(AC293)=DAY($F$186)),MID(INDEX($A$187:$B$210,MATCH("CLD",$A$187:$A$210,0),2),7,2),""))</f>
        <v/>
      </c>
      <c r="AR293" s="1149" t="str">
        <f t="shared" si="140"/>
        <v/>
      </c>
      <c r="AS293" s="1150" t="str">
        <f t="shared" si="141"/>
        <v/>
      </c>
      <c r="AT293" s="112" t="str">
        <f t="shared" si="142"/>
        <v/>
      </c>
      <c r="AU293" s="1610" t="str">
        <f t="shared" si="143"/>
        <v/>
      </c>
      <c r="AV293" s="1148">
        <f t="shared" si="84"/>
        <v>40</v>
      </c>
      <c r="AW293" s="920" t="str">
        <f t="shared" si="87"/>
        <v>SCT</v>
      </c>
      <c r="AX293" s="1608">
        <f t="shared" si="85"/>
        <v>40</v>
      </c>
      <c r="AY293" s="112" t="str">
        <f>IF(BA293="Y",AZ293,IF(AND(ISNUMBER(AY292),AC293&lt;$F$186+26/25),(MID(INDEX($A$187:$B$210,MATCH("VIS",$A$187:$A$210,0),2),8+(3*COUNT($AY$207:AY292)),1))*1,IF(AND(HOUR(AC293)=HOUR($F$186),DAY(AC293)=DAY($F$186)),(MID(INDEX($A$187:$B$210,MATCH("VIS",$A$187:$A$210,0),2),8,1))*1,"")))</f>
        <v/>
      </c>
      <c r="AZ293" s="112" t="str">
        <f>IF(AND(ISNUMBER(AZ292),AC293&lt;$F$186+26/25),(MID(INDEX($A$187:$B$210,MATCH("CVS",$A$187:$A$210,0),2),8+(3*COUNT($AZ$207:AZ292)),1))*1,IF(AND(HOUR(AC293)=HOUR($F$186),DAY(AC293)=DAY($F$186)),(MID(INDEX($A$187:$B$210,MATCH("CVS",$A$187:$A$210,0),2),8,1))*1,""))</f>
        <v/>
      </c>
      <c r="BA293" s="1610" t="str">
        <f>IF(AND(BA292&lt;&gt;"",AC293&lt;$F$186+26/25),MID(INDEX($A$187:$B$210,MATCH("PCO",$A$187:$A$210,0),2),8+(3*SUM(COUNTIF($BA$207:BA292,"Y"),COUNTIF($BA$207:BA292,"N"))),1),IF(AND(HOUR(AC293)=HOUR($F$186),DAY(AC293)=DAY($F$186)),MID(INDEX($A$187:$B$210,MATCH("PCO",$A$187:$A$210,0),2),8,1),""))</f>
        <v/>
      </c>
      <c r="BB293" s="1610" t="e">
        <f>IF(AND(BB292&lt;&gt;"",AC293&lt;$F$186+26/25),MID(INDEX($A$187:$B$210,MATCH("TYP",$A$187:$A$210,0),2),8+(3*SUM(COUNTIF($BB$207:BB292,"S"),COUNTIF($BB$207:BB292,"Z"), COUNTIF($BB$207:BB292,"R"),COUNTIF($BB$207:BB292,"X"))),1),IF(AND(HOUR(AC293)=HOUR($F$186),DAY(AC293)=DAY($F$186)),MID(INDEX($A$187:$B$210,MATCH("TYP",$A$187:$A$210,0),2),8,1),""))</f>
        <v>#N/A</v>
      </c>
      <c r="BC293" s="112" t="str">
        <f>IF(AND(LEN(BC292)=2,AC293&lt;$F$186+26/25),MID(INDEX($A$187:$B$211,MATCH("OBV",$A$187:$A$211,0),2),7+(3*SUM(COUNTIF($BC$207:BC292," N"),COUNTIF($BC$207:BC292,"HZ"),COUNTIF($BC$207:BC292,"BR"),COUNTIF($BC$207:BC292,"FG"),COUNTIF($BC$207:BC292,"BL"))),2),IF(AND(HOUR(AC293)=HOUR($F$186),DAY(AC293)=DAY($F$186)),MID(INDEX($A$187:$B$211,MATCH("OBV",$A$187:$A$211,0),2),7,2),""))</f>
        <v/>
      </c>
      <c r="BD293" s="112"/>
      <c r="BE293" s="112"/>
      <c r="BF293" s="112"/>
      <c r="BG293" s="1610" t="str">
        <f t="shared" si="124"/>
        <v/>
      </c>
      <c r="BH293" s="115" t="str">
        <f t="shared" si="144"/>
        <v/>
      </c>
      <c r="BI293" s="200" t="str">
        <f t="shared" si="155"/>
        <v/>
      </c>
      <c r="BJ293" s="62" t="str">
        <f t="shared" si="154"/>
        <v/>
      </c>
      <c r="BK293" s="1145" t="str">
        <f t="shared" si="122"/>
        <v/>
      </c>
      <c r="BL293" s="62" t="str">
        <f t="shared" si="156"/>
        <v/>
      </c>
      <c r="BM293" s="1145" t="str">
        <f t="shared" si="150"/>
        <v/>
      </c>
      <c r="BN293" s="1901" t="str">
        <f t="shared" si="123"/>
        <v/>
      </c>
      <c r="BO293" s="1144" t="str">
        <f t="shared" si="157"/>
        <v/>
      </c>
      <c r="BP293" s="106" t="str">
        <f t="shared" si="151"/>
        <v/>
      </c>
      <c r="BQ293" s="66" t="str">
        <f t="shared" si="158"/>
        <v/>
      </c>
      <c r="BR293" s="106" t="str">
        <f t="shared" si="159"/>
        <v/>
      </c>
      <c r="BS293" s="834">
        <f t="shared" si="133"/>
        <v>27</v>
      </c>
      <c r="BT293" s="106" t="str">
        <f t="shared" si="160"/>
        <v/>
      </c>
      <c r="BU293" s="834">
        <f t="shared" si="145"/>
        <v>18</v>
      </c>
      <c r="BV293" s="66" t="str">
        <f t="shared" si="146"/>
        <v/>
      </c>
      <c r="BW293" s="66" t="str">
        <f t="shared" si="147"/>
        <v/>
      </c>
      <c r="BX293" s="1198">
        <f t="shared" si="86"/>
        <v>7</v>
      </c>
      <c r="BY293" s="1146" t="str">
        <f t="shared" si="153"/>
        <v>NSW</v>
      </c>
      <c r="CA293" s="3675">
        <f t="shared" si="148"/>
        <v>44750.625</v>
      </c>
      <c r="CB293" s="3675"/>
    </row>
    <row r="294" spans="1:80" ht="10.5">
      <c r="A294" s="978" t="str">
        <f>Worksheet!Q131</f>
        <v>069000 25747866 00193 139952409 8031282525   ---164</v>
      </c>
      <c r="B294" s="452">
        <f t="shared" si="120"/>
        <v>44750.625</v>
      </c>
      <c r="C294" s="466">
        <f t="shared" si="110"/>
        <v>29.95</v>
      </c>
      <c r="D294" s="454">
        <f t="shared" si="88"/>
        <v>15</v>
      </c>
      <c r="E294" s="476">
        <f t="shared" si="111"/>
        <v>40</v>
      </c>
      <c r="F294" s="460" t="str">
        <f t="shared" si="128"/>
        <v>NONE</v>
      </c>
      <c r="G294" s="460" t="str">
        <f t="shared" si="112"/>
        <v>SCT</v>
      </c>
      <c r="H294" s="460" t="str">
        <f t="shared" si="113"/>
        <v>SCT</v>
      </c>
      <c r="I294" s="460">
        <f t="shared" si="97"/>
        <v>40</v>
      </c>
      <c r="J294" s="461">
        <f t="shared" si="114"/>
        <v>31</v>
      </c>
      <c r="K294" s="462">
        <f t="shared" si="161"/>
        <v>25</v>
      </c>
      <c r="L294" s="462">
        <f t="shared" si="162"/>
        <v>6</v>
      </c>
      <c r="M294" s="462">
        <f t="shared" si="115"/>
        <v>7</v>
      </c>
      <c r="N294" s="462"/>
      <c r="O294" s="462">
        <f t="shared" si="116"/>
        <v>7</v>
      </c>
      <c r="P294" s="462">
        <f t="shared" si="117"/>
        <v>7</v>
      </c>
      <c r="Q294" s="462">
        <f t="shared" si="129"/>
        <v>16.400000000000002</v>
      </c>
      <c r="R294" s="462">
        <f t="shared" si="127"/>
        <v>7</v>
      </c>
      <c r="S294" s="465">
        <f t="shared" si="152"/>
        <v>7</v>
      </c>
      <c r="T294" s="1118" t="str">
        <f t="shared" si="118"/>
        <v>NSW</v>
      </c>
      <c r="U294" s="463" t="str">
        <f t="shared" si="163"/>
        <v/>
      </c>
      <c r="V294" s="464" t="str">
        <f t="shared" si="164"/>
        <v/>
      </c>
      <c r="W294" s="411">
        <f t="shared" si="165"/>
        <v>44750.625</v>
      </c>
      <c r="X294" s="410"/>
      <c r="Y294" s="458">
        <f t="shared" si="166"/>
        <v>87.800000000000011</v>
      </c>
      <c r="Z294" s="458">
        <f t="shared" si="167"/>
        <v>77</v>
      </c>
      <c r="AC294" s="977">
        <f t="shared" si="149"/>
        <v>44750.666666666664</v>
      </c>
      <c r="AD294" s="1610" t="str">
        <f>IF(AND(HOUR(AC294)=HOUR(Worksheet!AF$68),DAY(AC294)=DAY(Worksheet!AF$68)),"START","")</f>
        <v/>
      </c>
      <c r="AE294" s="1149" t="str">
        <f>IF(AND(HOUR(AC294)=HOUR($F$186),DAY(AC294)=DAY($F$186)),(MID($B$189,6,3))*1,IF(AND(ISNUMBER(AE293),AC294&lt;$F$186+1+(1/25)),(MID($B$189,6+(3*COUNT($AE$207:AE293)),3))*1,""))</f>
        <v/>
      </c>
      <c r="AF294" s="1164">
        <f t="shared" ref="AF294:AF357" si="168">IF(AC294&lt;($AE$197-0.001),"",IF(MOD(HOUR(AC294),3)=0,(MID($B$219,3+ROUND((9*((AC294-$AE$197)*8)),1),6)*1)*1.8-459.67,IF(MOD(HOUR(AC294),3)=1,(AF296-AF293)/3+AF293,(2*(AF295-AF292)/3)+AF292)))</f>
        <v>78.79999999999994</v>
      </c>
      <c r="AG294" s="1150">
        <f t="shared" si="136"/>
        <v>89.600000000000009</v>
      </c>
      <c r="AH294" s="1163" t="str">
        <f>IF(AND(ISNUMBER(AH293),AC294&lt;$F$186+26/25),(MID($B$190,6+(3*COUNT($AH$207:AH293)),3))*1,IF(AND(HOUR(AC294)=HOUR($F$186),DAY(AC294)=DAY($F$186)),(MID($B$190,6,3))*1,""))</f>
        <v/>
      </c>
      <c r="AI294" s="1901" t="str">
        <f t="shared" si="108"/>
        <v/>
      </c>
      <c r="AJ294" s="1164">
        <f t="shared" si="137"/>
        <v>75.631999999999962</v>
      </c>
      <c r="AK294" s="1150">
        <f t="shared" si="138"/>
        <v>75.8</v>
      </c>
      <c r="AL294" s="1152">
        <f t="shared" si="83"/>
        <v>29.923333333333332</v>
      </c>
      <c r="AM294" s="1153">
        <f t="shared" si="139"/>
        <v>29.936666666666667</v>
      </c>
      <c r="AN294" s="1147"/>
      <c r="AO294" s="976" t="str">
        <f>IF(BA294="Y",AP294,IF(AND(ISNUMBER(AO293),AC294&lt;$F$186+26/25),(MID(INDEX($A$187:$B$210,MATCH("CIG",$A$187:$A$210,0),2),8+(3*COUNT($AO$207:AO293)),1))*1,IF(AND(HOUR(AC294)=HOUR($F$186),DAY(AC294)=DAY($F$186)),(MID(INDEX($A$187:$B$210,MATCH("CIG",$A$187:$A$210,0),2),8,1))*1,"")))</f>
        <v/>
      </c>
      <c r="AP294" s="1061" t="str">
        <f>IF(AND(ISNUMBER(AP293),AC294&lt;$F$186+26/25),(MID(INDEX($A$187:$B$210,MATCH("CCG",$A$187:$A$210,0),2),8+(3*COUNT($AP$207:AP293)),1))*1,IF(AND(HOUR(AC294)=HOUR($F$186),DAY(AC294)=DAY($F$186)),(MID(INDEX($A$187:$B$210,MATCH("CCG",$A$187:$A$210,0),2),8,1))*1,""))</f>
        <v/>
      </c>
      <c r="AQ294" s="1061" t="str">
        <f>IF(AND(AQ293&lt;&gt;"",AC294&lt;$F$186+26/25),MID(INDEX($A$187:$B$210,MATCH("CLD",$A$187:$A$210,0),2),7+(3*SUM(COUNTIF($AQ$207:AQ293,"OV"),COUNTIF($AQ$207:AQ293,"BK"),COUNTIF($AQ$207:AQ293,"SC"),COUNTIF($AQ$207:AQ293,"FW"),COUNTIF($AQ$207:AQ293,"CL"))),2),IF(AND(HOUR(AC294)=HOUR($F$186),DAY(AC294)=DAY($F$186)),MID(INDEX($A$187:$B$210,MATCH("CLD",$A$187:$A$210,0),2),7,2),""))</f>
        <v/>
      </c>
      <c r="AR294" s="1149" t="str">
        <f t="shared" si="140"/>
        <v/>
      </c>
      <c r="AS294" s="1150" t="str">
        <f t="shared" si="141"/>
        <v/>
      </c>
      <c r="AT294" s="112" t="str">
        <f t="shared" si="142"/>
        <v/>
      </c>
      <c r="AU294" s="1610" t="str">
        <f t="shared" si="143"/>
        <v/>
      </c>
      <c r="AV294" s="1148">
        <f t="shared" si="84"/>
        <v>40</v>
      </c>
      <c r="AW294" s="920" t="str">
        <f t="shared" si="87"/>
        <v>SCT</v>
      </c>
      <c r="AX294" s="1608">
        <f t="shared" si="85"/>
        <v>40</v>
      </c>
      <c r="AY294" s="112" t="str">
        <f>IF(BA294="Y",AZ294,IF(AND(ISNUMBER(AY293),AC294&lt;$F$186+26/25),(MID(INDEX($A$187:$B$210,MATCH("VIS",$A$187:$A$210,0),2),8+(3*COUNT($AY$207:AY293)),1))*1,IF(AND(HOUR(AC294)=HOUR($F$186),DAY(AC294)=DAY($F$186)),(MID(INDEX($A$187:$B$210,MATCH("VIS",$A$187:$A$210,0),2),8,1))*1,"")))</f>
        <v/>
      </c>
      <c r="AZ294" s="112" t="str">
        <f>IF(AND(ISNUMBER(AZ293),AC294&lt;$F$186+26/25),(MID(INDEX($A$187:$B$210,MATCH("CVS",$A$187:$A$210,0),2),8+(3*COUNT($AZ$207:AZ293)),1))*1,IF(AND(HOUR(AC294)=HOUR($F$186),DAY(AC294)=DAY($F$186)),(MID(INDEX($A$187:$B$210,MATCH("CVS",$A$187:$A$210,0),2),8,1))*1,""))</f>
        <v/>
      </c>
      <c r="BA294" s="1610" t="str">
        <f>IF(AND(BA293&lt;&gt;"",AC294&lt;$F$186+26/25),MID(INDEX($A$187:$B$210,MATCH("PCO",$A$187:$A$210,0),2),8+(3*SUM(COUNTIF($BA$207:BA293,"Y"),COUNTIF($BA$207:BA293,"N"))),1),IF(AND(HOUR(AC294)=HOUR($F$186),DAY(AC294)=DAY($F$186)),MID(INDEX($A$187:$B$210,MATCH("PCO",$A$187:$A$210,0),2),8,1),""))</f>
        <v/>
      </c>
      <c r="BB294" s="1610" t="e">
        <f>IF(AND(BB293&lt;&gt;"",AC294&lt;$F$186+26/25),MID(INDEX($A$187:$B$210,MATCH("TYP",$A$187:$A$210,0),2),8+(3*SUM(COUNTIF($BB$207:BB293,"S"),COUNTIF($BB$207:BB293,"Z"), COUNTIF($BB$207:BB293,"R"),COUNTIF($BB$207:BB293,"X"))),1),IF(AND(HOUR(AC294)=HOUR($F$186),DAY(AC294)=DAY($F$186)),MID(INDEX($A$187:$B$210,MATCH("TYP",$A$187:$A$210,0),2),8,1),""))</f>
        <v>#N/A</v>
      </c>
      <c r="BC294" s="112" t="str">
        <f>IF(AND(LEN(BC293)=2,AC294&lt;$F$186+26/25),MID(INDEX($A$187:$B$211,MATCH("OBV",$A$187:$A$211,0),2),7+(3*SUM(COUNTIF($BC$207:BC293," N"),COUNTIF($BC$207:BC293,"HZ"),COUNTIF($BC$207:BC293,"BR"),COUNTIF($BC$207:BC293,"FG"),COUNTIF($BC$207:BC293,"BL"))),2),IF(AND(HOUR(AC294)=HOUR($F$186),DAY(AC294)=DAY($F$186)),MID(INDEX($A$187:$B$211,MATCH("OBV",$A$187:$A$211,0),2),7,2),""))</f>
        <v/>
      </c>
      <c r="BD294" s="112"/>
      <c r="BE294" s="112"/>
      <c r="BF294" s="112"/>
      <c r="BG294" s="1610" t="str">
        <f t="shared" si="124"/>
        <v/>
      </c>
      <c r="BH294" s="115" t="str">
        <f t="shared" si="144"/>
        <v/>
      </c>
      <c r="BI294" s="200" t="str">
        <f t="shared" si="155"/>
        <v/>
      </c>
      <c r="BJ294" s="62" t="str">
        <f t="shared" si="154"/>
        <v/>
      </c>
      <c r="BK294" s="1145" t="str">
        <f t="shared" si="122"/>
        <v/>
      </c>
      <c r="BL294" s="62" t="str">
        <f t="shared" si="156"/>
        <v/>
      </c>
      <c r="BM294" s="1145" t="str">
        <f t="shared" si="150"/>
        <v/>
      </c>
      <c r="BN294" s="1901" t="str">
        <f t="shared" si="123"/>
        <v/>
      </c>
      <c r="BO294" s="1144" t="str">
        <f t="shared" si="157"/>
        <v/>
      </c>
      <c r="BP294" s="106" t="str">
        <f t="shared" si="151"/>
        <v/>
      </c>
      <c r="BQ294" s="66" t="str">
        <f t="shared" si="158"/>
        <v/>
      </c>
      <c r="BR294" s="106" t="str">
        <f t="shared" si="159"/>
        <v/>
      </c>
      <c r="BS294" s="834">
        <f t="shared" si="133"/>
        <v>27</v>
      </c>
      <c r="BT294" s="106" t="str">
        <f t="shared" si="160"/>
        <v/>
      </c>
      <c r="BU294" s="834">
        <f t="shared" si="145"/>
        <v>18</v>
      </c>
      <c r="BV294" s="66" t="str">
        <f t="shared" si="146"/>
        <v/>
      </c>
      <c r="BW294" s="66" t="str">
        <f t="shared" si="147"/>
        <v/>
      </c>
      <c r="BX294" s="1198">
        <f t="shared" si="86"/>
        <v>7</v>
      </c>
      <c r="BY294" s="1146" t="str">
        <f t="shared" si="153"/>
        <v>NSW</v>
      </c>
      <c r="CA294" s="3675">
        <f t="shared" si="148"/>
        <v>44750.666666666664</v>
      </c>
      <c r="CB294" s="3675"/>
    </row>
    <row r="295" spans="1:80" ht="10.5">
      <c r="A295" s="978" t="str">
        <f>Worksheet!Q132</f>
        <v>072000 23566776 -0694 129912610 8234322724   ---175</v>
      </c>
      <c r="B295" s="452">
        <f t="shared" si="120"/>
        <v>44750.75</v>
      </c>
      <c r="C295" s="466">
        <f t="shared" si="110"/>
        <v>29.91</v>
      </c>
      <c r="D295" s="454">
        <f t="shared" si="88"/>
        <v>18</v>
      </c>
      <c r="E295" s="476">
        <f t="shared" si="111"/>
        <v>40</v>
      </c>
      <c r="F295" s="460" t="str">
        <f t="shared" si="128"/>
        <v>NONE</v>
      </c>
      <c r="G295" s="460" t="str">
        <f t="shared" si="112"/>
        <v>SCT</v>
      </c>
      <c r="H295" s="460" t="str">
        <f t="shared" si="113"/>
        <v>SCT</v>
      </c>
      <c r="I295" s="460">
        <f t="shared" si="97"/>
        <v>40</v>
      </c>
      <c r="J295" s="461">
        <f t="shared" si="114"/>
        <v>34</v>
      </c>
      <c r="K295" s="462">
        <f t="shared" si="161"/>
        <v>23</v>
      </c>
      <c r="L295" s="462">
        <f t="shared" si="162"/>
        <v>11</v>
      </c>
      <c r="M295" s="462">
        <f t="shared" si="115"/>
        <v>7</v>
      </c>
      <c r="N295" s="462"/>
      <c r="O295" s="462">
        <f t="shared" si="116"/>
        <v>7</v>
      </c>
      <c r="P295" s="462">
        <f t="shared" si="117"/>
        <v>7</v>
      </c>
      <c r="Q295" s="462">
        <f t="shared" si="129"/>
        <v>17.5</v>
      </c>
      <c r="R295" s="462">
        <f t="shared" si="127"/>
        <v>7</v>
      </c>
      <c r="S295" s="465">
        <f t="shared" si="152"/>
        <v>7</v>
      </c>
      <c r="T295" s="1118" t="str">
        <f t="shared" si="118"/>
        <v>NSW</v>
      </c>
      <c r="U295" s="463" t="str">
        <f t="shared" si="163"/>
        <v/>
      </c>
      <c r="V295" s="464" t="str">
        <f t="shared" si="164"/>
        <v/>
      </c>
      <c r="W295" s="411">
        <f t="shared" si="165"/>
        <v>44750.75</v>
      </c>
      <c r="X295" s="410"/>
      <c r="Y295" s="458">
        <f t="shared" si="166"/>
        <v>93.2</v>
      </c>
      <c r="Z295" s="458">
        <f t="shared" si="167"/>
        <v>73.400000000000006</v>
      </c>
      <c r="AC295" s="977">
        <f t="shared" si="149"/>
        <v>44750.708333333328</v>
      </c>
      <c r="AD295" s="1610" t="str">
        <f>IF(AND(HOUR(AC295)=HOUR(Worksheet!AF$68),DAY(AC295)=DAY(Worksheet!AF$68)),"START","")</f>
        <v/>
      </c>
      <c r="AE295" s="1149" t="str">
        <f>IF(AND(HOUR(AC295)=HOUR($F$186),DAY(AC295)=DAY($F$186)),(MID($B$189,6,3))*1,IF(AND(ISNUMBER(AE294),AC295&lt;$F$186+1+(1/25)),(MID($B$189,6+(3*COUNT($AE$207:AE294)),3))*1,""))</f>
        <v/>
      </c>
      <c r="AF295" s="1164">
        <f t="shared" si="168"/>
        <v>79.357999999999961</v>
      </c>
      <c r="AG295" s="1150">
        <f t="shared" si="136"/>
        <v>91.4</v>
      </c>
      <c r="AH295" s="1163" t="str">
        <f>IF(AND(ISNUMBER(AH294),AC295&lt;$F$186+26/25),(MID($B$190,6+(3*COUNT($AH$207:AH294)),3))*1,IF(AND(HOUR(AC295)=HOUR($F$186),DAY(AC295)=DAY($F$186)),(MID($B$190,6,3))*1,""))</f>
        <v/>
      </c>
      <c r="AI295" s="1901" t="str">
        <f t="shared" si="108"/>
        <v/>
      </c>
      <c r="AJ295" s="1164">
        <f t="shared" si="137"/>
        <v>75.614000000000019</v>
      </c>
      <c r="AK295" s="1150">
        <f t="shared" si="138"/>
        <v>74.600000000000009</v>
      </c>
      <c r="AL295" s="1152">
        <f t="shared" si="83"/>
        <v>29.916666666666668</v>
      </c>
      <c r="AM295" s="1153">
        <f t="shared" si="139"/>
        <v>29.923333333333332</v>
      </c>
      <c r="AN295" s="1147"/>
      <c r="AO295" s="976" t="str">
        <f>IF(BA295="Y",AP295,IF(AND(ISNUMBER(AO294),AC295&lt;$F$186+26/25),(MID(INDEX($A$187:$B$210,MATCH("CIG",$A$187:$A$210,0),2),8+(3*COUNT($AO$207:AO294)),1))*1,IF(AND(HOUR(AC295)=HOUR($F$186),DAY(AC295)=DAY($F$186)),(MID(INDEX($A$187:$B$210,MATCH("CIG",$A$187:$A$210,0),2),8,1))*1,"")))</f>
        <v/>
      </c>
      <c r="AP295" s="1061" t="str">
        <f>IF(AND(ISNUMBER(AP294),AC295&lt;$F$186+26/25),(MID(INDEX($A$187:$B$210,MATCH("CCG",$A$187:$A$210,0),2),8+(3*COUNT($AP$207:AP294)),1))*1,IF(AND(HOUR(AC295)=HOUR($F$186),DAY(AC295)=DAY($F$186)),(MID(INDEX($A$187:$B$210,MATCH("CCG",$A$187:$A$210,0),2),8,1))*1,""))</f>
        <v/>
      </c>
      <c r="AQ295" s="1061" t="str">
        <f>IF(AND(AQ294&lt;&gt;"",AC295&lt;$F$186+26/25),MID(INDEX($A$187:$B$210,MATCH("CLD",$A$187:$A$210,0),2),7+(3*SUM(COUNTIF($AQ$207:AQ294,"OV"),COUNTIF($AQ$207:AQ294,"BK"),COUNTIF($AQ$207:AQ294,"SC"),COUNTIF($AQ$207:AQ294,"FW"),COUNTIF($AQ$207:AQ294,"CL"))),2),IF(AND(HOUR(AC295)=HOUR($F$186),DAY(AC295)=DAY($F$186)),MID(INDEX($A$187:$B$210,MATCH("CLD",$A$187:$A$210,0),2),7,2),""))</f>
        <v/>
      </c>
      <c r="AR295" s="1149" t="str">
        <f t="shared" si="140"/>
        <v/>
      </c>
      <c r="AS295" s="1150" t="str">
        <f t="shared" si="141"/>
        <v/>
      </c>
      <c r="AT295" s="112" t="str">
        <f t="shared" si="142"/>
        <v/>
      </c>
      <c r="AU295" s="1610" t="str">
        <f t="shared" si="143"/>
        <v/>
      </c>
      <c r="AV295" s="1148">
        <f t="shared" si="84"/>
        <v>40</v>
      </c>
      <c r="AW295" s="920" t="str">
        <f t="shared" si="87"/>
        <v>SCT</v>
      </c>
      <c r="AX295" s="1608">
        <f t="shared" si="85"/>
        <v>40</v>
      </c>
      <c r="AY295" s="112" t="str">
        <f>IF(BA295="Y",AZ295,IF(AND(ISNUMBER(AY294),AC295&lt;$F$186+26/25),(MID(INDEX($A$187:$B$210,MATCH("VIS",$A$187:$A$210,0),2),8+(3*COUNT($AY$207:AY294)),1))*1,IF(AND(HOUR(AC295)=HOUR($F$186),DAY(AC295)=DAY($F$186)),(MID(INDEX($A$187:$B$210,MATCH("VIS",$A$187:$A$210,0),2),8,1))*1,"")))</f>
        <v/>
      </c>
      <c r="AZ295" s="112" t="str">
        <f>IF(AND(ISNUMBER(AZ294),AC295&lt;$F$186+26/25),(MID(INDEX($A$187:$B$210,MATCH("CVS",$A$187:$A$210,0),2),8+(3*COUNT($AZ$207:AZ294)),1))*1,IF(AND(HOUR(AC295)=HOUR($F$186),DAY(AC295)=DAY($F$186)),(MID(INDEX($A$187:$B$210,MATCH("CVS",$A$187:$A$210,0),2),8,1))*1,""))</f>
        <v/>
      </c>
      <c r="BA295" s="1610" t="str">
        <f>IF(AND(BA294&lt;&gt;"",AC295&lt;$F$186+26/25),MID(INDEX($A$187:$B$210,MATCH("PCO",$A$187:$A$210,0),2),8+(3*SUM(COUNTIF($BA$207:BA294,"Y"),COUNTIF($BA$207:BA294,"N"))),1),IF(AND(HOUR(AC295)=HOUR($F$186),DAY(AC295)=DAY($F$186)),MID(INDEX($A$187:$B$210,MATCH("PCO",$A$187:$A$210,0),2),8,1),""))</f>
        <v/>
      </c>
      <c r="BB295" s="1610" t="e">
        <f>IF(AND(BB294&lt;&gt;"",AC295&lt;$F$186+26/25),MID(INDEX($A$187:$B$210,MATCH("TYP",$A$187:$A$210,0),2),8+(3*SUM(COUNTIF($BB$207:BB294,"S"),COUNTIF($BB$207:BB294,"Z"), COUNTIF($BB$207:BB294,"R"),COUNTIF($BB$207:BB294,"X"))),1),IF(AND(HOUR(AC295)=HOUR($F$186),DAY(AC295)=DAY($F$186)),MID(INDEX($A$187:$B$210,MATCH("TYP",$A$187:$A$210,0),2),8,1),""))</f>
        <v>#N/A</v>
      </c>
      <c r="BC295" s="112" t="str">
        <f>IF(AND(LEN(BC294)=2,AC295&lt;$F$186+26/25),MID(INDEX($A$187:$B$211,MATCH("OBV",$A$187:$A$211,0),2),7+(3*SUM(COUNTIF($BC$207:BC294," N"),COUNTIF($BC$207:BC294,"HZ"),COUNTIF($BC$207:BC294,"BR"),COUNTIF($BC$207:BC294,"FG"),COUNTIF($BC$207:BC294,"BL"))),2),IF(AND(HOUR(AC295)=HOUR($F$186),DAY(AC295)=DAY($F$186)),MID(INDEX($A$187:$B$211,MATCH("OBV",$A$187:$A$211,0),2),7,2),""))</f>
        <v/>
      </c>
      <c r="BD295" s="112"/>
      <c r="BE295" s="112"/>
      <c r="BF295" s="112"/>
      <c r="BG295" s="1610" t="str">
        <f t="shared" si="124"/>
        <v/>
      </c>
      <c r="BH295" s="115" t="str">
        <f t="shared" si="144"/>
        <v/>
      </c>
      <c r="BI295" s="200" t="str">
        <f t="shared" si="155"/>
        <v/>
      </c>
      <c r="BJ295" s="62" t="str">
        <f t="shared" si="154"/>
        <v/>
      </c>
      <c r="BK295" s="1145" t="str">
        <f t="shared" si="122"/>
        <v/>
      </c>
      <c r="BL295" s="62" t="str">
        <f t="shared" si="156"/>
        <v/>
      </c>
      <c r="BM295" s="1145" t="str">
        <f t="shared" si="150"/>
        <v/>
      </c>
      <c r="BN295" s="1901" t="str">
        <f t="shared" si="123"/>
        <v/>
      </c>
      <c r="BO295" s="1144" t="str">
        <f t="shared" si="157"/>
        <v/>
      </c>
      <c r="BP295" s="106" t="str">
        <f t="shared" si="151"/>
        <v/>
      </c>
      <c r="BQ295" s="66" t="str">
        <f t="shared" si="158"/>
        <v/>
      </c>
      <c r="BR295" s="106" t="str">
        <f t="shared" si="159"/>
        <v/>
      </c>
      <c r="BS295" s="834">
        <f t="shared" si="133"/>
        <v>27</v>
      </c>
      <c r="BT295" s="106" t="str">
        <f t="shared" si="160"/>
        <v/>
      </c>
      <c r="BU295" s="834">
        <f t="shared" si="145"/>
        <v>18</v>
      </c>
      <c r="BV295" s="66" t="str">
        <f t="shared" si="146"/>
        <v/>
      </c>
      <c r="BW295" s="66" t="str">
        <f t="shared" si="147"/>
        <v/>
      </c>
      <c r="BX295" s="1198">
        <f t="shared" si="86"/>
        <v>7</v>
      </c>
      <c r="BY295" s="1146" t="str">
        <f t="shared" si="153"/>
        <v>NSW</v>
      </c>
      <c r="CA295" s="3675">
        <f t="shared" si="148"/>
        <v>44750.708333333328</v>
      </c>
      <c r="CB295" s="3675"/>
    </row>
    <row r="296" spans="1:80" ht="10.5">
      <c r="A296" s="978" t="str">
        <f>Worksheet!Q133</f>
        <v>075004 21455562 06795 119892708 8335332926 X ---178</v>
      </c>
      <c r="B296" s="452">
        <f t="shared" si="120"/>
        <v>44750.875</v>
      </c>
      <c r="C296" s="466">
        <f t="shared" si="110"/>
        <v>29.89</v>
      </c>
      <c r="D296" s="454">
        <f t="shared" si="88"/>
        <v>21</v>
      </c>
      <c r="E296" s="476">
        <f t="shared" si="111"/>
        <v>40</v>
      </c>
      <c r="F296" s="460" t="str">
        <f t="shared" si="128"/>
        <v>NONE</v>
      </c>
      <c r="G296" s="460" t="str">
        <f t="shared" si="112"/>
        <v>SCT</v>
      </c>
      <c r="H296" s="460" t="str">
        <f t="shared" si="113"/>
        <v>SCT</v>
      </c>
      <c r="I296" s="460">
        <f t="shared" si="97"/>
        <v>40</v>
      </c>
      <c r="J296" s="461">
        <f t="shared" si="114"/>
        <v>35</v>
      </c>
      <c r="K296" s="462">
        <f t="shared" si="161"/>
        <v>21</v>
      </c>
      <c r="L296" s="462">
        <f t="shared" si="162"/>
        <v>14</v>
      </c>
      <c r="M296" s="462">
        <f t="shared" si="115"/>
        <v>7</v>
      </c>
      <c r="N296" s="462"/>
      <c r="O296" s="462">
        <f t="shared" si="116"/>
        <v>7</v>
      </c>
      <c r="P296" s="462">
        <f t="shared" si="117"/>
        <v>7</v>
      </c>
      <c r="Q296" s="462">
        <f t="shared" si="129"/>
        <v>17.8</v>
      </c>
      <c r="R296" s="462">
        <f t="shared" si="127"/>
        <v>4.45</v>
      </c>
      <c r="S296" s="465">
        <f t="shared" si="152"/>
        <v>4.45</v>
      </c>
      <c r="T296" s="1118" t="str">
        <f t="shared" si="118"/>
        <v>TS</v>
      </c>
      <c r="U296" s="463">
        <f t="shared" si="163"/>
        <v>270</v>
      </c>
      <c r="V296" s="464">
        <f t="shared" si="164"/>
        <v>10</v>
      </c>
      <c r="W296" s="411">
        <f t="shared" si="165"/>
        <v>44750.875</v>
      </c>
      <c r="X296" s="410"/>
      <c r="Y296" s="458">
        <f t="shared" si="166"/>
        <v>95</v>
      </c>
      <c r="Z296" s="458">
        <f t="shared" si="167"/>
        <v>69.800000000000011</v>
      </c>
      <c r="AC296" s="977">
        <f t="shared" si="149"/>
        <v>44750.75</v>
      </c>
      <c r="AD296" s="1610" t="str">
        <f>IF(AND(HOUR(AC296)=HOUR(Worksheet!AF$68),DAY(AC296)=DAY(Worksheet!AF$68)),"START","")</f>
        <v/>
      </c>
      <c r="AE296" s="1149" t="str">
        <f>IF(AND(HOUR(AC296)=HOUR($F$186),DAY(AC296)=DAY($F$186)),(MID($B$189,6,3))*1,IF(AND(ISNUMBER(AE295),AC296&lt;$F$186+1+(1/25)),(MID($B$189,6+(3*COUNT($AE$207:AE295)),3))*1,""))</f>
        <v/>
      </c>
      <c r="AF296" s="1164">
        <f t="shared" si="168"/>
        <v>79.915999999999997</v>
      </c>
      <c r="AG296" s="1150">
        <f t="shared" si="136"/>
        <v>93.2</v>
      </c>
      <c r="AH296" s="1163" t="str">
        <f>IF(AND(ISNUMBER(AH295),AC296&lt;$F$186+26/25),(MID($B$190,6+(3*COUNT($AH$207:AH295)),3))*1,IF(AND(HOUR(AC296)=HOUR($F$186),DAY(AC296)=DAY($F$186)),(MID($B$190,6,3))*1,""))</f>
        <v/>
      </c>
      <c r="AI296" s="1901" t="str">
        <f t="shared" si="108"/>
        <v/>
      </c>
      <c r="AJ296" s="1164">
        <f t="shared" si="137"/>
        <v>75.59600000000006</v>
      </c>
      <c r="AK296" s="1150">
        <f t="shared" si="138"/>
        <v>73.400000000000006</v>
      </c>
      <c r="AL296" s="1152">
        <f t="shared" si="83"/>
        <v>29.91</v>
      </c>
      <c r="AM296" s="1153">
        <f t="shared" si="139"/>
        <v>29.91</v>
      </c>
      <c r="AN296" s="1147"/>
      <c r="AO296" s="976" t="str">
        <f>IF(BA296="Y",AP296,IF(AND(ISNUMBER(AO295),AC296&lt;$F$186+26/25),(MID(INDEX($A$187:$B$210,MATCH("CIG",$A$187:$A$210,0),2),8+(3*COUNT($AO$207:AO295)),1))*1,IF(AND(HOUR(AC296)=HOUR($F$186),DAY(AC296)=DAY($F$186)),(MID(INDEX($A$187:$B$210,MATCH("CIG",$A$187:$A$210,0),2),8,1))*1,"")))</f>
        <v/>
      </c>
      <c r="AP296" s="1061" t="str">
        <f>IF(AND(ISNUMBER(AP295),AC296&lt;$F$186+26/25),(MID(INDEX($A$187:$B$210,MATCH("CCG",$A$187:$A$210,0),2),8+(3*COUNT($AP$207:AP295)),1))*1,IF(AND(HOUR(AC296)=HOUR($F$186),DAY(AC296)=DAY($F$186)),(MID(INDEX($A$187:$B$210,MATCH("CCG",$A$187:$A$210,0),2),8,1))*1,""))</f>
        <v/>
      </c>
      <c r="AQ296" s="1061" t="str">
        <f>IF(AND(AQ295&lt;&gt;"",AC296&lt;$F$186+26/25),MID(INDEX($A$187:$B$210,MATCH("CLD",$A$187:$A$210,0),2),7+(3*SUM(COUNTIF($AQ$207:AQ295,"OV"),COUNTIF($AQ$207:AQ295,"BK"),COUNTIF($AQ$207:AQ295,"SC"),COUNTIF($AQ$207:AQ295,"FW"),COUNTIF($AQ$207:AQ295,"CL"))),2),IF(AND(HOUR(AC296)=HOUR($F$186),DAY(AC296)=DAY($F$186)),MID(INDEX($A$187:$B$210,MATCH("CLD",$A$187:$A$210,0),2),7,2),""))</f>
        <v/>
      </c>
      <c r="AR296" s="1149" t="str">
        <f t="shared" si="140"/>
        <v/>
      </c>
      <c r="AS296" s="1150" t="str">
        <f t="shared" si="141"/>
        <v/>
      </c>
      <c r="AT296" s="112">
        <f t="shared" si="142"/>
        <v>6</v>
      </c>
      <c r="AU296" s="1610" t="str">
        <f t="shared" si="143"/>
        <v>BK</v>
      </c>
      <c r="AV296" s="1148">
        <f t="shared" si="84"/>
        <v>40</v>
      </c>
      <c r="AW296" s="920" t="str">
        <f t="shared" si="87"/>
        <v>SCT</v>
      </c>
      <c r="AX296" s="1608">
        <f t="shared" si="85"/>
        <v>40</v>
      </c>
      <c r="AY296" s="112" t="str">
        <f>IF(BA296="Y",AZ296,IF(AND(ISNUMBER(AY295),AC296&lt;$F$186+26/25),(MID(INDEX($A$187:$B$210,MATCH("VIS",$A$187:$A$210,0),2),8+(3*COUNT($AY$207:AY295)),1))*1,IF(AND(HOUR(AC296)=HOUR($F$186),DAY(AC296)=DAY($F$186)),(MID(INDEX($A$187:$B$210,MATCH("VIS",$A$187:$A$210,0),2),8,1))*1,"")))</f>
        <v/>
      </c>
      <c r="AZ296" s="112" t="str">
        <f>IF(AND(ISNUMBER(AZ295),AC296&lt;$F$186+26/25),(MID(INDEX($A$187:$B$210,MATCH("CVS",$A$187:$A$210,0),2),8+(3*COUNT($AZ$207:AZ295)),1))*1,IF(AND(HOUR(AC296)=HOUR($F$186),DAY(AC296)=DAY($F$186)),(MID(INDEX($A$187:$B$210,MATCH("CVS",$A$187:$A$210,0),2),8,1))*1,""))</f>
        <v/>
      </c>
      <c r="BA296" s="1610" t="str">
        <f>IF(AND(BA295&lt;&gt;"",AC296&lt;$F$186+26/25),MID(INDEX($A$187:$B$210,MATCH("PCO",$A$187:$A$210,0),2),8+(3*SUM(COUNTIF($BA$207:BA295,"Y"),COUNTIF($BA$207:BA295,"N"))),1),IF(AND(HOUR(AC296)=HOUR($F$186),DAY(AC296)=DAY($F$186)),MID(INDEX($A$187:$B$210,MATCH("PCO",$A$187:$A$210,0),2),8,1),""))</f>
        <v/>
      </c>
      <c r="BB296" s="1610" t="e">
        <f>IF(AND(BB295&lt;&gt;"",AC296&lt;$F$186+26/25),MID(INDEX($A$187:$B$210,MATCH("TYP",$A$187:$A$210,0),2),8+(3*SUM(COUNTIF($BB$207:BB295,"S"),COUNTIF($BB$207:BB295,"Z"), COUNTIF($BB$207:BB295,"R"),COUNTIF($BB$207:BB295,"X"))),1),IF(AND(HOUR(AC296)=HOUR($F$186),DAY(AC296)=DAY($F$186)),MID(INDEX($A$187:$B$210,MATCH("TYP",$A$187:$A$210,0),2),8,1),""))</f>
        <v>#N/A</v>
      </c>
      <c r="BC296" s="112" t="str">
        <f>IF(AND(LEN(BC295)=2,AC296&lt;$F$186+26/25),MID(INDEX($A$187:$B$211,MATCH("OBV",$A$187:$A$211,0),2),7+(3*SUM(COUNTIF($BC$207:BC295," N"),COUNTIF($BC$207:BC295,"HZ"),COUNTIF($BC$207:BC295,"BR"),COUNTIF($BC$207:BC295,"FG"),COUNTIF($BC$207:BC295,"BL"))),2),IF(AND(HOUR(AC296)=HOUR($F$186),DAY(AC296)=DAY($F$186)),MID(INDEX($A$187:$B$211,MATCH("OBV",$A$187:$A$211,0),2),7,2),""))</f>
        <v/>
      </c>
      <c r="BD296" s="112"/>
      <c r="BE296" s="112"/>
      <c r="BF296" s="112"/>
      <c r="BG296" s="1610" t="str">
        <f t="shared" si="124"/>
        <v/>
      </c>
      <c r="BH296" s="115" t="str">
        <f t="shared" si="144"/>
        <v/>
      </c>
      <c r="BI296" s="200" t="str">
        <f t="shared" si="155"/>
        <v/>
      </c>
      <c r="BJ296" s="62" t="str">
        <f t="shared" si="154"/>
        <v/>
      </c>
      <c r="BK296" s="1145" t="str">
        <f t="shared" si="122"/>
        <v/>
      </c>
      <c r="BL296" s="62" t="str">
        <f t="shared" si="156"/>
        <v/>
      </c>
      <c r="BM296" s="1145" t="str">
        <f t="shared" si="150"/>
        <v/>
      </c>
      <c r="BN296" s="1901" t="str">
        <f t="shared" si="123"/>
        <v/>
      </c>
      <c r="BO296" s="1144" t="str">
        <f t="shared" si="157"/>
        <v/>
      </c>
      <c r="BP296" s="106">
        <f t="shared" si="151"/>
        <v>7</v>
      </c>
      <c r="BQ296" s="66" t="str">
        <f t="shared" si="158"/>
        <v/>
      </c>
      <c r="BR296" s="106">
        <f t="shared" si="159"/>
        <v>27</v>
      </c>
      <c r="BS296" s="834">
        <f t="shared" si="133"/>
        <v>27</v>
      </c>
      <c r="BT296" s="106">
        <f t="shared" si="160"/>
        <v>18</v>
      </c>
      <c r="BU296" s="834">
        <f t="shared" si="145"/>
        <v>18</v>
      </c>
      <c r="BV296" s="66" t="str">
        <f t="shared" si="146"/>
        <v xml:space="preserve"> N</v>
      </c>
      <c r="BW296" s="66" t="e">
        <f t="shared" si="147"/>
        <v>#N/A</v>
      </c>
      <c r="BX296" s="1198">
        <f t="shared" si="86"/>
        <v>7</v>
      </c>
      <c r="BY296" s="1146" t="str">
        <f t="shared" si="153"/>
        <v>NSW</v>
      </c>
      <c r="CA296" s="3675">
        <f t="shared" si="148"/>
        <v>44750.75</v>
      </c>
      <c r="CB296" s="3675"/>
    </row>
    <row r="297" spans="1:80" ht="10.5">
      <c r="A297" s="978" t="str">
        <f>Worksheet!Q134</f>
        <v>078002 23535461 03291 129902604 8232332926   ---165</v>
      </c>
      <c r="B297" s="452">
        <f t="shared" si="120"/>
        <v>44751</v>
      </c>
      <c r="C297" s="466">
        <f t="shared" si="110"/>
        <v>29.9</v>
      </c>
      <c r="D297" s="454">
        <f t="shared" si="88"/>
        <v>0</v>
      </c>
      <c r="E297" s="476">
        <f t="shared" si="111"/>
        <v>40</v>
      </c>
      <c r="F297" s="460" t="str">
        <f t="shared" si="128"/>
        <v>NONE</v>
      </c>
      <c r="G297" s="460" t="str">
        <f t="shared" si="112"/>
        <v>SCT</v>
      </c>
      <c r="H297" s="460" t="str">
        <f t="shared" si="113"/>
        <v>SCT</v>
      </c>
      <c r="I297" s="460">
        <f t="shared" si="97"/>
        <v>40</v>
      </c>
      <c r="J297" s="461">
        <f t="shared" si="114"/>
        <v>32</v>
      </c>
      <c r="K297" s="462">
        <f t="shared" si="161"/>
        <v>23</v>
      </c>
      <c r="L297" s="462">
        <f t="shared" si="162"/>
        <v>9</v>
      </c>
      <c r="M297" s="462">
        <f t="shared" si="115"/>
        <v>7</v>
      </c>
      <c r="N297" s="462"/>
      <c r="O297" s="462">
        <f t="shared" si="116"/>
        <v>7</v>
      </c>
      <c r="P297" s="462">
        <f t="shared" si="117"/>
        <v>7</v>
      </c>
      <c r="Q297" s="462">
        <f t="shared" si="129"/>
        <v>16.5</v>
      </c>
      <c r="R297" s="462">
        <f t="shared" si="127"/>
        <v>7</v>
      </c>
      <c r="S297" s="465">
        <f t="shared" si="152"/>
        <v>7</v>
      </c>
      <c r="T297" s="1118" t="str">
        <f t="shared" si="118"/>
        <v>NSW</v>
      </c>
      <c r="U297" s="463" t="str">
        <f t="shared" si="163"/>
        <v/>
      </c>
      <c r="V297" s="464" t="str">
        <f t="shared" si="164"/>
        <v/>
      </c>
      <c r="W297" s="411">
        <f t="shared" si="165"/>
        <v>44751</v>
      </c>
      <c r="X297" s="410"/>
      <c r="Y297" s="458">
        <f t="shared" si="166"/>
        <v>89.6</v>
      </c>
      <c r="Z297" s="458">
        <f t="shared" si="167"/>
        <v>73.400000000000006</v>
      </c>
      <c r="AC297" s="977">
        <f t="shared" si="149"/>
        <v>44750.791666666664</v>
      </c>
      <c r="AD297" s="1610" t="str">
        <f>IF(AND(HOUR(AC297)=HOUR(Worksheet!AF$68),DAY(AC297)=DAY(Worksheet!AF$68)),"START","")</f>
        <v/>
      </c>
      <c r="AE297" s="1149" t="str">
        <f>IF(AND(HOUR(AC297)=HOUR($F$186),DAY(AC297)=DAY($F$186)),(MID($B$189,6,3))*1,IF(AND(ISNUMBER(AE296),AC297&lt;$F$186+1+(1/25)),(MID($B$189,6+(3*COUNT($AE$207:AE296)),3))*1,""))</f>
        <v/>
      </c>
      <c r="AF297" s="1164">
        <f t="shared" si="168"/>
        <v>81.182000000000002</v>
      </c>
      <c r="AG297" s="1150">
        <f t="shared" si="136"/>
        <v>93.8</v>
      </c>
      <c r="AH297" s="1163" t="str">
        <f>IF(AND(ISNUMBER(AH296),AC297&lt;$F$186+26/25),(MID($B$190,6+(3*COUNT($AH$207:AH296)),3))*1,IF(AND(HOUR(AC297)=HOUR($F$186),DAY(AC297)=DAY($F$186)),(MID($B$190,6,3))*1,""))</f>
        <v/>
      </c>
      <c r="AI297" s="1901" t="str">
        <f t="shared" si="108"/>
        <v/>
      </c>
      <c r="AJ297" s="1164">
        <f t="shared" si="137"/>
        <v>75.590000000000046</v>
      </c>
      <c r="AK297" s="1150">
        <f t="shared" si="138"/>
        <v>72.2</v>
      </c>
      <c r="AL297" s="1152">
        <f t="shared" ref="AL297:AL360" si="169">IF(AC297&lt;($AE$197-0.001),"",IF(MOD(HOUR(AC297),3)=0,MID($B$218,4+ROUND((9*((AC297-$AE$197)*8)),1),5)*1,IF(MOD(HOUR(AC297),3)=1,(AL299-AL296)/3+AL296,(2*(AL298-AL295)/3)+AL295)))</f>
        <v>29.913333333333334</v>
      </c>
      <c r="AM297" s="1153">
        <f t="shared" si="139"/>
        <v>29.903333333333332</v>
      </c>
      <c r="AN297" s="1147"/>
      <c r="AO297" s="976" t="str">
        <f>IF(BA297="Y",AP297,IF(AND(ISNUMBER(AO296),AC297&lt;$F$186+26/25),(MID(INDEX($A$187:$B$210,MATCH("CIG",$A$187:$A$210,0),2),8+(3*COUNT($AO$207:AO296)),1))*1,IF(AND(HOUR(AC297)=HOUR($F$186),DAY(AC297)=DAY($F$186)),(MID(INDEX($A$187:$B$210,MATCH("CIG",$A$187:$A$210,0),2),8,1))*1,"")))</f>
        <v/>
      </c>
      <c r="AP297" s="1061" t="str">
        <f>IF(AND(ISNUMBER(AP296),AC297&lt;$F$186+26/25),(MID(INDEX($A$187:$B$210,MATCH("CCG",$A$187:$A$210,0),2),8+(3*COUNT($AP$207:AP296)),1))*1,IF(AND(HOUR(AC297)=HOUR($F$186),DAY(AC297)=DAY($F$186)),(MID(INDEX($A$187:$B$210,MATCH("CCG",$A$187:$A$210,0),2),8,1))*1,""))</f>
        <v/>
      </c>
      <c r="AQ297" s="1061" t="str">
        <f>IF(AND(AQ296&lt;&gt;"",AC297&lt;$F$186+26/25),MID(INDEX($A$187:$B$210,MATCH("CLD",$A$187:$A$210,0),2),7+(3*SUM(COUNTIF($AQ$207:AQ296,"OV"),COUNTIF($AQ$207:AQ296,"BK"),COUNTIF($AQ$207:AQ296,"SC"),COUNTIF($AQ$207:AQ296,"FW"),COUNTIF($AQ$207:AQ296,"CL"))),2),IF(AND(HOUR(AC297)=HOUR($F$186),DAY(AC297)=DAY($F$186)),MID(INDEX($A$187:$B$210,MATCH("CLD",$A$187:$A$210,0),2),7,2),""))</f>
        <v/>
      </c>
      <c r="AR297" s="1149" t="str">
        <f t="shared" si="140"/>
        <v/>
      </c>
      <c r="AS297" s="1150" t="str">
        <f t="shared" si="141"/>
        <v/>
      </c>
      <c r="AT297" s="112" t="str">
        <f t="shared" si="142"/>
        <v/>
      </c>
      <c r="AU297" s="1610" t="str">
        <f t="shared" si="143"/>
        <v/>
      </c>
      <c r="AV297" s="1148">
        <f t="shared" si="84"/>
        <v>40</v>
      </c>
      <c r="AW297" s="920" t="str">
        <f t="shared" si="87"/>
        <v>SCT</v>
      </c>
      <c r="AX297" s="1608">
        <f t="shared" si="85"/>
        <v>40</v>
      </c>
      <c r="AY297" s="112" t="str">
        <f>IF(BA297="Y",AZ297,IF(AND(ISNUMBER(AY296),AC297&lt;$F$186+26/25),(MID(INDEX($A$187:$B$210,MATCH("VIS",$A$187:$A$210,0),2),8+(3*COUNT($AY$207:AY296)),1))*1,IF(AND(HOUR(AC297)=HOUR($F$186),DAY(AC297)=DAY($F$186)),(MID(INDEX($A$187:$B$210,MATCH("VIS",$A$187:$A$210,0),2),8,1))*1,"")))</f>
        <v/>
      </c>
      <c r="AZ297" s="112" t="str">
        <f>IF(AND(ISNUMBER(AZ296),AC297&lt;$F$186+26/25),(MID(INDEX($A$187:$B$210,MATCH("CVS",$A$187:$A$210,0),2),8+(3*COUNT($AZ$207:AZ296)),1))*1,IF(AND(HOUR(AC297)=HOUR($F$186),DAY(AC297)=DAY($F$186)),(MID(INDEX($A$187:$B$210,MATCH("CVS",$A$187:$A$210,0),2),8,1))*1,""))</f>
        <v/>
      </c>
      <c r="BA297" s="1610" t="str">
        <f>IF(AND(BA296&lt;&gt;"",AC297&lt;$F$186+26/25),MID(INDEX($A$187:$B$210,MATCH("PCO",$A$187:$A$210,0),2),8+(3*SUM(COUNTIF($BA$207:BA296,"Y"),COUNTIF($BA$207:BA296,"N"))),1),IF(AND(HOUR(AC297)=HOUR($F$186),DAY(AC297)=DAY($F$186)),MID(INDEX($A$187:$B$210,MATCH("PCO",$A$187:$A$210,0),2),8,1),""))</f>
        <v/>
      </c>
      <c r="BB297" s="1610" t="e">
        <f>IF(AND(BB296&lt;&gt;"",AC297&lt;$F$186+26/25),MID(INDEX($A$187:$B$210,MATCH("TYP",$A$187:$A$210,0),2),8+(3*SUM(COUNTIF($BB$207:BB296,"S"),COUNTIF($BB$207:BB296,"Z"), COUNTIF($BB$207:BB296,"R"),COUNTIF($BB$207:BB296,"X"))),1),IF(AND(HOUR(AC297)=HOUR($F$186),DAY(AC297)=DAY($F$186)),MID(INDEX($A$187:$B$210,MATCH("TYP",$A$187:$A$210,0),2),8,1),""))</f>
        <v>#N/A</v>
      </c>
      <c r="BC297" s="112" t="str">
        <f>IF(AND(LEN(BC296)=2,AC297&lt;$F$186+26/25),MID(INDEX($A$187:$B$211,MATCH("OBV",$A$187:$A$211,0),2),7+(3*SUM(COUNTIF($BC$207:BC296," N"),COUNTIF($BC$207:BC296,"HZ"),COUNTIF($BC$207:BC296,"BR"),COUNTIF($BC$207:BC296,"FG"),COUNTIF($BC$207:BC296,"BL"))),2),IF(AND(HOUR(AC297)=HOUR($F$186),DAY(AC297)=DAY($F$186)),MID(INDEX($A$187:$B$211,MATCH("OBV",$A$187:$A$211,0),2),7,2),""))</f>
        <v/>
      </c>
      <c r="BD297" s="112"/>
      <c r="BE297" s="112"/>
      <c r="BF297" s="112"/>
      <c r="BG297" s="1610" t="str">
        <f t="shared" si="124"/>
        <v/>
      </c>
      <c r="BH297" s="115" t="str">
        <f t="shared" si="144"/>
        <v/>
      </c>
      <c r="BI297" s="200" t="str">
        <f t="shared" si="155"/>
        <v/>
      </c>
      <c r="BJ297" s="62" t="str">
        <f t="shared" si="154"/>
        <v/>
      </c>
      <c r="BK297" s="1145" t="str">
        <f t="shared" si="122"/>
        <v/>
      </c>
      <c r="BL297" s="62" t="str">
        <f t="shared" si="156"/>
        <v/>
      </c>
      <c r="BM297" s="1145" t="str">
        <f t="shared" si="150"/>
        <v/>
      </c>
      <c r="BN297" s="1901" t="str">
        <f t="shared" si="123"/>
        <v/>
      </c>
      <c r="BO297" s="1144" t="str">
        <f t="shared" si="157"/>
        <v/>
      </c>
      <c r="BP297" s="106" t="str">
        <f t="shared" si="151"/>
        <v/>
      </c>
      <c r="BQ297" s="66" t="str">
        <f t="shared" si="158"/>
        <v/>
      </c>
      <c r="BR297" s="106" t="str">
        <f t="shared" si="159"/>
        <v/>
      </c>
      <c r="BS297" s="834" t="str">
        <f t="shared" si="133"/>
        <v/>
      </c>
      <c r="BT297" s="106" t="str">
        <f t="shared" si="160"/>
        <v/>
      </c>
      <c r="BU297" s="834" t="str">
        <f t="shared" si="145"/>
        <v/>
      </c>
      <c r="BV297" s="66" t="str">
        <f t="shared" si="146"/>
        <v/>
      </c>
      <c r="BW297" s="66" t="str">
        <f t="shared" si="147"/>
        <v/>
      </c>
      <c r="BX297" s="1198">
        <f t="shared" si="86"/>
        <v>6</v>
      </c>
      <c r="BY297" s="1146" t="str">
        <f t="shared" si="153"/>
        <v>TS</v>
      </c>
      <c r="CA297" s="3675">
        <f t="shared" si="148"/>
        <v>44750.791666666664</v>
      </c>
      <c r="CB297" s="3675"/>
    </row>
    <row r="298" spans="1:80" ht="10.5">
      <c r="A298" s="978" t="str">
        <f>Worksheet!Q135</f>
        <v>081000 24717070 04192 139943305 8128292725   ---149</v>
      </c>
      <c r="B298" s="452">
        <f t="shared" si="120"/>
        <v>44751.125</v>
      </c>
      <c r="C298" s="466">
        <f t="shared" si="110"/>
        <v>29.94</v>
      </c>
      <c r="D298" s="454">
        <f t="shared" si="88"/>
        <v>3</v>
      </c>
      <c r="E298" s="476">
        <f t="shared" si="111"/>
        <v>40</v>
      </c>
      <c r="F298" s="460" t="str">
        <f t="shared" si="128"/>
        <v>NONE</v>
      </c>
      <c r="G298" s="460" t="str">
        <f t="shared" si="112"/>
        <v>SCT</v>
      </c>
      <c r="H298" s="460" t="str">
        <f t="shared" si="113"/>
        <v>SCT</v>
      </c>
      <c r="I298" s="460">
        <f t="shared" si="97"/>
        <v>40</v>
      </c>
      <c r="J298" s="461">
        <f t="shared" si="114"/>
        <v>28</v>
      </c>
      <c r="K298" s="462">
        <f t="shared" si="161"/>
        <v>24</v>
      </c>
      <c r="L298" s="462">
        <f t="shared" si="162"/>
        <v>4</v>
      </c>
      <c r="M298" s="462">
        <f t="shared" si="115"/>
        <v>7</v>
      </c>
      <c r="N298" s="462"/>
      <c r="O298" s="462">
        <f t="shared" si="116"/>
        <v>7</v>
      </c>
      <c r="P298" s="462">
        <f t="shared" si="117"/>
        <v>7</v>
      </c>
      <c r="Q298" s="462">
        <f t="shared" si="129"/>
        <v>14.9</v>
      </c>
      <c r="R298" s="462">
        <f t="shared" si="127"/>
        <v>7</v>
      </c>
      <c r="S298" s="465">
        <f t="shared" si="152"/>
        <v>7</v>
      </c>
      <c r="T298" s="1118" t="str">
        <f t="shared" si="118"/>
        <v>NSW</v>
      </c>
      <c r="U298" s="463" t="str">
        <f t="shared" si="163"/>
        <v/>
      </c>
      <c r="V298" s="464" t="str">
        <f t="shared" si="164"/>
        <v/>
      </c>
      <c r="W298" s="411">
        <f t="shared" si="165"/>
        <v>44751.125</v>
      </c>
      <c r="X298" s="410"/>
      <c r="Y298" s="458">
        <f t="shared" si="166"/>
        <v>82.4</v>
      </c>
      <c r="Z298" s="458">
        <f t="shared" si="167"/>
        <v>75.2</v>
      </c>
      <c r="AC298" s="977">
        <f t="shared" si="149"/>
        <v>44750.833333333328</v>
      </c>
      <c r="AD298" s="1610" t="str">
        <f>IF(AND(HOUR(AC298)=HOUR(Worksheet!AF$68),DAY(AC298)=DAY(Worksheet!AF$68)),"START","")</f>
        <v/>
      </c>
      <c r="AE298" s="1149" t="str">
        <f>IF(AND(HOUR(AC298)=HOUR($F$186),DAY(AC298)=DAY($F$186)),(MID($B$189,6,3))*1,IF(AND(ISNUMBER(AE297),AC298&lt;$F$186+1+(1/25)),(MID($B$189,6+(3*COUNT($AE$207:AE297)),3))*1,""))</f>
        <v/>
      </c>
      <c r="AF298" s="1164">
        <f t="shared" si="168"/>
        <v>82.447999999999993</v>
      </c>
      <c r="AG298" s="1150">
        <f t="shared" si="136"/>
        <v>94.4</v>
      </c>
      <c r="AH298" s="1163" t="str">
        <f>IF(AND(ISNUMBER(AH297),AC298&lt;$F$186+26/25),(MID($B$190,6+(3*COUNT($AH$207:AH297)),3))*1,IF(AND(HOUR(AC298)=HOUR($F$186),DAY(AC298)=DAY($F$186)),(MID($B$190,6,3))*1,""))</f>
        <v/>
      </c>
      <c r="AI298" s="1901" t="str">
        <f t="shared" si="108"/>
        <v/>
      </c>
      <c r="AJ298" s="1164">
        <f t="shared" si="137"/>
        <v>75.584000000000046</v>
      </c>
      <c r="AK298" s="1150">
        <f t="shared" si="138"/>
        <v>71.000000000000014</v>
      </c>
      <c r="AL298" s="1152">
        <f t="shared" si="169"/>
        <v>29.916666666666668</v>
      </c>
      <c r="AM298" s="1153">
        <f t="shared" si="139"/>
        <v>29.896666666666668</v>
      </c>
      <c r="AN298" s="1147"/>
      <c r="AO298" s="976" t="str">
        <f>IF(BA298="Y",AP298,IF(AND(ISNUMBER(AO297),AC298&lt;$F$186+26/25),(MID(INDEX($A$187:$B$210,MATCH("CIG",$A$187:$A$210,0),2),8+(3*COUNT($AO$207:AO297)),1))*1,IF(AND(HOUR(AC298)=HOUR($F$186),DAY(AC298)=DAY($F$186)),(MID(INDEX($A$187:$B$210,MATCH("CIG",$A$187:$A$210,0),2),8,1))*1,"")))</f>
        <v/>
      </c>
      <c r="AP298" s="1061" t="str">
        <f>IF(AND(ISNUMBER(AP297),AC298&lt;$F$186+26/25),(MID(INDEX($A$187:$B$210,MATCH("CCG",$A$187:$A$210,0),2),8+(3*COUNT($AP$207:AP297)),1))*1,IF(AND(HOUR(AC298)=HOUR($F$186),DAY(AC298)=DAY($F$186)),(MID(INDEX($A$187:$B$210,MATCH("CCG",$A$187:$A$210,0),2),8,1))*1,""))</f>
        <v/>
      </c>
      <c r="AQ298" s="1061" t="str">
        <f>IF(AND(AQ297&lt;&gt;"",AC298&lt;$F$186+26/25),MID(INDEX($A$187:$B$210,MATCH("CLD",$A$187:$A$210,0),2),7+(3*SUM(COUNTIF($AQ$207:AQ297,"OV"),COUNTIF($AQ$207:AQ297,"BK"),COUNTIF($AQ$207:AQ297,"SC"),COUNTIF($AQ$207:AQ297,"FW"),COUNTIF($AQ$207:AQ297,"CL"))),2),IF(AND(HOUR(AC298)=HOUR($F$186),DAY(AC298)=DAY($F$186)),MID(INDEX($A$187:$B$210,MATCH("CLD",$A$187:$A$210,0),2),7,2),""))</f>
        <v/>
      </c>
      <c r="AR298" s="1149" t="str">
        <f t="shared" si="140"/>
        <v/>
      </c>
      <c r="AS298" s="1150" t="str">
        <f t="shared" si="141"/>
        <v/>
      </c>
      <c r="AT298" s="112" t="str">
        <f t="shared" si="142"/>
        <v/>
      </c>
      <c r="AU298" s="1610" t="str">
        <f t="shared" si="143"/>
        <v/>
      </c>
      <c r="AV298" s="1148">
        <f t="shared" si="84"/>
        <v>40</v>
      </c>
      <c r="AW298" s="920" t="str">
        <f t="shared" si="87"/>
        <v>SCT</v>
      </c>
      <c r="AX298" s="1608">
        <f t="shared" si="85"/>
        <v>40</v>
      </c>
      <c r="AY298" s="112" t="str">
        <f>IF(BA298="Y",AZ298,IF(AND(ISNUMBER(AY297),AC298&lt;$F$186+26/25),(MID(INDEX($A$187:$B$210,MATCH("VIS",$A$187:$A$210,0),2),8+(3*COUNT($AY$207:AY297)),1))*1,IF(AND(HOUR(AC298)=HOUR($F$186),DAY(AC298)=DAY($F$186)),(MID(INDEX($A$187:$B$210,MATCH("VIS",$A$187:$A$210,0),2),8,1))*1,"")))</f>
        <v/>
      </c>
      <c r="AZ298" s="112" t="str">
        <f>IF(AND(ISNUMBER(AZ297),AC298&lt;$F$186+26/25),(MID(INDEX($A$187:$B$210,MATCH("CVS",$A$187:$A$210,0),2),8+(3*COUNT($AZ$207:AZ297)),1))*1,IF(AND(HOUR(AC298)=HOUR($F$186),DAY(AC298)=DAY($F$186)),(MID(INDEX($A$187:$B$210,MATCH("CVS",$A$187:$A$210,0),2),8,1))*1,""))</f>
        <v/>
      </c>
      <c r="BA298" s="1610" t="str">
        <f>IF(AND(BA297&lt;&gt;"",AC298&lt;$F$186+26/25),MID(INDEX($A$187:$B$210,MATCH("PCO",$A$187:$A$210,0),2),8+(3*SUM(COUNTIF($BA$207:BA297,"Y"),COUNTIF($BA$207:BA297,"N"))),1),IF(AND(HOUR(AC298)=HOUR($F$186),DAY(AC298)=DAY($F$186)),MID(INDEX($A$187:$B$210,MATCH("PCO",$A$187:$A$210,0),2),8,1),""))</f>
        <v/>
      </c>
      <c r="BB298" s="1610" t="e">
        <f>IF(AND(BB297&lt;&gt;"",AC298&lt;$F$186+26/25),MID(INDEX($A$187:$B$210,MATCH("TYP",$A$187:$A$210,0),2),8+(3*SUM(COUNTIF($BB$207:BB297,"S"),COUNTIF($BB$207:BB297,"Z"), COUNTIF($BB$207:BB297,"R"),COUNTIF($BB$207:BB297,"X"))),1),IF(AND(HOUR(AC298)=HOUR($F$186),DAY(AC298)=DAY($F$186)),MID(INDEX($A$187:$B$210,MATCH("TYP",$A$187:$A$210,0),2),8,1),""))</f>
        <v>#N/A</v>
      </c>
      <c r="BC298" s="112" t="str">
        <f>IF(AND(LEN(BC297)=2,AC298&lt;$F$186+26/25),MID(INDEX($A$187:$B$211,MATCH("OBV",$A$187:$A$211,0),2),7+(3*SUM(COUNTIF($BC$207:BC297," N"),COUNTIF($BC$207:BC297,"HZ"),COUNTIF($BC$207:BC297,"BR"),COUNTIF($BC$207:BC297,"FG"),COUNTIF($BC$207:BC297,"BL"))),2),IF(AND(HOUR(AC298)=HOUR($F$186),DAY(AC298)=DAY($F$186)),MID(INDEX($A$187:$B$211,MATCH("OBV",$A$187:$A$211,0),2),7,2),""))</f>
        <v/>
      </c>
      <c r="BD298" s="112"/>
      <c r="BE298" s="112"/>
      <c r="BF298" s="112"/>
      <c r="BG298" s="1610" t="str">
        <f t="shared" si="124"/>
        <v/>
      </c>
      <c r="BH298" s="115" t="str">
        <f t="shared" si="144"/>
        <v/>
      </c>
      <c r="BI298" s="200" t="str">
        <f t="shared" si="155"/>
        <v/>
      </c>
      <c r="BJ298" s="62" t="str">
        <f t="shared" si="154"/>
        <v/>
      </c>
      <c r="BK298" s="1145" t="str">
        <f t="shared" si="122"/>
        <v/>
      </c>
      <c r="BL298" s="62" t="str">
        <f t="shared" si="156"/>
        <v/>
      </c>
      <c r="BM298" s="1145" t="str">
        <f t="shared" si="150"/>
        <v/>
      </c>
      <c r="BN298" s="1901" t="str">
        <f t="shared" si="123"/>
        <v/>
      </c>
      <c r="BO298" s="1144" t="str">
        <f t="shared" si="157"/>
        <v/>
      </c>
      <c r="BP298" s="106" t="str">
        <f t="shared" si="151"/>
        <v/>
      </c>
      <c r="BQ298" s="66" t="str">
        <f t="shared" si="158"/>
        <v/>
      </c>
      <c r="BR298" s="106" t="str">
        <f t="shared" si="159"/>
        <v/>
      </c>
      <c r="BS298" s="834" t="str">
        <f t="shared" si="133"/>
        <v/>
      </c>
      <c r="BT298" s="106" t="str">
        <f t="shared" si="160"/>
        <v/>
      </c>
      <c r="BU298" s="834" t="str">
        <f t="shared" si="145"/>
        <v/>
      </c>
      <c r="BV298" s="66" t="str">
        <f t="shared" si="146"/>
        <v/>
      </c>
      <c r="BW298" s="66" t="str">
        <f t="shared" si="147"/>
        <v/>
      </c>
      <c r="BX298" s="1198">
        <f t="shared" si="86"/>
        <v>5</v>
      </c>
      <c r="BY298" s="1146" t="str">
        <f t="shared" si="153"/>
        <v>TS</v>
      </c>
      <c r="CA298" s="3675">
        <f t="shared" si="148"/>
        <v>44750.833333333328</v>
      </c>
      <c r="CB298" s="3675"/>
    </row>
    <row r="299" spans="1:80" ht="10.5">
      <c r="A299" s="978" t="str">
        <f>Worksheet!Q136</f>
        <v>084000 24918184 02495 139960305 8026252423 R 269135</v>
      </c>
      <c r="B299" s="452">
        <f t="shared" si="120"/>
        <v>44751.25</v>
      </c>
      <c r="C299" s="466">
        <f t="shared" si="110"/>
        <v>29.96</v>
      </c>
      <c r="D299" s="454">
        <f t="shared" si="88"/>
        <v>6</v>
      </c>
      <c r="E299" s="476">
        <f t="shared" si="111"/>
        <v>70</v>
      </c>
      <c r="F299" s="460">
        <f t="shared" si="128"/>
        <v>269</v>
      </c>
      <c r="G299" s="460">
        <f t="shared" si="112"/>
        <v>250</v>
      </c>
      <c r="H299" s="460">
        <f t="shared" si="113"/>
        <v>250</v>
      </c>
      <c r="I299" s="460">
        <f t="shared" si="97"/>
        <v>250</v>
      </c>
      <c r="J299" s="461">
        <f t="shared" si="114"/>
        <v>26</v>
      </c>
      <c r="K299" s="462">
        <f t="shared" si="161"/>
        <v>24</v>
      </c>
      <c r="L299" s="462">
        <f t="shared" si="162"/>
        <v>2</v>
      </c>
      <c r="M299" s="462">
        <f t="shared" si="115"/>
        <v>6</v>
      </c>
      <c r="N299" s="462"/>
      <c r="O299" s="462">
        <f t="shared" si="116"/>
        <v>7</v>
      </c>
      <c r="P299" s="462">
        <f t="shared" si="117"/>
        <v>7</v>
      </c>
      <c r="Q299" s="462">
        <f t="shared" si="129"/>
        <v>13.5</v>
      </c>
      <c r="R299" s="462">
        <f t="shared" si="127"/>
        <v>6.75</v>
      </c>
      <c r="S299" s="465">
        <f t="shared" si="152"/>
        <v>6</v>
      </c>
      <c r="T299" s="1118" t="str">
        <f t="shared" si="118"/>
        <v>RA</v>
      </c>
      <c r="U299" s="463" t="str">
        <f t="shared" si="163"/>
        <v/>
      </c>
      <c r="V299" s="464" t="str">
        <f t="shared" si="164"/>
        <v/>
      </c>
      <c r="W299" s="411">
        <f t="shared" si="165"/>
        <v>44751.25</v>
      </c>
      <c r="X299" s="410"/>
      <c r="Y299" s="458">
        <f t="shared" si="166"/>
        <v>78.800000000000011</v>
      </c>
      <c r="Z299" s="458">
        <f t="shared" si="167"/>
        <v>75.2</v>
      </c>
      <c r="AC299" s="977">
        <f t="shared" si="149"/>
        <v>44750.875</v>
      </c>
      <c r="AD299" s="1610" t="str">
        <f>IF(AND(HOUR(AC299)=HOUR(Worksheet!AF$68),DAY(AC299)=DAY(Worksheet!AF$68)),"START","")</f>
        <v/>
      </c>
      <c r="AE299" s="1149" t="str">
        <f>IF(AND(HOUR(AC299)=HOUR($F$186),DAY(AC299)=DAY($F$186)),(MID($B$189,6,3))*1,IF(AND(ISNUMBER(AE298),AC299&lt;$F$186+1+(1/25)),(MID($B$189,6+(3*COUNT($AE$207:AE298)),3))*1,""))</f>
        <v/>
      </c>
      <c r="AF299" s="1164">
        <f t="shared" si="168"/>
        <v>83.713999999999999</v>
      </c>
      <c r="AG299" s="1150">
        <f t="shared" si="136"/>
        <v>95</v>
      </c>
      <c r="AH299" s="1163" t="str">
        <f>IF(AND(ISNUMBER(AH298),AC299&lt;$F$186+26/25),(MID($B$190,6+(3*COUNT($AH$207:AH298)),3))*1,IF(AND(HOUR(AC299)=HOUR($F$186),DAY(AC299)=DAY($F$186)),(MID($B$190,6,3))*1,""))</f>
        <v/>
      </c>
      <c r="AI299" s="1901" t="str">
        <f t="shared" si="108"/>
        <v/>
      </c>
      <c r="AJ299" s="1164">
        <f t="shared" si="137"/>
        <v>75.578000000000031</v>
      </c>
      <c r="AK299" s="1150">
        <f t="shared" si="138"/>
        <v>69.800000000000011</v>
      </c>
      <c r="AL299" s="1152">
        <f t="shared" si="169"/>
        <v>29.92</v>
      </c>
      <c r="AM299" s="1153">
        <f t="shared" si="139"/>
        <v>29.89</v>
      </c>
      <c r="AN299" s="1147"/>
      <c r="AO299" s="976" t="str">
        <f>IF(BA299="Y",AP299,IF(AND(ISNUMBER(AO298),AC299&lt;$F$186+26/25),(MID(INDEX($A$187:$B$210,MATCH("CIG",$A$187:$A$210,0),2),8+(3*COUNT($AO$207:AO298)),1))*1,IF(AND(HOUR(AC299)=HOUR($F$186),DAY(AC299)=DAY($F$186)),(MID(INDEX($A$187:$B$210,MATCH("CIG",$A$187:$A$210,0),2),8,1))*1,"")))</f>
        <v/>
      </c>
      <c r="AP299" s="1061" t="str">
        <f>IF(AND(ISNUMBER(AP298),AC299&lt;$F$186+26/25),(MID(INDEX($A$187:$B$210,MATCH("CCG",$A$187:$A$210,0),2),8+(3*COUNT($AP$207:AP298)),1))*1,IF(AND(HOUR(AC299)=HOUR($F$186),DAY(AC299)=DAY($F$186)),(MID(INDEX($A$187:$B$210,MATCH("CCG",$A$187:$A$210,0),2),8,1))*1,""))</f>
        <v/>
      </c>
      <c r="AQ299" s="1061" t="str">
        <f>IF(AND(AQ298&lt;&gt;"",AC299&lt;$F$186+26/25),MID(INDEX($A$187:$B$210,MATCH("CLD",$A$187:$A$210,0),2),7+(3*SUM(COUNTIF($AQ$207:AQ298,"OV"),COUNTIF($AQ$207:AQ298,"BK"),COUNTIF($AQ$207:AQ298,"SC"),COUNTIF($AQ$207:AQ298,"FW"),COUNTIF($AQ$207:AQ298,"CL"))),2),IF(AND(HOUR(AC299)=HOUR($F$186),DAY(AC299)=DAY($F$186)),MID(INDEX($A$187:$B$210,MATCH("CLD",$A$187:$A$210,0),2),7,2),""))</f>
        <v/>
      </c>
      <c r="AR299" s="1149" t="str">
        <f t="shared" si="140"/>
        <v/>
      </c>
      <c r="AS299" s="1150" t="str">
        <f t="shared" si="141"/>
        <v/>
      </c>
      <c r="AT299" s="112" t="str">
        <f t="shared" si="142"/>
        <v/>
      </c>
      <c r="AU299" s="1610" t="str">
        <f t="shared" si="143"/>
        <v/>
      </c>
      <c r="AV299" s="1148">
        <f t="shared" si="84"/>
        <v>40</v>
      </c>
      <c r="AW299" s="920" t="str">
        <f t="shared" si="87"/>
        <v>SCT</v>
      </c>
      <c r="AX299" s="1608">
        <f t="shared" si="85"/>
        <v>40</v>
      </c>
      <c r="AY299" s="112" t="str">
        <f>IF(BA299="Y",AZ299,IF(AND(ISNUMBER(AY298),AC299&lt;$F$186+26/25),(MID(INDEX($A$187:$B$210,MATCH("VIS",$A$187:$A$210,0),2),8+(3*COUNT($AY$207:AY298)),1))*1,IF(AND(HOUR(AC299)=HOUR($F$186),DAY(AC299)=DAY($F$186)),(MID(INDEX($A$187:$B$210,MATCH("VIS",$A$187:$A$210,0),2),8,1))*1,"")))</f>
        <v/>
      </c>
      <c r="AZ299" s="112" t="str">
        <f>IF(AND(ISNUMBER(AZ298),AC299&lt;$F$186+26/25),(MID(INDEX($A$187:$B$210,MATCH("CVS",$A$187:$A$210,0),2),8+(3*COUNT($AZ$207:AZ298)),1))*1,IF(AND(HOUR(AC299)=HOUR($F$186),DAY(AC299)=DAY($F$186)),(MID(INDEX($A$187:$B$210,MATCH("CVS",$A$187:$A$210,0),2),8,1))*1,""))</f>
        <v/>
      </c>
      <c r="BA299" s="1610" t="str">
        <f>IF(AND(BA298&lt;&gt;"",AC299&lt;$F$186+26/25),MID(INDEX($A$187:$B$210,MATCH("PCO",$A$187:$A$210,0),2),8+(3*SUM(COUNTIF($BA$207:BA298,"Y"),COUNTIF($BA$207:BA298,"N"))),1),IF(AND(HOUR(AC299)=HOUR($F$186),DAY(AC299)=DAY($F$186)),MID(INDEX($A$187:$B$210,MATCH("PCO",$A$187:$A$210,0),2),8,1),""))</f>
        <v/>
      </c>
      <c r="BB299" s="1610" t="e">
        <f>IF(AND(BB298&lt;&gt;"",AC299&lt;$F$186+26/25),MID(INDEX($A$187:$B$210,MATCH("TYP",$A$187:$A$210,0),2),8+(3*SUM(COUNTIF($BB$207:BB298,"S"),COUNTIF($BB$207:BB298,"Z"), COUNTIF($BB$207:BB298,"R"),COUNTIF($BB$207:BB298,"X"))),1),IF(AND(HOUR(AC299)=HOUR($F$186),DAY(AC299)=DAY($F$186)),MID(INDEX($A$187:$B$210,MATCH("TYP",$A$187:$A$210,0),2),8,1),""))</f>
        <v>#N/A</v>
      </c>
      <c r="BC299" s="112" t="str">
        <f>IF(AND(LEN(BC298)=2,AC299&lt;$F$186+26/25),MID(INDEX($A$187:$B$211,MATCH("OBV",$A$187:$A$211,0),2),7+(3*SUM(COUNTIF($BC$207:BC298," N"),COUNTIF($BC$207:BC298,"HZ"),COUNTIF($BC$207:BC298,"BR"),COUNTIF($BC$207:BC298,"FG"),COUNTIF($BC$207:BC298,"BL"))),2),IF(AND(HOUR(AC299)=HOUR($F$186),DAY(AC299)=DAY($F$186)),MID(INDEX($A$187:$B$211,MATCH("OBV",$A$187:$A$211,0),2),7,2),""))</f>
        <v/>
      </c>
      <c r="BD299" s="112"/>
      <c r="BE299" s="112"/>
      <c r="BF299" s="112"/>
      <c r="BG299" s="1610" t="str">
        <f t="shared" si="124"/>
        <v/>
      </c>
      <c r="BH299" s="115" t="str">
        <f t="shared" si="144"/>
        <v/>
      </c>
      <c r="BI299" s="200" t="str">
        <f t="shared" si="155"/>
        <v/>
      </c>
      <c r="BJ299" s="62" t="str">
        <f t="shared" si="154"/>
        <v/>
      </c>
      <c r="BK299" s="1145" t="str">
        <f t="shared" si="122"/>
        <v/>
      </c>
      <c r="BL299" s="62" t="str">
        <f t="shared" si="156"/>
        <v/>
      </c>
      <c r="BM299" s="1145" t="str">
        <f t="shared" si="150"/>
        <v/>
      </c>
      <c r="BN299" s="1901" t="str">
        <f t="shared" si="123"/>
        <v/>
      </c>
      <c r="BO299" s="1144" t="str">
        <f t="shared" si="157"/>
        <v/>
      </c>
      <c r="BP299" s="106" t="str">
        <f t="shared" si="151"/>
        <v/>
      </c>
      <c r="BQ299" s="66" t="str">
        <f t="shared" si="158"/>
        <v/>
      </c>
      <c r="BR299" s="106" t="str">
        <f t="shared" si="159"/>
        <v/>
      </c>
      <c r="BS299" s="834" t="str">
        <f t="shared" si="133"/>
        <v/>
      </c>
      <c r="BT299" s="106" t="str">
        <f t="shared" si="160"/>
        <v/>
      </c>
      <c r="BU299" s="834" t="str">
        <f t="shared" si="145"/>
        <v/>
      </c>
      <c r="BV299" s="66" t="str">
        <f t="shared" si="146"/>
        <v/>
      </c>
      <c r="BW299" s="66" t="str">
        <f t="shared" si="147"/>
        <v/>
      </c>
      <c r="BX299" s="1198">
        <f t="shared" si="86"/>
        <v>4</v>
      </c>
      <c r="BY299" s="1146" t="str">
        <f t="shared" si="153"/>
        <v>TS</v>
      </c>
      <c r="CA299" s="3675">
        <f t="shared" si="148"/>
        <v>44750.875</v>
      </c>
      <c r="CB299" s="3675"/>
    </row>
    <row r="300" spans="1:80" ht="10.5">
      <c r="A300" s="978" t="str">
        <f>Worksheet!Q137</f>
        <v>087007 24968491 04995 149960305 7825242322 X 267111</v>
      </c>
      <c r="B300" s="452">
        <f t="shared" si="120"/>
        <v>44751.375</v>
      </c>
      <c r="C300" s="466">
        <f t="shared" si="110"/>
        <v>29.96</v>
      </c>
      <c r="D300" s="454">
        <f t="shared" si="88"/>
        <v>9</v>
      </c>
      <c r="E300" s="476">
        <f t="shared" si="111"/>
        <v>70</v>
      </c>
      <c r="F300" s="460">
        <f t="shared" si="128"/>
        <v>267</v>
      </c>
      <c r="G300" s="460">
        <f t="shared" si="112"/>
        <v>250</v>
      </c>
      <c r="H300" s="460">
        <f t="shared" si="113"/>
        <v>250</v>
      </c>
      <c r="I300" s="460">
        <f t="shared" si="97"/>
        <v>30</v>
      </c>
      <c r="J300" s="461">
        <f t="shared" si="114"/>
        <v>25</v>
      </c>
      <c r="K300" s="462">
        <f t="shared" si="161"/>
        <v>24</v>
      </c>
      <c r="L300" s="462">
        <f t="shared" si="162"/>
        <v>1</v>
      </c>
      <c r="M300" s="462">
        <f t="shared" si="115"/>
        <v>7</v>
      </c>
      <c r="N300" s="462"/>
      <c r="O300" s="462">
        <f t="shared" si="116"/>
        <v>6</v>
      </c>
      <c r="P300" s="462">
        <f t="shared" si="117"/>
        <v>7</v>
      </c>
      <c r="Q300" s="462">
        <f t="shared" si="129"/>
        <v>11.100000000000001</v>
      </c>
      <c r="R300" s="462">
        <f t="shared" si="127"/>
        <v>2.7750000000000004</v>
      </c>
      <c r="S300" s="465">
        <f t="shared" si="152"/>
        <v>2.7750000000000004</v>
      </c>
      <c r="T300" s="1118" t="str">
        <f t="shared" si="118"/>
        <v>TS</v>
      </c>
      <c r="U300" s="463" t="str">
        <f t="shared" si="163"/>
        <v/>
      </c>
      <c r="V300" s="464" t="str">
        <f t="shared" si="164"/>
        <v/>
      </c>
      <c r="W300" s="411">
        <f t="shared" si="165"/>
        <v>44751.375</v>
      </c>
      <c r="X300" s="410"/>
      <c r="Y300" s="458">
        <f t="shared" si="166"/>
        <v>77</v>
      </c>
      <c r="Z300" s="458">
        <f t="shared" si="167"/>
        <v>75.2</v>
      </c>
      <c r="AC300" s="977">
        <f t="shared" si="149"/>
        <v>44750.916666666664</v>
      </c>
      <c r="AD300" s="1610" t="str">
        <f>IF(AND(HOUR(AC300)=HOUR(Worksheet!AF$68),DAY(AC300)=DAY(Worksheet!AF$68)),"START","")</f>
        <v/>
      </c>
      <c r="AE300" s="1149" t="str">
        <f>IF(AND(HOUR(AC300)=HOUR($F$186),DAY(AC300)=DAY($F$186)),(MID($B$189,6,3))*1,IF(AND(ISNUMBER(AE299),AC300&lt;$F$186+1+(1/25)),(MID($B$189,6+(3*COUNT($AE$207:AE299)),3))*1,""))</f>
        <v/>
      </c>
      <c r="AF300" s="1164">
        <f t="shared" si="168"/>
        <v>82.033999999999978</v>
      </c>
      <c r="AG300" s="1150">
        <f t="shared" si="136"/>
        <v>93.2</v>
      </c>
      <c r="AH300" s="1163" t="str">
        <f>IF(AND(ISNUMBER(AH299),AC300&lt;$F$186+26/25),(MID($B$190,6+(3*COUNT($AH$207:AH299)),3))*1,IF(AND(HOUR(AC300)=HOUR($F$186),DAY(AC300)=DAY($F$186)),(MID($B$190,6,3))*1,""))</f>
        <v/>
      </c>
      <c r="AI300" s="1901" t="str">
        <f t="shared" si="108"/>
        <v/>
      </c>
      <c r="AJ300" s="1164">
        <f t="shared" si="137"/>
        <v>74.779999999999987</v>
      </c>
      <c r="AK300" s="1150">
        <f t="shared" si="138"/>
        <v>71.000000000000014</v>
      </c>
      <c r="AL300" s="1152">
        <f t="shared" si="169"/>
        <v>29.933333333333334</v>
      </c>
      <c r="AM300" s="1153">
        <f t="shared" si="139"/>
        <v>29.893333333333334</v>
      </c>
      <c r="AN300" s="1147"/>
      <c r="AO300" s="976" t="str">
        <f>IF(BA300="Y",AP300,IF(AND(ISNUMBER(AO299),AC300&lt;$F$186+26/25),(MID(INDEX($A$187:$B$210,MATCH("CIG",$A$187:$A$210,0),2),8+(3*COUNT($AO$207:AO299)),1))*1,IF(AND(HOUR(AC300)=HOUR($F$186),DAY(AC300)=DAY($F$186)),(MID(INDEX($A$187:$B$210,MATCH("CIG",$A$187:$A$210,0),2),8,1))*1,"")))</f>
        <v/>
      </c>
      <c r="AP300" s="1061" t="str">
        <f>IF(AND(ISNUMBER(AP299),AC300&lt;$F$186+26/25),(MID(INDEX($A$187:$B$210,MATCH("CCG",$A$187:$A$210,0),2),8+(3*COUNT($AP$207:AP299)),1))*1,IF(AND(HOUR(AC300)=HOUR($F$186),DAY(AC300)=DAY($F$186)),(MID(INDEX($A$187:$B$210,MATCH("CCG",$A$187:$A$210,0),2),8,1))*1,""))</f>
        <v/>
      </c>
      <c r="AQ300" s="1061" t="str">
        <f>IF(AND(AQ299&lt;&gt;"",AC300&lt;$F$186+26/25),MID(INDEX($A$187:$B$210,MATCH("CLD",$A$187:$A$210,0),2),7+(3*SUM(COUNTIF($AQ$207:AQ299,"OV"),COUNTIF($AQ$207:AQ299,"BK"),COUNTIF($AQ$207:AQ299,"SC"),COUNTIF($AQ$207:AQ299,"FW"),COUNTIF($AQ$207:AQ299,"CL"))),2),IF(AND(HOUR(AC300)=HOUR($F$186),DAY(AC300)=DAY($F$186)),MID(INDEX($A$187:$B$210,MATCH("CLD",$A$187:$A$210,0),2),7,2),""))</f>
        <v/>
      </c>
      <c r="AR300" s="1149" t="str">
        <f t="shared" si="140"/>
        <v/>
      </c>
      <c r="AS300" s="1150" t="str">
        <f t="shared" si="141"/>
        <v/>
      </c>
      <c r="AT300" s="112" t="str">
        <f t="shared" si="142"/>
        <v/>
      </c>
      <c r="AU300" s="1610" t="str">
        <f t="shared" si="143"/>
        <v/>
      </c>
      <c r="AV300" s="1148">
        <f t="shared" ref="AV300:AV363" si="170">IF(OR(AC300&lt;($B$237-0.001),AC300&gt;(MAX($B$241:$B$321)+0.001)),"",IF(OR(ISNUMBER(MATCH(AC300,$W$241:$W$321,0)),MOD(HOUR(AC300),3)=0),LOOKUP(AC300,$B$241:$B$321,$E$241:$E$321),IF(MOD(HOUR(AC300),3)=1,IF(OR(AV302="",AV299=""),MAX(AV302,AV299),(AV302-AV299)/3+AV299),IF(OR(AV301="",AV298=""),MAX(AV301,AV298),(2*(AV301-AV298)/3)+AV298))))</f>
        <v>40</v>
      </c>
      <c r="AW300" s="920" t="str">
        <f t="shared" si="87"/>
        <v>SCT</v>
      </c>
      <c r="AX300" s="1608">
        <f t="shared" ref="AX300:AX363" si="171">IF(OR(AC300&lt;($B$237-0.001),AC300&gt;(MAX($B$241:$B$321)+0.001)),"",IF(OR(ISNUMBER(MATCH(AC300,$W$241:$W$321,0)),MOD(HOUR(AC300),3)=0),LOOKUP(AC300,$B$241:$B$321,$I$241:$I$321),IF(MOD(HOUR(AC300),3)=1,IF(OR(AX302="",AX299=""),MAX(AX302,AX299),(AX302-AX299)/3+AX299),IF(OR(AX301="",AX298=""),MAX(AX301,AX298),(2*(AX301-AX298)/3)+AX298))))</f>
        <v>40</v>
      </c>
      <c r="AY300" s="112" t="str">
        <f>IF(BA300="Y",AZ300,IF(AND(ISNUMBER(AY299),AC300&lt;$F$186+26/25),(MID(INDEX($A$187:$B$210,MATCH("VIS",$A$187:$A$210,0),2),8+(3*COUNT($AY$207:AY299)),1))*1,IF(AND(HOUR(AC300)=HOUR($F$186),DAY(AC300)=DAY($F$186)),(MID(INDEX($A$187:$B$210,MATCH("VIS",$A$187:$A$210,0),2),8,1))*1,"")))</f>
        <v/>
      </c>
      <c r="AZ300" s="112" t="str">
        <f>IF(AND(ISNUMBER(AZ299),AC300&lt;$F$186+26/25),(MID(INDEX($A$187:$B$210,MATCH("CVS",$A$187:$A$210,0),2),8+(3*COUNT($AZ$207:AZ299)),1))*1,IF(AND(HOUR(AC300)=HOUR($F$186),DAY(AC300)=DAY($F$186)),(MID(INDEX($A$187:$B$210,MATCH("CVS",$A$187:$A$210,0),2),8,1))*1,""))</f>
        <v/>
      </c>
      <c r="BA300" s="1610" t="str">
        <f>IF(AND(BA299&lt;&gt;"",AC300&lt;$F$186+26/25),MID(INDEX($A$187:$B$210,MATCH("PCO",$A$187:$A$210,0),2),8+(3*SUM(COUNTIF($BA$207:BA299,"Y"),COUNTIF($BA$207:BA299,"N"))),1),IF(AND(HOUR(AC300)=HOUR($F$186),DAY(AC300)=DAY($F$186)),MID(INDEX($A$187:$B$210,MATCH("PCO",$A$187:$A$210,0),2),8,1),""))</f>
        <v/>
      </c>
      <c r="BB300" s="1610" t="e">
        <f>IF(AND(BB299&lt;&gt;"",AC300&lt;$F$186+26/25),MID(INDEX($A$187:$B$210,MATCH("TYP",$A$187:$A$210,0),2),8+(3*SUM(COUNTIF($BB$207:BB299,"S"),COUNTIF($BB$207:BB299,"Z"), COUNTIF($BB$207:BB299,"R"),COUNTIF($BB$207:BB299,"X"))),1),IF(AND(HOUR(AC300)=HOUR($F$186),DAY(AC300)=DAY($F$186)),MID(INDEX($A$187:$B$210,MATCH("TYP",$A$187:$A$210,0),2),8,1),""))</f>
        <v>#N/A</v>
      </c>
      <c r="BC300" s="112" t="str">
        <f>IF(AND(LEN(BC299)=2,AC300&lt;$F$186+26/25),MID(INDEX($A$187:$B$211,MATCH("OBV",$A$187:$A$211,0),2),7+(3*SUM(COUNTIF($BC$207:BC299," N"),COUNTIF($BC$207:BC299,"HZ"),COUNTIF($BC$207:BC299,"BR"),COUNTIF($BC$207:BC299,"FG"),COUNTIF($BC$207:BC299,"BL"))),2),IF(AND(HOUR(AC300)=HOUR($F$186),DAY(AC300)=DAY($F$186)),MID(INDEX($A$187:$B$211,MATCH("OBV",$A$187:$A$211,0),2),7,2),""))</f>
        <v/>
      </c>
      <c r="BD300" s="112"/>
      <c r="BE300" s="112"/>
      <c r="BF300" s="112"/>
      <c r="BG300" s="1610" t="str">
        <f t="shared" si="124"/>
        <v/>
      </c>
      <c r="BH300" s="115" t="str">
        <f t="shared" si="144"/>
        <v/>
      </c>
      <c r="BI300" s="200" t="str">
        <f t="shared" si="155"/>
        <v/>
      </c>
      <c r="BJ300" s="62" t="str">
        <f t="shared" si="154"/>
        <v/>
      </c>
      <c r="BK300" s="1145" t="str">
        <f t="shared" si="122"/>
        <v/>
      </c>
      <c r="BL300" s="62" t="str">
        <f t="shared" si="156"/>
        <v/>
      </c>
      <c r="BM300" s="1145" t="str">
        <f t="shared" si="150"/>
        <v/>
      </c>
      <c r="BN300" s="1901" t="str">
        <f t="shared" si="123"/>
        <v/>
      </c>
      <c r="BO300" s="1144" t="str">
        <f t="shared" si="157"/>
        <v/>
      </c>
      <c r="BP300" s="106" t="str">
        <f t="shared" si="151"/>
        <v/>
      </c>
      <c r="BQ300" s="66" t="str">
        <f t="shared" si="158"/>
        <v/>
      </c>
      <c r="BR300" s="106" t="str">
        <f t="shared" si="159"/>
        <v/>
      </c>
      <c r="BS300" s="834" t="str">
        <f t="shared" si="133"/>
        <v/>
      </c>
      <c r="BT300" s="106" t="str">
        <f t="shared" si="160"/>
        <v/>
      </c>
      <c r="BU300" s="834" t="str">
        <f t="shared" si="145"/>
        <v/>
      </c>
      <c r="BV300" s="66" t="str">
        <f t="shared" si="146"/>
        <v/>
      </c>
      <c r="BW300" s="66" t="str">
        <f t="shared" si="147"/>
        <v/>
      </c>
      <c r="BX300" s="1198">
        <f t="shared" ref="BX300:BX363" si="172">IF(OR(AC300&lt;($B$237-0.001),AC300&gt;(MAX($B$241:$B$321)+0.001)),"",IF(OR(ISNUMBER(MATCH(AC300,$W$241:$W$321,0)),MOD(HOUR(AC300),3)=0),ROUND(LOOKUP(AC300,$B$241:$B$321,$S$241:$S$321),0),ROUND(IF(MOD(HOUR(AC300),3)=1,(BX302-BX299)/3+BX299,(2*(BX301-BX298)/3)+BX298),0)))</f>
        <v>5</v>
      </c>
      <c r="BY300" s="1146" t="str">
        <f t="shared" si="153"/>
        <v>TS</v>
      </c>
      <c r="CA300" s="3675">
        <f t="shared" si="148"/>
        <v>44750.916666666664</v>
      </c>
      <c r="CB300" s="3675"/>
    </row>
    <row r="301" spans="1:80" ht="10.5">
      <c r="A301" s="978" t="str">
        <f>Worksheet!Q138</f>
        <v>090030 22989999 07898 160020607 7723222020 T 017101</v>
      </c>
      <c r="B301" s="452">
        <f t="shared" si="120"/>
        <v>44751.5</v>
      </c>
      <c r="C301" s="466">
        <f t="shared" si="110"/>
        <v>30.02</v>
      </c>
      <c r="D301" s="454">
        <f t="shared" si="88"/>
        <v>12</v>
      </c>
      <c r="E301" s="476">
        <f t="shared" si="111"/>
        <v>100</v>
      </c>
      <c r="F301" s="460">
        <f t="shared" si="128"/>
        <v>17</v>
      </c>
      <c r="G301" s="460">
        <f t="shared" si="112"/>
        <v>17</v>
      </c>
      <c r="H301" s="460">
        <f t="shared" si="113"/>
        <v>17</v>
      </c>
      <c r="I301" s="460">
        <f t="shared" si="97"/>
        <v>17</v>
      </c>
      <c r="J301" s="461">
        <f t="shared" si="114"/>
        <v>23</v>
      </c>
      <c r="K301" s="462">
        <f t="shared" si="161"/>
        <v>22</v>
      </c>
      <c r="L301" s="462">
        <f t="shared" si="162"/>
        <v>1</v>
      </c>
      <c r="M301" s="462">
        <f t="shared" si="115"/>
        <v>7</v>
      </c>
      <c r="N301" s="462"/>
      <c r="O301" s="462">
        <f t="shared" si="116"/>
        <v>6</v>
      </c>
      <c r="P301" s="462">
        <f t="shared" si="117"/>
        <v>7</v>
      </c>
      <c r="Q301" s="462">
        <f t="shared" si="129"/>
        <v>10.100000000000001</v>
      </c>
      <c r="R301" s="462">
        <f t="shared" si="127"/>
        <v>3.3666666666666671</v>
      </c>
      <c r="S301" s="465">
        <f t="shared" si="152"/>
        <v>3.3666666666666671</v>
      </c>
      <c r="T301" s="1118" t="str">
        <f t="shared" si="118"/>
        <v>TS</v>
      </c>
      <c r="U301" s="463">
        <f t="shared" si="163"/>
        <v>60</v>
      </c>
      <c r="V301" s="464">
        <f t="shared" si="164"/>
        <v>8</v>
      </c>
      <c r="W301" s="411">
        <f t="shared" si="165"/>
        <v>44751.5</v>
      </c>
      <c r="X301" s="410"/>
      <c r="Y301" s="458">
        <f t="shared" si="166"/>
        <v>73.400000000000006</v>
      </c>
      <c r="Z301" s="458">
        <f t="shared" si="167"/>
        <v>71.599999999999994</v>
      </c>
      <c r="AC301" s="977">
        <f t="shared" si="149"/>
        <v>44750.958333333328</v>
      </c>
      <c r="AD301" s="1610" t="str">
        <f>IF(AND(HOUR(AC301)=HOUR(Worksheet!AF$68),DAY(AC301)=DAY(Worksheet!AF$68)),"START","")</f>
        <v/>
      </c>
      <c r="AE301" s="1149" t="str">
        <f>IF(AND(HOUR(AC301)=HOUR($F$186),DAY(AC301)=DAY($F$186)),(MID($B$189,6,3))*1,IF(AND(ISNUMBER(AE300),AC301&lt;$F$186+1+(1/25)),(MID($B$189,6+(3*COUNT($AE$207:AE300)),3))*1,""))</f>
        <v/>
      </c>
      <c r="AF301" s="1164">
        <f t="shared" si="168"/>
        <v>80.353999999999942</v>
      </c>
      <c r="AG301" s="1150">
        <f t="shared" si="136"/>
        <v>91.399999999999991</v>
      </c>
      <c r="AH301" s="1163" t="str">
        <f>IF(AND(ISNUMBER(AH300),AC301&lt;$F$186+26/25),(MID($B$190,6+(3*COUNT($AH$207:AH300)),3))*1,IF(AND(HOUR(AC301)=HOUR($F$186),DAY(AC301)=DAY($F$186)),(MID($B$190,6,3))*1,""))</f>
        <v/>
      </c>
      <c r="AI301" s="1901" t="str">
        <f t="shared" si="108"/>
        <v/>
      </c>
      <c r="AJ301" s="1164">
        <f t="shared" si="137"/>
        <v>73.981999999999957</v>
      </c>
      <c r="AK301" s="1150">
        <f t="shared" si="138"/>
        <v>72.2</v>
      </c>
      <c r="AL301" s="1152">
        <f t="shared" si="169"/>
        <v>29.946666666666669</v>
      </c>
      <c r="AM301" s="1153">
        <f t="shared" si="139"/>
        <v>29.896666666666665</v>
      </c>
      <c r="AN301" s="1147"/>
      <c r="AO301" s="976" t="str">
        <f>IF(BA301="Y",AP301,IF(AND(ISNUMBER(AO300),AC301&lt;$F$186+26/25),(MID(INDEX($A$187:$B$210,MATCH("CIG",$A$187:$A$210,0),2),8+(3*COUNT($AO$207:AO300)),1))*1,IF(AND(HOUR(AC301)=HOUR($F$186),DAY(AC301)=DAY($F$186)),(MID(INDEX($A$187:$B$210,MATCH("CIG",$A$187:$A$210,0),2),8,1))*1,"")))</f>
        <v/>
      </c>
      <c r="AP301" s="1061" t="str">
        <f>IF(AND(ISNUMBER(AP300),AC301&lt;$F$186+26/25),(MID(INDEX($A$187:$B$210,MATCH("CCG",$A$187:$A$210,0),2),8+(3*COUNT($AP$207:AP300)),1))*1,IF(AND(HOUR(AC301)=HOUR($F$186),DAY(AC301)=DAY($F$186)),(MID(INDEX($A$187:$B$210,MATCH("CCG",$A$187:$A$210,0),2),8,1))*1,""))</f>
        <v/>
      </c>
      <c r="AQ301" s="1061" t="str">
        <f>IF(AND(AQ300&lt;&gt;"",AC301&lt;$F$186+26/25),MID(INDEX($A$187:$B$210,MATCH("CLD",$A$187:$A$210,0),2),7+(3*SUM(COUNTIF($AQ$207:AQ300,"OV"),COUNTIF($AQ$207:AQ300,"BK"),COUNTIF($AQ$207:AQ300,"SC"),COUNTIF($AQ$207:AQ300,"FW"),COUNTIF($AQ$207:AQ300,"CL"))),2),IF(AND(HOUR(AC301)=HOUR($F$186),DAY(AC301)=DAY($F$186)),MID(INDEX($A$187:$B$210,MATCH("CLD",$A$187:$A$210,0),2),7,2),""))</f>
        <v/>
      </c>
      <c r="AR301" s="1149" t="str">
        <f t="shared" si="140"/>
        <v/>
      </c>
      <c r="AS301" s="1150" t="str">
        <f t="shared" si="141"/>
        <v/>
      </c>
      <c r="AT301" s="112" t="str">
        <f t="shared" si="142"/>
        <v/>
      </c>
      <c r="AU301" s="1610" t="str">
        <f t="shared" si="143"/>
        <v/>
      </c>
      <c r="AV301" s="1148">
        <f t="shared" si="170"/>
        <v>40</v>
      </c>
      <c r="AW301" s="920" t="str">
        <f t="shared" ref="AW301:AW364" si="173">IF(AV301="","",IF(AV301&gt;90,"OVC",IF(AV301&lt;51,"SCT","BKN")))</f>
        <v>SCT</v>
      </c>
      <c r="AX301" s="1608">
        <f t="shared" si="171"/>
        <v>40</v>
      </c>
      <c r="AY301" s="112" t="str">
        <f>IF(BA301="Y",AZ301,IF(AND(ISNUMBER(AY300),AC301&lt;$F$186+26/25),(MID(INDEX($A$187:$B$210,MATCH("VIS",$A$187:$A$210,0),2),8+(3*COUNT($AY$207:AY300)),1))*1,IF(AND(HOUR(AC301)=HOUR($F$186),DAY(AC301)=DAY($F$186)),(MID(INDEX($A$187:$B$210,MATCH("VIS",$A$187:$A$210,0),2),8,1))*1,"")))</f>
        <v/>
      </c>
      <c r="AZ301" s="112" t="str">
        <f>IF(AND(ISNUMBER(AZ300),AC301&lt;$F$186+26/25),(MID(INDEX($A$187:$B$210,MATCH("CVS",$A$187:$A$210,0),2),8+(3*COUNT($AZ$207:AZ300)),1))*1,IF(AND(HOUR(AC301)=HOUR($F$186),DAY(AC301)=DAY($F$186)),(MID(INDEX($A$187:$B$210,MATCH("CVS",$A$187:$A$210,0),2),8,1))*1,""))</f>
        <v/>
      </c>
      <c r="BA301" s="1610" t="str">
        <f>IF(AND(BA300&lt;&gt;"",AC301&lt;$F$186+26/25),MID(INDEX($A$187:$B$210,MATCH("PCO",$A$187:$A$210,0),2),8+(3*SUM(COUNTIF($BA$207:BA300,"Y"),COUNTIF($BA$207:BA300,"N"))),1),IF(AND(HOUR(AC301)=HOUR($F$186),DAY(AC301)=DAY($F$186)),MID(INDEX($A$187:$B$210,MATCH("PCO",$A$187:$A$210,0),2),8,1),""))</f>
        <v/>
      </c>
      <c r="BB301" s="1610" t="e">
        <f>IF(AND(BB300&lt;&gt;"",AC301&lt;$F$186+26/25),MID(INDEX($A$187:$B$210,MATCH("TYP",$A$187:$A$210,0),2),8+(3*SUM(COUNTIF($BB$207:BB300,"S"),COUNTIF($BB$207:BB300,"Z"), COUNTIF($BB$207:BB300,"R"),COUNTIF($BB$207:BB300,"X"))),1),IF(AND(HOUR(AC301)=HOUR($F$186),DAY(AC301)=DAY($F$186)),MID(INDEX($A$187:$B$210,MATCH("TYP",$A$187:$A$210,0),2),8,1),""))</f>
        <v>#N/A</v>
      </c>
      <c r="BC301" s="112" t="str">
        <f>IF(AND(LEN(BC300)=2,AC301&lt;$F$186+26/25),MID(INDEX($A$187:$B$211,MATCH("OBV",$A$187:$A$211,0),2),7+(3*SUM(COUNTIF($BC$207:BC300," N"),COUNTIF($BC$207:BC300,"HZ"),COUNTIF($BC$207:BC300,"BR"),COUNTIF($BC$207:BC300,"FG"),COUNTIF($BC$207:BC300,"BL"))),2),IF(AND(HOUR(AC301)=HOUR($F$186),DAY(AC301)=DAY($F$186)),MID(INDEX($A$187:$B$211,MATCH("OBV",$A$187:$A$211,0),2),7,2),""))</f>
        <v/>
      </c>
      <c r="BD301" s="112"/>
      <c r="BE301" s="112"/>
      <c r="BF301" s="112"/>
      <c r="BG301" s="1610" t="str">
        <f t="shared" si="124"/>
        <v/>
      </c>
      <c r="BH301" s="115" t="str">
        <f t="shared" si="144"/>
        <v/>
      </c>
      <c r="BI301" s="200" t="str">
        <f t="shared" si="155"/>
        <v/>
      </c>
      <c r="BJ301" s="62" t="str">
        <f t="shared" si="154"/>
        <v/>
      </c>
      <c r="BK301" s="1145" t="str">
        <f t="shared" si="122"/>
        <v/>
      </c>
      <c r="BL301" s="62" t="str">
        <f t="shared" si="156"/>
        <v/>
      </c>
      <c r="BM301" s="1145" t="str">
        <f t="shared" si="150"/>
        <v/>
      </c>
      <c r="BN301" s="1901" t="str">
        <f t="shared" si="123"/>
        <v/>
      </c>
      <c r="BO301" s="1144" t="str">
        <f t="shared" si="157"/>
        <v/>
      </c>
      <c r="BP301" s="106" t="str">
        <f t="shared" si="151"/>
        <v/>
      </c>
      <c r="BQ301" s="66" t="str">
        <f t="shared" si="158"/>
        <v/>
      </c>
      <c r="BR301" s="106" t="str">
        <f t="shared" si="159"/>
        <v/>
      </c>
      <c r="BS301" s="834" t="str">
        <f t="shared" si="133"/>
        <v/>
      </c>
      <c r="BT301" s="106" t="str">
        <f t="shared" si="160"/>
        <v/>
      </c>
      <c r="BU301" s="834" t="str">
        <f t="shared" si="145"/>
        <v/>
      </c>
      <c r="BV301" s="66" t="str">
        <f t="shared" si="146"/>
        <v/>
      </c>
      <c r="BW301" s="66" t="str">
        <f t="shared" si="147"/>
        <v/>
      </c>
      <c r="BX301" s="1198">
        <f t="shared" si="172"/>
        <v>6</v>
      </c>
      <c r="BY301" s="1146" t="str">
        <f t="shared" si="153"/>
        <v>TS</v>
      </c>
      <c r="CA301" s="3675">
        <f t="shared" si="148"/>
        <v>44750.958333333328</v>
      </c>
      <c r="CB301" s="3675"/>
    </row>
    <row r="302" spans="1:80" ht="10.5">
      <c r="A302" s="978" t="str">
        <f>Worksheet!Q139</f>
        <v>093012 20949699 03596 160030508 7622202020 X 030122</v>
      </c>
      <c r="B302" s="452">
        <f t="shared" si="120"/>
        <v>44751.625</v>
      </c>
      <c r="C302" s="466">
        <f t="shared" si="110"/>
        <v>30.03</v>
      </c>
      <c r="D302" s="454">
        <f t="shared" si="88"/>
        <v>15</v>
      </c>
      <c r="E302" s="476">
        <f t="shared" si="111"/>
        <v>100</v>
      </c>
      <c r="F302" s="460">
        <f t="shared" si="128"/>
        <v>30</v>
      </c>
      <c r="G302" s="460">
        <f t="shared" si="112"/>
        <v>30</v>
      </c>
      <c r="H302" s="460">
        <f t="shared" si="113"/>
        <v>20</v>
      </c>
      <c r="I302" s="460">
        <f t="shared" si="97"/>
        <v>20</v>
      </c>
      <c r="J302" s="461">
        <f t="shared" si="114"/>
        <v>22</v>
      </c>
      <c r="K302" s="462">
        <f t="shared" si="161"/>
        <v>20</v>
      </c>
      <c r="L302" s="462">
        <f t="shared" si="162"/>
        <v>2</v>
      </c>
      <c r="M302" s="462">
        <f t="shared" si="115"/>
        <v>7</v>
      </c>
      <c r="N302" s="462"/>
      <c r="O302" s="462">
        <f t="shared" si="116"/>
        <v>7</v>
      </c>
      <c r="P302" s="462">
        <f t="shared" si="117"/>
        <v>7</v>
      </c>
      <c r="Q302" s="462">
        <f t="shared" si="129"/>
        <v>12.200000000000001</v>
      </c>
      <c r="R302" s="462">
        <f t="shared" si="127"/>
        <v>3.0500000000000003</v>
      </c>
      <c r="S302" s="465">
        <f t="shared" si="152"/>
        <v>3.0500000000000003</v>
      </c>
      <c r="T302" s="1118" t="str">
        <f t="shared" si="118"/>
        <v>TS</v>
      </c>
      <c r="U302" s="463" t="str">
        <f t="shared" si="163"/>
        <v/>
      </c>
      <c r="V302" s="464" t="str">
        <f t="shared" si="164"/>
        <v/>
      </c>
      <c r="W302" s="411">
        <f t="shared" si="165"/>
        <v>44751.625</v>
      </c>
      <c r="X302" s="410"/>
      <c r="Y302" s="458">
        <f t="shared" si="166"/>
        <v>71.599999999999994</v>
      </c>
      <c r="Z302" s="458">
        <f t="shared" si="167"/>
        <v>68</v>
      </c>
      <c r="AC302" s="977">
        <f t="shared" si="149"/>
        <v>44751</v>
      </c>
      <c r="AD302" s="1610" t="str">
        <f>IF(AND(HOUR(AC302)=HOUR(Worksheet!AF$68),DAY(AC302)=DAY(Worksheet!AF$68)),"START","")</f>
        <v/>
      </c>
      <c r="AE302" s="1149" t="str">
        <f>IF(AND(HOUR(AC302)=HOUR($F$186),DAY(AC302)=DAY($F$186)),(MID($B$189,6,3))*1,IF(AND(ISNUMBER(AE301),AC302&lt;$F$186+1+(1/25)),(MID($B$189,6+(3*COUNT($AE$207:AE301)),3))*1,""))</f>
        <v/>
      </c>
      <c r="AF302" s="1164">
        <f t="shared" si="168"/>
        <v>78.673999999999921</v>
      </c>
      <c r="AG302" s="1150">
        <f t="shared" si="136"/>
        <v>89.6</v>
      </c>
      <c r="AH302" s="1163" t="str">
        <f>IF(AND(ISNUMBER(AH301),AC302&lt;$F$186+26/25),(MID($B$190,6+(3*COUNT($AH$207:AH301)),3))*1,IF(AND(HOUR(AC302)=HOUR($F$186),DAY(AC302)=DAY($F$186)),(MID($B$190,6,3))*1,""))</f>
        <v/>
      </c>
      <c r="AI302" s="1901" t="str">
        <f t="shared" si="108"/>
        <v/>
      </c>
      <c r="AJ302" s="1164">
        <f t="shared" si="137"/>
        <v>73.183999999999912</v>
      </c>
      <c r="AK302" s="1150">
        <f t="shared" si="138"/>
        <v>73.400000000000006</v>
      </c>
      <c r="AL302" s="1152">
        <f t="shared" si="169"/>
        <v>29.96</v>
      </c>
      <c r="AM302" s="1153">
        <f t="shared" si="139"/>
        <v>29.9</v>
      </c>
      <c r="AN302" s="1147"/>
      <c r="AO302" s="976" t="str">
        <f>IF(BA302="Y",AP302,IF(AND(ISNUMBER(AO301),AC302&lt;$F$186+26/25),(MID(INDEX($A$187:$B$210,MATCH("CIG",$A$187:$A$210,0),2),8+(3*COUNT($AO$207:AO301)),1))*1,IF(AND(HOUR(AC302)=HOUR($F$186),DAY(AC302)=DAY($F$186)),(MID(INDEX($A$187:$B$210,MATCH("CIG",$A$187:$A$210,0),2),8,1))*1,"")))</f>
        <v/>
      </c>
      <c r="AP302" s="1061" t="str">
        <f>IF(AND(ISNUMBER(AP301),AC302&lt;$F$186+26/25),(MID(INDEX($A$187:$B$210,MATCH("CCG",$A$187:$A$210,0),2),8+(3*COUNT($AP$207:AP301)),1))*1,IF(AND(HOUR(AC302)=HOUR($F$186),DAY(AC302)=DAY($F$186)),(MID(INDEX($A$187:$B$210,MATCH("CCG",$A$187:$A$210,0),2),8,1))*1,""))</f>
        <v/>
      </c>
      <c r="AQ302" s="1061" t="str">
        <f>IF(AND(AQ301&lt;&gt;"",AC302&lt;$F$186+26/25),MID(INDEX($A$187:$B$210,MATCH("CLD",$A$187:$A$210,0),2),7+(3*SUM(COUNTIF($AQ$207:AQ301,"OV"),COUNTIF($AQ$207:AQ301,"BK"),COUNTIF($AQ$207:AQ301,"SC"),COUNTIF($AQ$207:AQ301,"FW"),COUNTIF($AQ$207:AQ301,"CL"))),2),IF(AND(HOUR(AC302)=HOUR($F$186),DAY(AC302)=DAY($F$186)),MID(INDEX($A$187:$B$210,MATCH("CLD",$A$187:$A$210,0),2),7,2),""))</f>
        <v/>
      </c>
      <c r="AR302" s="1149" t="str">
        <f t="shared" si="140"/>
        <v/>
      </c>
      <c r="AS302" s="1150" t="str">
        <f t="shared" si="141"/>
        <v/>
      </c>
      <c r="AT302" s="112" t="str">
        <f t="shared" si="142"/>
        <v/>
      </c>
      <c r="AU302" s="1610" t="str">
        <f t="shared" si="143"/>
        <v/>
      </c>
      <c r="AV302" s="1148">
        <f t="shared" si="170"/>
        <v>40</v>
      </c>
      <c r="AW302" s="920" t="str">
        <f t="shared" si="173"/>
        <v>SCT</v>
      </c>
      <c r="AX302" s="1608">
        <f t="shared" si="171"/>
        <v>40</v>
      </c>
      <c r="AY302" s="112" t="str">
        <f>IF(BA302="Y",AZ302,IF(AND(ISNUMBER(AY301),AC302&lt;$F$186+26/25),(MID(INDEX($A$187:$B$210,MATCH("VIS",$A$187:$A$210,0),2),8+(3*COUNT($AY$207:AY301)),1))*1,IF(AND(HOUR(AC302)=HOUR($F$186),DAY(AC302)=DAY($F$186)),(MID(INDEX($A$187:$B$210,MATCH("VIS",$A$187:$A$210,0),2),8,1))*1,"")))</f>
        <v/>
      </c>
      <c r="AZ302" s="112" t="str">
        <f>IF(AND(ISNUMBER(AZ301),AC302&lt;$F$186+26/25),(MID(INDEX($A$187:$B$210,MATCH("CVS",$A$187:$A$210,0),2),8+(3*COUNT($AZ$207:AZ301)),1))*1,IF(AND(HOUR(AC302)=HOUR($F$186),DAY(AC302)=DAY($F$186)),(MID(INDEX($A$187:$B$210,MATCH("CVS",$A$187:$A$210,0),2),8,1))*1,""))</f>
        <v/>
      </c>
      <c r="BA302" s="1610" t="str">
        <f>IF(AND(BA301&lt;&gt;"",AC302&lt;$F$186+26/25),MID(INDEX($A$187:$B$210,MATCH("PCO",$A$187:$A$210,0),2),8+(3*SUM(COUNTIF($BA$207:BA301,"Y"),COUNTIF($BA$207:BA301,"N"))),1),IF(AND(HOUR(AC302)=HOUR($F$186),DAY(AC302)=DAY($F$186)),MID(INDEX($A$187:$B$210,MATCH("PCO",$A$187:$A$210,0),2),8,1),""))</f>
        <v/>
      </c>
      <c r="BB302" s="1610" t="e">
        <f>IF(AND(BB301&lt;&gt;"",AC302&lt;$F$186+26/25),MID(INDEX($A$187:$B$210,MATCH("TYP",$A$187:$A$210,0),2),8+(3*SUM(COUNTIF($BB$207:BB301,"S"),COUNTIF($BB$207:BB301,"Z"), COUNTIF($BB$207:BB301,"R"),COUNTIF($BB$207:BB301,"X"))),1),IF(AND(HOUR(AC302)=HOUR($F$186),DAY(AC302)=DAY($F$186)),MID(INDEX($A$187:$B$210,MATCH("TYP",$A$187:$A$210,0),2),8,1),""))</f>
        <v>#N/A</v>
      </c>
      <c r="BC302" s="112" t="str">
        <f>IF(AND(LEN(BC301)=2,AC302&lt;$F$186+26/25),MID(INDEX($A$187:$B$211,MATCH("OBV",$A$187:$A$211,0),2),7+(3*SUM(COUNTIF($BC$207:BC301," N"),COUNTIF($BC$207:BC301,"HZ"),COUNTIF($BC$207:BC301,"BR"),COUNTIF($BC$207:BC301,"FG"),COUNTIF($BC$207:BC301,"BL"))),2),IF(AND(HOUR(AC302)=HOUR($F$186),DAY(AC302)=DAY($F$186)),MID(INDEX($A$187:$B$211,MATCH("OBV",$A$187:$A$211,0),2),7,2),""))</f>
        <v/>
      </c>
      <c r="BD302" s="112"/>
      <c r="BE302" s="112"/>
      <c r="BF302" s="112"/>
      <c r="BG302" s="1610" t="str">
        <f t="shared" si="124"/>
        <v/>
      </c>
      <c r="BH302" s="115" t="str">
        <f t="shared" si="144"/>
        <v/>
      </c>
      <c r="BI302" s="200" t="str">
        <f t="shared" si="155"/>
        <v/>
      </c>
      <c r="BJ302" s="62" t="str">
        <f t="shared" si="154"/>
        <v/>
      </c>
      <c r="BK302" s="1145" t="str">
        <f t="shared" si="122"/>
        <v/>
      </c>
      <c r="BL302" s="62" t="str">
        <f t="shared" si="156"/>
        <v/>
      </c>
      <c r="BM302" s="1145" t="str">
        <f t="shared" si="150"/>
        <v/>
      </c>
      <c r="BN302" s="1901" t="str">
        <f t="shared" si="123"/>
        <v/>
      </c>
      <c r="BO302" s="1144" t="str">
        <f t="shared" si="157"/>
        <v/>
      </c>
      <c r="BP302" s="106" t="str">
        <f t="shared" si="151"/>
        <v/>
      </c>
      <c r="BQ302" s="66" t="str">
        <f t="shared" si="158"/>
        <v/>
      </c>
      <c r="BR302" s="106" t="str">
        <f t="shared" si="159"/>
        <v/>
      </c>
      <c r="BS302" s="834" t="str">
        <f t="shared" si="133"/>
        <v/>
      </c>
      <c r="BT302" s="106" t="str">
        <f t="shared" si="160"/>
        <v/>
      </c>
      <c r="BU302" s="834" t="str">
        <f t="shared" si="145"/>
        <v/>
      </c>
      <c r="BV302" s="66" t="str">
        <f t="shared" si="146"/>
        <v/>
      </c>
      <c r="BW302" s="66" t="str">
        <f t="shared" si="147"/>
        <v/>
      </c>
      <c r="BX302" s="1198">
        <f t="shared" si="172"/>
        <v>7</v>
      </c>
      <c r="BY302" s="1146" t="str">
        <f t="shared" si="153"/>
        <v>NSW</v>
      </c>
      <c r="CA302" s="3675">
        <f t="shared" si="148"/>
        <v>44751</v>
      </c>
      <c r="CB302" s="3675"/>
    </row>
    <row r="303" spans="1:80" ht="10.5">
      <c r="A303" s="978" t="str">
        <f>Worksheet!Q140</f>
        <v>096042 20959896 12600 160040508 7522201819 T 051115</v>
      </c>
      <c r="B303" s="452">
        <f t="shared" si="120"/>
        <v>44751.75</v>
      </c>
      <c r="C303" s="466">
        <f t="shared" si="110"/>
        <v>30.04</v>
      </c>
      <c r="D303" s="454">
        <f t="shared" si="88"/>
        <v>18</v>
      </c>
      <c r="E303" s="476">
        <f t="shared" si="111"/>
        <v>100</v>
      </c>
      <c r="F303" s="460">
        <f t="shared" ref="F303:F319" si="174">IF(D303="","",IF(MID(A303,46,3)="---","NONE",VALUE(MID(A303,46,3))))</f>
        <v>51</v>
      </c>
      <c r="G303" s="460">
        <f t="shared" si="112"/>
        <v>50</v>
      </c>
      <c r="H303" s="460">
        <f t="shared" si="113"/>
        <v>20</v>
      </c>
      <c r="I303" s="460">
        <f t="shared" si="97"/>
        <v>20</v>
      </c>
      <c r="J303" s="461">
        <f t="shared" si="114"/>
        <v>22</v>
      </c>
      <c r="K303" s="462">
        <f t="shared" si="161"/>
        <v>20</v>
      </c>
      <c r="L303" s="462">
        <f t="shared" si="162"/>
        <v>2</v>
      </c>
      <c r="M303" s="462">
        <f t="shared" si="115"/>
        <v>7</v>
      </c>
      <c r="N303" s="462"/>
      <c r="O303" s="462">
        <f t="shared" si="116"/>
        <v>7</v>
      </c>
      <c r="P303" s="462">
        <f t="shared" si="117"/>
        <v>7</v>
      </c>
      <c r="Q303" s="462">
        <f t="shared" ref="Q303:Q317" si="175">IF(D303="","",(MID(A303,49,3))*0.1)</f>
        <v>11.5</v>
      </c>
      <c r="R303" s="462">
        <f t="shared" si="127"/>
        <v>3.8333333333333335</v>
      </c>
      <c r="S303" s="465">
        <f t="shared" si="152"/>
        <v>3.8333333333333335</v>
      </c>
      <c r="T303" s="1118" t="str">
        <f t="shared" si="118"/>
        <v>TS</v>
      </c>
      <c r="U303" s="463" t="str">
        <f t="shared" si="163"/>
        <v/>
      </c>
      <c r="V303" s="464" t="str">
        <f t="shared" si="164"/>
        <v/>
      </c>
      <c r="W303" s="411">
        <f t="shared" si="165"/>
        <v>44751.75</v>
      </c>
      <c r="X303" s="410"/>
      <c r="Y303" s="458">
        <f t="shared" si="166"/>
        <v>71.599999999999994</v>
      </c>
      <c r="Z303" s="458">
        <f t="shared" si="167"/>
        <v>68</v>
      </c>
      <c r="AC303" s="977">
        <f t="shared" si="149"/>
        <v>44751.041666666664</v>
      </c>
      <c r="AD303" s="1610" t="str">
        <f>IF(AND(HOUR(AC303)=HOUR(Worksheet!AF$68),DAY(AC303)=DAY(Worksheet!AF$68)),"START","")</f>
        <v/>
      </c>
      <c r="AE303" s="1149" t="str">
        <f>IF(AND(HOUR(AC303)=HOUR($F$186),DAY(AC303)=DAY($F$186)),(MID($B$189,6,3))*1,IF(AND(ISNUMBER(AE302),AC303&lt;$F$186+1+(1/25)),(MID($B$189,6+(3*COUNT($AE$207:AE302)),3))*1,""))</f>
        <v/>
      </c>
      <c r="AF303" s="1164">
        <f t="shared" si="168"/>
        <v>77.275999999999939</v>
      </c>
      <c r="AG303" s="1150">
        <f t="shared" si="136"/>
        <v>87.2</v>
      </c>
      <c r="AH303" s="1163" t="str">
        <f>IF(AND(ISNUMBER(AH302),AC303&lt;$F$186+26/25),(MID($B$190,6+(3*COUNT($AH$207:AH302)),3))*1,IF(AND(HOUR(AC303)=HOUR($F$186),DAY(AC303)=DAY($F$186)),(MID($B$190,6,3))*1,""))</f>
        <v/>
      </c>
      <c r="AI303" s="1901" t="str">
        <f t="shared" si="108"/>
        <v/>
      </c>
      <c r="AJ303" s="1164">
        <f t="shared" si="137"/>
        <v>72.31399999999995</v>
      </c>
      <c r="AK303" s="1150">
        <f t="shared" si="138"/>
        <v>74</v>
      </c>
      <c r="AL303" s="1152">
        <f t="shared" si="169"/>
        <v>29.973333333333333</v>
      </c>
      <c r="AM303" s="1153">
        <f t="shared" si="139"/>
        <v>29.913333333333334</v>
      </c>
      <c r="AN303" s="1147"/>
      <c r="AO303" s="976" t="str">
        <f>IF(BA303="Y",AP303,IF(AND(ISNUMBER(AO302),AC303&lt;$F$186+26/25),(MID(INDEX($A$187:$B$210,MATCH("CIG",$A$187:$A$210,0),2),8+(3*COUNT($AO$207:AO302)),1))*1,IF(AND(HOUR(AC303)=HOUR($F$186),DAY(AC303)=DAY($F$186)),(MID(INDEX($A$187:$B$210,MATCH("CIG",$A$187:$A$210,0),2),8,1))*1,"")))</f>
        <v/>
      </c>
      <c r="AP303" s="1061" t="str">
        <f>IF(AND(ISNUMBER(AP302),AC303&lt;$F$186+26/25),(MID(INDEX($A$187:$B$210,MATCH("CCG",$A$187:$A$210,0),2),8+(3*COUNT($AP$207:AP302)),1))*1,IF(AND(HOUR(AC303)=HOUR($F$186),DAY(AC303)=DAY($F$186)),(MID(INDEX($A$187:$B$210,MATCH("CCG",$A$187:$A$210,0),2),8,1))*1,""))</f>
        <v/>
      </c>
      <c r="AQ303" s="1061" t="str">
        <f>IF(AND(AQ302&lt;&gt;"",AC303&lt;$F$186+26/25),MID(INDEX($A$187:$B$210,MATCH("CLD",$A$187:$A$210,0),2),7+(3*SUM(COUNTIF($AQ$207:AQ302,"OV"),COUNTIF($AQ$207:AQ302,"BK"),COUNTIF($AQ$207:AQ302,"SC"),COUNTIF($AQ$207:AQ302,"FW"),COUNTIF($AQ$207:AQ302,"CL"))),2),IF(AND(HOUR(AC303)=HOUR($F$186),DAY(AC303)=DAY($F$186)),MID(INDEX($A$187:$B$210,MATCH("CLD",$A$187:$A$210,0),2),7,2),""))</f>
        <v/>
      </c>
      <c r="AR303" s="1149" t="str">
        <f t="shared" si="140"/>
        <v/>
      </c>
      <c r="AS303" s="1150" t="str">
        <f t="shared" si="141"/>
        <v/>
      </c>
      <c r="AT303" s="112" t="str">
        <f t="shared" si="142"/>
        <v/>
      </c>
      <c r="AU303" s="1610" t="str">
        <f t="shared" si="143"/>
        <v/>
      </c>
      <c r="AV303" s="1148">
        <f t="shared" si="170"/>
        <v>40</v>
      </c>
      <c r="AW303" s="920" t="str">
        <f t="shared" si="173"/>
        <v>SCT</v>
      </c>
      <c r="AX303" s="1608">
        <f t="shared" si="171"/>
        <v>40</v>
      </c>
      <c r="AY303" s="112" t="str">
        <f>IF(BA303="Y",AZ303,IF(AND(ISNUMBER(AY302),AC303&lt;$F$186+26/25),(MID(INDEX($A$187:$B$210,MATCH("VIS",$A$187:$A$210,0),2),8+(3*COUNT($AY$207:AY302)),1))*1,IF(AND(HOUR(AC303)=HOUR($F$186),DAY(AC303)=DAY($F$186)),(MID(INDEX($A$187:$B$210,MATCH("VIS",$A$187:$A$210,0),2),8,1))*1,"")))</f>
        <v/>
      </c>
      <c r="AZ303" s="112" t="str">
        <f>IF(AND(ISNUMBER(AZ302),AC303&lt;$F$186+26/25),(MID(INDEX($A$187:$B$210,MATCH("CVS",$A$187:$A$210,0),2),8+(3*COUNT($AZ$207:AZ302)),1))*1,IF(AND(HOUR(AC303)=HOUR($F$186),DAY(AC303)=DAY($F$186)),(MID(INDEX($A$187:$B$210,MATCH("CVS",$A$187:$A$210,0),2),8,1))*1,""))</f>
        <v/>
      </c>
      <c r="BA303" s="1610" t="str">
        <f>IF(AND(BA302&lt;&gt;"",AC303&lt;$F$186+26/25),MID(INDEX($A$187:$B$210,MATCH("PCO",$A$187:$A$210,0),2),8+(3*SUM(COUNTIF($BA$207:BA302,"Y"),COUNTIF($BA$207:BA302,"N"))),1),IF(AND(HOUR(AC303)=HOUR($F$186),DAY(AC303)=DAY($F$186)),MID(INDEX($A$187:$B$210,MATCH("PCO",$A$187:$A$210,0),2),8,1),""))</f>
        <v/>
      </c>
      <c r="BB303" s="1610" t="e">
        <f>IF(AND(BB302&lt;&gt;"",AC303&lt;$F$186+26/25),MID(INDEX($A$187:$B$210,MATCH("TYP",$A$187:$A$210,0),2),8+(3*SUM(COUNTIF($BB$207:BB302,"S"),COUNTIF($BB$207:BB302,"Z"), COUNTIF($BB$207:BB302,"R"),COUNTIF($BB$207:BB302,"X"))),1),IF(AND(HOUR(AC303)=HOUR($F$186),DAY(AC303)=DAY($F$186)),MID(INDEX($A$187:$B$210,MATCH("TYP",$A$187:$A$210,0),2),8,1),""))</f>
        <v>#N/A</v>
      </c>
      <c r="BC303" s="112" t="str">
        <f>IF(AND(LEN(BC302)=2,AC303&lt;$F$186+26/25),MID(INDEX($A$187:$B$211,MATCH("OBV",$A$187:$A$211,0),2),7+(3*SUM(COUNTIF($BC$207:BC302," N"),COUNTIF($BC$207:BC302,"HZ"),COUNTIF($BC$207:BC302,"BR"),COUNTIF($BC$207:BC302,"FG"),COUNTIF($BC$207:BC302,"BL"))),2),IF(AND(HOUR(AC303)=HOUR($F$186),DAY(AC303)=DAY($F$186)),MID(INDEX($A$187:$B$211,MATCH("OBV",$A$187:$A$211,0),2),7,2),""))</f>
        <v/>
      </c>
      <c r="BD303" s="112"/>
      <c r="BE303" s="112"/>
      <c r="BF303" s="112"/>
      <c r="BG303" s="1610" t="str">
        <f t="shared" si="124"/>
        <v/>
      </c>
      <c r="BH303" s="115" t="str">
        <f t="shared" si="144"/>
        <v/>
      </c>
      <c r="BI303" s="200" t="str">
        <f t="shared" si="155"/>
        <v/>
      </c>
      <c r="BJ303" s="62" t="str">
        <f t="shared" si="154"/>
        <v/>
      </c>
      <c r="BK303" s="1145" t="str">
        <f t="shared" si="122"/>
        <v/>
      </c>
      <c r="BL303" s="62" t="str">
        <f t="shared" si="156"/>
        <v/>
      </c>
      <c r="BM303" s="1145" t="str">
        <f t="shared" si="150"/>
        <v/>
      </c>
      <c r="BN303" s="1901" t="str">
        <f t="shared" si="123"/>
        <v/>
      </c>
      <c r="BO303" s="1144" t="str">
        <f t="shared" si="157"/>
        <v/>
      </c>
      <c r="BP303" s="106" t="str">
        <f t="shared" si="151"/>
        <v/>
      </c>
      <c r="BQ303" s="66" t="str">
        <f t="shared" si="158"/>
        <v/>
      </c>
      <c r="BR303" s="106" t="str">
        <f t="shared" si="159"/>
        <v/>
      </c>
      <c r="BS303" s="834" t="str">
        <f t="shared" ref="BS303:BS334" si="176">IF(COUNT(BR303:BR308)&gt;0,IF(MOD(HOUR(AC303),6)=0,AVERAGE(MAX(BR303:BR309),MIN(BR303:BR309)),IF(MOD(HOUR(AC303),3)=0,MAX(BR304:BR309),IF(MOD(HOUR(AC302),3)=0,BS302,BS304))),"")</f>
        <v/>
      </c>
      <c r="BT303" s="106" t="str">
        <f t="shared" si="160"/>
        <v/>
      </c>
      <c r="BU303" s="834" t="str">
        <f t="shared" si="145"/>
        <v/>
      </c>
      <c r="BV303" s="66" t="str">
        <f t="shared" si="146"/>
        <v/>
      </c>
      <c r="BW303" s="66" t="str">
        <f t="shared" si="147"/>
        <v/>
      </c>
      <c r="BX303" s="1198">
        <f t="shared" si="172"/>
        <v>7</v>
      </c>
      <c r="BY303" s="1146" t="str">
        <f t="shared" si="153"/>
        <v>NSW</v>
      </c>
      <c r="CA303" s="3675">
        <f t="shared" si="148"/>
        <v>44751.041666666664</v>
      </c>
      <c r="CB303" s="3675"/>
    </row>
    <row r="304" spans="1:80" ht="10.5">
      <c r="A304" s="978" t="str">
        <f>Worksheet!Q141</f>
        <v>099007 20849197 00201 160020608 7523221917   041144</v>
      </c>
      <c r="B304" s="452">
        <f t="shared" si="120"/>
        <v>44751.875</v>
      </c>
      <c r="C304" s="466">
        <f t="shared" si="110"/>
        <v>30.02</v>
      </c>
      <c r="D304" s="454">
        <f t="shared" si="88"/>
        <v>21</v>
      </c>
      <c r="E304" s="476">
        <f t="shared" si="111"/>
        <v>100</v>
      </c>
      <c r="F304" s="460">
        <f t="shared" si="174"/>
        <v>41</v>
      </c>
      <c r="G304" s="460">
        <f t="shared" si="112"/>
        <v>41</v>
      </c>
      <c r="H304" s="460">
        <f t="shared" si="113"/>
        <v>20</v>
      </c>
      <c r="I304" s="460">
        <f t="shared" ref="I304:I321" si="177">IF(H304="","",IF(AND(OR(H304&gt;30,H304="SCT"),VALUE(MID(A304,14,2))&gt;84),30,IF(H304="SCT",40,H304)))</f>
        <v>20</v>
      </c>
      <c r="J304" s="461">
        <f t="shared" si="114"/>
        <v>23</v>
      </c>
      <c r="K304" s="462">
        <f t="shared" si="161"/>
        <v>20</v>
      </c>
      <c r="L304" s="462">
        <f t="shared" si="162"/>
        <v>3</v>
      </c>
      <c r="M304" s="462">
        <f t="shared" si="115"/>
        <v>7</v>
      </c>
      <c r="N304" s="462"/>
      <c r="O304" s="462">
        <f t="shared" si="116"/>
        <v>7</v>
      </c>
      <c r="P304" s="462">
        <f t="shared" si="117"/>
        <v>7</v>
      </c>
      <c r="Q304" s="462">
        <f t="shared" si="175"/>
        <v>14.4</v>
      </c>
      <c r="R304" s="462">
        <f t="shared" si="127"/>
        <v>7</v>
      </c>
      <c r="S304" s="465">
        <f t="shared" si="152"/>
        <v>7</v>
      </c>
      <c r="T304" s="1118" t="str">
        <f t="shared" si="118"/>
        <v>NSW</v>
      </c>
      <c r="U304" s="463">
        <f t="shared" si="163"/>
        <v>60</v>
      </c>
      <c r="V304" s="464">
        <f t="shared" si="164"/>
        <v>8</v>
      </c>
      <c r="W304" s="411">
        <f t="shared" si="165"/>
        <v>44751.875</v>
      </c>
      <c r="X304" s="410"/>
      <c r="Y304" s="458">
        <f t="shared" si="166"/>
        <v>73.400000000000006</v>
      </c>
      <c r="Z304" s="458">
        <f t="shared" si="167"/>
        <v>68</v>
      </c>
      <c r="AC304" s="977">
        <f t="shared" si="149"/>
        <v>44751.083333333328</v>
      </c>
      <c r="AD304" s="1610" t="str">
        <f>IF(AND(HOUR(AC304)=HOUR(Worksheet!AF$68),DAY(AC304)=DAY(Worksheet!AF$68)),"START","")</f>
        <v/>
      </c>
      <c r="AE304" s="1149" t="str">
        <f>IF(AND(HOUR(AC304)=HOUR($F$186),DAY(AC304)=DAY($F$186)),(MID($B$189,6,3))*1,IF(AND(ISNUMBER(AE303),AC304&lt;$F$186+1+(1/25)),(MID($B$189,6+(3*COUNT($AE$207:AE303)),3))*1,""))</f>
        <v/>
      </c>
      <c r="AF304" s="1164">
        <f t="shared" si="168"/>
        <v>75.877999999999943</v>
      </c>
      <c r="AG304" s="1150">
        <f t="shared" si="136"/>
        <v>84.8</v>
      </c>
      <c r="AH304" s="1163" t="str">
        <f>IF(AND(ISNUMBER(AH303),AC304&lt;$F$186+26/25),(MID($B$190,6+(3*COUNT($AH$207:AH303)),3))*1,IF(AND(HOUR(AC304)=HOUR($F$186),DAY(AC304)=DAY($F$186)),(MID($B$190,6,3))*1,""))</f>
        <v/>
      </c>
      <c r="AI304" s="1901" t="str">
        <f t="shared" si="108"/>
        <v/>
      </c>
      <c r="AJ304" s="1164">
        <f t="shared" si="137"/>
        <v>71.443999999999974</v>
      </c>
      <c r="AK304" s="1150">
        <f t="shared" si="138"/>
        <v>74.600000000000009</v>
      </c>
      <c r="AL304" s="1152">
        <f t="shared" si="169"/>
        <v>29.986666666666668</v>
      </c>
      <c r="AM304" s="1153">
        <f t="shared" si="139"/>
        <v>29.926666666666666</v>
      </c>
      <c r="AN304" s="1147"/>
      <c r="AO304" s="976" t="str">
        <f>IF(BA304="Y",AP304,IF(AND(ISNUMBER(AO303),AC304&lt;$F$186+26/25),(MID(INDEX($A$187:$B$210,MATCH("CIG",$A$187:$A$210,0),2),8+(3*COUNT($AO$207:AO303)),1))*1,IF(AND(HOUR(AC304)=HOUR($F$186),DAY(AC304)=DAY($F$186)),(MID(INDEX($A$187:$B$210,MATCH("CIG",$A$187:$A$210,0),2),8,1))*1,"")))</f>
        <v/>
      </c>
      <c r="AP304" s="1061" t="str">
        <f>IF(AND(ISNUMBER(AP303),AC304&lt;$F$186+26/25),(MID(INDEX($A$187:$B$210,MATCH("CCG",$A$187:$A$210,0),2),8+(3*COUNT($AP$207:AP303)),1))*1,IF(AND(HOUR(AC304)=HOUR($F$186),DAY(AC304)=DAY($F$186)),(MID(INDEX($A$187:$B$210,MATCH("CCG",$A$187:$A$210,0),2),8,1))*1,""))</f>
        <v/>
      </c>
      <c r="AQ304" s="1061" t="str">
        <f>IF(AND(AQ303&lt;&gt;"",AC304&lt;$F$186+26/25),MID(INDEX($A$187:$B$210,MATCH("CLD",$A$187:$A$210,0),2),7+(3*SUM(COUNTIF($AQ$207:AQ303,"OV"),COUNTIF($AQ$207:AQ303,"BK"),COUNTIF($AQ$207:AQ303,"SC"),COUNTIF($AQ$207:AQ303,"FW"),COUNTIF($AQ$207:AQ303,"CL"))),2),IF(AND(HOUR(AC304)=HOUR($F$186),DAY(AC304)=DAY($F$186)),MID(INDEX($A$187:$B$210,MATCH("CLD",$A$187:$A$210,0),2),7,2),""))</f>
        <v/>
      </c>
      <c r="AR304" s="1149" t="str">
        <f t="shared" ref="AR304:AR335" si="178">IF(OR(AC304&lt;($F$373-0.001),AC304&gt;($F$374+0.001)),"",IF(AC304-$F$373&lt;2.24,IF(MOD(HOUR(AC304),3)=0,(MID(INDEX($A$369:$B$392,MATCH("CIG",$A$369:$A$392,0),2),8+(3*(AC304-$F$373)*8),1))*1,IF(MOD(HOUR(AC303),3)=0,AR303,AR305)),IF(MOD(HOUR(AC304),6)=0,(MID(INDEX($A$369:$B$392,MATCH("CIG",$A$369:$A$392,0),2),62+(3*(ROUND(((AC304-$F$373)-2.25)*4,1))),1))*1,"")))</f>
        <v/>
      </c>
      <c r="AS304" s="1150" t="str">
        <f t="shared" ref="AS304:AS335" si="179">IF(OR(AC304&lt;($F$373-0.001),AC304&gt;($F$374+0.001)),"",IF(AC304-$F$373&lt;2.24,IF(MOD(HOUR(AC304),3)=0,(MID(INDEX($A$369:$B$392,MATCH("CLD",$A$369:$A$392,0),2),7+(3*(AC304-$F$373)*8),2)),IF(MOD(HOUR(AC303),3)=0,AS303,AS305)),IF(MOD(HOUR(AC304),6)=0,(MID(INDEX($A$369:$B$392,MATCH("CLD",$A$369:$A$392,0),2),61+(3*(ROUND(((AC304-$F$373)-2.25)*4,1))),2)),"")))</f>
        <v/>
      </c>
      <c r="AT304" s="112" t="str">
        <f t="shared" ref="AT304:AT335" si="180">IF(OR(AC304&lt;($F$345-0.001),AC304&gt;($F$346+0.001)),"",IF(AC304-$F$345&lt;2.24,IF(MOD(HOUR(AC304),3)=0,(MID(INDEX($A$344:$B$369,MATCH("CIG",$A$344:$A$369,0),2),8+(3*(AC304-$F$345)*8),1))*1,IF(MOD(HOUR(AC303),3)=0,AT303,AT305)),IF(MOD(HOUR(AC304),6)=0,(MID(INDEX($A$344:$B$369,MATCH("CIG",$A$344:$A$369,0),2),62+(3*(ROUND(((AC304-$F$345)-2.25)*4,1))),1))*1,"")))</f>
        <v/>
      </c>
      <c r="AU304" s="1610" t="str">
        <f t="shared" ref="AU304:AU335" si="181">IF(OR(AC304&lt;($F$345-0.001),AC304&gt;($F$346+0.001)),"",IF(AC304-$F$345&lt;2.24,IF(MOD(HOUR(AC304),3)=0,(MID(INDEX($A$344:$B$369,MATCH("CLD",$A$344:$A$369,0),2),7+(3*(AC304-$F$345)*8),2)),IF(MOD(HOUR(AC303),3)=0,AU303,AU305)),IF(MOD(HOUR(AC304),6)=0,(MID(INDEX($A$344:$B$369,MATCH("CLD",$A$344:$A$369,0),2),61+(3*(ROUND(((AC304-$F$345)-2.25)*4,1))),2)),"")))</f>
        <v/>
      </c>
      <c r="AV304" s="1148">
        <f t="shared" si="170"/>
        <v>40</v>
      </c>
      <c r="AW304" s="920" t="str">
        <f t="shared" si="173"/>
        <v>SCT</v>
      </c>
      <c r="AX304" s="1608">
        <f t="shared" si="171"/>
        <v>40</v>
      </c>
      <c r="AY304" s="112" t="str">
        <f>IF(BA304="Y",AZ304,IF(AND(ISNUMBER(AY303),AC304&lt;$F$186+26/25),(MID(INDEX($A$187:$B$210,MATCH("VIS",$A$187:$A$210,0),2),8+(3*COUNT($AY$207:AY303)),1))*1,IF(AND(HOUR(AC304)=HOUR($F$186),DAY(AC304)=DAY($F$186)),(MID(INDEX($A$187:$B$210,MATCH("VIS",$A$187:$A$210,0),2),8,1))*1,"")))</f>
        <v/>
      </c>
      <c r="AZ304" s="112" t="str">
        <f>IF(AND(ISNUMBER(AZ303),AC304&lt;$F$186+26/25),(MID(INDEX($A$187:$B$210,MATCH("CVS",$A$187:$A$210,0),2),8+(3*COUNT($AZ$207:AZ303)),1))*1,IF(AND(HOUR(AC304)=HOUR($F$186),DAY(AC304)=DAY($F$186)),(MID(INDEX($A$187:$B$210,MATCH("CVS",$A$187:$A$210,0),2),8,1))*1,""))</f>
        <v/>
      </c>
      <c r="BA304" s="1610" t="str">
        <f>IF(AND(BA303&lt;&gt;"",AC304&lt;$F$186+26/25),MID(INDEX($A$187:$B$210,MATCH("PCO",$A$187:$A$210,0),2),8+(3*SUM(COUNTIF($BA$207:BA303,"Y"),COUNTIF($BA$207:BA303,"N"))),1),IF(AND(HOUR(AC304)=HOUR($F$186),DAY(AC304)=DAY($F$186)),MID(INDEX($A$187:$B$210,MATCH("PCO",$A$187:$A$210,0),2),8,1),""))</f>
        <v/>
      </c>
      <c r="BB304" s="1610" t="e">
        <f>IF(AND(BB303&lt;&gt;"",AC304&lt;$F$186+26/25),MID(INDEX($A$187:$B$210,MATCH("TYP",$A$187:$A$210,0),2),8+(3*SUM(COUNTIF($BB$207:BB303,"S"),COUNTIF($BB$207:BB303,"Z"), COUNTIF($BB$207:BB303,"R"),COUNTIF($BB$207:BB303,"X"))),1),IF(AND(HOUR(AC304)=HOUR($F$186),DAY(AC304)=DAY($F$186)),MID(INDEX($A$187:$B$210,MATCH("TYP",$A$187:$A$210,0),2),8,1),""))</f>
        <v>#N/A</v>
      </c>
      <c r="BC304" s="112" t="str">
        <f>IF(AND(LEN(BC303)=2,AC304&lt;$F$186+26/25),MID(INDEX($A$187:$B$211,MATCH("OBV",$A$187:$A$211,0),2),7+(3*SUM(COUNTIF($BC$207:BC303," N"),COUNTIF($BC$207:BC303,"HZ"),COUNTIF($BC$207:BC303,"BR"),COUNTIF($BC$207:BC303,"FG"),COUNTIF($BC$207:BC303,"BL"))),2),IF(AND(HOUR(AC304)=HOUR($F$186),DAY(AC304)=DAY($F$186)),MID(INDEX($A$187:$B$211,MATCH("OBV",$A$187:$A$211,0),2),7,2),""))</f>
        <v/>
      </c>
      <c r="BD304" s="112"/>
      <c r="BE304" s="112"/>
      <c r="BF304" s="112"/>
      <c r="BG304" s="1610" t="str">
        <f t="shared" si="124"/>
        <v/>
      </c>
      <c r="BH304" s="115" t="str">
        <f t="shared" ref="BH304:BH335" si="182">IF(OR(AC304&lt;($F$373-0.001),AC304&gt;($F$374+0.001)),"",IF(AC304-$F$373&lt;2.24,IF(MOD(HOUR(AC304),3)=0,(MID(INDEX($A$370:$B$392,MATCH("VIS",$A$370:$A$392,0),2),8+(3*(AC304-$F$373)*8),1))*1,IF(MOD(HOUR(AC303),3)=0,BH303,BH305)),IF(MOD(HOUR(AC304),6)=0,(MID(INDEX($A$370:$B$392,MATCH("VIS",$A$370:$A$392,0),2),62+(3*(ROUND(((AC304-$F$373)-2.25)*4,1))),1))*1,"")))</f>
        <v/>
      </c>
      <c r="BI304" s="200" t="str">
        <f t="shared" si="155"/>
        <v/>
      </c>
      <c r="BJ304" s="62" t="str">
        <f t="shared" si="154"/>
        <v/>
      </c>
      <c r="BK304" s="1145" t="str">
        <f t="shared" si="122"/>
        <v/>
      </c>
      <c r="BL304" s="62" t="str">
        <f t="shared" si="156"/>
        <v/>
      </c>
      <c r="BM304" s="1145" t="str">
        <f t="shared" si="150"/>
        <v/>
      </c>
      <c r="BN304" s="1901" t="str">
        <f t="shared" si="123"/>
        <v/>
      </c>
      <c r="BO304" s="1144" t="str">
        <f t="shared" si="157"/>
        <v/>
      </c>
      <c r="BP304" s="106" t="str">
        <f t="shared" si="151"/>
        <v/>
      </c>
      <c r="BQ304" s="66" t="str">
        <f t="shared" si="158"/>
        <v/>
      </c>
      <c r="BR304" s="106" t="str">
        <f t="shared" si="159"/>
        <v/>
      </c>
      <c r="BS304" s="834" t="str">
        <f t="shared" si="176"/>
        <v/>
      </c>
      <c r="BT304" s="106" t="str">
        <f t="shared" si="160"/>
        <v/>
      </c>
      <c r="BU304" s="834" t="str">
        <f t="shared" si="145"/>
        <v/>
      </c>
      <c r="BV304" s="66" t="str">
        <f t="shared" ref="BV304:BV335" si="183">IF(OR($AC304&lt;($F$345-0.001),$AC304&gt;($F$346+0.001)),"",IF($AC304-$F$345&lt;2.24,IF(MOD(HOUR($AC304),3)=0,MID(INDEX($A$344:$B$369,MATCH("OBV",$A$344:$A$369,0),2),7+(3*($AC304-$F$345)*8),2),IF(MOD(HOUR($AC303),3)=0,BV303,BV305)),IF(MOD(HOUR($AC304),6)=0,MID(INDEX($A$344:$B$369,MATCH("OBV",$A$344:$A$369,0),2),61+(3*(ROUND((($AC304-$F$345)-2.25)*4,2))),2),"")))</f>
        <v/>
      </c>
      <c r="BW304" s="66" t="str">
        <f t="shared" ref="BW304:BW335" si="184">IF(OR($AC304&lt;($F$345-0.001),$AC304&gt;($F$346+0.001)),"",IF($AC304-$F$345&lt;2.24,IF(MOD(HOUR($AC304),3)=0,MID(INDEX($A$344:$B$369,MATCH("TYP",$A$344:$A$369,0),2),7+(3*($AC304-$F$345)*8),2),IF(MOD(HOUR($AC303),3)=0,BW303,BW305)),IF(MOD(HOUR($AC304),6)=0,MID(INDEX($A$344:$B$369,MATCH("TYP",$A$344:$A$369,0),2),61+(3*(ROUND((($AC304-$F$345)-2.25)*4,2))),2),"")))</f>
        <v/>
      </c>
      <c r="BX304" s="1198">
        <f t="shared" si="172"/>
        <v>7</v>
      </c>
      <c r="BY304" s="1146" t="str">
        <f t="shared" si="153"/>
        <v>NSW</v>
      </c>
      <c r="CA304" s="3675">
        <f t="shared" si="148"/>
        <v>44751.083333333328</v>
      </c>
      <c r="CB304" s="3675"/>
    </row>
    <row r="305" spans="1:80" ht="10.5">
      <c r="A305" s="978" t="str">
        <f>Worksheet!Q142</f>
        <v>102002 18727283 -0701 160040406 7523232017 R 048153</v>
      </c>
      <c r="B305" s="452">
        <f t="shared" si="120"/>
        <v>44752</v>
      </c>
      <c r="C305" s="466">
        <f t="shared" si="110"/>
        <v>30.04</v>
      </c>
      <c r="D305" s="454">
        <f t="shared" ref="D305:D316" si="185">IF(C305="","",HOUR(B305))</f>
        <v>0</v>
      </c>
      <c r="E305" s="476">
        <f t="shared" si="111"/>
        <v>70</v>
      </c>
      <c r="F305" s="460">
        <f t="shared" si="174"/>
        <v>48</v>
      </c>
      <c r="G305" s="460">
        <f t="shared" si="112"/>
        <v>48</v>
      </c>
      <c r="H305" s="460">
        <f t="shared" si="113"/>
        <v>48</v>
      </c>
      <c r="I305" s="460">
        <f t="shared" si="177"/>
        <v>48</v>
      </c>
      <c r="J305" s="461">
        <f t="shared" si="114"/>
        <v>23</v>
      </c>
      <c r="K305" s="462">
        <f t="shared" si="161"/>
        <v>18</v>
      </c>
      <c r="L305" s="462">
        <f t="shared" si="162"/>
        <v>5</v>
      </c>
      <c r="M305" s="462">
        <f t="shared" si="115"/>
        <v>7</v>
      </c>
      <c r="N305" s="462"/>
      <c r="O305" s="462">
        <f t="shared" si="116"/>
        <v>7</v>
      </c>
      <c r="P305" s="462">
        <f t="shared" si="117"/>
        <v>7</v>
      </c>
      <c r="Q305" s="462">
        <f t="shared" si="175"/>
        <v>15.3</v>
      </c>
      <c r="R305" s="462">
        <f t="shared" si="127"/>
        <v>7.65</v>
      </c>
      <c r="S305" s="465">
        <f t="shared" si="152"/>
        <v>7</v>
      </c>
      <c r="T305" s="1118" t="str">
        <f t="shared" si="118"/>
        <v>NSW</v>
      </c>
      <c r="U305" s="463" t="str">
        <f t="shared" si="163"/>
        <v/>
      </c>
      <c r="V305" s="464" t="str">
        <f t="shared" si="164"/>
        <v/>
      </c>
      <c r="W305" s="411">
        <f t="shared" si="165"/>
        <v>44752</v>
      </c>
      <c r="X305" s="410"/>
      <c r="Y305" s="458">
        <f t="shared" si="166"/>
        <v>73.400000000000006</v>
      </c>
      <c r="Z305" s="458">
        <f t="shared" si="167"/>
        <v>64.400000000000006</v>
      </c>
      <c r="AC305" s="977">
        <f t="shared" si="149"/>
        <v>44751.125</v>
      </c>
      <c r="AD305" s="1610" t="str">
        <f>IF(AND(HOUR(AC305)=HOUR(Worksheet!AF$68),DAY(AC305)=DAY(Worksheet!AF$68)),"START","")</f>
        <v/>
      </c>
      <c r="AE305" s="1149" t="str">
        <f>IF(AND(HOUR(AC305)=HOUR($F$186),DAY(AC305)=DAY($F$186)),(MID($B$189,6,3))*1,IF(AND(ISNUMBER(AE304),AC305&lt;$F$186+1+(1/25)),(MID($B$189,6+(3*COUNT($AE$207:AE304)),3))*1,""))</f>
        <v/>
      </c>
      <c r="AF305" s="1164">
        <f t="shared" si="168"/>
        <v>74.479999999999961</v>
      </c>
      <c r="AG305" s="1150">
        <f t="shared" si="136"/>
        <v>82.4</v>
      </c>
      <c r="AH305" s="1163" t="str">
        <f>IF(AND(ISNUMBER(AH304),AC305&lt;$F$186+26/25),(MID($B$190,6+(3*COUNT($AH$207:AH304)),3))*1,IF(AND(HOUR(AC305)=HOUR($F$186),DAY(AC305)=DAY($F$186)),(MID($B$190,6,3))*1,""))</f>
        <v/>
      </c>
      <c r="AI305" s="1901" t="str">
        <f t="shared" ref="AI305:AI315" si="186">IF(AH305="","",IF(AND(AE305&lt;0,AH305&gt;0),0-AH305,AH305))</f>
        <v/>
      </c>
      <c r="AJ305" s="1164">
        <f t="shared" si="137"/>
        <v>70.574000000000012</v>
      </c>
      <c r="AK305" s="1150">
        <f t="shared" si="138"/>
        <v>75.2</v>
      </c>
      <c r="AL305" s="1152">
        <f t="shared" si="169"/>
        <v>30</v>
      </c>
      <c r="AM305" s="1153">
        <f t="shared" si="139"/>
        <v>29.94</v>
      </c>
      <c r="AN305" s="1147"/>
      <c r="AO305" s="976" t="str">
        <f>IF(BA305="Y",AP305,IF(AND(ISNUMBER(AO304),AC305&lt;$F$186+26/25),(MID(INDEX($A$187:$B$210,MATCH("CIG",$A$187:$A$210,0),2),8+(3*COUNT($AO$207:AO304)),1))*1,IF(AND(HOUR(AC305)=HOUR($F$186),DAY(AC305)=DAY($F$186)),(MID(INDEX($A$187:$B$210,MATCH("CIG",$A$187:$A$210,0),2),8,1))*1,"")))</f>
        <v/>
      </c>
      <c r="AP305" s="1061" t="str">
        <f>IF(AND(ISNUMBER(AP304),AC305&lt;$F$186+26/25),(MID(INDEX($A$187:$B$210,MATCH("CCG",$A$187:$A$210,0),2),8+(3*COUNT($AP$207:AP304)),1))*1,IF(AND(HOUR(AC305)=HOUR($F$186),DAY(AC305)=DAY($F$186)),(MID(INDEX($A$187:$B$210,MATCH("CCG",$A$187:$A$210,0),2),8,1))*1,""))</f>
        <v/>
      </c>
      <c r="AQ305" s="1061" t="str">
        <f>IF(AND(AQ304&lt;&gt;"",AC305&lt;$F$186+26/25),MID(INDEX($A$187:$B$210,MATCH("CLD",$A$187:$A$210,0),2),7+(3*SUM(COUNTIF($AQ$207:AQ304,"OV"),COUNTIF($AQ$207:AQ304,"BK"),COUNTIF($AQ$207:AQ304,"SC"),COUNTIF($AQ$207:AQ304,"FW"),COUNTIF($AQ$207:AQ304,"CL"))),2),IF(AND(HOUR(AC305)=HOUR($F$186),DAY(AC305)=DAY($F$186)),MID(INDEX($A$187:$B$210,MATCH("CLD",$A$187:$A$210,0),2),7,2),""))</f>
        <v/>
      </c>
      <c r="AR305" s="1149" t="str">
        <f t="shared" si="178"/>
        <v/>
      </c>
      <c r="AS305" s="1150" t="str">
        <f t="shared" si="179"/>
        <v/>
      </c>
      <c r="AT305" s="112" t="str">
        <f t="shared" si="180"/>
        <v/>
      </c>
      <c r="AU305" s="1610" t="str">
        <f t="shared" si="181"/>
        <v/>
      </c>
      <c r="AV305" s="1148">
        <f t="shared" si="170"/>
        <v>40</v>
      </c>
      <c r="AW305" s="920" t="str">
        <f t="shared" si="173"/>
        <v>SCT</v>
      </c>
      <c r="AX305" s="1608">
        <f t="shared" si="171"/>
        <v>40</v>
      </c>
      <c r="AY305" s="112" t="str">
        <f>IF(BA305="Y",AZ305,IF(AND(ISNUMBER(AY304),AC305&lt;$F$186+26/25),(MID(INDEX($A$187:$B$210,MATCH("VIS",$A$187:$A$210,0),2),8+(3*COUNT($AY$207:AY304)),1))*1,IF(AND(HOUR(AC305)=HOUR($F$186),DAY(AC305)=DAY($F$186)),(MID(INDEX($A$187:$B$210,MATCH("VIS",$A$187:$A$210,0),2),8,1))*1,"")))</f>
        <v/>
      </c>
      <c r="AZ305" s="112" t="str">
        <f>IF(AND(ISNUMBER(AZ304),AC305&lt;$F$186+26/25),(MID(INDEX($A$187:$B$210,MATCH("CVS",$A$187:$A$210,0),2),8+(3*COUNT($AZ$207:AZ304)),1))*1,IF(AND(HOUR(AC305)=HOUR($F$186),DAY(AC305)=DAY($F$186)),(MID(INDEX($A$187:$B$210,MATCH("CVS",$A$187:$A$210,0),2),8,1))*1,""))</f>
        <v/>
      </c>
      <c r="BA305" s="1610" t="str">
        <f>IF(AND(BA304&lt;&gt;"",AC305&lt;$F$186+26/25),MID(INDEX($A$187:$B$210,MATCH("PCO",$A$187:$A$210,0),2),8+(3*SUM(COUNTIF($BA$207:BA304,"Y"),COUNTIF($BA$207:BA304,"N"))),1),IF(AND(HOUR(AC305)=HOUR($F$186),DAY(AC305)=DAY($F$186)),MID(INDEX($A$187:$B$210,MATCH("PCO",$A$187:$A$210,0),2),8,1),""))</f>
        <v/>
      </c>
      <c r="BB305" s="1610" t="e">
        <f>IF(AND(BB304&lt;&gt;"",AC305&lt;$F$186+26/25),MID(INDEX($A$187:$B$210,MATCH("TYP",$A$187:$A$210,0),2),8+(3*SUM(COUNTIF($BB$207:BB304,"S"),COUNTIF($BB$207:BB304,"Z"), COUNTIF($BB$207:BB304,"R"),COUNTIF($BB$207:BB304,"X"))),1),IF(AND(HOUR(AC305)=HOUR($F$186),DAY(AC305)=DAY($F$186)),MID(INDEX($A$187:$B$210,MATCH("TYP",$A$187:$A$210,0),2),8,1),""))</f>
        <v>#N/A</v>
      </c>
      <c r="BC305" s="112" t="str">
        <f>IF(AND(LEN(BC304)=2,AC305&lt;$F$186+26/25),MID(INDEX($A$187:$B$211,MATCH("OBV",$A$187:$A$211,0),2),7+(3*SUM(COUNTIF($BC$207:BC304," N"),COUNTIF($BC$207:BC304,"HZ"),COUNTIF($BC$207:BC304,"BR"),COUNTIF($BC$207:BC304,"FG"),COUNTIF($BC$207:BC304,"BL"))),2),IF(AND(HOUR(AC305)=HOUR($F$186),DAY(AC305)=DAY($F$186)),MID(INDEX($A$187:$B$211,MATCH("OBV",$A$187:$A$211,0),2),7,2),""))</f>
        <v/>
      </c>
      <c r="BD305" s="112"/>
      <c r="BE305" s="112"/>
      <c r="BF305" s="112"/>
      <c r="BG305" s="1610" t="str">
        <f t="shared" si="124"/>
        <v/>
      </c>
      <c r="BH305" s="115" t="str">
        <f t="shared" si="182"/>
        <v/>
      </c>
      <c r="BI305" s="200" t="str">
        <f t="shared" si="155"/>
        <v/>
      </c>
      <c r="BJ305" s="62" t="str">
        <f t="shared" si="154"/>
        <v/>
      </c>
      <c r="BK305" s="1145" t="str">
        <f t="shared" si="122"/>
        <v/>
      </c>
      <c r="BL305" s="62" t="str">
        <f t="shared" si="156"/>
        <v/>
      </c>
      <c r="BM305" s="1145" t="str">
        <f t="shared" si="150"/>
        <v/>
      </c>
      <c r="BN305" s="1901" t="str">
        <f t="shared" si="123"/>
        <v/>
      </c>
      <c r="BO305" s="1144" t="str">
        <f t="shared" si="157"/>
        <v/>
      </c>
      <c r="BP305" s="106" t="str">
        <f t="shared" ref="BP305:BP336" si="187">IF(OR(AC305&lt;($F$345-0.001),AC305&gt;($F$346+0.001)),"",IF(AC305-$F$345&lt;2.24,IF(MOD(HOUR(AC305),3)=0,(MID(INDEX($A$344:$B$369,MATCH("VIS",$A$344:$A$369,0),2),8+(3*(AC305-$F$345)*8),1))*1,IF(MOD(HOUR(AC304),3)=0,BP304,BP306)),IF(MOD(HOUR(AC305),6)=0,(MID(INDEX($A$344:$B$369,MATCH("VIS",$A$344:$A$369,0),2),62+(3*(ROUND(((AC305-$F$345)-2.25)*4,1))),1))*1,"")))</f>
        <v/>
      </c>
      <c r="BQ305" s="66" t="str">
        <f t="shared" si="158"/>
        <v/>
      </c>
      <c r="BR305" s="106" t="str">
        <f t="shared" si="159"/>
        <v/>
      </c>
      <c r="BS305" s="834" t="str">
        <f t="shared" si="176"/>
        <v/>
      </c>
      <c r="BT305" s="106" t="str">
        <f t="shared" si="160"/>
        <v/>
      </c>
      <c r="BU305" s="834" t="str">
        <f t="shared" si="145"/>
        <v/>
      </c>
      <c r="BV305" s="66" t="str">
        <f t="shared" si="183"/>
        <v/>
      </c>
      <c r="BW305" s="66" t="str">
        <f t="shared" si="184"/>
        <v/>
      </c>
      <c r="BX305" s="1198">
        <f t="shared" si="172"/>
        <v>7</v>
      </c>
      <c r="BY305" s="1146" t="str">
        <f t="shared" si="153"/>
        <v>NSW</v>
      </c>
      <c r="CA305" s="3675">
        <f t="shared" si="148"/>
        <v>44751.125</v>
      </c>
      <c r="CB305" s="3675"/>
    </row>
    <row r="306" spans="1:80" ht="10.5">
      <c r="A306" s="978" t="str">
        <f>Worksheet!Q143</f>
        <v>105000 17675971 -3200 170050408 7422222017 R ---160</v>
      </c>
      <c r="B306" s="452">
        <f t="shared" si="120"/>
        <v>44752.125</v>
      </c>
      <c r="C306" s="466">
        <f t="shared" ref="C306:C320" si="188">IF(B306="","",VALUE(CONCATENATE(IF(MID(A306,25,1)="0","3","2"),MID(A306,25,1),".",MID(A306,26,2))))</f>
        <v>30.05</v>
      </c>
      <c r="D306" s="454">
        <f t="shared" si="185"/>
        <v>3</v>
      </c>
      <c r="E306" s="476">
        <f t="shared" ref="E306:E322" si="189">IF(B306="","",IF(OR(F306="NONE",I306=""),40,IF(OR(VALUE(MID(A306,12,2))&gt;94,VALUE(MID(A306,14,2))&gt;94),100,70)))</f>
        <v>40</v>
      </c>
      <c r="F306" s="460" t="str">
        <f t="shared" si="174"/>
        <v>NONE</v>
      </c>
      <c r="G306" s="460" t="str">
        <f t="shared" ref="G306:G319" si="190">IF(D306="","",IF(F306="NONE","SCT",IF(F306&gt;249,250,IF(AND(F306&gt;199,F306&lt;250),200,IF(AND(F306&gt;99,F306&lt;200),MROUND(F306,10),IF(AND(F306&gt;49,F306&lt;100),MROUND(F306,5),IF(F306&lt;5,5,F306)))))))</f>
        <v>SCT</v>
      </c>
      <c r="H306" s="460" t="str">
        <f t="shared" ref="H306:H317" si="191">IF(G306="","",IF(AND(G306&lt;&gt;"SCT",G306&lt;20),G306,IF(VALUE(MID(A306,12,2))&gt;84,20,G306)))</f>
        <v>SCT</v>
      </c>
      <c r="I306" s="460">
        <f t="shared" si="177"/>
        <v>40</v>
      </c>
      <c r="J306" s="461">
        <f t="shared" ref="J306:J321" si="192">IF(B306="","",IF(VALUE(MID(A306,35,2))&lt;50,VALUE(MID(A306,35,2)),(100-VALUE(MID(A306,35,2)))*(0-1)))</f>
        <v>22</v>
      </c>
      <c r="K306" s="462">
        <f t="shared" si="161"/>
        <v>17</v>
      </c>
      <c r="L306" s="462">
        <f t="shared" si="162"/>
        <v>5</v>
      </c>
      <c r="M306" s="462">
        <f t="shared" ref="M306:M321" si="193">IF(B306="","",IF(AND(D306&gt;2,D306&lt;15,L306=2,OR(I306="",I306&gt;200)),6,7))</f>
        <v>7</v>
      </c>
      <c r="N306" s="462"/>
      <c r="O306" s="462">
        <f t="shared" ref="O306:O321" si="194">IF(B306="","",IF(AND(D306&gt;2,D306&lt;15,L306=1,OR(I306="",I306&gt;200)),3,IF(AND(D306&gt;2,D306&lt;15,L306=1,I306&lt;250),6,7)))</f>
        <v>7</v>
      </c>
      <c r="P306" s="462">
        <f t="shared" ref="P306:P321" si="195">IF(B306="","",IF(AND(D306&gt;2,D306&lt;15,L306&lt;1,OR(I306="",I306&gt;200)),1,IF(AND(D306&gt;2,D306&lt;15,L306&lt;1,I306&lt;201),2,7)))</f>
        <v>7</v>
      </c>
      <c r="Q306" s="462">
        <f t="shared" si="175"/>
        <v>16</v>
      </c>
      <c r="R306" s="462">
        <f t="shared" si="127"/>
        <v>8</v>
      </c>
      <c r="S306" s="465">
        <f t="shared" si="152"/>
        <v>7</v>
      </c>
      <c r="T306" s="1118" t="str">
        <f t="shared" ref="T306:T322" si="196">IF(S306="","",IF(S306&gt;6.99999,"NSW",IF(OR(MID(A306,44,1)="X",MID(A306,44,1)="T"),"TS",IF(MID(A306,44,1)="S","SN",IF(MID(A306,44,1)="R","RA",IF(MID(A306,44,1)="P","PL",IF(MID(A306,44,1)="Z","FZ","BR")))))))</f>
        <v>NSW</v>
      </c>
      <c r="U306" s="463" t="str">
        <f t="shared" si="163"/>
        <v/>
      </c>
      <c r="V306" s="464" t="str">
        <f t="shared" si="164"/>
        <v/>
      </c>
      <c r="W306" s="411">
        <f t="shared" si="165"/>
        <v>44752.125</v>
      </c>
      <c r="X306" s="410"/>
      <c r="Y306" s="458">
        <f t="shared" si="166"/>
        <v>71.599999999999994</v>
      </c>
      <c r="Z306" s="458">
        <f t="shared" si="167"/>
        <v>62.6</v>
      </c>
      <c r="AC306" s="977">
        <f t="shared" si="149"/>
        <v>44751.166666666664</v>
      </c>
      <c r="AD306" s="1610" t="str">
        <f>IF(AND(HOUR(AC306)=HOUR(Worksheet!AF$68),DAY(AC306)=DAY(Worksheet!AF$68)),"START","")</f>
        <v/>
      </c>
      <c r="AE306" s="1149" t="str">
        <f>IF(AND(HOUR(AC306)=HOUR($F$186),DAY(AC306)=DAY($F$186)),(MID($B$189,6,3))*1,IF(AND(ISNUMBER(AE305),AC306&lt;$F$186+1+(1/25)),(MID($B$189,6+(3*COUNT($AE$207:AE305)),3))*1,""))</f>
        <v/>
      </c>
      <c r="AF306" s="1164">
        <f t="shared" si="168"/>
        <v>74.311999999999998</v>
      </c>
      <c r="AG306" s="1150">
        <f t="shared" si="136"/>
        <v>81.2</v>
      </c>
      <c r="AH306" s="1163" t="str">
        <f>IF(AND(ISNUMBER(AH305),AC306&lt;$F$186+26/25),(MID($B$190,6+(3*COUNT($AH$207:AH305)),3))*1,IF(AND(HOUR(AC306)=HOUR($F$186),DAY(AC306)=DAY($F$186)),(MID($B$190,6,3))*1,""))</f>
        <v/>
      </c>
      <c r="AI306" s="1901" t="str">
        <f t="shared" si="186"/>
        <v/>
      </c>
      <c r="AJ306" s="1164">
        <f t="shared" si="137"/>
        <v>70.159999999999982</v>
      </c>
      <c r="AK306" s="1150">
        <f t="shared" si="138"/>
        <v>75.2</v>
      </c>
      <c r="AL306" s="1152">
        <f t="shared" si="169"/>
        <v>30</v>
      </c>
      <c r="AM306" s="1153">
        <f t="shared" si="139"/>
        <v>29.946666666666669</v>
      </c>
      <c r="AN306" s="1147"/>
      <c r="AO306" s="976" t="str">
        <f>IF(BA306="Y",AP306,IF(AND(ISNUMBER(AO305),AC306&lt;$F$186+26/25),(MID(INDEX($A$187:$B$210,MATCH("CIG",$A$187:$A$210,0),2),8+(3*COUNT($AO$207:AO305)),1))*1,IF(AND(HOUR(AC306)=HOUR($F$186),DAY(AC306)=DAY($F$186)),(MID(INDEX($A$187:$B$210,MATCH("CIG",$A$187:$A$210,0),2),8,1))*1,"")))</f>
        <v/>
      </c>
      <c r="AP306" s="1061" t="str">
        <f>IF(AND(ISNUMBER(AP305),AC306&lt;$F$186+26/25),(MID(INDEX($A$187:$B$210,MATCH("CCG",$A$187:$A$210,0),2),8+(3*COUNT($AP$207:AP305)),1))*1,IF(AND(HOUR(AC306)=HOUR($F$186),DAY(AC306)=DAY($F$186)),(MID(INDEX($A$187:$B$210,MATCH("CCG",$A$187:$A$210,0),2),8,1))*1,""))</f>
        <v/>
      </c>
      <c r="AQ306" s="1061" t="str">
        <f>IF(AND(AQ305&lt;&gt;"",AC306&lt;$F$186+26/25),MID(INDEX($A$187:$B$210,MATCH("CLD",$A$187:$A$210,0),2),7+(3*SUM(COUNTIF($AQ$207:AQ305,"OV"),COUNTIF($AQ$207:AQ305,"BK"),COUNTIF($AQ$207:AQ305,"SC"),COUNTIF($AQ$207:AQ305,"FW"),COUNTIF($AQ$207:AQ305,"CL"))),2),IF(AND(HOUR(AC306)=HOUR($F$186),DAY(AC306)=DAY($F$186)),MID(INDEX($A$187:$B$210,MATCH("CLD",$A$187:$A$210,0),2),7,2),""))</f>
        <v/>
      </c>
      <c r="AR306" s="1149" t="str">
        <f t="shared" si="178"/>
        <v/>
      </c>
      <c r="AS306" s="1150" t="str">
        <f t="shared" si="179"/>
        <v/>
      </c>
      <c r="AT306" s="112" t="str">
        <f t="shared" si="180"/>
        <v/>
      </c>
      <c r="AU306" s="1610" t="str">
        <f t="shared" si="181"/>
        <v/>
      </c>
      <c r="AV306" s="1148">
        <f t="shared" si="170"/>
        <v>50</v>
      </c>
      <c r="AW306" s="920" t="str">
        <f t="shared" si="173"/>
        <v>SCT</v>
      </c>
      <c r="AX306" s="1608">
        <f t="shared" si="171"/>
        <v>110</v>
      </c>
      <c r="AY306" s="112" t="str">
        <f>IF(BA306="Y",AZ306,IF(AND(ISNUMBER(AY305),AC306&lt;$F$186+26/25),(MID(INDEX($A$187:$B$210,MATCH("VIS",$A$187:$A$210,0),2),8+(3*COUNT($AY$207:AY305)),1))*1,IF(AND(HOUR(AC306)=HOUR($F$186),DAY(AC306)=DAY($F$186)),(MID(INDEX($A$187:$B$210,MATCH("VIS",$A$187:$A$210,0),2),8,1))*1,"")))</f>
        <v/>
      </c>
      <c r="AZ306" s="112" t="str">
        <f>IF(AND(ISNUMBER(AZ305),AC306&lt;$F$186+26/25),(MID(INDEX($A$187:$B$210,MATCH("CVS",$A$187:$A$210,0),2),8+(3*COUNT($AZ$207:AZ305)),1))*1,IF(AND(HOUR(AC306)=HOUR($F$186),DAY(AC306)=DAY($F$186)),(MID(INDEX($A$187:$B$210,MATCH("CVS",$A$187:$A$210,0),2),8,1))*1,""))</f>
        <v/>
      </c>
      <c r="BA306" s="1610" t="str">
        <f>IF(AND(BA305&lt;&gt;"",AC306&lt;$F$186+26/25),MID(INDEX($A$187:$B$210,MATCH("PCO",$A$187:$A$210,0),2),8+(3*SUM(COUNTIF($BA$207:BA305,"Y"),COUNTIF($BA$207:BA305,"N"))),1),IF(AND(HOUR(AC306)=HOUR($F$186),DAY(AC306)=DAY($F$186)),MID(INDEX($A$187:$B$210,MATCH("PCO",$A$187:$A$210,0),2),8,1),""))</f>
        <v/>
      </c>
      <c r="BB306" s="1610" t="e">
        <f>IF(AND(BB305&lt;&gt;"",AC306&lt;$F$186+26/25),MID(INDEX($A$187:$B$210,MATCH("TYP",$A$187:$A$210,0),2),8+(3*SUM(COUNTIF($BB$207:BB305,"S"),COUNTIF($BB$207:BB305,"Z"), COUNTIF($BB$207:BB305,"R"),COUNTIF($BB$207:BB305,"X"))),1),IF(AND(HOUR(AC306)=HOUR($F$186),DAY(AC306)=DAY($F$186)),MID(INDEX($A$187:$B$210,MATCH("TYP",$A$187:$A$210,0),2),8,1),""))</f>
        <v>#N/A</v>
      </c>
      <c r="BC306" s="112" t="str">
        <f>IF(AND(LEN(BC305)=2,AC306&lt;$F$186+26/25),MID(INDEX($A$187:$B$211,MATCH("OBV",$A$187:$A$211,0),2),7+(3*SUM(COUNTIF($BC$207:BC305," N"),COUNTIF($BC$207:BC305,"HZ"),COUNTIF($BC$207:BC305,"BR"),COUNTIF($BC$207:BC305,"FG"),COUNTIF($BC$207:BC305,"BL"))),2),IF(AND(HOUR(AC306)=HOUR($F$186),DAY(AC306)=DAY($F$186)),MID(INDEX($A$187:$B$211,MATCH("OBV",$A$187:$A$211,0),2),7,2),""))</f>
        <v/>
      </c>
      <c r="BD306" s="112"/>
      <c r="BE306" s="112"/>
      <c r="BF306" s="112"/>
      <c r="BG306" s="1610" t="str">
        <f t="shared" si="124"/>
        <v/>
      </c>
      <c r="BH306" s="115" t="str">
        <f t="shared" si="182"/>
        <v/>
      </c>
      <c r="BI306" s="200" t="str">
        <f t="shared" si="155"/>
        <v/>
      </c>
      <c r="BJ306" s="62" t="str">
        <f t="shared" si="154"/>
        <v/>
      </c>
      <c r="BK306" s="1145" t="str">
        <f t="shared" si="122"/>
        <v/>
      </c>
      <c r="BL306" s="62" t="str">
        <f t="shared" si="156"/>
        <v/>
      </c>
      <c r="BM306" s="1145" t="str">
        <f t="shared" si="150"/>
        <v/>
      </c>
      <c r="BN306" s="1901" t="str">
        <f t="shared" si="123"/>
        <v/>
      </c>
      <c r="BO306" s="1144" t="str">
        <f t="shared" si="157"/>
        <v/>
      </c>
      <c r="BP306" s="106" t="str">
        <f t="shared" si="187"/>
        <v/>
      </c>
      <c r="BQ306" s="66" t="str">
        <f t="shared" si="158"/>
        <v/>
      </c>
      <c r="BR306" s="106" t="str">
        <f t="shared" si="159"/>
        <v/>
      </c>
      <c r="BS306" s="834" t="str">
        <f t="shared" si="176"/>
        <v/>
      </c>
      <c r="BT306" s="106" t="str">
        <f t="shared" si="160"/>
        <v/>
      </c>
      <c r="BU306" s="834" t="str">
        <f t="shared" si="145"/>
        <v/>
      </c>
      <c r="BV306" s="66" t="str">
        <f t="shared" si="183"/>
        <v/>
      </c>
      <c r="BW306" s="66" t="str">
        <f t="shared" si="184"/>
        <v/>
      </c>
      <c r="BX306" s="1198">
        <f t="shared" si="172"/>
        <v>7</v>
      </c>
      <c r="BY306" s="1146" t="str">
        <f t="shared" si="153"/>
        <v>NSW</v>
      </c>
      <c r="CA306" s="3675">
        <f t="shared" si="148"/>
        <v>44751.166666666664</v>
      </c>
      <c r="CB306" s="3675"/>
    </row>
    <row r="307" spans="1:80" ht="10.5">
      <c r="A307" s="978" t="str">
        <f>Worksheet!Q144</f>
        <v>108000 15725971 01202 170050407 7320201917   ---158</v>
      </c>
      <c r="B307" s="452">
        <f t="shared" ref="B307:B319" si="197">IF(OR(LEFT(A307,1)="0",LEFT(A307,1)="1"),MROUND((VALUE(LEFT(A307,3))/24)+B$237,1/24),B$237)</f>
        <v>44752.25</v>
      </c>
      <c r="C307" s="466">
        <f t="shared" si="188"/>
        <v>30.05</v>
      </c>
      <c r="D307" s="454">
        <f t="shared" si="185"/>
        <v>6</v>
      </c>
      <c r="E307" s="476">
        <f t="shared" si="189"/>
        <v>40</v>
      </c>
      <c r="F307" s="460" t="str">
        <f t="shared" si="174"/>
        <v>NONE</v>
      </c>
      <c r="G307" s="460" t="str">
        <f t="shared" si="190"/>
        <v>SCT</v>
      </c>
      <c r="H307" s="460" t="str">
        <f t="shared" si="191"/>
        <v>SCT</v>
      </c>
      <c r="I307" s="460">
        <f t="shared" si="177"/>
        <v>40</v>
      </c>
      <c r="J307" s="461">
        <f t="shared" si="192"/>
        <v>20</v>
      </c>
      <c r="K307" s="462">
        <f t="shared" si="161"/>
        <v>15</v>
      </c>
      <c r="L307" s="462">
        <f t="shared" si="162"/>
        <v>5</v>
      </c>
      <c r="M307" s="462">
        <f t="shared" si="193"/>
        <v>7</v>
      </c>
      <c r="N307" s="462"/>
      <c r="O307" s="462">
        <f t="shared" si="194"/>
        <v>7</v>
      </c>
      <c r="P307" s="462">
        <f t="shared" si="195"/>
        <v>7</v>
      </c>
      <c r="Q307" s="462">
        <f t="shared" si="175"/>
        <v>15.8</v>
      </c>
      <c r="R307" s="462">
        <f t="shared" si="127"/>
        <v>7</v>
      </c>
      <c r="S307" s="465">
        <f t="shared" si="152"/>
        <v>7</v>
      </c>
      <c r="T307" s="1118" t="str">
        <f t="shared" si="196"/>
        <v>NSW</v>
      </c>
      <c r="U307" s="463" t="str">
        <f t="shared" si="163"/>
        <v/>
      </c>
      <c r="V307" s="464" t="str">
        <f t="shared" si="164"/>
        <v/>
      </c>
      <c r="W307" s="411">
        <f t="shared" si="165"/>
        <v>44752.25</v>
      </c>
      <c r="X307" s="410"/>
      <c r="Y307" s="458">
        <f t="shared" si="166"/>
        <v>68</v>
      </c>
      <c r="Z307" s="458">
        <f t="shared" si="167"/>
        <v>59</v>
      </c>
      <c r="AC307" s="977">
        <f t="shared" si="149"/>
        <v>44751.208333333328</v>
      </c>
      <c r="AD307" s="1610" t="str">
        <f>IF(AND(HOUR(AC307)=HOUR(Worksheet!AF$68),DAY(AC307)=DAY(Worksheet!AF$68)),"START","")</f>
        <v/>
      </c>
      <c r="AE307" s="1149" t="str">
        <f>IF(AND(HOUR(AC307)=HOUR($F$186),DAY(AC307)=DAY($F$186)),(MID($B$189,6,3))*1,IF(AND(ISNUMBER(AE306),AC307&lt;$F$186+1+(1/25)),(MID($B$189,6+(3*COUNT($AE$207:AE306)),3))*1,""))</f>
        <v/>
      </c>
      <c r="AF307" s="1164">
        <f t="shared" si="168"/>
        <v>74.14400000000002</v>
      </c>
      <c r="AG307" s="1150">
        <f t="shared" si="136"/>
        <v>80.000000000000014</v>
      </c>
      <c r="AH307" s="1163" t="str">
        <f>IF(AND(ISNUMBER(AH306),AC307&lt;$F$186+26/25),(MID($B$190,6+(3*COUNT($AH$207:AH306)),3))*1,IF(AND(HOUR(AC307)=HOUR($F$186),DAY(AC307)=DAY($F$186)),(MID($B$190,6,3))*1,""))</f>
        <v/>
      </c>
      <c r="AI307" s="1901" t="str">
        <f t="shared" si="186"/>
        <v/>
      </c>
      <c r="AJ307" s="1164">
        <f t="shared" si="137"/>
        <v>69.745999999999967</v>
      </c>
      <c r="AK307" s="1150">
        <f t="shared" si="138"/>
        <v>75.2</v>
      </c>
      <c r="AL307" s="1152">
        <f t="shared" si="169"/>
        <v>30</v>
      </c>
      <c r="AM307" s="1153">
        <f t="shared" si="139"/>
        <v>29.953333333333333</v>
      </c>
      <c r="AN307" s="1147"/>
      <c r="AO307" s="976" t="str">
        <f>IF(BA307="Y",AP307,IF(AND(ISNUMBER(AO306),AC307&lt;$F$186+26/25),(MID(INDEX($A$187:$B$210,MATCH("CIG",$A$187:$A$210,0),2),8+(3*COUNT($AO$207:AO306)),1))*1,IF(AND(HOUR(AC307)=HOUR($F$186),DAY(AC307)=DAY($F$186)),(MID(INDEX($A$187:$B$210,MATCH("CIG",$A$187:$A$210,0),2),8,1))*1,"")))</f>
        <v/>
      </c>
      <c r="AP307" s="1061" t="str">
        <f>IF(AND(ISNUMBER(AP306),AC307&lt;$F$186+26/25),(MID(INDEX($A$187:$B$210,MATCH("CCG",$A$187:$A$210,0),2),8+(3*COUNT($AP$207:AP306)),1))*1,IF(AND(HOUR(AC307)=HOUR($F$186),DAY(AC307)=DAY($F$186)),(MID(INDEX($A$187:$B$210,MATCH("CCG",$A$187:$A$210,0),2),8,1))*1,""))</f>
        <v/>
      </c>
      <c r="AQ307" s="1061" t="str">
        <f>IF(AND(AQ306&lt;&gt;"",AC307&lt;$F$186+26/25),MID(INDEX($A$187:$B$210,MATCH("CLD",$A$187:$A$210,0),2),7+(3*SUM(COUNTIF($AQ$207:AQ306,"OV"),COUNTIF($AQ$207:AQ306,"BK"),COUNTIF($AQ$207:AQ306,"SC"),COUNTIF($AQ$207:AQ306,"FW"),COUNTIF($AQ$207:AQ306,"CL"))),2),IF(AND(HOUR(AC307)=HOUR($F$186),DAY(AC307)=DAY($F$186)),MID(INDEX($A$187:$B$210,MATCH("CLD",$A$187:$A$210,0),2),7,2),""))</f>
        <v/>
      </c>
      <c r="AR307" s="1149" t="str">
        <f t="shared" si="178"/>
        <v/>
      </c>
      <c r="AS307" s="1150" t="str">
        <f t="shared" si="179"/>
        <v/>
      </c>
      <c r="AT307" s="112" t="str">
        <f t="shared" si="180"/>
        <v/>
      </c>
      <c r="AU307" s="1610" t="str">
        <f t="shared" si="181"/>
        <v/>
      </c>
      <c r="AV307" s="1148">
        <f t="shared" si="170"/>
        <v>60</v>
      </c>
      <c r="AW307" s="920" t="str">
        <f t="shared" si="173"/>
        <v>BKN</v>
      </c>
      <c r="AX307" s="1608">
        <f t="shared" si="171"/>
        <v>180</v>
      </c>
      <c r="AY307" s="112" t="str">
        <f>IF(BA307="Y",AZ307,IF(AND(ISNUMBER(AY306),AC307&lt;$F$186+26/25),(MID(INDEX($A$187:$B$210,MATCH("VIS",$A$187:$A$210,0),2),8+(3*COUNT($AY$207:AY306)),1))*1,IF(AND(HOUR(AC307)=HOUR($F$186),DAY(AC307)=DAY($F$186)),(MID(INDEX($A$187:$B$210,MATCH("VIS",$A$187:$A$210,0),2),8,1))*1,"")))</f>
        <v/>
      </c>
      <c r="AZ307" s="112" t="str">
        <f>IF(AND(ISNUMBER(AZ306),AC307&lt;$F$186+26/25),(MID(INDEX($A$187:$B$210,MATCH("CVS",$A$187:$A$210,0),2),8+(3*COUNT($AZ$207:AZ306)),1))*1,IF(AND(HOUR(AC307)=HOUR($F$186),DAY(AC307)=DAY($F$186)),(MID(INDEX($A$187:$B$210,MATCH("CVS",$A$187:$A$210,0),2),8,1))*1,""))</f>
        <v/>
      </c>
      <c r="BA307" s="1610" t="str">
        <f>IF(AND(BA306&lt;&gt;"",AC307&lt;$F$186+26/25),MID(INDEX($A$187:$B$210,MATCH("PCO",$A$187:$A$210,0),2),8+(3*SUM(COUNTIF($BA$207:BA306,"Y"),COUNTIF($BA$207:BA306,"N"))),1),IF(AND(HOUR(AC307)=HOUR($F$186),DAY(AC307)=DAY($F$186)),MID(INDEX($A$187:$B$210,MATCH("PCO",$A$187:$A$210,0),2),8,1),""))</f>
        <v/>
      </c>
      <c r="BB307" s="1610" t="e">
        <f>IF(AND(BB306&lt;&gt;"",AC307&lt;$F$186+26/25),MID(INDEX($A$187:$B$210,MATCH("TYP",$A$187:$A$210,0),2),8+(3*SUM(COUNTIF($BB$207:BB306,"S"),COUNTIF($BB$207:BB306,"Z"), COUNTIF($BB$207:BB306,"R"),COUNTIF($BB$207:BB306,"X"))),1),IF(AND(HOUR(AC307)=HOUR($F$186),DAY(AC307)=DAY($F$186)),MID(INDEX($A$187:$B$210,MATCH("TYP",$A$187:$A$210,0),2),8,1),""))</f>
        <v>#N/A</v>
      </c>
      <c r="BC307" s="112" t="str">
        <f>IF(AND(LEN(BC306)=2,AC307&lt;$F$186+26/25),MID(INDEX($A$187:$B$211,MATCH("OBV",$A$187:$A$211,0),2),7+(3*SUM(COUNTIF($BC$207:BC306," N"),COUNTIF($BC$207:BC306,"HZ"),COUNTIF($BC$207:BC306,"BR"),COUNTIF($BC$207:BC306,"FG"),COUNTIF($BC$207:BC306,"BL"))),2),IF(AND(HOUR(AC307)=HOUR($F$186),DAY(AC307)=DAY($F$186)),MID(INDEX($A$187:$B$211,MATCH("OBV",$A$187:$A$211,0),2),7,2),""))</f>
        <v/>
      </c>
      <c r="BD307" s="112"/>
      <c r="BE307" s="112"/>
      <c r="BF307" s="112"/>
      <c r="BG307" s="1610" t="str">
        <f t="shared" si="124"/>
        <v/>
      </c>
      <c r="BH307" s="115" t="str">
        <f t="shared" si="182"/>
        <v/>
      </c>
      <c r="BI307" s="200" t="str">
        <f t="shared" si="155"/>
        <v/>
      </c>
      <c r="BJ307" s="62" t="str">
        <f t="shared" si="154"/>
        <v/>
      </c>
      <c r="BK307" s="1145" t="str">
        <f t="shared" ref="BK307:BK349" si="198">IF(COUNT(BJ307:BJ312)&gt;0,IF(MOD(HOUR(AC307),6)=0,AVERAGE(MAX(BJ307:BJ313),MIN(BJ307:BJ313)),IF(MOD(HOUR(AC307),3)=0,MAX(BJ308:BJ313),IF(MOD(HOUR(AC306),3)=0,BK306,BK308))),"")</f>
        <v/>
      </c>
      <c r="BL307" s="62" t="str">
        <f t="shared" si="156"/>
        <v/>
      </c>
      <c r="BM307" s="1145" t="str">
        <f t="shared" si="150"/>
        <v/>
      </c>
      <c r="BN307" s="1901" t="str">
        <f t="shared" ref="BN307:BN370" si="199">IF(ISERROR(MATCH("OBV",$A$370:$A$394,0)),"",IF(OR(AC307&lt;($F$373-0.001),AC307&gt;($F$374+0.001)),"",IF(AC307-$F$373&lt;2.24,IF(MOD(HOUR(AC307),3)=0,MID(INDEX($A$370:$B$394,MATCH("OBV",$A$370:$A$394,0),2),7+(3*(AC307-$F$373)*8),2),IF(MOD(HOUR(AC306),3)=0,BN306,BN308)),IF(MOD(HOUR(AC307),6)=0,MID(INDEX($A$370:$B$394,MATCH("OBV",$A$370:$A$394,0),2),61+(3*(ROUND(((AC307-$F$373)-2.25)*4,2))),2),""))))</f>
        <v/>
      </c>
      <c r="BO307" s="1144" t="str">
        <f t="shared" si="157"/>
        <v/>
      </c>
      <c r="BP307" s="106" t="str">
        <f t="shared" si="187"/>
        <v/>
      </c>
      <c r="BQ307" s="66" t="str">
        <f t="shared" si="158"/>
        <v/>
      </c>
      <c r="BR307" s="106" t="str">
        <f t="shared" si="159"/>
        <v/>
      </c>
      <c r="BS307" s="834" t="str">
        <f t="shared" si="176"/>
        <v/>
      </c>
      <c r="BT307" s="106" t="str">
        <f t="shared" si="160"/>
        <v/>
      </c>
      <c r="BU307" s="834" t="str">
        <f t="shared" si="145"/>
        <v/>
      </c>
      <c r="BV307" s="66" t="str">
        <f t="shared" si="183"/>
        <v/>
      </c>
      <c r="BW307" s="66" t="str">
        <f t="shared" si="184"/>
        <v/>
      </c>
      <c r="BX307" s="1198">
        <f t="shared" si="172"/>
        <v>6</v>
      </c>
      <c r="BY307" s="1146" t="str">
        <f t="shared" si="153"/>
        <v>RA</v>
      </c>
      <c r="CA307" s="3675">
        <f t="shared" si="148"/>
        <v>44751.208333333328</v>
      </c>
      <c r="CB307" s="3675"/>
    </row>
    <row r="308" spans="1:80" ht="10.5">
      <c r="A308" s="978" t="str">
        <f>Worksheet!Q145</f>
        <v>111000 14795883 -1300 160030308 7318171917   ---153</v>
      </c>
      <c r="B308" s="452">
        <f t="shared" si="197"/>
        <v>44752.375</v>
      </c>
      <c r="C308" s="466">
        <f t="shared" si="188"/>
        <v>30.03</v>
      </c>
      <c r="D308" s="454">
        <f t="shared" si="185"/>
        <v>9</v>
      </c>
      <c r="E308" s="476">
        <f t="shared" si="189"/>
        <v>40</v>
      </c>
      <c r="F308" s="460" t="str">
        <f t="shared" si="174"/>
        <v>NONE</v>
      </c>
      <c r="G308" s="460" t="str">
        <f t="shared" si="190"/>
        <v>SCT</v>
      </c>
      <c r="H308" s="460" t="str">
        <f t="shared" si="191"/>
        <v>SCT</v>
      </c>
      <c r="I308" s="460">
        <f t="shared" si="177"/>
        <v>40</v>
      </c>
      <c r="J308" s="461">
        <f t="shared" si="192"/>
        <v>18</v>
      </c>
      <c r="K308" s="462">
        <f t="shared" si="161"/>
        <v>14</v>
      </c>
      <c r="L308" s="462">
        <f t="shared" si="162"/>
        <v>4</v>
      </c>
      <c r="M308" s="462">
        <f t="shared" si="193"/>
        <v>7</v>
      </c>
      <c r="N308" s="462"/>
      <c r="O308" s="462">
        <f t="shared" si="194"/>
        <v>7</v>
      </c>
      <c r="P308" s="462">
        <f t="shared" si="195"/>
        <v>7</v>
      </c>
      <c r="Q308" s="462">
        <f t="shared" si="175"/>
        <v>15.3</v>
      </c>
      <c r="R308" s="462">
        <f t="shared" si="127"/>
        <v>7</v>
      </c>
      <c r="S308" s="465">
        <f t="shared" si="152"/>
        <v>7</v>
      </c>
      <c r="T308" s="1118" t="str">
        <f t="shared" si="196"/>
        <v>NSW</v>
      </c>
      <c r="U308" s="463" t="str">
        <f t="shared" si="163"/>
        <v/>
      </c>
      <c r="V308" s="464" t="str">
        <f t="shared" si="164"/>
        <v/>
      </c>
      <c r="W308" s="411">
        <f t="shared" si="165"/>
        <v>44752.375</v>
      </c>
      <c r="X308" s="410"/>
      <c r="Y308" s="458">
        <f t="shared" si="166"/>
        <v>64.400000000000006</v>
      </c>
      <c r="Z308" s="458">
        <f t="shared" si="167"/>
        <v>57.2</v>
      </c>
      <c r="AC308" s="977">
        <f t="shared" si="149"/>
        <v>44751.25</v>
      </c>
      <c r="AD308" s="1610" t="str">
        <f>IF(AND(HOUR(AC308)=HOUR(Worksheet!AF$68),DAY(AC308)=DAY(Worksheet!AF$68)),"START","")</f>
        <v/>
      </c>
      <c r="AE308" s="1149" t="str">
        <f>IF(AND(HOUR(AC308)=HOUR($F$186),DAY(AC308)=DAY($F$186)),(MID($B$189,6,3))*1,IF(AND(ISNUMBER(AE307),AC308&lt;$F$186+1+(1/25)),(MID($B$189,6+(3*COUNT($AE$207:AE307)),3))*1,""))</f>
        <v/>
      </c>
      <c r="AF308" s="1164">
        <f t="shared" si="168"/>
        <v>73.976000000000056</v>
      </c>
      <c r="AG308" s="1150">
        <f t="shared" si="136"/>
        <v>78.800000000000011</v>
      </c>
      <c r="AH308" s="1163" t="str">
        <f>IF(AND(ISNUMBER(AH307),AC308&lt;$F$186+26/25),(MID($B$190,6+(3*COUNT($AH$207:AH307)),3))*1,IF(AND(HOUR(AC308)=HOUR($F$186),DAY(AC308)=DAY($F$186)),(MID($B$190,6,3))*1,""))</f>
        <v/>
      </c>
      <c r="AI308" s="1901" t="str">
        <f t="shared" si="186"/>
        <v/>
      </c>
      <c r="AJ308" s="1164">
        <f t="shared" si="137"/>
        <v>69.331999999999937</v>
      </c>
      <c r="AK308" s="1150">
        <f t="shared" si="138"/>
        <v>75.2</v>
      </c>
      <c r="AL308" s="1152">
        <f t="shared" si="169"/>
        <v>30</v>
      </c>
      <c r="AM308" s="1153">
        <f t="shared" si="139"/>
        <v>29.96</v>
      </c>
      <c r="AN308" s="1147"/>
      <c r="AO308" s="976" t="str">
        <f>IF(BA308="Y",AP308,IF(AND(ISNUMBER(AO307),AC308&lt;$F$186+26/25),(MID(INDEX($A$187:$B$210,MATCH("CIG",$A$187:$A$210,0),2),8+(3*COUNT($AO$207:AO307)),1))*1,IF(AND(HOUR(AC308)=HOUR($F$186),DAY(AC308)=DAY($F$186)),(MID(INDEX($A$187:$B$210,MATCH("CIG",$A$187:$A$210,0),2),8,1))*1,"")))</f>
        <v/>
      </c>
      <c r="AP308" s="1061" t="str">
        <f>IF(AND(ISNUMBER(AP307),AC308&lt;$F$186+26/25),(MID(INDEX($A$187:$B$210,MATCH("CCG",$A$187:$A$210,0),2),8+(3*COUNT($AP$207:AP307)),1))*1,IF(AND(HOUR(AC308)=HOUR($F$186),DAY(AC308)=DAY($F$186)),(MID(INDEX($A$187:$B$210,MATCH("CCG",$A$187:$A$210,0),2),8,1))*1,""))</f>
        <v/>
      </c>
      <c r="AQ308" s="1061" t="str">
        <f>IF(AND(AQ307&lt;&gt;"",AC308&lt;$F$186+26/25),MID(INDEX($A$187:$B$210,MATCH("CLD",$A$187:$A$210,0),2),7+(3*SUM(COUNTIF($AQ$207:AQ307,"OV"),COUNTIF($AQ$207:AQ307,"BK"),COUNTIF($AQ$207:AQ307,"SC"),COUNTIF($AQ$207:AQ307,"FW"),COUNTIF($AQ$207:AQ307,"CL"))),2),IF(AND(HOUR(AC308)=HOUR($F$186),DAY(AC308)=DAY($F$186)),MID(INDEX($A$187:$B$210,MATCH("CLD",$A$187:$A$210,0),2),7,2),""))</f>
        <v/>
      </c>
      <c r="AR308" s="1149" t="str">
        <f t="shared" si="178"/>
        <v/>
      </c>
      <c r="AS308" s="1150" t="str">
        <f t="shared" si="179"/>
        <v/>
      </c>
      <c r="AT308" s="112" t="str">
        <f t="shared" si="180"/>
        <v/>
      </c>
      <c r="AU308" s="1610" t="str">
        <f t="shared" si="181"/>
        <v/>
      </c>
      <c r="AV308" s="1148">
        <f t="shared" si="170"/>
        <v>70</v>
      </c>
      <c r="AW308" s="920" t="str">
        <f t="shared" si="173"/>
        <v>BKN</v>
      </c>
      <c r="AX308" s="1608">
        <f t="shared" si="171"/>
        <v>250</v>
      </c>
      <c r="AY308" s="112" t="str">
        <f>IF(BA308="Y",AZ308,IF(AND(ISNUMBER(AY307),AC308&lt;$F$186+26/25),(MID(INDEX($A$187:$B$210,MATCH("VIS",$A$187:$A$210,0),2),8+(3*COUNT($AY$207:AY307)),1))*1,IF(AND(HOUR(AC308)=HOUR($F$186),DAY(AC308)=DAY($F$186)),(MID(INDEX($A$187:$B$210,MATCH("VIS",$A$187:$A$210,0),2),8,1))*1,"")))</f>
        <v/>
      </c>
      <c r="AZ308" s="112" t="str">
        <f>IF(AND(ISNUMBER(AZ307),AC308&lt;$F$186+26/25),(MID(INDEX($A$187:$B$210,MATCH("CVS",$A$187:$A$210,0),2),8+(3*COUNT($AZ$207:AZ307)),1))*1,IF(AND(HOUR(AC308)=HOUR($F$186),DAY(AC308)=DAY($F$186)),(MID(INDEX($A$187:$B$210,MATCH("CVS",$A$187:$A$210,0),2),8,1))*1,""))</f>
        <v/>
      </c>
      <c r="BA308" s="1610" t="str">
        <f>IF(AND(BA307&lt;&gt;"",AC308&lt;$F$186+26/25),MID(INDEX($A$187:$B$210,MATCH("PCO",$A$187:$A$210,0),2),8+(3*SUM(COUNTIF($BA$207:BA307,"Y"),COUNTIF($BA$207:BA307,"N"))),1),IF(AND(HOUR(AC308)=HOUR($F$186),DAY(AC308)=DAY($F$186)),MID(INDEX($A$187:$B$210,MATCH("PCO",$A$187:$A$210,0),2),8,1),""))</f>
        <v/>
      </c>
      <c r="BB308" s="1610" t="e">
        <f>IF(AND(BB307&lt;&gt;"",AC308&lt;$F$186+26/25),MID(INDEX($A$187:$B$210,MATCH("TYP",$A$187:$A$210,0),2),8+(3*SUM(COUNTIF($BB$207:BB307,"S"),COUNTIF($BB$207:BB307,"Z"), COUNTIF($BB$207:BB307,"R"),COUNTIF($BB$207:BB307,"X"))),1),IF(AND(HOUR(AC308)=HOUR($F$186),DAY(AC308)=DAY($F$186)),MID(INDEX($A$187:$B$210,MATCH("TYP",$A$187:$A$210,0),2),8,1),""))</f>
        <v>#N/A</v>
      </c>
      <c r="BC308" s="112" t="str">
        <f>IF(AND(LEN(BC307)=2,AC308&lt;$F$186+26/25),MID(INDEX($A$187:$B$211,MATCH("OBV",$A$187:$A$211,0),2),7+(3*SUM(COUNTIF($BC$207:BC307," N"),COUNTIF($BC$207:BC307,"HZ"),COUNTIF($BC$207:BC307,"BR"),COUNTIF($BC$207:BC307,"FG"),COUNTIF($BC$207:BC307,"BL"))),2),IF(AND(HOUR(AC308)=HOUR($F$186),DAY(AC308)=DAY($F$186)),MID(INDEX($A$187:$B$211,MATCH("OBV",$A$187:$A$211,0),2),7,2),""))</f>
        <v/>
      </c>
      <c r="BD308" s="112"/>
      <c r="BE308" s="112"/>
      <c r="BF308" s="112"/>
      <c r="BG308" s="1610" t="str">
        <f t="shared" si="124"/>
        <v/>
      </c>
      <c r="BH308" s="115" t="str">
        <f t="shared" si="182"/>
        <v/>
      </c>
      <c r="BI308" s="200" t="str">
        <f t="shared" si="155"/>
        <v/>
      </c>
      <c r="BJ308" s="62" t="str">
        <f t="shared" si="154"/>
        <v/>
      </c>
      <c r="BK308" s="1145" t="str">
        <f t="shared" si="198"/>
        <v/>
      </c>
      <c r="BL308" s="62" t="str">
        <f t="shared" si="156"/>
        <v/>
      </c>
      <c r="BM308" s="1145" t="str">
        <f t="shared" si="150"/>
        <v/>
      </c>
      <c r="BN308" s="1901" t="str">
        <f t="shared" si="199"/>
        <v/>
      </c>
      <c r="BO308" s="1144" t="str">
        <f t="shared" si="157"/>
        <v/>
      </c>
      <c r="BP308" s="106" t="str">
        <f t="shared" si="187"/>
        <v/>
      </c>
      <c r="BQ308" s="66" t="str">
        <f t="shared" si="158"/>
        <v/>
      </c>
      <c r="BR308" s="106" t="str">
        <f t="shared" si="159"/>
        <v/>
      </c>
      <c r="BS308" s="834" t="str">
        <f t="shared" si="176"/>
        <v/>
      </c>
      <c r="BT308" s="106" t="str">
        <f t="shared" si="160"/>
        <v/>
      </c>
      <c r="BU308" s="834" t="str">
        <f t="shared" si="145"/>
        <v/>
      </c>
      <c r="BV308" s="66" t="str">
        <f t="shared" si="183"/>
        <v/>
      </c>
      <c r="BW308" s="66" t="str">
        <f t="shared" si="184"/>
        <v/>
      </c>
      <c r="BX308" s="1198">
        <f t="shared" si="172"/>
        <v>6</v>
      </c>
      <c r="BY308" s="1146" t="str">
        <f t="shared" si="153"/>
        <v>RA</v>
      </c>
      <c r="CA308" s="3675">
        <f t="shared" si="148"/>
        <v>44751.25</v>
      </c>
      <c r="CB308" s="3675"/>
    </row>
    <row r="309" spans="1:80" ht="10.5">
      <c r="A309" s="978" t="str">
        <f>Worksheet!Q146</f>
        <v>114000 13786075 00404 180080407 7117161917   ---157</v>
      </c>
      <c r="B309" s="452">
        <f t="shared" si="197"/>
        <v>44752.5</v>
      </c>
      <c r="C309" s="466">
        <f t="shared" si="188"/>
        <v>30.08</v>
      </c>
      <c r="D309" s="454">
        <f t="shared" si="185"/>
        <v>12</v>
      </c>
      <c r="E309" s="476">
        <f t="shared" si="189"/>
        <v>40</v>
      </c>
      <c r="F309" s="460" t="str">
        <f t="shared" si="174"/>
        <v>NONE</v>
      </c>
      <c r="G309" s="460" t="str">
        <f t="shared" si="190"/>
        <v>SCT</v>
      </c>
      <c r="H309" s="460" t="str">
        <f t="shared" si="191"/>
        <v>SCT</v>
      </c>
      <c r="I309" s="460">
        <f t="shared" si="177"/>
        <v>40</v>
      </c>
      <c r="J309" s="461">
        <f t="shared" si="192"/>
        <v>17</v>
      </c>
      <c r="K309" s="462">
        <f t="shared" si="161"/>
        <v>13</v>
      </c>
      <c r="L309" s="462">
        <f t="shared" si="162"/>
        <v>4</v>
      </c>
      <c r="M309" s="462">
        <f t="shared" si="193"/>
        <v>7</v>
      </c>
      <c r="N309" s="462"/>
      <c r="O309" s="462">
        <f t="shared" si="194"/>
        <v>7</v>
      </c>
      <c r="P309" s="462">
        <f t="shared" si="195"/>
        <v>7</v>
      </c>
      <c r="Q309" s="462">
        <f t="shared" si="175"/>
        <v>15.700000000000001</v>
      </c>
      <c r="R309" s="462">
        <f t="shared" si="127"/>
        <v>7</v>
      </c>
      <c r="S309" s="465">
        <f t="shared" si="152"/>
        <v>7</v>
      </c>
      <c r="T309" s="1118" t="str">
        <f t="shared" si="196"/>
        <v>NSW</v>
      </c>
      <c r="U309" s="463">
        <f t="shared" si="163"/>
        <v>40</v>
      </c>
      <c r="V309" s="464">
        <f t="shared" si="164"/>
        <v>8</v>
      </c>
      <c r="W309" s="411">
        <f t="shared" si="165"/>
        <v>44752.5</v>
      </c>
      <c r="X309" s="410"/>
      <c r="Y309" s="458">
        <f t="shared" si="166"/>
        <v>62.6</v>
      </c>
      <c r="Z309" s="458">
        <f t="shared" si="167"/>
        <v>55.400000000000006</v>
      </c>
      <c r="AC309" s="977">
        <f t="shared" si="149"/>
        <v>44751.291666666664</v>
      </c>
      <c r="AD309" s="1610" t="str">
        <f>IF(AND(HOUR(AC309)=HOUR(Worksheet!AF$68),DAY(AC309)=DAY(Worksheet!AF$68)),"START","")</f>
        <v/>
      </c>
      <c r="AE309" s="1149" t="str">
        <f>IF(AND(HOUR(AC309)=HOUR($F$186),DAY(AC309)=DAY($F$186)),(MID($B$189,6,3))*1,IF(AND(ISNUMBER(AE308),AC309&lt;$F$186+1+(1/25)),(MID($B$189,6+(3*COUNT($AE$207:AE308)),3))*1,""))</f>
        <v/>
      </c>
      <c r="AF309" s="1164" t="e">
        <f t="shared" si="168"/>
        <v>#VALUE!</v>
      </c>
      <c r="AG309" s="1150">
        <f t="shared" si="136"/>
        <v>78.2</v>
      </c>
      <c r="AH309" s="1163" t="str">
        <f>IF(AND(ISNUMBER(AH308),AC309&lt;$F$186+26/25),(MID($B$190,6+(3*COUNT($AH$207:AH308)),3))*1,IF(AND(HOUR(AC309)=HOUR($F$186),DAY(AC309)=DAY($F$186)),(MID($B$190,6,3))*1,""))</f>
        <v/>
      </c>
      <c r="AI309" s="1901" t="str">
        <f t="shared" si="186"/>
        <v/>
      </c>
      <c r="AJ309" s="1164" t="e">
        <f t="shared" si="137"/>
        <v>#VALUE!</v>
      </c>
      <c r="AK309" s="1150">
        <f t="shared" si="138"/>
        <v>75.2</v>
      </c>
      <c r="AL309" s="1152" t="e">
        <f t="shared" si="169"/>
        <v>#VALUE!</v>
      </c>
      <c r="AM309" s="1153">
        <f t="shared" si="139"/>
        <v>29.96</v>
      </c>
      <c r="AN309" s="1147"/>
      <c r="AO309" s="976" t="str">
        <f>IF(BA309="Y",AP309,IF(AND(ISNUMBER(AO308),AC309&lt;$F$186+26/25),(MID(INDEX($A$187:$B$210,MATCH("CIG",$A$187:$A$210,0),2),8+(3*COUNT($AO$207:AO308)),1))*1,IF(AND(HOUR(AC309)=HOUR($F$186),DAY(AC309)=DAY($F$186)),(MID(INDEX($A$187:$B$210,MATCH("CIG",$A$187:$A$210,0),2),8,1))*1,"")))</f>
        <v/>
      </c>
      <c r="AP309" s="1061" t="str">
        <f>IF(AND(ISNUMBER(AP308),AC309&lt;$F$186+26/25),(MID(INDEX($A$187:$B$210,MATCH("CCG",$A$187:$A$210,0),2),8+(3*COUNT($AP$207:AP308)),1))*1,IF(AND(HOUR(AC309)=HOUR($F$186),DAY(AC309)=DAY($F$186)),(MID(INDEX($A$187:$B$210,MATCH("CCG",$A$187:$A$210,0),2),8,1))*1,""))</f>
        <v/>
      </c>
      <c r="AQ309" s="1061" t="str">
        <f>IF(AND(AQ308&lt;&gt;"",AC309&lt;$F$186+26/25),MID(INDEX($A$187:$B$210,MATCH("CLD",$A$187:$A$210,0),2),7+(3*SUM(COUNTIF($AQ$207:AQ308,"OV"),COUNTIF($AQ$207:AQ308,"BK"),COUNTIF($AQ$207:AQ308,"SC"),COUNTIF($AQ$207:AQ308,"FW"),COUNTIF($AQ$207:AQ308,"CL"))),2),IF(AND(HOUR(AC309)=HOUR($F$186),DAY(AC309)=DAY($F$186)),MID(INDEX($A$187:$B$210,MATCH("CLD",$A$187:$A$210,0),2),7,2),""))</f>
        <v/>
      </c>
      <c r="AR309" s="1149" t="str">
        <f t="shared" si="178"/>
        <v/>
      </c>
      <c r="AS309" s="1150" t="str">
        <f t="shared" si="179"/>
        <v/>
      </c>
      <c r="AT309" s="112" t="str">
        <f t="shared" si="180"/>
        <v/>
      </c>
      <c r="AU309" s="1610" t="str">
        <f t="shared" si="181"/>
        <v/>
      </c>
      <c r="AV309" s="1148">
        <f t="shared" si="170"/>
        <v>70</v>
      </c>
      <c r="AW309" s="920" t="str">
        <f t="shared" si="173"/>
        <v>BKN</v>
      </c>
      <c r="AX309" s="1608">
        <f t="shared" si="171"/>
        <v>176.66666666666669</v>
      </c>
      <c r="AY309" s="112" t="str">
        <f>IF(BA309="Y",AZ309,IF(AND(ISNUMBER(AY308),AC309&lt;$F$186+26/25),(MID(INDEX($A$187:$B$210,MATCH("VIS",$A$187:$A$210,0),2),8+(3*COUNT($AY$207:AY308)),1))*1,IF(AND(HOUR(AC309)=HOUR($F$186),DAY(AC309)=DAY($F$186)),(MID(INDEX($A$187:$B$210,MATCH("VIS",$A$187:$A$210,0),2),8,1))*1,"")))</f>
        <v/>
      </c>
      <c r="AZ309" s="112" t="str">
        <f>IF(AND(ISNUMBER(AZ308),AC309&lt;$F$186+26/25),(MID(INDEX($A$187:$B$210,MATCH("CVS",$A$187:$A$210,0),2),8+(3*COUNT($AZ$207:AZ308)),1))*1,IF(AND(HOUR(AC309)=HOUR($F$186),DAY(AC309)=DAY($F$186)),(MID(INDEX($A$187:$B$210,MATCH("CVS",$A$187:$A$210,0),2),8,1))*1,""))</f>
        <v/>
      </c>
      <c r="BA309" s="1610" t="str">
        <f>IF(AND(BA308&lt;&gt;"",AC309&lt;$F$186+26/25),MID(INDEX($A$187:$B$210,MATCH("PCO",$A$187:$A$210,0),2),8+(3*SUM(COUNTIF($BA$207:BA308,"Y"),COUNTIF($BA$207:BA308,"N"))),1),IF(AND(HOUR(AC309)=HOUR($F$186),DAY(AC309)=DAY($F$186)),MID(INDEX($A$187:$B$210,MATCH("PCO",$A$187:$A$210,0),2),8,1),""))</f>
        <v/>
      </c>
      <c r="BB309" s="1610" t="e">
        <f>IF(AND(BB308&lt;&gt;"",AC309&lt;$F$186+26/25),MID(INDEX($A$187:$B$210,MATCH("TYP",$A$187:$A$210,0),2),8+(3*SUM(COUNTIF($BB$207:BB308,"S"),COUNTIF($BB$207:BB308,"Z"), COUNTIF($BB$207:BB308,"R"),COUNTIF($BB$207:BB308,"X"))),1),IF(AND(HOUR(AC309)=HOUR($F$186),DAY(AC309)=DAY($F$186)),MID(INDEX($A$187:$B$210,MATCH("TYP",$A$187:$A$210,0),2),8,1),""))</f>
        <v>#N/A</v>
      </c>
      <c r="BC309" s="112" t="str">
        <f>IF(AND(LEN(BC308)=2,AC309&lt;$F$186+26/25),MID(INDEX($A$187:$B$211,MATCH("OBV",$A$187:$A$211,0),2),7+(3*SUM(COUNTIF($BC$207:BC308," N"),COUNTIF($BC$207:BC308,"HZ"),COUNTIF($BC$207:BC308,"BR"),COUNTIF($BC$207:BC308,"FG"),COUNTIF($BC$207:BC308,"BL"))),2),IF(AND(HOUR(AC309)=HOUR($F$186),DAY(AC309)=DAY($F$186)),MID(INDEX($A$187:$B$211,MATCH("OBV",$A$187:$A$211,0),2),7,2),""))</f>
        <v/>
      </c>
      <c r="BD309" s="112"/>
      <c r="BE309" s="112"/>
      <c r="BF309" s="112"/>
      <c r="BG309" s="1610" t="str">
        <f t="shared" si="124"/>
        <v/>
      </c>
      <c r="BH309" s="115" t="str">
        <f t="shared" si="182"/>
        <v/>
      </c>
      <c r="BI309" s="200" t="str">
        <f t="shared" si="155"/>
        <v/>
      </c>
      <c r="BJ309" s="62" t="str">
        <f t="shared" si="154"/>
        <v/>
      </c>
      <c r="BK309" s="1145" t="str">
        <f t="shared" si="198"/>
        <v/>
      </c>
      <c r="BL309" s="62" t="str">
        <f t="shared" si="156"/>
        <v/>
      </c>
      <c r="BM309" s="1145" t="str">
        <f t="shared" si="150"/>
        <v/>
      </c>
      <c r="BN309" s="1901" t="str">
        <f t="shared" si="199"/>
        <v/>
      </c>
      <c r="BO309" s="1144" t="str">
        <f t="shared" si="157"/>
        <v/>
      </c>
      <c r="BP309" s="106" t="str">
        <f t="shared" si="187"/>
        <v/>
      </c>
      <c r="BQ309" s="66" t="str">
        <f t="shared" si="158"/>
        <v/>
      </c>
      <c r="BR309" s="106" t="str">
        <f t="shared" si="159"/>
        <v/>
      </c>
      <c r="BS309" s="834" t="str">
        <f t="shared" si="176"/>
        <v/>
      </c>
      <c r="BT309" s="106" t="str">
        <f t="shared" si="160"/>
        <v/>
      </c>
      <c r="BU309" s="834" t="str">
        <f t="shared" si="145"/>
        <v/>
      </c>
      <c r="BV309" s="66" t="str">
        <f t="shared" si="183"/>
        <v/>
      </c>
      <c r="BW309" s="66" t="str">
        <f t="shared" si="184"/>
        <v/>
      </c>
      <c r="BX309" s="1198">
        <f t="shared" si="172"/>
        <v>5</v>
      </c>
      <c r="BY309" s="1146" t="str">
        <f t="shared" si="153"/>
        <v>RA</v>
      </c>
      <c r="CA309" s="3675">
        <f t="shared" si="148"/>
        <v>44751.291666666664</v>
      </c>
      <c r="CB309" s="3675"/>
    </row>
    <row r="310" spans="1:80" ht="10.5">
      <c r="A310" s="978" t="str">
        <f>Worksheet!Q147</f>
        <v>117000 15716665 -0607 170070307 7322191917   ---167</v>
      </c>
      <c r="B310" s="452">
        <f t="shared" si="197"/>
        <v>44752.625</v>
      </c>
      <c r="C310" s="466">
        <f t="shared" si="188"/>
        <v>30.07</v>
      </c>
      <c r="D310" s="454">
        <f t="shared" si="185"/>
        <v>15</v>
      </c>
      <c r="E310" s="476">
        <f t="shared" si="189"/>
        <v>40</v>
      </c>
      <c r="F310" s="460" t="str">
        <f t="shared" si="174"/>
        <v>NONE</v>
      </c>
      <c r="G310" s="460" t="str">
        <f t="shared" si="190"/>
        <v>SCT</v>
      </c>
      <c r="H310" s="460" t="str">
        <f t="shared" si="191"/>
        <v>SCT</v>
      </c>
      <c r="I310" s="460">
        <f t="shared" si="177"/>
        <v>40</v>
      </c>
      <c r="J310" s="461">
        <f t="shared" si="192"/>
        <v>22</v>
      </c>
      <c r="K310" s="462">
        <f t="shared" si="161"/>
        <v>15</v>
      </c>
      <c r="L310" s="462">
        <f t="shared" si="162"/>
        <v>7</v>
      </c>
      <c r="M310" s="462">
        <f t="shared" si="193"/>
        <v>7</v>
      </c>
      <c r="N310" s="462"/>
      <c r="O310" s="462">
        <f t="shared" si="194"/>
        <v>7</v>
      </c>
      <c r="P310" s="462">
        <f t="shared" si="195"/>
        <v>7</v>
      </c>
      <c r="Q310" s="462">
        <f t="shared" si="175"/>
        <v>16.7</v>
      </c>
      <c r="R310" s="462">
        <f t="shared" si="127"/>
        <v>7</v>
      </c>
      <c r="S310" s="465">
        <f t="shared" si="152"/>
        <v>7</v>
      </c>
      <c r="T310" s="1118" t="str">
        <f t="shared" si="196"/>
        <v>NSW</v>
      </c>
      <c r="U310" s="463" t="str">
        <f t="shared" si="163"/>
        <v/>
      </c>
      <c r="V310" s="464" t="str">
        <f t="shared" si="164"/>
        <v/>
      </c>
      <c r="W310" s="411">
        <f t="shared" si="165"/>
        <v>44752.625</v>
      </c>
      <c r="X310" s="410"/>
      <c r="Y310" s="458">
        <f t="shared" si="166"/>
        <v>71.599999999999994</v>
      </c>
      <c r="Z310" s="458">
        <f t="shared" si="167"/>
        <v>59</v>
      </c>
      <c r="AC310" s="977">
        <f t="shared" si="149"/>
        <v>44751.333333333328</v>
      </c>
      <c r="AD310" s="1610" t="str">
        <f>IF(AND(HOUR(AC310)=HOUR(Worksheet!AF$68),DAY(AC310)=DAY(Worksheet!AF$68)),"START","")</f>
        <v/>
      </c>
      <c r="AE310" s="1149" t="str">
        <f>IF(AND(HOUR(AC310)=HOUR($F$186),DAY(AC310)=DAY($F$186)),(MID($B$189,6,3))*1,IF(AND(ISNUMBER(AE309),AC310&lt;$F$186+1+(1/25)),(MID($B$189,6+(3*COUNT($AE$207:AE309)),3))*1,""))</f>
        <v/>
      </c>
      <c r="AF310" s="1164" t="e">
        <f t="shared" si="168"/>
        <v>#VALUE!</v>
      </c>
      <c r="AG310" s="1150">
        <f t="shared" si="136"/>
        <v>77.600000000000009</v>
      </c>
      <c r="AH310" s="1163" t="str">
        <f>IF(AND(ISNUMBER(AH309),AC310&lt;$F$186+26/25),(MID($B$190,6+(3*COUNT($AH$207:AH309)),3))*1,IF(AND(HOUR(AC310)=HOUR($F$186),DAY(AC310)=DAY($F$186)),(MID($B$190,6,3))*1,""))</f>
        <v/>
      </c>
      <c r="AI310" s="1901" t="str">
        <f t="shared" si="186"/>
        <v/>
      </c>
      <c r="AJ310" s="1164" t="e">
        <f t="shared" si="137"/>
        <v>#VALUE!</v>
      </c>
      <c r="AK310" s="1150">
        <f t="shared" si="138"/>
        <v>75.2</v>
      </c>
      <c r="AL310" s="1152" t="e">
        <f t="shared" si="169"/>
        <v>#VALUE!</v>
      </c>
      <c r="AM310" s="1153">
        <f t="shared" si="139"/>
        <v>29.96</v>
      </c>
      <c r="AN310" s="1147"/>
      <c r="AO310" s="976" t="str">
        <f>IF(BA310="Y",AP310,IF(AND(ISNUMBER(AO309),AC310&lt;$F$186+26/25),(MID(INDEX($A$187:$B$210,MATCH("CIG",$A$187:$A$210,0),2),8+(3*COUNT($AO$207:AO309)),1))*1,IF(AND(HOUR(AC310)=HOUR($F$186),DAY(AC310)=DAY($F$186)),(MID(INDEX($A$187:$B$210,MATCH("CIG",$A$187:$A$210,0),2),8,1))*1,"")))</f>
        <v/>
      </c>
      <c r="AP310" s="1061" t="str">
        <f>IF(AND(ISNUMBER(AP309),AC310&lt;$F$186+26/25),(MID(INDEX($A$187:$B$210,MATCH("CCG",$A$187:$A$210,0),2),8+(3*COUNT($AP$207:AP309)),1))*1,IF(AND(HOUR(AC310)=HOUR($F$186),DAY(AC310)=DAY($F$186)),(MID(INDEX($A$187:$B$210,MATCH("CCG",$A$187:$A$210,0),2),8,1))*1,""))</f>
        <v/>
      </c>
      <c r="AQ310" s="1061" t="str">
        <f>IF(AND(AQ309&lt;&gt;"",AC310&lt;$F$186+26/25),MID(INDEX($A$187:$B$210,MATCH("CLD",$A$187:$A$210,0),2),7+(3*SUM(COUNTIF($AQ$207:AQ309,"OV"),COUNTIF($AQ$207:AQ309,"BK"),COUNTIF($AQ$207:AQ309,"SC"),COUNTIF($AQ$207:AQ309,"FW"),COUNTIF($AQ$207:AQ309,"CL"))),2),IF(AND(HOUR(AC310)=HOUR($F$186),DAY(AC310)=DAY($F$186)),MID(INDEX($A$187:$B$210,MATCH("CLD",$A$187:$A$210,0),2),7,2),""))</f>
        <v/>
      </c>
      <c r="AR310" s="1149" t="str">
        <f t="shared" si="178"/>
        <v/>
      </c>
      <c r="AS310" s="1150" t="str">
        <f t="shared" si="179"/>
        <v/>
      </c>
      <c r="AT310" s="112" t="str">
        <f t="shared" si="180"/>
        <v/>
      </c>
      <c r="AU310" s="1610" t="str">
        <f t="shared" si="181"/>
        <v/>
      </c>
      <c r="AV310" s="1148">
        <f t="shared" si="170"/>
        <v>70</v>
      </c>
      <c r="AW310" s="920" t="str">
        <f t="shared" si="173"/>
        <v>BKN</v>
      </c>
      <c r="AX310" s="1608">
        <f t="shared" si="171"/>
        <v>103.33333333333334</v>
      </c>
      <c r="AY310" s="112" t="str">
        <f>IF(BA310="Y",AZ310,IF(AND(ISNUMBER(AY309),AC310&lt;$F$186+26/25),(MID(INDEX($A$187:$B$210,MATCH("VIS",$A$187:$A$210,0),2),8+(3*COUNT($AY$207:AY309)),1))*1,IF(AND(HOUR(AC310)=HOUR($F$186),DAY(AC310)=DAY($F$186)),(MID(INDEX($A$187:$B$210,MATCH("VIS",$A$187:$A$210,0),2),8,1))*1,"")))</f>
        <v/>
      </c>
      <c r="AZ310" s="112" t="str">
        <f>IF(AND(ISNUMBER(AZ309),AC310&lt;$F$186+26/25),(MID(INDEX($A$187:$B$210,MATCH("CVS",$A$187:$A$210,0),2),8+(3*COUNT($AZ$207:AZ309)),1))*1,IF(AND(HOUR(AC310)=HOUR($F$186),DAY(AC310)=DAY($F$186)),(MID(INDEX($A$187:$B$210,MATCH("CVS",$A$187:$A$210,0),2),8,1))*1,""))</f>
        <v/>
      </c>
      <c r="BA310" s="1610" t="str">
        <f>IF(AND(BA309&lt;&gt;"",AC310&lt;$F$186+26/25),MID(INDEX($A$187:$B$210,MATCH("PCO",$A$187:$A$210,0),2),8+(3*SUM(COUNTIF($BA$207:BA309,"Y"),COUNTIF($BA$207:BA309,"N"))),1),IF(AND(HOUR(AC310)=HOUR($F$186),DAY(AC310)=DAY($F$186)),MID(INDEX($A$187:$B$210,MATCH("PCO",$A$187:$A$210,0),2),8,1),""))</f>
        <v/>
      </c>
      <c r="BB310" s="1610" t="e">
        <f>IF(AND(BB309&lt;&gt;"",AC310&lt;$F$186+26/25),MID(INDEX($A$187:$B$210,MATCH("TYP",$A$187:$A$210,0),2),8+(3*SUM(COUNTIF($BB$207:BB309,"S"),COUNTIF($BB$207:BB309,"Z"), COUNTIF($BB$207:BB309,"R"),COUNTIF($BB$207:BB309,"X"))),1),IF(AND(HOUR(AC310)=HOUR($F$186),DAY(AC310)=DAY($F$186)),MID(INDEX($A$187:$B$210,MATCH("TYP",$A$187:$A$210,0),2),8,1),""))</f>
        <v>#N/A</v>
      </c>
      <c r="BC310" s="112" t="str">
        <f>IF(AND(LEN(BC309)=2,AC310&lt;$F$186+26/25),MID(INDEX($A$187:$B$211,MATCH("OBV",$A$187:$A$211,0),2),7+(3*SUM(COUNTIF($BC$207:BC309," N"),COUNTIF($BC$207:BC309,"HZ"),COUNTIF($BC$207:BC309,"BR"),COUNTIF($BC$207:BC309,"FG"),COUNTIF($BC$207:BC309,"BL"))),2),IF(AND(HOUR(AC310)=HOUR($F$186),DAY(AC310)=DAY($F$186)),MID(INDEX($A$187:$B$211,MATCH("OBV",$A$187:$A$211,0),2),7,2),""))</f>
        <v/>
      </c>
      <c r="BD310" s="112"/>
      <c r="BE310" s="112"/>
      <c r="BF310" s="112"/>
      <c r="BG310" s="1610" t="str">
        <f t="shared" ref="BG310:BG373" si="200">IF(BA310="Y",IF(ISERROR(BB310),"RA",BB310),IF(AY310=7,IF(OR(BC310="BR",BC310="HZ")," N",BC310),BC310))</f>
        <v/>
      </c>
      <c r="BH310" s="115" t="str">
        <f t="shared" si="182"/>
        <v/>
      </c>
      <c r="BI310" s="200" t="str">
        <f t="shared" si="155"/>
        <v/>
      </c>
      <c r="BJ310" s="62" t="str">
        <f t="shared" si="154"/>
        <v/>
      </c>
      <c r="BK310" s="1145" t="str">
        <f t="shared" si="198"/>
        <v/>
      </c>
      <c r="BL310" s="62" t="str">
        <f t="shared" si="156"/>
        <v/>
      </c>
      <c r="BM310" s="1145" t="str">
        <f t="shared" si="150"/>
        <v/>
      </c>
      <c r="BN310" s="1901" t="str">
        <f t="shared" si="199"/>
        <v/>
      </c>
      <c r="BO310" s="1144" t="str">
        <f t="shared" si="157"/>
        <v/>
      </c>
      <c r="BP310" s="106" t="str">
        <f t="shared" si="187"/>
        <v/>
      </c>
      <c r="BQ310" s="66" t="str">
        <f t="shared" si="158"/>
        <v/>
      </c>
      <c r="BR310" s="106" t="str">
        <f t="shared" si="159"/>
        <v/>
      </c>
      <c r="BS310" s="834" t="str">
        <f t="shared" si="176"/>
        <v/>
      </c>
      <c r="BT310" s="106" t="str">
        <f t="shared" si="160"/>
        <v/>
      </c>
      <c r="BU310" s="834" t="str">
        <f t="shared" si="145"/>
        <v/>
      </c>
      <c r="BV310" s="66" t="str">
        <f t="shared" si="183"/>
        <v/>
      </c>
      <c r="BW310" s="66" t="str">
        <f t="shared" si="184"/>
        <v/>
      </c>
      <c r="BX310" s="1198">
        <f t="shared" si="172"/>
        <v>4</v>
      </c>
      <c r="BY310" s="1146" t="str">
        <f t="shared" si="153"/>
        <v>TS</v>
      </c>
      <c r="CA310" s="3675">
        <f t="shared" si="148"/>
        <v>44751.333333333328</v>
      </c>
      <c r="CB310" s="3675"/>
    </row>
    <row r="311" spans="1:80" ht="10.5">
      <c r="A311" s="978" t="str">
        <f>Worksheet!Q148</f>
        <v>120000 17607380 -1703 160040408 7426231916   ---173</v>
      </c>
      <c r="B311" s="452">
        <f t="shared" si="197"/>
        <v>44752.75</v>
      </c>
      <c r="C311" s="466">
        <f t="shared" si="188"/>
        <v>30.04</v>
      </c>
      <c r="D311" s="454">
        <f t="shared" si="185"/>
        <v>18</v>
      </c>
      <c r="E311" s="476">
        <f t="shared" si="189"/>
        <v>40</v>
      </c>
      <c r="F311" s="460" t="str">
        <f t="shared" si="174"/>
        <v>NONE</v>
      </c>
      <c r="G311" s="460" t="str">
        <f t="shared" si="190"/>
        <v>SCT</v>
      </c>
      <c r="H311" s="460" t="str">
        <f t="shared" si="191"/>
        <v>SCT</v>
      </c>
      <c r="I311" s="460">
        <f t="shared" si="177"/>
        <v>40</v>
      </c>
      <c r="J311" s="461">
        <f t="shared" si="192"/>
        <v>26</v>
      </c>
      <c r="K311" s="462">
        <f t="shared" si="161"/>
        <v>17</v>
      </c>
      <c r="L311" s="462">
        <f t="shared" si="162"/>
        <v>9</v>
      </c>
      <c r="M311" s="462">
        <f t="shared" si="193"/>
        <v>7</v>
      </c>
      <c r="N311" s="462"/>
      <c r="O311" s="462">
        <f t="shared" si="194"/>
        <v>7</v>
      </c>
      <c r="P311" s="462">
        <f t="shared" si="195"/>
        <v>7</v>
      </c>
      <c r="Q311" s="462">
        <f t="shared" si="175"/>
        <v>17.3</v>
      </c>
      <c r="R311" s="462">
        <f t="shared" si="127"/>
        <v>7</v>
      </c>
      <c r="S311" s="465">
        <f t="shared" si="152"/>
        <v>7</v>
      </c>
      <c r="T311" s="1118" t="str">
        <f t="shared" si="196"/>
        <v>NSW</v>
      </c>
      <c r="U311" s="463" t="str">
        <f t="shared" si="163"/>
        <v/>
      </c>
      <c r="V311" s="464" t="str">
        <f t="shared" si="164"/>
        <v/>
      </c>
      <c r="W311" s="411">
        <f t="shared" si="165"/>
        <v>44752.75</v>
      </c>
      <c r="X311" s="410"/>
      <c r="Y311" s="458">
        <f t="shared" si="166"/>
        <v>78.800000000000011</v>
      </c>
      <c r="Z311" s="458">
        <f t="shared" si="167"/>
        <v>62.6</v>
      </c>
      <c r="AC311" s="977">
        <f t="shared" si="149"/>
        <v>44751.375</v>
      </c>
      <c r="AD311" s="1610" t="str">
        <f>IF(AND(HOUR(AC311)=HOUR(Worksheet!AF$68),DAY(AC311)=DAY(Worksheet!AF$68)),"START","")</f>
        <v/>
      </c>
      <c r="AE311" s="1149" t="str">
        <f>IF(AND(HOUR(AC311)=HOUR($F$186),DAY(AC311)=DAY($F$186)),(MID($B$189,6,3))*1,IF(AND(ISNUMBER(AE310),AC311&lt;$F$186+1+(1/25)),(MID($B$189,6+(3*COUNT($AE$207:AE310)),3))*1,""))</f>
        <v/>
      </c>
      <c r="AF311" s="1164" t="e">
        <f t="shared" si="168"/>
        <v>#VALUE!</v>
      </c>
      <c r="AG311" s="1150">
        <f t="shared" si="136"/>
        <v>77</v>
      </c>
      <c r="AH311" s="1163" t="str">
        <f>IF(AND(ISNUMBER(AH310),AC311&lt;$F$186+26/25),(MID($B$190,6+(3*COUNT($AH$207:AH310)),3))*1,IF(AND(HOUR(AC311)=HOUR($F$186),DAY(AC311)=DAY($F$186)),(MID($B$190,6,3))*1,""))</f>
        <v/>
      </c>
      <c r="AI311" s="1901" t="str">
        <f t="shared" si="186"/>
        <v/>
      </c>
      <c r="AJ311" s="1164" t="e">
        <f t="shared" si="137"/>
        <v>#VALUE!</v>
      </c>
      <c r="AK311" s="1150">
        <f t="shared" si="138"/>
        <v>75.2</v>
      </c>
      <c r="AL311" s="1152" t="e">
        <f t="shared" si="169"/>
        <v>#VALUE!</v>
      </c>
      <c r="AM311" s="1153">
        <f t="shared" si="139"/>
        <v>29.96</v>
      </c>
      <c r="AN311" s="1147"/>
      <c r="AO311" s="976" t="str">
        <f>IF(BA311="Y",AP311,IF(AND(ISNUMBER(AO310),AC311&lt;$F$186+26/25),(MID(INDEX($A$187:$B$210,MATCH("CIG",$A$187:$A$210,0),2),8+(3*COUNT($AO$207:AO310)),1))*1,IF(AND(HOUR(AC311)=HOUR($F$186),DAY(AC311)=DAY($F$186)),(MID(INDEX($A$187:$B$210,MATCH("CIG",$A$187:$A$210,0),2),8,1))*1,"")))</f>
        <v/>
      </c>
      <c r="AP311" s="1061" t="str">
        <f>IF(AND(ISNUMBER(AP310),AC311&lt;$F$186+26/25),(MID(INDEX($A$187:$B$210,MATCH("CCG",$A$187:$A$210,0),2),8+(3*COUNT($AP$207:AP310)),1))*1,IF(AND(HOUR(AC311)=HOUR($F$186),DAY(AC311)=DAY($F$186)),(MID(INDEX($A$187:$B$210,MATCH("CCG",$A$187:$A$210,0),2),8,1))*1,""))</f>
        <v/>
      </c>
      <c r="AQ311" s="1061" t="str">
        <f>IF(AND(AQ310&lt;&gt;"",AC311&lt;$F$186+26/25),MID(INDEX($A$187:$B$210,MATCH("CLD",$A$187:$A$210,0),2),7+(3*SUM(COUNTIF($AQ$207:AQ310,"OV"),COUNTIF($AQ$207:AQ310,"BK"),COUNTIF($AQ$207:AQ310,"SC"),COUNTIF($AQ$207:AQ310,"FW"),COUNTIF($AQ$207:AQ310,"CL"))),2),IF(AND(HOUR(AC311)=HOUR($F$186),DAY(AC311)=DAY($F$186)),MID(INDEX($A$187:$B$210,MATCH("CLD",$A$187:$A$210,0),2),7,2),""))</f>
        <v/>
      </c>
      <c r="AR311" s="1149" t="str">
        <f t="shared" si="178"/>
        <v/>
      </c>
      <c r="AS311" s="1150" t="str">
        <f t="shared" si="179"/>
        <v/>
      </c>
      <c r="AT311" s="112" t="str">
        <f t="shared" si="180"/>
        <v/>
      </c>
      <c r="AU311" s="1610" t="str">
        <f t="shared" si="181"/>
        <v/>
      </c>
      <c r="AV311" s="1148">
        <f t="shared" si="170"/>
        <v>70</v>
      </c>
      <c r="AW311" s="920" t="str">
        <f t="shared" si="173"/>
        <v>BKN</v>
      </c>
      <c r="AX311" s="1608">
        <f t="shared" si="171"/>
        <v>30</v>
      </c>
      <c r="AY311" s="112" t="str">
        <f>IF(BA311="Y",AZ311,IF(AND(ISNUMBER(AY310),AC311&lt;$F$186+26/25),(MID(INDEX($A$187:$B$210,MATCH("VIS",$A$187:$A$210,0),2),8+(3*COUNT($AY$207:AY310)),1))*1,IF(AND(HOUR(AC311)=HOUR($F$186),DAY(AC311)=DAY($F$186)),(MID(INDEX($A$187:$B$210,MATCH("VIS",$A$187:$A$210,0),2),8,1))*1,"")))</f>
        <v/>
      </c>
      <c r="AZ311" s="112" t="str">
        <f>IF(AND(ISNUMBER(AZ310),AC311&lt;$F$186+26/25),(MID(INDEX($A$187:$B$210,MATCH("CVS",$A$187:$A$210,0),2),8+(3*COUNT($AZ$207:AZ310)),1))*1,IF(AND(HOUR(AC311)=HOUR($F$186),DAY(AC311)=DAY($F$186)),(MID(INDEX($A$187:$B$210,MATCH("CVS",$A$187:$A$210,0),2),8,1))*1,""))</f>
        <v/>
      </c>
      <c r="BA311" s="1610" t="str">
        <f>IF(AND(BA310&lt;&gt;"",AC311&lt;$F$186+26/25),MID(INDEX($A$187:$B$210,MATCH("PCO",$A$187:$A$210,0),2),8+(3*SUM(COUNTIF($BA$207:BA310,"Y"),COUNTIF($BA$207:BA310,"N"))),1),IF(AND(HOUR(AC311)=HOUR($F$186),DAY(AC311)=DAY($F$186)),MID(INDEX($A$187:$B$210,MATCH("PCO",$A$187:$A$210,0),2),8,1),""))</f>
        <v/>
      </c>
      <c r="BB311" s="1610" t="e">
        <f>IF(AND(BB310&lt;&gt;"",AC311&lt;$F$186+26/25),MID(INDEX($A$187:$B$210,MATCH("TYP",$A$187:$A$210,0),2),8+(3*SUM(COUNTIF($BB$207:BB310,"S"),COUNTIF($BB$207:BB310,"Z"), COUNTIF($BB$207:BB310,"R"),COUNTIF($BB$207:BB310,"X"))),1),IF(AND(HOUR(AC311)=HOUR($F$186),DAY(AC311)=DAY($F$186)),MID(INDEX($A$187:$B$210,MATCH("TYP",$A$187:$A$210,0),2),8,1),""))</f>
        <v>#N/A</v>
      </c>
      <c r="BC311" s="112" t="str">
        <f>IF(AND(LEN(BC310)=2,AC311&lt;$F$186+26/25),MID(INDEX($A$187:$B$211,MATCH("OBV",$A$187:$A$211,0),2),7+(3*SUM(COUNTIF($BC$207:BC310," N"),COUNTIF($BC$207:BC310,"HZ"),COUNTIF($BC$207:BC310,"BR"),COUNTIF($BC$207:BC310,"FG"),COUNTIF($BC$207:BC310,"BL"))),2),IF(AND(HOUR(AC311)=HOUR($F$186),DAY(AC311)=DAY($F$186)),MID(INDEX($A$187:$B$211,MATCH("OBV",$A$187:$A$211,0),2),7,2),""))</f>
        <v/>
      </c>
      <c r="BD311" s="112"/>
      <c r="BE311" s="112"/>
      <c r="BF311" s="112"/>
      <c r="BG311" s="1610" t="str">
        <f t="shared" si="200"/>
        <v/>
      </c>
      <c r="BH311" s="115" t="str">
        <f t="shared" si="182"/>
        <v/>
      </c>
      <c r="BI311" s="200" t="str">
        <f t="shared" si="155"/>
        <v/>
      </c>
      <c r="BJ311" s="62" t="str">
        <f t="shared" si="154"/>
        <v/>
      </c>
      <c r="BK311" s="1145" t="str">
        <f t="shared" si="198"/>
        <v/>
      </c>
      <c r="BL311" s="62" t="str">
        <f t="shared" si="156"/>
        <v/>
      </c>
      <c r="BM311" s="1145" t="str">
        <f t="shared" si="150"/>
        <v/>
      </c>
      <c r="BN311" s="1901" t="str">
        <f t="shared" si="199"/>
        <v/>
      </c>
      <c r="BO311" s="1144" t="str">
        <f t="shared" si="157"/>
        <v/>
      </c>
      <c r="BP311" s="106" t="str">
        <f t="shared" si="187"/>
        <v/>
      </c>
      <c r="BQ311" s="66" t="str">
        <f t="shared" si="158"/>
        <v/>
      </c>
      <c r="BR311" s="106" t="str">
        <f t="shared" si="159"/>
        <v/>
      </c>
      <c r="BS311" s="834" t="str">
        <f t="shared" si="176"/>
        <v/>
      </c>
      <c r="BT311" s="106" t="str">
        <f t="shared" si="160"/>
        <v/>
      </c>
      <c r="BU311" s="834" t="str">
        <f t="shared" si="145"/>
        <v/>
      </c>
      <c r="BV311" s="66" t="str">
        <f t="shared" si="183"/>
        <v/>
      </c>
      <c r="BW311" s="66" t="str">
        <f t="shared" si="184"/>
        <v/>
      </c>
      <c r="BX311" s="1198">
        <f t="shared" si="172"/>
        <v>3</v>
      </c>
      <c r="BY311" s="1146" t="str">
        <f t="shared" si="153"/>
        <v>TS</v>
      </c>
      <c r="CA311" s="3675">
        <f t="shared" si="148"/>
        <v>44751.375</v>
      </c>
      <c r="CB311" s="3675"/>
    </row>
    <row r="312" spans="1:80" ht="10.5">
      <c r="A312" s="978" t="str">
        <f>Worksheet!Q149</f>
        <v>123000 16536473 -2602 150000407 7527252118   ---175</v>
      </c>
      <c r="B312" s="452">
        <f t="shared" si="197"/>
        <v>44752.875</v>
      </c>
      <c r="C312" s="466">
        <f t="shared" si="188"/>
        <v>30</v>
      </c>
      <c r="D312" s="454">
        <f t="shared" si="185"/>
        <v>21</v>
      </c>
      <c r="E312" s="476">
        <f t="shared" si="189"/>
        <v>40</v>
      </c>
      <c r="F312" s="460" t="str">
        <f t="shared" si="174"/>
        <v>NONE</v>
      </c>
      <c r="G312" s="460" t="str">
        <f t="shared" si="190"/>
        <v>SCT</v>
      </c>
      <c r="H312" s="460" t="str">
        <f t="shared" si="191"/>
        <v>SCT</v>
      </c>
      <c r="I312" s="460">
        <f t="shared" si="177"/>
        <v>40</v>
      </c>
      <c r="J312" s="461">
        <f t="shared" si="192"/>
        <v>27</v>
      </c>
      <c r="K312" s="462">
        <f t="shared" si="161"/>
        <v>16</v>
      </c>
      <c r="L312" s="462">
        <f t="shared" si="162"/>
        <v>11</v>
      </c>
      <c r="M312" s="462">
        <f t="shared" si="193"/>
        <v>7</v>
      </c>
      <c r="N312" s="462"/>
      <c r="O312" s="462">
        <f t="shared" si="194"/>
        <v>7</v>
      </c>
      <c r="P312" s="462">
        <f t="shared" si="195"/>
        <v>7</v>
      </c>
      <c r="Q312" s="462">
        <f t="shared" si="175"/>
        <v>17.5</v>
      </c>
      <c r="R312" s="462">
        <f t="shared" si="127"/>
        <v>7</v>
      </c>
      <c r="S312" s="465">
        <f t="shared" si="152"/>
        <v>7</v>
      </c>
      <c r="T312" s="1118" t="str">
        <f t="shared" si="196"/>
        <v>NSW</v>
      </c>
      <c r="U312" s="463">
        <f t="shared" si="163"/>
        <v>40</v>
      </c>
      <c r="V312" s="464">
        <f t="shared" si="164"/>
        <v>8</v>
      </c>
      <c r="W312" s="411">
        <f t="shared" si="165"/>
        <v>44752.875</v>
      </c>
      <c r="X312" s="410"/>
      <c r="Y312" s="458">
        <f t="shared" si="166"/>
        <v>80.599999999999994</v>
      </c>
      <c r="Z312" s="458">
        <f t="shared" si="167"/>
        <v>60.8</v>
      </c>
      <c r="AC312" s="977">
        <f t="shared" si="149"/>
        <v>44751.416666666664</v>
      </c>
      <c r="AD312" s="1610" t="str">
        <f>IF(AND(HOUR(AC312)=HOUR(Worksheet!AF$68),DAY(AC312)=DAY(Worksheet!AF$68)),"START","")</f>
        <v/>
      </c>
      <c r="AE312" s="1149" t="str">
        <f>IF(AND(HOUR(AC312)=HOUR($F$186),DAY(AC312)=DAY($F$186)),(MID($B$189,6,3))*1,IF(AND(ISNUMBER(AE311),AC312&lt;$F$186+1+(1/25)),(MID($B$189,6+(3*COUNT($AE$207:AE311)),3))*1,""))</f>
        <v/>
      </c>
      <c r="AF312" s="1164" t="e">
        <f t="shared" si="168"/>
        <v>#VALUE!</v>
      </c>
      <c r="AG312" s="1150">
        <f t="shared" si="136"/>
        <v>75.8</v>
      </c>
      <c r="AH312" s="1163" t="str">
        <f>IF(AND(ISNUMBER(AH311),AC312&lt;$F$186+26/25),(MID($B$190,6+(3*COUNT($AH$207:AH311)),3))*1,IF(AND(HOUR(AC312)=HOUR($F$186),DAY(AC312)=DAY($F$186)),(MID($B$190,6,3))*1,""))</f>
        <v/>
      </c>
      <c r="AI312" s="1901" t="str">
        <f t="shared" si="186"/>
        <v/>
      </c>
      <c r="AJ312" s="1164" t="e">
        <f t="shared" si="137"/>
        <v>#VALUE!</v>
      </c>
      <c r="AK312" s="1150">
        <f t="shared" si="138"/>
        <v>74</v>
      </c>
      <c r="AL312" s="1152" t="e">
        <f t="shared" si="169"/>
        <v>#VALUE!</v>
      </c>
      <c r="AM312" s="1153">
        <f t="shared" si="139"/>
        <v>29.98</v>
      </c>
      <c r="AN312" s="1147"/>
      <c r="AO312" s="976" t="str">
        <f>IF(BA312="Y",AP312,IF(AND(ISNUMBER(AO311),AC312&lt;$F$186+26/25),(MID(INDEX($A$187:$B$210,MATCH("CIG",$A$187:$A$210,0),2),8+(3*COUNT($AO$207:AO311)),1))*1,IF(AND(HOUR(AC312)=HOUR($F$186),DAY(AC312)=DAY($F$186)),(MID(INDEX($A$187:$B$210,MATCH("CIG",$A$187:$A$210,0),2),8,1))*1,"")))</f>
        <v/>
      </c>
      <c r="AP312" s="1061" t="str">
        <f>IF(AND(ISNUMBER(AP311),AC312&lt;$F$186+26/25),(MID(INDEX($A$187:$B$210,MATCH("CCG",$A$187:$A$210,0),2),8+(3*COUNT($AP$207:AP311)),1))*1,IF(AND(HOUR(AC312)=HOUR($F$186),DAY(AC312)=DAY($F$186)),(MID(INDEX($A$187:$B$210,MATCH("CCG",$A$187:$A$210,0),2),8,1))*1,""))</f>
        <v/>
      </c>
      <c r="AQ312" s="1061" t="str">
        <f>IF(AND(AQ311&lt;&gt;"",AC312&lt;$F$186+26/25),MID(INDEX($A$187:$B$210,MATCH("CLD",$A$187:$A$210,0),2),7+(3*SUM(COUNTIF($AQ$207:AQ311,"OV"),COUNTIF($AQ$207:AQ311,"BK"),COUNTIF($AQ$207:AQ311,"SC"),COUNTIF($AQ$207:AQ311,"FW"),COUNTIF($AQ$207:AQ311,"CL"))),2),IF(AND(HOUR(AC312)=HOUR($F$186),DAY(AC312)=DAY($F$186)),MID(INDEX($A$187:$B$210,MATCH("CLD",$A$187:$A$210,0),2),7,2),""))</f>
        <v/>
      </c>
      <c r="AR312" s="1149" t="str">
        <f t="shared" si="178"/>
        <v/>
      </c>
      <c r="AS312" s="1150" t="str">
        <f t="shared" si="179"/>
        <v/>
      </c>
      <c r="AT312" s="112" t="str">
        <f t="shared" si="180"/>
        <v/>
      </c>
      <c r="AU312" s="1610" t="str">
        <f t="shared" si="181"/>
        <v/>
      </c>
      <c r="AV312" s="1148">
        <f t="shared" si="170"/>
        <v>80</v>
      </c>
      <c r="AW312" s="920" t="str">
        <f t="shared" si="173"/>
        <v>BKN</v>
      </c>
      <c r="AX312" s="1608">
        <f t="shared" si="171"/>
        <v>25.666666666666668</v>
      </c>
      <c r="AY312" s="112" t="str">
        <f>IF(BA312="Y",AZ312,IF(AND(ISNUMBER(AY311),AC312&lt;$F$186+26/25),(MID(INDEX($A$187:$B$210,MATCH("VIS",$A$187:$A$210,0),2),8+(3*COUNT($AY$207:AY311)),1))*1,IF(AND(HOUR(AC312)=HOUR($F$186),DAY(AC312)=DAY($F$186)),(MID(INDEX($A$187:$B$210,MATCH("VIS",$A$187:$A$210,0),2),8,1))*1,"")))</f>
        <v/>
      </c>
      <c r="AZ312" s="112" t="str">
        <f>IF(AND(ISNUMBER(AZ311),AC312&lt;$F$186+26/25),(MID(INDEX($A$187:$B$210,MATCH("CVS",$A$187:$A$210,0),2),8+(3*COUNT($AZ$207:AZ311)),1))*1,IF(AND(HOUR(AC312)=HOUR($F$186),DAY(AC312)=DAY($F$186)),(MID(INDEX($A$187:$B$210,MATCH("CVS",$A$187:$A$210,0),2),8,1))*1,""))</f>
        <v/>
      </c>
      <c r="BA312" s="1610" t="str">
        <f>IF(AND(BA311&lt;&gt;"",AC312&lt;$F$186+26/25),MID(INDEX($A$187:$B$210,MATCH("PCO",$A$187:$A$210,0),2),8+(3*SUM(COUNTIF($BA$207:BA311,"Y"),COUNTIF($BA$207:BA311,"N"))),1),IF(AND(HOUR(AC312)=HOUR($F$186),DAY(AC312)=DAY($F$186)),MID(INDEX($A$187:$B$210,MATCH("PCO",$A$187:$A$210,0),2),8,1),""))</f>
        <v/>
      </c>
      <c r="BB312" s="1610" t="e">
        <f>IF(AND(BB311&lt;&gt;"",AC312&lt;$F$186+26/25),MID(INDEX($A$187:$B$210,MATCH("TYP",$A$187:$A$210,0),2),8+(3*SUM(COUNTIF($BB$207:BB311,"S"),COUNTIF($BB$207:BB311,"Z"), COUNTIF($BB$207:BB311,"R"),COUNTIF($BB$207:BB311,"X"))),1),IF(AND(HOUR(AC312)=HOUR($F$186),DAY(AC312)=DAY($F$186)),MID(INDEX($A$187:$B$210,MATCH("TYP",$A$187:$A$210,0),2),8,1),""))</f>
        <v>#N/A</v>
      </c>
      <c r="BC312" s="112" t="str">
        <f>IF(AND(LEN(BC311)=2,AC312&lt;$F$186+26/25),MID(INDEX($A$187:$B$211,MATCH("OBV",$A$187:$A$211,0),2),7+(3*SUM(COUNTIF($BC$207:BC311," N"),COUNTIF($BC$207:BC311,"HZ"),COUNTIF($BC$207:BC311,"BR"),COUNTIF($BC$207:BC311,"FG"),COUNTIF($BC$207:BC311,"BL"))),2),IF(AND(HOUR(AC312)=HOUR($F$186),DAY(AC312)=DAY($F$186)),MID(INDEX($A$187:$B$211,MATCH("OBV",$A$187:$A$211,0),2),7,2),""))</f>
        <v/>
      </c>
      <c r="BD312" s="112"/>
      <c r="BE312" s="112"/>
      <c r="BF312" s="112"/>
      <c r="BG312" s="1610" t="str">
        <f t="shared" si="200"/>
        <v/>
      </c>
      <c r="BH312" s="115" t="str">
        <f t="shared" si="182"/>
        <v/>
      </c>
      <c r="BI312" s="200" t="str">
        <f t="shared" si="155"/>
        <v/>
      </c>
      <c r="BJ312" s="62" t="str">
        <f t="shared" si="154"/>
        <v/>
      </c>
      <c r="BK312" s="1145" t="str">
        <f t="shared" si="198"/>
        <v/>
      </c>
      <c r="BL312" s="62" t="str">
        <f t="shared" si="156"/>
        <v/>
      </c>
      <c r="BM312" s="1145" t="str">
        <f t="shared" si="150"/>
        <v/>
      </c>
      <c r="BN312" s="1901" t="str">
        <f t="shared" si="199"/>
        <v/>
      </c>
      <c r="BO312" s="1144" t="str">
        <f t="shared" si="157"/>
        <v/>
      </c>
      <c r="BP312" s="106" t="str">
        <f t="shared" si="187"/>
        <v/>
      </c>
      <c r="BQ312" s="66" t="str">
        <f t="shared" si="158"/>
        <v/>
      </c>
      <c r="BR312" s="106" t="str">
        <f t="shared" si="159"/>
        <v/>
      </c>
      <c r="BS312" s="834" t="str">
        <f t="shared" si="176"/>
        <v/>
      </c>
      <c r="BT312" s="106" t="str">
        <f t="shared" si="160"/>
        <v/>
      </c>
      <c r="BU312" s="834" t="str">
        <f t="shared" si="145"/>
        <v/>
      </c>
      <c r="BV312" s="66" t="str">
        <f t="shared" si="183"/>
        <v/>
      </c>
      <c r="BW312" s="66" t="str">
        <f t="shared" si="184"/>
        <v/>
      </c>
      <c r="BX312" s="1198">
        <f t="shared" si="172"/>
        <v>3</v>
      </c>
      <c r="BY312" s="1146" t="str">
        <f t="shared" si="153"/>
        <v>TS</v>
      </c>
      <c r="CA312" s="3675">
        <f t="shared" si="148"/>
        <v>44751.416666666664</v>
      </c>
      <c r="CB312" s="3675"/>
    </row>
    <row r="313" spans="1:80" ht="10.5">
      <c r="A313" s="978" t="str">
        <f>Worksheet!Q150</f>
        <v>126000 17566677 -0201 149980304 7626252118   ---167</v>
      </c>
      <c r="B313" s="452">
        <f t="shared" si="197"/>
        <v>44753</v>
      </c>
      <c r="C313" s="466">
        <f t="shared" si="188"/>
        <v>29.98</v>
      </c>
      <c r="D313" s="454">
        <f t="shared" si="185"/>
        <v>0</v>
      </c>
      <c r="E313" s="476">
        <f t="shared" si="189"/>
        <v>40</v>
      </c>
      <c r="F313" s="460" t="str">
        <f t="shared" si="174"/>
        <v>NONE</v>
      </c>
      <c r="G313" s="460" t="str">
        <f t="shared" si="190"/>
        <v>SCT</v>
      </c>
      <c r="H313" s="460" t="str">
        <f t="shared" si="191"/>
        <v>SCT</v>
      </c>
      <c r="I313" s="460">
        <f t="shared" si="177"/>
        <v>40</v>
      </c>
      <c r="J313" s="461">
        <f t="shared" si="192"/>
        <v>26</v>
      </c>
      <c r="K313" s="462">
        <f t="shared" si="161"/>
        <v>17</v>
      </c>
      <c r="L313" s="462">
        <f t="shared" si="162"/>
        <v>9</v>
      </c>
      <c r="M313" s="462">
        <f t="shared" si="193"/>
        <v>7</v>
      </c>
      <c r="N313" s="462"/>
      <c r="O313" s="462">
        <f t="shared" si="194"/>
        <v>7</v>
      </c>
      <c r="P313" s="462">
        <f t="shared" si="195"/>
        <v>7</v>
      </c>
      <c r="Q313" s="462">
        <f t="shared" si="175"/>
        <v>16.7</v>
      </c>
      <c r="R313" s="462">
        <f t="shared" si="127"/>
        <v>7</v>
      </c>
      <c r="S313" s="465">
        <f t="shared" si="152"/>
        <v>7</v>
      </c>
      <c r="T313" s="1118" t="str">
        <f t="shared" si="196"/>
        <v>NSW</v>
      </c>
      <c r="U313" s="463" t="str">
        <f t="shared" si="163"/>
        <v/>
      </c>
      <c r="V313" s="464" t="str">
        <f t="shared" si="164"/>
        <v/>
      </c>
      <c r="W313" s="411">
        <f t="shared" si="165"/>
        <v>44753</v>
      </c>
      <c r="X313" s="410"/>
      <c r="Y313" s="458">
        <f t="shared" si="166"/>
        <v>78.800000000000011</v>
      </c>
      <c r="Z313" s="458">
        <f t="shared" si="167"/>
        <v>62.6</v>
      </c>
      <c r="AC313" s="977">
        <f t="shared" si="149"/>
        <v>44751.458333333328</v>
      </c>
      <c r="AD313" s="1610" t="str">
        <f>IF(AND(HOUR(AC313)=HOUR(Worksheet!AF$68),DAY(AC313)=DAY(Worksheet!AF$68)),"START","")</f>
        <v/>
      </c>
      <c r="AE313" s="1149" t="str">
        <f>IF(AND(HOUR(AC313)=HOUR($F$186),DAY(AC313)=DAY($F$186)),(MID($B$189,6,3))*1,IF(AND(ISNUMBER(AE312),AC313&lt;$F$186+1+(1/25)),(MID($B$189,6+(3*COUNT($AE$207:AE312)),3))*1,""))</f>
        <v/>
      </c>
      <c r="AF313" s="1164" t="e">
        <f t="shared" si="168"/>
        <v>#VALUE!</v>
      </c>
      <c r="AG313" s="1150">
        <f t="shared" si="136"/>
        <v>74.600000000000009</v>
      </c>
      <c r="AH313" s="1163" t="str">
        <f>IF(AND(ISNUMBER(AH312),AC313&lt;$F$186+26/25),(MID($B$190,6+(3*COUNT($AH$207:AH312)),3))*1,IF(AND(HOUR(AC313)=HOUR($F$186),DAY(AC313)=DAY($F$186)),(MID($B$190,6,3))*1,""))</f>
        <v/>
      </c>
      <c r="AI313" s="1901" t="str">
        <f t="shared" si="186"/>
        <v/>
      </c>
      <c r="AJ313" s="1164" t="e">
        <f t="shared" si="137"/>
        <v>#VALUE!</v>
      </c>
      <c r="AK313" s="1150">
        <f t="shared" si="138"/>
        <v>72.8</v>
      </c>
      <c r="AL313" s="1152" t="e">
        <f t="shared" si="169"/>
        <v>#VALUE!</v>
      </c>
      <c r="AM313" s="1153">
        <f t="shared" si="139"/>
        <v>30</v>
      </c>
      <c r="AN313" s="1147"/>
      <c r="AO313" s="976" t="str">
        <f>IF(BA313="Y",AP313,IF(AND(ISNUMBER(AO312),AC313&lt;$F$186+26/25),(MID(INDEX($A$187:$B$210,MATCH("CIG",$A$187:$A$210,0),2),8+(3*COUNT($AO$207:AO312)),1))*1,IF(AND(HOUR(AC313)=HOUR($F$186),DAY(AC313)=DAY($F$186)),(MID(INDEX($A$187:$B$210,MATCH("CIG",$A$187:$A$210,0),2),8,1))*1,"")))</f>
        <v/>
      </c>
      <c r="AP313" s="1061" t="str">
        <f>IF(AND(ISNUMBER(AP312),AC313&lt;$F$186+26/25),(MID(INDEX($A$187:$B$210,MATCH("CCG",$A$187:$A$210,0),2),8+(3*COUNT($AP$207:AP312)),1))*1,IF(AND(HOUR(AC313)=HOUR($F$186),DAY(AC313)=DAY($F$186)),(MID(INDEX($A$187:$B$210,MATCH("CCG",$A$187:$A$210,0),2),8,1))*1,""))</f>
        <v/>
      </c>
      <c r="AQ313" s="1061" t="str">
        <f>IF(AND(AQ312&lt;&gt;"",AC313&lt;$F$186+26/25),MID(INDEX($A$187:$B$210,MATCH("CLD",$A$187:$A$210,0),2),7+(3*SUM(COUNTIF($AQ$207:AQ312,"OV"),COUNTIF($AQ$207:AQ312,"BK"),COUNTIF($AQ$207:AQ312,"SC"),COUNTIF($AQ$207:AQ312,"FW"),COUNTIF($AQ$207:AQ312,"CL"))),2),IF(AND(HOUR(AC313)=HOUR($F$186),DAY(AC313)=DAY($F$186)),MID(INDEX($A$187:$B$210,MATCH("CLD",$A$187:$A$210,0),2),7,2),""))</f>
        <v/>
      </c>
      <c r="AR313" s="1149" t="str">
        <f t="shared" si="178"/>
        <v/>
      </c>
      <c r="AS313" s="1150" t="str">
        <f t="shared" si="179"/>
        <v/>
      </c>
      <c r="AT313" s="112" t="str">
        <f t="shared" si="180"/>
        <v/>
      </c>
      <c r="AU313" s="1610" t="str">
        <f t="shared" si="181"/>
        <v/>
      </c>
      <c r="AV313" s="1148">
        <f t="shared" si="170"/>
        <v>90</v>
      </c>
      <c r="AW313" s="920" t="str">
        <f t="shared" si="173"/>
        <v>BKN</v>
      </c>
      <c r="AX313" s="1608">
        <f t="shared" si="171"/>
        <v>21.333333333333336</v>
      </c>
      <c r="AY313" s="112" t="str">
        <f>IF(BA313="Y",AZ313,IF(AND(ISNUMBER(AY312),AC313&lt;$F$186+26/25),(MID(INDEX($A$187:$B$210,MATCH("VIS",$A$187:$A$210,0),2),8+(3*COUNT($AY$207:AY312)),1))*1,IF(AND(HOUR(AC313)=HOUR($F$186),DAY(AC313)=DAY($F$186)),(MID(INDEX($A$187:$B$210,MATCH("VIS",$A$187:$A$210,0),2),8,1))*1,"")))</f>
        <v/>
      </c>
      <c r="AZ313" s="112" t="str">
        <f>IF(AND(ISNUMBER(AZ312),AC313&lt;$F$186+26/25),(MID(INDEX($A$187:$B$210,MATCH("CVS",$A$187:$A$210,0),2),8+(3*COUNT($AZ$207:AZ312)),1))*1,IF(AND(HOUR(AC313)=HOUR($F$186),DAY(AC313)=DAY($F$186)),(MID(INDEX($A$187:$B$210,MATCH("CVS",$A$187:$A$210,0),2),8,1))*1,""))</f>
        <v/>
      </c>
      <c r="BA313" s="1610" t="str">
        <f>IF(AND(BA312&lt;&gt;"",AC313&lt;$F$186+26/25),MID(INDEX($A$187:$B$210,MATCH("PCO",$A$187:$A$210,0),2),8+(3*SUM(COUNTIF($BA$207:BA312,"Y"),COUNTIF($BA$207:BA312,"N"))),1),IF(AND(HOUR(AC313)=HOUR($F$186),DAY(AC313)=DAY($F$186)),MID(INDEX($A$187:$B$210,MATCH("PCO",$A$187:$A$210,0),2),8,1),""))</f>
        <v/>
      </c>
      <c r="BB313" s="1610" t="e">
        <f>IF(AND(BB312&lt;&gt;"",AC313&lt;$F$186+26/25),MID(INDEX($A$187:$B$210,MATCH("TYP",$A$187:$A$210,0),2),8+(3*SUM(COUNTIF($BB$207:BB312,"S"),COUNTIF($BB$207:BB312,"Z"), COUNTIF($BB$207:BB312,"R"),COUNTIF($BB$207:BB312,"X"))),1),IF(AND(HOUR(AC313)=HOUR($F$186),DAY(AC313)=DAY($F$186)),MID(INDEX($A$187:$B$210,MATCH("TYP",$A$187:$A$210,0),2),8,1),""))</f>
        <v>#N/A</v>
      </c>
      <c r="BC313" s="112" t="str">
        <f>IF(AND(LEN(BC312)=2,AC313&lt;$F$186+26/25),MID(INDEX($A$187:$B$211,MATCH("OBV",$A$187:$A$211,0),2),7+(3*SUM(COUNTIF($BC$207:BC312," N"),COUNTIF($BC$207:BC312,"HZ"),COUNTIF($BC$207:BC312,"BR"),COUNTIF($BC$207:BC312,"FG"),COUNTIF($BC$207:BC312,"BL"))),2),IF(AND(HOUR(AC313)=HOUR($F$186),DAY(AC313)=DAY($F$186)),MID(INDEX($A$187:$B$211,MATCH("OBV",$A$187:$A$211,0),2),7,2),""))</f>
        <v/>
      </c>
      <c r="BD313" s="112"/>
      <c r="BE313" s="112"/>
      <c r="BF313" s="112"/>
      <c r="BG313" s="1610" t="str">
        <f t="shared" si="200"/>
        <v/>
      </c>
      <c r="BH313" s="115" t="str">
        <f t="shared" si="182"/>
        <v/>
      </c>
      <c r="BI313" s="200" t="str">
        <f t="shared" si="155"/>
        <v/>
      </c>
      <c r="BJ313" s="62" t="str">
        <f t="shared" si="154"/>
        <v/>
      </c>
      <c r="BK313" s="1145" t="str">
        <f t="shared" si="198"/>
        <v/>
      </c>
      <c r="BL313" s="62" t="str">
        <f t="shared" si="156"/>
        <v/>
      </c>
      <c r="BM313" s="1145" t="str">
        <f t="shared" si="150"/>
        <v/>
      </c>
      <c r="BN313" s="1901" t="str">
        <f t="shared" si="199"/>
        <v/>
      </c>
      <c r="BO313" s="1144" t="str">
        <f t="shared" si="157"/>
        <v/>
      </c>
      <c r="BP313" s="106" t="str">
        <f t="shared" si="187"/>
        <v/>
      </c>
      <c r="BQ313" s="66" t="str">
        <f t="shared" si="158"/>
        <v/>
      </c>
      <c r="BR313" s="106" t="str">
        <f t="shared" si="159"/>
        <v/>
      </c>
      <c r="BS313" s="834" t="str">
        <f t="shared" si="176"/>
        <v/>
      </c>
      <c r="BT313" s="106" t="str">
        <f t="shared" si="160"/>
        <v/>
      </c>
      <c r="BU313" s="834" t="str">
        <f t="shared" si="145"/>
        <v/>
      </c>
      <c r="BV313" s="66" t="str">
        <f t="shared" si="183"/>
        <v/>
      </c>
      <c r="BW313" s="66" t="str">
        <f t="shared" si="184"/>
        <v/>
      </c>
      <c r="BX313" s="1198">
        <f t="shared" si="172"/>
        <v>3</v>
      </c>
      <c r="BY313" s="1146" t="str">
        <f t="shared" si="153"/>
        <v>TS</v>
      </c>
      <c r="CA313" s="3675">
        <f t="shared" si="148"/>
        <v>44751.458333333328</v>
      </c>
      <c r="CB313" s="3675"/>
    </row>
    <row r="314" spans="1:80" ht="10.5">
      <c r="A314" s="978" t="str">
        <f>Worksheet!Q151</f>
        <v>129000 18708389 -3001 159990304 7622242118   045144</v>
      </c>
      <c r="B314" s="452">
        <f t="shared" si="197"/>
        <v>44753.125</v>
      </c>
      <c r="C314" s="466">
        <f t="shared" si="188"/>
        <v>29.99</v>
      </c>
      <c r="D314" s="454">
        <f t="shared" si="185"/>
        <v>3</v>
      </c>
      <c r="E314" s="476">
        <f t="shared" si="189"/>
        <v>70</v>
      </c>
      <c r="F314" s="460">
        <f t="shared" si="174"/>
        <v>45</v>
      </c>
      <c r="G314" s="460">
        <f t="shared" si="190"/>
        <v>45</v>
      </c>
      <c r="H314" s="460">
        <f t="shared" si="191"/>
        <v>45</v>
      </c>
      <c r="I314" s="460">
        <f>IF(H314="","",IF(AND(OR(H314&gt;30,H314="SCT"),VALUE(MID(A314,14,2))&gt;84),30,IF(H314="SCT",40,H314)))</f>
        <v>30</v>
      </c>
      <c r="J314" s="461">
        <f t="shared" si="192"/>
        <v>22</v>
      </c>
      <c r="K314" s="462">
        <f t="shared" si="161"/>
        <v>18</v>
      </c>
      <c r="L314" s="462">
        <f t="shared" si="162"/>
        <v>4</v>
      </c>
      <c r="M314" s="462">
        <f t="shared" si="193"/>
        <v>7</v>
      </c>
      <c r="N314" s="462"/>
      <c r="O314" s="462">
        <f t="shared" si="194"/>
        <v>7</v>
      </c>
      <c r="P314" s="462">
        <f t="shared" si="195"/>
        <v>7</v>
      </c>
      <c r="Q314" s="462">
        <f t="shared" si="175"/>
        <v>14.4</v>
      </c>
      <c r="R314" s="462">
        <f t="shared" si="127"/>
        <v>7</v>
      </c>
      <c r="S314" s="465">
        <f t="shared" si="152"/>
        <v>7</v>
      </c>
      <c r="T314" s="1118" t="str">
        <f t="shared" si="196"/>
        <v>NSW</v>
      </c>
      <c r="U314" s="463" t="str">
        <f t="shared" si="163"/>
        <v/>
      </c>
      <c r="V314" s="464" t="str">
        <f t="shared" si="164"/>
        <v/>
      </c>
      <c r="W314" s="411">
        <f t="shared" si="165"/>
        <v>44753.125</v>
      </c>
      <c r="X314" s="410"/>
      <c r="Y314" s="458">
        <f t="shared" si="166"/>
        <v>71.599999999999994</v>
      </c>
      <c r="Z314" s="458">
        <f t="shared" si="167"/>
        <v>64.400000000000006</v>
      </c>
      <c r="AC314" s="977">
        <f t="shared" si="149"/>
        <v>44751.5</v>
      </c>
      <c r="AD314" s="1610" t="str">
        <f>IF(AND(HOUR(AC314)=HOUR(Worksheet!AF$68),DAY(AC314)=DAY(Worksheet!AF$68)),"START","")</f>
        <v/>
      </c>
      <c r="AE314" s="1149" t="str">
        <f>IF(AND(HOUR(AC314)=HOUR($F$186),DAY(AC314)=DAY($F$186)),(MID($B$189,6,3))*1,IF(AND(ISNUMBER(AE313),AC314&lt;$F$186+1+(1/25)),(MID($B$189,6+(3*COUNT($AE$207:AE313)),3))*1,""))</f>
        <v/>
      </c>
      <c r="AF314" s="1164" t="e">
        <f t="shared" si="168"/>
        <v>#VALUE!</v>
      </c>
      <c r="AG314" s="1150">
        <f t="shared" si="136"/>
        <v>73.400000000000006</v>
      </c>
      <c r="AH314" s="1163" t="str">
        <f>IF(AND(ISNUMBER(AH313),AC314&lt;$F$186+26/25),(MID($B$190,6+(3*COUNT($AH$207:AH313)),3))*1,IF(AND(HOUR(AC314)=HOUR($F$186),DAY(AC314)=DAY($F$186)),(MID($B$190,6,3))*1,""))</f>
        <v/>
      </c>
      <c r="AI314" s="1901" t="str">
        <f t="shared" si="186"/>
        <v/>
      </c>
      <c r="AJ314" s="1164" t="e">
        <f t="shared" si="137"/>
        <v>#VALUE!</v>
      </c>
      <c r="AK314" s="1150">
        <f t="shared" si="138"/>
        <v>71.599999999999994</v>
      </c>
      <c r="AL314" s="1152" t="e">
        <f t="shared" si="169"/>
        <v>#VALUE!</v>
      </c>
      <c r="AM314" s="1153">
        <f t="shared" si="139"/>
        <v>30.02</v>
      </c>
      <c r="AN314" s="1147"/>
      <c r="AO314" s="976" t="str">
        <f>IF(BA314="Y",AP314,IF(AND(ISNUMBER(AO313),AC314&lt;$F$186+26/25),(MID(INDEX($A$187:$B$210,MATCH("CIG",$A$187:$A$210,0),2),8+(3*COUNT($AO$207:AO313)),1))*1,IF(AND(HOUR(AC314)=HOUR($F$186),DAY(AC314)=DAY($F$186)),(MID(INDEX($A$187:$B$210,MATCH("CIG",$A$187:$A$210,0),2),8,1))*1,"")))</f>
        <v/>
      </c>
      <c r="AP314" s="1061" t="str">
        <f>IF(AND(ISNUMBER(AP313),AC314&lt;$F$186+26/25),(MID(INDEX($A$187:$B$210,MATCH("CCG",$A$187:$A$210,0),2),8+(3*COUNT($AP$207:AP313)),1))*1,IF(AND(HOUR(AC314)=HOUR($F$186),DAY(AC314)=DAY($F$186)),(MID(INDEX($A$187:$B$210,MATCH("CCG",$A$187:$A$210,0),2),8,1))*1,""))</f>
        <v/>
      </c>
      <c r="AQ314" s="1061" t="str">
        <f>IF(AND(AQ313&lt;&gt;"",AC314&lt;$F$186+26/25),MID(INDEX($A$187:$B$210,MATCH("CLD",$A$187:$A$210,0),2),7+(3*SUM(COUNTIF($AQ$207:AQ313,"OV"),COUNTIF($AQ$207:AQ313,"BK"),COUNTIF($AQ$207:AQ313,"SC"),COUNTIF($AQ$207:AQ313,"FW"),COUNTIF($AQ$207:AQ313,"CL"))),2),IF(AND(HOUR(AC314)=HOUR($F$186),DAY(AC314)=DAY($F$186)),MID(INDEX($A$187:$B$210,MATCH("CLD",$A$187:$A$210,0),2),7,2),""))</f>
        <v/>
      </c>
      <c r="AR314" s="1149" t="str">
        <f t="shared" si="178"/>
        <v/>
      </c>
      <c r="AS314" s="1150" t="str">
        <f t="shared" si="179"/>
        <v/>
      </c>
      <c r="AT314" s="112" t="str">
        <f t="shared" si="180"/>
        <v/>
      </c>
      <c r="AU314" s="1610" t="str">
        <f t="shared" si="181"/>
        <v/>
      </c>
      <c r="AV314" s="1148">
        <f t="shared" si="170"/>
        <v>100</v>
      </c>
      <c r="AW314" s="920" t="str">
        <f t="shared" si="173"/>
        <v>OVC</v>
      </c>
      <c r="AX314" s="1608">
        <f t="shared" si="171"/>
        <v>17</v>
      </c>
      <c r="AY314" s="112" t="str">
        <f>IF(BA314="Y",AZ314,IF(AND(ISNUMBER(AY313),AC314&lt;$F$186+26/25),(MID(INDEX($A$187:$B$210,MATCH("VIS",$A$187:$A$210,0),2),8+(3*COUNT($AY$207:AY313)),1))*1,IF(AND(HOUR(AC314)=HOUR($F$186),DAY(AC314)=DAY($F$186)),(MID(INDEX($A$187:$B$210,MATCH("VIS",$A$187:$A$210,0),2),8,1))*1,"")))</f>
        <v/>
      </c>
      <c r="AZ314" s="112" t="str">
        <f>IF(AND(ISNUMBER(AZ313),AC314&lt;$F$186+26/25),(MID(INDEX($A$187:$B$210,MATCH("CVS",$A$187:$A$210,0),2),8+(3*COUNT($AZ$207:AZ313)),1))*1,IF(AND(HOUR(AC314)=HOUR($F$186),DAY(AC314)=DAY($F$186)),(MID(INDEX($A$187:$B$210,MATCH("CVS",$A$187:$A$210,0),2),8,1))*1,""))</f>
        <v/>
      </c>
      <c r="BA314" s="1610" t="str">
        <f>IF(AND(BA313&lt;&gt;"",AC314&lt;$F$186+26/25),MID(INDEX($A$187:$B$210,MATCH("PCO",$A$187:$A$210,0),2),8+(3*SUM(COUNTIF($BA$207:BA313,"Y"),COUNTIF($BA$207:BA313,"N"))),1),IF(AND(HOUR(AC314)=HOUR($F$186),DAY(AC314)=DAY($F$186)),MID(INDEX($A$187:$B$210,MATCH("PCO",$A$187:$A$210,0),2),8,1),""))</f>
        <v/>
      </c>
      <c r="BB314" s="1610" t="e">
        <f>IF(AND(BB313&lt;&gt;"",AC314&lt;$F$186+26/25),MID(INDEX($A$187:$B$210,MATCH("TYP",$A$187:$A$210,0),2),8+(3*SUM(COUNTIF($BB$207:BB313,"S"),COUNTIF($BB$207:BB313,"Z"), COUNTIF($BB$207:BB313,"R"),COUNTIF($BB$207:BB313,"X"))),1),IF(AND(HOUR(AC314)=HOUR($F$186),DAY(AC314)=DAY($F$186)),MID(INDEX($A$187:$B$210,MATCH("TYP",$A$187:$A$210,0),2),8,1),""))</f>
        <v>#N/A</v>
      </c>
      <c r="BC314" s="112" t="str">
        <f>IF(AND(LEN(BC313)=2,AC314&lt;$F$186+26/25),MID(INDEX($A$187:$B$211,MATCH("OBV",$A$187:$A$211,0),2),7+(3*SUM(COUNTIF($BC$207:BC313," N"),COUNTIF($BC$207:BC313,"HZ"),COUNTIF($BC$207:BC313,"BR"),COUNTIF($BC$207:BC313,"FG"),COUNTIF($BC$207:BC313,"BL"))),2),IF(AND(HOUR(AC314)=HOUR($F$186),DAY(AC314)=DAY($F$186)),MID(INDEX($A$187:$B$211,MATCH("OBV",$A$187:$A$211,0),2),7,2),""))</f>
        <v/>
      </c>
      <c r="BD314" s="112"/>
      <c r="BE314" s="112"/>
      <c r="BF314" s="112"/>
      <c r="BG314" s="1610" t="str">
        <f t="shared" si="200"/>
        <v/>
      </c>
      <c r="BH314" s="115" t="str">
        <f t="shared" si="182"/>
        <v/>
      </c>
      <c r="BI314" s="200" t="str">
        <f t="shared" si="155"/>
        <v/>
      </c>
      <c r="BJ314" s="62" t="str">
        <f t="shared" si="154"/>
        <v/>
      </c>
      <c r="BK314" s="1145" t="str">
        <f t="shared" si="198"/>
        <v/>
      </c>
      <c r="BL314" s="62" t="str">
        <f t="shared" si="156"/>
        <v/>
      </c>
      <c r="BM314" s="1145" t="str">
        <f t="shared" si="150"/>
        <v/>
      </c>
      <c r="BN314" s="1901" t="str">
        <f t="shared" si="199"/>
        <v/>
      </c>
      <c r="BO314" s="1144" t="str">
        <f t="shared" si="157"/>
        <v/>
      </c>
      <c r="BP314" s="106" t="str">
        <f t="shared" si="187"/>
        <v/>
      </c>
      <c r="BQ314" s="66" t="str">
        <f t="shared" si="158"/>
        <v/>
      </c>
      <c r="BR314" s="106" t="str">
        <f t="shared" si="159"/>
        <v/>
      </c>
      <c r="BS314" s="834" t="str">
        <f t="shared" si="176"/>
        <v/>
      </c>
      <c r="BT314" s="106" t="str">
        <f t="shared" si="160"/>
        <v/>
      </c>
      <c r="BU314" s="834" t="str">
        <f t="shared" si="145"/>
        <v/>
      </c>
      <c r="BV314" s="66" t="str">
        <f t="shared" si="183"/>
        <v/>
      </c>
      <c r="BW314" s="66" t="str">
        <f t="shared" si="184"/>
        <v/>
      </c>
      <c r="BX314" s="1198">
        <f t="shared" si="172"/>
        <v>3</v>
      </c>
      <c r="BY314" s="1146" t="str">
        <f t="shared" si="153"/>
        <v>TS</v>
      </c>
      <c r="CA314" s="3675">
        <f t="shared" si="148"/>
        <v>44751.5</v>
      </c>
      <c r="CB314" s="3675"/>
    </row>
    <row r="315" spans="1:80" ht="10.5">
      <c r="A315" s="978" t="str">
        <f>Worksheet!Q152</f>
        <v>132000 20859197 -0899 149970503 7622232118   ---119</v>
      </c>
      <c r="B315" s="452">
        <f t="shared" si="197"/>
        <v>44753.25</v>
      </c>
      <c r="C315" s="466">
        <f t="shared" si="188"/>
        <v>29.97</v>
      </c>
      <c r="D315" s="454">
        <f t="shared" si="185"/>
        <v>6</v>
      </c>
      <c r="E315" s="476">
        <f t="shared" si="189"/>
        <v>40</v>
      </c>
      <c r="F315" s="460" t="str">
        <f t="shared" si="174"/>
        <v>NONE</v>
      </c>
      <c r="G315" s="460" t="str">
        <f t="shared" si="190"/>
        <v>SCT</v>
      </c>
      <c r="H315" s="460">
        <f t="shared" si="191"/>
        <v>20</v>
      </c>
      <c r="I315" s="460">
        <f t="shared" si="177"/>
        <v>20</v>
      </c>
      <c r="J315" s="461">
        <f t="shared" si="192"/>
        <v>22</v>
      </c>
      <c r="K315" s="462">
        <f t="shared" si="161"/>
        <v>20</v>
      </c>
      <c r="L315" s="462">
        <f t="shared" si="162"/>
        <v>2</v>
      </c>
      <c r="M315" s="462">
        <f t="shared" si="193"/>
        <v>7</v>
      </c>
      <c r="N315" s="462"/>
      <c r="O315" s="462">
        <f t="shared" si="194"/>
        <v>7</v>
      </c>
      <c r="P315" s="462">
        <f t="shared" si="195"/>
        <v>7</v>
      </c>
      <c r="Q315" s="462">
        <f t="shared" si="175"/>
        <v>11.9</v>
      </c>
      <c r="R315" s="462">
        <f t="shared" si="127"/>
        <v>7</v>
      </c>
      <c r="S315" s="465">
        <f t="shared" si="152"/>
        <v>7</v>
      </c>
      <c r="T315" s="1118" t="str">
        <f t="shared" si="196"/>
        <v>NSW</v>
      </c>
      <c r="U315" s="463" t="str">
        <f t="shared" si="163"/>
        <v/>
      </c>
      <c r="V315" s="464" t="str">
        <f t="shared" si="164"/>
        <v/>
      </c>
      <c r="W315" s="411">
        <f t="shared" si="165"/>
        <v>44753.25</v>
      </c>
      <c r="X315" s="410"/>
      <c r="Y315" s="458">
        <f t="shared" si="166"/>
        <v>71.599999999999994</v>
      </c>
      <c r="Z315" s="458">
        <f t="shared" si="167"/>
        <v>68</v>
      </c>
      <c r="AC315" s="977">
        <f t="shared" si="149"/>
        <v>44751.541666666664</v>
      </c>
      <c r="AE315" s="1149" t="str">
        <f>IF(AND(HOUR(AC315)=HOUR($F$186),DAY(AC315)=DAY($F$186)),(MID($B$189,6,3))*1,IF(AND(ISNUMBER(AE314),AC315&lt;$F$186+1+(1/25)),(MID($B$189,6+(3*COUNT($AE$207:AE314)),3))*1,""))</f>
        <v/>
      </c>
      <c r="AF315" s="1164" t="e">
        <f t="shared" si="168"/>
        <v>#VALUE!</v>
      </c>
      <c r="AG315" s="1150">
        <f t="shared" si="136"/>
        <v>72.8</v>
      </c>
      <c r="AH315" s="1163" t="str">
        <f>IF(AND(ISNUMBER(AH314),AC315&lt;$F$186+26/25),(MID($B$190,6+(3*COUNT($AH$207:AH314)),3))*1,IF(AND(HOUR(AC315)=HOUR($F$186),DAY(AC315)=DAY($F$186)),(MID($B$190,6,3))*1,""))</f>
        <v/>
      </c>
      <c r="AI315" s="1901" t="str">
        <f t="shared" si="186"/>
        <v/>
      </c>
      <c r="AJ315" s="1164" t="e">
        <f t="shared" si="137"/>
        <v>#VALUE!</v>
      </c>
      <c r="AK315" s="1150">
        <f t="shared" si="138"/>
        <v>70.399999999999991</v>
      </c>
      <c r="AL315" s="1152" t="e">
        <f t="shared" si="169"/>
        <v>#VALUE!</v>
      </c>
      <c r="AM315" s="1153">
        <f t="shared" si="139"/>
        <v>30.023333333333333</v>
      </c>
      <c r="AN315" s="1147"/>
      <c r="AO315" s="976" t="str">
        <f>IF(BA315="Y",AP315,IF(AND(ISNUMBER(AO314),AC315&lt;$F$186+26/25),(MID(INDEX($A$187:$B$210,MATCH("CIG",$A$187:$A$210,0),2),8+(3*COUNT($AO$207:AO314)),1))*1,IF(AND(HOUR(AC315)=HOUR($F$186),DAY(AC315)=DAY($F$186)),(MID(INDEX($A$187:$B$210,MATCH("CIG",$A$187:$A$210,0),2),8,1))*1,"")))</f>
        <v/>
      </c>
      <c r="AQ315" s="1061" t="str">
        <f>IF(AND(AQ314&lt;&gt;"",AC315&lt;$F$186+26/25),MID(INDEX($A$187:$B$210,MATCH("CLD",$A$187:$A$210,0),2),7+(3*SUM(COUNTIF($AQ$207:AQ314,"OV"),COUNTIF($AQ$207:AQ314,"BK"),COUNTIF($AQ$207:AQ314,"SC"),COUNTIF($AQ$207:AQ314,"FW"),COUNTIF($AQ$207:AQ314,"CL"))),2),IF(AND(HOUR(AC315)=HOUR($F$186),DAY(AC315)=DAY($F$186)),MID(INDEX($A$187:$B$210,MATCH("CLD",$A$187:$A$210,0),2),7,2),""))</f>
        <v/>
      </c>
      <c r="AR315" s="1149" t="str">
        <f t="shared" si="178"/>
        <v/>
      </c>
      <c r="AS315" s="1150" t="str">
        <f t="shared" si="179"/>
        <v/>
      </c>
      <c r="AT315" s="112" t="str">
        <f t="shared" si="180"/>
        <v/>
      </c>
      <c r="AU315" s="1610" t="str">
        <f t="shared" si="181"/>
        <v/>
      </c>
      <c r="AV315" s="1148">
        <f t="shared" si="170"/>
        <v>100</v>
      </c>
      <c r="AW315" s="920" t="str">
        <f t="shared" si="173"/>
        <v>OVC</v>
      </c>
      <c r="AX315" s="1608">
        <f t="shared" si="171"/>
        <v>18</v>
      </c>
      <c r="AY315" s="112" t="str">
        <f>IF(BA315="Y",AZ315,IF(AND(ISNUMBER(AY314),AC315&lt;$F$186+26/25),(MID(INDEX($A$187:$B$210,MATCH("VIS",$A$187:$A$210,0),2),8+(3*COUNT($AY$207:AY314)),1))*1,IF(AND(HOUR(AC315)=HOUR($F$186),DAY(AC315)=DAY($F$186)),(MID(INDEX($A$187:$B$210,MATCH("VIS",$A$187:$A$210,0),2),8,1))*1,"")))</f>
        <v/>
      </c>
      <c r="AZ315" s="112" t="str">
        <f>IF(AND(ISNUMBER(AZ314),AC315&lt;$F$186+26/25),(MID(INDEX($A$187:$B$210,MATCH("CVS",$A$187:$A$210,0),2),8+(3*COUNT($AZ$207:AZ314)),1))*1,IF(AND(HOUR(AC315)=HOUR($F$186),DAY(AC315)=DAY($F$186)),(MID(INDEX($A$187:$B$210,MATCH("CVS",$A$187:$A$210,0),2),8,1))*1,""))</f>
        <v/>
      </c>
      <c r="BA315" s="1610" t="str">
        <f>IF(AND(BA314&lt;&gt;"",AC315&lt;$F$186+26/25),MID(INDEX($A$187:$B$210,MATCH("PCO",$A$187:$A$210,0),2),8+(3*SUM(COUNTIF($BA$207:BA314,"Y"),COUNTIF($BA$207:BA314,"N"))),1),IF(AND(HOUR(AC315)=HOUR($F$186),DAY(AC315)=DAY($F$186)),MID(INDEX($A$187:$B$210,MATCH("PCO",$A$187:$A$210,0),2),8,1),""))</f>
        <v/>
      </c>
      <c r="BB315" s="1610" t="e">
        <f>IF(AND(BB314&lt;&gt;"",AC315&lt;$F$186+26/25),MID(INDEX($A$187:$B$210,MATCH("TYP",$A$187:$A$210,0),2),8+(3*SUM(COUNTIF($BB$207:BB314,"S"),COUNTIF($BB$207:BB314,"Z"), COUNTIF($BB$207:BB314,"R"),COUNTIF($BB$207:BB314,"X"))),1),IF(AND(HOUR(AC315)=HOUR($F$186),DAY(AC315)=DAY($F$186)),MID(INDEX($A$187:$B$210,MATCH("TYP",$A$187:$A$210,0),2),8,1),""))</f>
        <v>#N/A</v>
      </c>
      <c r="BC315" s="112" t="str">
        <f>IF(AND(LEN(BC314)=2,AC315&lt;$F$186+26/25),MID(INDEX($A$187:$B$211,MATCH("OBV",$A$187:$A$211,0),2),7+(3*SUM(COUNTIF($BC$207:BC314," N"),COUNTIF($BC$207:BC314,"HZ"),COUNTIF($BC$207:BC314,"BR"),COUNTIF($BC$207:BC314,"FG"),COUNTIF($BC$207:BC314,"BL"))),2),IF(AND(HOUR(AC315)=HOUR($F$186),DAY(AC315)=DAY($F$186)),MID(INDEX($A$187:$B$211,MATCH("OBV",$A$187:$A$211,0),2),7,2),""))</f>
        <v/>
      </c>
      <c r="BD315" s="112"/>
      <c r="BE315" s="112"/>
      <c r="BF315" s="112"/>
      <c r="BG315" s="1610" t="str">
        <f t="shared" si="200"/>
        <v/>
      </c>
      <c r="BH315" s="115" t="str">
        <f t="shared" si="182"/>
        <v/>
      </c>
      <c r="BI315" s="200" t="str">
        <f t="shared" si="155"/>
        <v/>
      </c>
      <c r="BJ315" s="62" t="str">
        <f t="shared" si="154"/>
        <v/>
      </c>
      <c r="BK315" s="1145" t="str">
        <f t="shared" si="198"/>
        <v/>
      </c>
      <c r="BL315" s="62" t="str">
        <f t="shared" si="156"/>
        <v/>
      </c>
      <c r="BM315" s="1145" t="str">
        <f t="shared" si="150"/>
        <v/>
      </c>
      <c r="BN315" s="1901" t="str">
        <f t="shared" si="199"/>
        <v/>
      </c>
      <c r="BO315" s="1144" t="str">
        <f t="shared" si="157"/>
        <v/>
      </c>
      <c r="BP315" s="106" t="str">
        <f t="shared" si="187"/>
        <v/>
      </c>
      <c r="BQ315" s="66" t="str">
        <f t="shared" si="158"/>
        <v/>
      </c>
      <c r="BR315" s="106" t="str">
        <f t="shared" si="159"/>
        <v/>
      </c>
      <c r="BS315" s="834" t="str">
        <f t="shared" si="176"/>
        <v/>
      </c>
      <c r="BT315" s="106" t="str">
        <f t="shared" si="160"/>
        <v/>
      </c>
      <c r="BU315" s="834" t="str">
        <f t="shared" si="145"/>
        <v/>
      </c>
      <c r="BV315" s="66" t="str">
        <f t="shared" si="183"/>
        <v/>
      </c>
      <c r="BW315" s="66" t="str">
        <f t="shared" si="184"/>
        <v/>
      </c>
      <c r="BX315" s="1198">
        <f t="shared" si="172"/>
        <v>3</v>
      </c>
      <c r="BY315" s="1146" t="str">
        <f t="shared" si="153"/>
        <v>TS</v>
      </c>
      <c r="CA315" s="3675">
        <f t="shared" si="148"/>
        <v>44751.541666666664</v>
      </c>
      <c r="CB315" s="3675"/>
    </row>
    <row r="316" spans="1:80" ht="10.5">
      <c r="A316" s="978" t="str">
        <f>Worksheet!Q153</f>
        <v>135000 20939193 00998 149970503 7521222018   ---079</v>
      </c>
      <c r="B316" s="452">
        <f t="shared" si="197"/>
        <v>44753.375</v>
      </c>
      <c r="C316" s="466">
        <f t="shared" si="188"/>
        <v>29.97</v>
      </c>
      <c r="D316" s="454">
        <f t="shared" si="185"/>
        <v>9</v>
      </c>
      <c r="E316" s="476">
        <f t="shared" si="189"/>
        <v>40</v>
      </c>
      <c r="F316" s="460" t="str">
        <f t="shared" si="174"/>
        <v>NONE</v>
      </c>
      <c r="G316" s="460" t="str">
        <f t="shared" si="190"/>
        <v>SCT</v>
      </c>
      <c r="H316" s="460">
        <f t="shared" si="191"/>
        <v>20</v>
      </c>
      <c r="I316" s="460">
        <f t="shared" si="177"/>
        <v>20</v>
      </c>
      <c r="J316" s="461">
        <f t="shared" si="192"/>
        <v>21</v>
      </c>
      <c r="K316" s="462">
        <f t="shared" si="161"/>
        <v>20</v>
      </c>
      <c r="L316" s="462">
        <f t="shared" si="162"/>
        <v>1</v>
      </c>
      <c r="M316" s="462">
        <f t="shared" si="193"/>
        <v>7</v>
      </c>
      <c r="N316" s="462"/>
      <c r="O316" s="462">
        <f t="shared" si="194"/>
        <v>6</v>
      </c>
      <c r="P316" s="462">
        <f t="shared" si="195"/>
        <v>7</v>
      </c>
      <c r="Q316" s="462">
        <f t="shared" si="175"/>
        <v>7.9</v>
      </c>
      <c r="R316" s="462">
        <f t="shared" si="127"/>
        <v>7</v>
      </c>
      <c r="S316" s="465">
        <f t="shared" si="152"/>
        <v>6</v>
      </c>
      <c r="T316" s="1118" t="str">
        <f t="shared" si="196"/>
        <v>BR</v>
      </c>
      <c r="U316" s="463" t="str">
        <f t="shared" si="163"/>
        <v/>
      </c>
      <c r="V316" s="464" t="str">
        <f t="shared" si="164"/>
        <v/>
      </c>
      <c r="W316" s="411">
        <f t="shared" si="165"/>
        <v>44753.375</v>
      </c>
      <c r="X316" s="410"/>
      <c r="Y316" s="458">
        <f t="shared" si="166"/>
        <v>69.800000000000011</v>
      </c>
      <c r="Z316" s="458">
        <f t="shared" si="167"/>
        <v>68</v>
      </c>
      <c r="AC316" s="977">
        <f t="shared" si="149"/>
        <v>44751.583333333328</v>
      </c>
      <c r="AE316" s="1149" t="str">
        <f>IF(AND(HOUR(AC316)=HOUR($F$186),DAY(AC316)=DAY($F$186)),(MID($B$189,6,3))*1,IF(AND(ISNUMBER(AE315),AC316&lt;$F$186+1+(1/25)),(MID($B$189,6+(3*COUNT($AE$207:AE315)),3))*1,""))</f>
        <v/>
      </c>
      <c r="AF316" s="1164" t="e">
        <f t="shared" si="168"/>
        <v>#VALUE!</v>
      </c>
      <c r="AG316" s="1150">
        <f t="shared" si="136"/>
        <v>72.2</v>
      </c>
      <c r="AH316" s="1163" t="str">
        <f>IF(AND(ISNUMBER(AH315),AC316&lt;$F$186+26/25),(MID($B$190,6+(3*COUNT($AH$207:AH315)),3))*1,IF(AND(HOUR(AC316)=HOUR($F$186),DAY(AC316)=DAY($F$186)),(MID($B$190,6,3))*1,""))</f>
        <v/>
      </c>
      <c r="AI316" s="200"/>
      <c r="AJ316" s="1164" t="e">
        <f t="shared" si="137"/>
        <v>#VALUE!</v>
      </c>
      <c r="AK316" s="1150">
        <f t="shared" si="138"/>
        <v>69.2</v>
      </c>
      <c r="AL316" s="1152" t="e">
        <f t="shared" si="169"/>
        <v>#VALUE!</v>
      </c>
      <c r="AM316" s="1153">
        <f t="shared" si="139"/>
        <v>30.026666666666667</v>
      </c>
      <c r="AN316" s="1147"/>
      <c r="AO316" s="976" t="str">
        <f>IF(BA316="Y",AP316,IF(AND(ISNUMBER(AO315),AC316&lt;$F$186+26/25),(MID(INDEX($A$187:$B$210,MATCH("CIG",$A$187:$A$210,0),2),8+(3*COUNT($AO$207:AO315)),1))*1,IF(AND(HOUR(AC316)=HOUR($F$186),DAY(AC316)=DAY($F$186)),(MID(INDEX($A$187:$B$210,MATCH("CIG",$A$187:$A$210,0),2),8,1))*1,"")))</f>
        <v/>
      </c>
      <c r="AQ316" s="1061" t="str">
        <f>IF(AND(AQ315&lt;&gt;"",AC316&lt;$F$186+26/25),MID(INDEX($A$187:$B$210,MATCH("CLD",$A$187:$A$210,0),2),7+(3*SUM(COUNTIF($AQ$207:AQ315,"OV"),COUNTIF($AQ$207:AQ315,"BK"),COUNTIF($AQ$207:AQ315,"SC"),COUNTIF($AQ$207:AQ315,"FW"),COUNTIF($AQ$207:AQ315,"CL"))),2),IF(AND(HOUR(AC316)=HOUR($F$186),DAY(AC316)=DAY($F$186)),MID(INDEX($A$187:$B$210,MATCH("CLD",$A$187:$A$210,0),2),7,2),""))</f>
        <v/>
      </c>
      <c r="AR316" s="1149" t="str">
        <f t="shared" si="178"/>
        <v/>
      </c>
      <c r="AS316" s="1150" t="str">
        <f t="shared" si="179"/>
        <v/>
      </c>
      <c r="AT316" s="112" t="str">
        <f t="shared" si="180"/>
        <v/>
      </c>
      <c r="AU316" s="1610" t="str">
        <f t="shared" si="181"/>
        <v/>
      </c>
      <c r="AV316" s="1148">
        <f t="shared" si="170"/>
        <v>100</v>
      </c>
      <c r="AW316" s="920" t="str">
        <f t="shared" si="173"/>
        <v>OVC</v>
      </c>
      <c r="AX316" s="1608">
        <f t="shared" si="171"/>
        <v>19</v>
      </c>
      <c r="AY316" s="112" t="str">
        <f>IF(BA316="Y",AZ316,IF(AND(ISNUMBER(AY315),AC316&lt;$F$186+26/25),(MID(INDEX($A$187:$B$210,MATCH("VIS",$A$187:$A$210,0),2),8+(3*COUNT($AY$207:AY315)),1))*1,IF(AND(HOUR(AC316)=HOUR($F$186),DAY(AC316)=DAY($F$186)),(MID(INDEX($A$187:$B$210,MATCH("VIS",$A$187:$A$210,0),2),8,1))*1,"")))</f>
        <v/>
      </c>
      <c r="AZ316" s="112" t="str">
        <f>IF(AND(ISNUMBER(AZ315),AC316&lt;$F$186+26/25),(MID(INDEX($A$187:$B$210,MATCH("CVS",$A$187:$A$210,0),2),8+(3*COUNT($AZ$207:AZ315)),1))*1,IF(AND(HOUR(AC316)=HOUR($F$186),DAY(AC316)=DAY($F$186)),(MID(INDEX($A$187:$B$210,MATCH("CVS",$A$187:$A$210,0),2),8,1))*1,""))</f>
        <v/>
      </c>
      <c r="BA316" s="1610" t="str">
        <f>IF(AND(BA315&lt;&gt;"",AC316&lt;$F$186+26/25),MID(INDEX($A$187:$B$210,MATCH("PCO",$A$187:$A$210,0),2),8+(3*SUM(COUNTIF($BA$207:BA315,"Y"),COUNTIF($BA$207:BA315,"N"))),1),IF(AND(HOUR(AC316)=HOUR($F$186),DAY(AC316)=DAY($F$186)),MID(INDEX($A$187:$B$210,MATCH("PCO",$A$187:$A$210,0),2),8,1),""))</f>
        <v/>
      </c>
      <c r="BB316" s="1610" t="e">
        <f>IF(AND(BB315&lt;&gt;"",AC316&lt;$F$186+26/25),MID(INDEX($A$187:$B$210,MATCH("TYP",$A$187:$A$210,0),2),8+(3*SUM(COUNTIF($BB$207:BB315,"S"),COUNTIF($BB$207:BB315,"Z"), COUNTIF($BB$207:BB315,"R"),COUNTIF($BB$207:BB315,"X"))),1),IF(AND(HOUR(AC316)=HOUR($F$186),DAY(AC316)=DAY($F$186)),MID(INDEX($A$187:$B$210,MATCH("TYP",$A$187:$A$210,0),2),8,1),""))</f>
        <v>#N/A</v>
      </c>
      <c r="BC316" s="112" t="str">
        <f>IF(AND(LEN(BC315)=2,AC316&lt;$F$186+26/25),MID(INDEX($A$187:$B$211,MATCH("OBV",$A$187:$A$211,0),2),7+(3*SUM(COUNTIF($BC$207:BC315," N"),COUNTIF($BC$207:BC315,"HZ"),COUNTIF($BC$207:BC315,"BR"),COUNTIF($BC$207:BC315,"FG"),COUNTIF($BC$207:BC315,"BL"))),2),IF(AND(HOUR(AC316)=HOUR($F$186),DAY(AC316)=DAY($F$186)),MID(INDEX($A$187:$B$211,MATCH("OBV",$A$187:$A$211,0),2),7,2),""))</f>
        <v/>
      </c>
      <c r="BD316" s="112"/>
      <c r="BE316" s="112"/>
      <c r="BF316" s="112"/>
      <c r="BG316" s="1610" t="str">
        <f t="shared" si="200"/>
        <v/>
      </c>
      <c r="BH316" s="115" t="str">
        <f t="shared" si="182"/>
        <v/>
      </c>
      <c r="BI316" s="200" t="str">
        <f t="shared" si="155"/>
        <v/>
      </c>
      <c r="BJ316" s="62" t="str">
        <f t="shared" si="154"/>
        <v/>
      </c>
      <c r="BK316" s="1145" t="str">
        <f t="shared" si="198"/>
        <v/>
      </c>
      <c r="BL316" s="62" t="str">
        <f t="shared" si="156"/>
        <v/>
      </c>
      <c r="BM316" s="1145" t="str">
        <f t="shared" si="150"/>
        <v/>
      </c>
      <c r="BN316" s="1901" t="str">
        <f t="shared" si="199"/>
        <v/>
      </c>
      <c r="BO316" s="1144" t="str">
        <f t="shared" si="157"/>
        <v/>
      </c>
      <c r="BP316" s="106" t="str">
        <f t="shared" si="187"/>
        <v/>
      </c>
      <c r="BQ316" s="66" t="str">
        <f t="shared" si="158"/>
        <v/>
      </c>
      <c r="BR316" s="106" t="str">
        <f t="shared" si="159"/>
        <v/>
      </c>
      <c r="BS316" s="834" t="str">
        <f t="shared" si="176"/>
        <v/>
      </c>
      <c r="BT316" s="106" t="str">
        <f t="shared" si="160"/>
        <v/>
      </c>
      <c r="BU316" s="834" t="str">
        <f t="shared" si="145"/>
        <v/>
      </c>
      <c r="BV316" s="66" t="str">
        <f t="shared" si="183"/>
        <v/>
      </c>
      <c r="BW316" s="66" t="str">
        <f t="shared" si="184"/>
        <v/>
      </c>
      <c r="BX316" s="1198">
        <f t="shared" si="172"/>
        <v>3</v>
      </c>
      <c r="BY316" s="1146" t="str">
        <f t="shared" si="153"/>
        <v>TS</v>
      </c>
      <c r="CA316" s="3675">
        <f t="shared" si="148"/>
        <v>44751.583333333328</v>
      </c>
      <c r="CB316" s="3675"/>
    </row>
    <row r="317" spans="1:80" ht="10.5">
      <c r="A317" s="978" t="str">
        <f>Worksheet!Q154</f>
        <v>138000 21949094 -2699 149981102 7521212018   007086</v>
      </c>
      <c r="B317" s="452">
        <f t="shared" si="197"/>
        <v>44753.5</v>
      </c>
      <c r="C317" s="466">
        <f>IF(B317="","",VALUE(CONCATENATE(IF(MID(A317,25,1)="0","3","2"),MID(A317,25,1),".",MID(A317,26,2))))</f>
        <v>29.98</v>
      </c>
      <c r="D317" s="454">
        <f t="shared" ref="D317:D322" si="201">IF(C317="","",HOUR(B317))</f>
        <v>12</v>
      </c>
      <c r="E317" s="476">
        <f t="shared" si="189"/>
        <v>70</v>
      </c>
      <c r="F317" s="460">
        <f t="shared" si="174"/>
        <v>7</v>
      </c>
      <c r="G317" s="460">
        <f t="shared" si="190"/>
        <v>7</v>
      </c>
      <c r="H317" s="460">
        <f t="shared" si="191"/>
        <v>7</v>
      </c>
      <c r="I317" s="460">
        <f t="shared" si="177"/>
        <v>7</v>
      </c>
      <c r="J317" s="461">
        <f t="shared" si="192"/>
        <v>21</v>
      </c>
      <c r="K317" s="462">
        <f t="shared" si="161"/>
        <v>21</v>
      </c>
      <c r="L317" s="462">
        <f t="shared" si="162"/>
        <v>0</v>
      </c>
      <c r="M317" s="462">
        <f t="shared" si="193"/>
        <v>7</v>
      </c>
      <c r="N317" s="462"/>
      <c r="O317" s="462">
        <f t="shared" si="194"/>
        <v>7</v>
      </c>
      <c r="P317" s="462">
        <f t="shared" si="195"/>
        <v>2</v>
      </c>
      <c r="Q317" s="462">
        <f t="shared" si="175"/>
        <v>8.6</v>
      </c>
      <c r="R317" s="462">
        <f t="shared" si="127"/>
        <v>7</v>
      </c>
      <c r="S317" s="465">
        <f t="shared" si="152"/>
        <v>2</v>
      </c>
      <c r="T317" s="1118" t="str">
        <f t="shared" si="196"/>
        <v>BR</v>
      </c>
      <c r="U317" s="463">
        <f t="shared" si="163"/>
        <v>110</v>
      </c>
      <c r="V317" s="464">
        <f t="shared" si="164"/>
        <v>3</v>
      </c>
      <c r="W317" s="411">
        <f t="shared" si="165"/>
        <v>44753.5</v>
      </c>
      <c r="X317" s="410"/>
      <c r="Y317" s="458">
        <f t="shared" si="166"/>
        <v>69.800000000000011</v>
      </c>
      <c r="Z317" s="458">
        <f t="shared" si="167"/>
        <v>69.800000000000011</v>
      </c>
      <c r="AC317" s="977">
        <f t="shared" si="149"/>
        <v>44751.625</v>
      </c>
      <c r="AE317" s="1149" t="str">
        <f>IF(AND(HOUR(AC317)=HOUR($F$186),DAY(AC317)=DAY($F$186)),(MID($B$189,6,3))*1,IF(AND(ISNUMBER(AE316),AC317&lt;$F$186+1+(1/25)),(MID($B$189,6+(3*COUNT($AE$207:AE316)),3))*1,""))</f>
        <v/>
      </c>
      <c r="AF317" s="1164" t="e">
        <f t="shared" si="168"/>
        <v>#VALUE!</v>
      </c>
      <c r="AG317" s="1150">
        <f t="shared" si="136"/>
        <v>71.599999999999994</v>
      </c>
      <c r="AH317" s="1163" t="str">
        <f>IF(AND(ISNUMBER(AH316),AC317&lt;$F$186+26/25),(MID($B$190,6+(3*COUNT($AH$207:AH316)),3))*1,IF(AND(HOUR(AC317)=HOUR($F$186),DAY(AC317)=DAY($F$186)),(MID($B$190,6,3))*1,""))</f>
        <v/>
      </c>
      <c r="AI317" s="200"/>
      <c r="AJ317" s="1164" t="e">
        <f t="shared" si="137"/>
        <v>#VALUE!</v>
      </c>
      <c r="AK317" s="1150">
        <f t="shared" si="138"/>
        <v>68</v>
      </c>
      <c r="AL317" s="1152" t="e">
        <f t="shared" si="169"/>
        <v>#VALUE!</v>
      </c>
      <c r="AM317" s="1153">
        <f t="shared" si="139"/>
        <v>30.03</v>
      </c>
      <c r="AN317" s="1147"/>
      <c r="AO317" s="976" t="str">
        <f>IF(BA317="Y",AP317,IF(AND(ISNUMBER(AO316),AC317&lt;$F$186+26/25),(MID(INDEX($A$187:$B$210,MATCH("CIG",$A$187:$A$210,0),2),8+(3*COUNT($AO$207:AO316)),1))*1,IF(AND(HOUR(AC317)=HOUR($F$186),DAY(AC317)=DAY($F$186)),(MID(INDEX($A$187:$B$210,MATCH("CIG",$A$187:$A$210,0),2),8,1))*1,"")))</f>
        <v/>
      </c>
      <c r="AQ317" s="1061" t="str">
        <f>IF(AND(AQ316&lt;&gt;"",AC317&lt;$F$186+26/25),MID(INDEX($A$187:$B$210,MATCH("CLD",$A$187:$A$210,0),2),7+(3*SUM(COUNTIF($AQ$207:AQ316,"OV"),COUNTIF($AQ$207:AQ316,"BK"),COUNTIF($AQ$207:AQ316,"SC"),COUNTIF($AQ$207:AQ316,"FW"),COUNTIF($AQ$207:AQ316,"CL"))),2),IF(AND(HOUR(AC317)=HOUR($F$186),DAY(AC317)=DAY($F$186)),MID(INDEX($A$187:$B$210,MATCH("CLD",$A$187:$A$210,0),2),7,2),""))</f>
        <v/>
      </c>
      <c r="AR317" s="1149" t="str">
        <f t="shared" si="178"/>
        <v/>
      </c>
      <c r="AS317" s="1150" t="str">
        <f t="shared" si="179"/>
        <v/>
      </c>
      <c r="AT317" s="112" t="str">
        <f t="shared" si="180"/>
        <v/>
      </c>
      <c r="AU317" s="1610" t="str">
        <f t="shared" si="181"/>
        <v/>
      </c>
      <c r="AV317" s="1148">
        <f t="shared" si="170"/>
        <v>100</v>
      </c>
      <c r="AW317" s="920" t="str">
        <f t="shared" si="173"/>
        <v>OVC</v>
      </c>
      <c r="AX317" s="1608">
        <f t="shared" si="171"/>
        <v>20</v>
      </c>
      <c r="AY317" s="112" t="str">
        <f>IF(BA317="Y",AZ317,IF(AND(ISNUMBER(AY316),AC317&lt;$F$186+26/25),(MID(INDEX($A$187:$B$210,MATCH("VIS",$A$187:$A$210,0),2),8+(3*COUNT($AY$207:AY316)),1))*1,IF(AND(HOUR(AC317)=HOUR($F$186),DAY(AC317)=DAY($F$186)),(MID(INDEX($A$187:$B$210,MATCH("VIS",$A$187:$A$210,0),2),8,1))*1,"")))</f>
        <v/>
      </c>
      <c r="AZ317" s="112" t="str">
        <f>IF(AND(ISNUMBER(AZ316),AC317&lt;$F$186+26/25),(MID(INDEX($A$187:$B$210,MATCH("CVS",$A$187:$A$210,0),2),8+(3*COUNT($AZ$207:AZ316)),1))*1,IF(AND(HOUR(AC317)=HOUR($F$186),DAY(AC317)=DAY($F$186)),(MID(INDEX($A$187:$B$210,MATCH("CVS",$A$187:$A$210,0),2),8,1))*1,""))</f>
        <v/>
      </c>
      <c r="BA317" s="1610" t="str">
        <f>IF(AND(BA316&lt;&gt;"",AC317&lt;$F$186+26/25),MID(INDEX($A$187:$B$210,MATCH("PCO",$A$187:$A$210,0),2),8+(3*SUM(COUNTIF($BA$207:BA316,"Y"),COUNTIF($BA$207:BA316,"N"))),1),IF(AND(HOUR(AC317)=HOUR($F$186),DAY(AC317)=DAY($F$186)),MID(INDEX($A$187:$B$210,MATCH("PCO",$A$187:$A$210,0),2),8,1),""))</f>
        <v/>
      </c>
      <c r="BB317" s="1610" t="e">
        <f>IF(AND(BB316&lt;&gt;"",AC317&lt;$F$186+26/25),MID(INDEX($A$187:$B$210,MATCH("TYP",$A$187:$A$210,0),2),8+(3*SUM(COUNTIF($BB$207:BB316,"S"),COUNTIF($BB$207:BB316,"Z"), COUNTIF($BB$207:BB316,"R"),COUNTIF($BB$207:BB316,"X"))),1),IF(AND(HOUR(AC317)=HOUR($F$186),DAY(AC317)=DAY($F$186)),MID(INDEX($A$187:$B$210,MATCH("TYP",$A$187:$A$210,0),2),8,1),""))</f>
        <v>#N/A</v>
      </c>
      <c r="BC317" s="112" t="str">
        <f>IF(AND(LEN(BC316)=2,AC317&lt;$F$186+26/25),MID(INDEX($A$187:$B$211,MATCH("OBV",$A$187:$A$211,0),2),7+(3*SUM(COUNTIF($BC$207:BC316," N"),COUNTIF($BC$207:BC316,"HZ"),COUNTIF($BC$207:BC316,"BR"),COUNTIF($BC$207:BC316,"FG"),COUNTIF($BC$207:BC316,"BL"))),2),IF(AND(HOUR(AC317)=HOUR($F$186),DAY(AC317)=DAY($F$186)),MID(INDEX($A$187:$B$211,MATCH("OBV",$A$187:$A$211,0),2),7,2),""))</f>
        <v/>
      </c>
      <c r="BD317" s="112"/>
      <c r="BE317" s="112"/>
      <c r="BF317" s="112"/>
      <c r="BG317" s="1610" t="str">
        <f t="shared" si="200"/>
        <v/>
      </c>
      <c r="BH317" s="115" t="str">
        <f t="shared" si="182"/>
        <v/>
      </c>
      <c r="BI317" s="200" t="str">
        <f t="shared" si="155"/>
        <v/>
      </c>
      <c r="BJ317" s="62" t="str">
        <f t="shared" si="154"/>
        <v/>
      </c>
      <c r="BK317" s="1145" t="str">
        <f t="shared" si="198"/>
        <v/>
      </c>
      <c r="BL317" s="62" t="str">
        <f t="shared" si="156"/>
        <v/>
      </c>
      <c r="BM317" s="1145" t="str">
        <f t="shared" si="150"/>
        <v/>
      </c>
      <c r="BN317" s="1901" t="str">
        <f t="shared" si="199"/>
        <v/>
      </c>
      <c r="BO317" s="1144" t="str">
        <f t="shared" si="157"/>
        <v/>
      </c>
      <c r="BP317" s="106" t="str">
        <f t="shared" si="187"/>
        <v/>
      </c>
      <c r="BQ317" s="66" t="str">
        <f t="shared" si="158"/>
        <v/>
      </c>
      <c r="BR317" s="106" t="str">
        <f t="shared" si="159"/>
        <v/>
      </c>
      <c r="BS317" s="834" t="str">
        <f t="shared" si="176"/>
        <v/>
      </c>
      <c r="BT317" s="106" t="str">
        <f t="shared" si="160"/>
        <v/>
      </c>
      <c r="BU317" s="834" t="str">
        <f t="shared" si="145"/>
        <v/>
      </c>
      <c r="BV317" s="66" t="str">
        <f t="shared" si="183"/>
        <v/>
      </c>
      <c r="BW317" s="66" t="str">
        <f t="shared" si="184"/>
        <v/>
      </c>
      <c r="BX317" s="1198">
        <f t="shared" si="172"/>
        <v>3</v>
      </c>
      <c r="BY317" s="1146" t="str">
        <f t="shared" si="153"/>
        <v>TS</v>
      </c>
      <c r="CA317" s="3675">
        <f t="shared" si="148"/>
        <v>44751.625</v>
      </c>
      <c r="CB317" s="3675"/>
    </row>
    <row r="318" spans="1:80" ht="10.5">
      <c r="A318" s="978" t="str">
        <f>Worksheet!Q155</f>
        <v>141000 23888992 00697 149972001 7626232018   ---149</v>
      </c>
      <c r="B318" s="452">
        <f>IF(OR(LEFT(A318,1)="0",LEFT(A318,1)="1"),MROUND((VALUE(LEFT(A318,3))/24)+B$237,1/24),B$237)</f>
        <v>44753.625</v>
      </c>
      <c r="C318" s="466">
        <f t="shared" si="188"/>
        <v>29.97</v>
      </c>
      <c r="D318" s="454">
        <f t="shared" si="201"/>
        <v>15</v>
      </c>
      <c r="E318" s="476">
        <f>IF(B318="","",IF(OR(F318="NONE",I318=""),40,IF(OR(VALUE(MID(A318,12,2))&gt;94,VALUE(MID(A318,14,2))&gt;94),100,70)))</f>
        <v>40</v>
      </c>
      <c r="F318" s="460" t="str">
        <f t="shared" si="174"/>
        <v>NONE</v>
      </c>
      <c r="G318" s="460" t="str">
        <f t="shared" si="190"/>
        <v>SCT</v>
      </c>
      <c r="H318" s="460">
        <f>IF(G318="","",IF(G318="SKC",H317,IF(AND(G318&gt;20,VALUE(MID(A318,12,2))&gt;79),20,G318)))</f>
        <v>20</v>
      </c>
      <c r="I318" s="460">
        <f t="shared" si="177"/>
        <v>20</v>
      </c>
      <c r="J318" s="461">
        <f t="shared" si="192"/>
        <v>26</v>
      </c>
      <c r="K318" s="462">
        <f t="shared" si="161"/>
        <v>23</v>
      </c>
      <c r="L318" s="462">
        <f t="shared" si="162"/>
        <v>3</v>
      </c>
      <c r="M318" s="462">
        <f t="shared" si="193"/>
        <v>7</v>
      </c>
      <c r="N318" s="462"/>
      <c r="O318" s="462">
        <f t="shared" si="194"/>
        <v>7</v>
      </c>
      <c r="P318" s="462">
        <f t="shared" si="195"/>
        <v>7</v>
      </c>
      <c r="Q318" s="462"/>
      <c r="R318" s="462">
        <f>IF(D318="","",IF(MID(A318,44,1)="S",1,IF(MID(A318,44,1)="T",2,IF(MID(A318,44,1)=" ",7,4))))</f>
        <v>7</v>
      </c>
      <c r="S318" s="465">
        <f>IF(D318="","",MIN(M318:R318))</f>
        <v>7</v>
      </c>
      <c r="T318" s="1118" t="str">
        <f t="shared" si="196"/>
        <v>NSW</v>
      </c>
      <c r="U318" s="463" t="str">
        <f t="shared" si="163"/>
        <v/>
      </c>
      <c r="V318" s="464" t="str">
        <f t="shared" si="164"/>
        <v/>
      </c>
      <c r="W318" s="411">
        <f t="shared" si="165"/>
        <v>44753.625</v>
      </c>
      <c r="X318" s="410"/>
      <c r="Y318" s="458">
        <f t="shared" si="166"/>
        <v>78.800000000000011</v>
      </c>
      <c r="Z318" s="458">
        <f t="shared" si="167"/>
        <v>73.400000000000006</v>
      </c>
      <c r="AC318" s="977">
        <f t="shared" si="149"/>
        <v>44751.666666666664</v>
      </c>
      <c r="AE318" s="1149" t="str">
        <f>IF(AND(HOUR(AC318)=HOUR($F$186),DAY(AC318)=DAY($F$186)),(MID($B$189,6,3))*1,IF(AND(ISNUMBER(AE317),AC318&lt;$F$186+1+(1/25)),(MID($B$189,6+(3*COUNT($AE$207:AE317)),3))*1,""))</f>
        <v/>
      </c>
      <c r="AF318" s="1164" t="e">
        <f t="shared" si="168"/>
        <v>#VALUE!</v>
      </c>
      <c r="AG318" s="1150">
        <f t="shared" si="136"/>
        <v>71.599999999999994</v>
      </c>
      <c r="AH318" s="1163" t="str">
        <f>IF(AND(ISNUMBER(AH317),AC318&lt;$F$186+26/25),(MID($B$190,6+(3*COUNT($AH$207:AH317)),3))*1,IF(AND(HOUR(AC318)=HOUR($F$186),DAY(AC318)=DAY($F$186)),(MID($B$190,6,3))*1,""))</f>
        <v/>
      </c>
      <c r="AI318" s="200"/>
      <c r="AJ318" s="1164" t="e">
        <f t="shared" si="137"/>
        <v>#VALUE!</v>
      </c>
      <c r="AK318" s="1150">
        <f t="shared" si="138"/>
        <v>68</v>
      </c>
      <c r="AL318" s="1152" t="e">
        <f t="shared" si="169"/>
        <v>#VALUE!</v>
      </c>
      <c r="AM318" s="1153">
        <f t="shared" si="139"/>
        <v>30.033333333333335</v>
      </c>
      <c r="AN318" s="1147"/>
      <c r="AO318" s="976" t="str">
        <f>IF(BA318="Y",AP318,IF(AND(ISNUMBER(AO317),AC318&lt;$F$186+26/25),(MID(INDEX($A$187:$B$210,MATCH("CIG",$A$187:$A$210,0),2),8+(3*COUNT($AO$207:AO317)),1))*1,IF(AND(HOUR(AC318)=HOUR($F$186),DAY(AC318)=DAY($F$186)),(MID(INDEX($A$187:$B$210,MATCH("CIG",$A$187:$A$210,0),2),8,1))*1,"")))</f>
        <v/>
      </c>
      <c r="AQ318" s="1061" t="str">
        <f>IF(AND(AQ317&lt;&gt;"",AC318&lt;$F$186+26/25),MID(INDEX($A$187:$B$210,MATCH("CLD",$A$187:$A$210,0),2),7+(3*SUM(COUNTIF($AQ$207:AQ317,"OV"),COUNTIF($AQ$207:AQ317,"BK"),COUNTIF($AQ$207:AQ317,"SC"),COUNTIF($AQ$207:AQ317,"FW"),COUNTIF($AQ$207:AQ317,"CL"))),2),IF(AND(HOUR(AC318)=HOUR($F$186),DAY(AC318)=DAY($F$186)),MID(INDEX($A$187:$B$210,MATCH("CLD",$A$187:$A$210,0),2),7,2),""))</f>
        <v/>
      </c>
      <c r="AR318" s="1149" t="str">
        <f t="shared" si="178"/>
        <v/>
      </c>
      <c r="AS318" s="1150" t="str">
        <f t="shared" si="179"/>
        <v/>
      </c>
      <c r="AT318" s="112" t="str">
        <f t="shared" si="180"/>
        <v/>
      </c>
      <c r="AU318" s="1610" t="str">
        <f t="shared" si="181"/>
        <v/>
      </c>
      <c r="AV318" s="1148">
        <f t="shared" si="170"/>
        <v>100</v>
      </c>
      <c r="AW318" s="920" t="str">
        <f t="shared" si="173"/>
        <v>OVC</v>
      </c>
      <c r="AX318" s="1608">
        <f t="shared" si="171"/>
        <v>20</v>
      </c>
      <c r="AY318" s="112" t="str">
        <f>IF(BA318="Y",AZ318,IF(AND(ISNUMBER(AY317),AC318&lt;$F$186+26/25),(MID(INDEX($A$187:$B$210,MATCH("VIS",$A$187:$A$210,0),2),8+(3*COUNT($AY$207:AY317)),1))*1,IF(AND(HOUR(AC318)=HOUR($F$186),DAY(AC318)=DAY($F$186)),(MID(INDEX($A$187:$B$210,MATCH("VIS",$A$187:$A$210,0),2),8,1))*1,"")))</f>
        <v/>
      </c>
      <c r="AZ318" s="112" t="str">
        <f>IF(AND(ISNUMBER(AZ317),AC318&lt;$F$186+26/25),(MID(INDEX($A$187:$B$210,MATCH("CVS",$A$187:$A$210,0),2),8+(3*COUNT($AZ$207:AZ317)),1))*1,IF(AND(HOUR(AC318)=HOUR($F$186),DAY(AC318)=DAY($F$186)),(MID(INDEX($A$187:$B$210,MATCH("CVS",$A$187:$A$210,0),2),8,1))*1,""))</f>
        <v/>
      </c>
      <c r="BA318" s="1610" t="str">
        <f>IF(AND(BA317&lt;&gt;"",AC318&lt;$F$186+26/25),MID(INDEX($A$187:$B$210,MATCH("PCO",$A$187:$A$210,0),2),8+(3*SUM(COUNTIF($BA$207:BA317,"Y"),COUNTIF($BA$207:BA317,"N"))),1),IF(AND(HOUR(AC318)=HOUR($F$186),DAY(AC318)=DAY($F$186)),MID(INDEX($A$187:$B$210,MATCH("PCO",$A$187:$A$210,0),2),8,1),""))</f>
        <v/>
      </c>
      <c r="BB318" s="1610" t="e">
        <f>IF(AND(BB317&lt;&gt;"",AC318&lt;$F$186+26/25),MID(INDEX($A$187:$B$210,MATCH("TYP",$A$187:$A$210,0),2),8+(3*SUM(COUNTIF($BB$207:BB317,"S"),COUNTIF($BB$207:BB317,"Z"), COUNTIF($BB$207:BB317,"R"),COUNTIF($BB$207:BB317,"X"))),1),IF(AND(HOUR(AC318)=HOUR($F$186),DAY(AC318)=DAY($F$186)),MID(INDEX($A$187:$B$210,MATCH("TYP",$A$187:$A$210,0),2),8,1),""))</f>
        <v>#N/A</v>
      </c>
      <c r="BC318" s="112" t="str">
        <f>IF(AND(LEN(BC317)=2,AC318&lt;$F$186+26/25),MID(INDEX($A$187:$B$211,MATCH("OBV",$A$187:$A$211,0),2),7+(3*SUM(COUNTIF($BC$207:BC317," N"),COUNTIF($BC$207:BC317,"HZ"),COUNTIF($BC$207:BC317,"BR"),COUNTIF($BC$207:BC317,"FG"),COUNTIF($BC$207:BC317,"BL"))),2),IF(AND(HOUR(AC318)=HOUR($F$186),DAY(AC318)=DAY($F$186)),MID(INDEX($A$187:$B$211,MATCH("OBV",$A$187:$A$211,0),2),7,2),""))</f>
        <v/>
      </c>
      <c r="BD318" s="112"/>
      <c r="BE318" s="112"/>
      <c r="BF318" s="112"/>
      <c r="BG318" s="1610" t="str">
        <f t="shared" si="200"/>
        <v/>
      </c>
      <c r="BH318" s="115" t="str">
        <f t="shared" si="182"/>
        <v/>
      </c>
      <c r="BI318" s="200" t="str">
        <f t="shared" si="155"/>
        <v/>
      </c>
      <c r="BJ318" s="62" t="str">
        <f t="shared" si="154"/>
        <v/>
      </c>
      <c r="BK318" s="1145" t="str">
        <f t="shared" si="198"/>
        <v/>
      </c>
      <c r="BL318" s="62" t="str">
        <f t="shared" si="156"/>
        <v/>
      </c>
      <c r="BM318" s="1145" t="str">
        <f t="shared" si="150"/>
        <v/>
      </c>
      <c r="BN318" s="1901" t="str">
        <f t="shared" si="199"/>
        <v/>
      </c>
      <c r="BO318" s="1144" t="str">
        <f t="shared" si="157"/>
        <v/>
      </c>
      <c r="BP318" s="106" t="str">
        <f t="shared" si="187"/>
        <v/>
      </c>
      <c r="BQ318" s="66" t="str">
        <f t="shared" si="158"/>
        <v/>
      </c>
      <c r="BR318" s="106" t="str">
        <f t="shared" si="159"/>
        <v/>
      </c>
      <c r="BS318" s="834" t="str">
        <f t="shared" si="176"/>
        <v/>
      </c>
      <c r="BT318" s="106" t="str">
        <f t="shared" si="160"/>
        <v/>
      </c>
      <c r="BU318" s="834" t="str">
        <f t="shared" si="145"/>
        <v/>
      </c>
      <c r="BV318" s="66" t="str">
        <f t="shared" si="183"/>
        <v/>
      </c>
      <c r="BW318" s="66" t="str">
        <f t="shared" si="184"/>
        <v/>
      </c>
      <c r="BX318" s="1198">
        <f t="shared" si="172"/>
        <v>3</v>
      </c>
      <c r="BY318" s="1146" t="str">
        <f t="shared" si="153"/>
        <v>TS</v>
      </c>
      <c r="CA318" s="3675">
        <f t="shared" si="148"/>
        <v>44751.666666666664</v>
      </c>
      <c r="CB318" s="3675"/>
    </row>
    <row r="319" spans="1:80" ht="10.5">
      <c r="A319" s="978" t="str">
        <f>Worksheet!Q156</f>
        <v>144001 22738776 -0596 139932301 7728262220 R ---165</v>
      </c>
      <c r="B319" s="452">
        <f t="shared" si="197"/>
        <v>44753.75</v>
      </c>
      <c r="C319" s="466">
        <f t="shared" si="188"/>
        <v>29.93</v>
      </c>
      <c r="D319" s="454">
        <f t="shared" si="201"/>
        <v>18</v>
      </c>
      <c r="E319" s="476">
        <f t="shared" si="189"/>
        <v>40</v>
      </c>
      <c r="F319" s="460" t="str">
        <f t="shared" si="174"/>
        <v>NONE</v>
      </c>
      <c r="G319" s="460" t="str">
        <f t="shared" si="190"/>
        <v>SCT</v>
      </c>
      <c r="H319" s="460">
        <f>IF(G319="","",IF(G319="SKC",H318,IF(AND(G319&gt;20,VALUE(MID(A319,12,2))&gt;79),20,G319)))</f>
        <v>20</v>
      </c>
      <c r="I319" s="460">
        <f t="shared" si="177"/>
        <v>20</v>
      </c>
      <c r="J319" s="461">
        <f t="shared" si="192"/>
        <v>28</v>
      </c>
      <c r="K319" s="462">
        <f t="shared" si="161"/>
        <v>22</v>
      </c>
      <c r="L319" s="462">
        <f t="shared" si="162"/>
        <v>6</v>
      </c>
      <c r="M319" s="462">
        <f t="shared" si="193"/>
        <v>7</v>
      </c>
      <c r="N319" s="462"/>
      <c r="O319" s="462">
        <f t="shared" si="194"/>
        <v>7</v>
      </c>
      <c r="P319" s="462">
        <f t="shared" si="195"/>
        <v>7</v>
      </c>
      <c r="Q319" s="462"/>
      <c r="R319" s="462">
        <f>IF(D319="","",IF(MID(A319,44,1)="S",1,IF(MID(A319,44,1)="T",2,IF(MID(A319,44,1)=" ",7,4))))</f>
        <v>4</v>
      </c>
      <c r="S319" s="465">
        <f>IF(D319="","",MIN(M319:R319))</f>
        <v>4</v>
      </c>
      <c r="T319" s="1118" t="str">
        <f t="shared" si="196"/>
        <v>RA</v>
      </c>
      <c r="U319" s="463" t="str">
        <f t="shared" si="163"/>
        <v/>
      </c>
      <c r="V319" s="464" t="str">
        <f t="shared" si="164"/>
        <v/>
      </c>
      <c r="W319" s="411">
        <f t="shared" si="165"/>
        <v>44753.75</v>
      </c>
      <c r="X319" s="410"/>
      <c r="Y319" s="458">
        <f t="shared" si="166"/>
        <v>82.4</v>
      </c>
      <c r="Z319" s="458">
        <f t="shared" si="167"/>
        <v>71.599999999999994</v>
      </c>
      <c r="AC319" s="977">
        <f t="shared" si="149"/>
        <v>44751.708333333328</v>
      </c>
      <c r="AE319" s="1149" t="str">
        <f>IF(AND(HOUR(AC319)=HOUR($F$186),DAY(AC319)=DAY($F$186)),(MID($B$189,6,3))*1,IF(AND(ISNUMBER(AE318),AC319&lt;$F$186+1+(1/25)),(MID($B$189,6+(3*COUNT($AE$207:AE318)),3))*1,""))</f>
        <v/>
      </c>
      <c r="AF319" s="1164" t="e">
        <f t="shared" si="168"/>
        <v>#VALUE!</v>
      </c>
      <c r="AG319" s="1150">
        <f t="shared" si="136"/>
        <v>71.599999999999994</v>
      </c>
      <c r="AH319" s="1163" t="str">
        <f>IF(AND(ISNUMBER(AH318),AC319&lt;$F$186+26/25),(MID($B$190,6+(3*COUNT($AH$207:AH318)),3))*1,IF(AND(HOUR(AC319)=HOUR($F$186),DAY(AC319)=DAY($F$186)),(MID($B$190,6,3))*1,""))</f>
        <v/>
      </c>
      <c r="AI319" s="200"/>
      <c r="AJ319" s="1164" t="e">
        <f t="shared" si="137"/>
        <v>#VALUE!</v>
      </c>
      <c r="AK319" s="1150">
        <f t="shared" si="138"/>
        <v>68</v>
      </c>
      <c r="AL319" s="1152" t="e">
        <f t="shared" si="169"/>
        <v>#VALUE!</v>
      </c>
      <c r="AM319" s="1153">
        <f t="shared" si="139"/>
        <v>30.036666666666665</v>
      </c>
      <c r="AN319" s="1147"/>
      <c r="AO319" s="976" t="str">
        <f>IF(BA319="Y",AP319,IF(AND(ISNUMBER(AO318),AC319&lt;$F$186+26/25),(MID(INDEX($A$187:$B$210,MATCH("CIG",$A$187:$A$210,0),2),8+(3*COUNT($AO$207:AO318)),1))*1,IF(AND(HOUR(AC319)=HOUR($F$186),DAY(AC319)=DAY($F$186)),(MID(INDEX($A$187:$B$210,MATCH("CIG",$A$187:$A$210,0),2),8,1))*1,"")))</f>
        <v/>
      </c>
      <c r="AQ319" s="1061" t="str">
        <f>IF(AND(AQ318&lt;&gt;"",AC319&lt;$F$186+26/25),MID(INDEX($A$187:$B$210,MATCH("CLD",$A$187:$A$210,0),2),7+(3*SUM(COUNTIF($AQ$207:AQ318,"OV"),COUNTIF($AQ$207:AQ318,"BK"),COUNTIF($AQ$207:AQ318,"SC"),COUNTIF($AQ$207:AQ318,"FW"),COUNTIF($AQ$207:AQ318,"CL"))),2),IF(AND(HOUR(AC319)=HOUR($F$186),DAY(AC319)=DAY($F$186)),MID(INDEX($A$187:$B$210,MATCH("CLD",$A$187:$A$210,0),2),7,2),""))</f>
        <v/>
      </c>
      <c r="AR319" s="1149" t="str">
        <f t="shared" si="178"/>
        <v/>
      </c>
      <c r="AS319" s="1150" t="str">
        <f t="shared" si="179"/>
        <v/>
      </c>
      <c r="AT319" s="112" t="str">
        <f t="shared" si="180"/>
        <v/>
      </c>
      <c r="AU319" s="1610" t="str">
        <f t="shared" si="181"/>
        <v/>
      </c>
      <c r="AV319" s="1148">
        <f t="shared" si="170"/>
        <v>100</v>
      </c>
      <c r="AW319" s="920" t="str">
        <f t="shared" si="173"/>
        <v>OVC</v>
      </c>
      <c r="AX319" s="1608">
        <f t="shared" si="171"/>
        <v>20</v>
      </c>
      <c r="AY319" s="112" t="str">
        <f>IF(BA319="Y",AZ319,IF(AND(ISNUMBER(AY318),AC319&lt;$F$186+26/25),(MID(INDEX($A$187:$B$210,MATCH("VIS",$A$187:$A$210,0),2),8+(3*COUNT($AY$207:AY318)),1))*1,IF(AND(HOUR(AC319)=HOUR($F$186),DAY(AC319)=DAY($F$186)),(MID(INDEX($A$187:$B$210,MATCH("VIS",$A$187:$A$210,0),2),8,1))*1,"")))</f>
        <v/>
      </c>
      <c r="AZ319" s="112" t="str">
        <f>IF(AND(ISNUMBER(AZ318),AC319&lt;$F$186+26/25),(MID(INDEX($A$187:$B$210,MATCH("CVS",$A$187:$A$210,0),2),8+(3*COUNT($AZ$207:AZ318)),1))*1,IF(AND(HOUR(AC319)=HOUR($F$186),DAY(AC319)=DAY($F$186)),(MID(INDEX($A$187:$B$210,MATCH("CVS",$A$187:$A$210,0),2),8,1))*1,""))</f>
        <v/>
      </c>
      <c r="BA319" s="1610" t="str">
        <f>IF(AND(BA318&lt;&gt;"",AC319&lt;$F$186+26/25),MID(INDEX($A$187:$B$210,MATCH("PCO",$A$187:$A$210,0),2),8+(3*SUM(COUNTIF($BA$207:BA318,"Y"),COUNTIF($BA$207:BA318,"N"))),1),IF(AND(HOUR(AC319)=HOUR($F$186),DAY(AC319)=DAY($F$186)),MID(INDEX($A$187:$B$210,MATCH("PCO",$A$187:$A$210,0),2),8,1),""))</f>
        <v/>
      </c>
      <c r="BB319" s="1610" t="e">
        <f>IF(AND(BB318&lt;&gt;"",AC319&lt;$F$186+26/25),MID(INDEX($A$187:$B$210,MATCH("TYP",$A$187:$A$210,0),2),8+(3*SUM(COUNTIF($BB$207:BB318,"S"),COUNTIF($BB$207:BB318,"Z"), COUNTIF($BB$207:BB318,"R"),COUNTIF($BB$207:BB318,"X"))),1),IF(AND(HOUR(AC319)=HOUR($F$186),DAY(AC319)=DAY($F$186)),MID(INDEX($A$187:$B$210,MATCH("TYP",$A$187:$A$210,0),2),8,1),""))</f>
        <v>#N/A</v>
      </c>
      <c r="BC319" s="112" t="str">
        <f>IF(AND(LEN(BC318)=2,AC319&lt;$F$186+26/25),MID(INDEX($A$187:$B$211,MATCH("OBV",$A$187:$A$211,0),2),7+(3*SUM(COUNTIF($BC$207:BC318," N"),COUNTIF($BC$207:BC318,"HZ"),COUNTIF($BC$207:BC318,"BR"),COUNTIF($BC$207:BC318,"FG"),COUNTIF($BC$207:BC318,"BL"))),2),IF(AND(HOUR(AC319)=HOUR($F$186),DAY(AC319)=DAY($F$186)),MID(INDEX($A$187:$B$211,MATCH("OBV",$A$187:$A$211,0),2),7,2),""))</f>
        <v/>
      </c>
      <c r="BD319" s="112"/>
      <c r="BE319" s="112"/>
      <c r="BF319" s="112"/>
      <c r="BG319" s="1610" t="str">
        <f t="shared" si="200"/>
        <v/>
      </c>
      <c r="BH319" s="115" t="str">
        <f t="shared" si="182"/>
        <v/>
      </c>
      <c r="BI319" s="200" t="str">
        <f t="shared" si="155"/>
        <v/>
      </c>
      <c r="BJ319" s="62" t="str">
        <f t="shared" si="154"/>
        <v/>
      </c>
      <c r="BK319" s="1145" t="str">
        <f t="shared" si="198"/>
        <v/>
      </c>
      <c r="BL319" s="62" t="str">
        <f t="shared" si="156"/>
        <v/>
      </c>
      <c r="BM319" s="1145" t="str">
        <f t="shared" si="150"/>
        <v/>
      </c>
      <c r="BN319" s="1901" t="str">
        <f t="shared" si="199"/>
        <v/>
      </c>
      <c r="BO319" s="1144" t="str">
        <f t="shared" si="157"/>
        <v/>
      </c>
      <c r="BP319" s="106" t="str">
        <f t="shared" si="187"/>
        <v/>
      </c>
      <c r="BQ319" s="66" t="str">
        <f t="shared" si="158"/>
        <v/>
      </c>
      <c r="BR319" s="106" t="str">
        <f t="shared" si="159"/>
        <v/>
      </c>
      <c r="BS319" s="834" t="str">
        <f t="shared" si="176"/>
        <v/>
      </c>
      <c r="BT319" s="106" t="str">
        <f t="shared" si="160"/>
        <v/>
      </c>
      <c r="BU319" s="834" t="str">
        <f t="shared" si="145"/>
        <v/>
      </c>
      <c r="BV319" s="66" t="str">
        <f t="shared" si="183"/>
        <v/>
      </c>
      <c r="BW319" s="66" t="str">
        <f t="shared" si="184"/>
        <v/>
      </c>
      <c r="BX319" s="1198">
        <f t="shared" si="172"/>
        <v>4</v>
      </c>
      <c r="BY319" s="1146" t="str">
        <f t="shared" si="153"/>
        <v>TS</v>
      </c>
      <c r="CA319" s="3675">
        <f t="shared" si="148"/>
        <v>44751.708333333328</v>
      </c>
      <c r="CB319" s="3675"/>
    </row>
    <row r="320" spans="1:80" ht="10.5">
      <c r="A320" s="978">
        <f>Worksheet!Q157</f>
        <v>0</v>
      </c>
      <c r="B320" s="452" t="str">
        <f>IF(LEN(A320)&lt;65,"",IF(OR(LEFT(A320,1)="0",LEFT(A320,1)="1"),MROUND((VALUE(LEFT(A320,3))/24)+B$237,1/24),B$237))</f>
        <v/>
      </c>
      <c r="C320" s="466" t="str">
        <f t="shared" si="188"/>
        <v/>
      </c>
      <c r="D320" s="454" t="str">
        <f t="shared" si="201"/>
        <v/>
      </c>
      <c r="E320" s="476" t="str">
        <f t="shared" si="189"/>
        <v/>
      </c>
      <c r="F320" s="460" t="str">
        <f>IF(D320="","",VALUE(MID(A320,73,3)))</f>
        <v/>
      </c>
      <c r="G320" s="460" t="str">
        <f>IF(D320="","",IF(E320&lt;6,"SKC",IF(F320&gt;249,250,IF(AND(F320&gt;199,F320&lt;250),200,IF(AND(F320&gt;99,F320&lt;200),MROUND(F320,10),IF(AND(F320&gt;49,F320&lt;100),MROUND(F320,5),IF(F320&lt;5,5,F320)))))))</f>
        <v/>
      </c>
      <c r="H320" s="460" t="str">
        <f>IF(G320="","",IF(G320="SKC",H319,IF(AND(G320&gt;20,VALUE(MID(A320,12,2))&gt;79),20,G320)))</f>
        <v/>
      </c>
      <c r="I320" s="460" t="str">
        <f t="shared" si="177"/>
        <v/>
      </c>
      <c r="J320" s="461" t="str">
        <f t="shared" si="192"/>
        <v/>
      </c>
      <c r="K320" s="462" t="str">
        <f t="shared" si="161"/>
        <v/>
      </c>
      <c r="L320" s="462" t="str">
        <f t="shared" si="162"/>
        <v/>
      </c>
      <c r="M320" s="462" t="str">
        <f t="shared" si="193"/>
        <v/>
      </c>
      <c r="N320" s="462"/>
      <c r="O320" s="462" t="str">
        <f t="shared" si="194"/>
        <v/>
      </c>
      <c r="P320" s="462" t="str">
        <f t="shared" si="195"/>
        <v/>
      </c>
      <c r="Q320" s="462"/>
      <c r="R320" s="462" t="str">
        <f>IF(D320="","",IF(MID(A320,44,1)="S",1,IF(MID(A320,44,1)="T",2,IF(MID(A320,44,1)=" ",7,4))))</f>
        <v/>
      </c>
      <c r="S320" s="465" t="str">
        <f>IF(D320="","",MIN(M320:R320))</f>
        <v/>
      </c>
      <c r="T320" s="1118" t="str">
        <f t="shared" si="196"/>
        <v/>
      </c>
      <c r="U320" s="463" t="str">
        <f t="shared" si="163"/>
        <v/>
      </c>
      <c r="V320" s="464" t="str">
        <f t="shared" si="164"/>
        <v/>
      </c>
      <c r="W320" s="411" t="str">
        <f t="shared" si="165"/>
        <v/>
      </c>
      <c r="X320" s="410"/>
      <c r="Y320" s="458" t="str">
        <f t="shared" si="166"/>
        <v/>
      </c>
      <c r="Z320" s="458" t="str">
        <f t="shared" si="167"/>
        <v/>
      </c>
      <c r="AC320" s="977">
        <f t="shared" si="149"/>
        <v>44751.75</v>
      </c>
      <c r="AE320" s="1149" t="str">
        <f>IF(AND(HOUR(AC320)=HOUR($F$186),DAY(AC320)=DAY($F$186)),(MID($B$189,6,3))*1,IF(AND(ISNUMBER(AE319),AC320&lt;$F$186+1+(1/25)),(MID($B$189,6+(3*COUNT($AE$207:AE319)),3))*1,""))</f>
        <v/>
      </c>
      <c r="AF320" s="1164" t="e">
        <f t="shared" si="168"/>
        <v>#VALUE!</v>
      </c>
      <c r="AG320" s="1150">
        <f t="shared" si="136"/>
        <v>71.599999999999994</v>
      </c>
      <c r="AH320" s="1163" t="str">
        <f>IF(AND(ISNUMBER(AH319),AC320&lt;$F$186+26/25),(MID($B$190,6+(3*COUNT($AH$207:AH319)),3))*1,IF(AND(HOUR(AC320)=HOUR($F$186),DAY(AC320)=DAY($F$186)),(MID($B$190,6,3))*1,""))</f>
        <v/>
      </c>
      <c r="AI320" s="200"/>
      <c r="AJ320" s="1164" t="e">
        <f t="shared" si="137"/>
        <v>#VALUE!</v>
      </c>
      <c r="AK320" s="1150">
        <f t="shared" si="138"/>
        <v>68</v>
      </c>
      <c r="AL320" s="1152" t="e">
        <f t="shared" si="169"/>
        <v>#VALUE!</v>
      </c>
      <c r="AM320" s="1153">
        <f t="shared" si="139"/>
        <v>30.04</v>
      </c>
      <c r="AN320" s="1147"/>
      <c r="AO320" s="976" t="str">
        <f>IF(BA320="Y",AP320,IF(AND(ISNUMBER(AO319),AC320&lt;$F$186+26/25),(MID(INDEX($A$187:$B$210,MATCH("CIG",$A$187:$A$210,0),2),8+(3*COUNT($AO$207:AO319)),1))*1,IF(AND(HOUR(AC320)=HOUR($F$186),DAY(AC320)=DAY($F$186)),(MID(INDEX($A$187:$B$210,MATCH("CIG",$A$187:$A$210,0),2),8,1))*1,"")))</f>
        <v/>
      </c>
      <c r="AQ320" s="1061" t="str">
        <f>IF(AND(AQ319&lt;&gt;"",AC320&lt;$F$186+26/25),MID(INDEX($A$187:$B$210,MATCH("CLD",$A$187:$A$210,0),2),7+(3*SUM(COUNTIF($AQ$207:AQ319,"OV"),COUNTIF($AQ$207:AQ319,"BK"),COUNTIF($AQ$207:AQ319,"SC"),COUNTIF($AQ$207:AQ319,"FW"),COUNTIF($AQ$207:AQ319,"CL"))),2),IF(AND(HOUR(AC320)=HOUR($F$186),DAY(AC320)=DAY($F$186)),MID(INDEX($A$187:$B$210,MATCH("CLD",$A$187:$A$210,0),2),7,2),""))</f>
        <v/>
      </c>
      <c r="AR320" s="1149" t="str">
        <f t="shared" si="178"/>
        <v/>
      </c>
      <c r="AS320" s="1150" t="str">
        <f t="shared" si="179"/>
        <v/>
      </c>
      <c r="AT320" s="112" t="str">
        <f t="shared" si="180"/>
        <v/>
      </c>
      <c r="AU320" s="1610" t="str">
        <f t="shared" si="181"/>
        <v/>
      </c>
      <c r="AV320" s="1148">
        <f t="shared" si="170"/>
        <v>100</v>
      </c>
      <c r="AW320" s="920" t="str">
        <f t="shared" si="173"/>
        <v>OVC</v>
      </c>
      <c r="AX320" s="1608">
        <f t="shared" si="171"/>
        <v>20</v>
      </c>
      <c r="AY320" s="112" t="str">
        <f>IF(BA320="Y",AZ320,IF(AND(ISNUMBER(AY319),AC320&lt;$F$186+26/25),(MID(INDEX($A$187:$B$210,MATCH("VIS",$A$187:$A$210,0),2),8+(3*COUNT($AY$207:AY319)),1))*1,IF(AND(HOUR(AC320)=HOUR($F$186),DAY(AC320)=DAY($F$186)),(MID(INDEX($A$187:$B$210,MATCH("VIS",$A$187:$A$210,0),2),8,1))*1,"")))</f>
        <v/>
      </c>
      <c r="AZ320" s="112" t="str">
        <f>IF(AND(ISNUMBER(AZ319),AC320&lt;$F$186+26/25),(MID(INDEX($A$187:$B$210,MATCH("CVS",$A$187:$A$210,0),2),8+(3*COUNT($AZ$207:AZ319)),1))*1,IF(AND(HOUR(AC320)=HOUR($F$186),DAY(AC320)=DAY($F$186)),(MID(INDEX($A$187:$B$210,MATCH("CVS",$A$187:$A$210,0),2),8,1))*1,""))</f>
        <v/>
      </c>
      <c r="BA320" s="1610" t="str">
        <f>IF(AND(BA319&lt;&gt;"",AC320&lt;$F$186+26/25),MID(INDEX($A$187:$B$210,MATCH("PCO",$A$187:$A$210,0),2),8+(3*SUM(COUNTIF($BA$207:BA319,"Y"),COUNTIF($BA$207:BA319,"N"))),1),IF(AND(HOUR(AC320)=HOUR($F$186),DAY(AC320)=DAY($F$186)),MID(INDEX($A$187:$B$210,MATCH("PCO",$A$187:$A$210,0),2),8,1),""))</f>
        <v/>
      </c>
      <c r="BB320" s="1610" t="e">
        <f>IF(AND(BB319&lt;&gt;"",AC320&lt;$F$186+26/25),MID(INDEX($A$187:$B$210,MATCH("TYP",$A$187:$A$210,0),2),8+(3*SUM(COUNTIF($BB$207:BB319,"S"),COUNTIF($BB$207:BB319,"Z"), COUNTIF($BB$207:BB319,"R"),COUNTIF($BB$207:BB319,"X"))),1),IF(AND(HOUR(AC320)=HOUR($F$186),DAY(AC320)=DAY($F$186)),MID(INDEX($A$187:$B$210,MATCH("TYP",$A$187:$A$210,0),2),8,1),""))</f>
        <v>#N/A</v>
      </c>
      <c r="BC320" s="112" t="str">
        <f>IF(AND(LEN(BC319)=2,AC320&lt;$F$186+26/25),MID(INDEX($A$187:$B$211,MATCH("OBV",$A$187:$A$211,0),2),7+(3*SUM(COUNTIF($BC$207:BC319," N"),COUNTIF($BC$207:BC319,"HZ"),COUNTIF($BC$207:BC319,"BR"),COUNTIF($BC$207:BC319,"FG"),COUNTIF($BC$207:BC319,"BL"))),2),IF(AND(HOUR(AC320)=HOUR($F$186),DAY(AC320)=DAY($F$186)),MID(INDEX($A$187:$B$211,MATCH("OBV",$A$187:$A$211,0),2),7,2),""))</f>
        <v/>
      </c>
      <c r="BD320" s="112"/>
      <c r="BE320" s="112"/>
      <c r="BF320" s="112"/>
      <c r="BG320" s="1610" t="str">
        <f t="shared" si="200"/>
        <v/>
      </c>
      <c r="BH320" s="115" t="str">
        <f t="shared" si="182"/>
        <v/>
      </c>
      <c r="BI320" s="200" t="str">
        <f t="shared" si="155"/>
        <v/>
      </c>
      <c r="BJ320" s="62" t="str">
        <f t="shared" si="154"/>
        <v/>
      </c>
      <c r="BK320" s="1145" t="str">
        <f t="shared" si="198"/>
        <v/>
      </c>
      <c r="BL320" s="62" t="str">
        <f t="shared" si="156"/>
        <v/>
      </c>
      <c r="BM320" s="1145" t="str">
        <f t="shared" si="150"/>
        <v/>
      </c>
      <c r="BN320" s="1901" t="str">
        <f t="shared" si="199"/>
        <v/>
      </c>
      <c r="BO320" s="1144" t="str">
        <f t="shared" si="157"/>
        <v/>
      </c>
      <c r="BP320" s="106" t="str">
        <f t="shared" si="187"/>
        <v/>
      </c>
      <c r="BQ320" s="66" t="str">
        <f t="shared" si="158"/>
        <v/>
      </c>
      <c r="BR320" s="106" t="str">
        <f t="shared" si="159"/>
        <v/>
      </c>
      <c r="BS320" s="834" t="str">
        <f t="shared" si="176"/>
        <v/>
      </c>
      <c r="BT320" s="106" t="str">
        <f t="shared" si="160"/>
        <v/>
      </c>
      <c r="BU320" s="834" t="str">
        <f t="shared" si="145"/>
        <v/>
      </c>
      <c r="BV320" s="66" t="str">
        <f t="shared" si="183"/>
        <v/>
      </c>
      <c r="BW320" s="66" t="str">
        <f t="shared" si="184"/>
        <v/>
      </c>
      <c r="BX320" s="1198">
        <f t="shared" si="172"/>
        <v>4</v>
      </c>
      <c r="BY320" s="1146" t="str">
        <f t="shared" si="153"/>
        <v>TS</v>
      </c>
      <c r="CA320" s="3675">
        <f t="shared" si="148"/>
        <v>44751.75</v>
      </c>
      <c r="CB320" s="3675"/>
    </row>
    <row r="321" spans="1:80" ht="10.5">
      <c r="A321" s="978" t="str">
        <f>Worksheet!Q158</f>
        <v>(Note: Slashes indicate field unavailable)</v>
      </c>
      <c r="B321" s="452" t="str">
        <f>IF(LEN(A321)&lt;65,"",IF(OR(LEFT(A321,1)="0",LEFT(A321,1)="1"),MROUND((VALUE(LEFT(A321,3))/24)+B$237,1/24),B$237))</f>
        <v/>
      </c>
      <c r="C321" s="466" t="str">
        <f>IF(B321="","",VALUE(CONCATENATE(IF(MID(A321,25,1)="0","3","2"),MID(A321,25,1),".",MID(A321,26,2))))</f>
        <v/>
      </c>
      <c r="D321" s="454" t="str">
        <f t="shared" si="201"/>
        <v/>
      </c>
      <c r="E321" s="476" t="str">
        <f t="shared" si="189"/>
        <v/>
      </c>
      <c r="F321" s="460" t="str">
        <f>IF(D321="","",VALUE(MID(A321,73,3)))</f>
        <v/>
      </c>
      <c r="G321" s="460" t="str">
        <f>IF(D321="","",IF(E321&lt;6,"SKC",IF(F321&gt;249,250,IF(AND(F321&gt;199,F321&lt;250),200,IF(AND(F321&gt;99,F321&lt;200),MROUND(F321,10),IF(AND(F321&gt;49,F321&lt;100),MROUND(F321,5),IF(F321&lt;5,5,F321)))))))</f>
        <v/>
      </c>
      <c r="H321" s="460" t="str">
        <f>IF(G321="","",IF(G321="SKC",H320,IF(AND(G321&gt;20,VALUE(MID(A321,12,2))&gt;79),20,G321)))</f>
        <v/>
      </c>
      <c r="I321" s="460" t="str">
        <f t="shared" si="177"/>
        <v/>
      </c>
      <c r="J321" s="461" t="str">
        <f t="shared" si="192"/>
        <v/>
      </c>
      <c r="K321" s="462" t="str">
        <f t="shared" si="161"/>
        <v/>
      </c>
      <c r="L321" s="462" t="str">
        <f t="shared" si="162"/>
        <v/>
      </c>
      <c r="M321" s="462" t="str">
        <f t="shared" si="193"/>
        <v/>
      </c>
      <c r="N321" s="462"/>
      <c r="O321" s="462" t="str">
        <f t="shared" si="194"/>
        <v/>
      </c>
      <c r="P321" s="462" t="str">
        <f t="shared" si="195"/>
        <v/>
      </c>
      <c r="Q321" s="462"/>
      <c r="R321" s="462" t="str">
        <f>IF(D321="","",IF(MID(A321,44,1)="S",1,IF(MID(A321,44,1)="T",2,IF(MID(A321,44,1)=" ",7,4))))</f>
        <v/>
      </c>
      <c r="S321" s="465" t="str">
        <f>IF(D321="","",MIN(M321:R321))</f>
        <v/>
      </c>
      <c r="T321" s="1118" t="str">
        <f t="shared" si="196"/>
        <v/>
      </c>
      <c r="U321" s="463" t="str">
        <f t="shared" si="163"/>
        <v/>
      </c>
      <c r="V321" s="464" t="str">
        <f t="shared" si="164"/>
        <v/>
      </c>
      <c r="W321" s="411" t="str">
        <f t="shared" si="165"/>
        <v/>
      </c>
      <c r="X321" s="410"/>
      <c r="Y321" s="458" t="str">
        <f t="shared" si="166"/>
        <v/>
      </c>
      <c r="Z321" s="458" t="str">
        <f t="shared" si="167"/>
        <v/>
      </c>
      <c r="AC321" s="977">
        <f t="shared" si="149"/>
        <v>44751.791666666664</v>
      </c>
      <c r="AE321" s="1149" t="str">
        <f>IF(AND(HOUR(AC321)=HOUR($F$186),DAY(AC321)=DAY($F$186)),(MID($B$189,6,3))*1,IF(AND(ISNUMBER(AE320),AC321&lt;$F$186+1+(1/25)),(MID($B$189,6+(3*COUNT($AE$207:AE320)),3))*1,""))</f>
        <v/>
      </c>
      <c r="AF321" s="1164" t="e">
        <f t="shared" si="168"/>
        <v>#VALUE!</v>
      </c>
      <c r="AG321" s="1150">
        <f t="shared" si="136"/>
        <v>72.2</v>
      </c>
      <c r="AH321" s="1163" t="str">
        <f>IF(AND(ISNUMBER(AH320),AC321&lt;$F$186+26/25),(MID($B$190,6+(3*COUNT($AH$207:AH320)),3))*1,IF(AND(HOUR(AC321)=HOUR($F$186),DAY(AC321)=DAY($F$186)),(MID($B$190,6,3))*1,""))</f>
        <v/>
      </c>
      <c r="AI321" s="200"/>
      <c r="AJ321" s="1164" t="e">
        <f t="shared" si="137"/>
        <v>#VALUE!</v>
      </c>
      <c r="AK321" s="1150">
        <f t="shared" si="138"/>
        <v>68</v>
      </c>
      <c r="AL321" s="1152" t="e">
        <f t="shared" si="169"/>
        <v>#VALUE!</v>
      </c>
      <c r="AM321" s="1153">
        <f t="shared" si="139"/>
        <v>30.033333333333331</v>
      </c>
      <c r="AN321" s="1147"/>
      <c r="AO321" s="976" t="str">
        <f>IF(BA321="Y",AP321,IF(AND(ISNUMBER(AO320),AC321&lt;$F$186+26/25),(MID(INDEX($A$187:$B$210,MATCH("CIG",$A$187:$A$210,0),2),8+(3*COUNT($AO$207:AO320)),1))*1,IF(AND(HOUR(AC321)=HOUR($F$186),DAY(AC321)=DAY($F$186)),(MID(INDEX($A$187:$B$210,MATCH("CIG",$A$187:$A$210,0),2),8,1))*1,"")))</f>
        <v/>
      </c>
      <c r="AQ321" s="1061" t="str">
        <f>IF(AND(AQ320&lt;&gt;"",AC321&lt;$F$186+26/25),MID(INDEX($A$187:$B$210,MATCH("CLD",$A$187:$A$210,0),2),7+(3*SUM(COUNTIF($AQ$207:AQ320,"OV"),COUNTIF($AQ$207:AQ320,"BK"),COUNTIF($AQ$207:AQ320,"SC"),COUNTIF($AQ$207:AQ320,"FW"),COUNTIF($AQ$207:AQ320,"CL"))),2),IF(AND(HOUR(AC321)=HOUR($F$186),DAY(AC321)=DAY($F$186)),MID(INDEX($A$187:$B$210,MATCH("CLD",$A$187:$A$210,0),2),7,2),""))</f>
        <v/>
      </c>
      <c r="AR321" s="1149" t="str">
        <f t="shared" si="178"/>
        <v/>
      </c>
      <c r="AS321" s="1150" t="str">
        <f t="shared" si="179"/>
        <v/>
      </c>
      <c r="AT321" s="112" t="str">
        <f t="shared" si="180"/>
        <v/>
      </c>
      <c r="AU321" s="1610" t="str">
        <f t="shared" si="181"/>
        <v/>
      </c>
      <c r="AV321" s="1148">
        <f t="shared" si="170"/>
        <v>100</v>
      </c>
      <c r="AW321" s="920" t="str">
        <f t="shared" si="173"/>
        <v>OVC</v>
      </c>
      <c r="AX321" s="1608">
        <f t="shared" si="171"/>
        <v>20</v>
      </c>
      <c r="AY321" s="112" t="str">
        <f>IF(BA321="Y",AZ321,IF(AND(ISNUMBER(AY320),AC321&lt;$F$186+26/25),(MID(INDEX($A$187:$B$210,MATCH("VIS",$A$187:$A$210,0),2),8+(3*COUNT($AY$207:AY320)),1))*1,IF(AND(HOUR(AC321)=HOUR($F$186),DAY(AC321)=DAY($F$186)),(MID(INDEX($A$187:$B$210,MATCH("VIS",$A$187:$A$210,0),2),8,1))*1,"")))</f>
        <v/>
      </c>
      <c r="AZ321" s="112" t="str">
        <f>IF(AND(ISNUMBER(AZ320),AC321&lt;$F$186+26/25),(MID(INDEX($A$187:$B$210,MATCH("CVS",$A$187:$A$210,0),2),8+(3*COUNT($AZ$207:AZ320)),1))*1,IF(AND(HOUR(AC321)=HOUR($F$186),DAY(AC321)=DAY($F$186)),(MID(INDEX($A$187:$B$210,MATCH("CVS",$A$187:$A$210,0),2),8,1))*1,""))</f>
        <v/>
      </c>
      <c r="BA321" s="1610" t="str">
        <f>IF(AND(BA320&lt;&gt;"",AC321&lt;$F$186+26/25),MID(INDEX($A$187:$B$210,MATCH("PCO",$A$187:$A$210,0),2),8+(3*SUM(COUNTIF($BA$207:BA320,"Y"),COUNTIF($BA$207:BA320,"N"))),1),IF(AND(HOUR(AC321)=HOUR($F$186),DAY(AC321)=DAY($F$186)),MID(INDEX($A$187:$B$210,MATCH("PCO",$A$187:$A$210,0),2),8,1),""))</f>
        <v/>
      </c>
      <c r="BB321" s="1610" t="e">
        <f>IF(AND(BB320&lt;&gt;"",AC321&lt;$F$186+26/25),MID(INDEX($A$187:$B$210,MATCH("TYP",$A$187:$A$210,0),2),8+(3*SUM(COUNTIF($BB$207:BB320,"S"),COUNTIF($BB$207:BB320,"Z"), COUNTIF($BB$207:BB320,"R"),COUNTIF($BB$207:BB320,"X"))),1),IF(AND(HOUR(AC321)=HOUR($F$186),DAY(AC321)=DAY($F$186)),MID(INDEX($A$187:$B$210,MATCH("TYP",$A$187:$A$210,0),2),8,1),""))</f>
        <v>#N/A</v>
      </c>
      <c r="BC321" s="112" t="str">
        <f>IF(AND(LEN(BC320)=2,AC321&lt;$F$186+26/25),MID(INDEX($A$187:$B$211,MATCH("OBV",$A$187:$A$211,0),2),7+(3*SUM(COUNTIF($BC$207:BC320," N"),COUNTIF($BC$207:BC320,"HZ"),COUNTIF($BC$207:BC320,"BR"),COUNTIF($BC$207:BC320,"FG"),COUNTIF($BC$207:BC320,"BL"))),2),IF(AND(HOUR(AC321)=HOUR($F$186),DAY(AC321)=DAY($F$186)),MID(INDEX($A$187:$B$211,MATCH("OBV",$A$187:$A$211,0),2),7,2),""))</f>
        <v/>
      </c>
      <c r="BD321" s="112"/>
      <c r="BE321" s="112"/>
      <c r="BF321" s="112"/>
      <c r="BG321" s="1610" t="str">
        <f t="shared" si="200"/>
        <v/>
      </c>
      <c r="BH321" s="115" t="str">
        <f t="shared" si="182"/>
        <v/>
      </c>
      <c r="BI321" s="200" t="str">
        <f t="shared" si="155"/>
        <v/>
      </c>
      <c r="BJ321" s="62" t="str">
        <f t="shared" si="154"/>
        <v/>
      </c>
      <c r="BK321" s="1145" t="str">
        <f t="shared" si="198"/>
        <v/>
      </c>
      <c r="BL321" s="62" t="str">
        <f t="shared" si="156"/>
        <v/>
      </c>
      <c r="BM321" s="1145" t="str">
        <f t="shared" si="150"/>
        <v/>
      </c>
      <c r="BN321" s="1901" t="str">
        <f t="shared" si="199"/>
        <v/>
      </c>
      <c r="BO321" s="1144" t="str">
        <f t="shared" si="157"/>
        <v/>
      </c>
      <c r="BP321" s="106" t="str">
        <f t="shared" si="187"/>
        <v/>
      </c>
      <c r="BQ321" s="66" t="str">
        <f t="shared" si="158"/>
        <v/>
      </c>
      <c r="BR321" s="106" t="str">
        <f t="shared" si="159"/>
        <v/>
      </c>
      <c r="BS321" s="834" t="str">
        <f t="shared" si="176"/>
        <v/>
      </c>
      <c r="BT321" s="106" t="str">
        <f t="shared" si="160"/>
        <v/>
      </c>
      <c r="BU321" s="834" t="str">
        <f t="shared" si="145"/>
        <v/>
      </c>
      <c r="BV321" s="66" t="str">
        <f t="shared" si="183"/>
        <v/>
      </c>
      <c r="BW321" s="66" t="str">
        <f t="shared" si="184"/>
        <v/>
      </c>
      <c r="BX321" s="1198">
        <f t="shared" si="172"/>
        <v>5</v>
      </c>
      <c r="BY321" s="1146" t="str">
        <f t="shared" si="153"/>
        <v>TS</v>
      </c>
      <c r="CA321" s="3675">
        <f t="shared" si="148"/>
        <v>44751.791666666664</v>
      </c>
      <c r="CB321" s="3675"/>
    </row>
    <row r="322" spans="1:80" ht="10.5">
      <c r="A322" s="978" t="str">
        <f>" "&amp;Worksheet!Q159</f>
        <v xml:space="preserve"> </v>
      </c>
      <c r="B322" s="452" t="str">
        <f>IF(LEN(A322)&lt;50,"",IF(OR(LEFT(A322,1)="0",LEFT(A322,1)="1"),(VALUE(LEFT(A322,3))/24)+B$237,B$237))</f>
        <v/>
      </c>
      <c r="D322" s="454" t="str">
        <f t="shared" si="201"/>
        <v/>
      </c>
      <c r="E322" s="476" t="str">
        <f t="shared" si="189"/>
        <v/>
      </c>
      <c r="T322" s="1118" t="str">
        <f t="shared" si="196"/>
        <v/>
      </c>
      <c r="AC322" s="977">
        <f t="shared" si="149"/>
        <v>44751.833333333328</v>
      </c>
      <c r="AE322" s="1149" t="str">
        <f>IF(AND(HOUR(AC322)=HOUR($F$186),DAY(AC322)=DAY($F$186)),(MID($B$189,6,3))*1,IF(AND(ISNUMBER(AE321),AC322&lt;$F$186+1+(1/25)),(MID($B$189,6+(3*COUNT($AE$207:AE321)),3))*1,""))</f>
        <v/>
      </c>
      <c r="AF322" s="1164" t="e">
        <f t="shared" si="168"/>
        <v>#VALUE!</v>
      </c>
      <c r="AG322" s="1150">
        <f t="shared" si="136"/>
        <v>72.8</v>
      </c>
      <c r="AH322" s="1163" t="str">
        <f>IF(AND(ISNUMBER(AH321),AC322&lt;$F$186+26/25),(MID($B$190,6+(3*COUNT($AH$207:AH321)),3))*1,IF(AND(HOUR(AC322)=HOUR($F$186),DAY(AC322)=DAY($F$186)),(MID($B$190,6,3))*1,""))</f>
        <v/>
      </c>
      <c r="AI322" s="200"/>
      <c r="AJ322" s="1164" t="e">
        <f t="shared" si="137"/>
        <v>#VALUE!</v>
      </c>
      <c r="AK322" s="1150">
        <f t="shared" si="138"/>
        <v>68</v>
      </c>
      <c r="AL322" s="1152" t="e">
        <f t="shared" si="169"/>
        <v>#VALUE!</v>
      </c>
      <c r="AM322" s="1153">
        <f t="shared" si="139"/>
        <v>30.026666666666667</v>
      </c>
      <c r="AN322" s="1147"/>
      <c r="AO322" s="976" t="str">
        <f>IF(BA322="Y",AP322,IF(AND(ISNUMBER(AO321),AC322&lt;$F$186+26/25),(MID(INDEX($A$187:$B$210,MATCH("CIG",$A$187:$A$210,0),2),8+(3*COUNT($AO$207:AO321)),1))*1,IF(AND(HOUR(AC322)=HOUR($F$186),DAY(AC322)=DAY($F$186)),(MID(INDEX($A$187:$B$210,MATCH("CIG",$A$187:$A$210,0),2),8,1))*1,"")))</f>
        <v/>
      </c>
      <c r="AQ322" s="1061" t="str">
        <f>IF(AND(AQ321&lt;&gt;"",AC322&lt;$F$186+26/25),MID(INDEX($A$187:$B$210,MATCH("CLD",$A$187:$A$210,0),2),7+(3*SUM(COUNTIF($AQ$207:AQ321,"OV"),COUNTIF($AQ$207:AQ321,"BK"),COUNTIF($AQ$207:AQ321,"SC"),COUNTIF($AQ$207:AQ321,"FW"),COUNTIF($AQ$207:AQ321,"CL"))),2),IF(AND(HOUR(AC322)=HOUR($F$186),DAY(AC322)=DAY($F$186)),MID(INDEX($A$187:$B$210,MATCH("CLD",$A$187:$A$210,0),2),7,2),""))</f>
        <v/>
      </c>
      <c r="AR322" s="1149" t="str">
        <f t="shared" si="178"/>
        <v/>
      </c>
      <c r="AS322" s="1150" t="str">
        <f t="shared" si="179"/>
        <v/>
      </c>
      <c r="AT322" s="112" t="str">
        <f t="shared" si="180"/>
        <v/>
      </c>
      <c r="AU322" s="1610" t="str">
        <f t="shared" si="181"/>
        <v/>
      </c>
      <c r="AV322" s="1148">
        <f t="shared" si="170"/>
        <v>100</v>
      </c>
      <c r="AW322" s="920" t="str">
        <f>IF(AV322="","",IF(AV322&gt;90,"OVC",IF(AV322&lt;51,"SCT","BKN")))</f>
        <v>OVC</v>
      </c>
      <c r="AX322" s="1608">
        <f t="shared" si="171"/>
        <v>20</v>
      </c>
      <c r="AY322" s="112" t="str">
        <f>IF(BA322="Y",AZ322,IF(AND(ISNUMBER(AY321),AC322&lt;$F$186+26/25),(MID(INDEX($A$187:$B$210,MATCH("VIS",$A$187:$A$210,0),2),8+(3*COUNT($AY$207:AY321)),1))*1,IF(AND(HOUR(AC322)=HOUR($F$186),DAY(AC322)=DAY($F$186)),(MID(INDEX($A$187:$B$210,MATCH("VIS",$A$187:$A$210,0),2),8,1))*1,"")))</f>
        <v/>
      </c>
      <c r="AZ322" s="112" t="str">
        <f>IF(AND(ISNUMBER(AZ321),AC322&lt;$F$186+26/25),(MID(INDEX($A$187:$B$210,MATCH("CVS",$A$187:$A$210,0),2),8+(3*COUNT($AZ$207:AZ321)),1))*1,IF(AND(HOUR(AC322)=HOUR($F$186),DAY(AC322)=DAY($F$186)),(MID(INDEX($A$187:$B$210,MATCH("CVS",$A$187:$A$210,0),2),8,1))*1,""))</f>
        <v/>
      </c>
      <c r="BA322" s="1610" t="str">
        <f>IF(AND(BA321&lt;&gt;"",AC322&lt;$F$186+26/25),MID(INDEX($A$187:$B$210,MATCH("PCO",$A$187:$A$210,0),2),8+(3*SUM(COUNTIF($BA$207:BA321,"Y"),COUNTIF($BA$207:BA321,"N"))),1),IF(AND(HOUR(AC322)=HOUR($F$186),DAY(AC322)=DAY($F$186)),MID(INDEX($A$187:$B$210,MATCH("PCO",$A$187:$A$210,0),2),8,1),""))</f>
        <v/>
      </c>
      <c r="BB322" s="1610" t="e">
        <f>IF(AND(BB321&lt;&gt;"",AC322&lt;$F$186+26/25),MID(INDEX($A$187:$B$210,MATCH("TYP",$A$187:$A$210,0),2),8+(3*SUM(COUNTIF($BB$207:BB321,"S"),COUNTIF($BB$207:BB321,"Z"), COUNTIF($BB$207:BB321,"R"),COUNTIF($BB$207:BB321,"X"))),1),IF(AND(HOUR(AC322)=HOUR($F$186),DAY(AC322)=DAY($F$186)),MID(INDEX($A$187:$B$210,MATCH("TYP",$A$187:$A$210,0),2),8,1),""))</f>
        <v>#N/A</v>
      </c>
      <c r="BC322" s="112" t="str">
        <f>IF(AND(LEN(BC321)=2,AC322&lt;$F$186+26/25),MID(INDEX($A$187:$B$211,MATCH("OBV",$A$187:$A$211,0),2),7+(3*SUM(COUNTIF($BC$207:BC321," N"),COUNTIF($BC$207:BC321,"HZ"),COUNTIF($BC$207:BC321,"BR"),COUNTIF($BC$207:BC321,"FG"),COUNTIF($BC$207:BC321,"BL"))),2),IF(AND(HOUR(AC322)=HOUR($F$186),DAY(AC322)=DAY($F$186)),MID(INDEX($A$187:$B$211,MATCH("OBV",$A$187:$A$211,0),2),7,2),""))</f>
        <v/>
      </c>
      <c r="BD322" s="112"/>
      <c r="BE322" s="112"/>
      <c r="BF322" s="112"/>
      <c r="BG322" s="1610" t="str">
        <f t="shared" si="200"/>
        <v/>
      </c>
      <c r="BH322" s="115" t="str">
        <f t="shared" si="182"/>
        <v/>
      </c>
      <c r="BI322" s="200" t="str">
        <f t="shared" si="155"/>
        <v/>
      </c>
      <c r="BJ322" s="62" t="str">
        <f t="shared" si="154"/>
        <v/>
      </c>
      <c r="BK322" s="1145" t="str">
        <f t="shared" si="198"/>
        <v/>
      </c>
      <c r="BL322" s="62" t="str">
        <f t="shared" si="156"/>
        <v/>
      </c>
      <c r="BM322" s="1145" t="str">
        <f t="shared" si="150"/>
        <v/>
      </c>
      <c r="BN322" s="1901" t="str">
        <f t="shared" si="199"/>
        <v/>
      </c>
      <c r="BO322" s="1144" t="str">
        <f t="shared" si="157"/>
        <v/>
      </c>
      <c r="BP322" s="106" t="str">
        <f t="shared" si="187"/>
        <v/>
      </c>
      <c r="BQ322" s="66" t="str">
        <f t="shared" si="158"/>
        <v/>
      </c>
      <c r="BR322" s="106" t="str">
        <f t="shared" si="159"/>
        <v/>
      </c>
      <c r="BS322" s="834" t="str">
        <f t="shared" si="176"/>
        <v/>
      </c>
      <c r="BT322" s="106" t="str">
        <f t="shared" si="160"/>
        <v/>
      </c>
      <c r="BU322" s="834" t="str">
        <f t="shared" si="145"/>
        <v/>
      </c>
      <c r="BV322" s="66" t="str">
        <f t="shared" si="183"/>
        <v/>
      </c>
      <c r="BW322" s="66" t="str">
        <f t="shared" si="184"/>
        <v/>
      </c>
      <c r="BX322" s="1198">
        <f t="shared" si="172"/>
        <v>6</v>
      </c>
      <c r="BY322" s="1146" t="str">
        <f t="shared" si="153"/>
        <v>TS</v>
      </c>
      <c r="CA322" s="3675">
        <f t="shared" si="148"/>
        <v>44751.833333333328</v>
      </c>
      <c r="CB322" s="3675"/>
    </row>
    <row r="323" spans="1:80">
      <c r="A323" s="978"/>
      <c r="B323" s="452" t="str">
        <f>IF(LEN(A323)&lt;50,"",IF(OR(LEFT(A323,1)="0",LEFT(A323,1)="1"),(VALUE(LEFT(A323,3))/24)+B$237,B$237))</f>
        <v/>
      </c>
      <c r="AC323" s="977">
        <f t="shared" si="149"/>
        <v>44751.875</v>
      </c>
      <c r="AE323" s="1149" t="str">
        <f>IF(AND(HOUR(AC323)=HOUR($F$186),DAY(AC323)=DAY($F$186)),(MID($B$189,6,3))*1,IF(AND(ISNUMBER(AE322),AC323&lt;$F$186+1+(1/25)),(MID($B$189,6+(3*COUNT($AE$207:AE322)),3))*1,""))</f>
        <v/>
      </c>
      <c r="AF323" s="1164" t="e">
        <f t="shared" si="168"/>
        <v>#VALUE!</v>
      </c>
      <c r="AG323" s="1150">
        <f t="shared" si="136"/>
        <v>73.400000000000006</v>
      </c>
      <c r="AH323" s="1163" t="str">
        <f>IF(AND(ISNUMBER(AH322),AC323&lt;$F$186+26/25),(MID($B$190,6+(3*COUNT($AH$207:AH322)),3))*1,IF(AND(HOUR(AC323)=HOUR($F$186),DAY(AC323)=DAY($F$186)),(MID($B$190,6,3))*1,""))</f>
        <v/>
      </c>
      <c r="AI323" s="200"/>
      <c r="AJ323" s="1164" t="e">
        <f t="shared" si="137"/>
        <v>#VALUE!</v>
      </c>
      <c r="AK323" s="1150">
        <f t="shared" si="138"/>
        <v>68</v>
      </c>
      <c r="AL323" s="1152" t="e">
        <f t="shared" si="169"/>
        <v>#VALUE!</v>
      </c>
      <c r="AM323" s="1153">
        <f t="shared" si="139"/>
        <v>30.02</v>
      </c>
      <c r="AN323" s="1147"/>
      <c r="AO323" s="976" t="str">
        <f>IF(BA323="Y",AP323,IF(AND(ISNUMBER(AO322),AC323&lt;$F$186+26/25),(MID(INDEX($A$187:$B$210,MATCH("CIG",$A$187:$A$210,0),2),8+(3*COUNT($AO$207:AO322)),1))*1,IF(AND(HOUR(AC323)=HOUR($F$186),DAY(AC323)=DAY($F$186)),(MID(INDEX($A$187:$B$210,MATCH("CIG",$A$187:$A$210,0),2),8,1))*1,"")))</f>
        <v/>
      </c>
      <c r="AQ323" s="1061" t="str">
        <f>IF(AND(AQ322&lt;&gt;"",AC323&lt;$F$186+26/25),MID(INDEX($A$187:$B$210,MATCH("CLD",$A$187:$A$210,0),2),7+(3*SUM(COUNTIF($AQ$207:AQ322,"OV"),COUNTIF($AQ$207:AQ322,"BK"),COUNTIF($AQ$207:AQ322,"SC"),COUNTIF($AQ$207:AQ322,"FW"),COUNTIF($AQ$207:AQ322,"CL"))),2),IF(AND(HOUR(AC323)=HOUR($F$186),DAY(AC323)=DAY($F$186)),MID(INDEX($A$187:$B$210,MATCH("CLD",$A$187:$A$210,0),2),7,2),""))</f>
        <v/>
      </c>
      <c r="AR323" s="1149" t="str">
        <f t="shared" si="178"/>
        <v/>
      </c>
      <c r="AS323" s="1150" t="str">
        <f t="shared" si="179"/>
        <v/>
      </c>
      <c r="AT323" s="112" t="str">
        <f t="shared" si="180"/>
        <v/>
      </c>
      <c r="AU323" s="1610" t="str">
        <f t="shared" si="181"/>
        <v/>
      </c>
      <c r="AV323" s="1148">
        <f t="shared" si="170"/>
        <v>100</v>
      </c>
      <c r="AW323" s="920" t="str">
        <f t="shared" si="173"/>
        <v>OVC</v>
      </c>
      <c r="AX323" s="1608">
        <f t="shared" si="171"/>
        <v>20</v>
      </c>
      <c r="AY323" s="112" t="str">
        <f>IF(BA323="Y",AZ323,IF(AND(ISNUMBER(AY322),AC323&lt;$F$186+26/25),(MID(INDEX($A$187:$B$210,MATCH("VIS",$A$187:$A$210,0),2),8+(3*COUNT($AY$207:AY322)),1))*1,IF(AND(HOUR(AC323)=HOUR($F$186),DAY(AC323)=DAY($F$186)),(MID(INDEX($A$187:$B$210,MATCH("VIS",$A$187:$A$210,0),2),8,1))*1,"")))</f>
        <v/>
      </c>
      <c r="AZ323" s="112" t="str">
        <f>IF(AND(ISNUMBER(AZ322),AC323&lt;$F$186+26/25),(MID(INDEX($A$187:$B$210,MATCH("CVS",$A$187:$A$210,0),2),8+(3*COUNT($AZ$207:AZ322)),1))*1,IF(AND(HOUR(AC323)=HOUR($F$186),DAY(AC323)=DAY($F$186)),(MID(INDEX($A$187:$B$210,MATCH("CVS",$A$187:$A$210,0),2),8,1))*1,""))</f>
        <v/>
      </c>
      <c r="BA323" s="1610" t="str">
        <f>IF(AND(BA322&lt;&gt;"",AC323&lt;$F$186+26/25),MID(INDEX($A$187:$B$210,MATCH("PCO",$A$187:$A$210,0),2),8+(3*SUM(COUNTIF($BA$207:BA322,"Y"),COUNTIF($BA$207:BA322,"N"))),1),IF(AND(HOUR(AC323)=HOUR($F$186),DAY(AC323)=DAY($F$186)),MID(INDEX($A$187:$B$210,MATCH("PCO",$A$187:$A$210,0),2),8,1),""))</f>
        <v/>
      </c>
      <c r="BB323" s="1610" t="e">
        <f>IF(AND(BB322&lt;&gt;"",AC323&lt;$F$186+26/25),MID(INDEX($A$187:$B$210,MATCH("TYP",$A$187:$A$210,0),2),8+(3*SUM(COUNTIF($BB$207:BB322,"S"),COUNTIF($BB$207:BB322,"Z"), COUNTIF($BB$207:BB322,"R"),COUNTIF($BB$207:BB322,"X"))),1),IF(AND(HOUR(AC323)=HOUR($F$186),DAY(AC323)=DAY($F$186)),MID(INDEX($A$187:$B$210,MATCH("TYP",$A$187:$A$210,0),2),8,1),""))</f>
        <v>#N/A</v>
      </c>
      <c r="BC323" s="112" t="str">
        <f>IF(AND(LEN(BC322)=2,AC323&lt;$F$186+26/25),MID(INDEX($A$187:$B$211,MATCH("OBV",$A$187:$A$211,0),2),7+(3*SUM(COUNTIF($BC$207:BC322," N"),COUNTIF($BC$207:BC322,"HZ"),COUNTIF($BC$207:BC322,"BR"),COUNTIF($BC$207:BC322,"FG"),COUNTIF($BC$207:BC322,"BL"))),2),IF(AND(HOUR(AC323)=HOUR($F$186),DAY(AC323)=DAY($F$186)),MID(INDEX($A$187:$B$211,MATCH("OBV",$A$187:$A$211,0),2),7,2),""))</f>
        <v/>
      </c>
      <c r="BD323" s="112"/>
      <c r="BE323" s="112"/>
      <c r="BF323" s="112"/>
      <c r="BG323" s="1610" t="str">
        <f t="shared" si="200"/>
        <v/>
      </c>
      <c r="BH323" s="115" t="str">
        <f t="shared" si="182"/>
        <v/>
      </c>
      <c r="BI323" s="200" t="str">
        <f t="shared" si="155"/>
        <v/>
      </c>
      <c r="BJ323" s="62" t="str">
        <f t="shared" si="154"/>
        <v/>
      </c>
      <c r="BK323" s="1145" t="str">
        <f t="shared" si="198"/>
        <v/>
      </c>
      <c r="BL323" s="62" t="str">
        <f t="shared" si="156"/>
        <v/>
      </c>
      <c r="BM323" s="1145" t="str">
        <f t="shared" si="150"/>
        <v/>
      </c>
      <c r="BN323" s="1901" t="str">
        <f t="shared" si="199"/>
        <v/>
      </c>
      <c r="BO323" s="1144" t="str">
        <f t="shared" si="157"/>
        <v/>
      </c>
      <c r="BP323" s="106" t="str">
        <f t="shared" si="187"/>
        <v/>
      </c>
      <c r="BQ323" s="66" t="str">
        <f t="shared" si="158"/>
        <v/>
      </c>
      <c r="BR323" s="106" t="str">
        <f t="shared" si="159"/>
        <v/>
      </c>
      <c r="BS323" s="834" t="str">
        <f t="shared" si="176"/>
        <v/>
      </c>
      <c r="BT323" s="106" t="str">
        <f t="shared" si="160"/>
        <v/>
      </c>
      <c r="BU323" s="834" t="str">
        <f t="shared" si="145"/>
        <v/>
      </c>
      <c r="BV323" s="66" t="str">
        <f t="shared" si="183"/>
        <v/>
      </c>
      <c r="BW323" s="66" t="str">
        <f t="shared" si="184"/>
        <v/>
      </c>
      <c r="BX323" s="1198">
        <f t="shared" si="172"/>
        <v>7</v>
      </c>
      <c r="BY323" s="1146" t="str">
        <f t="shared" si="153"/>
        <v>NSW</v>
      </c>
      <c r="CA323" s="3675">
        <f t="shared" si="148"/>
        <v>44751.875</v>
      </c>
      <c r="CB323" s="3675"/>
    </row>
    <row r="324" spans="1:80">
      <c r="A324" s="978"/>
      <c r="B324" s="452" t="str">
        <f>IF(LEN(A324)&lt;50,"",IF(OR(LEFT(A324,1)="0",LEFT(A324,1)="1"),(VALUE(LEFT(A324,3))/24)+B$237,B$237))</f>
        <v/>
      </c>
      <c r="AC324" s="977">
        <f t="shared" si="149"/>
        <v>44751.916666666664</v>
      </c>
      <c r="AE324" s="1149" t="str">
        <f>IF(AND(HOUR(AC324)=HOUR($F$186),DAY(AC324)=DAY($F$186)),(MID($B$189,6,3))*1,IF(AND(ISNUMBER(AE323),AC324&lt;$F$186+1+(1/25)),(MID($B$189,6+(3*COUNT($AE$207:AE323)),3))*1,""))</f>
        <v/>
      </c>
      <c r="AF324" s="1164" t="e">
        <f t="shared" si="168"/>
        <v>#VALUE!</v>
      </c>
      <c r="AG324" s="1150">
        <f t="shared" si="136"/>
        <v>73.400000000000006</v>
      </c>
      <c r="AH324" s="1163" t="str">
        <f>IF(AND(ISNUMBER(AH323),AC324&lt;$F$186+26/25),(MID($B$190,6+(3*COUNT($AH$207:AH323)),3))*1,IF(AND(HOUR(AC324)=HOUR($F$186),DAY(AC324)=DAY($F$186)),(MID($B$190,6,3))*1,""))</f>
        <v/>
      </c>
      <c r="AI324" s="200"/>
      <c r="AJ324" s="1164" t="e">
        <f t="shared" si="137"/>
        <v>#VALUE!</v>
      </c>
      <c r="AK324" s="1150">
        <f t="shared" si="138"/>
        <v>66.8</v>
      </c>
      <c r="AL324" s="1152" t="e">
        <f t="shared" si="169"/>
        <v>#VALUE!</v>
      </c>
      <c r="AM324" s="1153">
        <f t="shared" si="139"/>
        <v>30.026666666666667</v>
      </c>
      <c r="AN324" s="1147"/>
      <c r="AO324" s="976" t="str">
        <f>IF(BA324="Y",AP324,IF(AND(ISNUMBER(AO323),AC324&lt;$F$186+26/25),(MID(INDEX($A$187:$B$210,MATCH("CIG",$A$187:$A$210,0),2),8+(3*COUNT($AO$207:AO323)),1))*1,IF(AND(HOUR(AC324)=HOUR($F$186),DAY(AC324)=DAY($F$186)),(MID(INDEX($A$187:$B$210,MATCH("CIG",$A$187:$A$210,0),2),8,1))*1,"")))</f>
        <v/>
      </c>
      <c r="AQ324" s="1061" t="str">
        <f>IF(AND(AQ323&lt;&gt;"",AC324&lt;$F$186+26/25),MID(INDEX($A$187:$B$210,MATCH("CLD",$A$187:$A$210,0),2),7+(3*SUM(COUNTIF($AQ$207:AQ323,"OV"),COUNTIF($AQ$207:AQ323,"BK"),COUNTIF($AQ$207:AQ323,"SC"),COUNTIF($AQ$207:AQ323,"FW"),COUNTIF($AQ$207:AQ323,"CL"))),2),IF(AND(HOUR(AC324)=HOUR($F$186),DAY(AC324)=DAY($F$186)),MID(INDEX($A$187:$B$210,MATCH("CLD",$A$187:$A$210,0),2),7,2),""))</f>
        <v/>
      </c>
      <c r="AR324" s="1149" t="str">
        <f t="shared" si="178"/>
        <v/>
      </c>
      <c r="AS324" s="1150" t="str">
        <f t="shared" si="179"/>
        <v/>
      </c>
      <c r="AT324" s="112" t="str">
        <f t="shared" si="180"/>
        <v/>
      </c>
      <c r="AU324" s="1610" t="str">
        <f t="shared" si="181"/>
        <v/>
      </c>
      <c r="AV324" s="1148">
        <f t="shared" si="170"/>
        <v>90</v>
      </c>
      <c r="AW324" s="920" t="str">
        <f t="shared" si="173"/>
        <v>BKN</v>
      </c>
      <c r="AX324" s="1608">
        <f t="shared" si="171"/>
        <v>29.333333333333336</v>
      </c>
      <c r="AY324" s="112" t="str">
        <f>IF(BA324="Y",AZ324,IF(AND(ISNUMBER(AY323),AC324&lt;$F$186+26/25),(MID(INDEX($A$187:$B$210,MATCH("VIS",$A$187:$A$210,0),2),8+(3*COUNT($AY$207:AY323)),1))*1,IF(AND(HOUR(AC324)=HOUR($F$186),DAY(AC324)=DAY($F$186)),(MID(INDEX($A$187:$B$210,MATCH("VIS",$A$187:$A$210,0),2),8,1))*1,"")))</f>
        <v/>
      </c>
      <c r="AZ324" s="112" t="str">
        <f>IF(AND(ISNUMBER(AZ323),AC324&lt;$F$186+26/25),(MID(INDEX($A$187:$B$210,MATCH("CVS",$A$187:$A$210,0),2),8+(3*COUNT($AZ$207:AZ323)),1))*1,IF(AND(HOUR(AC324)=HOUR($F$186),DAY(AC324)=DAY($F$186)),(MID(INDEX($A$187:$B$210,MATCH("CVS",$A$187:$A$210,0),2),8,1))*1,""))</f>
        <v/>
      </c>
      <c r="BA324" s="1610" t="str">
        <f>IF(AND(BA323&lt;&gt;"",AC324&lt;$F$186+26/25),MID(INDEX($A$187:$B$210,MATCH("PCO",$A$187:$A$210,0),2),8+(3*SUM(COUNTIF($BA$207:BA323,"Y"),COUNTIF($BA$207:BA323,"N"))),1),IF(AND(HOUR(AC324)=HOUR($F$186),DAY(AC324)=DAY($F$186)),MID(INDEX($A$187:$B$210,MATCH("PCO",$A$187:$A$210,0),2),8,1),""))</f>
        <v/>
      </c>
      <c r="BB324" s="1610" t="e">
        <f>IF(AND(BB323&lt;&gt;"",AC324&lt;$F$186+26/25),MID(INDEX($A$187:$B$210,MATCH("TYP",$A$187:$A$210,0),2),8+(3*SUM(COUNTIF($BB$207:BB323,"S"),COUNTIF($BB$207:BB323,"Z"), COUNTIF($BB$207:BB323,"R"),COUNTIF($BB$207:BB323,"X"))),1),IF(AND(HOUR(AC324)=HOUR($F$186),DAY(AC324)=DAY($F$186)),MID(INDEX($A$187:$B$210,MATCH("TYP",$A$187:$A$210,0),2),8,1),""))</f>
        <v>#N/A</v>
      </c>
      <c r="BC324" s="112" t="str">
        <f>IF(AND(LEN(BC323)=2,AC324&lt;$F$186+26/25),MID(INDEX($A$187:$B$211,MATCH("OBV",$A$187:$A$211,0),2),7+(3*SUM(COUNTIF($BC$207:BC323," N"),COUNTIF($BC$207:BC323,"HZ"),COUNTIF($BC$207:BC323,"BR"),COUNTIF($BC$207:BC323,"FG"),COUNTIF($BC$207:BC323,"BL"))),2),IF(AND(HOUR(AC324)=HOUR($F$186),DAY(AC324)=DAY($F$186)),MID(INDEX($A$187:$B$211,MATCH("OBV",$A$187:$A$211,0),2),7,2),""))</f>
        <v/>
      </c>
      <c r="BD324" s="112"/>
      <c r="BE324" s="112"/>
      <c r="BF324" s="112"/>
      <c r="BG324" s="1610" t="str">
        <f t="shared" si="200"/>
        <v/>
      </c>
      <c r="BH324" s="115" t="str">
        <f t="shared" si="182"/>
        <v/>
      </c>
      <c r="BI324" s="200" t="str">
        <f t="shared" si="155"/>
        <v/>
      </c>
      <c r="BJ324" s="62" t="str">
        <f t="shared" si="154"/>
        <v/>
      </c>
      <c r="BK324" s="1145" t="str">
        <f t="shared" si="198"/>
        <v/>
      </c>
      <c r="BL324" s="62" t="str">
        <f t="shared" si="156"/>
        <v/>
      </c>
      <c r="BM324" s="1145" t="str">
        <f t="shared" si="150"/>
        <v/>
      </c>
      <c r="BN324" s="1901" t="str">
        <f t="shared" si="199"/>
        <v/>
      </c>
      <c r="BO324" s="1144" t="str">
        <f t="shared" si="157"/>
        <v/>
      </c>
      <c r="BP324" s="106" t="str">
        <f t="shared" si="187"/>
        <v/>
      </c>
      <c r="BQ324" s="66" t="str">
        <f t="shared" si="158"/>
        <v/>
      </c>
      <c r="BR324" s="106" t="str">
        <f t="shared" si="159"/>
        <v/>
      </c>
      <c r="BS324" s="834" t="str">
        <f t="shared" si="176"/>
        <v/>
      </c>
      <c r="BT324" s="106" t="str">
        <f t="shared" si="160"/>
        <v/>
      </c>
      <c r="BU324" s="834" t="str">
        <f t="shared" si="145"/>
        <v/>
      </c>
      <c r="BV324" s="66" t="str">
        <f t="shared" si="183"/>
        <v/>
      </c>
      <c r="BW324" s="66" t="str">
        <f t="shared" si="184"/>
        <v/>
      </c>
      <c r="BX324" s="1198">
        <f t="shared" si="172"/>
        <v>7</v>
      </c>
      <c r="BY324" s="1146" t="str">
        <f t="shared" si="153"/>
        <v>NSW</v>
      </c>
      <c r="CA324" s="3675">
        <f t="shared" si="148"/>
        <v>44751.916666666664</v>
      </c>
      <c r="CB324" s="3675"/>
    </row>
    <row r="325" spans="1:80">
      <c r="A325" s="978"/>
      <c r="AC325" s="977">
        <f t="shared" si="149"/>
        <v>44751.958333333328</v>
      </c>
      <c r="AE325" s="1149" t="str">
        <f>IF(AND(HOUR(AC325)=HOUR($F$186),DAY(AC325)=DAY($F$186)),(MID($B$189,6,3))*1,IF(AND(ISNUMBER(AE324),AC325&lt;$F$186+1+(1/25)),(MID($B$189,6+(3*COUNT($AE$207:AE324)),3))*1,""))</f>
        <v/>
      </c>
      <c r="AF325" s="1164" t="e">
        <f t="shared" si="168"/>
        <v>#VALUE!</v>
      </c>
      <c r="AG325" s="1150">
        <f t="shared" si="136"/>
        <v>73.400000000000006</v>
      </c>
      <c r="AH325" s="1163" t="str">
        <f>IF(AND(ISNUMBER(AH324),AC325&lt;$F$186+26/25),(MID($B$190,6+(3*COUNT($AH$207:AH324)),3))*1,IF(AND(HOUR(AC325)=HOUR($F$186),DAY(AC325)=DAY($F$186)),(MID($B$190,6,3))*1,""))</f>
        <v/>
      </c>
      <c r="AI325" s="200"/>
      <c r="AJ325" s="1164" t="e">
        <f t="shared" si="137"/>
        <v>#VALUE!</v>
      </c>
      <c r="AK325" s="1150">
        <f t="shared" si="138"/>
        <v>65.600000000000009</v>
      </c>
      <c r="AL325" s="1152" t="e">
        <f t="shared" si="169"/>
        <v>#VALUE!</v>
      </c>
      <c r="AM325" s="1153">
        <f t="shared" si="139"/>
        <v>30.033333333333331</v>
      </c>
      <c r="AN325" s="1147"/>
      <c r="AO325" s="976" t="str">
        <f>IF(BA325="Y",AP325,IF(AND(ISNUMBER(AO324),AC325&lt;$F$186+26/25),(MID(INDEX($A$187:$B$210,MATCH("CIG",$A$187:$A$210,0),2),8+(3*COUNT($AO$207:AO324)),1))*1,IF(AND(HOUR(AC325)=HOUR($F$186),DAY(AC325)=DAY($F$186)),(MID(INDEX($A$187:$B$210,MATCH("CIG",$A$187:$A$210,0),2),8,1))*1,"")))</f>
        <v/>
      </c>
      <c r="AQ325" s="1061" t="str">
        <f>IF(AND(AQ324&lt;&gt;"",AC325&lt;$F$186+26/25),MID(INDEX($A$187:$B$210,MATCH("CLD",$A$187:$A$210,0),2),7+(3*SUM(COUNTIF($AQ$207:AQ324,"OV"),COUNTIF($AQ$207:AQ324,"BK"),COUNTIF($AQ$207:AQ324,"SC"),COUNTIF($AQ$207:AQ324,"FW"),COUNTIF($AQ$207:AQ324,"CL"))),2),IF(AND(HOUR(AC325)=HOUR($F$186),DAY(AC325)=DAY($F$186)),MID(INDEX($A$187:$B$210,MATCH("CLD",$A$187:$A$210,0),2),7,2),""))</f>
        <v/>
      </c>
      <c r="AR325" s="1149" t="str">
        <f t="shared" si="178"/>
        <v/>
      </c>
      <c r="AS325" s="1150" t="str">
        <f t="shared" si="179"/>
        <v/>
      </c>
      <c r="AT325" s="112" t="str">
        <f t="shared" si="180"/>
        <v/>
      </c>
      <c r="AU325" s="1610" t="str">
        <f t="shared" si="181"/>
        <v/>
      </c>
      <c r="AV325" s="1148">
        <f t="shared" si="170"/>
        <v>80</v>
      </c>
      <c r="AW325" s="920" t="str">
        <f t="shared" si="173"/>
        <v>BKN</v>
      </c>
      <c r="AX325" s="1608">
        <f t="shared" si="171"/>
        <v>38.666666666666671</v>
      </c>
      <c r="AY325" s="112" t="str">
        <f>IF(BA325="Y",AZ325,IF(AND(ISNUMBER(AY324),AC325&lt;$F$186+26/25),(MID(INDEX($A$187:$B$210,MATCH("VIS",$A$187:$A$210,0),2),8+(3*COUNT($AY$207:AY324)),1))*1,IF(AND(HOUR(AC325)=HOUR($F$186),DAY(AC325)=DAY($F$186)),(MID(INDEX($A$187:$B$210,MATCH("VIS",$A$187:$A$210,0),2),8,1))*1,"")))</f>
        <v/>
      </c>
      <c r="AZ325" s="112" t="str">
        <f>IF(AND(ISNUMBER(AZ324),AC325&lt;$F$186+26/25),(MID(INDEX($A$187:$B$210,MATCH("CVS",$A$187:$A$210,0),2),8+(3*COUNT($AZ$207:AZ324)),1))*1,IF(AND(HOUR(AC325)=HOUR($F$186),DAY(AC325)=DAY($F$186)),(MID(INDEX($A$187:$B$210,MATCH("CVS",$A$187:$A$210,0),2),8,1))*1,""))</f>
        <v/>
      </c>
      <c r="BA325" s="1610" t="str">
        <f>IF(AND(BA324&lt;&gt;"",AC325&lt;$F$186+26/25),MID(INDEX($A$187:$B$210,MATCH("PCO",$A$187:$A$210,0),2),8+(3*SUM(COUNTIF($BA$207:BA324,"Y"),COUNTIF($BA$207:BA324,"N"))),1),IF(AND(HOUR(AC325)=HOUR($F$186),DAY(AC325)=DAY($F$186)),MID(INDEX($A$187:$B$210,MATCH("PCO",$A$187:$A$210,0),2),8,1),""))</f>
        <v/>
      </c>
      <c r="BB325" s="1610" t="e">
        <f>IF(AND(BB324&lt;&gt;"",AC325&lt;$F$186+26/25),MID(INDEX($A$187:$B$210,MATCH("TYP",$A$187:$A$210,0),2),8+(3*SUM(COUNTIF($BB$207:BB324,"S"),COUNTIF($BB$207:BB324,"Z"), COUNTIF($BB$207:BB324,"R"),COUNTIF($BB$207:BB324,"X"))),1),IF(AND(HOUR(AC325)=HOUR($F$186),DAY(AC325)=DAY($F$186)),MID(INDEX($A$187:$B$210,MATCH("TYP",$A$187:$A$210,0),2),8,1),""))</f>
        <v>#N/A</v>
      </c>
      <c r="BC325" s="112" t="str">
        <f>IF(AND(LEN(BC324)=2,AC325&lt;$F$186+26/25),MID(INDEX($A$187:$B$211,MATCH("OBV",$A$187:$A$211,0),2),7+(3*SUM(COUNTIF($BC$207:BC324," N"),COUNTIF($BC$207:BC324,"HZ"),COUNTIF($BC$207:BC324,"BR"),COUNTIF($BC$207:BC324,"FG"),COUNTIF($BC$207:BC324,"BL"))),2),IF(AND(HOUR(AC325)=HOUR($F$186),DAY(AC325)=DAY($F$186)),MID(INDEX($A$187:$B$211,MATCH("OBV",$A$187:$A$211,0),2),7,2),""))</f>
        <v/>
      </c>
      <c r="BD325" s="112"/>
      <c r="BE325" s="112"/>
      <c r="BF325" s="112"/>
      <c r="BG325" s="1610" t="str">
        <f t="shared" si="200"/>
        <v/>
      </c>
      <c r="BH325" s="115" t="str">
        <f t="shared" si="182"/>
        <v/>
      </c>
      <c r="BI325" s="200" t="str">
        <f t="shared" si="155"/>
        <v/>
      </c>
      <c r="BJ325" s="62" t="str">
        <f t="shared" si="154"/>
        <v/>
      </c>
      <c r="BK325" s="1145" t="str">
        <f t="shared" si="198"/>
        <v/>
      </c>
      <c r="BL325" s="62" t="str">
        <f t="shared" si="156"/>
        <v/>
      </c>
      <c r="BM325" s="1145" t="str">
        <f t="shared" si="150"/>
        <v/>
      </c>
      <c r="BN325" s="1901" t="str">
        <f t="shared" si="199"/>
        <v/>
      </c>
      <c r="BO325" s="1144" t="str">
        <f t="shared" si="157"/>
        <v/>
      </c>
      <c r="BP325" s="106" t="str">
        <f t="shared" si="187"/>
        <v/>
      </c>
      <c r="BQ325" s="66" t="str">
        <f t="shared" si="158"/>
        <v/>
      </c>
      <c r="BR325" s="106" t="str">
        <f t="shared" si="159"/>
        <v/>
      </c>
      <c r="BS325" s="834" t="str">
        <f t="shared" si="176"/>
        <v/>
      </c>
      <c r="BT325" s="106" t="str">
        <f t="shared" si="160"/>
        <v/>
      </c>
      <c r="BU325" s="834" t="str">
        <f t="shared" si="145"/>
        <v/>
      </c>
      <c r="BV325" s="66" t="str">
        <f t="shared" si="183"/>
        <v/>
      </c>
      <c r="BW325" s="66" t="str">
        <f t="shared" si="184"/>
        <v/>
      </c>
      <c r="BX325" s="1198">
        <f t="shared" si="172"/>
        <v>7</v>
      </c>
      <c r="BY325" s="1146" t="str">
        <f t="shared" si="153"/>
        <v>NSW</v>
      </c>
      <c r="CA325" s="3675">
        <f t="shared" si="148"/>
        <v>44751.958333333328</v>
      </c>
      <c r="CB325" s="3675"/>
    </row>
    <row r="326" spans="1:80">
      <c r="A326" s="978"/>
      <c r="AC326" s="977">
        <f t="shared" si="149"/>
        <v>44752</v>
      </c>
      <c r="AE326" s="1149" t="str">
        <f>IF(AND(HOUR(AC326)=HOUR($F$186),DAY(AC326)=DAY($F$186)),(MID($B$189,6,3))*1,IF(AND(ISNUMBER(AE325),AC326&lt;$F$186+1+(1/25)),(MID($B$189,6+(3*COUNT($AE$207:AE325)),3))*1,""))</f>
        <v/>
      </c>
      <c r="AF326" s="1164" t="e">
        <f t="shared" si="168"/>
        <v>#VALUE!</v>
      </c>
      <c r="AG326" s="1150">
        <f t="shared" si="136"/>
        <v>73.400000000000006</v>
      </c>
      <c r="AH326" s="1163" t="str">
        <f>IF(AND(ISNUMBER(AH325),AC326&lt;$F$186+26/25),(MID($B$190,6+(3*COUNT($AH$207:AH325)),3))*1,IF(AND(HOUR(AC326)=HOUR($F$186),DAY(AC326)=DAY($F$186)),(MID($B$190,6,3))*1,""))</f>
        <v/>
      </c>
      <c r="AI326" s="200"/>
      <c r="AJ326" s="1164" t="e">
        <f t="shared" si="137"/>
        <v>#VALUE!</v>
      </c>
      <c r="AK326" s="1150">
        <f t="shared" si="138"/>
        <v>64.400000000000006</v>
      </c>
      <c r="AL326" s="1152" t="e">
        <f t="shared" si="169"/>
        <v>#VALUE!</v>
      </c>
      <c r="AM326" s="1153">
        <f t="shared" si="139"/>
        <v>30.04</v>
      </c>
      <c r="AN326" s="1147"/>
      <c r="AO326" s="976" t="str">
        <f>IF(BA326="Y",AP326,IF(AND(ISNUMBER(AO325),AC326&lt;$F$186+26/25),(MID(INDEX($A$187:$B$210,MATCH("CIG",$A$187:$A$210,0),2),8+(3*COUNT($AO$207:AO325)),1))*1,IF(AND(HOUR(AC326)=HOUR($F$186),DAY(AC326)=DAY($F$186)),(MID(INDEX($A$187:$B$210,MATCH("CIG",$A$187:$A$210,0),2),8,1))*1,"")))</f>
        <v/>
      </c>
      <c r="AQ326" s="1061" t="str">
        <f>IF(AND(AQ325&lt;&gt;"",AC326&lt;$F$186+26/25),MID(INDEX($A$187:$B$210,MATCH("CLD",$A$187:$A$210,0),2),7+(3*SUM(COUNTIF($AQ$207:AQ325,"OV"),COUNTIF($AQ$207:AQ325,"BK"),COUNTIF($AQ$207:AQ325,"SC"),COUNTIF($AQ$207:AQ325,"FW"),COUNTIF($AQ$207:AQ325,"CL"))),2),IF(AND(HOUR(AC326)=HOUR($F$186),DAY(AC326)=DAY($F$186)),MID(INDEX($A$187:$B$210,MATCH("CLD",$A$187:$A$210,0),2),7,2),""))</f>
        <v/>
      </c>
      <c r="AR326" s="1149" t="str">
        <f t="shared" si="178"/>
        <v/>
      </c>
      <c r="AS326" s="1150" t="str">
        <f t="shared" si="179"/>
        <v/>
      </c>
      <c r="AT326" s="112" t="str">
        <f t="shared" si="180"/>
        <v/>
      </c>
      <c r="AU326" s="1610" t="str">
        <f t="shared" si="181"/>
        <v/>
      </c>
      <c r="AV326" s="1148">
        <f t="shared" si="170"/>
        <v>70</v>
      </c>
      <c r="AW326" s="920" t="str">
        <f t="shared" si="173"/>
        <v>BKN</v>
      </c>
      <c r="AX326" s="1608">
        <f t="shared" si="171"/>
        <v>48</v>
      </c>
      <c r="AY326" s="112" t="str">
        <f>IF(BA326="Y",AZ326,IF(AND(ISNUMBER(AY325),AC326&lt;$F$186+26/25),(MID(INDEX($A$187:$B$210,MATCH("VIS",$A$187:$A$210,0),2),8+(3*COUNT($AY$207:AY325)),1))*1,IF(AND(HOUR(AC326)=HOUR($F$186),DAY(AC326)=DAY($F$186)),(MID(INDEX($A$187:$B$210,MATCH("VIS",$A$187:$A$210,0),2),8,1))*1,"")))</f>
        <v/>
      </c>
      <c r="AZ326" s="112" t="str">
        <f>IF(AND(ISNUMBER(AZ325),AC326&lt;$F$186+26/25),(MID(INDEX($A$187:$B$210,MATCH("CVS",$A$187:$A$210,0),2),8+(3*COUNT($AZ$207:AZ325)),1))*1,IF(AND(HOUR(AC326)=HOUR($F$186),DAY(AC326)=DAY($F$186)),(MID(INDEX($A$187:$B$210,MATCH("CVS",$A$187:$A$210,0),2),8,1))*1,""))</f>
        <v/>
      </c>
      <c r="BA326" s="1610" t="str">
        <f>IF(AND(BA325&lt;&gt;"",AC326&lt;$F$186+26/25),MID(INDEX($A$187:$B$210,MATCH("PCO",$A$187:$A$210,0),2),8+(3*SUM(COUNTIF($BA$207:BA325,"Y"),COUNTIF($BA$207:BA325,"N"))),1),IF(AND(HOUR(AC326)=HOUR($F$186),DAY(AC326)=DAY($F$186)),MID(INDEX($A$187:$B$210,MATCH("PCO",$A$187:$A$210,0),2),8,1),""))</f>
        <v/>
      </c>
      <c r="BB326" s="1610" t="e">
        <f>IF(AND(BB325&lt;&gt;"",AC326&lt;$F$186+26/25),MID(INDEX($A$187:$B$210,MATCH("TYP",$A$187:$A$210,0),2),8+(3*SUM(COUNTIF($BB$207:BB325,"S"),COUNTIF($BB$207:BB325,"Z"), COUNTIF($BB$207:BB325,"R"),COUNTIF($BB$207:BB325,"X"))),1),IF(AND(HOUR(AC326)=HOUR($F$186),DAY(AC326)=DAY($F$186)),MID(INDEX($A$187:$B$210,MATCH("TYP",$A$187:$A$210,0),2),8,1),""))</f>
        <v>#N/A</v>
      </c>
      <c r="BC326" s="112" t="str">
        <f>IF(AND(LEN(BC325)=2,AC326&lt;$F$186+26/25),MID(INDEX($A$187:$B$211,MATCH("OBV",$A$187:$A$211,0),2),7+(3*SUM(COUNTIF($BC$207:BC325," N"),COUNTIF($BC$207:BC325,"HZ"),COUNTIF($BC$207:BC325,"BR"),COUNTIF($BC$207:BC325,"FG"),COUNTIF($BC$207:BC325,"BL"))),2),IF(AND(HOUR(AC326)=HOUR($F$186),DAY(AC326)=DAY($F$186)),MID(INDEX($A$187:$B$211,MATCH("OBV",$A$187:$A$211,0),2),7,2),""))</f>
        <v/>
      </c>
      <c r="BD326" s="112"/>
      <c r="BE326" s="112"/>
      <c r="BF326" s="112"/>
      <c r="BG326" s="1610" t="str">
        <f t="shared" si="200"/>
        <v/>
      </c>
      <c r="BH326" s="115" t="str">
        <f t="shared" si="182"/>
        <v/>
      </c>
      <c r="BI326" s="200" t="str">
        <f t="shared" si="155"/>
        <v/>
      </c>
      <c r="BJ326" s="62" t="str">
        <f t="shared" si="154"/>
        <v/>
      </c>
      <c r="BK326" s="1145" t="str">
        <f t="shared" si="198"/>
        <v/>
      </c>
      <c r="BL326" s="62" t="str">
        <f t="shared" si="156"/>
        <v/>
      </c>
      <c r="BM326" s="1145" t="str">
        <f t="shared" si="150"/>
        <v/>
      </c>
      <c r="BN326" s="1901" t="str">
        <f t="shared" si="199"/>
        <v/>
      </c>
      <c r="BO326" s="1144" t="str">
        <f t="shared" si="157"/>
        <v/>
      </c>
      <c r="BP326" s="106" t="str">
        <f t="shared" si="187"/>
        <v/>
      </c>
      <c r="BQ326" s="66" t="str">
        <f t="shared" si="158"/>
        <v/>
      </c>
      <c r="BR326" s="106" t="str">
        <f t="shared" si="159"/>
        <v/>
      </c>
      <c r="BS326" s="834" t="str">
        <f t="shared" si="176"/>
        <v/>
      </c>
      <c r="BT326" s="106" t="str">
        <f t="shared" si="160"/>
        <v/>
      </c>
      <c r="BU326" s="834" t="str">
        <f t="shared" si="145"/>
        <v/>
      </c>
      <c r="BV326" s="66" t="str">
        <f t="shared" si="183"/>
        <v/>
      </c>
      <c r="BW326" s="66" t="str">
        <f t="shared" si="184"/>
        <v/>
      </c>
      <c r="BX326" s="1198">
        <f t="shared" si="172"/>
        <v>7</v>
      </c>
      <c r="BY326" s="1146" t="str">
        <f t="shared" si="153"/>
        <v>NSW</v>
      </c>
      <c r="CA326" s="3675">
        <f t="shared" si="148"/>
        <v>44752</v>
      </c>
      <c r="CB326" s="3675"/>
    </row>
    <row r="327" spans="1:80">
      <c r="A327" s="978"/>
      <c r="AC327" s="977">
        <f t="shared" si="149"/>
        <v>44752.041666666664</v>
      </c>
      <c r="AE327" s="1149" t="str">
        <f>IF(AND(HOUR(AC327)=HOUR($F$186),DAY(AC327)=DAY($F$186)),(MID($B$189,6,3))*1,IF(AND(ISNUMBER(AE326),AC327&lt;$F$186+1+(1/25)),(MID($B$189,6+(3*COUNT($AE$207:AE326)),3))*1,""))</f>
        <v/>
      </c>
      <c r="AF327" s="1164" t="e">
        <f t="shared" si="168"/>
        <v>#VALUE!</v>
      </c>
      <c r="AG327" s="1150">
        <f t="shared" si="136"/>
        <v>72.8</v>
      </c>
      <c r="AH327" s="1163" t="str">
        <f>IF(AND(ISNUMBER(AH326),AC327&lt;$F$186+26/25),(MID($B$190,6+(3*COUNT($AH$207:AH326)),3))*1,IF(AND(HOUR(AC327)=HOUR($F$186),DAY(AC327)=DAY($F$186)),(MID($B$190,6,3))*1,""))</f>
        <v/>
      </c>
      <c r="AI327" s="200"/>
      <c r="AJ327" s="1164" t="e">
        <f t="shared" si="137"/>
        <v>#VALUE!</v>
      </c>
      <c r="AK327" s="1150">
        <f t="shared" si="138"/>
        <v>63.800000000000004</v>
      </c>
      <c r="AL327" s="1152" t="e">
        <f t="shared" si="169"/>
        <v>#VALUE!</v>
      </c>
      <c r="AM327" s="1153">
        <f t="shared" si="139"/>
        <v>30.043333333333333</v>
      </c>
      <c r="AN327" s="1147"/>
      <c r="AO327" s="976" t="str">
        <f>IF(BA327="Y",AP327,IF(AND(ISNUMBER(AO326),AC327&lt;$F$186+26/25),(MID(INDEX($A$187:$B$210,MATCH("CIG",$A$187:$A$210,0),2),8+(3*COUNT($AO$207:AO326)),1))*1,IF(AND(HOUR(AC327)=HOUR($F$186),DAY(AC327)=DAY($F$186)),(MID(INDEX($A$187:$B$210,MATCH("CIG",$A$187:$A$210,0),2),8,1))*1,"")))</f>
        <v/>
      </c>
      <c r="AQ327" s="1061" t="str">
        <f>IF(AND(AQ326&lt;&gt;"",AC327&lt;$F$186+26/25),MID(INDEX($A$187:$B$210,MATCH("CLD",$A$187:$A$210,0),2),7+(3*SUM(COUNTIF($AQ$207:AQ326,"OV"),COUNTIF($AQ$207:AQ326,"BK"),COUNTIF($AQ$207:AQ326,"SC"),COUNTIF($AQ$207:AQ326,"FW"),COUNTIF($AQ$207:AQ326,"CL"))),2),IF(AND(HOUR(AC327)=HOUR($F$186),DAY(AC327)=DAY($F$186)),MID(INDEX($A$187:$B$210,MATCH("CLD",$A$187:$A$210,0),2),7,2),""))</f>
        <v/>
      </c>
      <c r="AR327" s="1149" t="str">
        <f t="shared" si="178"/>
        <v/>
      </c>
      <c r="AS327" s="1150" t="str">
        <f t="shared" si="179"/>
        <v/>
      </c>
      <c r="AT327" s="112" t="str">
        <f t="shared" si="180"/>
        <v/>
      </c>
      <c r="AU327" s="1610" t="str">
        <f t="shared" si="181"/>
        <v/>
      </c>
      <c r="AV327" s="1148">
        <f t="shared" si="170"/>
        <v>60</v>
      </c>
      <c r="AW327" s="920" t="str">
        <f t="shared" si="173"/>
        <v>BKN</v>
      </c>
      <c r="AX327" s="1608">
        <f t="shared" si="171"/>
        <v>45.333333333333336</v>
      </c>
      <c r="AY327" s="112" t="str">
        <f>IF(BA327="Y",AZ327,IF(AND(ISNUMBER(AY326),AC327&lt;$F$186+26/25),(MID(INDEX($A$187:$B$210,MATCH("VIS",$A$187:$A$210,0),2),8+(3*COUNT($AY$207:AY326)),1))*1,IF(AND(HOUR(AC327)=HOUR($F$186),DAY(AC327)=DAY($F$186)),(MID(INDEX($A$187:$B$210,MATCH("VIS",$A$187:$A$210,0),2),8,1))*1,"")))</f>
        <v/>
      </c>
      <c r="AZ327" s="112" t="str">
        <f>IF(AND(ISNUMBER(AZ326),AC327&lt;$F$186+26/25),(MID(INDEX($A$187:$B$210,MATCH("CVS",$A$187:$A$210,0),2),8+(3*COUNT($AZ$207:AZ326)),1))*1,IF(AND(HOUR(AC327)=HOUR($F$186),DAY(AC327)=DAY($F$186)),(MID(INDEX($A$187:$B$210,MATCH("CVS",$A$187:$A$210,0),2),8,1))*1,""))</f>
        <v/>
      </c>
      <c r="BA327" s="1610" t="str">
        <f>IF(AND(BA326&lt;&gt;"",AC327&lt;$F$186+26/25),MID(INDEX($A$187:$B$210,MATCH("PCO",$A$187:$A$210,0),2),8+(3*SUM(COUNTIF($BA$207:BA326,"Y"),COUNTIF($BA$207:BA326,"N"))),1),IF(AND(HOUR(AC327)=HOUR($F$186),DAY(AC327)=DAY($F$186)),MID(INDEX($A$187:$B$210,MATCH("PCO",$A$187:$A$210,0),2),8,1),""))</f>
        <v/>
      </c>
      <c r="BB327" s="1610" t="e">
        <f>IF(AND(BB326&lt;&gt;"",AC327&lt;$F$186+26/25),MID(INDEX($A$187:$B$210,MATCH("TYP",$A$187:$A$210,0),2),8+(3*SUM(COUNTIF($BB$207:BB326,"S"),COUNTIF($BB$207:BB326,"Z"), COUNTIF($BB$207:BB326,"R"),COUNTIF($BB$207:BB326,"X"))),1),IF(AND(HOUR(AC327)=HOUR($F$186),DAY(AC327)=DAY($F$186)),MID(INDEX($A$187:$B$210,MATCH("TYP",$A$187:$A$210,0),2),8,1),""))</f>
        <v>#N/A</v>
      </c>
      <c r="BC327" s="112" t="str">
        <f>IF(AND(LEN(BC326)=2,AC327&lt;$F$186+26/25),MID(INDEX($A$187:$B$211,MATCH("OBV",$A$187:$A$211,0),2),7+(3*SUM(COUNTIF($BC$207:BC326," N"),COUNTIF($BC$207:BC326,"HZ"),COUNTIF($BC$207:BC326,"BR"),COUNTIF($BC$207:BC326,"FG"),COUNTIF($BC$207:BC326,"BL"))),2),IF(AND(HOUR(AC327)=HOUR($F$186),DAY(AC327)=DAY($F$186)),MID(INDEX($A$187:$B$211,MATCH("OBV",$A$187:$A$211,0),2),7,2),""))</f>
        <v/>
      </c>
      <c r="BD327" s="112"/>
      <c r="BE327" s="112"/>
      <c r="BF327" s="112"/>
      <c r="BG327" s="1610" t="str">
        <f t="shared" si="200"/>
        <v/>
      </c>
      <c r="BH327" s="115" t="str">
        <f t="shared" si="182"/>
        <v/>
      </c>
      <c r="BI327" s="200" t="str">
        <f t="shared" si="155"/>
        <v/>
      </c>
      <c r="BJ327" s="62" t="str">
        <f t="shared" si="154"/>
        <v/>
      </c>
      <c r="BK327" s="1145" t="str">
        <f t="shared" si="198"/>
        <v/>
      </c>
      <c r="BL327" s="62" t="str">
        <f t="shared" si="156"/>
        <v/>
      </c>
      <c r="BM327" s="1145" t="str">
        <f t="shared" si="150"/>
        <v/>
      </c>
      <c r="BN327" s="1901" t="str">
        <f t="shared" si="199"/>
        <v/>
      </c>
      <c r="BO327" s="1144" t="str">
        <f t="shared" si="157"/>
        <v/>
      </c>
      <c r="BP327" s="106" t="str">
        <f t="shared" si="187"/>
        <v/>
      </c>
      <c r="BQ327" s="66" t="str">
        <f t="shared" si="158"/>
        <v/>
      </c>
      <c r="BR327" s="106" t="str">
        <f t="shared" si="159"/>
        <v/>
      </c>
      <c r="BS327" s="834" t="str">
        <f t="shared" si="176"/>
        <v/>
      </c>
      <c r="BT327" s="106" t="str">
        <f t="shared" si="160"/>
        <v/>
      </c>
      <c r="BU327" s="834" t="str">
        <f t="shared" si="145"/>
        <v/>
      </c>
      <c r="BV327" s="66" t="str">
        <f t="shared" si="183"/>
        <v/>
      </c>
      <c r="BW327" s="66" t="str">
        <f t="shared" si="184"/>
        <v/>
      </c>
      <c r="BX327" s="1198">
        <f t="shared" si="172"/>
        <v>7</v>
      </c>
      <c r="BY327" s="1146" t="str">
        <f t="shared" si="153"/>
        <v>NSW</v>
      </c>
      <c r="CA327" s="3675">
        <f t="shared" si="148"/>
        <v>44752.041666666664</v>
      </c>
      <c r="CB327" s="3675"/>
    </row>
    <row r="328" spans="1:80">
      <c r="A328" s="978"/>
      <c r="AC328" s="977">
        <f t="shared" si="149"/>
        <v>44752.083333333328</v>
      </c>
      <c r="AE328" s="1149" t="str">
        <f>IF(AND(HOUR(AC328)=HOUR($F$186),DAY(AC328)=DAY($F$186)),(MID($B$189,6,3))*1,IF(AND(ISNUMBER(AE327),AC328&lt;$F$186+1+(1/25)),(MID($B$189,6+(3*COUNT($AE$207:AE327)),3))*1,""))</f>
        <v/>
      </c>
      <c r="AF328" s="1164" t="e">
        <f t="shared" si="168"/>
        <v>#VALUE!</v>
      </c>
      <c r="AG328" s="1150">
        <f t="shared" si="136"/>
        <v>72.2</v>
      </c>
      <c r="AH328" s="1163" t="str">
        <f>IF(AND(ISNUMBER(AH327),AC328&lt;$F$186+26/25),(MID($B$190,6+(3*COUNT($AH$207:AH327)),3))*1,IF(AND(HOUR(AC328)=HOUR($F$186),DAY(AC328)=DAY($F$186)),(MID($B$190,6,3))*1,""))</f>
        <v/>
      </c>
      <c r="AI328" s="200"/>
      <c r="AJ328" s="1164" t="e">
        <f t="shared" si="137"/>
        <v>#VALUE!</v>
      </c>
      <c r="AK328" s="1150">
        <f t="shared" si="138"/>
        <v>63.2</v>
      </c>
      <c r="AL328" s="1152" t="e">
        <f t="shared" si="169"/>
        <v>#VALUE!</v>
      </c>
      <c r="AM328" s="1153">
        <f t="shared" si="139"/>
        <v>30.046666666666667</v>
      </c>
      <c r="AN328" s="1147"/>
      <c r="AO328" s="976" t="str">
        <f>IF(BA328="Y",AP328,IF(AND(ISNUMBER(AO327),AC328&lt;$F$186+26/25),(MID(INDEX($A$187:$B$210,MATCH("CIG",$A$187:$A$210,0),2),8+(3*COUNT($AO$207:AO327)),1))*1,IF(AND(HOUR(AC328)=HOUR($F$186),DAY(AC328)=DAY($F$186)),(MID(INDEX($A$187:$B$210,MATCH("CIG",$A$187:$A$210,0),2),8,1))*1,"")))</f>
        <v/>
      </c>
      <c r="AQ328" s="1061" t="str">
        <f>IF(AND(AQ327&lt;&gt;"",AC328&lt;$F$186+26/25),MID(INDEX($A$187:$B$210,MATCH("CLD",$A$187:$A$210,0),2),7+(3*SUM(COUNTIF($AQ$207:AQ327,"OV"),COUNTIF($AQ$207:AQ327,"BK"),COUNTIF($AQ$207:AQ327,"SC"),COUNTIF($AQ$207:AQ327,"FW"),COUNTIF($AQ$207:AQ327,"CL"))),2),IF(AND(HOUR(AC328)=HOUR($F$186),DAY(AC328)=DAY($F$186)),MID(INDEX($A$187:$B$210,MATCH("CLD",$A$187:$A$210,0),2),7,2),""))</f>
        <v/>
      </c>
      <c r="AR328" s="1149" t="str">
        <f t="shared" si="178"/>
        <v/>
      </c>
      <c r="AS328" s="1150" t="str">
        <f t="shared" si="179"/>
        <v/>
      </c>
      <c r="AT328" s="112" t="str">
        <f t="shared" si="180"/>
        <v/>
      </c>
      <c r="AU328" s="1610" t="str">
        <f t="shared" si="181"/>
        <v/>
      </c>
      <c r="AV328" s="1148">
        <f t="shared" si="170"/>
        <v>50</v>
      </c>
      <c r="AW328" s="920" t="str">
        <f t="shared" si="173"/>
        <v>SCT</v>
      </c>
      <c r="AX328" s="1608">
        <f t="shared" si="171"/>
        <v>42.666666666666664</v>
      </c>
      <c r="AY328" s="112" t="str">
        <f>IF(BA328="Y",AZ328,IF(AND(ISNUMBER(AY327),AC328&lt;$F$186+26/25),(MID(INDEX($A$187:$B$210,MATCH("VIS",$A$187:$A$210,0),2),8+(3*COUNT($AY$207:AY327)),1))*1,IF(AND(HOUR(AC328)=HOUR($F$186),DAY(AC328)=DAY($F$186)),(MID(INDEX($A$187:$B$210,MATCH("VIS",$A$187:$A$210,0),2),8,1))*1,"")))</f>
        <v/>
      </c>
      <c r="AZ328" s="112" t="str">
        <f>IF(AND(ISNUMBER(AZ327),AC328&lt;$F$186+26/25),(MID(INDEX($A$187:$B$210,MATCH("CVS",$A$187:$A$210,0),2),8+(3*COUNT($AZ$207:AZ327)),1))*1,IF(AND(HOUR(AC328)=HOUR($F$186),DAY(AC328)=DAY($F$186)),(MID(INDEX($A$187:$B$210,MATCH("CVS",$A$187:$A$210,0),2),8,1))*1,""))</f>
        <v/>
      </c>
      <c r="BA328" s="1610" t="str">
        <f>IF(AND(BA327&lt;&gt;"",AC328&lt;$F$186+26/25),MID(INDEX($A$187:$B$210,MATCH("PCO",$A$187:$A$210,0),2),8+(3*SUM(COUNTIF($BA$207:BA327,"Y"),COUNTIF($BA$207:BA327,"N"))),1),IF(AND(HOUR(AC328)=HOUR($F$186),DAY(AC328)=DAY($F$186)),MID(INDEX($A$187:$B$210,MATCH("PCO",$A$187:$A$210,0),2),8,1),""))</f>
        <v/>
      </c>
      <c r="BB328" s="1610" t="e">
        <f>IF(AND(BB327&lt;&gt;"",AC328&lt;$F$186+26/25),MID(INDEX($A$187:$B$210,MATCH("TYP",$A$187:$A$210,0),2),8+(3*SUM(COUNTIF($BB$207:BB327,"S"),COUNTIF($BB$207:BB327,"Z"), COUNTIF($BB$207:BB327,"R"),COUNTIF($BB$207:BB327,"X"))),1),IF(AND(HOUR(AC328)=HOUR($F$186),DAY(AC328)=DAY($F$186)),MID(INDEX($A$187:$B$210,MATCH("TYP",$A$187:$A$210,0),2),8,1),""))</f>
        <v>#N/A</v>
      </c>
      <c r="BC328" s="112" t="str">
        <f>IF(AND(LEN(BC327)=2,AC328&lt;$F$186+26/25),MID(INDEX($A$187:$B$211,MATCH("OBV",$A$187:$A$211,0),2),7+(3*SUM(COUNTIF($BC$207:BC327," N"),COUNTIF($BC$207:BC327,"HZ"),COUNTIF($BC$207:BC327,"BR"),COUNTIF($BC$207:BC327,"FG"),COUNTIF($BC$207:BC327,"BL"))),2),IF(AND(HOUR(AC328)=HOUR($F$186),DAY(AC328)=DAY($F$186)),MID(INDEX($A$187:$B$211,MATCH("OBV",$A$187:$A$211,0),2),7,2),""))</f>
        <v/>
      </c>
      <c r="BD328" s="112"/>
      <c r="BE328" s="112"/>
      <c r="BF328" s="112"/>
      <c r="BG328" s="1610" t="str">
        <f t="shared" si="200"/>
        <v/>
      </c>
      <c r="BH328" s="115" t="str">
        <f t="shared" si="182"/>
        <v/>
      </c>
      <c r="BI328" s="200" t="str">
        <f t="shared" si="155"/>
        <v/>
      </c>
      <c r="BJ328" s="62" t="str">
        <f t="shared" si="154"/>
        <v/>
      </c>
      <c r="BK328" s="1145" t="str">
        <f t="shared" si="198"/>
        <v/>
      </c>
      <c r="BL328" s="62" t="str">
        <f t="shared" si="156"/>
        <v/>
      </c>
      <c r="BM328" s="1145" t="str">
        <f t="shared" si="150"/>
        <v/>
      </c>
      <c r="BN328" s="1901" t="str">
        <f t="shared" si="199"/>
        <v/>
      </c>
      <c r="BO328" s="1144" t="str">
        <f t="shared" si="157"/>
        <v/>
      </c>
      <c r="BP328" s="106" t="str">
        <f t="shared" si="187"/>
        <v/>
      </c>
      <c r="BQ328" s="66" t="str">
        <f t="shared" si="158"/>
        <v/>
      </c>
      <c r="BR328" s="106" t="str">
        <f t="shared" si="159"/>
        <v/>
      </c>
      <c r="BS328" s="834" t="str">
        <f t="shared" si="176"/>
        <v/>
      </c>
      <c r="BT328" s="106" t="str">
        <f t="shared" si="160"/>
        <v/>
      </c>
      <c r="BU328" s="834" t="str">
        <f t="shared" si="145"/>
        <v/>
      </c>
      <c r="BV328" s="66" t="str">
        <f t="shared" si="183"/>
        <v/>
      </c>
      <c r="BW328" s="66" t="str">
        <f t="shared" si="184"/>
        <v/>
      </c>
      <c r="BX328" s="1198">
        <f t="shared" si="172"/>
        <v>7</v>
      </c>
      <c r="BY328" s="1146" t="str">
        <f t="shared" si="153"/>
        <v>NSW</v>
      </c>
      <c r="CA328" s="3675">
        <f t="shared" si="148"/>
        <v>44752.083333333328</v>
      </c>
      <c r="CB328" s="3675"/>
    </row>
    <row r="329" spans="1:80">
      <c r="A329" s="978"/>
      <c r="AC329" s="977">
        <f t="shared" si="149"/>
        <v>44752.125</v>
      </c>
      <c r="AE329" s="1149" t="str">
        <f>IF(AND(HOUR(AC329)=HOUR($F$186),DAY(AC329)=DAY($F$186)),(MID($B$189,6,3))*1,IF(AND(ISNUMBER(AE328),AC329&lt;$F$186+1+(1/25)),(MID($B$189,6+(3*COUNT($AE$207:AE328)),3))*1,""))</f>
        <v/>
      </c>
      <c r="AF329" s="1164" t="e">
        <f t="shared" si="168"/>
        <v>#VALUE!</v>
      </c>
      <c r="AG329" s="1150">
        <f t="shared" si="136"/>
        <v>71.599999999999994</v>
      </c>
      <c r="AH329" s="1163" t="str">
        <f>IF(AND(ISNUMBER(AH328),AC329&lt;$F$186+26/25),(MID($B$190,6+(3*COUNT($AH$207:AH328)),3))*1,IF(AND(HOUR(AC329)=HOUR($F$186),DAY(AC329)=DAY($F$186)),(MID($B$190,6,3))*1,""))</f>
        <v/>
      </c>
      <c r="AI329" s="200"/>
      <c r="AJ329" s="1164" t="e">
        <f t="shared" si="137"/>
        <v>#VALUE!</v>
      </c>
      <c r="AK329" s="1150">
        <f t="shared" si="138"/>
        <v>62.6</v>
      </c>
      <c r="AL329" s="1152" t="e">
        <f t="shared" si="169"/>
        <v>#VALUE!</v>
      </c>
      <c r="AM329" s="1153">
        <f t="shared" si="139"/>
        <v>30.05</v>
      </c>
      <c r="AN329" s="1147"/>
      <c r="AO329" s="976" t="str">
        <f>IF(BA329="Y",AP329,IF(AND(ISNUMBER(AO328),AC329&lt;$F$186+26/25),(MID(INDEX($A$187:$B$210,MATCH("CIG",$A$187:$A$210,0),2),8+(3*COUNT($AO$207:AO328)),1))*1,IF(AND(HOUR(AC329)=HOUR($F$186),DAY(AC329)=DAY($F$186)),(MID(INDEX($A$187:$B$210,MATCH("CIG",$A$187:$A$210,0),2),8,1))*1,"")))</f>
        <v/>
      </c>
      <c r="AQ329" s="1061" t="str">
        <f>IF(AND(AQ328&lt;&gt;"",AC329&lt;$F$186+26/25),MID(INDEX($A$187:$B$210,MATCH("CLD",$A$187:$A$210,0),2),7+(3*SUM(COUNTIF($AQ$207:AQ328,"OV"),COUNTIF($AQ$207:AQ328,"BK"),COUNTIF($AQ$207:AQ328,"SC"),COUNTIF($AQ$207:AQ328,"FW"),COUNTIF($AQ$207:AQ328,"CL"))),2),IF(AND(HOUR(AC329)=HOUR($F$186),DAY(AC329)=DAY($F$186)),MID(INDEX($A$187:$B$210,MATCH("CLD",$A$187:$A$210,0),2),7,2),""))</f>
        <v/>
      </c>
      <c r="AR329" s="1149" t="str">
        <f t="shared" si="178"/>
        <v/>
      </c>
      <c r="AS329" s="1150" t="str">
        <f t="shared" si="179"/>
        <v/>
      </c>
      <c r="AT329" s="112" t="str">
        <f t="shared" si="180"/>
        <v/>
      </c>
      <c r="AU329" s="1610" t="str">
        <f t="shared" si="181"/>
        <v/>
      </c>
      <c r="AV329" s="1148">
        <f t="shared" si="170"/>
        <v>40</v>
      </c>
      <c r="AW329" s="920" t="str">
        <f t="shared" si="173"/>
        <v>SCT</v>
      </c>
      <c r="AX329" s="1608">
        <f t="shared" si="171"/>
        <v>40</v>
      </c>
      <c r="AY329" s="112" t="str">
        <f>IF(BA329="Y",AZ329,IF(AND(ISNUMBER(AY328),AC329&lt;$F$186+26/25),(MID(INDEX($A$187:$B$210,MATCH("VIS",$A$187:$A$210,0),2),8+(3*COUNT($AY$207:AY328)),1))*1,IF(AND(HOUR(AC329)=HOUR($F$186),DAY(AC329)=DAY($F$186)),(MID(INDEX($A$187:$B$210,MATCH("VIS",$A$187:$A$210,0),2),8,1))*1,"")))</f>
        <v/>
      </c>
      <c r="AZ329" s="112" t="str">
        <f>IF(AND(ISNUMBER(AZ328),AC329&lt;$F$186+26/25),(MID(INDEX($A$187:$B$210,MATCH("CVS",$A$187:$A$210,0),2),8+(3*COUNT($AZ$207:AZ328)),1))*1,IF(AND(HOUR(AC329)=HOUR($F$186),DAY(AC329)=DAY($F$186)),(MID(INDEX($A$187:$B$210,MATCH("CVS",$A$187:$A$210,0),2),8,1))*1,""))</f>
        <v/>
      </c>
      <c r="BA329" s="1610" t="str">
        <f>IF(AND(BA328&lt;&gt;"",AC329&lt;$F$186+26/25),MID(INDEX($A$187:$B$210,MATCH("PCO",$A$187:$A$210,0),2),8+(3*SUM(COUNTIF($BA$207:BA328,"Y"),COUNTIF($BA$207:BA328,"N"))),1),IF(AND(HOUR(AC329)=HOUR($F$186),DAY(AC329)=DAY($F$186)),MID(INDEX($A$187:$B$210,MATCH("PCO",$A$187:$A$210,0),2),8,1),""))</f>
        <v/>
      </c>
      <c r="BB329" s="1610" t="e">
        <f>IF(AND(BB328&lt;&gt;"",AC329&lt;$F$186+26/25),MID(INDEX($A$187:$B$210,MATCH("TYP",$A$187:$A$210,0),2),8+(3*SUM(COUNTIF($BB$207:BB328,"S"),COUNTIF($BB$207:BB328,"Z"), COUNTIF($BB$207:BB328,"R"),COUNTIF($BB$207:BB328,"X"))),1),IF(AND(HOUR(AC329)=HOUR($F$186),DAY(AC329)=DAY($F$186)),MID(INDEX($A$187:$B$210,MATCH("TYP",$A$187:$A$210,0),2),8,1),""))</f>
        <v>#N/A</v>
      </c>
      <c r="BC329" s="112" t="str">
        <f>IF(AND(LEN(BC328)=2,AC329&lt;$F$186+26/25),MID(INDEX($A$187:$B$211,MATCH("OBV",$A$187:$A$211,0),2),7+(3*SUM(COUNTIF($BC$207:BC328," N"),COUNTIF($BC$207:BC328,"HZ"),COUNTIF($BC$207:BC328,"BR"),COUNTIF($BC$207:BC328,"FG"),COUNTIF($BC$207:BC328,"BL"))),2),IF(AND(HOUR(AC329)=HOUR($F$186),DAY(AC329)=DAY($F$186)),MID(INDEX($A$187:$B$211,MATCH("OBV",$A$187:$A$211,0),2),7,2),""))</f>
        <v/>
      </c>
      <c r="BD329" s="112"/>
      <c r="BE329" s="112"/>
      <c r="BF329" s="112"/>
      <c r="BG329" s="1610" t="str">
        <f t="shared" si="200"/>
        <v/>
      </c>
      <c r="BH329" s="115" t="str">
        <f t="shared" si="182"/>
        <v/>
      </c>
      <c r="BI329" s="200" t="str">
        <f t="shared" si="155"/>
        <v/>
      </c>
      <c r="BJ329" s="62" t="str">
        <f t="shared" si="154"/>
        <v/>
      </c>
      <c r="BK329" s="1145" t="str">
        <f t="shared" si="198"/>
        <v/>
      </c>
      <c r="BL329" s="62" t="str">
        <f t="shared" si="156"/>
        <v/>
      </c>
      <c r="BM329" s="1145" t="str">
        <f t="shared" si="150"/>
        <v/>
      </c>
      <c r="BN329" s="1901" t="str">
        <f t="shared" si="199"/>
        <v/>
      </c>
      <c r="BO329" s="1144" t="str">
        <f t="shared" si="157"/>
        <v/>
      </c>
      <c r="BP329" s="106" t="str">
        <f t="shared" si="187"/>
        <v/>
      </c>
      <c r="BQ329" s="66" t="str">
        <f t="shared" si="158"/>
        <v/>
      </c>
      <c r="BR329" s="106" t="str">
        <f t="shared" si="159"/>
        <v/>
      </c>
      <c r="BS329" s="834" t="str">
        <f t="shared" si="176"/>
        <v/>
      </c>
      <c r="BT329" s="106" t="str">
        <f t="shared" si="160"/>
        <v/>
      </c>
      <c r="BU329" s="834" t="str">
        <f t="shared" si="145"/>
        <v/>
      </c>
      <c r="BV329" s="66" t="str">
        <f t="shared" si="183"/>
        <v/>
      </c>
      <c r="BW329" s="66" t="str">
        <f t="shared" si="184"/>
        <v/>
      </c>
      <c r="BX329" s="1198">
        <f t="shared" si="172"/>
        <v>7</v>
      </c>
      <c r="BY329" s="1146" t="str">
        <f t="shared" si="153"/>
        <v>NSW</v>
      </c>
      <c r="CA329" s="3675">
        <f t="shared" si="148"/>
        <v>44752.125</v>
      </c>
      <c r="CB329" s="3675"/>
    </row>
    <row r="330" spans="1:80">
      <c r="A330" s="978"/>
      <c r="AC330" s="977">
        <f t="shared" si="149"/>
        <v>44752.166666666664</v>
      </c>
      <c r="AE330" s="1149" t="str">
        <f>IF(AND(HOUR(AC330)=HOUR($F$186),DAY(AC330)=DAY($F$186)),(MID($B$189,6,3))*1,IF(AND(ISNUMBER(AE329),AC330&lt;$F$186+1+(1/25)),(MID($B$189,6+(3*COUNT($AE$207:AE329)),3))*1,""))</f>
        <v/>
      </c>
      <c r="AF330" s="1164" t="e">
        <f t="shared" si="168"/>
        <v>#VALUE!</v>
      </c>
      <c r="AG330" s="1150">
        <f t="shared" si="136"/>
        <v>70.399999999999991</v>
      </c>
      <c r="AH330" s="1163" t="str">
        <f>IF(AND(ISNUMBER(AH329),AC330&lt;$F$186+26/25),(MID($B$190,6+(3*COUNT($AH$207:AH329)),3))*1,IF(AND(HOUR(AC330)=HOUR($F$186),DAY(AC330)=DAY($F$186)),(MID($B$190,6,3))*1,""))</f>
        <v/>
      </c>
      <c r="AI330" s="200"/>
      <c r="AJ330" s="1164" t="e">
        <f t="shared" si="137"/>
        <v>#VALUE!</v>
      </c>
      <c r="AK330" s="1150">
        <f t="shared" si="138"/>
        <v>61.4</v>
      </c>
      <c r="AL330" s="1152" t="e">
        <f t="shared" si="169"/>
        <v>#VALUE!</v>
      </c>
      <c r="AM330" s="1153">
        <f t="shared" si="139"/>
        <v>30.05</v>
      </c>
      <c r="AN330" s="1147"/>
      <c r="AO330" s="976" t="str">
        <f>IF(BA330="Y",AP330,IF(AND(ISNUMBER(AO329),AC330&lt;$F$186+26/25),(MID(INDEX($A$187:$B$210,MATCH("CIG",$A$187:$A$210,0),2),8+(3*COUNT($AO$207:AO329)),1))*1,IF(AND(HOUR(AC330)=HOUR($F$186),DAY(AC330)=DAY($F$186)),(MID(INDEX($A$187:$B$210,MATCH("CIG",$A$187:$A$210,0),2),8,1))*1,"")))</f>
        <v/>
      </c>
      <c r="AQ330" s="1061" t="str">
        <f>IF(AND(AQ329&lt;&gt;"",AC330&lt;$F$186+26/25),MID(INDEX($A$187:$B$210,MATCH("CLD",$A$187:$A$210,0),2),7+(3*SUM(COUNTIF($AQ$207:AQ329,"OV"),COUNTIF($AQ$207:AQ329,"BK"),COUNTIF($AQ$207:AQ329,"SC"),COUNTIF($AQ$207:AQ329,"FW"),COUNTIF($AQ$207:AQ329,"CL"))),2),IF(AND(HOUR(AC330)=HOUR($F$186),DAY(AC330)=DAY($F$186)),MID(INDEX($A$187:$B$210,MATCH("CLD",$A$187:$A$210,0),2),7,2),""))</f>
        <v/>
      </c>
      <c r="AR330" s="1149" t="str">
        <f t="shared" si="178"/>
        <v/>
      </c>
      <c r="AS330" s="1150" t="str">
        <f t="shared" si="179"/>
        <v/>
      </c>
      <c r="AT330" s="112" t="str">
        <f t="shared" si="180"/>
        <v/>
      </c>
      <c r="AU330" s="1610" t="str">
        <f t="shared" si="181"/>
        <v/>
      </c>
      <c r="AV330" s="1148">
        <f t="shared" si="170"/>
        <v>40</v>
      </c>
      <c r="AW330" s="920" t="str">
        <f t="shared" si="173"/>
        <v>SCT</v>
      </c>
      <c r="AX330" s="1608">
        <f t="shared" si="171"/>
        <v>40</v>
      </c>
      <c r="AY330" s="112" t="str">
        <f>IF(BA330="Y",AZ330,IF(AND(ISNUMBER(AY329),AC330&lt;$F$186+26/25),(MID(INDEX($A$187:$B$210,MATCH("VIS",$A$187:$A$210,0),2),8+(3*COUNT($AY$207:AY329)),1))*1,IF(AND(HOUR(AC330)=HOUR($F$186),DAY(AC330)=DAY($F$186)),(MID(INDEX($A$187:$B$210,MATCH("VIS",$A$187:$A$210,0),2),8,1))*1,"")))</f>
        <v/>
      </c>
      <c r="AZ330" s="112" t="str">
        <f>IF(AND(ISNUMBER(AZ329),AC330&lt;$F$186+26/25),(MID(INDEX($A$187:$B$210,MATCH("CVS",$A$187:$A$210,0),2),8+(3*COUNT($AZ$207:AZ329)),1))*1,IF(AND(HOUR(AC330)=HOUR($F$186),DAY(AC330)=DAY($F$186)),(MID(INDEX($A$187:$B$210,MATCH("CVS",$A$187:$A$210,0),2),8,1))*1,""))</f>
        <v/>
      </c>
      <c r="BA330" s="1610" t="str">
        <f>IF(AND(BA329&lt;&gt;"",AC330&lt;$F$186+26/25),MID(INDEX($A$187:$B$210,MATCH("PCO",$A$187:$A$210,0),2),8+(3*SUM(COUNTIF($BA$207:BA329,"Y"),COUNTIF($BA$207:BA329,"N"))),1),IF(AND(HOUR(AC330)=HOUR($F$186),DAY(AC330)=DAY($F$186)),MID(INDEX($A$187:$B$210,MATCH("PCO",$A$187:$A$210,0),2),8,1),""))</f>
        <v/>
      </c>
      <c r="BB330" s="1610" t="e">
        <f>IF(AND(BB329&lt;&gt;"",AC330&lt;$F$186+26/25),MID(INDEX($A$187:$B$210,MATCH("TYP",$A$187:$A$210,0),2),8+(3*SUM(COUNTIF($BB$207:BB329,"S"),COUNTIF($BB$207:BB329,"Z"), COUNTIF($BB$207:BB329,"R"),COUNTIF($BB$207:BB329,"X"))),1),IF(AND(HOUR(AC330)=HOUR($F$186),DAY(AC330)=DAY($F$186)),MID(INDEX($A$187:$B$210,MATCH("TYP",$A$187:$A$210,0),2),8,1),""))</f>
        <v>#N/A</v>
      </c>
      <c r="BC330" s="112" t="str">
        <f>IF(AND(LEN(BC329)=2,AC330&lt;$F$186+26/25),MID(INDEX($A$187:$B$211,MATCH("OBV",$A$187:$A$211,0),2),7+(3*SUM(COUNTIF($BC$207:BC329," N"),COUNTIF($BC$207:BC329,"HZ"),COUNTIF($BC$207:BC329,"BR"),COUNTIF($BC$207:BC329,"FG"),COUNTIF($BC$207:BC329,"BL"))),2),IF(AND(HOUR(AC330)=HOUR($F$186),DAY(AC330)=DAY($F$186)),MID(INDEX($A$187:$B$211,MATCH("OBV",$A$187:$A$211,0),2),7,2),""))</f>
        <v/>
      </c>
      <c r="BD330" s="112"/>
      <c r="BE330" s="112"/>
      <c r="BF330" s="112"/>
      <c r="BG330" s="1610" t="str">
        <f t="shared" si="200"/>
        <v/>
      </c>
      <c r="BH330" s="115" t="str">
        <f t="shared" si="182"/>
        <v/>
      </c>
      <c r="BI330" s="200" t="str">
        <f t="shared" si="155"/>
        <v/>
      </c>
      <c r="BJ330" s="62" t="str">
        <f t="shared" si="154"/>
        <v/>
      </c>
      <c r="BK330" s="1145" t="str">
        <f t="shared" si="198"/>
        <v/>
      </c>
      <c r="BL330" s="62" t="str">
        <f t="shared" si="156"/>
        <v/>
      </c>
      <c r="BM330" s="1145" t="str">
        <f t="shared" si="150"/>
        <v/>
      </c>
      <c r="BN330" s="1901" t="str">
        <f t="shared" si="199"/>
        <v/>
      </c>
      <c r="BO330" s="1144" t="str">
        <f t="shared" si="157"/>
        <v/>
      </c>
      <c r="BP330" s="106" t="str">
        <f t="shared" si="187"/>
        <v/>
      </c>
      <c r="BQ330" s="66" t="str">
        <f t="shared" si="158"/>
        <v/>
      </c>
      <c r="BR330" s="106" t="str">
        <f t="shared" si="159"/>
        <v/>
      </c>
      <c r="BS330" s="834" t="str">
        <f t="shared" si="176"/>
        <v/>
      </c>
      <c r="BT330" s="106" t="str">
        <f t="shared" si="160"/>
        <v/>
      </c>
      <c r="BU330" s="834" t="str">
        <f t="shared" si="145"/>
        <v/>
      </c>
      <c r="BV330" s="66" t="str">
        <f t="shared" si="183"/>
        <v/>
      </c>
      <c r="BW330" s="66" t="str">
        <f t="shared" si="184"/>
        <v/>
      </c>
      <c r="BX330" s="1198">
        <f t="shared" si="172"/>
        <v>7</v>
      </c>
      <c r="BY330" s="1146" t="str">
        <f t="shared" si="153"/>
        <v>NSW</v>
      </c>
      <c r="CA330" s="3675">
        <f t="shared" si="148"/>
        <v>44752.166666666664</v>
      </c>
      <c r="CB330" s="3675"/>
    </row>
    <row r="331" spans="1:80">
      <c r="H331" s="1051">
        <v>0</v>
      </c>
      <c r="I331" s="1052" t="s">
        <v>2738</v>
      </c>
      <c r="J331" s="112"/>
      <c r="K331" s="1063" t="s">
        <v>2739</v>
      </c>
      <c r="L331" s="1064" t="s">
        <v>2738</v>
      </c>
      <c r="AC331" s="977">
        <f t="shared" si="149"/>
        <v>44752.208333333328</v>
      </c>
      <c r="AE331" s="1149" t="str">
        <f>IF(AND(HOUR(AC331)=HOUR($F$186),DAY(AC331)=DAY($F$186)),(MID($B$189,6,3))*1,IF(AND(ISNUMBER(AE330),AC331&lt;$F$186+1+(1/25)),(MID($B$189,6+(3*COUNT($AE$207:AE330)),3))*1,""))</f>
        <v/>
      </c>
      <c r="AF331" s="1164" t="e">
        <f t="shared" si="168"/>
        <v>#VALUE!</v>
      </c>
      <c r="AG331" s="1150">
        <f t="shared" si="136"/>
        <v>69.2</v>
      </c>
      <c r="AH331" s="1163" t="str">
        <f>IF(AND(ISNUMBER(AH330),AC331&lt;$F$186+26/25),(MID($B$190,6+(3*COUNT($AH$207:AH330)),3))*1,IF(AND(HOUR(AC331)=HOUR($F$186),DAY(AC331)=DAY($F$186)),(MID($B$190,6,3))*1,""))</f>
        <v/>
      </c>
      <c r="AI331" s="200"/>
      <c r="AJ331" s="1164" t="e">
        <f t="shared" si="137"/>
        <v>#VALUE!</v>
      </c>
      <c r="AK331" s="1150">
        <f t="shared" si="138"/>
        <v>60.2</v>
      </c>
      <c r="AL331" s="1152" t="e">
        <f t="shared" si="169"/>
        <v>#VALUE!</v>
      </c>
      <c r="AM331" s="1153">
        <f t="shared" si="139"/>
        <v>30.05</v>
      </c>
      <c r="AN331" s="1147"/>
      <c r="AO331" s="976" t="str">
        <f>IF(BA331="Y",AP331,IF(AND(ISNUMBER(AO330),AC331&lt;$F$186+26/25),(MID(INDEX($A$187:$B$210,MATCH("CIG",$A$187:$A$210,0),2),8+(3*COUNT($AO$207:AO330)),1))*1,IF(AND(HOUR(AC331)=HOUR($F$186),DAY(AC331)=DAY($F$186)),(MID(INDEX($A$187:$B$210,MATCH("CIG",$A$187:$A$210,0),2),8,1))*1,"")))</f>
        <v/>
      </c>
      <c r="AQ331" s="1061" t="str">
        <f>IF(AND(AQ330&lt;&gt;"",AC331&lt;$F$186+26/25),MID(INDEX($A$187:$B$210,MATCH("CLD",$A$187:$A$210,0),2),7+(3*SUM(COUNTIF($AQ$207:AQ330,"OV"),COUNTIF($AQ$207:AQ330,"BK"),COUNTIF($AQ$207:AQ330,"SC"),COUNTIF($AQ$207:AQ330,"FW"),COUNTIF($AQ$207:AQ330,"CL"))),2),IF(AND(HOUR(AC331)=HOUR($F$186),DAY(AC331)=DAY($F$186)),MID(INDEX($A$187:$B$210,MATCH("CLD",$A$187:$A$210,0),2),7,2),""))</f>
        <v/>
      </c>
      <c r="AR331" s="1149" t="str">
        <f t="shared" si="178"/>
        <v/>
      </c>
      <c r="AS331" s="1150" t="str">
        <f t="shared" si="179"/>
        <v/>
      </c>
      <c r="AT331" s="112" t="str">
        <f t="shared" si="180"/>
        <v/>
      </c>
      <c r="AU331" s="1610" t="str">
        <f t="shared" si="181"/>
        <v/>
      </c>
      <c r="AV331" s="1148">
        <f t="shared" si="170"/>
        <v>40</v>
      </c>
      <c r="AW331" s="920" t="str">
        <f t="shared" si="173"/>
        <v>SCT</v>
      </c>
      <c r="AX331" s="1608">
        <f t="shared" si="171"/>
        <v>40</v>
      </c>
      <c r="AY331" s="112" t="str">
        <f>IF(BA331="Y",AZ331,IF(AND(ISNUMBER(AY330),AC331&lt;$F$186+26/25),(MID(INDEX($A$187:$B$210,MATCH("VIS",$A$187:$A$210,0),2),8+(3*COUNT($AY$207:AY330)),1))*1,IF(AND(HOUR(AC331)=HOUR($F$186),DAY(AC331)=DAY($F$186)),(MID(INDEX($A$187:$B$210,MATCH("VIS",$A$187:$A$210,0),2),8,1))*1,"")))</f>
        <v/>
      </c>
      <c r="AZ331" s="112" t="str">
        <f>IF(AND(ISNUMBER(AZ330),AC331&lt;$F$186+26/25),(MID(INDEX($A$187:$B$210,MATCH("CVS",$A$187:$A$210,0),2),8+(3*COUNT($AZ$207:AZ330)),1))*1,IF(AND(HOUR(AC331)=HOUR($F$186),DAY(AC331)=DAY($F$186)),(MID(INDEX($A$187:$B$210,MATCH("CVS",$A$187:$A$210,0),2),8,1))*1,""))</f>
        <v/>
      </c>
      <c r="BA331" s="1610" t="str">
        <f>IF(AND(BA330&lt;&gt;"",AC331&lt;$F$186+26/25),MID(INDEX($A$187:$B$210,MATCH("PCO",$A$187:$A$210,0),2),8+(3*SUM(COUNTIF($BA$207:BA330,"Y"),COUNTIF($BA$207:BA330,"N"))),1),IF(AND(HOUR(AC331)=HOUR($F$186),DAY(AC331)=DAY($F$186)),MID(INDEX($A$187:$B$210,MATCH("PCO",$A$187:$A$210,0),2),8,1),""))</f>
        <v/>
      </c>
      <c r="BB331" s="1610" t="e">
        <f>IF(AND(BB330&lt;&gt;"",AC331&lt;$F$186+26/25),MID(INDEX($A$187:$B$210,MATCH("TYP",$A$187:$A$210,0),2),8+(3*SUM(COUNTIF($BB$207:BB330,"S"),COUNTIF($BB$207:BB330,"Z"), COUNTIF($BB$207:BB330,"R"),COUNTIF($BB$207:BB330,"X"))),1),IF(AND(HOUR(AC331)=HOUR($F$186),DAY(AC331)=DAY($F$186)),MID(INDEX($A$187:$B$210,MATCH("TYP",$A$187:$A$210,0),2),8,1),""))</f>
        <v>#N/A</v>
      </c>
      <c r="BC331" s="112" t="str">
        <f>IF(AND(LEN(BC330)=2,AC331&lt;$F$186+26/25),MID(INDEX($A$187:$B$211,MATCH("OBV",$A$187:$A$211,0),2),7+(3*SUM(COUNTIF($BC$207:BC330," N"),COUNTIF($BC$207:BC330,"HZ"),COUNTIF($BC$207:BC330,"BR"),COUNTIF($BC$207:BC330,"FG"),COUNTIF($BC$207:BC330,"BL"))),2),IF(AND(HOUR(AC331)=HOUR($F$186),DAY(AC331)=DAY($F$186)),MID(INDEX($A$187:$B$211,MATCH("OBV",$A$187:$A$211,0),2),7,2),""))</f>
        <v/>
      </c>
      <c r="BD331" s="112"/>
      <c r="BE331" s="112"/>
      <c r="BF331" s="112"/>
      <c r="BG331" s="1610" t="str">
        <f t="shared" si="200"/>
        <v/>
      </c>
      <c r="BH331" s="115" t="str">
        <f t="shared" si="182"/>
        <v/>
      </c>
      <c r="BI331" s="200" t="str">
        <f t="shared" si="155"/>
        <v/>
      </c>
      <c r="BJ331" s="62" t="str">
        <f t="shared" si="154"/>
        <v/>
      </c>
      <c r="BK331" s="1145" t="str">
        <f t="shared" si="198"/>
        <v/>
      </c>
      <c r="BL331" s="62" t="str">
        <f t="shared" si="156"/>
        <v/>
      </c>
      <c r="BM331" s="1145" t="str">
        <f t="shared" si="150"/>
        <v/>
      </c>
      <c r="BN331" s="1901" t="str">
        <f t="shared" si="199"/>
        <v/>
      </c>
      <c r="BO331" s="1144" t="str">
        <f t="shared" si="157"/>
        <v/>
      </c>
      <c r="BP331" s="106" t="str">
        <f t="shared" si="187"/>
        <v/>
      </c>
      <c r="BQ331" s="66" t="str">
        <f t="shared" si="158"/>
        <v/>
      </c>
      <c r="BR331" s="106" t="str">
        <f t="shared" si="159"/>
        <v/>
      </c>
      <c r="BS331" s="834" t="str">
        <f t="shared" si="176"/>
        <v/>
      </c>
      <c r="BT331" s="106" t="str">
        <f t="shared" si="160"/>
        <v/>
      </c>
      <c r="BU331" s="834" t="str">
        <f t="shared" si="145"/>
        <v/>
      </c>
      <c r="BV331" s="66" t="str">
        <f t="shared" si="183"/>
        <v/>
      </c>
      <c r="BW331" s="66" t="str">
        <f t="shared" si="184"/>
        <v/>
      </c>
      <c r="BX331" s="1198">
        <f t="shared" si="172"/>
        <v>7</v>
      </c>
      <c r="BY331" s="1146" t="str">
        <f t="shared" si="153"/>
        <v>NSW</v>
      </c>
      <c r="CA331" s="3675">
        <f t="shared" si="148"/>
        <v>44752.208333333328</v>
      </c>
      <c r="CB331" s="3675"/>
    </row>
    <row r="332" spans="1:80">
      <c r="H332" s="1053">
        <v>5</v>
      </c>
      <c r="I332" s="1054" t="s">
        <v>2738</v>
      </c>
      <c r="J332" s="106"/>
      <c r="K332" s="1065" t="s">
        <v>2740</v>
      </c>
      <c r="L332" s="1066" t="s">
        <v>343</v>
      </c>
      <c r="AC332" s="977">
        <f t="shared" si="149"/>
        <v>44752.25</v>
      </c>
      <c r="AE332" s="1149" t="str">
        <f>IF(AND(HOUR(AC332)=HOUR($F$186),DAY(AC332)=DAY($F$186)),(MID($B$189,6,3))*1,IF(AND(ISNUMBER(AE331),AC332&lt;$F$186+1+(1/25)),(MID($B$189,6+(3*COUNT($AE$207:AE331)),3))*1,""))</f>
        <v/>
      </c>
      <c r="AF332" s="1164" t="e">
        <f t="shared" si="168"/>
        <v>#VALUE!</v>
      </c>
      <c r="AG332" s="1150">
        <f t="shared" si="136"/>
        <v>68</v>
      </c>
      <c r="AH332" s="1163" t="str">
        <f>IF(AND(ISNUMBER(AH331),AC332&lt;$F$186+26/25),(MID($B$190,6+(3*COUNT($AH$207:AH331)),3))*1,IF(AND(HOUR(AC332)=HOUR($F$186),DAY(AC332)=DAY($F$186)),(MID($B$190,6,3))*1,""))</f>
        <v/>
      </c>
      <c r="AI332" s="200"/>
      <c r="AJ332" s="1164" t="e">
        <f t="shared" si="137"/>
        <v>#VALUE!</v>
      </c>
      <c r="AK332" s="1150">
        <f t="shared" si="138"/>
        <v>59</v>
      </c>
      <c r="AL332" s="1152" t="e">
        <f t="shared" si="169"/>
        <v>#VALUE!</v>
      </c>
      <c r="AM332" s="1153">
        <f t="shared" si="139"/>
        <v>30.05</v>
      </c>
      <c r="AN332" s="1147"/>
      <c r="AO332" s="976" t="str">
        <f>IF(BA332="Y",AP332,IF(AND(ISNUMBER(AO331),AC332&lt;$F$186+26/25),(MID(INDEX($A$187:$B$210,MATCH("CIG",$A$187:$A$210,0),2),8+(3*COUNT($AO$207:AO331)),1))*1,IF(AND(HOUR(AC332)=HOUR($F$186),DAY(AC332)=DAY($F$186)),(MID(INDEX($A$187:$B$210,MATCH("CIG",$A$187:$A$210,0),2),8,1))*1,"")))</f>
        <v/>
      </c>
      <c r="AQ332" s="1061" t="str">
        <f>IF(AND(AQ331&lt;&gt;"",AC332&lt;$F$186+26/25),MID(INDEX($A$187:$B$210,MATCH("CLD",$A$187:$A$210,0),2),7+(3*SUM(COUNTIF($AQ$207:AQ331,"OV"),COUNTIF($AQ$207:AQ331,"BK"),COUNTIF($AQ$207:AQ331,"SC"),COUNTIF($AQ$207:AQ331,"FW"),COUNTIF($AQ$207:AQ331,"CL"))),2),IF(AND(HOUR(AC332)=HOUR($F$186),DAY(AC332)=DAY($F$186)),MID(INDEX($A$187:$B$210,MATCH("CLD",$A$187:$A$210,0),2),7,2),""))</f>
        <v/>
      </c>
      <c r="AR332" s="1149" t="str">
        <f t="shared" si="178"/>
        <v/>
      </c>
      <c r="AS332" s="1150" t="str">
        <f t="shared" si="179"/>
        <v/>
      </c>
      <c r="AT332" s="112" t="str">
        <f t="shared" si="180"/>
        <v/>
      </c>
      <c r="AU332" s="1610" t="str">
        <f t="shared" si="181"/>
        <v/>
      </c>
      <c r="AV332" s="1148">
        <f t="shared" si="170"/>
        <v>40</v>
      </c>
      <c r="AW332" s="920" t="str">
        <f t="shared" si="173"/>
        <v>SCT</v>
      </c>
      <c r="AX332" s="1608">
        <f t="shared" si="171"/>
        <v>40</v>
      </c>
      <c r="AY332" s="112" t="str">
        <f>IF(BA332="Y",AZ332,IF(AND(ISNUMBER(AY331),AC332&lt;$F$186+26/25),(MID(INDEX($A$187:$B$210,MATCH("VIS",$A$187:$A$210,0),2),8+(3*COUNT($AY$207:AY331)),1))*1,IF(AND(HOUR(AC332)=HOUR($F$186),DAY(AC332)=DAY($F$186)),(MID(INDEX($A$187:$B$210,MATCH("VIS",$A$187:$A$210,0),2),8,1))*1,"")))</f>
        <v/>
      </c>
      <c r="AZ332" s="112" t="str">
        <f>IF(AND(ISNUMBER(AZ331),AC332&lt;$F$186+26/25),(MID(INDEX($A$187:$B$210,MATCH("CVS",$A$187:$A$210,0),2),8+(3*COUNT($AZ$207:AZ331)),1))*1,IF(AND(HOUR(AC332)=HOUR($F$186),DAY(AC332)=DAY($F$186)),(MID(INDEX($A$187:$B$210,MATCH("CVS",$A$187:$A$210,0),2),8,1))*1,""))</f>
        <v/>
      </c>
      <c r="BA332" s="1610" t="str">
        <f>IF(AND(BA331&lt;&gt;"",AC332&lt;$F$186+26/25),MID(INDEX($A$187:$B$210,MATCH("PCO",$A$187:$A$210,0),2),8+(3*SUM(COUNTIF($BA$207:BA331,"Y"),COUNTIF($BA$207:BA331,"N"))),1),IF(AND(HOUR(AC332)=HOUR($F$186),DAY(AC332)=DAY($F$186)),MID(INDEX($A$187:$B$210,MATCH("PCO",$A$187:$A$210,0),2),8,1),""))</f>
        <v/>
      </c>
      <c r="BB332" s="1610" t="e">
        <f>IF(AND(BB331&lt;&gt;"",AC332&lt;$F$186+26/25),MID(INDEX($A$187:$B$210,MATCH("TYP",$A$187:$A$210,0),2),8+(3*SUM(COUNTIF($BB$207:BB331,"S"),COUNTIF($BB$207:BB331,"Z"), COUNTIF($BB$207:BB331,"R"),COUNTIF($BB$207:BB331,"X"))),1),IF(AND(HOUR(AC332)=HOUR($F$186),DAY(AC332)=DAY($F$186)),MID(INDEX($A$187:$B$210,MATCH("TYP",$A$187:$A$210,0),2),8,1),""))</f>
        <v>#N/A</v>
      </c>
      <c r="BC332" s="112" t="str">
        <f>IF(AND(LEN(BC331)=2,AC332&lt;$F$186+26/25),MID(INDEX($A$187:$B$211,MATCH("OBV",$A$187:$A$211,0),2),7+(3*SUM(COUNTIF($BC$207:BC331," N"),COUNTIF($BC$207:BC331,"HZ"),COUNTIF($BC$207:BC331,"BR"),COUNTIF($BC$207:BC331,"FG"),COUNTIF($BC$207:BC331,"BL"))),2),IF(AND(HOUR(AC332)=HOUR($F$186),DAY(AC332)=DAY($F$186)),MID(INDEX($A$187:$B$211,MATCH("OBV",$A$187:$A$211,0),2),7,2),""))</f>
        <v/>
      </c>
      <c r="BD332" s="112"/>
      <c r="BE332" s="112"/>
      <c r="BF332" s="112"/>
      <c r="BG332" s="1610" t="str">
        <f t="shared" si="200"/>
        <v/>
      </c>
      <c r="BH332" s="115" t="str">
        <f t="shared" si="182"/>
        <v/>
      </c>
      <c r="BI332" s="200" t="str">
        <f t="shared" si="155"/>
        <v/>
      </c>
      <c r="BJ332" s="62" t="str">
        <f t="shared" si="154"/>
        <v/>
      </c>
      <c r="BK332" s="1145" t="str">
        <f t="shared" si="198"/>
        <v/>
      </c>
      <c r="BL332" s="62" t="str">
        <f t="shared" si="156"/>
        <v/>
      </c>
      <c r="BM332" s="1145" t="str">
        <f t="shared" si="150"/>
        <v/>
      </c>
      <c r="BN332" s="1901" t="str">
        <f t="shared" si="199"/>
        <v/>
      </c>
      <c r="BO332" s="1144" t="str">
        <f t="shared" si="157"/>
        <v/>
      </c>
      <c r="BP332" s="106" t="str">
        <f t="shared" si="187"/>
        <v/>
      </c>
      <c r="BQ332" s="66" t="str">
        <f t="shared" si="158"/>
        <v/>
      </c>
      <c r="BR332" s="106" t="str">
        <f t="shared" si="159"/>
        <v/>
      </c>
      <c r="BS332" s="834" t="str">
        <f t="shared" si="176"/>
        <v/>
      </c>
      <c r="BT332" s="106" t="str">
        <f t="shared" si="160"/>
        <v/>
      </c>
      <c r="BU332" s="834" t="str">
        <f t="shared" si="145"/>
        <v/>
      </c>
      <c r="BV332" s="66" t="str">
        <f t="shared" si="183"/>
        <v/>
      </c>
      <c r="BW332" s="66" t="str">
        <f t="shared" si="184"/>
        <v/>
      </c>
      <c r="BX332" s="1198">
        <f t="shared" si="172"/>
        <v>7</v>
      </c>
      <c r="BY332" s="1146" t="str">
        <f t="shared" si="153"/>
        <v>NSW</v>
      </c>
      <c r="CA332" s="3675">
        <f t="shared" si="148"/>
        <v>44752.25</v>
      </c>
      <c r="CB332" s="3675"/>
    </row>
    <row r="333" spans="1:80" ht="12.5">
      <c r="C333" s="377"/>
      <c r="D333" s="377"/>
      <c r="E333" s="377"/>
      <c r="F333" s="377"/>
      <c r="H333" s="1059">
        <v>6</v>
      </c>
      <c r="I333" s="1060" t="s">
        <v>343</v>
      </c>
      <c r="J333" s="459"/>
      <c r="K333" s="1067" t="s">
        <v>2741</v>
      </c>
      <c r="L333" s="1068" t="s">
        <v>464</v>
      </c>
      <c r="AC333" s="977">
        <f t="shared" si="149"/>
        <v>44752.291666666664</v>
      </c>
      <c r="AE333" s="1149" t="str">
        <f>IF(AND(HOUR(AC333)=HOUR($F$186),DAY(AC333)=DAY($F$186)),(MID($B$189,6,3))*1,IF(AND(ISNUMBER(AE332),AC333&lt;$F$186+1+(1/25)),(MID($B$189,6+(3*COUNT($AE$207:AE332)),3))*1,""))</f>
        <v/>
      </c>
      <c r="AF333" s="1164" t="e">
        <f t="shared" si="168"/>
        <v>#VALUE!</v>
      </c>
      <c r="AG333" s="1150">
        <f t="shared" si="136"/>
        <v>66.8</v>
      </c>
      <c r="AH333" s="1163" t="str">
        <f>IF(AND(ISNUMBER(AH332),AC333&lt;$F$186+26/25),(MID($B$190,6+(3*COUNT($AH$207:AH332)),3))*1,IF(AND(HOUR(AC333)=HOUR($F$186),DAY(AC333)=DAY($F$186)),(MID($B$190,6,3))*1,""))</f>
        <v/>
      </c>
      <c r="AI333" s="200"/>
      <c r="AJ333" s="1164" t="e">
        <f t="shared" si="137"/>
        <v>#VALUE!</v>
      </c>
      <c r="AK333" s="1150">
        <f t="shared" si="138"/>
        <v>58.4</v>
      </c>
      <c r="AL333" s="1152" t="e">
        <f t="shared" si="169"/>
        <v>#VALUE!</v>
      </c>
      <c r="AM333" s="1153">
        <f t="shared" si="139"/>
        <v>30.043333333333333</v>
      </c>
      <c r="AN333" s="1147"/>
      <c r="AO333" s="976" t="str">
        <f>IF(BA333="Y",AP333,IF(AND(ISNUMBER(AO332),AC333&lt;$F$186+26/25),(MID(INDEX($A$187:$B$210,MATCH("CIG",$A$187:$A$210,0),2),8+(3*COUNT($AO$207:AO332)),1))*1,IF(AND(HOUR(AC333)=HOUR($F$186),DAY(AC333)=DAY($F$186)),(MID(INDEX($A$187:$B$210,MATCH("CIG",$A$187:$A$210,0),2),8,1))*1,"")))</f>
        <v/>
      </c>
      <c r="AQ333" s="1061" t="str">
        <f>IF(AND(AQ332&lt;&gt;"",AC333&lt;$F$186+26/25),MID(INDEX($A$187:$B$210,MATCH("CLD",$A$187:$A$210,0),2),7+(3*SUM(COUNTIF($AQ$207:AQ332,"OV"),COUNTIF($AQ$207:AQ332,"BK"),COUNTIF($AQ$207:AQ332,"SC"),COUNTIF($AQ$207:AQ332,"FW"),COUNTIF($AQ$207:AQ332,"CL"))),2),IF(AND(HOUR(AC333)=HOUR($F$186),DAY(AC333)=DAY($F$186)),MID(INDEX($A$187:$B$210,MATCH("CLD",$A$187:$A$210,0),2),7,2),""))</f>
        <v/>
      </c>
      <c r="AR333" s="1149" t="str">
        <f t="shared" si="178"/>
        <v/>
      </c>
      <c r="AS333" s="1150" t="str">
        <f t="shared" si="179"/>
        <v/>
      </c>
      <c r="AT333" s="112" t="str">
        <f t="shared" si="180"/>
        <v/>
      </c>
      <c r="AU333" s="1610" t="str">
        <f t="shared" si="181"/>
        <v/>
      </c>
      <c r="AV333" s="1148">
        <f t="shared" si="170"/>
        <v>40</v>
      </c>
      <c r="AW333" s="920" t="str">
        <f t="shared" si="173"/>
        <v>SCT</v>
      </c>
      <c r="AX333" s="1608">
        <f t="shared" si="171"/>
        <v>40</v>
      </c>
      <c r="AY333" s="112" t="str">
        <f>IF(BA333="Y",AZ333,IF(AND(ISNUMBER(AY332),AC333&lt;$F$186+26/25),(MID(INDEX($A$187:$B$210,MATCH("VIS",$A$187:$A$210,0),2),8+(3*COUNT($AY$207:AY332)),1))*1,IF(AND(HOUR(AC333)=HOUR($F$186),DAY(AC333)=DAY($F$186)),(MID(INDEX($A$187:$B$210,MATCH("VIS",$A$187:$A$210,0),2),8,1))*1,"")))</f>
        <v/>
      </c>
      <c r="AZ333" s="112" t="str">
        <f>IF(AND(ISNUMBER(AZ332),AC333&lt;$F$186+26/25),(MID(INDEX($A$187:$B$210,MATCH("CVS",$A$187:$A$210,0),2),8+(3*COUNT($AZ$207:AZ332)),1))*1,IF(AND(HOUR(AC333)=HOUR($F$186),DAY(AC333)=DAY($F$186)),(MID(INDEX($A$187:$B$210,MATCH("CVS",$A$187:$A$210,0),2),8,1))*1,""))</f>
        <v/>
      </c>
      <c r="BA333" s="1610" t="str">
        <f>IF(AND(BA332&lt;&gt;"",AC333&lt;$F$186+26/25),MID(INDEX($A$187:$B$210,MATCH("PCO",$A$187:$A$210,0),2),8+(3*SUM(COUNTIF($BA$207:BA332,"Y"),COUNTIF($BA$207:BA332,"N"))),1),IF(AND(HOUR(AC333)=HOUR($F$186),DAY(AC333)=DAY($F$186)),MID(INDEX($A$187:$B$210,MATCH("PCO",$A$187:$A$210,0),2),8,1),""))</f>
        <v/>
      </c>
      <c r="BB333" s="1610" t="e">
        <f>IF(AND(BB332&lt;&gt;"",AC333&lt;$F$186+26/25),MID(INDEX($A$187:$B$210,MATCH("TYP",$A$187:$A$210,0),2),8+(3*SUM(COUNTIF($BB$207:BB332,"S"),COUNTIF($BB$207:BB332,"Z"), COUNTIF($BB$207:BB332,"R"),COUNTIF($BB$207:BB332,"X"))),1),IF(AND(HOUR(AC333)=HOUR($F$186),DAY(AC333)=DAY($F$186)),MID(INDEX($A$187:$B$210,MATCH("TYP",$A$187:$A$210,0),2),8,1),""))</f>
        <v>#N/A</v>
      </c>
      <c r="BC333" s="112" t="str">
        <f>IF(AND(LEN(BC332)=2,AC333&lt;$F$186+26/25),MID(INDEX($A$187:$B$211,MATCH("OBV",$A$187:$A$211,0),2),7+(3*SUM(COUNTIF($BC$207:BC332," N"),COUNTIF($BC$207:BC332,"HZ"),COUNTIF($BC$207:BC332,"BR"),COUNTIF($BC$207:BC332,"FG"),COUNTIF($BC$207:BC332,"BL"))),2),IF(AND(HOUR(AC333)=HOUR($F$186),DAY(AC333)=DAY($F$186)),MID(INDEX($A$187:$B$211,MATCH("OBV",$A$187:$A$211,0),2),7,2),""))</f>
        <v/>
      </c>
      <c r="BD333" s="112"/>
      <c r="BE333" s="112"/>
      <c r="BF333" s="112"/>
      <c r="BG333" s="1610" t="str">
        <f t="shared" si="200"/>
        <v/>
      </c>
      <c r="BH333" s="115" t="str">
        <f t="shared" si="182"/>
        <v/>
      </c>
      <c r="BI333" s="200" t="str">
        <f t="shared" si="155"/>
        <v/>
      </c>
      <c r="BJ333" s="62" t="str">
        <f t="shared" si="154"/>
        <v/>
      </c>
      <c r="BK333" s="1145" t="str">
        <f t="shared" si="198"/>
        <v/>
      </c>
      <c r="BL333" s="62" t="str">
        <f t="shared" si="156"/>
        <v/>
      </c>
      <c r="BM333" s="1145" t="str">
        <f t="shared" si="150"/>
        <v/>
      </c>
      <c r="BN333" s="1901" t="str">
        <f t="shared" si="199"/>
        <v/>
      </c>
      <c r="BO333" s="1144" t="str">
        <f t="shared" si="157"/>
        <v/>
      </c>
      <c r="BP333" s="106" t="str">
        <f t="shared" si="187"/>
        <v/>
      </c>
      <c r="BQ333" s="66" t="str">
        <f t="shared" si="158"/>
        <v/>
      </c>
      <c r="BR333" s="106" t="str">
        <f t="shared" si="159"/>
        <v/>
      </c>
      <c r="BS333" s="834" t="str">
        <f t="shared" si="176"/>
        <v/>
      </c>
      <c r="BT333" s="106" t="str">
        <f t="shared" si="160"/>
        <v/>
      </c>
      <c r="BU333" s="834" t="str">
        <f t="shared" si="145"/>
        <v/>
      </c>
      <c r="BV333" s="66" t="str">
        <f t="shared" si="183"/>
        <v/>
      </c>
      <c r="BW333" s="66" t="str">
        <f t="shared" si="184"/>
        <v/>
      </c>
      <c r="BX333" s="1198">
        <f t="shared" si="172"/>
        <v>7</v>
      </c>
      <c r="BY333" s="1146" t="str">
        <f t="shared" si="153"/>
        <v>NSW</v>
      </c>
      <c r="CA333" s="3675">
        <f t="shared" si="148"/>
        <v>44752.291666666664</v>
      </c>
      <c r="CB333" s="3675"/>
    </row>
    <row r="334" spans="1:80" ht="12.5">
      <c r="C334" s="377"/>
      <c r="D334" s="377"/>
      <c r="E334" s="377"/>
      <c r="F334" s="377"/>
      <c r="H334" s="1053">
        <v>24</v>
      </c>
      <c r="I334" s="1054" t="s">
        <v>343</v>
      </c>
      <c r="J334" s="459"/>
      <c r="K334" s="1067" t="s">
        <v>2742</v>
      </c>
      <c r="L334" s="1068" t="s">
        <v>342</v>
      </c>
      <c r="AC334" s="977">
        <f t="shared" si="149"/>
        <v>44752.333333333328</v>
      </c>
      <c r="AE334" s="1149" t="str">
        <f>IF(AND(HOUR(AC334)=HOUR($F$186),DAY(AC334)=DAY($F$186)),(MID($B$189,6,3))*1,IF(AND(ISNUMBER(AE333),AC334&lt;$F$186+1+(1/25)),(MID($B$189,6+(3*COUNT($AE$207:AE333)),3))*1,""))</f>
        <v/>
      </c>
      <c r="AF334" s="1164" t="e">
        <f t="shared" si="168"/>
        <v>#VALUE!</v>
      </c>
      <c r="AG334" s="1150">
        <f t="shared" si="136"/>
        <v>65.600000000000009</v>
      </c>
      <c r="AH334" s="1163" t="str">
        <f>IF(AND(ISNUMBER(AH333),AC334&lt;$F$186+26/25),(MID($B$190,6+(3*COUNT($AH$207:AH333)),3))*1,IF(AND(HOUR(AC334)=HOUR($F$186),DAY(AC334)=DAY($F$186)),(MID($B$190,6,3))*1,""))</f>
        <v/>
      </c>
      <c r="AI334" s="200"/>
      <c r="AJ334" s="1164" t="e">
        <f t="shared" si="137"/>
        <v>#VALUE!</v>
      </c>
      <c r="AK334" s="1150">
        <f t="shared" si="138"/>
        <v>57.800000000000004</v>
      </c>
      <c r="AL334" s="1152" t="e">
        <f t="shared" si="169"/>
        <v>#VALUE!</v>
      </c>
      <c r="AM334" s="1153">
        <f t="shared" si="139"/>
        <v>30.036666666666669</v>
      </c>
      <c r="AN334" s="1147"/>
      <c r="AO334" s="976" t="str">
        <f>IF(BA334="Y",AP334,IF(AND(ISNUMBER(AO333),AC334&lt;$F$186+26/25),(MID(INDEX($A$187:$B$210,MATCH("CIG",$A$187:$A$210,0),2),8+(3*COUNT($AO$207:AO333)),1))*1,IF(AND(HOUR(AC334)=HOUR($F$186),DAY(AC334)=DAY($F$186)),(MID(INDEX($A$187:$B$210,MATCH("CIG",$A$187:$A$210,0),2),8,1))*1,"")))</f>
        <v/>
      </c>
      <c r="AQ334" s="1061" t="str">
        <f>IF(AND(AQ333&lt;&gt;"",AC334&lt;$F$186+26/25),MID(INDEX($A$187:$B$210,MATCH("CLD",$A$187:$A$210,0),2),7+(3*SUM(COUNTIF($AQ$207:AQ333,"OV"),COUNTIF($AQ$207:AQ333,"BK"),COUNTIF($AQ$207:AQ333,"SC"),COUNTIF($AQ$207:AQ333,"FW"),COUNTIF($AQ$207:AQ333,"CL"))),2),IF(AND(HOUR(AC334)=HOUR($F$186),DAY(AC334)=DAY($F$186)),MID(INDEX($A$187:$B$210,MATCH("CLD",$A$187:$A$210,0),2),7,2),""))</f>
        <v/>
      </c>
      <c r="AR334" s="1149" t="str">
        <f t="shared" si="178"/>
        <v/>
      </c>
      <c r="AS334" s="1150" t="str">
        <f t="shared" si="179"/>
        <v/>
      </c>
      <c r="AT334" s="112" t="str">
        <f t="shared" si="180"/>
        <v/>
      </c>
      <c r="AU334" s="1610" t="str">
        <f t="shared" si="181"/>
        <v/>
      </c>
      <c r="AV334" s="1148">
        <f t="shared" si="170"/>
        <v>40</v>
      </c>
      <c r="AW334" s="920" t="str">
        <f t="shared" si="173"/>
        <v>SCT</v>
      </c>
      <c r="AX334" s="1608">
        <f t="shared" si="171"/>
        <v>40</v>
      </c>
      <c r="AY334" s="112" t="str">
        <f>IF(BA334="Y",AZ334,IF(AND(ISNUMBER(AY333),AC334&lt;$F$186+26/25),(MID(INDEX($A$187:$B$210,MATCH("VIS",$A$187:$A$210,0),2),8+(3*COUNT($AY$207:AY333)),1))*1,IF(AND(HOUR(AC334)=HOUR($F$186),DAY(AC334)=DAY($F$186)),(MID(INDEX($A$187:$B$210,MATCH("VIS",$A$187:$A$210,0),2),8,1))*1,"")))</f>
        <v/>
      </c>
      <c r="AZ334" s="112" t="str">
        <f>IF(AND(ISNUMBER(AZ333),AC334&lt;$F$186+26/25),(MID(INDEX($A$187:$B$210,MATCH("CVS",$A$187:$A$210,0),2),8+(3*COUNT($AZ$207:AZ333)),1))*1,IF(AND(HOUR(AC334)=HOUR($F$186),DAY(AC334)=DAY($F$186)),(MID(INDEX($A$187:$B$210,MATCH("CVS",$A$187:$A$210,0),2),8,1))*1,""))</f>
        <v/>
      </c>
      <c r="BA334" s="1610" t="str">
        <f>IF(AND(BA333&lt;&gt;"",AC334&lt;$F$186+26/25),MID(INDEX($A$187:$B$210,MATCH("PCO",$A$187:$A$210,0),2),8+(3*SUM(COUNTIF($BA$207:BA333,"Y"),COUNTIF($BA$207:BA333,"N"))),1),IF(AND(HOUR(AC334)=HOUR($F$186),DAY(AC334)=DAY($F$186)),MID(INDEX($A$187:$B$210,MATCH("PCO",$A$187:$A$210,0),2),8,1),""))</f>
        <v/>
      </c>
      <c r="BB334" s="1610" t="e">
        <f>IF(AND(BB333&lt;&gt;"",AC334&lt;$F$186+26/25),MID(INDEX($A$187:$B$210,MATCH("TYP",$A$187:$A$210,0),2),8+(3*SUM(COUNTIF($BB$207:BB333,"S"),COUNTIF($BB$207:BB333,"Z"), COUNTIF($BB$207:BB333,"R"),COUNTIF($BB$207:BB333,"X"))),1),IF(AND(HOUR(AC334)=HOUR($F$186),DAY(AC334)=DAY($F$186)),MID(INDEX($A$187:$B$210,MATCH("TYP",$A$187:$A$210,0),2),8,1),""))</f>
        <v>#N/A</v>
      </c>
      <c r="BC334" s="112" t="str">
        <f>IF(AND(LEN(BC333)=2,AC334&lt;$F$186+26/25),MID(INDEX($A$187:$B$211,MATCH("OBV",$A$187:$A$211,0),2),7+(3*SUM(COUNTIF($BC$207:BC333," N"),COUNTIF($BC$207:BC333,"HZ"),COUNTIF($BC$207:BC333,"BR"),COUNTIF($BC$207:BC333,"FG"),COUNTIF($BC$207:BC333,"BL"))),2),IF(AND(HOUR(AC334)=HOUR($F$186),DAY(AC334)=DAY($F$186)),MID(INDEX($A$187:$B$211,MATCH("OBV",$A$187:$A$211,0),2),7,2),""))</f>
        <v/>
      </c>
      <c r="BD334" s="112"/>
      <c r="BE334" s="112"/>
      <c r="BF334" s="112"/>
      <c r="BG334" s="1610" t="str">
        <f t="shared" si="200"/>
        <v/>
      </c>
      <c r="BH334" s="115" t="str">
        <f t="shared" si="182"/>
        <v/>
      </c>
      <c r="BI334" s="200" t="str">
        <f t="shared" si="155"/>
        <v/>
      </c>
      <c r="BJ334" s="62" t="str">
        <f t="shared" si="154"/>
        <v/>
      </c>
      <c r="BK334" s="1145" t="str">
        <f t="shared" si="198"/>
        <v/>
      </c>
      <c r="BL334" s="62" t="str">
        <f t="shared" si="156"/>
        <v/>
      </c>
      <c r="BM334" s="1145" t="str">
        <f t="shared" si="150"/>
        <v/>
      </c>
      <c r="BN334" s="1901" t="str">
        <f t="shared" si="199"/>
        <v/>
      </c>
      <c r="BO334" s="1144" t="str">
        <f t="shared" si="157"/>
        <v/>
      </c>
      <c r="BP334" s="106" t="str">
        <f t="shared" si="187"/>
        <v/>
      </c>
      <c r="BQ334" s="66" t="str">
        <f t="shared" si="158"/>
        <v/>
      </c>
      <c r="BR334" s="106" t="str">
        <f t="shared" si="159"/>
        <v/>
      </c>
      <c r="BS334" s="834" t="str">
        <f t="shared" si="176"/>
        <v/>
      </c>
      <c r="BT334" s="106" t="str">
        <f t="shared" si="160"/>
        <v/>
      </c>
      <c r="BU334" s="834" t="str">
        <f t="shared" si="145"/>
        <v/>
      </c>
      <c r="BV334" s="66" t="str">
        <f t="shared" si="183"/>
        <v/>
      </c>
      <c r="BW334" s="66" t="str">
        <f t="shared" si="184"/>
        <v/>
      </c>
      <c r="BX334" s="1198">
        <f t="shared" si="172"/>
        <v>7</v>
      </c>
      <c r="BY334" s="1146" t="str">
        <f t="shared" si="153"/>
        <v>NSW</v>
      </c>
      <c r="CA334" s="3675">
        <f t="shared" si="148"/>
        <v>44752.333333333328</v>
      </c>
      <c r="CB334" s="3675"/>
    </row>
    <row r="335" spans="1:80">
      <c r="H335" s="1055">
        <v>25</v>
      </c>
      <c r="I335" s="1056" t="s">
        <v>464</v>
      </c>
      <c r="J335" s="106"/>
      <c r="K335" s="1069" t="s">
        <v>2743</v>
      </c>
      <c r="L335" s="1070" t="s">
        <v>482</v>
      </c>
      <c r="AC335" s="977">
        <f t="shared" si="149"/>
        <v>44752.375</v>
      </c>
      <c r="AE335" s="1149" t="str">
        <f>IF(AND(HOUR(AC335)=HOUR($F$186),DAY(AC335)=DAY($F$186)),(MID($B$189,6,3))*1,IF(AND(ISNUMBER(AE334),AC335&lt;$F$186+1+(1/25)),(MID($B$189,6+(3*COUNT($AE$207:AE334)),3))*1,""))</f>
        <v/>
      </c>
      <c r="AF335" s="1164" t="e">
        <f t="shared" si="168"/>
        <v>#VALUE!</v>
      </c>
      <c r="AG335" s="1150">
        <f t="shared" si="136"/>
        <v>64.400000000000006</v>
      </c>
      <c r="AH335" s="1163" t="str">
        <f>IF(AND(ISNUMBER(AH334),AC335&lt;$F$186+26/25),(MID($B$190,6+(3*COUNT($AH$207:AH334)),3))*1,IF(AND(HOUR(AC335)=HOUR($F$186),DAY(AC335)=DAY($F$186)),(MID($B$190,6,3))*1,""))</f>
        <v/>
      </c>
      <c r="AI335" s="200"/>
      <c r="AJ335" s="1164" t="e">
        <f t="shared" si="137"/>
        <v>#VALUE!</v>
      </c>
      <c r="AK335" s="1150">
        <f t="shared" si="138"/>
        <v>57.2</v>
      </c>
      <c r="AL335" s="1152" t="e">
        <f t="shared" si="169"/>
        <v>#VALUE!</v>
      </c>
      <c r="AM335" s="1153">
        <f t="shared" si="139"/>
        <v>30.03</v>
      </c>
      <c r="AN335" s="1147"/>
      <c r="AO335" s="976" t="str">
        <f>IF(BA335="Y",AP335,IF(AND(ISNUMBER(AO334),AC335&lt;$F$186+26/25),(MID(INDEX($A$187:$B$210,MATCH("CIG",$A$187:$A$210,0),2),8+(3*COUNT($AO$207:AO334)),1))*1,IF(AND(HOUR(AC335)=HOUR($F$186),DAY(AC335)=DAY($F$186)),(MID(INDEX($A$187:$B$210,MATCH("CIG",$A$187:$A$210,0),2),8,1))*1,"")))</f>
        <v/>
      </c>
      <c r="AQ335" s="1061" t="str">
        <f>IF(AND(AQ334&lt;&gt;"",AC335&lt;$F$186+26/25),MID(INDEX($A$187:$B$210,MATCH("CLD",$A$187:$A$210,0),2),7+(3*SUM(COUNTIF($AQ$207:AQ334,"OV"),COUNTIF($AQ$207:AQ334,"BK"),COUNTIF($AQ$207:AQ334,"SC"),COUNTIF($AQ$207:AQ334,"FW"),COUNTIF($AQ$207:AQ334,"CL"))),2),IF(AND(HOUR(AC335)=HOUR($F$186),DAY(AC335)=DAY($F$186)),MID(INDEX($A$187:$B$210,MATCH("CLD",$A$187:$A$210,0),2),7,2),""))</f>
        <v/>
      </c>
      <c r="AR335" s="1149" t="str">
        <f t="shared" si="178"/>
        <v/>
      </c>
      <c r="AS335" s="1150" t="str">
        <f t="shared" si="179"/>
        <v/>
      </c>
      <c r="AT335" s="112" t="str">
        <f t="shared" si="180"/>
        <v/>
      </c>
      <c r="AU335" s="1610" t="str">
        <f t="shared" si="181"/>
        <v/>
      </c>
      <c r="AV335" s="1148">
        <f t="shared" si="170"/>
        <v>40</v>
      </c>
      <c r="AW335" s="920" t="str">
        <f t="shared" si="173"/>
        <v>SCT</v>
      </c>
      <c r="AX335" s="1608">
        <f t="shared" si="171"/>
        <v>40</v>
      </c>
      <c r="AY335" s="112" t="str">
        <f>IF(BA335="Y",AZ335,IF(AND(ISNUMBER(AY334),AC335&lt;$F$186+26/25),(MID(INDEX($A$187:$B$210,MATCH("VIS",$A$187:$A$210,0),2),8+(3*COUNT($AY$207:AY334)),1))*1,IF(AND(HOUR(AC335)=HOUR($F$186),DAY(AC335)=DAY($F$186)),(MID(INDEX($A$187:$B$210,MATCH("VIS",$A$187:$A$210,0),2),8,1))*1,"")))</f>
        <v/>
      </c>
      <c r="AZ335" s="112" t="str">
        <f>IF(AND(ISNUMBER(AZ334),AC335&lt;$F$186+26/25),(MID(INDEX($A$187:$B$210,MATCH("CVS",$A$187:$A$210,0),2),8+(3*COUNT($AZ$207:AZ334)),1))*1,IF(AND(HOUR(AC335)=HOUR($F$186),DAY(AC335)=DAY($F$186)),(MID(INDEX($A$187:$B$210,MATCH("CVS",$A$187:$A$210,0),2),8,1))*1,""))</f>
        <v/>
      </c>
      <c r="BA335" s="1610" t="str">
        <f>IF(AND(BA334&lt;&gt;"",AC335&lt;$F$186+26/25),MID(INDEX($A$187:$B$210,MATCH("PCO",$A$187:$A$210,0),2),8+(3*SUM(COUNTIF($BA$207:BA334,"Y"),COUNTIF($BA$207:BA334,"N"))),1),IF(AND(HOUR(AC335)=HOUR($F$186),DAY(AC335)=DAY($F$186)),MID(INDEX($A$187:$B$210,MATCH("PCO",$A$187:$A$210,0),2),8,1),""))</f>
        <v/>
      </c>
      <c r="BB335" s="1610" t="e">
        <f>IF(AND(BB334&lt;&gt;"",AC335&lt;$F$186+26/25),MID(INDEX($A$187:$B$210,MATCH("TYP",$A$187:$A$210,0),2),8+(3*SUM(COUNTIF($BB$207:BB334,"S"),COUNTIF($BB$207:BB334,"Z"), COUNTIF($BB$207:BB334,"R"),COUNTIF($BB$207:BB334,"X"))),1),IF(AND(HOUR(AC335)=HOUR($F$186),DAY(AC335)=DAY($F$186)),MID(INDEX($A$187:$B$210,MATCH("TYP",$A$187:$A$210,0),2),8,1),""))</f>
        <v>#N/A</v>
      </c>
      <c r="BC335" s="112" t="str">
        <f>IF(AND(LEN(BC334)=2,AC335&lt;$F$186+26/25),MID(INDEX($A$187:$B$211,MATCH("OBV",$A$187:$A$211,0),2),7+(3*SUM(COUNTIF($BC$207:BC334," N"),COUNTIF($BC$207:BC334,"HZ"),COUNTIF($BC$207:BC334,"BR"),COUNTIF($BC$207:BC334,"FG"),COUNTIF($BC$207:BC334,"BL"))),2),IF(AND(HOUR(AC335)=HOUR($F$186),DAY(AC335)=DAY($F$186)),MID(INDEX($A$187:$B$211,MATCH("OBV",$A$187:$A$211,0),2),7,2),""))</f>
        <v/>
      </c>
      <c r="BD335" s="112"/>
      <c r="BE335" s="112"/>
      <c r="BF335" s="112"/>
      <c r="BG335" s="1610" t="str">
        <f t="shared" si="200"/>
        <v/>
      </c>
      <c r="BH335" s="115" t="str">
        <f t="shared" si="182"/>
        <v/>
      </c>
      <c r="BI335" s="200" t="str">
        <f t="shared" si="155"/>
        <v/>
      </c>
      <c r="BJ335" s="62" t="str">
        <f t="shared" si="154"/>
        <v/>
      </c>
      <c r="BK335" s="1145" t="str">
        <f t="shared" si="198"/>
        <v/>
      </c>
      <c r="BL335" s="62" t="str">
        <f t="shared" si="156"/>
        <v/>
      </c>
      <c r="BM335" s="1145" t="str">
        <f t="shared" si="150"/>
        <v/>
      </c>
      <c r="BN335" s="1901" t="str">
        <f t="shared" si="199"/>
        <v/>
      </c>
      <c r="BO335" s="1144" t="str">
        <f t="shared" si="157"/>
        <v/>
      </c>
      <c r="BP335" s="106" t="str">
        <f t="shared" si="187"/>
        <v/>
      </c>
      <c r="BQ335" s="66" t="str">
        <f t="shared" si="158"/>
        <v/>
      </c>
      <c r="BR335" s="106" t="str">
        <f t="shared" si="159"/>
        <v/>
      </c>
      <c r="BS335" s="834" t="str">
        <f t="shared" ref="BS335:BS343" si="202">IF(COUNT(BR335:BR340)&gt;0,IF(MOD(HOUR(AC335),6)=0,AVERAGE(MAX(BR335:BR341),MIN(BR335:BR341)),IF(MOD(HOUR(AC335),3)=0,MAX(BR336:BR341),IF(MOD(HOUR(AC334),3)=0,BS334,BS336))),"")</f>
        <v/>
      </c>
      <c r="BT335" s="106" t="str">
        <f t="shared" si="160"/>
        <v/>
      </c>
      <c r="BU335" s="834" t="str">
        <f t="shared" si="145"/>
        <v/>
      </c>
      <c r="BV335" s="66" t="str">
        <f t="shared" si="183"/>
        <v/>
      </c>
      <c r="BW335" s="66" t="str">
        <f t="shared" si="184"/>
        <v/>
      </c>
      <c r="BX335" s="1198">
        <f t="shared" si="172"/>
        <v>7</v>
      </c>
      <c r="BY335" s="1146" t="str">
        <f t="shared" si="153"/>
        <v>NSW</v>
      </c>
      <c r="CA335" s="3675">
        <f t="shared" si="148"/>
        <v>44752.375</v>
      </c>
      <c r="CB335" s="3675"/>
    </row>
    <row r="336" spans="1:80">
      <c r="H336" s="1055">
        <v>50</v>
      </c>
      <c r="I336" s="1056" t="s">
        <v>464</v>
      </c>
      <c r="J336" s="106"/>
      <c r="K336" s="62"/>
      <c r="L336" s="62"/>
      <c r="AC336" s="977">
        <f t="shared" si="149"/>
        <v>44752.416666666664</v>
      </c>
      <c r="AE336" s="1149" t="str">
        <f>IF(AND(HOUR(AC336)=HOUR($F$186),DAY(AC336)=DAY($F$186)),(MID($B$189,6,3))*1,IF(AND(ISNUMBER(AE335),AC336&lt;$F$186+1+(1/25)),(MID($B$189,6+(3*COUNT($AE$207:AE335)),3))*1,""))</f>
        <v/>
      </c>
      <c r="AF336" s="1164" t="e">
        <f t="shared" si="168"/>
        <v>#VALUE!</v>
      </c>
      <c r="AG336" s="1150">
        <f t="shared" ref="AG336:AG389" si="203">IF(OR(AC336&lt;($B$237-0.001),AC336&gt;(MAX($B$241:$B$321)+0.001)),"",IF(OR(ISNUMBER(MATCH(AC336,$W$241:$W$321,0)),MOD(HOUR(AC336),3)=0),LOOKUP(AC336,$B$241:$B$321,$Y$241:$Y$321),IF(MOD(HOUR(AC336),3)=1,(AG338-AG335)/3+AG335,(2*(AG337-AG334)/3)+AG334)))</f>
        <v>63.800000000000004</v>
      </c>
      <c r="AH336" s="1163" t="str">
        <f>IF(AND(ISNUMBER(AH335),AC336&lt;$F$186+26/25),(MID($B$190,6+(3*COUNT($AH$207:AH335)),3))*1,IF(AND(HOUR(AC336)=HOUR($F$186),DAY(AC336)=DAY($F$186)),(MID($B$190,6,3))*1,""))</f>
        <v/>
      </c>
      <c r="AI336" s="200"/>
      <c r="AJ336" s="1164" t="e">
        <f t="shared" ref="AJ336:AJ389" si="204">IF(AC336&lt;($AE$197-0.001),"",IF(MOD(HOUR(AC336),3)=0,(MID($B$220,3+ROUND((9*((AC336-$AE$197)*8)),1),6)*1)*1.8-459.67,IF(MOD(HOUR(AC336),3)=1,(AJ338-AJ335)/3+AJ335,(2*(AJ337-AJ334)/3)+AJ334)))</f>
        <v>#VALUE!</v>
      </c>
      <c r="AK336" s="1150">
        <f t="shared" ref="AK336:AK389" si="205">IF(OR(AC336&lt;($B$237-0.001),AC336&gt;(MAX($B$241:$B$321)+0.001)),"",IF(OR(ISNUMBER(MATCH(AC336,$W$241:$W$321,0)),MOD(HOUR(AC336),3)=0),LOOKUP(AC336,$B$241:$B$321,$Z$241:$Z$321),IF(MOD(HOUR(AC336),3)=1,(AK338-AK335)/3+AK335,(2*(AK337-AK334)/3)+AK334)))</f>
        <v>56.6</v>
      </c>
      <c r="AL336" s="1152" t="e">
        <f t="shared" si="169"/>
        <v>#VALUE!</v>
      </c>
      <c r="AM336" s="1153">
        <f t="shared" ref="AM336:AM389" si="206">IF(OR(AC336&lt;($B$237-0.001),AC336&gt;(MAX($B$241:$B$321)+0.001)),"",IF(OR(ISNUMBER(MATCH(AC336,$W$241:$W$321,0)),MOD(HOUR(AC336),3)=0),LOOKUP(AC336,$B$241:$B$321,$C$241:$C$321),IF(MOD(HOUR(AC336),3)=1,(AM338-AM335)/3+AM335,(2*(AM337-AM334)/3)+AM334)))</f>
        <v>30.046666666666667</v>
      </c>
      <c r="AN336" s="1147"/>
      <c r="AO336" s="976" t="str">
        <f>IF(BA336="Y",AP336,IF(AND(ISNUMBER(AO335),AC336&lt;$F$186+26/25),(MID(INDEX($A$187:$B$210,MATCH("CIG",$A$187:$A$210,0),2),8+(3*COUNT($AO$207:AO335)),1))*1,IF(AND(HOUR(AC336)=HOUR($F$186),DAY(AC336)=DAY($F$186)),(MID(INDEX($A$187:$B$210,MATCH("CIG",$A$187:$A$210,0),2),8,1))*1,"")))</f>
        <v/>
      </c>
      <c r="AQ336" s="1061" t="str">
        <f>IF(AND(AQ335&lt;&gt;"",AC336&lt;$F$186+26/25),MID(INDEX($A$187:$B$210,MATCH("CLD",$A$187:$A$210,0),2),7+(3*SUM(COUNTIF($AQ$207:AQ335,"OV"),COUNTIF($AQ$207:AQ335,"BK"),COUNTIF($AQ$207:AQ335,"SC"),COUNTIF($AQ$207:AQ335,"FW"),COUNTIF($AQ$207:AQ335,"CL"))),2),IF(AND(HOUR(AC336)=HOUR($F$186),DAY(AC336)=DAY($F$186)),MID(INDEX($A$187:$B$210,MATCH("CLD",$A$187:$A$210,0),2),7,2),""))</f>
        <v/>
      </c>
      <c r="AR336" s="1149" t="str">
        <f t="shared" ref="AR336:AR367" si="207">IF(OR(AC336&lt;($F$373-0.001),AC336&gt;($F$374+0.001)),"",IF(AC336-$F$373&lt;2.24,IF(MOD(HOUR(AC336),3)=0,(MID(INDEX($A$369:$B$392,MATCH("CIG",$A$369:$A$392,0),2),8+(3*(AC336-$F$373)*8),1))*1,IF(MOD(HOUR(AC335),3)=0,AR335,AR337)),IF(MOD(HOUR(AC336),6)=0,(MID(INDEX($A$369:$B$392,MATCH("CIG",$A$369:$A$392,0),2),62+(3*(ROUND(((AC336-$F$373)-2.25)*4,1))),1))*1,"")))</f>
        <v/>
      </c>
      <c r="AS336" s="1150" t="str">
        <f t="shared" ref="AS336:AS367" si="208">IF(OR(AC336&lt;($F$373-0.001),AC336&gt;($F$374+0.001)),"",IF(AC336-$F$373&lt;2.24,IF(MOD(HOUR(AC336),3)=0,(MID(INDEX($A$369:$B$392,MATCH("CLD",$A$369:$A$392,0),2),7+(3*(AC336-$F$373)*8),2)),IF(MOD(HOUR(AC335),3)=0,AS335,AS337)),IF(MOD(HOUR(AC336),6)=0,(MID(INDEX($A$369:$B$392,MATCH("CLD",$A$369:$A$392,0),2),61+(3*(ROUND(((AC336-$F$373)-2.25)*4,1))),2)),"")))</f>
        <v/>
      </c>
      <c r="AT336" s="112" t="str">
        <f t="shared" ref="AT336:AT367" si="209">IF(OR(AC336&lt;($F$345-0.001),AC336&gt;($F$346+0.001)),"",IF(AC336-$F$345&lt;2.24,IF(MOD(HOUR(AC336),3)=0,(MID(INDEX($A$344:$B$369,MATCH("CIG",$A$344:$A$369,0),2),8+(3*(AC336-$F$345)*8),1))*1,IF(MOD(HOUR(AC335),3)=0,AT335,AT337)),IF(MOD(HOUR(AC336),6)=0,(MID(INDEX($A$344:$B$369,MATCH("CIG",$A$344:$A$369,0),2),62+(3*(ROUND(((AC336-$F$345)-2.25)*4,1))),1))*1,"")))</f>
        <v/>
      </c>
      <c r="AU336" s="1610" t="str">
        <f t="shared" ref="AU336:AU367" si="210">IF(OR(AC336&lt;($F$345-0.001),AC336&gt;($F$346+0.001)),"",IF(AC336-$F$345&lt;2.24,IF(MOD(HOUR(AC336),3)=0,(MID(INDEX($A$344:$B$369,MATCH("CLD",$A$344:$A$369,0),2),7+(3*(AC336-$F$345)*8),2)),IF(MOD(HOUR(AC335),3)=0,AU335,AU337)),IF(MOD(HOUR(AC336),6)=0,(MID(INDEX($A$344:$B$369,MATCH("CLD",$A$344:$A$369,0),2),61+(3*(ROUND(((AC336-$F$345)-2.25)*4,1))),2)),"")))</f>
        <v/>
      </c>
      <c r="AV336" s="1148">
        <f t="shared" si="170"/>
        <v>40</v>
      </c>
      <c r="AW336" s="920" t="str">
        <f t="shared" si="173"/>
        <v>SCT</v>
      </c>
      <c r="AX336" s="1608">
        <f t="shared" si="171"/>
        <v>40</v>
      </c>
      <c r="AY336" s="112" t="str">
        <f>IF(BA336="Y",AZ336,IF(AND(ISNUMBER(AY335),AC336&lt;$F$186+26/25),(MID(INDEX($A$187:$B$210,MATCH("VIS",$A$187:$A$210,0),2),8+(3*COUNT($AY$207:AY335)),1))*1,IF(AND(HOUR(AC336)=HOUR($F$186),DAY(AC336)=DAY($F$186)),(MID(INDEX($A$187:$B$210,MATCH("VIS",$A$187:$A$210,0),2),8,1))*1,"")))</f>
        <v/>
      </c>
      <c r="AZ336" s="112" t="str">
        <f>IF(AND(ISNUMBER(AZ335),AC336&lt;$F$186+26/25),(MID(INDEX($A$187:$B$210,MATCH("CVS",$A$187:$A$210,0),2),8+(3*COUNT($AZ$207:AZ335)),1))*1,IF(AND(HOUR(AC336)=HOUR($F$186),DAY(AC336)=DAY($F$186)),(MID(INDEX($A$187:$B$210,MATCH("CVS",$A$187:$A$210,0),2),8,1))*1,""))</f>
        <v/>
      </c>
      <c r="BA336" s="1610" t="str">
        <f>IF(AND(BA335&lt;&gt;"",AC336&lt;$F$186+26/25),MID(INDEX($A$187:$B$210,MATCH("PCO",$A$187:$A$210,0),2),8+(3*SUM(COUNTIF($BA$207:BA335,"Y"),COUNTIF($BA$207:BA335,"N"))),1),IF(AND(HOUR(AC336)=HOUR($F$186),DAY(AC336)=DAY($F$186)),MID(INDEX($A$187:$B$210,MATCH("PCO",$A$187:$A$210,0),2),8,1),""))</f>
        <v/>
      </c>
      <c r="BB336" s="1610" t="e">
        <f>IF(AND(BB335&lt;&gt;"",AC336&lt;$F$186+26/25),MID(INDEX($A$187:$B$210,MATCH("TYP",$A$187:$A$210,0),2),8+(3*SUM(COUNTIF($BB$207:BB335,"S"),COUNTIF($BB$207:BB335,"Z"), COUNTIF($BB$207:BB335,"R"),COUNTIF($BB$207:BB335,"X"))),1),IF(AND(HOUR(AC336)=HOUR($F$186),DAY(AC336)=DAY($F$186)),MID(INDEX($A$187:$B$210,MATCH("TYP",$A$187:$A$210,0),2),8,1),""))</f>
        <v>#N/A</v>
      </c>
      <c r="BC336" s="112" t="str">
        <f>IF(AND(LEN(BC335)=2,AC336&lt;$F$186+26/25),MID(INDEX($A$187:$B$211,MATCH("OBV",$A$187:$A$211,0),2),7+(3*SUM(COUNTIF($BC$207:BC335," N"),COUNTIF($BC$207:BC335,"HZ"),COUNTIF($BC$207:BC335,"BR"),COUNTIF($BC$207:BC335,"FG"),COUNTIF($BC$207:BC335,"BL"))),2),IF(AND(HOUR(AC336)=HOUR($F$186),DAY(AC336)=DAY($F$186)),MID(INDEX($A$187:$B$211,MATCH("OBV",$A$187:$A$211,0),2),7,2),""))</f>
        <v/>
      </c>
      <c r="BD336" s="112"/>
      <c r="BE336" s="112"/>
      <c r="BF336" s="112"/>
      <c r="BG336" s="1610" t="str">
        <f t="shared" si="200"/>
        <v/>
      </c>
      <c r="BH336" s="115" t="str">
        <f t="shared" ref="BH336:BH367" si="211">IF(OR(AC336&lt;($F$373-0.001),AC336&gt;($F$374+0.001)),"",IF(AC336-$F$373&lt;2.24,IF(MOD(HOUR(AC336),3)=0,(MID(INDEX($A$370:$B$392,MATCH("VIS",$A$370:$A$392,0),2),8+(3*(AC336-$F$373)*8),1))*1,IF(MOD(HOUR(AC335),3)=0,BH335,BH337)),IF(MOD(HOUR(AC336),6)=0,(MID(INDEX($A$370:$B$392,MATCH("VIS",$A$370:$A$392,0),2),62+(3*(ROUND(((AC336-$F$373)-2.25)*4,1))),1))*1,"")))</f>
        <v/>
      </c>
      <c r="BI336" s="200" t="str">
        <f t="shared" si="155"/>
        <v/>
      </c>
      <c r="BJ336" s="62" t="str">
        <f t="shared" si="154"/>
        <v/>
      </c>
      <c r="BK336" s="1145" t="str">
        <f t="shared" si="198"/>
        <v/>
      </c>
      <c r="BL336" s="62" t="str">
        <f t="shared" si="156"/>
        <v/>
      </c>
      <c r="BM336" s="1145" t="str">
        <f t="shared" si="150"/>
        <v/>
      </c>
      <c r="BN336" s="1901" t="str">
        <f t="shared" si="199"/>
        <v/>
      </c>
      <c r="BO336" s="1144" t="str">
        <f t="shared" si="157"/>
        <v/>
      </c>
      <c r="BP336" s="106" t="str">
        <f t="shared" si="187"/>
        <v/>
      </c>
      <c r="BQ336" s="66" t="str">
        <f t="shared" si="158"/>
        <v/>
      </c>
      <c r="BR336" s="106" t="str">
        <f t="shared" si="159"/>
        <v/>
      </c>
      <c r="BS336" s="834" t="str">
        <f t="shared" si="202"/>
        <v/>
      </c>
      <c r="BT336" s="106" t="str">
        <f t="shared" si="160"/>
        <v/>
      </c>
      <c r="BU336" s="834" t="str">
        <f t="shared" ref="BU336:BU349" si="212">IF(COUNT(BT336:BT341)&gt;0,IF(MOD(HOUR(AC336),6)=0,AVERAGE(MAX(BT336:BT342),MIN(BT336:BT342)),IF(MOD(HOUR(AC336),3)=0,MAX(BT337:BT342),IF(MOD(HOUR(AC335),3)=0,BU335,BU337))),"")</f>
        <v/>
      </c>
      <c r="BV336" s="66" t="str">
        <f t="shared" ref="BV336:BV367" si="213">IF(OR($AC336&lt;($F$345-0.001),$AC336&gt;($F$346+0.001)),"",IF($AC336-$F$345&lt;2.24,IF(MOD(HOUR($AC336),3)=0,MID(INDEX($A$344:$B$369,MATCH("OBV",$A$344:$A$369,0),2),7+(3*($AC336-$F$345)*8),2),IF(MOD(HOUR($AC335),3)=0,BV335,BV337)),IF(MOD(HOUR($AC336),6)=0,MID(INDEX($A$344:$B$369,MATCH("OBV",$A$344:$A$369,0),2),61+(3*(ROUND((($AC336-$F$345)-2.25)*4,2))),2),"")))</f>
        <v/>
      </c>
      <c r="BW336" s="66" t="str">
        <f t="shared" ref="BW336:BW367" si="214">IF(OR($AC336&lt;($F$345-0.001),$AC336&gt;($F$346+0.001)),"",IF($AC336-$F$345&lt;2.24,IF(MOD(HOUR($AC336),3)=0,MID(INDEX($A$344:$B$369,MATCH("TYP",$A$344:$A$369,0),2),7+(3*($AC336-$F$345)*8),2),IF(MOD(HOUR($AC335),3)=0,BW335,BW337)),IF(MOD(HOUR($AC336),6)=0,MID(INDEX($A$344:$B$369,MATCH("TYP",$A$344:$A$369,0),2),61+(3*(ROUND((($AC336-$F$345)-2.25)*4,2))),2),"")))</f>
        <v/>
      </c>
      <c r="BX336" s="1198">
        <f t="shared" si="172"/>
        <v>7</v>
      </c>
      <c r="BY336" s="1146" t="str">
        <f t="shared" si="153"/>
        <v>NSW</v>
      </c>
      <c r="CA336" s="3675">
        <f t="shared" ref="CA336:CA349" si="215">AC336</f>
        <v>44752.416666666664</v>
      </c>
      <c r="CB336" s="3675"/>
    </row>
    <row r="337" spans="1:80">
      <c r="H337" s="1053">
        <v>51</v>
      </c>
      <c r="I337" s="1054" t="s">
        <v>342</v>
      </c>
      <c r="J337" s="106"/>
      <c r="K337" s="106"/>
      <c r="L337" s="106"/>
      <c r="AC337" s="977">
        <f t="shared" ref="AC337:AC389" si="216">MROUND(AC336+1/24,1/24)</f>
        <v>44752.458333333328</v>
      </c>
      <c r="AE337" s="1149" t="str">
        <f>IF(AND(HOUR(AC337)=HOUR($F$186),DAY(AC337)=DAY($F$186)),(MID($B$189,6,3))*1,IF(AND(ISNUMBER(AE336),AC337&lt;$F$186+1+(1/25)),(MID($B$189,6+(3*COUNT($AE$207:AE336)),3))*1,""))</f>
        <v/>
      </c>
      <c r="AF337" s="1164" t="e">
        <f t="shared" si="168"/>
        <v>#VALUE!</v>
      </c>
      <c r="AG337" s="1150">
        <f t="shared" si="203"/>
        <v>63.2</v>
      </c>
      <c r="AH337" s="1163" t="str">
        <f>IF(AND(ISNUMBER(AH336),AC337&lt;$F$186+26/25),(MID($B$190,6+(3*COUNT($AH$207:AH336)),3))*1,IF(AND(HOUR(AC337)=HOUR($F$186),DAY(AC337)=DAY($F$186)),(MID($B$190,6,3))*1,""))</f>
        <v/>
      </c>
      <c r="AI337" s="200"/>
      <c r="AJ337" s="1164" t="e">
        <f t="shared" si="204"/>
        <v>#VALUE!</v>
      </c>
      <c r="AK337" s="1150">
        <f t="shared" si="205"/>
        <v>56.000000000000007</v>
      </c>
      <c r="AL337" s="1152" t="e">
        <f t="shared" si="169"/>
        <v>#VALUE!</v>
      </c>
      <c r="AM337" s="1153">
        <f t="shared" si="206"/>
        <v>30.063333333333333</v>
      </c>
      <c r="AN337" s="1147"/>
      <c r="AO337" s="976" t="str">
        <f>IF(BA337="Y",AP337,IF(AND(ISNUMBER(AO336),AC337&lt;$F$186+26/25),(MID(INDEX($A$187:$B$210,MATCH("CIG",$A$187:$A$210,0),2),8+(3*COUNT($AO$207:AO336)),1))*1,IF(AND(HOUR(AC337)=HOUR($F$186),DAY(AC337)=DAY($F$186)),(MID(INDEX($A$187:$B$210,MATCH("CIG",$A$187:$A$210,0),2),8,1))*1,"")))</f>
        <v/>
      </c>
      <c r="AQ337" s="1061" t="str">
        <f>IF(AND(AQ336&lt;&gt;"",AC337&lt;$F$186+26/25),MID(INDEX($A$187:$B$210,MATCH("CLD",$A$187:$A$210,0),2),7+(3*SUM(COUNTIF($AQ$207:AQ336,"OV"),COUNTIF($AQ$207:AQ336,"BK"),COUNTIF($AQ$207:AQ336,"SC"),COUNTIF($AQ$207:AQ336,"FW"),COUNTIF($AQ$207:AQ336,"CL"))),2),IF(AND(HOUR(AC337)=HOUR($F$186),DAY(AC337)=DAY($F$186)),MID(INDEX($A$187:$B$210,MATCH("CLD",$A$187:$A$210,0),2),7,2),""))</f>
        <v/>
      </c>
      <c r="AR337" s="1149" t="str">
        <f t="shared" si="207"/>
        <v/>
      </c>
      <c r="AS337" s="1150" t="str">
        <f t="shared" si="208"/>
        <v/>
      </c>
      <c r="AT337" s="112" t="str">
        <f t="shared" si="209"/>
        <v/>
      </c>
      <c r="AU337" s="1610" t="str">
        <f t="shared" si="210"/>
        <v/>
      </c>
      <c r="AV337" s="1148">
        <f t="shared" si="170"/>
        <v>40</v>
      </c>
      <c r="AW337" s="920" t="str">
        <f t="shared" si="173"/>
        <v>SCT</v>
      </c>
      <c r="AX337" s="1608">
        <f t="shared" si="171"/>
        <v>40</v>
      </c>
      <c r="AY337" s="112" t="str">
        <f>IF(BA337="Y",AZ337,IF(AND(ISNUMBER(AY336),AC337&lt;$F$186+26/25),(MID(INDEX($A$187:$B$210,MATCH("VIS",$A$187:$A$210,0),2),8+(3*COUNT($AY$207:AY336)),1))*1,IF(AND(HOUR(AC337)=HOUR($F$186),DAY(AC337)=DAY($F$186)),(MID(INDEX($A$187:$B$210,MATCH("VIS",$A$187:$A$210,0),2),8,1))*1,"")))</f>
        <v/>
      </c>
      <c r="AZ337" s="112" t="str">
        <f>IF(AND(ISNUMBER(AZ336),AC337&lt;$F$186+26/25),(MID(INDEX($A$187:$B$210,MATCH("CVS",$A$187:$A$210,0),2),8+(3*COUNT($AZ$207:AZ336)),1))*1,IF(AND(HOUR(AC337)=HOUR($F$186),DAY(AC337)=DAY($F$186)),(MID(INDEX($A$187:$B$210,MATCH("CVS",$A$187:$A$210,0),2),8,1))*1,""))</f>
        <v/>
      </c>
      <c r="BA337" s="1610" t="str">
        <f>IF(AND(BA336&lt;&gt;"",AC337&lt;$F$186+26/25),MID(INDEX($A$187:$B$210,MATCH("PCO",$A$187:$A$210,0),2),8+(3*SUM(COUNTIF($BA$207:BA336,"Y"),COUNTIF($BA$207:BA336,"N"))),1),IF(AND(HOUR(AC337)=HOUR($F$186),DAY(AC337)=DAY($F$186)),MID(INDEX($A$187:$B$210,MATCH("PCO",$A$187:$A$210,0),2),8,1),""))</f>
        <v/>
      </c>
      <c r="BB337" s="1610" t="e">
        <f>IF(AND(BB336&lt;&gt;"",AC337&lt;$F$186+26/25),MID(INDEX($A$187:$B$210,MATCH("TYP",$A$187:$A$210,0),2),8+(3*SUM(COUNTIF($BB$207:BB336,"S"),COUNTIF($BB$207:BB336,"Z"), COUNTIF($BB$207:BB336,"R"),COUNTIF($BB$207:BB336,"X"))),1),IF(AND(HOUR(AC337)=HOUR($F$186),DAY(AC337)=DAY($F$186)),MID(INDEX($A$187:$B$210,MATCH("TYP",$A$187:$A$210,0),2),8,1),""))</f>
        <v>#N/A</v>
      </c>
      <c r="BC337" s="112" t="str">
        <f>IF(AND(LEN(BC336)=2,AC337&lt;$F$186+26/25),MID(INDEX($A$187:$B$211,MATCH("OBV",$A$187:$A$211,0),2),7+(3*SUM(COUNTIF($BC$207:BC336," N"),COUNTIF($BC$207:BC336,"HZ"),COUNTIF($BC$207:BC336,"BR"),COUNTIF($BC$207:BC336,"FG"),COUNTIF($BC$207:BC336,"BL"))),2),IF(AND(HOUR(AC337)=HOUR($F$186),DAY(AC337)=DAY($F$186)),MID(INDEX($A$187:$B$211,MATCH("OBV",$A$187:$A$211,0),2),7,2),""))</f>
        <v/>
      </c>
      <c r="BD337" s="112"/>
      <c r="BE337" s="112"/>
      <c r="BF337" s="112"/>
      <c r="BG337" s="1610" t="str">
        <f t="shared" si="200"/>
        <v/>
      </c>
      <c r="BH337" s="115" t="str">
        <f t="shared" si="211"/>
        <v/>
      </c>
      <c r="BI337" s="200" t="str">
        <f t="shared" si="155"/>
        <v/>
      </c>
      <c r="BJ337" s="62" t="str">
        <f t="shared" si="154"/>
        <v/>
      </c>
      <c r="BK337" s="1145" t="str">
        <f t="shared" si="198"/>
        <v/>
      </c>
      <c r="BL337" s="62" t="str">
        <f t="shared" si="156"/>
        <v/>
      </c>
      <c r="BM337" s="1145" t="str">
        <f t="shared" ref="BM337:BM349" si="217">IF(COUNT(BL337:BL342)&gt;0,IF(MOD(HOUR(AC337),6)=0,AVERAGE(MAX(BL337:BL343),MIN(BL337:BL343)),IF(MOD(HOUR(AC337),3)=0,MAX(BL338:BL343),IF(MOD(HOUR(AC336),3)=0,BM336,BM338))),"")</f>
        <v/>
      </c>
      <c r="BN337" s="1901" t="str">
        <f t="shared" si="199"/>
        <v/>
      </c>
      <c r="BO337" s="1144" t="str">
        <f t="shared" si="157"/>
        <v/>
      </c>
      <c r="BP337" s="106" t="str">
        <f t="shared" ref="BP337:BP348" si="218">IF(OR(AC337&lt;($F$345-0.001),AC337&gt;($F$346+0.001)),"",IF(AC337-$F$345&lt;2.24,IF(MOD(HOUR(AC337),3)=0,(MID(INDEX($A$344:$B$369,MATCH("VIS",$A$344:$A$369,0),2),8+(3*(AC337-$F$345)*8),1))*1,IF(MOD(HOUR(AC336),3)=0,BP336,BP338)),IF(MOD(HOUR(AC337),6)=0,(MID(INDEX($A$344:$B$369,MATCH("VIS",$A$344:$A$369,0),2),62+(3*(ROUND(((AC337-$F$345)-2.25)*4,1))),1))*1,"")))</f>
        <v/>
      </c>
      <c r="BQ337" s="66" t="str">
        <f t="shared" si="158"/>
        <v/>
      </c>
      <c r="BR337" s="106" t="str">
        <f t="shared" si="159"/>
        <v/>
      </c>
      <c r="BS337" s="834" t="str">
        <f t="shared" si="202"/>
        <v/>
      </c>
      <c r="BT337" s="106" t="str">
        <f t="shared" si="160"/>
        <v/>
      </c>
      <c r="BU337" s="834" t="str">
        <f t="shared" si="212"/>
        <v/>
      </c>
      <c r="BV337" s="66" t="str">
        <f t="shared" si="213"/>
        <v/>
      </c>
      <c r="BW337" s="66" t="str">
        <f t="shared" si="214"/>
        <v/>
      </c>
      <c r="BX337" s="1198">
        <f t="shared" si="172"/>
        <v>7</v>
      </c>
      <c r="BY337" s="1146" t="str">
        <f t="shared" si="153"/>
        <v>NSW</v>
      </c>
      <c r="CA337" s="3675">
        <f t="shared" si="215"/>
        <v>44752.458333333328</v>
      </c>
      <c r="CB337" s="3675"/>
    </row>
    <row r="338" spans="1:80">
      <c r="H338" s="1053">
        <v>94</v>
      </c>
      <c r="I338" s="1054" t="s">
        <v>342</v>
      </c>
      <c r="J338" s="106"/>
      <c r="K338" s="106"/>
      <c r="L338" s="106"/>
      <c r="AC338" s="977">
        <f t="shared" si="216"/>
        <v>44752.5</v>
      </c>
      <c r="AE338" s="1149" t="str">
        <f>IF(AND(HOUR(AC338)=HOUR($F$186),DAY(AC338)=DAY($F$186)),(MID($B$189,6,3))*1,IF(AND(ISNUMBER(AE337),AC338&lt;$F$186+1+(1/25)),(MID($B$189,6+(3*COUNT($AE$207:AE337)),3))*1,""))</f>
        <v/>
      </c>
      <c r="AF338" s="1164" t="e">
        <f t="shared" si="168"/>
        <v>#VALUE!</v>
      </c>
      <c r="AG338" s="1150">
        <f t="shared" si="203"/>
        <v>62.6</v>
      </c>
      <c r="AH338" s="1163" t="str">
        <f>IF(AND(ISNUMBER(AH337),AC338&lt;$F$186+26/25),(MID($B$190,6+(3*COUNT($AH$207:AH337)),3))*1,IF(AND(HOUR(AC338)=HOUR($F$186),DAY(AC338)=DAY($F$186)),(MID($B$190,6,3))*1,""))</f>
        <v/>
      </c>
      <c r="AI338" s="200"/>
      <c r="AJ338" s="1164" t="e">
        <f t="shared" si="204"/>
        <v>#VALUE!</v>
      </c>
      <c r="AK338" s="1150">
        <f t="shared" si="205"/>
        <v>55.400000000000006</v>
      </c>
      <c r="AL338" s="1152" t="e">
        <f t="shared" si="169"/>
        <v>#VALUE!</v>
      </c>
      <c r="AM338" s="1153">
        <f t="shared" si="206"/>
        <v>30.08</v>
      </c>
      <c r="AN338" s="1147"/>
      <c r="AO338" s="976" t="str">
        <f>IF(BA338="Y",AP338,IF(AND(ISNUMBER(AO337),AC338&lt;$F$186+26/25),(MID(INDEX($A$187:$B$210,MATCH("CIG",$A$187:$A$210,0),2),8+(3*COUNT($AO$207:AO337)),1))*1,IF(AND(HOUR(AC338)=HOUR($F$186),DAY(AC338)=DAY($F$186)),(MID(INDEX($A$187:$B$210,MATCH("CIG",$A$187:$A$210,0),2),8,1))*1,"")))</f>
        <v/>
      </c>
      <c r="AQ338" s="1061" t="str">
        <f>IF(AND(AQ337&lt;&gt;"",AC338&lt;$F$186+26/25),MID(INDEX($A$187:$B$210,MATCH("CLD",$A$187:$A$210,0),2),7+(3*SUM(COUNTIF($AQ$207:AQ337,"OV"),COUNTIF($AQ$207:AQ337,"BK"),COUNTIF($AQ$207:AQ337,"SC"),COUNTIF($AQ$207:AQ337,"FW"),COUNTIF($AQ$207:AQ337,"CL"))),2),IF(AND(HOUR(AC338)=HOUR($F$186),DAY(AC338)=DAY($F$186)),MID(INDEX($A$187:$B$210,MATCH("CLD",$A$187:$A$210,0),2),7,2),""))</f>
        <v/>
      </c>
      <c r="AR338" s="1149" t="str">
        <f t="shared" si="207"/>
        <v/>
      </c>
      <c r="AS338" s="1150" t="str">
        <f t="shared" si="208"/>
        <v/>
      </c>
      <c r="AT338" s="112" t="str">
        <f t="shared" si="209"/>
        <v/>
      </c>
      <c r="AU338" s="1610" t="str">
        <f t="shared" si="210"/>
        <v/>
      </c>
      <c r="AV338" s="1148">
        <f t="shared" si="170"/>
        <v>40</v>
      </c>
      <c r="AW338" s="920" t="str">
        <f t="shared" si="173"/>
        <v>SCT</v>
      </c>
      <c r="AX338" s="1608">
        <f t="shared" si="171"/>
        <v>40</v>
      </c>
      <c r="AY338" s="112" t="str">
        <f>IF(BA338="Y",AZ338,IF(AND(ISNUMBER(AY337),AC338&lt;$F$186+26/25),(MID(INDEX($A$187:$B$210,MATCH("VIS",$A$187:$A$210,0),2),8+(3*COUNT($AY$207:AY337)),1))*1,IF(AND(HOUR(AC338)=HOUR($F$186),DAY(AC338)=DAY($F$186)),(MID(INDEX($A$187:$B$210,MATCH("VIS",$A$187:$A$210,0),2),8,1))*1,"")))</f>
        <v/>
      </c>
      <c r="AZ338" s="112" t="str">
        <f>IF(AND(ISNUMBER(AZ337),AC338&lt;$F$186+26/25),(MID(INDEX($A$187:$B$210,MATCH("CVS",$A$187:$A$210,0),2),8+(3*COUNT($AZ$207:AZ337)),1))*1,IF(AND(HOUR(AC338)=HOUR($F$186),DAY(AC338)=DAY($F$186)),(MID(INDEX($A$187:$B$210,MATCH("CVS",$A$187:$A$210,0),2),8,1))*1,""))</f>
        <v/>
      </c>
      <c r="BA338" s="1610" t="str">
        <f>IF(AND(BA337&lt;&gt;"",AC338&lt;$F$186+26/25),MID(INDEX($A$187:$B$210,MATCH("PCO",$A$187:$A$210,0),2),8+(3*SUM(COUNTIF($BA$207:BA337,"Y"),COUNTIF($BA$207:BA337,"N"))),1),IF(AND(HOUR(AC338)=HOUR($F$186),DAY(AC338)=DAY($F$186)),MID(INDEX($A$187:$B$210,MATCH("PCO",$A$187:$A$210,0),2),8,1),""))</f>
        <v/>
      </c>
      <c r="BB338" s="1610" t="e">
        <f>IF(AND(BB337&lt;&gt;"",AC338&lt;$F$186+26/25),MID(INDEX($A$187:$B$210,MATCH("TYP",$A$187:$A$210,0),2),8+(3*SUM(COUNTIF($BB$207:BB337,"S"),COUNTIF($BB$207:BB337,"Z"), COUNTIF($BB$207:BB337,"R"),COUNTIF($BB$207:BB337,"X"))),1),IF(AND(HOUR(AC338)=HOUR($F$186),DAY(AC338)=DAY($F$186)),MID(INDEX($A$187:$B$210,MATCH("TYP",$A$187:$A$210,0),2),8,1),""))</f>
        <v>#N/A</v>
      </c>
      <c r="BC338" s="112" t="str">
        <f>IF(AND(LEN(BC337)=2,AC338&lt;$F$186+26/25),MID(INDEX($A$187:$B$211,MATCH("OBV",$A$187:$A$211,0),2),7+(3*SUM(COUNTIF($BC$207:BC337," N"),COUNTIF($BC$207:BC337,"HZ"),COUNTIF($BC$207:BC337,"BR"),COUNTIF($BC$207:BC337,"FG"),COUNTIF($BC$207:BC337,"BL"))),2),IF(AND(HOUR(AC338)=HOUR($F$186),DAY(AC338)=DAY($F$186)),MID(INDEX($A$187:$B$211,MATCH("OBV",$A$187:$A$211,0),2),7,2),""))</f>
        <v/>
      </c>
      <c r="BD338" s="112"/>
      <c r="BE338" s="112"/>
      <c r="BF338" s="112"/>
      <c r="BG338" s="1610" t="str">
        <f t="shared" si="200"/>
        <v/>
      </c>
      <c r="BH338" s="115" t="str">
        <f t="shared" si="211"/>
        <v/>
      </c>
      <c r="BI338" s="200" t="str">
        <f t="shared" si="155"/>
        <v/>
      </c>
      <c r="BJ338" s="62" t="str">
        <f t="shared" si="154"/>
        <v/>
      </c>
      <c r="BK338" s="1145" t="str">
        <f t="shared" si="198"/>
        <v/>
      </c>
      <c r="BL338" s="62" t="str">
        <f t="shared" si="156"/>
        <v/>
      </c>
      <c r="BM338" s="1145" t="str">
        <f t="shared" si="217"/>
        <v/>
      </c>
      <c r="BN338" s="1901" t="str">
        <f t="shared" si="199"/>
        <v/>
      </c>
      <c r="BO338" s="1144" t="str">
        <f t="shared" si="157"/>
        <v/>
      </c>
      <c r="BP338" s="106" t="str">
        <f t="shared" si="218"/>
        <v/>
      </c>
      <c r="BQ338" s="66" t="str">
        <f t="shared" si="158"/>
        <v/>
      </c>
      <c r="BR338" s="106" t="str">
        <f t="shared" si="159"/>
        <v/>
      </c>
      <c r="BS338" s="834" t="str">
        <f t="shared" si="202"/>
        <v/>
      </c>
      <c r="BT338" s="106" t="str">
        <f t="shared" si="160"/>
        <v/>
      </c>
      <c r="BU338" s="834" t="str">
        <f t="shared" si="212"/>
        <v/>
      </c>
      <c r="BV338" s="66" t="str">
        <f t="shared" si="213"/>
        <v/>
      </c>
      <c r="BW338" s="66" t="str">
        <f t="shared" si="214"/>
        <v/>
      </c>
      <c r="BX338" s="1198">
        <f t="shared" si="172"/>
        <v>7</v>
      </c>
      <c r="BY338" s="1146" t="str">
        <f t="shared" si="153"/>
        <v>NSW</v>
      </c>
      <c r="CA338" s="3675">
        <f t="shared" si="215"/>
        <v>44752.5</v>
      </c>
      <c r="CB338" s="3675"/>
    </row>
    <row r="339" spans="1:80">
      <c r="A339" s="388"/>
      <c r="G339" s="106"/>
      <c r="H339" s="1053">
        <v>95</v>
      </c>
      <c r="I339" s="1054" t="s">
        <v>482</v>
      </c>
      <c r="J339" s="106"/>
      <c r="K339" s="106"/>
      <c r="L339" s="106"/>
      <c r="AC339" s="977">
        <f t="shared" si="216"/>
        <v>44752.541666666664</v>
      </c>
      <c r="AE339" s="1149" t="str">
        <f>IF(AND(HOUR(AC339)=HOUR($F$186),DAY(AC339)=DAY($F$186)),(MID($B$189,6,3))*1,IF(AND(ISNUMBER(AE338),AC339&lt;$F$186+1+(1/25)),(MID($B$189,6+(3*COUNT($AE$207:AE338)),3))*1,""))</f>
        <v/>
      </c>
      <c r="AF339" s="1164" t="e">
        <f t="shared" si="168"/>
        <v>#VALUE!</v>
      </c>
      <c r="AG339" s="1150">
        <f t="shared" si="203"/>
        <v>65.599999999999994</v>
      </c>
      <c r="AH339" s="1163" t="str">
        <f>IF(AND(ISNUMBER(AH338),AC339&lt;$F$186+26/25),(MID($B$190,6+(3*COUNT($AH$207:AH338)),3))*1,IF(AND(HOUR(AC339)=HOUR($F$186),DAY(AC339)=DAY($F$186)),(MID($B$190,6,3))*1,""))</f>
        <v/>
      </c>
      <c r="AI339" s="200"/>
      <c r="AJ339" s="1164" t="e">
        <f t="shared" si="204"/>
        <v>#VALUE!</v>
      </c>
      <c r="AK339" s="1150">
        <f t="shared" si="205"/>
        <v>56.6</v>
      </c>
      <c r="AL339" s="1152" t="e">
        <f t="shared" si="169"/>
        <v>#VALUE!</v>
      </c>
      <c r="AM339" s="1153">
        <f t="shared" si="206"/>
        <v>30.076666666666664</v>
      </c>
      <c r="AN339" s="1147"/>
      <c r="AO339" s="976" t="str">
        <f>IF(BA339="Y",AP339,IF(AND(ISNUMBER(AO338),AC339&lt;$F$186+26/25),(MID(INDEX($A$187:$B$210,MATCH("CIG",$A$187:$A$210,0),2),8+(3*COUNT($AO$207:AO338)),1))*1,IF(AND(HOUR(AC339)=HOUR($F$186),DAY(AC339)=DAY($F$186)),(MID(INDEX($A$187:$B$210,MATCH("CIG",$A$187:$A$210,0),2),8,1))*1,"")))</f>
        <v/>
      </c>
      <c r="AQ339" s="1061" t="str">
        <f>IF(AND(AQ338&lt;&gt;"",AC339&lt;$F$186+26/25),MID(INDEX($A$187:$B$210,MATCH("CLD",$A$187:$A$210,0),2),7+(3*SUM(COUNTIF($AQ$207:AQ338,"OV"),COUNTIF($AQ$207:AQ338,"BK"),COUNTIF($AQ$207:AQ338,"SC"),COUNTIF($AQ$207:AQ338,"FW"),COUNTIF($AQ$207:AQ338,"CL"))),2),IF(AND(HOUR(AC339)=HOUR($F$186),DAY(AC339)=DAY($F$186)),MID(INDEX($A$187:$B$210,MATCH("CLD",$A$187:$A$210,0),2),7,2),""))</f>
        <v/>
      </c>
      <c r="AR339" s="1149" t="str">
        <f t="shared" si="207"/>
        <v/>
      </c>
      <c r="AS339" s="1150" t="str">
        <f t="shared" si="208"/>
        <v/>
      </c>
      <c r="AT339" s="112" t="str">
        <f t="shared" si="209"/>
        <v/>
      </c>
      <c r="AU339" s="1610" t="str">
        <f t="shared" si="210"/>
        <v/>
      </c>
      <c r="AV339" s="1148">
        <f t="shared" si="170"/>
        <v>40</v>
      </c>
      <c r="AW339" s="920" t="str">
        <f t="shared" si="173"/>
        <v>SCT</v>
      </c>
      <c r="AX339" s="1608">
        <f t="shared" si="171"/>
        <v>40</v>
      </c>
      <c r="AY339" s="112" t="str">
        <f>IF(BA339="Y",AZ339,IF(AND(ISNUMBER(AY338),AC339&lt;$F$186+26/25),(MID(INDEX($A$187:$B$210,MATCH("VIS",$A$187:$A$210,0),2),8+(3*COUNT($AY$207:AY338)),1))*1,IF(AND(HOUR(AC339)=HOUR($F$186),DAY(AC339)=DAY($F$186)),(MID(INDEX($A$187:$B$210,MATCH("VIS",$A$187:$A$210,0),2),8,1))*1,"")))</f>
        <v/>
      </c>
      <c r="AZ339" s="112" t="str">
        <f>IF(AND(ISNUMBER(AZ338),AC339&lt;$F$186+26/25),(MID(INDEX($A$187:$B$210,MATCH("CVS",$A$187:$A$210,0),2),8+(3*COUNT($AZ$207:AZ338)),1))*1,IF(AND(HOUR(AC339)=HOUR($F$186),DAY(AC339)=DAY($F$186)),(MID(INDEX($A$187:$B$210,MATCH("CVS",$A$187:$A$210,0),2),8,1))*1,""))</f>
        <v/>
      </c>
      <c r="BA339" s="1610" t="str">
        <f>IF(AND(BA338&lt;&gt;"",AC339&lt;$F$186+26/25),MID(INDEX($A$187:$B$210,MATCH("PCO",$A$187:$A$210,0),2),8+(3*SUM(COUNTIF($BA$207:BA338,"Y"),COUNTIF($BA$207:BA338,"N"))),1),IF(AND(HOUR(AC339)=HOUR($F$186),DAY(AC339)=DAY($F$186)),MID(INDEX($A$187:$B$210,MATCH("PCO",$A$187:$A$210,0),2),8,1),""))</f>
        <v/>
      </c>
      <c r="BB339" s="1610" t="e">
        <f>IF(AND(BB338&lt;&gt;"",AC339&lt;$F$186+26/25),MID(INDEX($A$187:$B$210,MATCH("TYP",$A$187:$A$210,0),2),8+(3*SUM(COUNTIF($BB$207:BB338,"S"),COUNTIF($BB$207:BB338,"Z"), COUNTIF($BB$207:BB338,"R"),COUNTIF($BB$207:BB338,"X"))),1),IF(AND(HOUR(AC339)=HOUR($F$186),DAY(AC339)=DAY($F$186)),MID(INDEX($A$187:$B$210,MATCH("TYP",$A$187:$A$210,0),2),8,1),""))</f>
        <v>#N/A</v>
      </c>
      <c r="BC339" s="112" t="str">
        <f>IF(AND(LEN(BC338)=2,AC339&lt;$F$186+26/25),MID(INDEX($A$187:$B$211,MATCH("OBV",$A$187:$A$211,0),2),7+(3*SUM(COUNTIF($BC$207:BC338," N"),COUNTIF($BC$207:BC338,"HZ"),COUNTIF($BC$207:BC338,"BR"),COUNTIF($BC$207:BC338,"FG"),COUNTIF($BC$207:BC338,"BL"))),2),IF(AND(HOUR(AC339)=HOUR($F$186),DAY(AC339)=DAY($F$186)),MID(INDEX($A$187:$B$211,MATCH("OBV",$A$187:$A$211,0),2),7,2),""))</f>
        <v/>
      </c>
      <c r="BD339" s="112"/>
      <c r="BE339" s="112"/>
      <c r="BF339" s="112"/>
      <c r="BG339" s="1610" t="str">
        <f t="shared" si="200"/>
        <v/>
      </c>
      <c r="BH339" s="115" t="str">
        <f t="shared" si="211"/>
        <v/>
      </c>
      <c r="BI339" s="200" t="str">
        <f t="shared" si="155"/>
        <v/>
      </c>
      <c r="BJ339" s="62" t="str">
        <f t="shared" si="154"/>
        <v/>
      </c>
      <c r="BK339" s="1145" t="str">
        <f t="shared" si="198"/>
        <v/>
      </c>
      <c r="BL339" s="62" t="str">
        <f t="shared" si="156"/>
        <v/>
      </c>
      <c r="BM339" s="1145" t="str">
        <f t="shared" si="217"/>
        <v/>
      </c>
      <c r="BN339" s="1901" t="str">
        <f t="shared" si="199"/>
        <v/>
      </c>
      <c r="BO339" s="1144" t="str">
        <f t="shared" si="157"/>
        <v/>
      </c>
      <c r="BP339" s="106" t="str">
        <f t="shared" si="218"/>
        <v/>
      </c>
      <c r="BQ339" s="66" t="str">
        <f t="shared" si="158"/>
        <v/>
      </c>
      <c r="BR339" s="106" t="str">
        <f t="shared" si="159"/>
        <v/>
      </c>
      <c r="BS339" s="834" t="str">
        <f t="shared" si="202"/>
        <v/>
      </c>
      <c r="BT339" s="106" t="str">
        <f t="shared" si="160"/>
        <v/>
      </c>
      <c r="BU339" s="834" t="str">
        <f t="shared" si="212"/>
        <v/>
      </c>
      <c r="BV339" s="66" t="str">
        <f t="shared" si="213"/>
        <v/>
      </c>
      <c r="BW339" s="66" t="str">
        <f t="shared" si="214"/>
        <v/>
      </c>
      <c r="BX339" s="1198">
        <f t="shared" si="172"/>
        <v>7</v>
      </c>
      <c r="BY339" s="1146" t="str">
        <f t="shared" si="153"/>
        <v>NSW</v>
      </c>
      <c r="CA339" s="3675">
        <f t="shared" si="215"/>
        <v>44752.541666666664</v>
      </c>
      <c r="CB339" s="3675"/>
    </row>
    <row r="340" spans="1:80">
      <c r="A340" s="388"/>
      <c r="G340" s="106"/>
      <c r="H340" s="1057">
        <v>100</v>
      </c>
      <c r="I340" s="1058" t="s">
        <v>482</v>
      </c>
      <c r="J340" s="106"/>
      <c r="K340" s="106"/>
      <c r="L340" s="106"/>
      <c r="AC340" s="977">
        <f t="shared" si="216"/>
        <v>44752.583333333328</v>
      </c>
      <c r="AE340" s="1149" t="str">
        <f>IF(AND(HOUR(AC340)=HOUR($F$186),DAY(AC340)=DAY($F$186)),(MID($B$189,6,3))*1,IF(AND(ISNUMBER(AE339),AC340&lt;$F$186+1+(1/25)),(MID($B$189,6+(3*COUNT($AE$207:AE339)),3))*1,""))</f>
        <v/>
      </c>
      <c r="AF340" s="1164" t="e">
        <f t="shared" si="168"/>
        <v>#VALUE!</v>
      </c>
      <c r="AG340" s="1150">
        <f t="shared" si="203"/>
        <v>68.599999999999994</v>
      </c>
      <c r="AH340" s="1163" t="str">
        <f>IF(AND(ISNUMBER(AH339),AC340&lt;$F$186+26/25),(MID($B$190,6+(3*COUNT($AH$207:AH339)),3))*1,IF(AND(HOUR(AC340)=HOUR($F$186),DAY(AC340)=DAY($F$186)),(MID($B$190,6,3))*1,""))</f>
        <v/>
      </c>
      <c r="AI340" s="200"/>
      <c r="AJ340" s="1164" t="e">
        <f t="shared" si="204"/>
        <v>#VALUE!</v>
      </c>
      <c r="AK340" s="1150">
        <f t="shared" si="205"/>
        <v>57.800000000000004</v>
      </c>
      <c r="AL340" s="1152" t="e">
        <f t="shared" si="169"/>
        <v>#VALUE!</v>
      </c>
      <c r="AM340" s="1153">
        <f t="shared" si="206"/>
        <v>30.073333333333334</v>
      </c>
      <c r="AN340" s="1147"/>
      <c r="AO340" s="976" t="str">
        <f>IF(BA340="Y",AP340,IF(AND(ISNUMBER(AO339),AC340&lt;$F$186+26/25),(MID(INDEX($A$187:$B$210,MATCH("CIG",$A$187:$A$210,0),2),8+(3*COUNT($AO$207:AO339)),1))*1,IF(AND(HOUR(AC340)=HOUR($F$186),DAY(AC340)=DAY($F$186)),(MID(INDEX($A$187:$B$210,MATCH("CIG",$A$187:$A$210,0),2),8,1))*1,"")))</f>
        <v/>
      </c>
      <c r="AQ340" s="1061" t="str">
        <f>IF(AND(AQ339&lt;&gt;"",AC340&lt;$F$186+26/25),MID(INDEX($A$187:$B$210,MATCH("CLD",$A$187:$A$210,0),2),7+(3*SUM(COUNTIF($AQ$207:AQ339,"OV"),COUNTIF($AQ$207:AQ339,"BK"),COUNTIF($AQ$207:AQ339,"SC"),COUNTIF($AQ$207:AQ339,"FW"),COUNTIF($AQ$207:AQ339,"CL"))),2),IF(AND(HOUR(AC340)=HOUR($F$186),DAY(AC340)=DAY($F$186)),MID(INDEX($A$187:$B$210,MATCH("CLD",$A$187:$A$210,0),2),7,2),""))</f>
        <v/>
      </c>
      <c r="AR340" s="1149" t="str">
        <f t="shared" si="207"/>
        <v/>
      </c>
      <c r="AS340" s="1150" t="str">
        <f t="shared" si="208"/>
        <v/>
      </c>
      <c r="AT340" s="112" t="str">
        <f t="shared" si="209"/>
        <v/>
      </c>
      <c r="AU340" s="1610" t="str">
        <f t="shared" si="210"/>
        <v/>
      </c>
      <c r="AV340" s="1148">
        <f t="shared" si="170"/>
        <v>40</v>
      </c>
      <c r="AW340" s="920" t="str">
        <f t="shared" si="173"/>
        <v>SCT</v>
      </c>
      <c r="AX340" s="1608">
        <f t="shared" si="171"/>
        <v>40</v>
      </c>
      <c r="AY340" s="112" t="str">
        <f>IF(BA340="Y",AZ340,IF(AND(ISNUMBER(AY339),AC340&lt;$F$186+26/25),(MID(INDEX($A$187:$B$210,MATCH("VIS",$A$187:$A$210,0),2),8+(3*COUNT($AY$207:AY339)),1))*1,IF(AND(HOUR(AC340)=HOUR($F$186),DAY(AC340)=DAY($F$186)),(MID(INDEX($A$187:$B$210,MATCH("VIS",$A$187:$A$210,0),2),8,1))*1,"")))</f>
        <v/>
      </c>
      <c r="AZ340" s="112" t="str">
        <f>IF(AND(ISNUMBER(AZ339),AC340&lt;$F$186+26/25),(MID(INDEX($A$187:$B$210,MATCH("CVS",$A$187:$A$210,0),2),8+(3*COUNT($AZ$207:AZ339)),1))*1,IF(AND(HOUR(AC340)=HOUR($F$186),DAY(AC340)=DAY($F$186)),(MID(INDEX($A$187:$B$210,MATCH("CVS",$A$187:$A$210,0),2),8,1))*1,""))</f>
        <v/>
      </c>
      <c r="BA340" s="1610" t="str">
        <f>IF(AND(BA339&lt;&gt;"",AC340&lt;$F$186+26/25),MID(INDEX($A$187:$B$210,MATCH("PCO",$A$187:$A$210,0),2),8+(3*SUM(COUNTIF($BA$207:BA339,"Y"),COUNTIF($BA$207:BA339,"N"))),1),IF(AND(HOUR(AC340)=HOUR($F$186),DAY(AC340)=DAY($F$186)),MID(INDEX($A$187:$B$210,MATCH("PCO",$A$187:$A$210,0),2),8,1),""))</f>
        <v/>
      </c>
      <c r="BB340" s="1610" t="e">
        <f>IF(AND(BB339&lt;&gt;"",AC340&lt;$F$186+26/25),MID(INDEX($A$187:$B$210,MATCH("TYP",$A$187:$A$210,0),2),8+(3*SUM(COUNTIF($BB$207:BB339,"S"),COUNTIF($BB$207:BB339,"Z"), COUNTIF($BB$207:BB339,"R"),COUNTIF($BB$207:BB339,"X"))),1),IF(AND(HOUR(AC340)=HOUR($F$186),DAY(AC340)=DAY($F$186)),MID(INDEX($A$187:$B$210,MATCH("TYP",$A$187:$A$210,0),2),8,1),""))</f>
        <v>#N/A</v>
      </c>
      <c r="BC340" s="112" t="str">
        <f>IF(AND(LEN(BC339)=2,AC340&lt;$F$186+26/25),MID(INDEX($A$187:$B$211,MATCH("OBV",$A$187:$A$211,0),2),7+(3*SUM(COUNTIF($BC$207:BC339," N"),COUNTIF($BC$207:BC339,"HZ"),COUNTIF($BC$207:BC339,"BR"),COUNTIF($BC$207:BC339,"FG"),COUNTIF($BC$207:BC339,"BL"))),2),IF(AND(HOUR(AC340)=HOUR($F$186),DAY(AC340)=DAY($F$186)),MID(INDEX($A$187:$B$211,MATCH("OBV",$A$187:$A$211,0),2),7,2),""))</f>
        <v/>
      </c>
      <c r="BD340" s="112"/>
      <c r="BE340" s="112"/>
      <c r="BF340" s="112"/>
      <c r="BG340" s="1610" t="str">
        <f t="shared" si="200"/>
        <v/>
      </c>
      <c r="BH340" s="115" t="str">
        <f t="shared" si="211"/>
        <v/>
      </c>
      <c r="BI340" s="200" t="str">
        <f t="shared" si="155"/>
        <v/>
      </c>
      <c r="BJ340" s="62" t="str">
        <f t="shared" si="154"/>
        <v/>
      </c>
      <c r="BK340" s="1145" t="str">
        <f t="shared" si="198"/>
        <v/>
      </c>
      <c r="BL340" s="62" t="str">
        <f t="shared" si="156"/>
        <v/>
      </c>
      <c r="BM340" s="1145" t="str">
        <f t="shared" si="217"/>
        <v/>
      </c>
      <c r="BN340" s="1901" t="str">
        <f t="shared" si="199"/>
        <v/>
      </c>
      <c r="BO340" s="1144" t="str">
        <f t="shared" si="157"/>
        <v/>
      </c>
      <c r="BP340" s="106" t="str">
        <f t="shared" si="218"/>
        <v/>
      </c>
      <c r="BQ340" s="66" t="str">
        <f t="shared" si="158"/>
        <v/>
      </c>
      <c r="BR340" s="106" t="str">
        <f t="shared" si="159"/>
        <v/>
      </c>
      <c r="BS340" s="834" t="str">
        <f t="shared" si="202"/>
        <v/>
      </c>
      <c r="BT340" s="106" t="str">
        <f t="shared" si="160"/>
        <v/>
      </c>
      <c r="BU340" s="834" t="str">
        <f t="shared" si="212"/>
        <v/>
      </c>
      <c r="BV340" s="66" t="str">
        <f t="shared" si="213"/>
        <v/>
      </c>
      <c r="BW340" s="66" t="str">
        <f t="shared" si="214"/>
        <v/>
      </c>
      <c r="BX340" s="1198">
        <f t="shared" si="172"/>
        <v>7</v>
      </c>
      <c r="BY340" s="1146" t="str">
        <f t="shared" si="153"/>
        <v>NSW</v>
      </c>
      <c r="CA340" s="3675">
        <f t="shared" si="215"/>
        <v>44752.583333333328</v>
      </c>
      <c r="CB340" s="3675"/>
    </row>
    <row r="341" spans="1:80">
      <c r="A341" s="388"/>
      <c r="G341" s="106"/>
      <c r="H341" s="106"/>
      <c r="I341" s="106"/>
      <c r="J341" s="106"/>
      <c r="K341" s="106"/>
      <c r="L341" s="106"/>
      <c r="AC341" s="977">
        <f t="shared" si="216"/>
        <v>44752.625</v>
      </c>
      <c r="AE341" s="1149" t="str">
        <f>IF(AND(HOUR(AC341)=HOUR($F$186),DAY(AC341)=DAY($F$186)),(MID($B$189,6,3))*1,IF(AND(ISNUMBER(AE340),AC341&lt;$F$186+1+(1/25)),(MID($B$189,6+(3*COUNT($AE$207:AE340)),3))*1,""))</f>
        <v/>
      </c>
      <c r="AF341" s="1164" t="e">
        <f t="shared" si="168"/>
        <v>#VALUE!</v>
      </c>
      <c r="AG341" s="1150">
        <f t="shared" si="203"/>
        <v>71.599999999999994</v>
      </c>
      <c r="AH341" s="1163" t="str">
        <f>IF(AND(ISNUMBER(AH340),AC341&lt;$F$186+26/25),(MID($B$190,6+(3*COUNT($AH$207:AH340)),3))*1,IF(AND(HOUR(AC341)=HOUR($F$186),DAY(AC341)=DAY($F$186)),(MID($B$190,6,3))*1,""))</f>
        <v/>
      </c>
      <c r="AI341" s="200"/>
      <c r="AJ341" s="1164" t="e">
        <f t="shared" si="204"/>
        <v>#VALUE!</v>
      </c>
      <c r="AK341" s="1150">
        <f t="shared" si="205"/>
        <v>59</v>
      </c>
      <c r="AL341" s="1152" t="e">
        <f t="shared" si="169"/>
        <v>#VALUE!</v>
      </c>
      <c r="AM341" s="1153">
        <f t="shared" si="206"/>
        <v>30.07</v>
      </c>
      <c r="AN341" s="1147"/>
      <c r="AO341" s="976" t="str">
        <f>IF(BA341="Y",AP341,IF(AND(ISNUMBER(AO340),AC341&lt;$F$186+26/25),(MID(INDEX($A$187:$B$210,MATCH("CIG",$A$187:$A$210,0),2),8+(3*COUNT($AO$207:AO340)),1))*1,IF(AND(HOUR(AC341)=HOUR($F$186),DAY(AC341)=DAY($F$186)),(MID(INDEX($A$187:$B$210,MATCH("CIG",$A$187:$A$210,0),2),8,1))*1,"")))</f>
        <v/>
      </c>
      <c r="AQ341" s="1061" t="str">
        <f>IF(AND(AQ340&lt;&gt;"",AC341&lt;$F$186+26/25),MID(INDEX($A$187:$B$210,MATCH("CLD",$A$187:$A$210,0),2),7+(3*SUM(COUNTIF($AQ$207:AQ340,"OV"),COUNTIF($AQ$207:AQ340,"BK"),COUNTIF($AQ$207:AQ340,"SC"),COUNTIF($AQ$207:AQ340,"FW"),COUNTIF($AQ$207:AQ340,"CL"))),2),IF(AND(HOUR(AC341)=HOUR($F$186),DAY(AC341)=DAY($F$186)),MID(INDEX($A$187:$B$210,MATCH("CLD",$A$187:$A$210,0),2),7,2),""))</f>
        <v/>
      </c>
      <c r="AR341" s="1149" t="str">
        <f t="shared" si="207"/>
        <v/>
      </c>
      <c r="AS341" s="1150" t="str">
        <f t="shared" si="208"/>
        <v/>
      </c>
      <c r="AT341" s="112" t="str">
        <f t="shared" si="209"/>
        <v/>
      </c>
      <c r="AU341" s="1610" t="str">
        <f t="shared" si="210"/>
        <v/>
      </c>
      <c r="AV341" s="1148">
        <f t="shared" si="170"/>
        <v>40</v>
      </c>
      <c r="AW341" s="920" t="str">
        <f t="shared" si="173"/>
        <v>SCT</v>
      </c>
      <c r="AX341" s="1608">
        <f t="shared" si="171"/>
        <v>40</v>
      </c>
      <c r="AY341" s="112" t="str">
        <f>IF(BA341="Y",AZ341,IF(AND(ISNUMBER(AY340),AC341&lt;$F$186+26/25),(MID(INDEX($A$187:$B$210,MATCH("VIS",$A$187:$A$210,0),2),8+(3*COUNT($AY$207:AY340)),1))*1,IF(AND(HOUR(AC341)=HOUR($F$186),DAY(AC341)=DAY($F$186)),(MID(INDEX($A$187:$B$210,MATCH("VIS",$A$187:$A$210,0),2),8,1))*1,"")))</f>
        <v/>
      </c>
      <c r="AZ341" s="112" t="str">
        <f>IF(AND(ISNUMBER(AZ340),AC341&lt;$F$186+26/25),(MID(INDEX($A$187:$B$210,MATCH("CVS",$A$187:$A$210,0),2),8+(3*COUNT($AZ$207:AZ340)),1))*1,IF(AND(HOUR(AC341)=HOUR($F$186),DAY(AC341)=DAY($F$186)),(MID(INDEX($A$187:$B$210,MATCH("CVS",$A$187:$A$210,0),2),8,1))*1,""))</f>
        <v/>
      </c>
      <c r="BA341" s="1610" t="str">
        <f>IF(AND(BA340&lt;&gt;"",AC341&lt;$F$186+26/25),MID(INDEX($A$187:$B$210,MATCH("PCO",$A$187:$A$210,0),2),8+(3*SUM(COUNTIF($BA$207:BA340,"Y"),COUNTIF($BA$207:BA340,"N"))),1),IF(AND(HOUR(AC341)=HOUR($F$186),DAY(AC341)=DAY($F$186)),MID(INDEX($A$187:$B$210,MATCH("PCO",$A$187:$A$210,0),2),8,1),""))</f>
        <v/>
      </c>
      <c r="BB341" s="1610" t="e">
        <f>IF(AND(BB340&lt;&gt;"",AC341&lt;$F$186+26/25),MID(INDEX($A$187:$B$210,MATCH("TYP",$A$187:$A$210,0),2),8+(3*SUM(COUNTIF($BB$207:BB340,"S"),COUNTIF($BB$207:BB340,"Z"), COUNTIF($BB$207:BB340,"R"),COUNTIF($BB$207:BB340,"X"))),1),IF(AND(HOUR(AC341)=HOUR($F$186),DAY(AC341)=DAY($F$186)),MID(INDEX($A$187:$B$210,MATCH("TYP",$A$187:$A$210,0),2),8,1),""))</f>
        <v>#N/A</v>
      </c>
      <c r="BC341" s="112" t="str">
        <f>IF(AND(LEN(BC340)=2,AC341&lt;$F$186+26/25),MID(INDEX($A$187:$B$211,MATCH("OBV",$A$187:$A$211,0),2),7+(3*SUM(COUNTIF($BC$207:BC340," N"),COUNTIF($BC$207:BC340,"HZ"),COUNTIF($BC$207:BC340,"BR"),COUNTIF($BC$207:BC340,"FG"),COUNTIF($BC$207:BC340,"BL"))),2),IF(AND(HOUR(AC341)=HOUR($F$186),DAY(AC341)=DAY($F$186)),MID(INDEX($A$187:$B$211,MATCH("OBV",$A$187:$A$211,0),2),7,2),""))</f>
        <v/>
      </c>
      <c r="BD341" s="112"/>
      <c r="BE341" s="112"/>
      <c r="BF341" s="112"/>
      <c r="BG341" s="1610" t="str">
        <f t="shared" si="200"/>
        <v/>
      </c>
      <c r="BH341" s="115" t="str">
        <f t="shared" si="211"/>
        <v/>
      </c>
      <c r="BI341" s="200" t="str">
        <f t="shared" si="155"/>
        <v/>
      </c>
      <c r="BJ341" s="62" t="str">
        <f t="shared" si="154"/>
        <v/>
      </c>
      <c r="BK341" s="1145" t="str">
        <f t="shared" si="198"/>
        <v/>
      </c>
      <c r="BL341" s="62" t="str">
        <f t="shared" si="156"/>
        <v/>
      </c>
      <c r="BM341" s="1145" t="str">
        <f t="shared" si="217"/>
        <v/>
      </c>
      <c r="BN341" s="1901" t="str">
        <f t="shared" si="199"/>
        <v/>
      </c>
      <c r="BO341" s="1144" t="str">
        <f t="shared" si="157"/>
        <v/>
      </c>
      <c r="BP341" s="106" t="str">
        <f t="shared" si="218"/>
        <v/>
      </c>
      <c r="BQ341" s="66" t="str">
        <f t="shared" si="158"/>
        <v/>
      </c>
      <c r="BR341" s="106" t="str">
        <f t="shared" si="159"/>
        <v/>
      </c>
      <c r="BS341" s="834" t="str">
        <f t="shared" si="202"/>
        <v/>
      </c>
      <c r="BT341" s="106" t="str">
        <f t="shared" si="160"/>
        <v/>
      </c>
      <c r="BU341" s="834" t="str">
        <f t="shared" si="212"/>
        <v/>
      </c>
      <c r="BV341" s="66" t="str">
        <f t="shared" si="213"/>
        <v/>
      </c>
      <c r="BW341" s="66" t="str">
        <f t="shared" si="214"/>
        <v/>
      </c>
      <c r="BX341" s="1198">
        <f t="shared" si="172"/>
        <v>7</v>
      </c>
      <c r="BY341" s="1146" t="str">
        <f t="shared" si="153"/>
        <v>NSW</v>
      </c>
      <c r="CA341" s="3675">
        <f t="shared" si="215"/>
        <v>44752.625</v>
      </c>
      <c r="CB341" s="3675"/>
    </row>
    <row r="342" spans="1:80">
      <c r="A342" s="388"/>
      <c r="B342" s="106" t="str">
        <f>Worksheet!L322</f>
        <v xml:space="preserve">MAV TEXT BULLETIN </v>
      </c>
      <c r="G342" s="106"/>
      <c r="H342" s="106"/>
      <c r="I342" s="106"/>
      <c r="J342" s="106"/>
      <c r="K342" s="106"/>
      <c r="L342" s="106"/>
      <c r="AC342" s="977">
        <f t="shared" si="216"/>
        <v>44752.666666666664</v>
      </c>
      <c r="AE342" s="1149" t="str">
        <f>IF(AND(HOUR(AC342)=HOUR($F$186),DAY(AC342)=DAY($F$186)),(MID($B$189,6,3))*1,IF(AND(ISNUMBER(AE341),AC342&lt;$F$186+1+(1/25)),(MID($B$189,6+(3*COUNT($AE$207:AE341)),3))*1,""))</f>
        <v/>
      </c>
      <c r="AF342" s="1164" t="e">
        <f t="shared" si="168"/>
        <v>#VALUE!</v>
      </c>
      <c r="AG342" s="1150">
        <f t="shared" si="203"/>
        <v>74</v>
      </c>
      <c r="AH342" s="1163" t="str">
        <f>IF(AND(ISNUMBER(AH341),AC342&lt;$F$186+26/25),(MID($B$190,6+(3*COUNT($AH$207:AH341)),3))*1,IF(AND(HOUR(AC342)=HOUR($F$186),DAY(AC342)=DAY($F$186)),(MID($B$190,6,3))*1,""))</f>
        <v/>
      </c>
      <c r="AI342" s="200"/>
      <c r="AJ342" s="1164" t="e">
        <f t="shared" si="204"/>
        <v>#VALUE!</v>
      </c>
      <c r="AK342" s="1150">
        <f t="shared" si="205"/>
        <v>60.2</v>
      </c>
      <c r="AL342" s="1152" t="e">
        <f t="shared" si="169"/>
        <v>#VALUE!</v>
      </c>
      <c r="AM342" s="1153">
        <f t="shared" si="206"/>
        <v>30.06</v>
      </c>
      <c r="AN342" s="1147"/>
      <c r="AO342" s="976" t="str">
        <f>IF(BA342="Y",AP342,IF(AND(ISNUMBER(AO341),AC342&lt;$F$186+26/25),(MID(INDEX($A$187:$B$210,MATCH("CIG",$A$187:$A$210,0),2),8+(3*COUNT($AO$207:AO341)),1))*1,IF(AND(HOUR(AC342)=HOUR($F$186),DAY(AC342)=DAY($F$186)),(MID(INDEX($A$187:$B$210,MATCH("CIG",$A$187:$A$210,0),2),8,1))*1,"")))</f>
        <v/>
      </c>
      <c r="AQ342" s="1061" t="str">
        <f>IF(AND(AQ341&lt;&gt;"",AC342&lt;$F$186+26/25),MID(INDEX($A$187:$B$210,MATCH("CLD",$A$187:$A$210,0),2),7+(3*SUM(COUNTIF($AQ$207:AQ341,"OV"),COUNTIF($AQ$207:AQ341,"BK"),COUNTIF($AQ$207:AQ341,"SC"),COUNTIF($AQ$207:AQ341,"FW"),COUNTIF($AQ$207:AQ341,"CL"))),2),IF(AND(HOUR(AC342)=HOUR($F$186),DAY(AC342)=DAY($F$186)),MID(INDEX($A$187:$B$210,MATCH("CLD",$A$187:$A$210,0),2),7,2),""))</f>
        <v/>
      </c>
      <c r="AR342" s="1149" t="str">
        <f t="shared" si="207"/>
        <v/>
      </c>
      <c r="AS342" s="1150" t="str">
        <f t="shared" si="208"/>
        <v/>
      </c>
      <c r="AT342" s="112" t="str">
        <f t="shared" si="209"/>
        <v/>
      </c>
      <c r="AU342" s="1610" t="str">
        <f t="shared" si="210"/>
        <v/>
      </c>
      <c r="AV342" s="1148">
        <f t="shared" si="170"/>
        <v>40</v>
      </c>
      <c r="AW342" s="920" t="str">
        <f t="shared" si="173"/>
        <v>SCT</v>
      </c>
      <c r="AX342" s="1608">
        <f t="shared" si="171"/>
        <v>40</v>
      </c>
      <c r="AY342" s="112" t="str">
        <f>IF(BA342="Y",AZ342,IF(AND(ISNUMBER(AY341),AC342&lt;$F$186+26/25),(MID(INDEX($A$187:$B$210,MATCH("VIS",$A$187:$A$210,0),2),8+(3*COUNT($AY$207:AY341)),1))*1,IF(AND(HOUR(AC342)=HOUR($F$186),DAY(AC342)=DAY($F$186)),(MID(INDEX($A$187:$B$210,MATCH("VIS",$A$187:$A$210,0),2),8,1))*1,"")))</f>
        <v/>
      </c>
      <c r="AZ342" s="112" t="str">
        <f>IF(AND(ISNUMBER(AZ341),AC342&lt;$F$186+26/25),(MID(INDEX($A$187:$B$210,MATCH("CVS",$A$187:$A$210,0),2),8+(3*COUNT($AZ$207:AZ341)),1))*1,IF(AND(HOUR(AC342)=HOUR($F$186),DAY(AC342)=DAY($F$186)),(MID(INDEX($A$187:$B$210,MATCH("CVS",$A$187:$A$210,0),2),8,1))*1,""))</f>
        <v/>
      </c>
      <c r="BA342" s="1610" t="str">
        <f>IF(AND(BA341&lt;&gt;"",AC342&lt;$F$186+26/25),MID(INDEX($A$187:$B$210,MATCH("PCO",$A$187:$A$210,0),2),8+(3*SUM(COUNTIF($BA$207:BA341,"Y"),COUNTIF($BA$207:BA341,"N"))),1),IF(AND(HOUR(AC342)=HOUR($F$186),DAY(AC342)=DAY($F$186)),MID(INDEX($A$187:$B$210,MATCH("PCO",$A$187:$A$210,0),2),8,1),""))</f>
        <v/>
      </c>
      <c r="BB342" s="1610" t="e">
        <f>IF(AND(BB341&lt;&gt;"",AC342&lt;$F$186+26/25),MID(INDEX($A$187:$B$210,MATCH("TYP",$A$187:$A$210,0),2),8+(3*SUM(COUNTIF($BB$207:BB341,"S"),COUNTIF($BB$207:BB341,"Z"), COUNTIF($BB$207:BB341,"R"),COUNTIF($BB$207:BB341,"X"))),1),IF(AND(HOUR(AC342)=HOUR($F$186),DAY(AC342)=DAY($F$186)),MID(INDEX($A$187:$B$210,MATCH("TYP",$A$187:$A$210,0),2),8,1),""))</f>
        <v>#N/A</v>
      </c>
      <c r="BC342" s="112" t="str">
        <f>IF(AND(LEN(BC341)=2,AC342&lt;$F$186+26/25),MID(INDEX($A$187:$B$211,MATCH("OBV",$A$187:$A$211,0),2),7+(3*SUM(COUNTIF($BC$207:BC341," N"),COUNTIF($BC$207:BC341,"HZ"),COUNTIF($BC$207:BC341,"BR"),COUNTIF($BC$207:BC341,"FG"),COUNTIF($BC$207:BC341,"BL"))),2),IF(AND(HOUR(AC342)=HOUR($F$186),DAY(AC342)=DAY($F$186)),MID(INDEX($A$187:$B$211,MATCH("OBV",$A$187:$A$211,0),2),7,2),""))</f>
        <v/>
      </c>
      <c r="BD342" s="112"/>
      <c r="BE342" s="112"/>
      <c r="BF342" s="112"/>
      <c r="BG342" s="1610" t="str">
        <f t="shared" si="200"/>
        <v/>
      </c>
      <c r="BH342" s="115" t="str">
        <f t="shared" si="211"/>
        <v/>
      </c>
      <c r="BI342" s="200" t="str">
        <f t="shared" si="155"/>
        <v/>
      </c>
      <c r="BJ342" s="62" t="str">
        <f t="shared" si="154"/>
        <v/>
      </c>
      <c r="BK342" s="1145" t="str">
        <f t="shared" si="198"/>
        <v/>
      </c>
      <c r="BL342" s="62" t="str">
        <f t="shared" si="156"/>
        <v/>
      </c>
      <c r="BM342" s="1145" t="str">
        <f t="shared" si="217"/>
        <v/>
      </c>
      <c r="BN342" s="1901" t="str">
        <f t="shared" si="199"/>
        <v/>
      </c>
      <c r="BO342" s="1144" t="str">
        <f t="shared" si="157"/>
        <v/>
      </c>
      <c r="BP342" s="106" t="str">
        <f t="shared" si="218"/>
        <v/>
      </c>
      <c r="BQ342" s="66" t="str">
        <f t="shared" si="158"/>
        <v/>
      </c>
      <c r="BR342" s="106" t="str">
        <f t="shared" si="159"/>
        <v/>
      </c>
      <c r="BS342" s="834" t="str">
        <f t="shared" si="202"/>
        <v/>
      </c>
      <c r="BT342" s="106" t="str">
        <f t="shared" si="160"/>
        <v/>
      </c>
      <c r="BU342" s="834" t="str">
        <f t="shared" si="212"/>
        <v/>
      </c>
      <c r="BV342" s="66" t="str">
        <f t="shared" si="213"/>
        <v/>
      </c>
      <c r="BW342" s="66" t="str">
        <f t="shared" si="214"/>
        <v/>
      </c>
      <c r="BX342" s="1198">
        <f t="shared" si="172"/>
        <v>7</v>
      </c>
      <c r="BY342" s="1146" t="str">
        <f t="shared" si="153"/>
        <v>NSW</v>
      </c>
      <c r="CA342" s="3675">
        <f t="shared" si="215"/>
        <v>44752.666666666664</v>
      </c>
      <c r="CB342" s="3675"/>
    </row>
    <row r="343" spans="1:80" ht="10.5">
      <c r="A343" s="1050" t="str">
        <f>IF(ISNUMBER(FIND("UTC",B343)),MID(B343,2,4),IF(ISNUMBER(FIND("GFS",B343)),LEFT(B343,3),MID(B343,2,3)))</f>
        <v/>
      </c>
      <c r="B343" s="106">
        <f>Worksheet!L323</f>
        <v>0</v>
      </c>
      <c r="G343" s="106"/>
      <c r="H343" s="106"/>
      <c r="I343" s="106"/>
      <c r="J343" s="106"/>
      <c r="K343" s="106"/>
      <c r="L343" s="106"/>
      <c r="AC343" s="977">
        <f t="shared" si="216"/>
        <v>44752.708333333328</v>
      </c>
      <c r="AE343" s="1149" t="str">
        <f>IF(AND(HOUR(AC343)=HOUR($F$186),DAY(AC343)=DAY($F$186)),(MID($B$189,6,3))*1,IF(AND(ISNUMBER(AE342),AC343&lt;$F$186+1+(1/25)),(MID($B$189,6+(3*COUNT($AE$207:AE342)),3))*1,""))</f>
        <v/>
      </c>
      <c r="AF343" s="1164" t="e">
        <f t="shared" si="168"/>
        <v>#VALUE!</v>
      </c>
      <c r="AG343" s="1150">
        <f t="shared" si="203"/>
        <v>76.400000000000006</v>
      </c>
      <c r="AH343" s="1163" t="str">
        <f>IF(AND(ISNUMBER(AH342),AC343&lt;$F$186+26/25),(MID($B$190,6+(3*COUNT($AH$207:AH342)),3))*1,IF(AND(HOUR(AC343)=HOUR($F$186),DAY(AC343)=DAY($F$186)),(MID($B$190,6,3))*1,""))</f>
        <v/>
      </c>
      <c r="AI343" s="200"/>
      <c r="AJ343" s="1164" t="e">
        <f t="shared" si="204"/>
        <v>#VALUE!</v>
      </c>
      <c r="AK343" s="1150">
        <f t="shared" si="205"/>
        <v>61.4</v>
      </c>
      <c r="AL343" s="1152" t="e">
        <f t="shared" si="169"/>
        <v>#VALUE!</v>
      </c>
      <c r="AM343" s="1153">
        <f t="shared" si="206"/>
        <v>30.05</v>
      </c>
      <c r="AN343" s="1147"/>
      <c r="AO343" s="976" t="str">
        <f>IF(BA343="Y",AP343,IF(AND(ISNUMBER(AO342),AC343&lt;$F$186+26/25),(MID(INDEX($A$187:$B$210,MATCH("CIG",$A$187:$A$210,0),2),8+(3*COUNT($AO$207:AO342)),1))*1,IF(AND(HOUR(AC343)=HOUR($F$186),DAY(AC343)=DAY($F$186)),(MID(INDEX($A$187:$B$210,MATCH("CIG",$A$187:$A$210,0),2),8,1))*1,"")))</f>
        <v/>
      </c>
      <c r="AQ343" s="1061" t="str">
        <f>IF(AND(AQ342&lt;&gt;"",AC343&lt;$F$186+26/25),MID(INDEX($A$187:$B$210,MATCH("CLD",$A$187:$A$210,0),2),7+(3*SUM(COUNTIF($AQ$207:AQ342,"OV"),COUNTIF($AQ$207:AQ342,"BK"),COUNTIF($AQ$207:AQ342,"SC"),COUNTIF($AQ$207:AQ342,"FW"),COUNTIF($AQ$207:AQ342,"CL"))),2),IF(AND(HOUR(AC343)=HOUR($F$186),DAY(AC343)=DAY($F$186)),MID(INDEX($A$187:$B$210,MATCH("CLD",$A$187:$A$210,0),2),7,2),""))</f>
        <v/>
      </c>
      <c r="AR343" s="1149" t="str">
        <f t="shared" si="207"/>
        <v/>
      </c>
      <c r="AS343" s="1150" t="str">
        <f t="shared" si="208"/>
        <v/>
      </c>
      <c r="AT343" s="112" t="str">
        <f t="shared" si="209"/>
        <v/>
      </c>
      <c r="AU343" s="1610" t="str">
        <f t="shared" si="210"/>
        <v/>
      </c>
      <c r="AV343" s="1148">
        <f t="shared" si="170"/>
        <v>40</v>
      </c>
      <c r="AW343" s="920" t="str">
        <f t="shared" si="173"/>
        <v>SCT</v>
      </c>
      <c r="AX343" s="1608">
        <f t="shared" si="171"/>
        <v>40</v>
      </c>
      <c r="AY343" s="112" t="str">
        <f>IF(BA343="Y",AZ343,IF(AND(ISNUMBER(AY342),AC343&lt;$F$186+26/25),(MID(INDEX($A$187:$B$210,MATCH("VIS",$A$187:$A$210,0),2),8+(3*COUNT($AY$207:AY342)),1))*1,IF(AND(HOUR(AC343)=HOUR($F$186),DAY(AC343)=DAY($F$186)),(MID(INDEX($A$187:$B$210,MATCH("VIS",$A$187:$A$210,0),2),8,1))*1,"")))</f>
        <v/>
      </c>
      <c r="AZ343" s="112" t="str">
        <f>IF(AND(ISNUMBER(AZ342),AC343&lt;$F$186+26/25),(MID(INDEX($A$187:$B$210,MATCH("CVS",$A$187:$A$210,0),2),8+(3*COUNT($AZ$207:AZ342)),1))*1,IF(AND(HOUR(AC343)=HOUR($F$186),DAY(AC343)=DAY($F$186)),(MID(INDEX($A$187:$B$210,MATCH("CVS",$A$187:$A$210,0),2),8,1))*1,""))</f>
        <v/>
      </c>
      <c r="BA343" s="1610" t="str">
        <f>IF(AND(BA342&lt;&gt;"",AC343&lt;$F$186+26/25),MID(INDEX($A$187:$B$210,MATCH("PCO",$A$187:$A$210,0),2),8+(3*SUM(COUNTIF($BA$207:BA342,"Y"),COUNTIF($BA$207:BA342,"N"))),1),IF(AND(HOUR(AC343)=HOUR($F$186),DAY(AC343)=DAY($F$186)),MID(INDEX($A$187:$B$210,MATCH("PCO",$A$187:$A$210,0),2),8,1),""))</f>
        <v/>
      </c>
      <c r="BB343" s="1610" t="e">
        <f>IF(AND(BB342&lt;&gt;"",AC343&lt;$F$186+26/25),MID(INDEX($A$187:$B$210,MATCH("TYP",$A$187:$A$210,0),2),8+(3*SUM(COUNTIF($BB$207:BB342,"S"),COUNTIF($BB$207:BB342,"Z"), COUNTIF($BB$207:BB342,"R"),COUNTIF($BB$207:BB342,"X"))),1),IF(AND(HOUR(AC343)=HOUR($F$186),DAY(AC343)=DAY($F$186)),MID(INDEX($A$187:$B$210,MATCH("TYP",$A$187:$A$210,0),2),8,1),""))</f>
        <v>#N/A</v>
      </c>
      <c r="BC343" s="112" t="str">
        <f>IF(AND(LEN(BC342)=2,AC343&lt;$F$186+26/25),MID(INDEX($A$187:$B$211,MATCH("OBV",$A$187:$A$211,0),2),7+(3*SUM(COUNTIF($BC$207:BC342," N"),COUNTIF($BC$207:BC342,"HZ"),COUNTIF($BC$207:BC342,"BR"),COUNTIF($BC$207:BC342,"FG"),COUNTIF($BC$207:BC342,"BL"))),2),IF(AND(HOUR(AC343)=HOUR($F$186),DAY(AC343)=DAY($F$186)),MID(INDEX($A$187:$B$211,MATCH("OBV",$A$187:$A$211,0),2),7,2),""))</f>
        <v/>
      </c>
      <c r="BD343" s="112"/>
      <c r="BE343" s="112"/>
      <c r="BF343" s="112"/>
      <c r="BG343" s="1610" t="str">
        <f t="shared" si="200"/>
        <v/>
      </c>
      <c r="BH343" s="115" t="str">
        <f t="shared" si="211"/>
        <v/>
      </c>
      <c r="BI343" s="200" t="str">
        <f t="shared" si="155"/>
        <v/>
      </c>
      <c r="BJ343" s="62" t="str">
        <f t="shared" si="154"/>
        <v/>
      </c>
      <c r="BK343" s="1145" t="str">
        <f t="shared" si="198"/>
        <v/>
      </c>
      <c r="BL343" s="62" t="str">
        <f t="shared" si="156"/>
        <v/>
      </c>
      <c r="BM343" s="1145" t="str">
        <f t="shared" si="217"/>
        <v/>
      </c>
      <c r="BN343" s="1901" t="str">
        <f t="shared" si="199"/>
        <v/>
      </c>
      <c r="BO343" s="1144" t="str">
        <f t="shared" si="157"/>
        <v/>
      </c>
      <c r="BP343" s="106" t="str">
        <f t="shared" si="218"/>
        <v/>
      </c>
      <c r="BQ343" s="66" t="str">
        <f t="shared" si="158"/>
        <v/>
      </c>
      <c r="BR343" s="106" t="str">
        <f t="shared" si="159"/>
        <v/>
      </c>
      <c r="BS343" s="834" t="str">
        <f t="shared" si="202"/>
        <v/>
      </c>
      <c r="BT343" s="106" t="str">
        <f t="shared" si="160"/>
        <v/>
      </c>
      <c r="BU343" s="834" t="str">
        <f t="shared" si="212"/>
        <v/>
      </c>
      <c r="BV343" s="66" t="str">
        <f t="shared" si="213"/>
        <v/>
      </c>
      <c r="BW343" s="66" t="str">
        <f t="shared" si="214"/>
        <v/>
      </c>
      <c r="BX343" s="1198">
        <f t="shared" si="172"/>
        <v>7</v>
      </c>
      <c r="BY343" s="1146" t="str">
        <f t="shared" ref="BY343:BY389" si="219">IF(OR(AC343&lt;($B$237-0.001),AC343&gt;(MAX($B$241:$B$321)+0.001)),"",IF(OR(ISNUMBER(MATCH(AC343,$W$241:$W$321,0)),MOD(HOUR(AC343),3)=0),LOOKUP(AC343,$B$241:$B$321,$T$241:$T$321),IF(MOD(HOUR(AC342),3)=0,IF(AND(BX343&lt;7,BY342="NSW"),BY344,BY342),IF(AND(BX343&lt;7,BY344="NSW"),BY342,BY344))))</f>
        <v>NSW</v>
      </c>
      <c r="CA343" s="3675">
        <f t="shared" si="215"/>
        <v>44752.708333333328</v>
      </c>
      <c r="CB343" s="3675"/>
    </row>
    <row r="344" spans="1:80" ht="10.5">
      <c r="A344" s="1050" t="str">
        <f>IF(ISNUMBER(FIND("UTC",B344)),MID(B344,2,4),IF(ISNUMBER(FIND("GFS",B344)),LEFT(B344,3),MID(B344,2,3)))</f>
        <v>KFTK</v>
      </c>
      <c r="B344" s="106" t="str">
        <f>Worksheet!L324</f>
        <v xml:space="preserve"> KFTK   GFS MOS GUIDANCE    7/05/2022  1800 UTC                      </v>
      </c>
      <c r="E344" s="468" t="str">
        <f>IF(ISNUMBER(FIND("UTC",B343)),MID(B343,FIND("UTC",B343)-17,16),IF(ISNUMBER(FIND("UTC",B344)),MID(B344,FIND("UTC",B344)-17,16),IF(ISNUMBER(FIND("UTC",B345)),MID(B345,FIND("UTC",B345)-17,16),IF(ISNUMBER(FIND("UTC",B346)),MID(B346,FIND("UTC",B346)-17,16),IF(ISNUMBER(FIND("UTC",B347)),MID(B347,FIND("UTC",B347)-17,16),"X")))))</f>
        <v xml:space="preserve"> 7/05/2022  1800</v>
      </c>
      <c r="F344" s="3673">
        <f>DATE(MID(E344,FIND("/",E344)+4,4)*1,LEFT(E344,IF(FIND("/",E344)=2,1,2))*1,MID(E344,FIND("/",E344)+1,2)*1)+MID(E344,LEN(E344)-3,2)*1/24</f>
        <v>44747.75</v>
      </c>
      <c r="G344" s="3673"/>
      <c r="AC344" s="977">
        <f t="shared" si="216"/>
        <v>44752.75</v>
      </c>
      <c r="AE344" s="1149" t="str">
        <f>IF(AND(HOUR(AC344)=HOUR($F$186),DAY(AC344)=DAY($F$186)),(MID($B$189,6,3))*1,IF(AND(ISNUMBER(AE343),AC344&lt;$F$186+1+(1/25)),(MID($B$189,6+(3*COUNT($AE$207:AE343)),3))*1,""))</f>
        <v/>
      </c>
      <c r="AF344" s="1164" t="e">
        <f t="shared" si="168"/>
        <v>#VALUE!</v>
      </c>
      <c r="AG344" s="1150">
        <f t="shared" si="203"/>
        <v>78.800000000000011</v>
      </c>
      <c r="AH344" s="1163" t="str">
        <f>IF(AND(ISNUMBER(AH343),AC344&lt;$F$186+26/25),(MID($B$190,6+(3*COUNT($AH$207:AH343)),3))*1,IF(AND(HOUR(AC344)=HOUR($F$186),DAY(AC344)=DAY($F$186)),(MID($B$190,6,3))*1,""))</f>
        <v/>
      </c>
      <c r="AI344" s="200"/>
      <c r="AJ344" s="1164" t="e">
        <f t="shared" si="204"/>
        <v>#VALUE!</v>
      </c>
      <c r="AK344" s="1150">
        <f t="shared" si="205"/>
        <v>62.6</v>
      </c>
      <c r="AL344" s="1152" t="e">
        <f t="shared" si="169"/>
        <v>#VALUE!</v>
      </c>
      <c r="AM344" s="1153">
        <f t="shared" si="206"/>
        <v>30.04</v>
      </c>
      <c r="AN344" s="1147"/>
      <c r="AO344" s="976" t="str">
        <f>IF(BA344="Y",AP344,IF(AND(ISNUMBER(AO343),AC344&lt;$F$186+26/25),(MID(INDEX($A$187:$B$210,MATCH("CIG",$A$187:$A$210,0),2),8+(3*COUNT($AO$207:AO343)),1))*1,IF(AND(HOUR(AC344)=HOUR($F$186),DAY(AC344)=DAY($F$186)),(MID(INDEX($A$187:$B$210,MATCH("CIG",$A$187:$A$210,0),2),8,1))*1,"")))</f>
        <v/>
      </c>
      <c r="AQ344" s="1061" t="str">
        <f>IF(AND(AQ343&lt;&gt;"",AC344&lt;$F$186+26/25),MID(INDEX($A$187:$B$210,MATCH("CLD",$A$187:$A$210,0),2),7+(3*SUM(COUNTIF($AQ$207:AQ343,"OV"),COUNTIF($AQ$207:AQ343,"BK"),COUNTIF($AQ$207:AQ343,"SC"),COUNTIF($AQ$207:AQ343,"FW"),COUNTIF($AQ$207:AQ343,"CL"))),2),IF(AND(HOUR(AC344)=HOUR($F$186),DAY(AC344)=DAY($F$186)),MID(INDEX($A$187:$B$210,MATCH("CLD",$A$187:$A$210,0),2),7,2),""))</f>
        <v/>
      </c>
      <c r="AR344" s="1149" t="str">
        <f t="shared" si="207"/>
        <v/>
      </c>
      <c r="AS344" s="1150" t="str">
        <f t="shared" si="208"/>
        <v/>
      </c>
      <c r="AT344" s="112" t="str">
        <f t="shared" si="209"/>
        <v/>
      </c>
      <c r="AU344" s="1610" t="str">
        <f t="shared" si="210"/>
        <v/>
      </c>
      <c r="AV344" s="1148">
        <f t="shared" si="170"/>
        <v>40</v>
      </c>
      <c r="AW344" s="920" t="str">
        <f t="shared" si="173"/>
        <v>SCT</v>
      </c>
      <c r="AX344" s="1608">
        <f t="shared" si="171"/>
        <v>40</v>
      </c>
      <c r="AY344" s="112" t="str">
        <f>IF(BA344="Y",AZ344,IF(AND(ISNUMBER(AY343),AC344&lt;$F$186+26/25),(MID(INDEX($A$187:$B$210,MATCH("VIS",$A$187:$A$210,0),2),8+(3*COUNT($AY$207:AY343)),1))*1,IF(AND(HOUR(AC344)=HOUR($F$186),DAY(AC344)=DAY($F$186)),(MID(INDEX($A$187:$B$210,MATCH("VIS",$A$187:$A$210,0),2),8,1))*1,"")))</f>
        <v/>
      </c>
      <c r="AZ344" s="112" t="str">
        <f>IF(AND(ISNUMBER(AZ343),AC344&lt;$F$186+26/25),(MID(INDEX($A$187:$B$210,MATCH("CVS",$A$187:$A$210,0),2),8+(3*COUNT($AZ$207:AZ343)),1))*1,IF(AND(HOUR(AC344)=HOUR($F$186),DAY(AC344)=DAY($F$186)),(MID(INDEX($A$187:$B$210,MATCH("CVS",$A$187:$A$210,0),2),8,1))*1,""))</f>
        <v/>
      </c>
      <c r="BA344" s="1610" t="str">
        <f>IF(AND(BA343&lt;&gt;"",AC344&lt;$F$186+26/25),MID(INDEX($A$187:$B$210,MATCH("PCO",$A$187:$A$210,0),2),8+(3*SUM(COUNTIF($BA$207:BA343,"Y"),COUNTIF($BA$207:BA343,"N"))),1),IF(AND(HOUR(AC344)=HOUR($F$186),DAY(AC344)=DAY($F$186)),MID(INDEX($A$187:$B$210,MATCH("PCO",$A$187:$A$210,0),2),8,1),""))</f>
        <v/>
      </c>
      <c r="BB344" s="1610" t="e">
        <f>IF(AND(BB343&lt;&gt;"",AC344&lt;$F$186+26/25),MID(INDEX($A$187:$B$210,MATCH("TYP",$A$187:$A$210,0),2),8+(3*SUM(COUNTIF($BB$207:BB343,"S"),COUNTIF($BB$207:BB343,"Z"), COUNTIF($BB$207:BB343,"R"),COUNTIF($BB$207:BB343,"X"))),1),IF(AND(HOUR(AC344)=HOUR($F$186),DAY(AC344)=DAY($F$186)),MID(INDEX($A$187:$B$210,MATCH("TYP",$A$187:$A$210,0),2),8,1),""))</f>
        <v>#N/A</v>
      </c>
      <c r="BC344" s="112" t="str">
        <f>IF(AND(LEN(BC343)=2,AC344&lt;$F$186+26/25),MID(INDEX($A$187:$B$211,MATCH("OBV",$A$187:$A$211,0),2),7+(3*SUM(COUNTIF($BC$207:BC343," N"),COUNTIF($BC$207:BC343,"HZ"),COUNTIF($BC$207:BC343,"BR"),COUNTIF($BC$207:BC343,"FG"),COUNTIF($BC$207:BC343,"BL"))),2),IF(AND(HOUR(AC344)=HOUR($F$186),DAY(AC344)=DAY($F$186)),MID(INDEX($A$187:$B$211,MATCH("OBV",$A$187:$A$211,0),2),7,2),""))</f>
        <v/>
      </c>
      <c r="BD344" s="112"/>
      <c r="BE344" s="112"/>
      <c r="BF344" s="112"/>
      <c r="BG344" s="1610" t="str">
        <f t="shared" si="200"/>
        <v/>
      </c>
      <c r="BH344" s="115" t="str">
        <f t="shared" si="211"/>
        <v/>
      </c>
      <c r="BI344" s="200" t="str">
        <f t="shared" si="155"/>
        <v/>
      </c>
      <c r="BJ344" s="62" t="str">
        <f t="shared" si="154"/>
        <v/>
      </c>
      <c r="BK344" s="1145" t="str">
        <f t="shared" si="198"/>
        <v/>
      </c>
      <c r="BL344" s="62" t="str">
        <f t="shared" si="156"/>
        <v/>
      </c>
      <c r="BM344" s="1145" t="str">
        <f t="shared" si="217"/>
        <v/>
      </c>
      <c r="BN344" s="1901" t="str">
        <f t="shared" si="199"/>
        <v/>
      </c>
      <c r="BO344" s="1144" t="str">
        <f t="shared" si="157"/>
        <v/>
      </c>
      <c r="BP344" s="106" t="str">
        <f t="shared" si="218"/>
        <v/>
      </c>
      <c r="BQ344" s="66" t="str">
        <f t="shared" si="158"/>
        <v/>
      </c>
      <c r="BR344" s="106" t="str">
        <f t="shared" si="159"/>
        <v/>
      </c>
      <c r="BS344" s="834" t="str">
        <f>IF(COUNT(BR344:BR349)&gt;0,IF(MOD(HOUR(AC344),6)=0,AVERAGE(MAX(BP344:BP350),MIN(BP344:BP350)),IF(MOD(HOUR(AC344),3)=0,MAX(BP345:BP350),IF(MOD(HOUR(AC343),3)=0,BS343,BS345))),"")</f>
        <v/>
      </c>
      <c r="BT344" s="106" t="str">
        <f t="shared" si="160"/>
        <v/>
      </c>
      <c r="BU344" s="834" t="str">
        <f t="shared" si="212"/>
        <v/>
      </c>
      <c r="BV344" s="66" t="str">
        <f t="shared" si="213"/>
        <v/>
      </c>
      <c r="BW344" s="66" t="str">
        <f t="shared" si="214"/>
        <v/>
      </c>
      <c r="BX344" s="1198">
        <f t="shared" si="172"/>
        <v>7</v>
      </c>
      <c r="BY344" s="1146" t="str">
        <f t="shared" si="219"/>
        <v>NSW</v>
      </c>
      <c r="CA344" s="3675">
        <f t="shared" si="215"/>
        <v>44752.75</v>
      </c>
      <c r="CB344" s="3675"/>
    </row>
    <row r="345" spans="1:80" ht="11.5">
      <c r="A345" s="1050" t="str">
        <f t="shared" ref="A345:A360" si="220">IF(ISNUMBER(FIND("UTC",B345)),MID(B345,2,4),IF(ISNUMBER(FIND("GFS",B345)),LEFT(B345,3),MID(B345,2,3)))</f>
        <v xml:space="preserve">DT </v>
      </c>
      <c r="B345" s="106" t="str">
        <f>Worksheet!L325</f>
        <v xml:space="preserve"> DT /JULY  6                  /JULY  7                /JULY  8       </v>
      </c>
      <c r="E345" s="1050" t="s">
        <v>2744</v>
      </c>
      <c r="F345" s="3663">
        <f>F344+1/4</f>
        <v>44748</v>
      </c>
      <c r="G345" s="3663"/>
      <c r="AC345" s="977">
        <f t="shared" si="216"/>
        <v>44752.791666666664</v>
      </c>
      <c r="AE345" s="1149" t="str">
        <f>IF(AND(HOUR(AC345)=HOUR($F$186),DAY(AC345)=DAY($F$186)),(MID($B$189,6,3))*1,IF(AND(ISNUMBER(AE344),AC345&lt;$F$186+1+(1/25)),(MID($B$189,6+(3*COUNT($AE$207:AE344)),3))*1,""))</f>
        <v/>
      </c>
      <c r="AF345" s="1164" t="e">
        <f t="shared" si="168"/>
        <v>#VALUE!</v>
      </c>
      <c r="AG345" s="1150">
        <f t="shared" si="203"/>
        <v>79.400000000000006</v>
      </c>
      <c r="AH345" s="1163" t="str">
        <f>IF(AND(ISNUMBER(AH344),AC345&lt;$F$186+26/25),(MID($B$190,6+(3*COUNT($AH$207:AH344)),3))*1,IF(AND(HOUR(AC345)=HOUR($F$186),DAY(AC345)=DAY($F$186)),(MID($B$190,6,3))*1,""))</f>
        <v/>
      </c>
      <c r="AI345" s="200"/>
      <c r="AJ345" s="1164" t="e">
        <f t="shared" si="204"/>
        <v>#VALUE!</v>
      </c>
      <c r="AK345" s="1150">
        <f t="shared" si="205"/>
        <v>62</v>
      </c>
      <c r="AL345" s="1152" t="e">
        <f t="shared" si="169"/>
        <v>#VALUE!</v>
      </c>
      <c r="AM345" s="1153">
        <f t="shared" si="206"/>
        <v>30.026666666666667</v>
      </c>
      <c r="AN345" s="1147"/>
      <c r="AO345" s="976" t="str">
        <f>IF(BA345="Y",AP345,IF(AND(ISNUMBER(AO344),AC345&lt;$F$186+26/25),(MID(INDEX($A$187:$B$210,MATCH("CIG",$A$187:$A$210,0),2),8+(3*COUNT($AO$207:AO344)),1))*1,IF(AND(HOUR(AC345)=HOUR($F$186),DAY(AC345)=DAY($F$186)),(MID(INDEX($A$187:$B$210,MATCH("CIG",$A$187:$A$210,0),2),8,1))*1,"")))</f>
        <v/>
      </c>
      <c r="AQ345" s="1061" t="str">
        <f>IF(AND(AQ344&lt;&gt;"",AC345&lt;$F$186+26/25),MID(INDEX($A$187:$B$210,MATCH("CLD",$A$187:$A$210,0),2),7+(3*SUM(COUNTIF($AQ$207:AQ344,"OV"),COUNTIF($AQ$207:AQ344,"BK"),COUNTIF($AQ$207:AQ344,"SC"),COUNTIF($AQ$207:AQ344,"FW"),COUNTIF($AQ$207:AQ344,"CL"))),2),IF(AND(HOUR(AC345)=HOUR($F$186),DAY(AC345)=DAY($F$186)),MID(INDEX($A$187:$B$210,MATCH("CLD",$A$187:$A$210,0),2),7,2),""))</f>
        <v/>
      </c>
      <c r="AR345" s="1149" t="str">
        <f t="shared" si="207"/>
        <v/>
      </c>
      <c r="AS345" s="1150" t="str">
        <f t="shared" si="208"/>
        <v/>
      </c>
      <c r="AT345" s="112" t="str">
        <f t="shared" si="209"/>
        <v/>
      </c>
      <c r="AU345" s="1610" t="str">
        <f t="shared" si="210"/>
        <v/>
      </c>
      <c r="AV345" s="1148">
        <f t="shared" si="170"/>
        <v>40</v>
      </c>
      <c r="AW345" s="920" t="str">
        <f t="shared" si="173"/>
        <v>SCT</v>
      </c>
      <c r="AX345" s="1608">
        <f t="shared" si="171"/>
        <v>40</v>
      </c>
      <c r="AY345" s="112" t="str">
        <f>IF(BA345="Y",AZ345,IF(AND(ISNUMBER(AY344),AC345&lt;$F$186+26/25),(MID(INDEX($A$187:$B$210,MATCH("VIS",$A$187:$A$210,0),2),8+(3*COUNT($AY$207:AY344)),1))*1,IF(AND(HOUR(AC345)=HOUR($F$186),DAY(AC345)=DAY($F$186)),(MID(INDEX($A$187:$B$210,MATCH("VIS",$A$187:$A$210,0),2),8,1))*1,"")))</f>
        <v/>
      </c>
      <c r="AZ345" s="112" t="str">
        <f>IF(AND(ISNUMBER(AZ344),AC345&lt;$F$186+26/25),(MID(INDEX($A$187:$B$210,MATCH("CVS",$A$187:$A$210,0),2),8+(3*COUNT($AZ$207:AZ344)),1))*1,IF(AND(HOUR(AC345)=HOUR($F$186),DAY(AC345)=DAY($F$186)),(MID(INDEX($A$187:$B$210,MATCH("CVS",$A$187:$A$210,0),2),8,1))*1,""))</f>
        <v/>
      </c>
      <c r="BA345" s="1610" t="str">
        <f>IF(AND(BA344&lt;&gt;"",AC345&lt;$F$186+26/25),MID(INDEX($A$187:$B$210,MATCH("PCO",$A$187:$A$210,0),2),8+(3*SUM(COUNTIF($BA$207:BA344,"Y"),COUNTIF($BA$207:BA344,"N"))),1),IF(AND(HOUR(AC345)=HOUR($F$186),DAY(AC345)=DAY($F$186)),MID(INDEX($A$187:$B$210,MATCH("PCO",$A$187:$A$210,0),2),8,1),""))</f>
        <v/>
      </c>
      <c r="BB345" s="1610" t="e">
        <f>IF(AND(BB344&lt;&gt;"",AC345&lt;$F$186+26/25),MID(INDEX($A$187:$B$210,MATCH("TYP",$A$187:$A$210,0),2),8+(3*SUM(COUNTIF($BB$207:BB344,"S"),COUNTIF($BB$207:BB344,"Z"), COUNTIF($BB$207:BB344,"R"),COUNTIF($BB$207:BB344,"X"))),1),IF(AND(HOUR(AC345)=HOUR($F$186),DAY(AC345)=DAY($F$186)),MID(INDEX($A$187:$B$210,MATCH("TYP",$A$187:$A$210,0),2),8,1),""))</f>
        <v>#N/A</v>
      </c>
      <c r="BC345" s="112" t="str">
        <f>IF(AND(LEN(BC344)=2,AC345&lt;$F$186+26/25),MID(INDEX($A$187:$B$211,MATCH("OBV",$A$187:$A$211,0),2),7+(3*SUM(COUNTIF($BC$207:BC344," N"),COUNTIF($BC$207:BC344,"HZ"),COUNTIF($BC$207:BC344,"BR"),COUNTIF($BC$207:BC344,"FG"),COUNTIF($BC$207:BC344,"BL"))),2),IF(AND(HOUR(AC345)=HOUR($F$186),DAY(AC345)=DAY($F$186)),MID(INDEX($A$187:$B$211,MATCH("OBV",$A$187:$A$211,0),2),7,2),""))</f>
        <v/>
      </c>
      <c r="BD345" s="112"/>
      <c r="BE345" s="112"/>
      <c r="BF345" s="112"/>
      <c r="BG345" s="1610" t="str">
        <f t="shared" si="200"/>
        <v/>
      </c>
      <c r="BH345" s="115" t="str">
        <f t="shared" si="211"/>
        <v/>
      </c>
      <c r="BI345" s="200" t="str">
        <f t="shared" si="155"/>
        <v/>
      </c>
      <c r="BJ345" s="62" t="str">
        <f t="shared" si="154"/>
        <v/>
      </c>
      <c r="BK345" s="1145" t="str">
        <f t="shared" si="198"/>
        <v/>
      </c>
      <c r="BL345" s="62" t="str">
        <f t="shared" si="156"/>
        <v/>
      </c>
      <c r="BM345" s="1145" t="str">
        <f t="shared" si="217"/>
        <v/>
      </c>
      <c r="BN345" s="1901" t="str">
        <f t="shared" si="199"/>
        <v/>
      </c>
      <c r="BO345" s="1144" t="str">
        <f t="shared" si="157"/>
        <v/>
      </c>
      <c r="BP345" s="106" t="str">
        <f t="shared" si="218"/>
        <v/>
      </c>
      <c r="BQ345" s="66" t="str">
        <f t="shared" si="158"/>
        <v/>
      </c>
      <c r="BR345" s="106" t="str">
        <f t="shared" si="159"/>
        <v/>
      </c>
      <c r="BS345" s="834" t="str">
        <f>IF(COUNT(BP345:BP350)&gt;0,IF(MOD(HOUR(AC345),6)=0,AVERAGE(MAX(BP345:BP351),MIN(BP345:BP351)),IF(MOD(HOUR(AC345),3)=0,MAX(BP346:BP351),IF(MOD(HOUR(AC344),3)=0,BS344,BS346))),"")</f>
        <v/>
      </c>
      <c r="BT345" s="106" t="str">
        <f t="shared" si="160"/>
        <v/>
      </c>
      <c r="BU345" s="834" t="str">
        <f t="shared" si="212"/>
        <v/>
      </c>
      <c r="BV345" s="66" t="str">
        <f t="shared" si="213"/>
        <v/>
      </c>
      <c r="BW345" s="66" t="str">
        <f t="shared" si="214"/>
        <v/>
      </c>
      <c r="BX345" s="1198">
        <f t="shared" si="172"/>
        <v>7</v>
      </c>
      <c r="BY345" s="1146" t="str">
        <f t="shared" si="219"/>
        <v>NSW</v>
      </c>
      <c r="CA345" s="3675">
        <f t="shared" si="215"/>
        <v>44752.791666666664</v>
      </c>
      <c r="CB345" s="3675"/>
    </row>
    <row r="346" spans="1:80" ht="11.5">
      <c r="A346" s="1050" t="str">
        <f t="shared" si="220"/>
        <v xml:space="preserve">HR </v>
      </c>
      <c r="B346" s="106" t="str">
        <f>Worksheet!L326</f>
        <v xml:space="preserve"> HR   00 03 06 09 12 15 18 21 00 03 06 09 12 15 18 21 00 03 06 12 18 </v>
      </c>
      <c r="E346" s="388" t="s">
        <v>2745</v>
      </c>
      <c r="F346" s="3663">
        <f>F345+2.75</f>
        <v>44750.75</v>
      </c>
      <c r="G346" s="3663"/>
      <c r="AC346" s="977">
        <f t="shared" si="216"/>
        <v>44752.833333333328</v>
      </c>
      <c r="AE346" s="1149" t="str">
        <f>IF(AND(HOUR(AC346)=HOUR($F$186),DAY(AC346)=DAY($F$186)),(MID($B$189,6,3))*1,IF(AND(ISNUMBER(AE345),AC346&lt;$F$186+1+(1/25)),(MID($B$189,6+(3*COUNT($AE$207:AE345)),3))*1,""))</f>
        <v/>
      </c>
      <c r="AF346" s="1164" t="e">
        <f t="shared" si="168"/>
        <v>#VALUE!</v>
      </c>
      <c r="AG346" s="1150">
        <f t="shared" si="203"/>
        <v>80</v>
      </c>
      <c r="AH346" s="1163" t="str">
        <f>IF(AND(ISNUMBER(AH345),AC346&lt;$F$186+26/25),(MID($B$190,6+(3*COUNT($AH$207:AH345)),3))*1,IF(AND(HOUR(AC346)=HOUR($F$186),DAY(AC346)=DAY($F$186)),(MID($B$190,6,3))*1,""))</f>
        <v/>
      </c>
      <c r="AI346" s="200"/>
      <c r="AJ346" s="1164" t="e">
        <f t="shared" si="204"/>
        <v>#VALUE!</v>
      </c>
      <c r="AK346" s="1150">
        <f t="shared" si="205"/>
        <v>61.4</v>
      </c>
      <c r="AL346" s="1152" t="e">
        <f t="shared" si="169"/>
        <v>#VALUE!</v>
      </c>
      <c r="AM346" s="1153">
        <f t="shared" si="206"/>
        <v>30.013333333333332</v>
      </c>
      <c r="AN346" s="1147"/>
      <c r="AO346" s="976" t="str">
        <f>IF(BA346="Y",AP346,IF(AND(ISNUMBER(AO345),AC346&lt;$F$186+26/25),(MID(INDEX($A$187:$B$210,MATCH("CIG",$A$187:$A$210,0),2),8+(3*COUNT($AO$207:AO345)),1))*1,IF(AND(HOUR(AC346)=HOUR($F$186),DAY(AC346)=DAY($F$186)),(MID(INDEX($A$187:$B$210,MATCH("CIG",$A$187:$A$210,0),2),8,1))*1,"")))</f>
        <v/>
      </c>
      <c r="AQ346" s="1061" t="str">
        <f>IF(AND(AQ345&lt;&gt;"",AC346&lt;$F$186+26/25),MID(INDEX($A$187:$B$210,MATCH("CLD",$A$187:$A$210,0),2),7+(3*SUM(COUNTIF($AQ$207:AQ345,"OV"),COUNTIF($AQ$207:AQ345,"BK"),COUNTIF($AQ$207:AQ345,"SC"),COUNTIF($AQ$207:AQ345,"FW"),COUNTIF($AQ$207:AQ345,"CL"))),2),IF(AND(HOUR(AC346)=HOUR($F$186),DAY(AC346)=DAY($F$186)),MID(INDEX($A$187:$B$210,MATCH("CLD",$A$187:$A$210,0),2),7,2),""))</f>
        <v/>
      </c>
      <c r="AR346" s="1149" t="str">
        <f t="shared" si="207"/>
        <v/>
      </c>
      <c r="AS346" s="1150" t="str">
        <f t="shared" si="208"/>
        <v/>
      </c>
      <c r="AT346" s="112" t="str">
        <f t="shared" si="209"/>
        <v/>
      </c>
      <c r="AU346" s="1610" t="str">
        <f t="shared" si="210"/>
        <v/>
      </c>
      <c r="AV346" s="1148">
        <f t="shared" si="170"/>
        <v>40</v>
      </c>
      <c r="AW346" s="920" t="str">
        <f t="shared" si="173"/>
        <v>SCT</v>
      </c>
      <c r="AX346" s="1608">
        <f t="shared" si="171"/>
        <v>40</v>
      </c>
      <c r="AY346" s="112" t="str">
        <f>IF(BA346="Y",AZ346,IF(AND(ISNUMBER(AY345),AC346&lt;$F$186+26/25),(MID(INDEX($A$187:$B$210,MATCH("VIS",$A$187:$A$210,0),2),8+(3*COUNT($AY$207:AY345)),1))*1,IF(AND(HOUR(AC346)=HOUR($F$186),DAY(AC346)=DAY($F$186)),(MID(INDEX($A$187:$B$210,MATCH("VIS",$A$187:$A$210,0),2),8,1))*1,"")))</f>
        <v/>
      </c>
      <c r="AZ346" s="112" t="str">
        <f>IF(AND(ISNUMBER(AZ345),AC346&lt;$F$186+26/25),(MID(INDEX($A$187:$B$210,MATCH("CVS",$A$187:$A$210,0),2),8+(3*COUNT($AZ$207:AZ345)),1))*1,IF(AND(HOUR(AC346)=HOUR($F$186),DAY(AC346)=DAY($F$186)),(MID(INDEX($A$187:$B$210,MATCH("CVS",$A$187:$A$210,0),2),8,1))*1,""))</f>
        <v/>
      </c>
      <c r="BA346" s="1610" t="str">
        <f>IF(AND(BA345&lt;&gt;"",AC346&lt;$F$186+26/25),MID(INDEX($A$187:$B$210,MATCH("PCO",$A$187:$A$210,0),2),8+(3*SUM(COUNTIF($BA$207:BA345,"Y"),COUNTIF($BA$207:BA345,"N"))),1),IF(AND(HOUR(AC346)=HOUR($F$186),DAY(AC346)=DAY($F$186)),MID(INDEX($A$187:$B$210,MATCH("PCO",$A$187:$A$210,0),2),8,1),""))</f>
        <v/>
      </c>
      <c r="BB346" s="1610" t="e">
        <f>IF(AND(BB345&lt;&gt;"",AC346&lt;$F$186+26/25),MID(INDEX($A$187:$B$210,MATCH("TYP",$A$187:$A$210,0),2),8+(3*SUM(COUNTIF($BB$207:BB345,"S"),COUNTIF($BB$207:BB345,"Z"), COUNTIF($BB$207:BB345,"R"),COUNTIF($BB$207:BB345,"X"))),1),IF(AND(HOUR(AC346)=HOUR($F$186),DAY(AC346)=DAY($F$186)),MID(INDEX($A$187:$B$210,MATCH("TYP",$A$187:$A$210,0),2),8,1),""))</f>
        <v>#N/A</v>
      </c>
      <c r="BC346" s="112" t="str">
        <f>IF(AND(LEN(BC345)=2,AC346&lt;$F$186+26/25),MID(INDEX($A$187:$B$211,MATCH("OBV",$A$187:$A$211,0),2),7+(3*SUM(COUNTIF($BC$207:BC345," N"),COUNTIF($BC$207:BC345,"HZ"),COUNTIF($BC$207:BC345,"BR"),COUNTIF($BC$207:BC345,"FG"),COUNTIF($BC$207:BC345,"BL"))),2),IF(AND(HOUR(AC346)=HOUR($F$186),DAY(AC346)=DAY($F$186)),MID(INDEX($A$187:$B$211,MATCH("OBV",$A$187:$A$211,0),2),7,2),""))</f>
        <v/>
      </c>
      <c r="BD346" s="112"/>
      <c r="BE346" s="112"/>
      <c r="BF346" s="112"/>
      <c r="BG346" s="1610" t="str">
        <f t="shared" si="200"/>
        <v/>
      </c>
      <c r="BH346" s="115" t="str">
        <f t="shared" si="211"/>
        <v/>
      </c>
      <c r="BI346" s="200" t="str">
        <f t="shared" si="155"/>
        <v/>
      </c>
      <c r="BJ346" s="62" t="str">
        <f t="shared" ref="BJ346:BJ389" si="221">IF(AC346=$F$373,MID(INDEX($A$369:$B$393,MATCH("P06",$A$369:$A$393,0),2),12,3)*1,IF(OR(AC346&lt;($F$373+0.01),AC346&gt;($F$374+0.001)),"",IF(AC346-$F$373&lt;2.49,IF(MOD(HOUR(AC346),6)=0,(MID(INDEX($A$370:$B$392,MATCH("P06",$A$370:$A$392,0),2),12+(6*(AC346-($F$373+0.25))*4),3))*1,""),IF(MOD(HOUR(AC346),6)=0,(MID(INDEX($A$370:$B$392,MATCH("P06",$A$370:$A$392,0),2),63+(3*(ROUND(((AC346-$F$373-2.5)*4),3))),3))*1,""))))</f>
        <v/>
      </c>
      <c r="BK346" s="1145" t="str">
        <f t="shared" si="198"/>
        <v/>
      </c>
      <c r="BL346" s="62" t="str">
        <f t="shared" si="156"/>
        <v/>
      </c>
      <c r="BM346" s="1145" t="str">
        <f t="shared" si="217"/>
        <v/>
      </c>
      <c r="BN346" s="1901" t="str">
        <f t="shared" si="199"/>
        <v/>
      </c>
      <c r="BO346" s="1144" t="str">
        <f t="shared" si="157"/>
        <v/>
      </c>
      <c r="BP346" s="106" t="str">
        <f t="shared" si="218"/>
        <v/>
      </c>
      <c r="BQ346" s="66" t="str">
        <f t="shared" si="158"/>
        <v/>
      </c>
      <c r="BR346" s="106" t="str">
        <f t="shared" si="159"/>
        <v/>
      </c>
      <c r="BS346" s="834" t="str">
        <f>IF(COUNT(BP346:BP351)&gt;0,IF(MOD(HOUR(AC346),6)=0,AVERAGE(MAX(BP346:BP352),MIN(BP346:BP352)),IF(MOD(HOUR(AC346),3)=0,MAX(BP347:BP352),IF(MOD(HOUR(AC345),3)=0,BS345,BS347))),"")</f>
        <v/>
      </c>
      <c r="BT346" s="106" t="str">
        <f t="shared" si="160"/>
        <v/>
      </c>
      <c r="BU346" s="834" t="str">
        <f t="shared" si="212"/>
        <v/>
      </c>
      <c r="BV346" s="66" t="str">
        <f t="shared" si="213"/>
        <v/>
      </c>
      <c r="BW346" s="66" t="str">
        <f t="shared" si="214"/>
        <v/>
      </c>
      <c r="BX346" s="1198">
        <f t="shared" si="172"/>
        <v>7</v>
      </c>
      <c r="BY346" s="1146" t="str">
        <f t="shared" si="219"/>
        <v>NSW</v>
      </c>
      <c r="CA346" s="3675">
        <f t="shared" si="215"/>
        <v>44752.833333333328</v>
      </c>
      <c r="CB346" s="3675"/>
    </row>
    <row r="347" spans="1:80" ht="10.5">
      <c r="A347" s="1050" t="str">
        <f t="shared" si="220"/>
        <v>N/X</v>
      </c>
      <c r="B347" s="106" t="str">
        <f>Worksheet!L327</f>
        <v xml:space="preserve"> N/X              71          93          73          89       72    </v>
      </c>
      <c r="C347" s="459"/>
      <c r="AC347" s="977">
        <f t="shared" si="216"/>
        <v>44752.875</v>
      </c>
      <c r="AE347" s="1149" t="str">
        <f>IF(AND(HOUR(AC347)=HOUR($F$186),DAY(AC347)=DAY($F$186)),(MID($B$189,6,3))*1,IF(AND(ISNUMBER(AE346),AC347&lt;$F$186+1+(1/25)),(MID($B$189,6+(3*COUNT($AE$207:AE346)),3))*1,""))</f>
        <v/>
      </c>
      <c r="AF347" s="1164" t="e">
        <f t="shared" si="168"/>
        <v>#VALUE!</v>
      </c>
      <c r="AG347" s="1150">
        <f t="shared" si="203"/>
        <v>80.599999999999994</v>
      </c>
      <c r="AH347" s="1163" t="str">
        <f>IF(AND(ISNUMBER(AH346),AC347&lt;$F$186+26/25),(MID($B$190,6+(3*COUNT($AH$207:AH346)),3))*1,IF(AND(HOUR(AC347)=HOUR($F$186),DAY(AC347)=DAY($F$186)),(MID($B$190,6,3))*1,""))</f>
        <v/>
      </c>
      <c r="AI347" s="200"/>
      <c r="AJ347" s="1164" t="e">
        <f t="shared" si="204"/>
        <v>#VALUE!</v>
      </c>
      <c r="AK347" s="1150">
        <f t="shared" si="205"/>
        <v>60.8</v>
      </c>
      <c r="AL347" s="1152" t="e">
        <f t="shared" si="169"/>
        <v>#VALUE!</v>
      </c>
      <c r="AM347" s="1153">
        <f t="shared" si="206"/>
        <v>30</v>
      </c>
      <c r="AN347" s="1147"/>
      <c r="AO347" s="976" t="str">
        <f>IF(BA347="Y",AP347,IF(AND(ISNUMBER(AO346),AC347&lt;$F$186+26/25),(MID(INDEX($A$187:$B$210,MATCH("CIG",$A$187:$A$210,0),2),8+(3*COUNT($AO$207:AO346)),1))*1,IF(AND(HOUR(AC347)=HOUR($F$186),DAY(AC347)=DAY($F$186)),(MID(INDEX($A$187:$B$210,MATCH("CIG",$A$187:$A$210,0),2),8,1))*1,"")))</f>
        <v/>
      </c>
      <c r="AQ347" s="1061" t="str">
        <f>IF(AND(AQ346&lt;&gt;"",AC347&lt;$F$186+26/25),MID(INDEX($A$187:$B$210,MATCH("CLD",$A$187:$A$210,0),2),7+(3*SUM(COUNTIF($AQ$207:AQ346,"OV"),COUNTIF($AQ$207:AQ346,"BK"),COUNTIF($AQ$207:AQ346,"SC"),COUNTIF($AQ$207:AQ346,"FW"),COUNTIF($AQ$207:AQ346,"CL"))),2),IF(AND(HOUR(AC347)=HOUR($F$186),DAY(AC347)=DAY($F$186)),MID(INDEX($A$187:$B$210,MATCH("CLD",$A$187:$A$210,0),2),7,2),""))</f>
        <v/>
      </c>
      <c r="AR347" s="1149" t="str">
        <f t="shared" si="207"/>
        <v/>
      </c>
      <c r="AS347" s="1150" t="str">
        <f t="shared" si="208"/>
        <v/>
      </c>
      <c r="AT347" s="112" t="str">
        <f t="shared" si="209"/>
        <v/>
      </c>
      <c r="AU347" s="1610" t="str">
        <f t="shared" si="210"/>
        <v/>
      </c>
      <c r="AV347" s="1148">
        <f t="shared" si="170"/>
        <v>40</v>
      </c>
      <c r="AW347" s="920" t="str">
        <f t="shared" si="173"/>
        <v>SCT</v>
      </c>
      <c r="AX347" s="1608">
        <f t="shared" si="171"/>
        <v>40</v>
      </c>
      <c r="AY347" s="112" t="str">
        <f>IF(BA347="Y",AZ347,IF(AND(ISNUMBER(AY346),AC347&lt;$F$186+26/25),(MID(INDEX($A$187:$B$210,MATCH("VIS",$A$187:$A$210,0),2),8+(3*COUNT($AY$207:AY346)),1))*1,IF(AND(HOUR(AC347)=HOUR($F$186),DAY(AC347)=DAY($F$186)),(MID(INDEX($A$187:$B$210,MATCH("VIS",$A$187:$A$210,0),2),8,1))*1,"")))</f>
        <v/>
      </c>
      <c r="AZ347" s="112" t="str">
        <f>IF(AND(ISNUMBER(AZ346),AC347&lt;$F$186+26/25),(MID(INDEX($A$187:$B$210,MATCH("CVS",$A$187:$A$210,0),2),8+(3*COUNT($AZ$207:AZ346)),1))*1,IF(AND(HOUR(AC347)=HOUR($F$186),DAY(AC347)=DAY($F$186)),(MID(INDEX($A$187:$B$210,MATCH("CVS",$A$187:$A$210,0),2),8,1))*1,""))</f>
        <v/>
      </c>
      <c r="BA347" s="1610" t="str">
        <f>IF(AND(BA346&lt;&gt;"",AC347&lt;$F$186+26/25),MID(INDEX($A$187:$B$210,MATCH("PCO",$A$187:$A$210,0),2),8+(3*SUM(COUNTIF($BA$207:BA346,"Y"),COUNTIF($BA$207:BA346,"N"))),1),IF(AND(HOUR(AC347)=HOUR($F$186),DAY(AC347)=DAY($F$186)),MID(INDEX($A$187:$B$210,MATCH("PCO",$A$187:$A$210,0),2),8,1),""))</f>
        <v/>
      </c>
      <c r="BB347" s="1610" t="e">
        <f>IF(AND(BB346&lt;&gt;"",AC347&lt;$F$186+26/25),MID(INDEX($A$187:$B$210,MATCH("TYP",$A$187:$A$210,0),2),8+(3*SUM(COUNTIF($BB$207:BB346,"S"),COUNTIF($BB$207:BB346,"Z"), COUNTIF($BB$207:BB346,"R"),COUNTIF($BB$207:BB346,"X"))),1),IF(AND(HOUR(AC347)=HOUR($F$186),DAY(AC347)=DAY($F$186)),MID(INDEX($A$187:$B$210,MATCH("TYP",$A$187:$A$210,0),2),8,1),""))</f>
        <v>#N/A</v>
      </c>
      <c r="BC347" s="112" t="str">
        <f>IF(AND(LEN(BC346)=2,AC347&lt;$F$186+26/25),MID(INDEX($A$187:$B$211,MATCH("OBV",$A$187:$A$211,0),2),7+(3*SUM(COUNTIF($BC$207:BC346," N"),COUNTIF($BC$207:BC346,"HZ"),COUNTIF($BC$207:BC346,"BR"),COUNTIF($BC$207:BC346,"FG"),COUNTIF($BC$207:BC346,"BL"))),2),IF(AND(HOUR(AC347)=HOUR($F$186),DAY(AC347)=DAY($F$186)),MID(INDEX($A$187:$B$211,MATCH("OBV",$A$187:$A$211,0),2),7,2),""))</f>
        <v/>
      </c>
      <c r="BD347" s="112"/>
      <c r="BE347" s="112"/>
      <c r="BF347" s="112"/>
      <c r="BG347" s="1610" t="str">
        <f t="shared" si="200"/>
        <v/>
      </c>
      <c r="BH347" s="115" t="str">
        <f t="shared" si="211"/>
        <v/>
      </c>
      <c r="BI347" s="200" t="str">
        <f t="shared" ref="BI347:BI389" si="222">IF(AND(BM347&lt;&gt;"",BM347&gt;49.9),"TS",IF(BK347="","",IF(BK347&gt;49.9,IF(IF(ISERROR(BW348),"RA",IF(BO347=" S","SN",IF(BO347=" R","RA",IF(BO347=" Z","FZ",""))))="","UP",IF(ISERROR(BO347),"RA",IF(BO347=" S","SN",IF(BO347=" R","RA",IF(BO347=" Z","FZ",""))))),IF(BH347&lt;7,IF(BK347&lt;30,"BR",IF(ISERROR(BO347),"RA",IF(BO347=" S","SN",IF(BO347=" R","RA",IF(BO347=" Z","FZ",""))))),""))))</f>
        <v/>
      </c>
      <c r="BJ347" s="62" t="str">
        <f t="shared" si="221"/>
        <v/>
      </c>
      <c r="BK347" s="1145" t="str">
        <f t="shared" si="198"/>
        <v/>
      </c>
      <c r="BL347" s="62" t="str">
        <f t="shared" ref="BL347:BL389" si="223">IF(AC347=$F$373,MID(INDEX($A$369:$B$393,MATCH("T06",$A$369:$A$393,0),2),9,3)*1,IF(OR(AC347&lt;($F$373+0.01),AC347&gt;($F$374+0.001)),"",IF(AC347-$F$373&lt;2.49,IF(MOD(HOUR(AC347),6)=0,(MID(INDEX($A$370:$B$392,MATCH("T06",$A$370:$A$392,0),2),10+(6*(AC347-($F$373+0.25))*4),2))*1,""),IF(ROUND(AC347,2)=$F$374,(MID(INDEX($A$370:$B$392,MATCH("T06",$A$370:$A$392,0),2),64,2))*1,""))))</f>
        <v/>
      </c>
      <c r="BM347" s="1145" t="str">
        <f t="shared" si="217"/>
        <v/>
      </c>
      <c r="BN347" s="1901" t="str">
        <f t="shared" si="199"/>
        <v/>
      </c>
      <c r="BO347" s="1144" t="str">
        <f t="shared" ref="BO347:BO389" si="224">IF(OR($AC347&lt;($F$373-0.001),$AC347&gt;($F$374+0.001)),"",IF($AC347-$F$373&lt;2.24,IF(MOD(HOUR($AC347),3)=0,MID(INDEX($A$369:$B$392,MATCH("TYP",$A$369:$A$392,0),2),7+(3*($AC347-$F$373)*8),2),IF(MOD(HOUR($AC346),3)=0,BO346,BO348)),IF(MOD(HOUR($AC347),6)=0,MID(INDEX($A$369:$B$392,MATCH("TYP",$A$369:$A$392,0),2),61+(3*(ROUND((($AC347-$F$373)-2.25)*4,2))),2),"")))</f>
        <v/>
      </c>
      <c r="BP347" s="106" t="str">
        <f t="shared" si="218"/>
        <v/>
      </c>
      <c r="BQ347" s="66" t="str">
        <f t="shared" ref="BQ347:BQ389" si="225">IF(AND(BU347&lt;&gt;"",BU347&gt;49.9),"TS",IF(BS347="","",IF(BS347&gt;49.9,IF(IF(ISERROR(BW347),"RA",IF(BW347=" S","SN",IF(BW347=" R","RA",IF(BW347=" Z","FZ",""))))="","UP",IF(ISERROR(BW347),"RA",IF(BW347=" 8","SN",IF(BW347=" R","RA",IF(BW347=" Z","FZ",""))))),IF(BP347&lt;7,IF(BS347&lt;30,IF(BV347=" N","BR",BV347),IF(IF(ISERROR(BW347),"RA",IF(BW347=" S","SN",IF(BW347=" R","RA",IF(BW347=" Z","FZ",""))))="",IF(BV347=" N","",BV347),IF(ISERROR(BW347),"RA",IF(BW347=" S","SN",IF(BW347=" R","RA",IF(BW347=" Z","FZ","")))))),""))))</f>
        <v/>
      </c>
      <c r="BR347" s="106" t="str">
        <f t="shared" ref="BR347:BR389" si="226">IF(AC347=$F$345,MID(INDEX($A$344:$B$369,MATCH("P06",$A$344:$A$369,0),2),12,3)*1,IF(OR($AC347&lt;($F$345+0.01),$AC347&gt;($F$346+0.001)),"",IF($AC347-$F$345&lt;2.49,IF(MOD(HOUR($AC347),6)=0,(MID(INDEX($A$344:$B$369,MATCH("P06",$A$344:$A$369,0),2),12+(6*($AC347-($F$345+0.25))*4),3))*1,""),IF(MOD(HOUR($AC347),6)=0,(MID(INDEX($A$344:$B$369,MATCH("P06",$A$344:$A$369,0),2),63+(3*(ROUND((($AC347-$F$345-2.5)*4),3))),3))*1,""))))</f>
        <v/>
      </c>
      <c r="BS347" s="834" t="str">
        <f>IF(COUNT(BP347:BP352)&gt;0,IF(MOD(HOUR(AC347),6)=0,AVERAGE(MAX(BP347:BP353),MIN(BP347:BP353)),IF(MOD(HOUR(AC347),3)=0,MAX(BP348:BP353),IF(MOD(HOUR(AC346),3)=0,BS346,BS348))),"")</f>
        <v/>
      </c>
      <c r="BT347" s="106" t="str">
        <f t="shared" ref="BT347:BT389" si="227">IF(AC347=$F$345,MID(INDEX($A$344:$B$369,MATCH("T06",$A$344:$A$369,0),2),9,3)*1,IF(OR($AC347&lt;($F$345+0.01),$AC347&gt;($F$346+0.001)),"",IF($AC347-$F$345&lt;2.49,IF(MOD(HOUR($AC347),6)=0,(MID(INDEX($A$344:$B$369,MATCH("T06",$A$344:$A$369,0),2),10+(6*($AC347-($F$345+0.25))*4),2))*1,""),IF(ROUND($AC347,2)=$F$346,(MID(INDEX($A$344:$B$369,MATCH("T06",$A$344:$A$369,0),2),64,2))*1,""))))</f>
        <v/>
      </c>
      <c r="BU347" s="834" t="str">
        <f t="shared" si="212"/>
        <v/>
      </c>
      <c r="BV347" s="66" t="str">
        <f t="shared" si="213"/>
        <v/>
      </c>
      <c r="BW347" s="66" t="str">
        <f t="shared" si="214"/>
        <v/>
      </c>
      <c r="BX347" s="1198">
        <f t="shared" si="172"/>
        <v>7</v>
      </c>
      <c r="BY347" s="1146" t="str">
        <f t="shared" si="219"/>
        <v>NSW</v>
      </c>
      <c r="CA347" s="3675">
        <f t="shared" si="215"/>
        <v>44752.875</v>
      </c>
      <c r="CB347" s="3675"/>
    </row>
    <row r="348" spans="1:80" ht="10.5">
      <c r="A348" s="1050" t="str">
        <f t="shared" si="220"/>
        <v>TMP</v>
      </c>
      <c r="B348" s="106" t="str">
        <f>Worksheet!L328</f>
        <v xml:space="preserve"> TMP  89 78 74 73 74 85 90 90 86 79 77 75 75 80 85 86 83 77 75 74 83 </v>
      </c>
      <c r="C348" s="459"/>
      <c r="AC348" s="977">
        <f t="shared" si="216"/>
        <v>44752.916666666664</v>
      </c>
      <c r="AE348" s="1149" t="str">
        <f>IF(AND(HOUR(AC348)=HOUR($F$186),DAY(AC348)=DAY($F$186)),(MID($B$189,6,3))*1,IF(AND(ISNUMBER(AE347),AC348&lt;$F$186+1+(1/25)),(MID($B$189,6+(3*COUNT($AE$207:AE347)),3))*1,""))</f>
        <v/>
      </c>
      <c r="AF348" s="1164" t="e">
        <f t="shared" si="168"/>
        <v>#VALUE!</v>
      </c>
      <c r="AG348" s="1150">
        <f t="shared" si="203"/>
        <v>80</v>
      </c>
      <c r="AH348" s="1163" t="str">
        <f>IF(AND(ISNUMBER(AH347),AC348&lt;$F$186+26/25),(MID($B$190,6+(3*COUNT($AH$207:AH347)),3))*1,IF(AND(HOUR(AC348)=HOUR($F$186),DAY(AC348)=DAY($F$186)),(MID($B$190,6,3))*1,""))</f>
        <v/>
      </c>
      <c r="AI348" s="200"/>
      <c r="AJ348" s="1164" t="e">
        <f t="shared" si="204"/>
        <v>#VALUE!</v>
      </c>
      <c r="AK348" s="1150">
        <f t="shared" si="205"/>
        <v>61.4</v>
      </c>
      <c r="AL348" s="1152" t="e">
        <f t="shared" si="169"/>
        <v>#VALUE!</v>
      </c>
      <c r="AM348" s="1153">
        <f t="shared" si="206"/>
        <v>29.993333333333332</v>
      </c>
      <c r="AN348" s="1147"/>
      <c r="AO348" s="976" t="str">
        <f>IF(BA348="Y",AP348,IF(AND(ISNUMBER(AO347),AC348&lt;$F$186+26/25),(MID(INDEX($A$187:$B$210,MATCH("CIG",$A$187:$A$210,0),2),8+(3*COUNT($AO$207:AO347)),1))*1,IF(AND(HOUR(AC348)=HOUR($F$186),DAY(AC348)=DAY($F$186)),(MID(INDEX($A$187:$B$210,MATCH("CIG",$A$187:$A$210,0),2),8,1))*1,"")))</f>
        <v/>
      </c>
      <c r="AQ348" s="1061" t="str">
        <f>IF(AND(AQ347&lt;&gt;"",AC348&lt;$F$186+26/25),MID(INDEX($A$187:$B$210,MATCH("CLD",$A$187:$A$210,0),2),7+(3*SUM(COUNTIF($AQ$207:AQ347,"OV"),COUNTIF($AQ$207:AQ347,"BK"),COUNTIF($AQ$207:AQ347,"SC"),COUNTIF($AQ$207:AQ347,"FW"),COUNTIF($AQ$207:AQ347,"CL"))),2),IF(AND(HOUR(AC348)=HOUR($F$186),DAY(AC348)=DAY($F$186)),MID(INDEX($A$187:$B$210,MATCH("CLD",$A$187:$A$210,0),2),7,2),""))</f>
        <v/>
      </c>
      <c r="AR348" s="1149" t="str">
        <f t="shared" si="207"/>
        <v/>
      </c>
      <c r="AS348" s="1150" t="str">
        <f t="shared" si="208"/>
        <v/>
      </c>
      <c r="AT348" s="112" t="str">
        <f t="shared" si="209"/>
        <v/>
      </c>
      <c r="AU348" s="1610" t="str">
        <f t="shared" si="210"/>
        <v/>
      </c>
      <c r="AV348" s="1148">
        <f t="shared" si="170"/>
        <v>40</v>
      </c>
      <c r="AW348" s="920" t="str">
        <f t="shared" si="173"/>
        <v>SCT</v>
      </c>
      <c r="AX348" s="1608">
        <f t="shared" si="171"/>
        <v>40</v>
      </c>
      <c r="AY348" s="112" t="str">
        <f>IF(BA348="Y",AZ348,IF(AND(ISNUMBER(AY347),AC348&lt;$F$186+26/25),(MID(INDEX($A$187:$B$210,MATCH("VIS",$A$187:$A$210,0),2),8+(3*COUNT($AY$207:AY347)),1))*1,IF(AND(HOUR(AC348)=HOUR($F$186),DAY(AC348)=DAY($F$186)),(MID(INDEX($A$187:$B$210,MATCH("VIS",$A$187:$A$210,0),2),8,1))*1,"")))</f>
        <v/>
      </c>
      <c r="AZ348" s="112" t="str">
        <f>IF(AND(ISNUMBER(AZ347),AC348&lt;$F$186+26/25),(MID(INDEX($A$187:$B$210,MATCH("CVS",$A$187:$A$210,0),2),8+(3*COUNT($AZ$207:AZ347)),1))*1,IF(AND(HOUR(AC348)=HOUR($F$186),DAY(AC348)=DAY($F$186)),(MID(INDEX($A$187:$B$210,MATCH("CVS",$A$187:$A$210,0),2),8,1))*1,""))</f>
        <v/>
      </c>
      <c r="BA348" s="1610" t="str">
        <f>IF(AND(BA347&lt;&gt;"",AC348&lt;$F$186+26/25),MID(INDEX($A$187:$B$210,MATCH("PCO",$A$187:$A$210,0),2),8+(3*SUM(COUNTIF($BA$207:BA347,"Y"),COUNTIF($BA$207:BA347,"N"))),1),IF(AND(HOUR(AC348)=HOUR($F$186),DAY(AC348)=DAY($F$186)),MID(INDEX($A$187:$B$210,MATCH("PCO",$A$187:$A$210,0),2),8,1),""))</f>
        <v/>
      </c>
      <c r="BB348" s="1610" t="e">
        <f>IF(AND(BB347&lt;&gt;"",AC348&lt;$F$186+26/25),MID(INDEX($A$187:$B$210,MATCH("TYP",$A$187:$A$210,0),2),8+(3*SUM(COUNTIF($BB$207:BB347,"S"),COUNTIF($BB$207:BB347,"Z"), COUNTIF($BB$207:BB347,"R"),COUNTIF($BB$207:BB347,"X"))),1),IF(AND(HOUR(AC348)=HOUR($F$186),DAY(AC348)=DAY($F$186)),MID(INDEX($A$187:$B$210,MATCH("TYP",$A$187:$A$210,0),2),8,1),""))</f>
        <v>#N/A</v>
      </c>
      <c r="BC348" s="112" t="str">
        <f>IF(AND(LEN(BC347)=2,AC348&lt;$F$186+26/25),MID(INDEX($A$187:$B$211,MATCH("OBV",$A$187:$A$211,0),2),7+(3*SUM(COUNTIF($BC$207:BC347," N"),COUNTIF($BC$207:BC347,"HZ"),COUNTIF($BC$207:BC347,"BR"),COUNTIF($BC$207:BC347,"FG"),COUNTIF($BC$207:BC347,"BL"))),2),IF(AND(HOUR(AC348)=HOUR($F$186),DAY(AC348)=DAY($F$186)),MID(INDEX($A$187:$B$211,MATCH("OBV",$A$187:$A$211,0),2),7,2),""))</f>
        <v/>
      </c>
      <c r="BD348" s="112"/>
      <c r="BE348" s="112"/>
      <c r="BF348" s="112"/>
      <c r="BG348" s="1610" t="str">
        <f t="shared" si="200"/>
        <v/>
      </c>
      <c r="BH348" s="115" t="str">
        <f t="shared" si="211"/>
        <v/>
      </c>
      <c r="BI348" s="200" t="str">
        <f t="shared" si="222"/>
        <v/>
      </c>
      <c r="BJ348" s="62" t="str">
        <f t="shared" si="221"/>
        <v/>
      </c>
      <c r="BK348" s="1145" t="str">
        <f t="shared" si="198"/>
        <v/>
      </c>
      <c r="BL348" s="62" t="str">
        <f t="shared" si="223"/>
        <v/>
      </c>
      <c r="BM348" s="1145" t="str">
        <f t="shared" si="217"/>
        <v/>
      </c>
      <c r="BN348" s="1901" t="str">
        <f t="shared" si="199"/>
        <v/>
      </c>
      <c r="BO348" s="1144" t="str">
        <f t="shared" si="224"/>
        <v/>
      </c>
      <c r="BP348" s="106" t="str">
        <f t="shared" si="218"/>
        <v/>
      </c>
      <c r="BQ348" s="66" t="str">
        <f t="shared" si="225"/>
        <v/>
      </c>
      <c r="BR348" s="106" t="str">
        <f t="shared" si="226"/>
        <v/>
      </c>
      <c r="BS348" s="834" t="str">
        <f>IF(COUNT(BP348:BP353)&gt;0,IF(MOD(HOUR(AC348),6)=0,AVERAGE(MAX(BP348:BP354),MIN(BP348:BP354)),IF(MOD(HOUR(AC348),3)=0,MAX(BP349:BP354),IF(MOD(HOUR(AC347),3)=0,BS347,BS349))),"")</f>
        <v/>
      </c>
      <c r="BT348" s="106" t="str">
        <f t="shared" si="227"/>
        <v/>
      </c>
      <c r="BU348" s="834" t="str">
        <f t="shared" si="212"/>
        <v/>
      </c>
      <c r="BV348" s="66" t="str">
        <f t="shared" si="213"/>
        <v/>
      </c>
      <c r="BW348" s="66" t="str">
        <f t="shared" si="214"/>
        <v/>
      </c>
      <c r="BX348" s="1198">
        <f t="shared" si="172"/>
        <v>7</v>
      </c>
      <c r="BY348" s="1146" t="str">
        <f t="shared" si="219"/>
        <v>NSW</v>
      </c>
      <c r="CA348" s="3675">
        <f t="shared" si="215"/>
        <v>44752.916666666664</v>
      </c>
      <c r="CB348" s="3675"/>
    </row>
    <row r="349" spans="1:80" ht="10.5">
      <c r="A349" s="1050" t="str">
        <f t="shared" si="220"/>
        <v>DPT</v>
      </c>
      <c r="B349" s="106" t="str">
        <f>Worksheet!L329</f>
        <v xml:space="preserve"> DPT  70 72 74 72 73 76 75 74 75 75 74 73 73 74 76 76 75 75 74 73 75 </v>
      </c>
      <c r="AC349" s="977">
        <f t="shared" si="216"/>
        <v>44752.958333333328</v>
      </c>
      <c r="AE349" s="1149" t="str">
        <f>IF(AND(HOUR(AC349)=HOUR($F$186),DAY(AC349)=DAY($F$186)),(MID($B$189,6,3))*1,IF(AND(ISNUMBER(AE348),AC349&lt;$F$186+1+(1/25)),(MID($B$189,6+(3*COUNT($AE$207:AE348)),3))*1,""))</f>
        <v/>
      </c>
      <c r="AF349" s="1164" t="e">
        <f t="shared" si="168"/>
        <v>#VALUE!</v>
      </c>
      <c r="AG349" s="1150">
        <f t="shared" si="203"/>
        <v>79.400000000000006</v>
      </c>
      <c r="AH349" s="1163" t="str">
        <f>IF(AND(ISNUMBER(AH348),AC349&lt;$F$186+26/25),(MID($B$190,6+(3*COUNT($AH$207:AH348)),3))*1,IF(AND(HOUR(AC349)=HOUR($F$186),DAY(AC349)=DAY($F$186)),(MID($B$190,6,3))*1,""))</f>
        <v/>
      </c>
      <c r="AI349" s="200"/>
      <c r="AJ349" s="1164" t="e">
        <f t="shared" si="204"/>
        <v>#VALUE!</v>
      </c>
      <c r="AK349" s="1150">
        <f t="shared" si="205"/>
        <v>62</v>
      </c>
      <c r="AL349" s="1152" t="e">
        <f t="shared" si="169"/>
        <v>#VALUE!</v>
      </c>
      <c r="AM349" s="1153">
        <f t="shared" si="206"/>
        <v>29.986666666666668</v>
      </c>
      <c r="AN349" s="1147"/>
      <c r="AO349" s="976" t="str">
        <f>IF(BA349="Y",AP349,IF(AND(ISNUMBER(AO348),AC349&lt;$F$186+26/25),(MID(INDEX($A$187:$B$210,MATCH("CIG",$A$187:$A$210,0),2),8+(3*COUNT($AO$207:AO348)),1))*1,IF(AND(HOUR(AC349)=HOUR($F$186),DAY(AC349)=DAY($F$186)),(MID(INDEX($A$187:$B$210,MATCH("CIG",$A$187:$A$210,0),2),8,1))*1,"")))</f>
        <v/>
      </c>
      <c r="AQ349" s="1061" t="str">
        <f>IF(AND(AQ348&lt;&gt;"",AC349&lt;$F$186+26/25),MID(INDEX($A$187:$B$210,MATCH("CLD",$A$187:$A$210,0),2),7+(3*SUM(COUNTIF($AQ$207:AQ348,"OV"),COUNTIF($AQ$207:AQ348,"BK"),COUNTIF($AQ$207:AQ348,"SC"),COUNTIF($AQ$207:AQ348,"FW"),COUNTIF($AQ$207:AQ348,"CL"))),2),IF(AND(HOUR(AC349)=HOUR($F$186),DAY(AC349)=DAY($F$186)),MID(INDEX($A$187:$B$210,MATCH("CLD",$A$187:$A$210,0),2),7,2),""))</f>
        <v/>
      </c>
      <c r="AR349" s="1149" t="str">
        <f t="shared" si="207"/>
        <v/>
      </c>
      <c r="AS349" s="1150" t="str">
        <f t="shared" si="208"/>
        <v/>
      </c>
      <c r="AT349" s="112" t="str">
        <f t="shared" si="209"/>
        <v/>
      </c>
      <c r="AU349" s="1610" t="str">
        <f t="shared" si="210"/>
        <v/>
      </c>
      <c r="AV349" s="1148">
        <f t="shared" si="170"/>
        <v>40</v>
      </c>
      <c r="AW349" s="920" t="str">
        <f t="shared" si="173"/>
        <v>SCT</v>
      </c>
      <c r="AX349" s="1608">
        <f t="shared" si="171"/>
        <v>40</v>
      </c>
      <c r="AY349" s="112" t="str">
        <f>IF(BA349="Y",AZ349,IF(AND(ISNUMBER(AY348),AC349&lt;$F$186+26/25),(MID(INDEX($A$187:$B$210,MATCH("VIS",$A$187:$A$210,0),2),8+(3*COUNT($AY$207:AY348)),1))*1,IF(AND(HOUR(AC349)=HOUR($F$186),DAY(AC349)=DAY($F$186)),(MID(INDEX($A$187:$B$210,MATCH("VIS",$A$187:$A$210,0),2),8,1))*1,"")))</f>
        <v/>
      </c>
      <c r="AZ349" s="112" t="str">
        <f>IF(AND(ISNUMBER(AZ348),AC349&lt;$F$186+26/25),(MID(INDEX($A$187:$B$210,MATCH("CVS",$A$187:$A$210,0),2),8+(3*COUNT($AZ$207:AZ348)),1))*1,IF(AND(HOUR(AC349)=HOUR($F$186),DAY(AC349)=DAY($F$186)),(MID(INDEX($A$187:$B$210,MATCH("CVS",$A$187:$A$210,0),2),8,1))*1,""))</f>
        <v/>
      </c>
      <c r="BA349" s="1610" t="str">
        <f>IF(AND(BA348&lt;&gt;"",AC349&lt;$F$186+26/25),MID(INDEX($A$187:$B$210,MATCH("PCO",$A$187:$A$210,0),2),8+(3*SUM(COUNTIF($BA$207:BA348,"Y"),COUNTIF($BA$207:BA348,"N"))),1),IF(AND(HOUR(AC349)=HOUR($F$186),DAY(AC349)=DAY($F$186)),MID(INDEX($A$187:$B$210,MATCH("PCO",$A$187:$A$210,0),2),8,1),""))</f>
        <v/>
      </c>
      <c r="BB349" s="1610" t="e">
        <f>IF(AND(BB348&lt;&gt;"",AC349&lt;$F$186+26/25),MID(INDEX($A$187:$B$210,MATCH("TYP",$A$187:$A$210,0),2),8+(3*SUM(COUNTIF($BB$207:BB348,"S"),COUNTIF($BB$207:BB348,"Z"), COUNTIF($BB$207:BB348,"R"),COUNTIF($BB$207:BB348,"X"))),1),IF(AND(HOUR(AC349)=HOUR($F$186),DAY(AC349)=DAY($F$186)),MID(INDEX($A$187:$B$210,MATCH("TYP",$A$187:$A$210,0),2),8,1),""))</f>
        <v>#N/A</v>
      </c>
      <c r="BC349" s="112" t="str">
        <f>IF(AND(LEN(BC348)=2,AC349&lt;$F$186+26/25),MID(INDEX($A$187:$B$211,MATCH("OBV",$A$187:$A$211,0),2),7+(3*SUM(COUNTIF($BC$207:BC348," N"),COUNTIF($BC$207:BC348,"HZ"),COUNTIF($BC$207:BC348,"BR"),COUNTIF($BC$207:BC348,"FG"),COUNTIF($BC$207:BC348,"BL"))),2),IF(AND(HOUR(AC349)=HOUR($F$186),DAY(AC349)=DAY($F$186)),MID(INDEX($A$187:$B$211,MATCH("OBV",$A$187:$A$211,0),2),7,2),""))</f>
        <v/>
      </c>
      <c r="BD349" s="112"/>
      <c r="BE349" s="112"/>
      <c r="BF349" s="112"/>
      <c r="BG349" s="1610" t="str">
        <f t="shared" si="200"/>
        <v/>
      </c>
      <c r="BH349" s="115" t="str">
        <f t="shared" si="211"/>
        <v/>
      </c>
      <c r="BI349" s="200" t="str">
        <f t="shared" si="222"/>
        <v/>
      </c>
      <c r="BJ349" s="62" t="str">
        <f t="shared" si="221"/>
        <v/>
      </c>
      <c r="BK349" s="1145" t="str">
        <f t="shared" si="198"/>
        <v/>
      </c>
      <c r="BL349" s="62" t="str">
        <f t="shared" si="223"/>
        <v/>
      </c>
      <c r="BM349" s="1145" t="str">
        <f t="shared" si="217"/>
        <v/>
      </c>
      <c r="BN349" s="1901" t="str">
        <f t="shared" si="199"/>
        <v/>
      </c>
      <c r="BO349" s="1144" t="str">
        <f t="shared" si="224"/>
        <v/>
      </c>
      <c r="BP349" s="106" t="str">
        <f t="shared" ref="BP349:BP389" si="228">IF(OR(AC349&lt;($F$345-0.001),AC349&gt;($F$346+0.001)),"",IF(AC349-$F$345&lt;2.24,IF(MOD(HOUR(AC349),3)=0,(MID(INDEX($A$344:$B$369,MATCH("VIS",$A$344:$A$369,0),2),8+(3*(AC349-$F$345)*8),1))*1,IF(MOD(HOUR(AC348),3)=0,BP348,BN350)),IF(MOD(HOUR(AC349),6)=0,(MID(INDEX($A$344:$B$369,MATCH("VIS",$A$344:$A$369,0),2),62+(3*(ROUND(((AC349-$F$345)-2.25)*4,1))),1))*1,"")))</f>
        <v/>
      </c>
      <c r="BQ349" s="66" t="str">
        <f t="shared" si="225"/>
        <v/>
      </c>
      <c r="BR349" s="106" t="str">
        <f t="shared" si="226"/>
        <v/>
      </c>
      <c r="BS349" s="834" t="str">
        <f>IF(COUNT(BP349:BP354)&gt;0,IF(MOD(HOUR(AC349),6)=0,AVERAGE(MAX(BP349:BP355),MIN(BP349:BP355)),IF(MOD(HOUR(AC349),3)=0,MAX(BP350:BP355),IF(MOD(HOUR(AC348),3)=0,BS348,BQ350))),"")</f>
        <v/>
      </c>
      <c r="BT349" s="106" t="str">
        <f t="shared" si="227"/>
        <v/>
      </c>
      <c r="BU349" s="834" t="str">
        <f t="shared" si="212"/>
        <v/>
      </c>
      <c r="BV349" s="66" t="str">
        <f t="shared" si="213"/>
        <v/>
      </c>
      <c r="BW349" s="66" t="str">
        <f t="shared" si="214"/>
        <v/>
      </c>
      <c r="BX349" s="1198">
        <f t="shared" si="172"/>
        <v>7</v>
      </c>
      <c r="BY349" s="1146" t="str">
        <f t="shared" si="219"/>
        <v>NSW</v>
      </c>
      <c r="CA349" s="3675">
        <f t="shared" si="215"/>
        <v>44752.958333333328</v>
      </c>
      <c r="CB349" s="3675"/>
    </row>
    <row r="350" spans="1:80" ht="10.5">
      <c r="A350" s="1050" t="str">
        <f t="shared" si="220"/>
        <v>CLD</v>
      </c>
      <c r="B350" s="106" t="str">
        <f>Worksheet!L330</f>
        <v xml:space="preserve"> CLD  BK SC SC SC BK SC SC BK SC BK OV OV OV OV BK BK BK OV BK BK BK </v>
      </c>
      <c r="AC350" s="977">
        <f t="shared" si="216"/>
        <v>44753</v>
      </c>
      <c r="AE350" s="1149" t="str">
        <f>IF(AND(HOUR(AC350)=HOUR($F$186),DAY(AC350)=DAY($F$186)),(MID($B$189,6,3))*1,IF(AND(ISNUMBER(AE349),AC350&lt;$F$186+1+(1/25)),(MID($B$189,6+(3*COUNT($AE$207:AE349)),3))*1,""))</f>
        <v/>
      </c>
      <c r="AF350" s="1164" t="e">
        <f t="shared" si="168"/>
        <v>#VALUE!</v>
      </c>
      <c r="AG350" s="1150">
        <f t="shared" si="203"/>
        <v>78.800000000000011</v>
      </c>
      <c r="AH350" s="1163" t="str">
        <f>IF(AND(ISNUMBER(AH349),AC350&lt;$F$186+26/25),(MID($B$190,6+(3*COUNT($AH$207:AH349)),3))*1,IF(AND(HOUR(AC350)=HOUR($F$186),DAY(AC350)=DAY($F$186)),(MID($B$190,6,3))*1,""))</f>
        <v/>
      </c>
      <c r="AI350" s="200"/>
      <c r="AJ350" s="1164" t="e">
        <f t="shared" si="204"/>
        <v>#VALUE!</v>
      </c>
      <c r="AK350" s="1150">
        <f t="shared" si="205"/>
        <v>62.6</v>
      </c>
      <c r="AL350" s="1152" t="e">
        <f t="shared" si="169"/>
        <v>#VALUE!</v>
      </c>
      <c r="AM350" s="1153">
        <f t="shared" si="206"/>
        <v>29.98</v>
      </c>
      <c r="AN350" s="1147"/>
      <c r="AO350" s="976" t="str">
        <f>IF(BA350="Y",AP350,IF(AND(ISNUMBER(AO349),AC350&lt;$F$186+26/25),(MID(INDEX($A$187:$B$210,MATCH("CIG",$A$187:$A$210,0),2),8+(3*COUNT($AO$207:AO349)),1))*1,IF(AND(HOUR(AC350)=HOUR($F$186),DAY(AC350)=DAY($F$186)),(MID(INDEX($A$187:$B$210,MATCH("CIG",$A$187:$A$210,0),2),8,1))*1,"")))</f>
        <v/>
      </c>
      <c r="AQ350" s="1061" t="str">
        <f>IF(AND(AQ349&lt;&gt;"",AC350&lt;$F$186+26/25),MID(INDEX($A$187:$B$210,MATCH("CLD",$A$187:$A$210,0),2),7+(3*SUM(COUNTIF($AQ$207:AQ349,"OV"),COUNTIF($AQ$207:AQ349,"BK"),COUNTIF($AQ$207:AQ349,"SC"),COUNTIF($AQ$207:AQ349,"FW"),COUNTIF($AQ$207:AQ349,"CL"))),2),IF(AND(HOUR(AC350)=HOUR($F$186),DAY(AC350)=DAY($F$186)),MID(INDEX($A$187:$B$210,MATCH("CLD",$A$187:$A$210,0),2),7,2),""))</f>
        <v/>
      </c>
      <c r="AR350" s="1149" t="str">
        <f t="shared" si="207"/>
        <v/>
      </c>
      <c r="AS350" s="1150" t="str">
        <f t="shared" si="208"/>
        <v/>
      </c>
      <c r="AT350" s="112" t="str">
        <f t="shared" si="209"/>
        <v/>
      </c>
      <c r="AU350" s="1610" t="str">
        <f t="shared" si="210"/>
        <v/>
      </c>
      <c r="AV350" s="1148">
        <f t="shared" si="170"/>
        <v>40</v>
      </c>
      <c r="AW350" s="920" t="str">
        <f t="shared" si="173"/>
        <v>SCT</v>
      </c>
      <c r="AX350" s="1608">
        <f t="shared" si="171"/>
        <v>40</v>
      </c>
      <c r="AY350" s="112" t="str">
        <f>IF(BA350="Y",AZ350,IF(AND(ISNUMBER(AY349),AC350&lt;$F$186+26/25),(MID(INDEX($A$187:$B$210,MATCH("VIS",$A$187:$A$210,0),2),8+(3*COUNT($AY$207:AY349)),1))*1,IF(AND(HOUR(AC350)=HOUR($F$186),DAY(AC350)=DAY($F$186)),(MID(INDEX($A$187:$B$210,MATCH("VIS",$A$187:$A$210,0),2),8,1))*1,"")))</f>
        <v/>
      </c>
      <c r="AZ350" s="112" t="str">
        <f>IF(AND(ISNUMBER(AZ349),AC350&lt;$F$186+26/25),(MID(INDEX($A$187:$B$210,MATCH("CVS",$A$187:$A$210,0),2),8+(3*COUNT($AZ$207:AZ349)),1))*1,IF(AND(HOUR(AC350)=HOUR($F$186),DAY(AC350)=DAY($F$186)),(MID(INDEX($A$187:$B$210,MATCH("CVS",$A$187:$A$210,0),2),8,1))*1,""))</f>
        <v/>
      </c>
      <c r="BA350" s="1610" t="str">
        <f>IF(AND(BA349&lt;&gt;"",AC350&lt;$F$186+26/25),MID(INDEX($A$187:$B$210,MATCH("PCO",$A$187:$A$210,0),2),8+(3*SUM(COUNTIF($BA$207:BA349,"Y"),COUNTIF($BA$207:BA349,"N"))),1),IF(AND(HOUR(AC350)=HOUR($F$186),DAY(AC350)=DAY($F$186)),MID(INDEX($A$187:$B$210,MATCH("PCO",$A$187:$A$210,0),2),8,1),""))</f>
        <v/>
      </c>
      <c r="BB350" s="1610" t="e">
        <f>IF(AND(BB349&lt;&gt;"",AC350&lt;$F$186+26/25),MID(INDEX($A$187:$B$210,MATCH("TYP",$A$187:$A$210,0),2),8+(3*SUM(COUNTIF($BB$207:BB349,"S"),COUNTIF($BB$207:BB349,"Z"), COUNTIF($BB$207:BB349,"R"),COUNTIF($BB$207:BB349,"X"))),1),IF(AND(HOUR(AC350)=HOUR($F$186),DAY(AC350)=DAY($F$186)),MID(INDEX($A$187:$B$210,MATCH("TYP",$A$187:$A$210,0),2),8,1),""))</f>
        <v>#N/A</v>
      </c>
      <c r="BC350" s="112" t="str">
        <f>IF(AND(LEN(BC349)=2,AC350&lt;$F$186+26/25),MID(INDEX($A$187:$B$211,MATCH("OBV",$A$187:$A$211,0),2),7+(3*SUM(COUNTIF($BC$207:BC349," N"),COUNTIF($BC$207:BC349,"HZ"),COUNTIF($BC$207:BC349,"BR"),COUNTIF($BC$207:BC349,"FG"),COUNTIF($BC$207:BC349,"BL"))),2),IF(AND(HOUR(AC350)=HOUR($F$186),DAY(AC350)=DAY($F$186)),MID(INDEX($A$187:$B$211,MATCH("OBV",$A$187:$A$211,0),2),7,2),""))</f>
        <v/>
      </c>
      <c r="BD350" s="112"/>
      <c r="BE350" s="112"/>
      <c r="BF350" s="112"/>
      <c r="BG350" s="1610" t="str">
        <f t="shared" si="200"/>
        <v/>
      </c>
      <c r="BH350" s="115" t="str">
        <f t="shared" si="211"/>
        <v/>
      </c>
      <c r="BI350" s="200" t="str">
        <f t="shared" si="222"/>
        <v/>
      </c>
      <c r="BJ350" s="62" t="str">
        <f t="shared" si="221"/>
        <v/>
      </c>
      <c r="BK350" s="1145" t="str">
        <f t="shared" ref="BK350:BK389" si="229">IF(COUNT(BJ350:BJ355)&gt;0,IF(MOD(HOUR(AC350),6)=0,AVERAGE(MAX(BJ350:BJ356),MIN(BJ350:BJ356)),IF(MOD(HOUR(AC350),3)=0,MAX(BJ351:BJ356),IF(MOD(HOUR(AC349),3)=0,BK349,BK351))),"")</f>
        <v/>
      </c>
      <c r="BL350" s="62" t="str">
        <f t="shared" si="223"/>
        <v/>
      </c>
      <c r="BM350" s="1145" t="str">
        <f t="shared" ref="BM350:BM389" si="230">IF(COUNT(BL350:BL355)&gt;0,IF(MOD(HOUR(AC350),6)=0,AVERAGE(MAX(BL350:BL356),MIN(BL350:BL356)),IF(MOD(HOUR(AC350),3)=0,MAX(BL351:BL356),IF(MOD(HOUR(AC349),3)=0,BM349,BM351))),"")</f>
        <v/>
      </c>
      <c r="BN350" s="1901" t="str">
        <f t="shared" si="199"/>
        <v/>
      </c>
      <c r="BO350" s="1144" t="str">
        <f t="shared" si="224"/>
        <v/>
      </c>
      <c r="BP350" s="106" t="str">
        <f t="shared" si="228"/>
        <v/>
      </c>
      <c r="BQ350" s="66" t="str">
        <f t="shared" si="225"/>
        <v/>
      </c>
      <c r="BR350" s="106" t="str">
        <f t="shared" si="226"/>
        <v/>
      </c>
      <c r="BS350" s="834" t="str">
        <f>IF(COUNT(BP350:BP355)&gt;0,IF(MOD(HOUR(AC350),6)=0,AVERAGE(MAX(BP350:BP356),MIN(BP350:BP356)),IF(MOD(HOUR(AC350),3)=0,MAX(BP351:BP356),IF(MOD(HOUR(AC349),3)=0,BS349,BQ351))),"")</f>
        <v/>
      </c>
      <c r="BT350" s="106" t="str">
        <f t="shared" si="227"/>
        <v/>
      </c>
      <c r="BU350" s="834" t="str">
        <f t="shared" ref="BU350:BU389" si="231">IF(COUNT(BT350:BT355)&gt;0,IF(MOD(HOUR(AC350),6)=0,AVERAGE(MAX(BT350:BT356),MIN(BT350:BT356)),IF(MOD(HOUR(AC350),3)=0,MAX(BT351:BT356),IF(MOD(HOUR(AC349),3)=0,BU349,BU351))),"")</f>
        <v/>
      </c>
      <c r="BV350" s="66" t="str">
        <f t="shared" si="213"/>
        <v/>
      </c>
      <c r="BW350" s="66" t="str">
        <f t="shared" si="214"/>
        <v/>
      </c>
      <c r="BX350" s="1198">
        <f t="shared" si="172"/>
        <v>7</v>
      </c>
      <c r="BY350" s="1146" t="str">
        <f t="shared" si="219"/>
        <v>NSW</v>
      </c>
      <c r="CA350" s="3675">
        <f t="shared" ref="CA350:CA389" si="232">AC350</f>
        <v>44753</v>
      </c>
      <c r="CB350" s="3675"/>
    </row>
    <row r="351" spans="1:80" ht="12.5">
      <c r="A351" s="1050" t="str">
        <f t="shared" si="220"/>
        <v>WDR</v>
      </c>
      <c r="B351" s="106" t="str">
        <f>Worksheet!L331</f>
        <v xml:space="preserve"> WDR  20 21 22 21 20 22 23 24 25 21 25 18 18 20 24 25 23 25 21 29 25 </v>
      </c>
      <c r="D351" s="381"/>
      <c r="E351" s="381"/>
      <c r="F351" s="381"/>
      <c r="G351" s="381"/>
      <c r="H351" s="381"/>
      <c r="I351" s="381"/>
      <c r="J351" s="476"/>
      <c r="K351" s="476"/>
      <c r="L351" s="476"/>
      <c r="AC351" s="977">
        <f t="shared" si="216"/>
        <v>44753.041666666664</v>
      </c>
      <c r="AE351" s="1149" t="str">
        <f>IF(AND(HOUR(AC351)=HOUR($F$186),DAY(AC351)=DAY($F$186)),(MID($B$189,6,3))*1,IF(AND(ISNUMBER(AE350),AC351&lt;$F$186+1+(1/25)),(MID($B$189,6+(3*COUNT($AE$207:AE350)),3))*1,""))</f>
        <v/>
      </c>
      <c r="AF351" s="1164" t="e">
        <f t="shared" si="168"/>
        <v>#VALUE!</v>
      </c>
      <c r="AG351" s="1150">
        <f t="shared" si="203"/>
        <v>76.400000000000006</v>
      </c>
      <c r="AH351" s="1163" t="str">
        <f>IF(AND(ISNUMBER(AH350),AC351&lt;$F$186+26/25),(MID($B$190,6+(3*COUNT($AH$207:AH350)),3))*1,IF(AND(HOUR(AC351)=HOUR($F$186),DAY(AC351)=DAY($F$186)),(MID($B$190,6,3))*1,""))</f>
        <v/>
      </c>
      <c r="AI351" s="200"/>
      <c r="AJ351" s="1164" t="e">
        <f t="shared" si="204"/>
        <v>#VALUE!</v>
      </c>
      <c r="AK351" s="1150">
        <f t="shared" si="205"/>
        <v>63.2</v>
      </c>
      <c r="AL351" s="1152" t="e">
        <f t="shared" si="169"/>
        <v>#VALUE!</v>
      </c>
      <c r="AM351" s="1153">
        <f t="shared" si="206"/>
        <v>29.983333333333334</v>
      </c>
      <c r="AN351" s="1147"/>
      <c r="AO351" s="976" t="str">
        <f>IF(BA351="Y",AP351,IF(AND(ISNUMBER(AO350),AC351&lt;$F$186+26/25),(MID(INDEX($A$187:$B$210,MATCH("CIG",$A$187:$A$210,0),2),8+(3*COUNT($AO$207:AO350)),1))*1,IF(AND(HOUR(AC351)=HOUR($F$186),DAY(AC351)=DAY($F$186)),(MID(INDEX($A$187:$B$210,MATCH("CIG",$A$187:$A$210,0),2),8,1))*1,"")))</f>
        <v/>
      </c>
      <c r="AQ351" s="1061" t="str">
        <f>IF(AND(AQ350&lt;&gt;"",AC351&lt;$F$186+26/25),MID(INDEX($A$187:$B$210,MATCH("CLD",$A$187:$A$210,0),2),7+(3*SUM(COUNTIF($AQ$207:AQ350,"OV"),COUNTIF($AQ$207:AQ350,"BK"),COUNTIF($AQ$207:AQ350,"SC"),COUNTIF($AQ$207:AQ350,"FW"),COUNTIF($AQ$207:AQ350,"CL"))),2),IF(AND(HOUR(AC351)=HOUR($F$186),DAY(AC351)=DAY($F$186)),MID(INDEX($A$187:$B$210,MATCH("CLD",$A$187:$A$210,0),2),7,2),""))</f>
        <v/>
      </c>
      <c r="AR351" s="1149" t="str">
        <f t="shared" si="207"/>
        <v/>
      </c>
      <c r="AS351" s="1150" t="str">
        <f t="shared" si="208"/>
        <v/>
      </c>
      <c r="AT351" s="112" t="str">
        <f t="shared" si="209"/>
        <v/>
      </c>
      <c r="AU351" s="1610" t="str">
        <f t="shared" si="210"/>
        <v/>
      </c>
      <c r="AV351" s="1148">
        <f t="shared" si="170"/>
        <v>50</v>
      </c>
      <c r="AW351" s="920" t="str">
        <f t="shared" si="173"/>
        <v>SCT</v>
      </c>
      <c r="AX351" s="1608">
        <f t="shared" si="171"/>
        <v>36.666666666666664</v>
      </c>
      <c r="AY351" s="112" t="str">
        <f>IF(BA351="Y",AZ351,IF(AND(ISNUMBER(AY350),AC351&lt;$F$186+26/25),(MID(INDEX($A$187:$B$210,MATCH("VIS",$A$187:$A$210,0),2),8+(3*COUNT($AY$207:AY350)),1))*1,IF(AND(HOUR(AC351)=HOUR($F$186),DAY(AC351)=DAY($F$186)),(MID(INDEX($A$187:$B$210,MATCH("VIS",$A$187:$A$210,0),2),8,1))*1,"")))</f>
        <v/>
      </c>
      <c r="AZ351" s="112" t="str">
        <f>IF(AND(ISNUMBER(AZ350),AC351&lt;$F$186+26/25),(MID(INDEX($A$187:$B$210,MATCH("CVS",$A$187:$A$210,0),2),8+(3*COUNT($AZ$207:AZ350)),1))*1,IF(AND(HOUR(AC351)=HOUR($F$186),DAY(AC351)=DAY($F$186)),(MID(INDEX($A$187:$B$210,MATCH("CVS",$A$187:$A$210,0),2),8,1))*1,""))</f>
        <v/>
      </c>
      <c r="BA351" s="1610" t="str">
        <f>IF(AND(BA350&lt;&gt;"",AC351&lt;$F$186+26/25),MID(INDEX($A$187:$B$210,MATCH("PCO",$A$187:$A$210,0),2),8+(3*SUM(COUNTIF($BA$207:BA350,"Y"),COUNTIF($BA$207:BA350,"N"))),1),IF(AND(HOUR(AC351)=HOUR($F$186),DAY(AC351)=DAY($F$186)),MID(INDEX($A$187:$B$210,MATCH("PCO",$A$187:$A$210,0),2),8,1),""))</f>
        <v/>
      </c>
      <c r="BB351" s="1610" t="e">
        <f>IF(AND(BB350&lt;&gt;"",AC351&lt;$F$186+26/25),MID(INDEX($A$187:$B$210,MATCH("TYP",$A$187:$A$210,0),2),8+(3*SUM(COUNTIF($BB$207:BB350,"S"),COUNTIF($BB$207:BB350,"Z"), COUNTIF($BB$207:BB350,"R"),COUNTIF($BB$207:BB350,"X"))),1),IF(AND(HOUR(AC351)=HOUR($F$186),DAY(AC351)=DAY($F$186)),MID(INDEX($A$187:$B$210,MATCH("TYP",$A$187:$A$210,0),2),8,1),""))</f>
        <v>#N/A</v>
      </c>
      <c r="BC351" s="112" t="str">
        <f>IF(AND(LEN(BC350)=2,AC351&lt;$F$186+26/25),MID(INDEX($A$187:$B$211,MATCH("OBV",$A$187:$A$211,0),2),7+(3*SUM(COUNTIF($BC$207:BC350," N"),COUNTIF($BC$207:BC350,"HZ"),COUNTIF($BC$207:BC350,"BR"),COUNTIF($BC$207:BC350,"FG"),COUNTIF($BC$207:BC350,"BL"))),2),IF(AND(HOUR(AC351)=HOUR($F$186),DAY(AC351)=DAY($F$186)),MID(INDEX($A$187:$B$211,MATCH("OBV",$A$187:$A$211,0),2),7,2),""))</f>
        <v/>
      </c>
      <c r="BD351" s="112"/>
      <c r="BE351" s="112"/>
      <c r="BF351" s="112"/>
      <c r="BG351" s="1610" t="str">
        <f t="shared" si="200"/>
        <v/>
      </c>
      <c r="BH351" s="115" t="str">
        <f t="shared" si="211"/>
        <v/>
      </c>
      <c r="BI351" s="200" t="str">
        <f t="shared" si="222"/>
        <v/>
      </c>
      <c r="BJ351" s="62" t="str">
        <f t="shared" si="221"/>
        <v/>
      </c>
      <c r="BK351" s="1145" t="str">
        <f t="shared" si="229"/>
        <v/>
      </c>
      <c r="BL351" s="62" t="str">
        <f t="shared" si="223"/>
        <v/>
      </c>
      <c r="BM351" s="1145" t="str">
        <f t="shared" si="230"/>
        <v/>
      </c>
      <c r="BN351" s="1901" t="str">
        <f t="shared" si="199"/>
        <v/>
      </c>
      <c r="BO351" s="1144" t="str">
        <f t="shared" si="224"/>
        <v/>
      </c>
      <c r="BP351" s="106" t="str">
        <f t="shared" si="228"/>
        <v/>
      </c>
      <c r="BQ351" s="66" t="str">
        <f t="shared" si="225"/>
        <v/>
      </c>
      <c r="BR351" s="106" t="str">
        <f t="shared" si="226"/>
        <v/>
      </c>
      <c r="BS351" s="834" t="str">
        <f t="shared" ref="BS351:BS389" si="233">IF(COUNT(BP351:BP356)&gt;0,IF(MOD(HOUR(AC351),6)=0,AVERAGE(MAX(BP351:BP357),MIN(BP351:BP357)),IF(MOD(HOUR(AC351),3)=0,MAX(BP352:BP357),IF(MOD(HOUR(AC350),3)=0,BS350,BQ352))),"")</f>
        <v/>
      </c>
      <c r="BT351" s="106" t="str">
        <f t="shared" si="227"/>
        <v/>
      </c>
      <c r="BU351" s="834" t="str">
        <f t="shared" si="231"/>
        <v/>
      </c>
      <c r="BV351" s="66" t="str">
        <f t="shared" si="213"/>
        <v/>
      </c>
      <c r="BW351" s="66" t="str">
        <f t="shared" si="214"/>
        <v/>
      </c>
      <c r="BX351" s="1198">
        <f t="shared" si="172"/>
        <v>7</v>
      </c>
      <c r="BY351" s="1146" t="str">
        <f t="shared" si="219"/>
        <v>NSW</v>
      </c>
      <c r="CA351" s="3675">
        <f t="shared" si="232"/>
        <v>44753.041666666664</v>
      </c>
      <c r="CB351" s="3675"/>
    </row>
    <row r="352" spans="1:80" ht="10.5">
      <c r="A352" s="1050" t="str">
        <f t="shared" si="220"/>
        <v>WSP</v>
      </c>
      <c r="B352" s="106" t="str">
        <f>Worksheet!L332</f>
        <v xml:space="preserve"> WSP  04 03 04 03 02 05 09 07 04 05 04 03 03 06 08 06 03 05 03 03 07 </v>
      </c>
      <c r="AC352" s="977">
        <f t="shared" si="216"/>
        <v>44753.083333333328</v>
      </c>
      <c r="AE352" s="1149" t="str">
        <f>IF(AND(HOUR(AC352)=HOUR($F$186),DAY(AC352)=DAY($F$186)),(MID($B$189,6,3))*1,IF(AND(ISNUMBER(AE351),AC352&lt;$F$186+1+(1/25)),(MID($B$189,6+(3*COUNT($AE$207:AE351)),3))*1,""))</f>
        <v/>
      </c>
      <c r="AF352" s="1164" t="e">
        <f t="shared" si="168"/>
        <v>#VALUE!</v>
      </c>
      <c r="AG352" s="1150">
        <f t="shared" si="203"/>
        <v>74</v>
      </c>
      <c r="AH352" s="1163" t="str">
        <f>IF(AND(ISNUMBER(AH351),AC352&lt;$F$186+26/25),(MID($B$190,6+(3*COUNT($AH$207:AH351)),3))*1,IF(AND(HOUR(AC352)=HOUR($F$186),DAY(AC352)=DAY($F$186)),(MID($B$190,6,3))*1,""))</f>
        <v/>
      </c>
      <c r="AI352" s="200"/>
      <c r="AJ352" s="1164" t="e">
        <f t="shared" si="204"/>
        <v>#VALUE!</v>
      </c>
      <c r="AK352" s="1150">
        <f t="shared" si="205"/>
        <v>63.800000000000004</v>
      </c>
      <c r="AL352" s="1152" t="e">
        <f t="shared" si="169"/>
        <v>#VALUE!</v>
      </c>
      <c r="AM352" s="1153">
        <f t="shared" si="206"/>
        <v>29.986666666666665</v>
      </c>
      <c r="AN352" s="1147"/>
      <c r="AO352" s="976" t="str">
        <f>IF(BA352="Y",AP352,IF(AND(ISNUMBER(AO351),AC352&lt;$F$186+26/25),(MID(INDEX($A$187:$B$210,MATCH("CIG",$A$187:$A$210,0),2),8+(3*COUNT($AO$207:AO351)),1))*1,IF(AND(HOUR(AC352)=HOUR($F$186),DAY(AC352)=DAY($F$186)),(MID(INDEX($A$187:$B$210,MATCH("CIG",$A$187:$A$210,0),2),8,1))*1,"")))</f>
        <v/>
      </c>
      <c r="AQ352" s="1061" t="str">
        <f>IF(AND(AQ351&lt;&gt;"",AC352&lt;$F$186+26/25),MID(INDEX($A$187:$B$210,MATCH("CLD",$A$187:$A$210,0),2),7+(3*SUM(COUNTIF($AQ$207:AQ351,"OV"),COUNTIF($AQ$207:AQ351,"BK"),COUNTIF($AQ$207:AQ351,"SC"),COUNTIF($AQ$207:AQ351,"FW"),COUNTIF($AQ$207:AQ351,"CL"))),2),IF(AND(HOUR(AC352)=HOUR($F$186),DAY(AC352)=DAY($F$186)),MID(INDEX($A$187:$B$210,MATCH("CLD",$A$187:$A$210,0),2),7,2),""))</f>
        <v/>
      </c>
      <c r="AR352" s="1149" t="str">
        <f t="shared" si="207"/>
        <v/>
      </c>
      <c r="AS352" s="1150" t="str">
        <f t="shared" si="208"/>
        <v/>
      </c>
      <c r="AT352" s="112" t="str">
        <f t="shared" si="209"/>
        <v/>
      </c>
      <c r="AU352" s="1610" t="str">
        <f t="shared" si="210"/>
        <v/>
      </c>
      <c r="AV352" s="1148">
        <f t="shared" si="170"/>
        <v>60</v>
      </c>
      <c r="AW352" s="920" t="str">
        <f t="shared" si="173"/>
        <v>BKN</v>
      </c>
      <c r="AX352" s="1608">
        <f t="shared" si="171"/>
        <v>33.333333333333336</v>
      </c>
      <c r="AY352" s="112" t="str">
        <f>IF(BA352="Y",AZ352,IF(AND(ISNUMBER(AY351),AC352&lt;$F$186+26/25),(MID(INDEX($A$187:$B$210,MATCH("VIS",$A$187:$A$210,0),2),8+(3*COUNT($AY$207:AY351)),1))*1,IF(AND(HOUR(AC352)=HOUR($F$186),DAY(AC352)=DAY($F$186)),(MID(INDEX($A$187:$B$210,MATCH("VIS",$A$187:$A$210,0),2),8,1))*1,"")))</f>
        <v/>
      </c>
      <c r="AZ352" s="112" t="str">
        <f>IF(AND(ISNUMBER(AZ351),AC352&lt;$F$186+26/25),(MID(INDEX($A$187:$B$210,MATCH("CVS",$A$187:$A$210,0),2),8+(3*COUNT($AZ$207:AZ351)),1))*1,IF(AND(HOUR(AC352)=HOUR($F$186),DAY(AC352)=DAY($F$186)),(MID(INDEX($A$187:$B$210,MATCH("CVS",$A$187:$A$210,0),2),8,1))*1,""))</f>
        <v/>
      </c>
      <c r="BA352" s="1610" t="str">
        <f>IF(AND(BA351&lt;&gt;"",AC352&lt;$F$186+26/25),MID(INDEX($A$187:$B$210,MATCH("PCO",$A$187:$A$210,0),2),8+(3*SUM(COUNTIF($BA$207:BA351,"Y"),COUNTIF($BA$207:BA351,"N"))),1),IF(AND(HOUR(AC352)=HOUR($F$186),DAY(AC352)=DAY($F$186)),MID(INDEX($A$187:$B$210,MATCH("PCO",$A$187:$A$210,0),2),8,1),""))</f>
        <v/>
      </c>
      <c r="BB352" s="1610" t="e">
        <f>IF(AND(BB351&lt;&gt;"",AC352&lt;$F$186+26/25),MID(INDEX($A$187:$B$210,MATCH("TYP",$A$187:$A$210,0),2),8+(3*SUM(COUNTIF($BB$207:BB351,"S"),COUNTIF($BB$207:BB351,"Z"), COUNTIF($BB$207:BB351,"R"),COUNTIF($BB$207:BB351,"X"))),1),IF(AND(HOUR(AC352)=HOUR($F$186),DAY(AC352)=DAY($F$186)),MID(INDEX($A$187:$B$210,MATCH("TYP",$A$187:$A$210,0),2),8,1),""))</f>
        <v>#N/A</v>
      </c>
      <c r="BC352" s="112" t="str">
        <f>IF(AND(LEN(BC351)=2,AC352&lt;$F$186+26/25),MID(INDEX($A$187:$B$211,MATCH("OBV",$A$187:$A$211,0),2),7+(3*SUM(COUNTIF($BC$207:BC351," N"),COUNTIF($BC$207:BC351,"HZ"),COUNTIF($BC$207:BC351,"BR"),COUNTIF($BC$207:BC351,"FG"),COUNTIF($BC$207:BC351,"BL"))),2),IF(AND(HOUR(AC352)=HOUR($F$186),DAY(AC352)=DAY($F$186)),MID(INDEX($A$187:$B$211,MATCH("OBV",$A$187:$A$211,0),2),7,2),""))</f>
        <v/>
      </c>
      <c r="BD352" s="112"/>
      <c r="BE352" s="112"/>
      <c r="BF352" s="112"/>
      <c r="BG352" s="1610" t="str">
        <f t="shared" si="200"/>
        <v/>
      </c>
      <c r="BH352" s="115" t="str">
        <f t="shared" si="211"/>
        <v/>
      </c>
      <c r="BI352" s="200" t="str">
        <f t="shared" si="222"/>
        <v/>
      </c>
      <c r="BJ352" s="62" t="str">
        <f t="shared" si="221"/>
        <v/>
      </c>
      <c r="BK352" s="1145" t="str">
        <f t="shared" si="229"/>
        <v/>
      </c>
      <c r="BL352" s="62" t="str">
        <f t="shared" si="223"/>
        <v/>
      </c>
      <c r="BM352" s="1145" t="str">
        <f t="shared" si="230"/>
        <v/>
      </c>
      <c r="BN352" s="1901" t="str">
        <f t="shared" si="199"/>
        <v/>
      </c>
      <c r="BO352" s="1144" t="str">
        <f t="shared" si="224"/>
        <v/>
      </c>
      <c r="BP352" s="106" t="str">
        <f t="shared" si="228"/>
        <v/>
      </c>
      <c r="BQ352" s="66" t="str">
        <f t="shared" si="225"/>
        <v/>
      </c>
      <c r="BR352" s="106" t="str">
        <f t="shared" si="226"/>
        <v/>
      </c>
      <c r="BS352" s="834" t="str">
        <f t="shared" si="233"/>
        <v/>
      </c>
      <c r="BT352" s="106" t="str">
        <f t="shared" si="227"/>
        <v/>
      </c>
      <c r="BU352" s="834" t="str">
        <f t="shared" si="231"/>
        <v/>
      </c>
      <c r="BV352" s="66" t="str">
        <f t="shared" si="213"/>
        <v/>
      </c>
      <c r="BW352" s="66" t="str">
        <f t="shared" si="214"/>
        <v/>
      </c>
      <c r="BX352" s="1198">
        <f t="shared" si="172"/>
        <v>7</v>
      </c>
      <c r="BY352" s="1146" t="str">
        <f t="shared" si="219"/>
        <v>NSW</v>
      </c>
      <c r="CA352" s="3675">
        <f t="shared" si="232"/>
        <v>44753.083333333328</v>
      </c>
      <c r="CB352" s="3675"/>
    </row>
    <row r="353" spans="1:80" ht="10.5">
      <c r="A353" s="1050" t="str">
        <f t="shared" si="220"/>
        <v>P06</v>
      </c>
      <c r="B353" s="106" t="str">
        <f>Worksheet!L333</f>
        <v xml:space="preserve"> P06        26    41     9     7    30    35    28    43    26 27 27 </v>
      </c>
      <c r="AC353" s="977">
        <f t="shared" si="216"/>
        <v>44753.125</v>
      </c>
      <c r="AE353" s="1149" t="str">
        <f>IF(AND(HOUR(AC353)=HOUR($F$186),DAY(AC353)=DAY($F$186)),(MID($B$189,6,3))*1,IF(AND(ISNUMBER(AE352),AC353&lt;$F$186+1+(1/25)),(MID($B$189,6+(3*COUNT($AE$207:AE352)),3))*1,""))</f>
        <v/>
      </c>
      <c r="AF353" s="1164" t="e">
        <f t="shared" si="168"/>
        <v>#VALUE!</v>
      </c>
      <c r="AG353" s="1150">
        <f t="shared" si="203"/>
        <v>71.599999999999994</v>
      </c>
      <c r="AH353" s="1163" t="str">
        <f>IF(AND(ISNUMBER(AH352),AC353&lt;$F$186+26/25),(MID($B$190,6+(3*COUNT($AH$207:AH352)),3))*1,IF(AND(HOUR(AC353)=HOUR($F$186),DAY(AC353)=DAY($F$186)),(MID($B$190,6,3))*1,""))</f>
        <v/>
      </c>
      <c r="AI353" s="200"/>
      <c r="AJ353" s="1164" t="e">
        <f t="shared" si="204"/>
        <v>#VALUE!</v>
      </c>
      <c r="AK353" s="1150">
        <f t="shared" si="205"/>
        <v>64.400000000000006</v>
      </c>
      <c r="AL353" s="1152" t="e">
        <f t="shared" si="169"/>
        <v>#VALUE!</v>
      </c>
      <c r="AM353" s="1153">
        <f t="shared" si="206"/>
        <v>29.99</v>
      </c>
      <c r="AN353" s="1147"/>
      <c r="AO353" s="976" t="str">
        <f>IF(BA353="Y",AP353,IF(AND(ISNUMBER(AO352),AC353&lt;$F$186+26/25),(MID(INDEX($A$187:$B$210,MATCH("CIG",$A$187:$A$210,0),2),8+(3*COUNT($AO$207:AO352)),1))*1,IF(AND(HOUR(AC353)=HOUR($F$186),DAY(AC353)=DAY($F$186)),(MID(INDEX($A$187:$B$210,MATCH("CIG",$A$187:$A$210,0),2),8,1))*1,"")))</f>
        <v/>
      </c>
      <c r="AQ353" s="1061" t="str">
        <f>IF(AND(AQ352&lt;&gt;"",AC353&lt;$F$186+26/25),MID(INDEX($A$187:$B$210,MATCH("CLD",$A$187:$A$210,0),2),7+(3*SUM(COUNTIF($AQ$207:AQ352,"OV"),COUNTIF($AQ$207:AQ352,"BK"),COUNTIF($AQ$207:AQ352,"SC"),COUNTIF($AQ$207:AQ352,"FW"),COUNTIF($AQ$207:AQ352,"CL"))),2),IF(AND(HOUR(AC353)=HOUR($F$186),DAY(AC353)=DAY($F$186)),MID(INDEX($A$187:$B$210,MATCH("CLD",$A$187:$A$210,0),2),7,2),""))</f>
        <v/>
      </c>
      <c r="AR353" s="1149" t="str">
        <f t="shared" si="207"/>
        <v/>
      </c>
      <c r="AS353" s="1150" t="str">
        <f t="shared" si="208"/>
        <v/>
      </c>
      <c r="AT353" s="112" t="str">
        <f t="shared" si="209"/>
        <v/>
      </c>
      <c r="AU353" s="1610" t="str">
        <f t="shared" si="210"/>
        <v/>
      </c>
      <c r="AV353" s="1148">
        <f t="shared" si="170"/>
        <v>70</v>
      </c>
      <c r="AW353" s="920" t="str">
        <f t="shared" si="173"/>
        <v>BKN</v>
      </c>
      <c r="AX353" s="1608">
        <f t="shared" si="171"/>
        <v>30</v>
      </c>
      <c r="AY353" s="112" t="str">
        <f>IF(BA353="Y",AZ353,IF(AND(ISNUMBER(AY352),AC353&lt;$F$186+26/25),(MID(INDEX($A$187:$B$210,MATCH("VIS",$A$187:$A$210,0),2),8+(3*COUNT($AY$207:AY352)),1))*1,IF(AND(HOUR(AC353)=HOUR($F$186),DAY(AC353)=DAY($F$186)),(MID(INDEX($A$187:$B$210,MATCH("VIS",$A$187:$A$210,0),2),8,1))*1,"")))</f>
        <v/>
      </c>
      <c r="AZ353" s="112" t="str">
        <f>IF(AND(ISNUMBER(AZ352),AC353&lt;$F$186+26/25),(MID(INDEX($A$187:$B$210,MATCH("CVS",$A$187:$A$210,0),2),8+(3*COUNT($AZ$207:AZ352)),1))*1,IF(AND(HOUR(AC353)=HOUR($F$186),DAY(AC353)=DAY($F$186)),(MID(INDEX($A$187:$B$210,MATCH("CVS",$A$187:$A$210,0),2),8,1))*1,""))</f>
        <v/>
      </c>
      <c r="BA353" s="1610" t="str">
        <f>IF(AND(BA352&lt;&gt;"",AC353&lt;$F$186+26/25),MID(INDEX($A$187:$B$210,MATCH("PCO",$A$187:$A$210,0),2),8+(3*SUM(COUNTIF($BA$207:BA352,"Y"),COUNTIF($BA$207:BA352,"N"))),1),IF(AND(HOUR(AC353)=HOUR($F$186),DAY(AC353)=DAY($F$186)),MID(INDEX($A$187:$B$210,MATCH("PCO",$A$187:$A$210,0),2),8,1),""))</f>
        <v/>
      </c>
      <c r="BB353" s="1610" t="e">
        <f>IF(AND(BB352&lt;&gt;"",AC353&lt;$F$186+26/25),MID(INDEX($A$187:$B$210,MATCH("TYP",$A$187:$A$210,0),2),8+(3*SUM(COUNTIF($BB$207:BB352,"S"),COUNTIF($BB$207:BB352,"Z"), COUNTIF($BB$207:BB352,"R"),COUNTIF($BB$207:BB352,"X"))),1),IF(AND(HOUR(AC353)=HOUR($F$186),DAY(AC353)=DAY($F$186)),MID(INDEX($A$187:$B$210,MATCH("TYP",$A$187:$A$210,0),2),8,1),""))</f>
        <v>#N/A</v>
      </c>
      <c r="BC353" s="112" t="str">
        <f>IF(AND(LEN(BC352)=2,AC353&lt;$F$186+26/25),MID(INDEX($A$187:$B$211,MATCH("OBV",$A$187:$A$211,0),2),7+(3*SUM(COUNTIF($BC$207:BC352," N"),COUNTIF($BC$207:BC352,"HZ"),COUNTIF($BC$207:BC352,"BR"),COUNTIF($BC$207:BC352,"FG"),COUNTIF($BC$207:BC352,"BL"))),2),IF(AND(HOUR(AC353)=HOUR($F$186),DAY(AC353)=DAY($F$186)),MID(INDEX($A$187:$B$211,MATCH("OBV",$A$187:$A$211,0),2),7,2),""))</f>
        <v/>
      </c>
      <c r="BD353" s="112"/>
      <c r="BE353" s="112"/>
      <c r="BF353" s="112"/>
      <c r="BG353" s="1610" t="str">
        <f t="shared" si="200"/>
        <v/>
      </c>
      <c r="BH353" s="115" t="str">
        <f t="shared" si="211"/>
        <v/>
      </c>
      <c r="BI353" s="200" t="str">
        <f t="shared" si="222"/>
        <v/>
      </c>
      <c r="BJ353" s="62" t="str">
        <f t="shared" si="221"/>
        <v/>
      </c>
      <c r="BK353" s="1145" t="str">
        <f t="shared" si="229"/>
        <v/>
      </c>
      <c r="BL353" s="62" t="str">
        <f t="shared" si="223"/>
        <v/>
      </c>
      <c r="BM353" s="1145" t="str">
        <f t="shared" si="230"/>
        <v/>
      </c>
      <c r="BN353" s="1901" t="str">
        <f t="shared" si="199"/>
        <v/>
      </c>
      <c r="BO353" s="1144" t="str">
        <f t="shared" si="224"/>
        <v/>
      </c>
      <c r="BP353" s="106" t="str">
        <f t="shared" si="228"/>
        <v/>
      </c>
      <c r="BQ353" s="66" t="str">
        <f t="shared" si="225"/>
        <v/>
      </c>
      <c r="BR353" s="106" t="str">
        <f t="shared" si="226"/>
        <v/>
      </c>
      <c r="BS353" s="834" t="str">
        <f t="shared" si="233"/>
        <v/>
      </c>
      <c r="BT353" s="106" t="str">
        <f t="shared" si="227"/>
        <v/>
      </c>
      <c r="BU353" s="834" t="str">
        <f t="shared" si="231"/>
        <v/>
      </c>
      <c r="BV353" s="66" t="str">
        <f t="shared" si="213"/>
        <v/>
      </c>
      <c r="BW353" s="66" t="str">
        <f t="shared" si="214"/>
        <v/>
      </c>
      <c r="BX353" s="1198">
        <f t="shared" si="172"/>
        <v>7</v>
      </c>
      <c r="BY353" s="1146" t="str">
        <f t="shared" si="219"/>
        <v>NSW</v>
      </c>
      <c r="CA353" s="3675">
        <f t="shared" si="232"/>
        <v>44753.125</v>
      </c>
      <c r="CB353" s="3675"/>
    </row>
    <row r="354" spans="1:80" ht="10.5">
      <c r="A354" s="1050" t="str">
        <f t="shared" si="220"/>
        <v>P12</v>
      </c>
      <c r="B354" s="106" t="str">
        <f>Worksheet!L334</f>
        <v xml:space="preserve"> P12              52          19          47          54       50    </v>
      </c>
      <c r="AC354" s="977">
        <f t="shared" si="216"/>
        <v>44753.166666666664</v>
      </c>
      <c r="AE354" s="1149" t="str">
        <f>IF(AND(HOUR(AC354)=HOUR($F$186),DAY(AC354)=DAY($F$186)),(MID($B$189,6,3))*1,IF(AND(ISNUMBER(AE353),AC354&lt;$F$186+1+(1/25)),(MID($B$189,6+(3*COUNT($AE$207:AE353)),3))*1,""))</f>
        <v/>
      </c>
      <c r="AF354" s="1164" t="e">
        <f t="shared" si="168"/>
        <v>#VALUE!</v>
      </c>
      <c r="AG354" s="1150">
        <f t="shared" si="203"/>
        <v>71.599999999999994</v>
      </c>
      <c r="AH354" s="1163" t="str">
        <f>IF(AND(ISNUMBER(AH353),AC354&lt;$F$186+26/25),(MID($B$190,6+(3*COUNT($AH$207:AH353)),3))*1,IF(AND(HOUR(AC354)=HOUR($F$186),DAY(AC354)=DAY($F$186)),(MID($B$190,6,3))*1,""))</f>
        <v/>
      </c>
      <c r="AI354" s="200"/>
      <c r="AJ354" s="1164" t="e">
        <f t="shared" si="204"/>
        <v>#VALUE!</v>
      </c>
      <c r="AK354" s="1150">
        <f t="shared" si="205"/>
        <v>65.600000000000009</v>
      </c>
      <c r="AL354" s="1152" t="e">
        <f t="shared" si="169"/>
        <v>#VALUE!</v>
      </c>
      <c r="AM354" s="1153">
        <f t="shared" si="206"/>
        <v>29.983333333333331</v>
      </c>
      <c r="AN354" s="1147"/>
      <c r="AO354" s="976" t="str">
        <f>IF(BA354="Y",AP354,IF(AND(ISNUMBER(AO353),AC354&lt;$F$186+26/25),(MID(INDEX($A$187:$B$210,MATCH("CIG",$A$187:$A$210,0),2),8+(3*COUNT($AO$207:AO353)),1))*1,IF(AND(HOUR(AC354)=HOUR($F$186),DAY(AC354)=DAY($F$186)),(MID(INDEX($A$187:$B$210,MATCH("CIG",$A$187:$A$210,0),2),8,1))*1,"")))</f>
        <v/>
      </c>
      <c r="AQ354" s="1061" t="str">
        <f>IF(AND(AQ353&lt;&gt;"",AC354&lt;$F$186+26/25),MID(INDEX($A$187:$B$210,MATCH("CLD",$A$187:$A$210,0),2),7+(3*SUM(COUNTIF($AQ$207:AQ353,"OV"),COUNTIF($AQ$207:AQ353,"BK"),COUNTIF($AQ$207:AQ353,"SC"),COUNTIF($AQ$207:AQ353,"FW"),COUNTIF($AQ$207:AQ353,"CL"))),2),IF(AND(HOUR(AC354)=HOUR($F$186),DAY(AC354)=DAY($F$186)),MID(INDEX($A$187:$B$210,MATCH("CLD",$A$187:$A$210,0),2),7,2),""))</f>
        <v/>
      </c>
      <c r="AR354" s="1149" t="str">
        <f t="shared" si="207"/>
        <v/>
      </c>
      <c r="AS354" s="1150" t="str">
        <f t="shared" si="208"/>
        <v/>
      </c>
      <c r="AT354" s="112" t="str">
        <f t="shared" si="209"/>
        <v/>
      </c>
      <c r="AU354" s="1610" t="str">
        <f t="shared" si="210"/>
        <v/>
      </c>
      <c r="AV354" s="1148">
        <f t="shared" si="170"/>
        <v>60</v>
      </c>
      <c r="AW354" s="920" t="str">
        <f t="shared" si="173"/>
        <v>BKN</v>
      </c>
      <c r="AX354" s="1608">
        <f t="shared" si="171"/>
        <v>26.666666666666668</v>
      </c>
      <c r="AY354" s="112" t="str">
        <f>IF(BA354="Y",AZ354,IF(AND(ISNUMBER(AY353),AC354&lt;$F$186+26/25),(MID(INDEX($A$187:$B$210,MATCH("VIS",$A$187:$A$210,0),2),8+(3*COUNT($AY$207:AY353)),1))*1,IF(AND(HOUR(AC354)=HOUR($F$186),DAY(AC354)=DAY($F$186)),(MID(INDEX($A$187:$B$210,MATCH("VIS",$A$187:$A$210,0),2),8,1))*1,"")))</f>
        <v/>
      </c>
      <c r="AZ354" s="112" t="str">
        <f>IF(AND(ISNUMBER(AZ353),AC354&lt;$F$186+26/25),(MID(INDEX($A$187:$B$210,MATCH("CVS",$A$187:$A$210,0),2),8+(3*COUNT($AZ$207:AZ353)),1))*1,IF(AND(HOUR(AC354)=HOUR($F$186),DAY(AC354)=DAY($F$186)),(MID(INDEX($A$187:$B$210,MATCH("CVS",$A$187:$A$210,0),2),8,1))*1,""))</f>
        <v/>
      </c>
      <c r="BA354" s="1610" t="str">
        <f>IF(AND(BA353&lt;&gt;"",AC354&lt;$F$186+26/25),MID(INDEX($A$187:$B$210,MATCH("PCO",$A$187:$A$210,0),2),8+(3*SUM(COUNTIF($BA$207:BA353,"Y"),COUNTIF($BA$207:BA353,"N"))),1),IF(AND(HOUR(AC354)=HOUR($F$186),DAY(AC354)=DAY($F$186)),MID(INDEX($A$187:$B$210,MATCH("PCO",$A$187:$A$210,0),2),8,1),""))</f>
        <v/>
      </c>
      <c r="BB354" s="1610" t="e">
        <f>IF(AND(BB353&lt;&gt;"",AC354&lt;$F$186+26/25),MID(INDEX($A$187:$B$210,MATCH("TYP",$A$187:$A$210,0),2),8+(3*SUM(COUNTIF($BB$207:BB353,"S"),COUNTIF($BB$207:BB353,"Z"), COUNTIF($BB$207:BB353,"R"),COUNTIF($BB$207:BB353,"X"))),1),IF(AND(HOUR(AC354)=HOUR($F$186),DAY(AC354)=DAY($F$186)),MID(INDEX($A$187:$B$210,MATCH("TYP",$A$187:$A$210,0),2),8,1),""))</f>
        <v>#N/A</v>
      </c>
      <c r="BC354" s="112" t="str">
        <f>IF(AND(LEN(BC353)=2,AC354&lt;$F$186+26/25),MID(INDEX($A$187:$B$211,MATCH("OBV",$A$187:$A$211,0),2),7+(3*SUM(COUNTIF($BC$207:BC353," N"),COUNTIF($BC$207:BC353,"HZ"),COUNTIF($BC$207:BC353,"BR"),COUNTIF($BC$207:BC353,"FG"),COUNTIF($BC$207:BC353,"BL"))),2),IF(AND(HOUR(AC354)=HOUR($F$186),DAY(AC354)=DAY($F$186)),MID(INDEX($A$187:$B$211,MATCH("OBV",$A$187:$A$211,0),2),7,2),""))</f>
        <v/>
      </c>
      <c r="BD354" s="112"/>
      <c r="BE354" s="112"/>
      <c r="BF354" s="112"/>
      <c r="BG354" s="1610" t="str">
        <f t="shared" si="200"/>
        <v/>
      </c>
      <c r="BH354" s="115" t="str">
        <f t="shared" si="211"/>
        <v/>
      </c>
      <c r="BI354" s="200" t="str">
        <f t="shared" si="222"/>
        <v/>
      </c>
      <c r="BJ354" s="62" t="str">
        <f t="shared" si="221"/>
        <v/>
      </c>
      <c r="BK354" s="1145" t="str">
        <f t="shared" si="229"/>
        <v/>
      </c>
      <c r="BL354" s="62" t="str">
        <f t="shared" si="223"/>
        <v/>
      </c>
      <c r="BM354" s="1145" t="str">
        <f t="shared" si="230"/>
        <v/>
      </c>
      <c r="BN354" s="1901" t="str">
        <f t="shared" si="199"/>
        <v/>
      </c>
      <c r="BO354" s="1144" t="str">
        <f t="shared" si="224"/>
        <v/>
      </c>
      <c r="BP354" s="106" t="str">
        <f t="shared" si="228"/>
        <v/>
      </c>
      <c r="BQ354" s="66" t="str">
        <f t="shared" si="225"/>
        <v/>
      </c>
      <c r="BR354" s="106" t="str">
        <f t="shared" si="226"/>
        <v/>
      </c>
      <c r="BS354" s="834" t="str">
        <f t="shared" si="233"/>
        <v/>
      </c>
      <c r="BT354" s="106" t="str">
        <f t="shared" si="227"/>
        <v/>
      </c>
      <c r="BU354" s="834" t="str">
        <f t="shared" si="231"/>
        <v/>
      </c>
      <c r="BV354" s="66" t="str">
        <f t="shared" si="213"/>
        <v/>
      </c>
      <c r="BW354" s="66" t="str">
        <f t="shared" si="214"/>
        <v/>
      </c>
      <c r="BX354" s="1198">
        <f t="shared" si="172"/>
        <v>7</v>
      </c>
      <c r="BY354" s="1146" t="str">
        <f t="shared" si="219"/>
        <v>NSW</v>
      </c>
      <c r="CA354" s="3675">
        <f t="shared" si="232"/>
        <v>44753.166666666664</v>
      </c>
      <c r="CB354" s="3675"/>
    </row>
    <row r="355" spans="1:80" ht="10.5">
      <c r="A355" s="1050" t="str">
        <f t="shared" si="220"/>
        <v>Q06</v>
      </c>
      <c r="B355" s="106" t="str">
        <f>Worksheet!L335</f>
        <v xml:space="preserve"> Q06         0     1     0     0     0     1     0     1     0  0  0 </v>
      </c>
      <c r="AC355" s="977">
        <f t="shared" si="216"/>
        <v>44753.208333333328</v>
      </c>
      <c r="AE355" s="1149" t="str">
        <f>IF(AND(HOUR(AC355)=HOUR($F$186),DAY(AC355)=DAY($F$186)),(MID($B$189,6,3))*1,IF(AND(ISNUMBER(AE354),AC355&lt;$F$186+1+(1/25)),(MID($B$189,6+(3*COUNT($AE$207:AE354)),3))*1,""))</f>
        <v/>
      </c>
      <c r="AF355" s="1164" t="e">
        <f t="shared" si="168"/>
        <v>#VALUE!</v>
      </c>
      <c r="AG355" s="1150">
        <f t="shared" si="203"/>
        <v>71.599999999999994</v>
      </c>
      <c r="AH355" s="1163" t="str">
        <f>IF(AND(ISNUMBER(AH354),AC355&lt;$F$186+26/25),(MID($B$190,6+(3*COUNT($AH$207:AH354)),3))*1,IF(AND(HOUR(AC355)=HOUR($F$186),DAY(AC355)=DAY($F$186)),(MID($B$190,6,3))*1,""))</f>
        <v/>
      </c>
      <c r="AI355" s="200"/>
      <c r="AJ355" s="1164" t="e">
        <f t="shared" si="204"/>
        <v>#VALUE!</v>
      </c>
      <c r="AK355" s="1150">
        <f t="shared" si="205"/>
        <v>66.8</v>
      </c>
      <c r="AL355" s="1152" t="e">
        <f t="shared" si="169"/>
        <v>#VALUE!</v>
      </c>
      <c r="AM355" s="1153">
        <f t="shared" si="206"/>
        <v>29.976666666666667</v>
      </c>
      <c r="AN355" s="1147"/>
      <c r="AO355" s="976" t="str">
        <f>IF(BA355="Y",AP355,IF(AND(ISNUMBER(AO354),AC355&lt;$F$186+26/25),(MID(INDEX($A$187:$B$210,MATCH("CIG",$A$187:$A$210,0),2),8+(3*COUNT($AO$207:AO354)),1))*1,IF(AND(HOUR(AC355)=HOUR($F$186),DAY(AC355)=DAY($F$186)),(MID(INDEX($A$187:$B$210,MATCH("CIG",$A$187:$A$210,0),2),8,1))*1,"")))</f>
        <v/>
      </c>
      <c r="AQ355" s="1061" t="str">
        <f>IF(AND(AQ354&lt;&gt;"",AC355&lt;$F$186+26/25),MID(INDEX($A$187:$B$210,MATCH("CLD",$A$187:$A$210,0),2),7+(3*SUM(COUNTIF($AQ$207:AQ354,"OV"),COUNTIF($AQ$207:AQ354,"BK"),COUNTIF($AQ$207:AQ354,"SC"),COUNTIF($AQ$207:AQ354,"FW"),COUNTIF($AQ$207:AQ354,"CL"))),2),IF(AND(HOUR(AC355)=HOUR($F$186),DAY(AC355)=DAY($F$186)),MID(INDEX($A$187:$B$210,MATCH("CLD",$A$187:$A$210,0),2),7,2),""))</f>
        <v/>
      </c>
      <c r="AR355" s="1149" t="str">
        <f t="shared" si="207"/>
        <v/>
      </c>
      <c r="AS355" s="1150" t="str">
        <f t="shared" si="208"/>
        <v/>
      </c>
      <c r="AT355" s="112" t="str">
        <f t="shared" si="209"/>
        <v/>
      </c>
      <c r="AU355" s="1610" t="str">
        <f t="shared" si="210"/>
        <v/>
      </c>
      <c r="AV355" s="1148">
        <f t="shared" si="170"/>
        <v>50</v>
      </c>
      <c r="AW355" s="920" t="str">
        <f t="shared" si="173"/>
        <v>SCT</v>
      </c>
      <c r="AX355" s="1608">
        <f t="shared" si="171"/>
        <v>23.333333333333332</v>
      </c>
      <c r="AY355" s="112" t="str">
        <f>IF(BA355="Y",AZ355,IF(AND(ISNUMBER(AY354),AC355&lt;$F$186+26/25),(MID(INDEX($A$187:$B$210,MATCH("VIS",$A$187:$A$210,0),2),8+(3*COUNT($AY$207:AY354)),1))*1,IF(AND(HOUR(AC355)=HOUR($F$186),DAY(AC355)=DAY($F$186)),(MID(INDEX($A$187:$B$210,MATCH("VIS",$A$187:$A$210,0),2),8,1))*1,"")))</f>
        <v/>
      </c>
      <c r="AZ355" s="112" t="str">
        <f>IF(AND(ISNUMBER(AZ354),AC355&lt;$F$186+26/25),(MID(INDEX($A$187:$B$210,MATCH("CVS",$A$187:$A$210,0),2),8+(3*COUNT($AZ$207:AZ354)),1))*1,IF(AND(HOUR(AC355)=HOUR($F$186),DAY(AC355)=DAY($F$186)),(MID(INDEX($A$187:$B$210,MATCH("CVS",$A$187:$A$210,0),2),8,1))*1,""))</f>
        <v/>
      </c>
      <c r="BA355" s="1610" t="str">
        <f>IF(AND(BA354&lt;&gt;"",AC355&lt;$F$186+26/25),MID(INDEX($A$187:$B$210,MATCH("PCO",$A$187:$A$210,0),2),8+(3*SUM(COUNTIF($BA$207:BA354,"Y"),COUNTIF($BA$207:BA354,"N"))),1),IF(AND(HOUR(AC355)=HOUR($F$186),DAY(AC355)=DAY($F$186)),MID(INDEX($A$187:$B$210,MATCH("PCO",$A$187:$A$210,0),2),8,1),""))</f>
        <v/>
      </c>
      <c r="BB355" s="1610" t="e">
        <f>IF(AND(BB354&lt;&gt;"",AC355&lt;$F$186+26/25),MID(INDEX($A$187:$B$210,MATCH("TYP",$A$187:$A$210,0),2),8+(3*SUM(COUNTIF($BB$207:BB354,"S"),COUNTIF($BB$207:BB354,"Z"), COUNTIF($BB$207:BB354,"R"),COUNTIF($BB$207:BB354,"X"))),1),IF(AND(HOUR(AC355)=HOUR($F$186),DAY(AC355)=DAY($F$186)),MID(INDEX($A$187:$B$210,MATCH("TYP",$A$187:$A$210,0),2),8,1),""))</f>
        <v>#N/A</v>
      </c>
      <c r="BC355" s="112" t="str">
        <f>IF(AND(LEN(BC354)=2,AC355&lt;$F$186+26/25),MID(INDEX($A$187:$B$211,MATCH("OBV",$A$187:$A$211,0),2),7+(3*SUM(COUNTIF($BC$207:BC354," N"),COUNTIF($BC$207:BC354,"HZ"),COUNTIF($BC$207:BC354,"BR"),COUNTIF($BC$207:BC354,"FG"),COUNTIF($BC$207:BC354,"BL"))),2),IF(AND(HOUR(AC355)=HOUR($F$186),DAY(AC355)=DAY($F$186)),MID(INDEX($A$187:$B$211,MATCH("OBV",$A$187:$A$211,0),2),7,2),""))</f>
        <v/>
      </c>
      <c r="BD355" s="112"/>
      <c r="BE355" s="112"/>
      <c r="BF355" s="112"/>
      <c r="BG355" s="1610" t="str">
        <f t="shared" si="200"/>
        <v/>
      </c>
      <c r="BH355" s="115" t="str">
        <f t="shared" si="211"/>
        <v/>
      </c>
      <c r="BI355" s="200" t="str">
        <f t="shared" si="222"/>
        <v/>
      </c>
      <c r="BJ355" s="62" t="str">
        <f t="shared" si="221"/>
        <v/>
      </c>
      <c r="BK355" s="1145" t="str">
        <f t="shared" si="229"/>
        <v/>
      </c>
      <c r="BL355" s="62" t="str">
        <f t="shared" si="223"/>
        <v/>
      </c>
      <c r="BM355" s="1145" t="str">
        <f t="shared" si="230"/>
        <v/>
      </c>
      <c r="BN355" s="1901" t="str">
        <f t="shared" si="199"/>
        <v/>
      </c>
      <c r="BO355" s="1144" t="str">
        <f t="shared" si="224"/>
        <v/>
      </c>
      <c r="BP355" s="106" t="str">
        <f t="shared" si="228"/>
        <v/>
      </c>
      <c r="BQ355" s="66" t="str">
        <f t="shared" si="225"/>
        <v/>
      </c>
      <c r="BR355" s="106" t="str">
        <f t="shared" si="226"/>
        <v/>
      </c>
      <c r="BS355" s="834" t="str">
        <f t="shared" si="233"/>
        <v/>
      </c>
      <c r="BT355" s="106" t="str">
        <f t="shared" si="227"/>
        <v/>
      </c>
      <c r="BU355" s="834" t="str">
        <f t="shared" si="231"/>
        <v/>
      </c>
      <c r="BV355" s="66" t="str">
        <f t="shared" si="213"/>
        <v/>
      </c>
      <c r="BW355" s="66" t="str">
        <f t="shared" si="214"/>
        <v/>
      </c>
      <c r="BX355" s="1198">
        <f t="shared" si="172"/>
        <v>7</v>
      </c>
      <c r="BY355" s="1146" t="str">
        <f t="shared" si="219"/>
        <v>NSW</v>
      </c>
      <c r="CA355" s="3675">
        <f t="shared" si="232"/>
        <v>44753.208333333328</v>
      </c>
      <c r="CB355" s="3675"/>
    </row>
    <row r="356" spans="1:80" ht="10.5">
      <c r="A356" s="1050" t="str">
        <f t="shared" si="220"/>
        <v>Q12</v>
      </c>
      <c r="B356" s="106" t="str">
        <f>Worksheet!L336</f>
        <v xml:space="preserve"> Q12               2           0           2           1        2    </v>
      </c>
      <c r="AC356" s="977">
        <f t="shared" si="216"/>
        <v>44753.25</v>
      </c>
      <c r="AE356" s="1149" t="str">
        <f>IF(AND(HOUR(AC356)=HOUR($F$186),DAY(AC356)=DAY($F$186)),(MID($B$189,6,3))*1,IF(AND(ISNUMBER(AE355),AC356&lt;$F$186+1+(1/25)),(MID($B$189,6+(3*COUNT($AE$207:AE355)),3))*1,""))</f>
        <v/>
      </c>
      <c r="AF356" s="1164" t="e">
        <f t="shared" si="168"/>
        <v>#VALUE!</v>
      </c>
      <c r="AG356" s="1150">
        <f t="shared" si="203"/>
        <v>71.599999999999994</v>
      </c>
      <c r="AH356" s="1163" t="str">
        <f>IF(AND(ISNUMBER(AH355),AC356&lt;$F$186+26/25),(MID($B$190,6+(3*COUNT($AH$207:AH355)),3))*1,IF(AND(HOUR(AC356)=HOUR($F$186),DAY(AC356)=DAY($F$186)),(MID($B$190,6,3))*1,""))</f>
        <v/>
      </c>
      <c r="AI356" s="200"/>
      <c r="AJ356" s="1164" t="e">
        <f t="shared" si="204"/>
        <v>#VALUE!</v>
      </c>
      <c r="AK356" s="1150">
        <f t="shared" si="205"/>
        <v>68</v>
      </c>
      <c r="AL356" s="1152" t="e">
        <f t="shared" si="169"/>
        <v>#VALUE!</v>
      </c>
      <c r="AM356" s="1153">
        <f t="shared" si="206"/>
        <v>29.97</v>
      </c>
      <c r="AN356" s="1147"/>
      <c r="AO356" s="976" t="str">
        <f>IF(BA356="Y",AP356,IF(AND(ISNUMBER(AO355),AC356&lt;$F$186+26/25),(MID(INDEX($A$187:$B$210,MATCH("CIG",$A$187:$A$210,0),2),8+(3*COUNT($AO$207:AO355)),1))*1,IF(AND(HOUR(AC356)=HOUR($F$186),DAY(AC356)=DAY($F$186)),(MID(INDEX($A$187:$B$210,MATCH("CIG",$A$187:$A$210,0),2),8,1))*1,"")))</f>
        <v/>
      </c>
      <c r="AQ356" s="1061" t="str">
        <f>IF(AND(AQ355&lt;&gt;"",AC356&lt;$F$186+26/25),MID(INDEX($A$187:$B$210,MATCH("CLD",$A$187:$A$210,0),2),7+(3*SUM(COUNTIF($AQ$207:AQ355,"OV"),COUNTIF($AQ$207:AQ355,"BK"),COUNTIF($AQ$207:AQ355,"SC"),COUNTIF($AQ$207:AQ355,"FW"),COUNTIF($AQ$207:AQ355,"CL"))),2),IF(AND(HOUR(AC356)=HOUR($F$186),DAY(AC356)=DAY($F$186)),MID(INDEX($A$187:$B$210,MATCH("CLD",$A$187:$A$210,0),2),7,2),""))</f>
        <v/>
      </c>
      <c r="AR356" s="1149" t="str">
        <f t="shared" si="207"/>
        <v/>
      </c>
      <c r="AS356" s="1150" t="str">
        <f t="shared" si="208"/>
        <v/>
      </c>
      <c r="AT356" s="112" t="str">
        <f t="shared" si="209"/>
        <v/>
      </c>
      <c r="AU356" s="1610" t="str">
        <f t="shared" si="210"/>
        <v/>
      </c>
      <c r="AV356" s="1148">
        <f t="shared" si="170"/>
        <v>40</v>
      </c>
      <c r="AW356" s="920" t="str">
        <f t="shared" si="173"/>
        <v>SCT</v>
      </c>
      <c r="AX356" s="1608">
        <f t="shared" si="171"/>
        <v>20</v>
      </c>
      <c r="AY356" s="112" t="str">
        <f>IF(BA356="Y",AZ356,IF(AND(ISNUMBER(AY355),AC356&lt;$F$186+26/25),(MID(INDEX($A$187:$B$210,MATCH("VIS",$A$187:$A$210,0),2),8+(3*COUNT($AY$207:AY355)),1))*1,IF(AND(HOUR(AC356)=HOUR($F$186),DAY(AC356)=DAY($F$186)),(MID(INDEX($A$187:$B$210,MATCH("VIS",$A$187:$A$210,0),2),8,1))*1,"")))</f>
        <v/>
      </c>
      <c r="AZ356" s="112" t="str">
        <f>IF(AND(ISNUMBER(AZ355),AC356&lt;$F$186+26/25),(MID(INDEX($A$187:$B$210,MATCH("CVS",$A$187:$A$210,0),2),8+(3*COUNT($AZ$207:AZ355)),1))*1,IF(AND(HOUR(AC356)=HOUR($F$186),DAY(AC356)=DAY($F$186)),(MID(INDEX($A$187:$B$210,MATCH("CVS",$A$187:$A$210,0),2),8,1))*1,""))</f>
        <v/>
      </c>
      <c r="BA356" s="1610" t="str">
        <f>IF(AND(BA355&lt;&gt;"",AC356&lt;$F$186+26/25),MID(INDEX($A$187:$B$210,MATCH("PCO",$A$187:$A$210,0),2),8+(3*SUM(COUNTIF($BA$207:BA355,"Y"),COUNTIF($BA$207:BA355,"N"))),1),IF(AND(HOUR(AC356)=HOUR($F$186),DAY(AC356)=DAY($F$186)),MID(INDEX($A$187:$B$210,MATCH("PCO",$A$187:$A$210,0),2),8,1),""))</f>
        <v/>
      </c>
      <c r="BB356" s="1610" t="e">
        <f>IF(AND(BB355&lt;&gt;"",AC356&lt;$F$186+26/25),MID(INDEX($A$187:$B$210,MATCH("TYP",$A$187:$A$210,0),2),8+(3*SUM(COUNTIF($BB$207:BB355,"S"),COUNTIF($BB$207:BB355,"Z"), COUNTIF($BB$207:BB355,"R"),COUNTIF($BB$207:BB355,"X"))),1),IF(AND(HOUR(AC356)=HOUR($F$186),DAY(AC356)=DAY($F$186)),MID(INDEX($A$187:$B$210,MATCH("TYP",$A$187:$A$210,0),2),8,1),""))</f>
        <v>#N/A</v>
      </c>
      <c r="BC356" s="112" t="str">
        <f>IF(AND(LEN(BC355)=2,AC356&lt;$F$186+26/25),MID(INDEX($A$187:$B$211,MATCH("OBV",$A$187:$A$211,0),2),7+(3*SUM(COUNTIF($BC$207:BC355," N"),COUNTIF($BC$207:BC355,"HZ"),COUNTIF($BC$207:BC355,"BR"),COUNTIF($BC$207:BC355,"FG"),COUNTIF($BC$207:BC355,"BL"))),2),IF(AND(HOUR(AC356)=HOUR($F$186),DAY(AC356)=DAY($F$186)),MID(INDEX($A$187:$B$211,MATCH("OBV",$A$187:$A$211,0),2),7,2),""))</f>
        <v/>
      </c>
      <c r="BD356" s="112"/>
      <c r="BE356" s="112"/>
      <c r="BF356" s="112"/>
      <c r="BG356" s="1610" t="str">
        <f t="shared" si="200"/>
        <v/>
      </c>
      <c r="BH356" s="115" t="str">
        <f t="shared" si="211"/>
        <v/>
      </c>
      <c r="BI356" s="200" t="str">
        <f t="shared" si="222"/>
        <v/>
      </c>
      <c r="BJ356" s="62" t="str">
        <f t="shared" si="221"/>
        <v/>
      </c>
      <c r="BK356" s="1145" t="str">
        <f t="shared" si="229"/>
        <v/>
      </c>
      <c r="BL356" s="62" t="str">
        <f t="shared" si="223"/>
        <v/>
      </c>
      <c r="BM356" s="1145" t="str">
        <f t="shared" si="230"/>
        <v/>
      </c>
      <c r="BN356" s="1901" t="str">
        <f t="shared" si="199"/>
        <v/>
      </c>
      <c r="BO356" s="1144" t="str">
        <f t="shared" si="224"/>
        <v/>
      </c>
      <c r="BP356" s="106" t="str">
        <f t="shared" si="228"/>
        <v/>
      </c>
      <c r="BQ356" s="66" t="str">
        <f t="shared" si="225"/>
        <v/>
      </c>
      <c r="BR356" s="106" t="str">
        <f t="shared" si="226"/>
        <v/>
      </c>
      <c r="BS356" s="834" t="str">
        <f t="shared" si="233"/>
        <v/>
      </c>
      <c r="BT356" s="106" t="str">
        <f t="shared" si="227"/>
        <v/>
      </c>
      <c r="BU356" s="834" t="str">
        <f t="shared" si="231"/>
        <v/>
      </c>
      <c r="BV356" s="66" t="str">
        <f t="shared" si="213"/>
        <v/>
      </c>
      <c r="BW356" s="66" t="str">
        <f t="shared" si="214"/>
        <v/>
      </c>
      <c r="BX356" s="1198">
        <f t="shared" si="172"/>
        <v>7</v>
      </c>
      <c r="BY356" s="1146" t="str">
        <f t="shared" si="219"/>
        <v>NSW</v>
      </c>
      <c r="CA356" s="3675">
        <f t="shared" si="232"/>
        <v>44753.25</v>
      </c>
      <c r="CB356" s="3675"/>
    </row>
    <row r="357" spans="1:80" ht="10.5">
      <c r="A357" s="1050" t="str">
        <f t="shared" si="220"/>
        <v>T06</v>
      </c>
      <c r="B357" s="106" t="str">
        <f>Worksheet!L337</f>
        <v xml:space="preserve"> T06     38/12 43/ 3 15/ 4 24/18 34/12 29/ 1 17/ 3 43/19 29/ 9 18/ 3 </v>
      </c>
      <c r="AC357" s="977">
        <f t="shared" si="216"/>
        <v>44753.291666666664</v>
      </c>
      <c r="AE357" s="1149" t="str">
        <f>IF(AND(HOUR(AC357)=HOUR($F$186),DAY(AC357)=DAY($F$186)),(MID($B$189,6,3))*1,IF(AND(ISNUMBER(AE356),AC357&lt;$F$186+1+(1/25)),(MID($B$189,6+(3*COUNT($AE$207:AE356)),3))*1,""))</f>
        <v/>
      </c>
      <c r="AF357" s="1164" t="e">
        <f t="shared" si="168"/>
        <v>#VALUE!</v>
      </c>
      <c r="AG357" s="1150">
        <f t="shared" si="203"/>
        <v>71</v>
      </c>
      <c r="AH357" s="1163" t="str">
        <f>IF(AND(ISNUMBER(AH356),AC357&lt;$F$186+26/25),(MID($B$190,6+(3*COUNT($AH$207:AH356)),3))*1,IF(AND(HOUR(AC357)=HOUR($F$186),DAY(AC357)=DAY($F$186)),(MID($B$190,6,3))*1,""))</f>
        <v/>
      </c>
      <c r="AI357" s="200"/>
      <c r="AJ357" s="1164" t="e">
        <f t="shared" si="204"/>
        <v>#VALUE!</v>
      </c>
      <c r="AK357" s="1150">
        <f t="shared" si="205"/>
        <v>68</v>
      </c>
      <c r="AL357" s="1152" t="e">
        <f t="shared" si="169"/>
        <v>#VALUE!</v>
      </c>
      <c r="AM357" s="1153">
        <f t="shared" si="206"/>
        <v>29.97</v>
      </c>
      <c r="AN357" s="1147"/>
      <c r="AO357" s="976" t="str">
        <f>IF(BA357="Y",AP357,IF(AND(ISNUMBER(AO356),AC357&lt;$F$186+26/25),(MID(INDEX($A$187:$B$210,MATCH("CIG",$A$187:$A$210,0),2),8+(3*COUNT($AO$207:AO356)),1))*1,IF(AND(HOUR(AC357)=HOUR($F$186),DAY(AC357)=DAY($F$186)),(MID(INDEX($A$187:$B$210,MATCH("CIG",$A$187:$A$210,0),2),8,1))*1,"")))</f>
        <v/>
      </c>
      <c r="AQ357" s="1061" t="str">
        <f>IF(AND(AQ356&lt;&gt;"",AC357&lt;$F$186+26/25),MID(INDEX($A$187:$B$210,MATCH("CLD",$A$187:$A$210,0),2),7+(3*SUM(COUNTIF($AQ$207:AQ356,"OV"),COUNTIF($AQ$207:AQ356,"BK"),COUNTIF($AQ$207:AQ356,"SC"),COUNTIF($AQ$207:AQ356,"FW"),COUNTIF($AQ$207:AQ356,"CL"))),2),IF(AND(HOUR(AC357)=HOUR($F$186),DAY(AC357)=DAY($F$186)),MID(INDEX($A$187:$B$210,MATCH("CLD",$A$187:$A$210,0),2),7,2),""))</f>
        <v/>
      </c>
      <c r="AR357" s="1149" t="str">
        <f t="shared" si="207"/>
        <v/>
      </c>
      <c r="AS357" s="1150" t="str">
        <f t="shared" si="208"/>
        <v/>
      </c>
      <c r="AT357" s="112" t="str">
        <f t="shared" si="209"/>
        <v/>
      </c>
      <c r="AU357" s="1610" t="str">
        <f t="shared" si="210"/>
        <v/>
      </c>
      <c r="AV357" s="1148">
        <f t="shared" si="170"/>
        <v>40</v>
      </c>
      <c r="AW357" s="920" t="str">
        <f t="shared" si="173"/>
        <v>SCT</v>
      </c>
      <c r="AX357" s="1608">
        <f t="shared" si="171"/>
        <v>20</v>
      </c>
      <c r="AY357" s="112" t="str">
        <f>IF(BA357="Y",AZ357,IF(AND(ISNUMBER(AY356),AC357&lt;$F$186+26/25),(MID(INDEX($A$187:$B$210,MATCH("VIS",$A$187:$A$210,0),2),8+(3*COUNT($AY$207:AY356)),1))*1,IF(AND(HOUR(AC357)=HOUR($F$186),DAY(AC357)=DAY($F$186)),(MID(INDEX($A$187:$B$210,MATCH("VIS",$A$187:$A$210,0),2),8,1))*1,"")))</f>
        <v/>
      </c>
      <c r="AZ357" s="112" t="str">
        <f>IF(AND(ISNUMBER(AZ356),AC357&lt;$F$186+26/25),(MID(INDEX($A$187:$B$210,MATCH("CVS",$A$187:$A$210,0),2),8+(3*COUNT($AZ$207:AZ356)),1))*1,IF(AND(HOUR(AC357)=HOUR($F$186),DAY(AC357)=DAY($F$186)),(MID(INDEX($A$187:$B$210,MATCH("CVS",$A$187:$A$210,0),2),8,1))*1,""))</f>
        <v/>
      </c>
      <c r="BA357" s="1610" t="str">
        <f>IF(AND(BA356&lt;&gt;"",AC357&lt;$F$186+26/25),MID(INDEX($A$187:$B$210,MATCH("PCO",$A$187:$A$210,0),2),8+(3*SUM(COUNTIF($BA$207:BA356,"Y"),COUNTIF($BA$207:BA356,"N"))),1),IF(AND(HOUR(AC357)=HOUR($F$186),DAY(AC357)=DAY($F$186)),MID(INDEX($A$187:$B$210,MATCH("PCO",$A$187:$A$210,0),2),8,1),""))</f>
        <v/>
      </c>
      <c r="BB357" s="1610" t="e">
        <f>IF(AND(BB356&lt;&gt;"",AC357&lt;$F$186+26/25),MID(INDEX($A$187:$B$210,MATCH("TYP",$A$187:$A$210,0),2),8+(3*SUM(COUNTIF($BB$207:BB356,"S"),COUNTIF($BB$207:BB356,"Z"), COUNTIF($BB$207:BB356,"R"),COUNTIF($BB$207:BB356,"X"))),1),IF(AND(HOUR(AC357)=HOUR($F$186),DAY(AC357)=DAY($F$186)),MID(INDEX($A$187:$B$210,MATCH("TYP",$A$187:$A$210,0),2),8,1),""))</f>
        <v>#N/A</v>
      </c>
      <c r="BC357" s="112" t="str">
        <f>IF(AND(LEN(BC356)=2,AC357&lt;$F$186+26/25),MID(INDEX($A$187:$B$211,MATCH("OBV",$A$187:$A$211,0),2),7+(3*SUM(COUNTIF($BC$207:BC356," N"),COUNTIF($BC$207:BC356,"HZ"),COUNTIF($BC$207:BC356,"BR"),COUNTIF($BC$207:BC356,"FG"),COUNTIF($BC$207:BC356,"BL"))),2),IF(AND(HOUR(AC357)=HOUR($F$186),DAY(AC357)=DAY($F$186)),MID(INDEX($A$187:$B$211,MATCH("OBV",$A$187:$A$211,0),2),7,2),""))</f>
        <v/>
      </c>
      <c r="BD357" s="112"/>
      <c r="BE357" s="112"/>
      <c r="BF357" s="112"/>
      <c r="BG357" s="1610" t="str">
        <f t="shared" si="200"/>
        <v/>
      </c>
      <c r="BH357" s="115" t="str">
        <f t="shared" si="211"/>
        <v/>
      </c>
      <c r="BI357" s="200" t="str">
        <f t="shared" si="222"/>
        <v/>
      </c>
      <c r="BJ357" s="62" t="str">
        <f t="shared" si="221"/>
        <v/>
      </c>
      <c r="BK357" s="1145" t="str">
        <f t="shared" si="229"/>
        <v/>
      </c>
      <c r="BL357" s="62" t="str">
        <f t="shared" si="223"/>
        <v/>
      </c>
      <c r="BM357" s="1145" t="str">
        <f t="shared" si="230"/>
        <v/>
      </c>
      <c r="BN357" s="1901" t="str">
        <f t="shared" si="199"/>
        <v/>
      </c>
      <c r="BO357" s="1144" t="str">
        <f t="shared" si="224"/>
        <v/>
      </c>
      <c r="BP357" s="106" t="str">
        <f t="shared" si="228"/>
        <v/>
      </c>
      <c r="BQ357" s="66" t="str">
        <f t="shared" si="225"/>
        <v/>
      </c>
      <c r="BR357" s="106" t="str">
        <f t="shared" si="226"/>
        <v/>
      </c>
      <c r="BS357" s="834" t="str">
        <f t="shared" si="233"/>
        <v/>
      </c>
      <c r="BT357" s="106" t="str">
        <f t="shared" si="227"/>
        <v/>
      </c>
      <c r="BU357" s="834" t="str">
        <f t="shared" si="231"/>
        <v/>
      </c>
      <c r="BV357" s="66" t="str">
        <f t="shared" si="213"/>
        <v/>
      </c>
      <c r="BW357" s="66" t="str">
        <f t="shared" si="214"/>
        <v/>
      </c>
      <c r="BX357" s="1198">
        <f t="shared" si="172"/>
        <v>7</v>
      </c>
      <c r="BY357" s="1146" t="str">
        <f t="shared" si="219"/>
        <v>NSW</v>
      </c>
      <c r="CA357" s="3675">
        <f t="shared" si="232"/>
        <v>44753.291666666664</v>
      </c>
      <c r="CB357" s="3675"/>
    </row>
    <row r="358" spans="1:80" ht="10.5">
      <c r="A358" s="1050" t="str">
        <f t="shared" si="220"/>
        <v>T12</v>
      </c>
      <c r="B358" s="106" t="str">
        <f>Worksheet!L338</f>
        <v xml:space="preserve"> T12                 51/ 5       56/19       41/ 5       59/22 33/ 4 </v>
      </c>
      <c r="AC358" s="977">
        <f t="shared" si="216"/>
        <v>44753.333333333328</v>
      </c>
      <c r="AE358" s="1149" t="str">
        <f>IF(AND(HOUR(AC358)=HOUR($F$186),DAY(AC358)=DAY($F$186)),(MID($B$189,6,3))*1,IF(AND(ISNUMBER(AE357),AC358&lt;$F$186+1+(1/25)),(MID($B$189,6+(3*COUNT($AE$207:AE357)),3))*1,""))</f>
        <v/>
      </c>
      <c r="AF358" s="1164" t="e">
        <f t="shared" ref="AF358:AF389" si="234">IF(AC358&lt;($AE$197-0.001),"",IF(MOD(HOUR(AC358),3)=0,(MID($B$219,3+ROUND((9*((AC358-$AE$197)*8)),1),6)*1)*1.8-459.67,IF(MOD(HOUR(AC358),3)=1,(AF360-AF357)/3+AF357,(2*(AF359-AF356)/3)+AF356)))</f>
        <v>#VALUE!</v>
      </c>
      <c r="AG358" s="1150">
        <f t="shared" si="203"/>
        <v>70.400000000000006</v>
      </c>
      <c r="AH358" s="1163" t="str">
        <f>IF(AND(ISNUMBER(AH357),AC358&lt;$F$186+26/25),(MID($B$190,6+(3*COUNT($AH$207:AH357)),3))*1,IF(AND(HOUR(AC358)=HOUR($F$186),DAY(AC358)=DAY($F$186)),(MID($B$190,6,3))*1,""))</f>
        <v/>
      </c>
      <c r="AI358" s="200"/>
      <c r="AJ358" s="1164" t="e">
        <f t="shared" si="204"/>
        <v>#VALUE!</v>
      </c>
      <c r="AK358" s="1150">
        <f t="shared" si="205"/>
        <v>68</v>
      </c>
      <c r="AL358" s="1152" t="e">
        <f t="shared" si="169"/>
        <v>#VALUE!</v>
      </c>
      <c r="AM358" s="1153">
        <f t="shared" si="206"/>
        <v>29.97</v>
      </c>
      <c r="AN358" s="1147"/>
      <c r="AO358" s="976" t="str">
        <f>IF(BA358="Y",AP358,IF(AND(ISNUMBER(AO357),AC358&lt;$F$186+26/25),(MID(INDEX($A$187:$B$210,MATCH("CIG",$A$187:$A$210,0),2),8+(3*COUNT($AO$207:AO357)),1))*1,IF(AND(HOUR(AC358)=HOUR($F$186),DAY(AC358)=DAY($F$186)),(MID(INDEX($A$187:$B$210,MATCH("CIG",$A$187:$A$210,0),2),8,1))*1,"")))</f>
        <v/>
      </c>
      <c r="AQ358" s="1061" t="str">
        <f>IF(AND(AQ357&lt;&gt;"",AC358&lt;$F$186+26/25),MID(INDEX($A$187:$B$210,MATCH("CLD",$A$187:$A$210,0),2),7+(3*SUM(COUNTIF($AQ$207:AQ357,"OV"),COUNTIF($AQ$207:AQ357,"BK"),COUNTIF($AQ$207:AQ357,"SC"),COUNTIF($AQ$207:AQ357,"FW"),COUNTIF($AQ$207:AQ357,"CL"))),2),IF(AND(HOUR(AC358)=HOUR($F$186),DAY(AC358)=DAY($F$186)),MID(INDEX($A$187:$B$210,MATCH("CLD",$A$187:$A$210,0),2),7,2),""))</f>
        <v/>
      </c>
      <c r="AR358" s="1149" t="str">
        <f t="shared" si="207"/>
        <v/>
      </c>
      <c r="AS358" s="1150" t="str">
        <f t="shared" si="208"/>
        <v/>
      </c>
      <c r="AT358" s="112" t="str">
        <f t="shared" si="209"/>
        <v/>
      </c>
      <c r="AU358" s="1610" t="str">
        <f t="shared" si="210"/>
        <v/>
      </c>
      <c r="AV358" s="1148">
        <f t="shared" si="170"/>
        <v>40</v>
      </c>
      <c r="AW358" s="920" t="str">
        <f t="shared" si="173"/>
        <v>SCT</v>
      </c>
      <c r="AX358" s="1608">
        <f t="shared" si="171"/>
        <v>20</v>
      </c>
      <c r="AY358" s="112" t="str">
        <f>IF(BA358="Y",AZ358,IF(AND(ISNUMBER(AY357),AC358&lt;$F$186+26/25),(MID(INDEX($A$187:$B$210,MATCH("VIS",$A$187:$A$210,0),2),8+(3*COUNT($AY$207:AY357)),1))*1,IF(AND(HOUR(AC358)=HOUR($F$186),DAY(AC358)=DAY($F$186)),(MID(INDEX($A$187:$B$210,MATCH("VIS",$A$187:$A$210,0),2),8,1))*1,"")))</f>
        <v/>
      </c>
      <c r="AZ358" s="112" t="str">
        <f>IF(AND(ISNUMBER(AZ357),AC358&lt;$F$186+26/25),(MID(INDEX($A$187:$B$210,MATCH("CVS",$A$187:$A$210,0),2),8+(3*COUNT($AZ$207:AZ357)),1))*1,IF(AND(HOUR(AC358)=HOUR($F$186),DAY(AC358)=DAY($F$186)),(MID(INDEX($A$187:$B$210,MATCH("CVS",$A$187:$A$210,0),2),8,1))*1,""))</f>
        <v/>
      </c>
      <c r="BA358" s="1610" t="str">
        <f>IF(AND(BA357&lt;&gt;"",AC358&lt;$F$186+26/25),MID(INDEX($A$187:$B$210,MATCH("PCO",$A$187:$A$210,0),2),8+(3*SUM(COUNTIF($BA$207:BA357,"Y"),COUNTIF($BA$207:BA357,"N"))),1),IF(AND(HOUR(AC358)=HOUR($F$186),DAY(AC358)=DAY($F$186)),MID(INDEX($A$187:$B$210,MATCH("PCO",$A$187:$A$210,0),2),8,1),""))</f>
        <v/>
      </c>
      <c r="BB358" s="1610" t="e">
        <f>IF(AND(BB357&lt;&gt;"",AC358&lt;$F$186+26/25),MID(INDEX($A$187:$B$210,MATCH("TYP",$A$187:$A$210,0),2),8+(3*SUM(COUNTIF($BB$207:BB357,"S"),COUNTIF($BB$207:BB357,"Z"), COUNTIF($BB$207:BB357,"R"),COUNTIF($BB$207:BB357,"X"))),1),IF(AND(HOUR(AC358)=HOUR($F$186),DAY(AC358)=DAY($F$186)),MID(INDEX($A$187:$B$210,MATCH("TYP",$A$187:$A$210,0),2),8,1),""))</f>
        <v>#N/A</v>
      </c>
      <c r="BC358" s="112" t="str">
        <f>IF(AND(LEN(BC357)=2,AC358&lt;$F$186+26/25),MID(INDEX($A$187:$B$211,MATCH("OBV",$A$187:$A$211,0),2),7+(3*SUM(COUNTIF($BC$207:BC357," N"),COUNTIF($BC$207:BC357,"HZ"),COUNTIF($BC$207:BC357,"BR"),COUNTIF($BC$207:BC357,"FG"),COUNTIF($BC$207:BC357,"BL"))),2),IF(AND(HOUR(AC358)=HOUR($F$186),DAY(AC358)=DAY($F$186)),MID(INDEX($A$187:$B$211,MATCH("OBV",$A$187:$A$211,0),2),7,2),""))</f>
        <v/>
      </c>
      <c r="BD358" s="112"/>
      <c r="BE358" s="112"/>
      <c r="BF358" s="112"/>
      <c r="BG358" s="1610" t="str">
        <f t="shared" si="200"/>
        <v/>
      </c>
      <c r="BH358" s="115" t="str">
        <f t="shared" si="211"/>
        <v/>
      </c>
      <c r="BI358" s="200" t="str">
        <f t="shared" si="222"/>
        <v/>
      </c>
      <c r="BJ358" s="62" t="str">
        <f t="shared" si="221"/>
        <v/>
      </c>
      <c r="BK358" s="1145" t="str">
        <f t="shared" si="229"/>
        <v/>
      </c>
      <c r="BL358" s="62" t="str">
        <f t="shared" si="223"/>
        <v/>
      </c>
      <c r="BM358" s="1145" t="str">
        <f t="shared" si="230"/>
        <v/>
      </c>
      <c r="BN358" s="1901" t="str">
        <f t="shared" si="199"/>
        <v/>
      </c>
      <c r="BO358" s="1144" t="str">
        <f t="shared" si="224"/>
        <v/>
      </c>
      <c r="BP358" s="106" t="str">
        <f t="shared" si="228"/>
        <v/>
      </c>
      <c r="BQ358" s="66" t="str">
        <f t="shared" si="225"/>
        <v/>
      </c>
      <c r="BR358" s="106" t="str">
        <f t="shared" si="226"/>
        <v/>
      </c>
      <c r="BS358" s="834" t="str">
        <f t="shared" si="233"/>
        <v/>
      </c>
      <c r="BT358" s="106" t="str">
        <f t="shared" si="227"/>
        <v/>
      </c>
      <c r="BU358" s="834" t="str">
        <f t="shared" si="231"/>
        <v/>
      </c>
      <c r="BV358" s="66" t="str">
        <f t="shared" si="213"/>
        <v/>
      </c>
      <c r="BW358" s="66" t="str">
        <f t="shared" si="214"/>
        <v/>
      </c>
      <c r="BX358" s="1198">
        <f t="shared" si="172"/>
        <v>6</v>
      </c>
      <c r="BY358" s="1146" t="str">
        <f t="shared" si="219"/>
        <v>BR</v>
      </c>
      <c r="CA358" s="3675">
        <f t="shared" si="232"/>
        <v>44753.333333333328</v>
      </c>
      <c r="CB358" s="3675"/>
    </row>
    <row r="359" spans="1:80" ht="10.5">
      <c r="A359" s="1050" t="str">
        <f t="shared" si="220"/>
        <v>CIG</v>
      </c>
      <c r="B359" s="106" t="str">
        <f>Worksheet!L339</f>
        <v xml:space="preserve"> CIG   8  8  8  8  8  8  8  8  8  8  8  7  7  7  7  8  8  8  8  8  6 </v>
      </c>
      <c r="AC359" s="977">
        <f t="shared" si="216"/>
        <v>44753.375</v>
      </c>
      <c r="AE359" s="1149" t="str">
        <f>IF(AND(HOUR(AC359)=HOUR($F$186),DAY(AC359)=DAY($F$186)),(MID($B$189,6,3))*1,IF(AND(ISNUMBER(AE358),AC359&lt;$F$186+1+(1/25)),(MID($B$189,6+(3*COUNT($AE$207:AE358)),3))*1,""))</f>
        <v/>
      </c>
      <c r="AF359" s="1164" t="e">
        <f t="shared" si="234"/>
        <v>#VALUE!</v>
      </c>
      <c r="AG359" s="1150">
        <f t="shared" si="203"/>
        <v>69.800000000000011</v>
      </c>
      <c r="AH359" s="1163" t="str">
        <f>IF(AND(ISNUMBER(AH358),AC359&lt;$F$186+26/25),(MID($B$190,6+(3*COUNT($AH$207:AH358)),3))*1,IF(AND(HOUR(AC359)=HOUR($F$186),DAY(AC359)=DAY($F$186)),(MID($B$190,6,3))*1,""))</f>
        <v/>
      </c>
      <c r="AI359" s="200"/>
      <c r="AJ359" s="1164" t="e">
        <f t="shared" si="204"/>
        <v>#VALUE!</v>
      </c>
      <c r="AK359" s="1150">
        <f t="shared" si="205"/>
        <v>68</v>
      </c>
      <c r="AL359" s="1152" t="e">
        <f t="shared" si="169"/>
        <v>#VALUE!</v>
      </c>
      <c r="AM359" s="1153">
        <f t="shared" si="206"/>
        <v>29.97</v>
      </c>
      <c r="AN359" s="1147"/>
      <c r="AO359" s="976" t="str">
        <f>IF(BA359="Y",AP359,IF(AND(ISNUMBER(AO358),AC359&lt;$F$186+26/25),(MID(INDEX($A$187:$B$210,MATCH("CIG",$A$187:$A$210,0),2),8+(3*COUNT($AO$207:AO358)),1))*1,IF(AND(HOUR(AC359)=HOUR($F$186),DAY(AC359)=DAY($F$186)),(MID(INDEX($A$187:$B$210,MATCH("CIG",$A$187:$A$210,0),2),8,1))*1,"")))</f>
        <v/>
      </c>
      <c r="AQ359" s="1061" t="str">
        <f>IF(AND(AQ358&lt;&gt;"",AC359&lt;$F$186+26/25),MID(INDEX($A$187:$B$210,MATCH("CLD",$A$187:$A$210,0),2),7+(3*SUM(COUNTIF($AQ$207:AQ358,"OV"),COUNTIF($AQ$207:AQ358,"BK"),COUNTIF($AQ$207:AQ358,"SC"),COUNTIF($AQ$207:AQ358,"FW"),COUNTIF($AQ$207:AQ358,"CL"))),2),IF(AND(HOUR(AC359)=HOUR($F$186),DAY(AC359)=DAY($F$186)),MID(INDEX($A$187:$B$210,MATCH("CLD",$A$187:$A$210,0),2),7,2),""))</f>
        <v/>
      </c>
      <c r="AR359" s="1149" t="str">
        <f t="shared" si="207"/>
        <v/>
      </c>
      <c r="AS359" s="1150" t="str">
        <f t="shared" si="208"/>
        <v/>
      </c>
      <c r="AT359" s="112" t="str">
        <f t="shared" si="209"/>
        <v/>
      </c>
      <c r="AU359" s="1610" t="str">
        <f t="shared" si="210"/>
        <v/>
      </c>
      <c r="AV359" s="1148">
        <f t="shared" si="170"/>
        <v>40</v>
      </c>
      <c r="AW359" s="920" t="str">
        <f t="shared" si="173"/>
        <v>SCT</v>
      </c>
      <c r="AX359" s="1608">
        <f t="shared" si="171"/>
        <v>20</v>
      </c>
      <c r="AY359" s="112" t="str">
        <f>IF(BA359="Y",AZ359,IF(AND(ISNUMBER(AY358),AC359&lt;$F$186+26/25),(MID(INDEX($A$187:$B$210,MATCH("VIS",$A$187:$A$210,0),2),8+(3*COUNT($AY$207:AY358)),1))*1,IF(AND(HOUR(AC359)=HOUR($F$186),DAY(AC359)=DAY($F$186)),(MID(INDEX($A$187:$B$210,MATCH("VIS",$A$187:$A$210,0),2),8,1))*1,"")))</f>
        <v/>
      </c>
      <c r="AZ359" s="112" t="str">
        <f>IF(AND(ISNUMBER(AZ358),AC359&lt;$F$186+26/25),(MID(INDEX($A$187:$B$210,MATCH("CVS",$A$187:$A$210,0),2),8+(3*COUNT($AZ$207:AZ358)),1))*1,IF(AND(HOUR(AC359)=HOUR($F$186),DAY(AC359)=DAY($F$186)),(MID(INDEX($A$187:$B$210,MATCH("CVS",$A$187:$A$210,0),2),8,1))*1,""))</f>
        <v/>
      </c>
      <c r="BA359" s="1610" t="str">
        <f>IF(AND(BA358&lt;&gt;"",AC359&lt;$F$186+26/25),MID(INDEX($A$187:$B$210,MATCH("PCO",$A$187:$A$210,0),2),8+(3*SUM(COUNTIF($BA$207:BA358,"Y"),COUNTIF($BA$207:BA358,"N"))),1),IF(AND(HOUR(AC359)=HOUR($F$186),DAY(AC359)=DAY($F$186)),MID(INDEX($A$187:$B$210,MATCH("PCO",$A$187:$A$210,0),2),8,1),""))</f>
        <v/>
      </c>
      <c r="BB359" s="1610" t="e">
        <f>IF(AND(BB358&lt;&gt;"",AC359&lt;$F$186+26/25),MID(INDEX($A$187:$B$210,MATCH("TYP",$A$187:$A$210,0),2),8+(3*SUM(COUNTIF($BB$207:BB358,"S"),COUNTIF($BB$207:BB358,"Z"), COUNTIF($BB$207:BB358,"R"),COUNTIF($BB$207:BB358,"X"))),1),IF(AND(HOUR(AC359)=HOUR($F$186),DAY(AC359)=DAY($F$186)),MID(INDEX($A$187:$B$210,MATCH("TYP",$A$187:$A$210,0),2),8,1),""))</f>
        <v>#N/A</v>
      </c>
      <c r="BC359" s="112" t="str">
        <f>IF(AND(LEN(BC358)=2,AC359&lt;$F$186+26/25),MID(INDEX($A$187:$B$211,MATCH("OBV",$A$187:$A$211,0),2),7+(3*SUM(COUNTIF($BC$207:BC358," N"),COUNTIF($BC$207:BC358,"HZ"),COUNTIF($BC$207:BC358,"BR"),COUNTIF($BC$207:BC358,"FG"),COUNTIF($BC$207:BC358,"BL"))),2),IF(AND(HOUR(AC359)=HOUR($F$186),DAY(AC359)=DAY($F$186)),MID(INDEX($A$187:$B$211,MATCH("OBV",$A$187:$A$211,0),2),7,2),""))</f>
        <v/>
      </c>
      <c r="BD359" s="112"/>
      <c r="BE359" s="112"/>
      <c r="BF359" s="112"/>
      <c r="BG359" s="1610" t="str">
        <f t="shared" si="200"/>
        <v/>
      </c>
      <c r="BH359" s="115" t="str">
        <f t="shared" si="211"/>
        <v/>
      </c>
      <c r="BI359" s="200" t="str">
        <f t="shared" si="222"/>
        <v/>
      </c>
      <c r="BJ359" s="62" t="str">
        <f t="shared" si="221"/>
        <v/>
      </c>
      <c r="BK359" s="1145" t="str">
        <f t="shared" si="229"/>
        <v/>
      </c>
      <c r="BL359" s="62" t="str">
        <f t="shared" si="223"/>
        <v/>
      </c>
      <c r="BM359" s="1145" t="str">
        <f t="shared" si="230"/>
        <v/>
      </c>
      <c r="BN359" s="1901" t="str">
        <f t="shared" si="199"/>
        <v/>
      </c>
      <c r="BO359" s="1144" t="str">
        <f t="shared" si="224"/>
        <v/>
      </c>
      <c r="BP359" s="106" t="str">
        <f t="shared" si="228"/>
        <v/>
      </c>
      <c r="BQ359" s="66" t="str">
        <f t="shared" si="225"/>
        <v/>
      </c>
      <c r="BR359" s="106" t="str">
        <f t="shared" si="226"/>
        <v/>
      </c>
      <c r="BS359" s="834" t="str">
        <f t="shared" si="233"/>
        <v/>
      </c>
      <c r="BT359" s="106" t="str">
        <f t="shared" si="227"/>
        <v/>
      </c>
      <c r="BU359" s="834" t="str">
        <f t="shared" si="231"/>
        <v/>
      </c>
      <c r="BV359" s="66" t="str">
        <f t="shared" si="213"/>
        <v/>
      </c>
      <c r="BW359" s="66" t="str">
        <f t="shared" si="214"/>
        <v/>
      </c>
      <c r="BX359" s="1198">
        <f t="shared" si="172"/>
        <v>6</v>
      </c>
      <c r="BY359" s="1146" t="str">
        <f t="shared" si="219"/>
        <v>BR</v>
      </c>
      <c r="CA359" s="3675">
        <f t="shared" si="232"/>
        <v>44753.375</v>
      </c>
      <c r="CB359" s="3675"/>
    </row>
    <row r="360" spans="1:80" ht="10.5">
      <c r="A360" s="1050" t="str">
        <f t="shared" si="220"/>
        <v>VIS</v>
      </c>
      <c r="B360" s="106" t="str">
        <f>Worksheet!L340</f>
        <v xml:space="preserve"> VIS   7  7  7  7  7  7  7  7  7  7  6  6  5  7  7  7  7  6  7  5  7 </v>
      </c>
      <c r="AC360" s="977">
        <f t="shared" si="216"/>
        <v>44753.416666666664</v>
      </c>
      <c r="AE360" s="1149" t="str">
        <f>IF(AND(HOUR(AC360)=HOUR($F$186),DAY(AC360)=DAY($F$186)),(MID($B$189,6,3))*1,IF(AND(ISNUMBER(AE359),AC360&lt;$F$186+1+(1/25)),(MID($B$189,6+(3*COUNT($AE$207:AE359)),3))*1,""))</f>
        <v/>
      </c>
      <c r="AF360" s="1164" t="e">
        <f t="shared" si="234"/>
        <v>#VALUE!</v>
      </c>
      <c r="AG360" s="1150">
        <f t="shared" si="203"/>
        <v>69.800000000000011</v>
      </c>
      <c r="AH360" s="1163" t="str">
        <f>IF(AND(ISNUMBER(AH359),AC360&lt;$F$186+26/25),(MID($B$190,6+(3*COUNT($AH$207:AH359)),3))*1,IF(AND(HOUR(AC360)=HOUR($F$186),DAY(AC360)=DAY($F$186)),(MID($B$190,6,3))*1,""))</f>
        <v/>
      </c>
      <c r="AI360" s="200"/>
      <c r="AJ360" s="1164" t="e">
        <f t="shared" si="204"/>
        <v>#VALUE!</v>
      </c>
      <c r="AK360" s="1150">
        <f t="shared" si="205"/>
        <v>68.600000000000009</v>
      </c>
      <c r="AL360" s="1152" t="e">
        <f t="shared" si="169"/>
        <v>#VALUE!</v>
      </c>
      <c r="AM360" s="1153">
        <f t="shared" si="206"/>
        <v>29.973333333333333</v>
      </c>
      <c r="AN360" s="1147"/>
      <c r="AO360" s="976" t="str">
        <f>IF(BA360="Y",AP360,IF(AND(ISNUMBER(AO359),AC360&lt;$F$186+26/25),(MID(INDEX($A$187:$B$210,MATCH("CIG",$A$187:$A$210,0),2),8+(3*COUNT($AO$207:AO359)),1))*1,IF(AND(HOUR(AC360)=HOUR($F$186),DAY(AC360)=DAY($F$186)),(MID(INDEX($A$187:$B$210,MATCH("CIG",$A$187:$A$210,0),2),8,1))*1,"")))</f>
        <v/>
      </c>
      <c r="AQ360" s="1061" t="str">
        <f>IF(AND(AQ359&lt;&gt;"",AC360&lt;$F$186+26/25),MID(INDEX($A$187:$B$210,MATCH("CLD",$A$187:$A$210,0),2),7+(3*SUM(COUNTIF($AQ$207:AQ359,"OV"),COUNTIF($AQ$207:AQ359,"BK"),COUNTIF($AQ$207:AQ359,"SC"),COUNTIF($AQ$207:AQ359,"FW"),COUNTIF($AQ$207:AQ359,"CL"))),2),IF(AND(HOUR(AC360)=HOUR($F$186),DAY(AC360)=DAY($F$186)),MID(INDEX($A$187:$B$210,MATCH("CLD",$A$187:$A$210,0),2),7,2),""))</f>
        <v/>
      </c>
      <c r="AR360" s="1149" t="str">
        <f t="shared" si="207"/>
        <v/>
      </c>
      <c r="AS360" s="1150" t="str">
        <f t="shared" si="208"/>
        <v/>
      </c>
      <c r="AT360" s="112" t="str">
        <f t="shared" si="209"/>
        <v/>
      </c>
      <c r="AU360" s="1610" t="str">
        <f t="shared" si="210"/>
        <v/>
      </c>
      <c r="AV360" s="1148">
        <f t="shared" si="170"/>
        <v>50</v>
      </c>
      <c r="AW360" s="920" t="str">
        <f t="shared" si="173"/>
        <v>SCT</v>
      </c>
      <c r="AX360" s="1608">
        <f t="shared" si="171"/>
        <v>15.666666666666668</v>
      </c>
      <c r="AY360" s="112" t="str">
        <f>IF(BA360="Y",AZ360,IF(AND(ISNUMBER(AY359),AC360&lt;$F$186+26/25),(MID(INDEX($A$187:$B$210,MATCH("VIS",$A$187:$A$210,0),2),8+(3*COUNT($AY$207:AY359)),1))*1,IF(AND(HOUR(AC360)=HOUR($F$186),DAY(AC360)=DAY($F$186)),(MID(INDEX($A$187:$B$210,MATCH("VIS",$A$187:$A$210,0),2),8,1))*1,"")))</f>
        <v/>
      </c>
      <c r="AZ360" s="112" t="str">
        <f>IF(AND(ISNUMBER(AZ359),AC360&lt;$F$186+26/25),(MID(INDEX($A$187:$B$210,MATCH("CVS",$A$187:$A$210,0),2),8+(3*COUNT($AZ$207:AZ359)),1))*1,IF(AND(HOUR(AC360)=HOUR($F$186),DAY(AC360)=DAY($F$186)),(MID(INDEX($A$187:$B$210,MATCH("CVS",$A$187:$A$210,0),2),8,1))*1,""))</f>
        <v/>
      </c>
      <c r="BA360" s="1610" t="str">
        <f>IF(AND(BA359&lt;&gt;"",AC360&lt;$F$186+26/25),MID(INDEX($A$187:$B$210,MATCH("PCO",$A$187:$A$210,0),2),8+(3*SUM(COUNTIF($BA$207:BA359,"Y"),COUNTIF($BA$207:BA359,"N"))),1),IF(AND(HOUR(AC360)=HOUR($F$186),DAY(AC360)=DAY($F$186)),MID(INDEX($A$187:$B$210,MATCH("PCO",$A$187:$A$210,0),2),8,1),""))</f>
        <v/>
      </c>
      <c r="BB360" s="1610" t="e">
        <f>IF(AND(BB359&lt;&gt;"",AC360&lt;$F$186+26/25),MID(INDEX($A$187:$B$210,MATCH("TYP",$A$187:$A$210,0),2),8+(3*SUM(COUNTIF($BB$207:BB359,"S"),COUNTIF($BB$207:BB359,"Z"), COUNTIF($BB$207:BB359,"R"),COUNTIF($BB$207:BB359,"X"))),1),IF(AND(HOUR(AC360)=HOUR($F$186),DAY(AC360)=DAY($F$186)),MID(INDEX($A$187:$B$210,MATCH("TYP",$A$187:$A$210,0),2),8,1),""))</f>
        <v>#N/A</v>
      </c>
      <c r="BC360" s="112" t="str">
        <f>IF(AND(LEN(BC359)=2,AC360&lt;$F$186+26/25),MID(INDEX($A$187:$B$211,MATCH("OBV",$A$187:$A$211,0),2),7+(3*SUM(COUNTIF($BC$207:BC359," N"),COUNTIF($BC$207:BC359,"HZ"),COUNTIF($BC$207:BC359,"BR"),COUNTIF($BC$207:BC359,"FG"),COUNTIF($BC$207:BC359,"BL"))),2),IF(AND(HOUR(AC360)=HOUR($F$186),DAY(AC360)=DAY($F$186)),MID(INDEX($A$187:$B$211,MATCH("OBV",$A$187:$A$211,0),2),7,2),""))</f>
        <v/>
      </c>
      <c r="BD360" s="112"/>
      <c r="BE360" s="112"/>
      <c r="BF360" s="112"/>
      <c r="BG360" s="1610" t="str">
        <f t="shared" si="200"/>
        <v/>
      </c>
      <c r="BH360" s="115" t="str">
        <f t="shared" si="211"/>
        <v/>
      </c>
      <c r="BI360" s="200" t="str">
        <f t="shared" si="222"/>
        <v/>
      </c>
      <c r="BJ360" s="62" t="str">
        <f t="shared" si="221"/>
        <v/>
      </c>
      <c r="BK360" s="1145" t="str">
        <f t="shared" si="229"/>
        <v/>
      </c>
      <c r="BL360" s="62" t="str">
        <f t="shared" si="223"/>
        <v/>
      </c>
      <c r="BM360" s="1145" t="str">
        <f t="shared" si="230"/>
        <v/>
      </c>
      <c r="BN360" s="1901" t="str">
        <f t="shared" si="199"/>
        <v/>
      </c>
      <c r="BO360" s="1144" t="str">
        <f t="shared" si="224"/>
        <v/>
      </c>
      <c r="BP360" s="106" t="str">
        <f t="shared" si="228"/>
        <v/>
      </c>
      <c r="BQ360" s="66" t="str">
        <f t="shared" si="225"/>
        <v/>
      </c>
      <c r="BR360" s="106" t="str">
        <f t="shared" si="226"/>
        <v/>
      </c>
      <c r="BS360" s="834" t="str">
        <f t="shared" si="233"/>
        <v/>
      </c>
      <c r="BT360" s="106" t="str">
        <f t="shared" si="227"/>
        <v/>
      </c>
      <c r="BU360" s="834" t="str">
        <f t="shared" si="231"/>
        <v/>
      </c>
      <c r="BV360" s="66" t="str">
        <f t="shared" si="213"/>
        <v/>
      </c>
      <c r="BW360" s="66" t="str">
        <f t="shared" si="214"/>
        <v/>
      </c>
      <c r="BX360" s="1198">
        <f t="shared" si="172"/>
        <v>5</v>
      </c>
      <c r="BY360" s="1146" t="str">
        <f t="shared" si="219"/>
        <v>BR</v>
      </c>
      <c r="CA360" s="3675">
        <f t="shared" si="232"/>
        <v>44753.416666666664</v>
      </c>
      <c r="CB360" s="3675"/>
    </row>
    <row r="361" spans="1:80" ht="10.5">
      <c r="A361" s="1050" t="str">
        <f>IF(ISNUMBER(FIND("UTC",B361)),MID(B361,FIND("UTC",B361),3),IF(ISNUMBER(FIND("GFS",B361)),LEFT(B361,3),MID(B361,2,3)))</f>
        <v>OBV</v>
      </c>
      <c r="B361" s="106" t="str">
        <f>Worksheet!L341</f>
        <v xml:space="preserve"> OBV   N  N  N  N  N  N  N  N  N  N  N  N BR  N  N  N  N HZ  N BR  N </v>
      </c>
      <c r="AC361" s="977">
        <f t="shared" si="216"/>
        <v>44753.458333333328</v>
      </c>
      <c r="AE361" s="1149" t="str">
        <f>IF(AND(HOUR(AC361)=HOUR($F$186),DAY(AC361)=DAY($F$186)),(MID($B$189,6,3))*1,IF(AND(ISNUMBER(AE360),AC361&lt;$F$186+1+(1/25)),(MID($B$189,6+(3*COUNT($AE$207:AE360)),3))*1,""))</f>
        <v/>
      </c>
      <c r="AF361" s="1164" t="e">
        <f t="shared" si="234"/>
        <v>#VALUE!</v>
      </c>
      <c r="AG361" s="1150">
        <f t="shared" si="203"/>
        <v>69.800000000000011</v>
      </c>
      <c r="AH361" s="1163" t="str">
        <f>IF(AND(ISNUMBER(AH360),AC361&lt;$F$186+26/25),(MID($B$190,6+(3*COUNT($AH$207:AH360)),3))*1,IF(AND(HOUR(AC361)=HOUR($F$186),DAY(AC361)=DAY($F$186)),(MID($B$190,6,3))*1,""))</f>
        <v/>
      </c>
      <c r="AI361" s="200"/>
      <c r="AJ361" s="1164" t="e">
        <f t="shared" si="204"/>
        <v>#VALUE!</v>
      </c>
      <c r="AK361" s="1150">
        <f t="shared" si="205"/>
        <v>69.2</v>
      </c>
      <c r="AL361" s="1152" t="e">
        <f t="shared" ref="AL361:AL389" si="235">IF(AC361&lt;($AE$197-0.001),"",IF(MOD(HOUR(AC361),3)=0,MID($B$218,4+ROUND((9*((AC361-$AE$197)*8)),1),5)*1,IF(MOD(HOUR(AC361),3)=1,(AL363-AL360)/3+AL360,(2*(AL362-AL359)/3)+AL359)))</f>
        <v>#VALUE!</v>
      </c>
      <c r="AM361" s="1153">
        <f t="shared" si="206"/>
        <v>29.976666666666667</v>
      </c>
      <c r="AN361" s="1147"/>
      <c r="AO361" s="976" t="str">
        <f>IF(BA361="Y",AP361,IF(AND(ISNUMBER(AO360),AC361&lt;$F$186+26/25),(MID(INDEX($A$187:$B$210,MATCH("CIG",$A$187:$A$210,0),2),8+(3*COUNT($AO$207:AO360)),1))*1,IF(AND(HOUR(AC361)=HOUR($F$186),DAY(AC361)=DAY($F$186)),(MID(INDEX($A$187:$B$210,MATCH("CIG",$A$187:$A$210,0),2),8,1))*1,"")))</f>
        <v/>
      </c>
      <c r="AQ361" s="1061" t="str">
        <f>IF(AND(AQ360&lt;&gt;"",AC361&lt;$F$186+26/25),MID(INDEX($A$187:$B$210,MATCH("CLD",$A$187:$A$210,0),2),7+(3*SUM(COUNTIF($AQ$207:AQ360,"OV"),COUNTIF($AQ$207:AQ360,"BK"),COUNTIF($AQ$207:AQ360,"SC"),COUNTIF($AQ$207:AQ360,"FW"),COUNTIF($AQ$207:AQ360,"CL"))),2),IF(AND(HOUR(AC361)=HOUR($F$186),DAY(AC361)=DAY($F$186)),MID(INDEX($A$187:$B$210,MATCH("CLD",$A$187:$A$210,0),2),7,2),""))</f>
        <v/>
      </c>
      <c r="AR361" s="1149" t="str">
        <f t="shared" si="207"/>
        <v/>
      </c>
      <c r="AS361" s="1150" t="str">
        <f t="shared" si="208"/>
        <v/>
      </c>
      <c r="AT361" s="112" t="str">
        <f t="shared" si="209"/>
        <v/>
      </c>
      <c r="AU361" s="1610" t="str">
        <f t="shared" si="210"/>
        <v/>
      </c>
      <c r="AV361" s="1148">
        <f t="shared" si="170"/>
        <v>60</v>
      </c>
      <c r="AW361" s="920" t="str">
        <f t="shared" si="173"/>
        <v>BKN</v>
      </c>
      <c r="AX361" s="1608">
        <f t="shared" si="171"/>
        <v>11.333333333333334</v>
      </c>
      <c r="AY361" s="112" t="str">
        <f>IF(BA361="Y",AZ361,IF(AND(ISNUMBER(AY360),AC361&lt;$F$186+26/25),(MID(INDEX($A$187:$B$210,MATCH("VIS",$A$187:$A$210,0),2),8+(3*COUNT($AY$207:AY360)),1))*1,IF(AND(HOUR(AC361)=HOUR($F$186),DAY(AC361)=DAY($F$186)),(MID(INDEX($A$187:$B$210,MATCH("VIS",$A$187:$A$210,0),2),8,1))*1,"")))</f>
        <v/>
      </c>
      <c r="AZ361" s="112" t="str">
        <f>IF(AND(ISNUMBER(AZ360),AC361&lt;$F$186+26/25),(MID(INDEX($A$187:$B$210,MATCH("CVS",$A$187:$A$210,0),2),8+(3*COUNT($AZ$207:AZ360)),1))*1,IF(AND(HOUR(AC361)=HOUR($F$186),DAY(AC361)=DAY($F$186)),(MID(INDEX($A$187:$B$210,MATCH("CVS",$A$187:$A$210,0),2),8,1))*1,""))</f>
        <v/>
      </c>
      <c r="BA361" s="1610" t="str">
        <f>IF(AND(BA360&lt;&gt;"",AC361&lt;$F$186+26/25),MID(INDEX($A$187:$B$210,MATCH("PCO",$A$187:$A$210,0),2),8+(3*SUM(COUNTIF($BA$207:BA360,"Y"),COUNTIF($BA$207:BA360,"N"))),1),IF(AND(HOUR(AC361)=HOUR($F$186),DAY(AC361)=DAY($F$186)),MID(INDEX($A$187:$B$210,MATCH("PCO",$A$187:$A$210,0),2),8,1),""))</f>
        <v/>
      </c>
      <c r="BB361" s="1610" t="e">
        <f>IF(AND(BB360&lt;&gt;"",AC361&lt;$F$186+26/25),MID(INDEX($A$187:$B$210,MATCH("TYP",$A$187:$A$210,0),2),8+(3*SUM(COUNTIF($BB$207:BB360,"S"),COUNTIF($BB$207:BB360,"Z"), COUNTIF($BB$207:BB360,"R"),COUNTIF($BB$207:BB360,"X"))),1),IF(AND(HOUR(AC361)=HOUR($F$186),DAY(AC361)=DAY($F$186)),MID(INDEX($A$187:$B$210,MATCH("TYP",$A$187:$A$210,0),2),8,1),""))</f>
        <v>#N/A</v>
      </c>
      <c r="BC361" s="112" t="str">
        <f>IF(AND(LEN(BC360)=2,AC361&lt;$F$186+26/25),MID(INDEX($A$187:$B$211,MATCH("OBV",$A$187:$A$211,0),2),7+(3*SUM(COUNTIF($BC$207:BC360," N"),COUNTIF($BC$207:BC360,"HZ"),COUNTIF($BC$207:BC360,"BR"),COUNTIF($BC$207:BC360,"FG"),COUNTIF($BC$207:BC360,"BL"))),2),IF(AND(HOUR(AC361)=HOUR($F$186),DAY(AC361)=DAY($F$186)),MID(INDEX($A$187:$B$211,MATCH("OBV",$A$187:$A$211,0),2),7,2),""))</f>
        <v/>
      </c>
      <c r="BD361" s="112"/>
      <c r="BE361" s="112"/>
      <c r="BF361" s="112"/>
      <c r="BG361" s="1610" t="str">
        <f t="shared" si="200"/>
        <v/>
      </c>
      <c r="BH361" s="115" t="str">
        <f t="shared" si="211"/>
        <v/>
      </c>
      <c r="BI361" s="200" t="str">
        <f t="shared" si="222"/>
        <v/>
      </c>
      <c r="BJ361" s="62" t="str">
        <f t="shared" si="221"/>
        <v/>
      </c>
      <c r="BK361" s="1145" t="str">
        <f t="shared" si="229"/>
        <v/>
      </c>
      <c r="BL361" s="62" t="str">
        <f t="shared" si="223"/>
        <v/>
      </c>
      <c r="BM361" s="1145" t="str">
        <f t="shared" si="230"/>
        <v/>
      </c>
      <c r="BN361" s="1901" t="str">
        <f t="shared" si="199"/>
        <v/>
      </c>
      <c r="BO361" s="1144" t="str">
        <f t="shared" si="224"/>
        <v/>
      </c>
      <c r="BP361" s="106" t="str">
        <f t="shared" si="228"/>
        <v/>
      </c>
      <c r="BQ361" s="66" t="str">
        <f t="shared" si="225"/>
        <v/>
      </c>
      <c r="BR361" s="106" t="str">
        <f t="shared" si="226"/>
        <v/>
      </c>
      <c r="BS361" s="834" t="str">
        <f t="shared" si="233"/>
        <v/>
      </c>
      <c r="BT361" s="106" t="str">
        <f t="shared" si="227"/>
        <v/>
      </c>
      <c r="BU361" s="834" t="str">
        <f t="shared" si="231"/>
        <v/>
      </c>
      <c r="BV361" s="66" t="str">
        <f t="shared" si="213"/>
        <v/>
      </c>
      <c r="BW361" s="66" t="str">
        <f t="shared" si="214"/>
        <v/>
      </c>
      <c r="BX361" s="1198">
        <f t="shared" si="172"/>
        <v>3</v>
      </c>
      <c r="BY361" s="1146" t="str">
        <f t="shared" si="219"/>
        <v>BR</v>
      </c>
      <c r="CA361" s="3675">
        <f t="shared" si="232"/>
        <v>44753.458333333328</v>
      </c>
      <c r="CB361" s="3675"/>
    </row>
    <row r="362" spans="1:80" ht="10.5">
      <c r="A362" s="1050" t="str">
        <f>IF(ISNUMBER(FIND("UTC",B362)),MID(B362,FIND("UTC",B362),3),IF(ISNUMBER(FIND("GFS",B362)),LEFT(B362,3),MID(B362,2,3)))</f>
        <v/>
      </c>
      <c r="B362" s="106">
        <f>Worksheet!L342</f>
        <v>0</v>
      </c>
      <c r="AC362" s="977">
        <f t="shared" si="216"/>
        <v>44753.5</v>
      </c>
      <c r="AE362" s="1149" t="str">
        <f>IF(AND(HOUR(AC362)=HOUR($F$186),DAY(AC362)=DAY($F$186)),(MID($B$189,6,3))*1,IF(AND(ISNUMBER(AE361),AC362&lt;$F$186+1+(1/25)),(MID($B$189,6+(3*COUNT($AE$207:AE361)),3))*1,""))</f>
        <v/>
      </c>
      <c r="AF362" s="1164" t="e">
        <f t="shared" si="234"/>
        <v>#VALUE!</v>
      </c>
      <c r="AG362" s="1150">
        <f t="shared" si="203"/>
        <v>69.800000000000011</v>
      </c>
      <c r="AH362" s="1163" t="str">
        <f>IF(AND(ISNUMBER(AH361),AC362&lt;$F$186+26/25),(MID($B$190,6+(3*COUNT($AH$207:AH361)),3))*1,IF(AND(HOUR(AC362)=HOUR($F$186),DAY(AC362)=DAY($F$186)),(MID($B$190,6,3))*1,""))</f>
        <v/>
      </c>
      <c r="AI362" s="200"/>
      <c r="AJ362" s="1164" t="e">
        <f t="shared" si="204"/>
        <v>#VALUE!</v>
      </c>
      <c r="AK362" s="1150">
        <f t="shared" si="205"/>
        <v>69.800000000000011</v>
      </c>
      <c r="AL362" s="1152" t="e">
        <f t="shared" si="235"/>
        <v>#VALUE!</v>
      </c>
      <c r="AM362" s="1153">
        <f t="shared" si="206"/>
        <v>29.98</v>
      </c>
      <c r="AN362" s="1147"/>
      <c r="AO362" s="976" t="str">
        <f>IF(BA362="Y",AP362,IF(AND(ISNUMBER(AO361),AC362&lt;$F$186+26/25),(MID(INDEX($A$187:$B$210,MATCH("CIG",$A$187:$A$210,0),2),8+(3*COUNT($AO$207:AO361)),1))*1,IF(AND(HOUR(AC362)=HOUR($F$186),DAY(AC362)=DAY($F$186)),(MID(INDEX($A$187:$B$210,MATCH("CIG",$A$187:$A$210,0),2),8,1))*1,"")))</f>
        <v/>
      </c>
      <c r="AQ362" s="1061" t="str">
        <f>IF(AND(AQ361&lt;&gt;"",AC362&lt;$F$186+26/25),MID(INDEX($A$187:$B$210,MATCH("CLD",$A$187:$A$210,0),2),7+(3*SUM(COUNTIF($AQ$207:AQ361,"OV"),COUNTIF($AQ$207:AQ361,"BK"),COUNTIF($AQ$207:AQ361,"SC"),COUNTIF($AQ$207:AQ361,"FW"),COUNTIF($AQ$207:AQ361,"CL"))),2),IF(AND(HOUR(AC362)=HOUR($F$186),DAY(AC362)=DAY($F$186)),MID(INDEX($A$187:$B$210,MATCH("CLD",$A$187:$A$210,0),2),7,2),""))</f>
        <v/>
      </c>
      <c r="AR362" s="1149" t="str">
        <f t="shared" si="207"/>
        <v/>
      </c>
      <c r="AS362" s="1150" t="str">
        <f t="shared" si="208"/>
        <v/>
      </c>
      <c r="AT362" s="112" t="str">
        <f t="shared" si="209"/>
        <v/>
      </c>
      <c r="AU362" s="1610" t="str">
        <f t="shared" si="210"/>
        <v/>
      </c>
      <c r="AV362" s="1148">
        <f t="shared" si="170"/>
        <v>70</v>
      </c>
      <c r="AW362" s="920" t="str">
        <f t="shared" si="173"/>
        <v>BKN</v>
      </c>
      <c r="AX362" s="1608">
        <f t="shared" si="171"/>
        <v>7</v>
      </c>
      <c r="AY362" s="112" t="str">
        <f>IF(BA362="Y",AZ362,IF(AND(ISNUMBER(AY361),AC362&lt;$F$186+26/25),(MID(INDEX($A$187:$B$210,MATCH("VIS",$A$187:$A$210,0),2),8+(3*COUNT($AY$207:AY361)),1))*1,IF(AND(HOUR(AC362)=HOUR($F$186),DAY(AC362)=DAY($F$186)),(MID(INDEX($A$187:$B$210,MATCH("VIS",$A$187:$A$210,0),2),8,1))*1,"")))</f>
        <v/>
      </c>
      <c r="AZ362" s="112" t="str">
        <f>IF(AND(ISNUMBER(AZ361),AC362&lt;$F$186+26/25),(MID(INDEX($A$187:$B$210,MATCH("CVS",$A$187:$A$210,0),2),8+(3*COUNT($AZ$207:AZ361)),1))*1,IF(AND(HOUR(AC362)=HOUR($F$186),DAY(AC362)=DAY($F$186)),(MID(INDEX($A$187:$B$210,MATCH("CVS",$A$187:$A$210,0),2),8,1))*1,""))</f>
        <v/>
      </c>
      <c r="BA362" s="1610" t="str">
        <f>IF(AND(BA361&lt;&gt;"",AC362&lt;$F$186+26/25),MID(INDEX($A$187:$B$210,MATCH("PCO",$A$187:$A$210,0),2),8+(3*SUM(COUNTIF($BA$207:BA361,"Y"),COUNTIF($BA$207:BA361,"N"))),1),IF(AND(HOUR(AC362)=HOUR($F$186),DAY(AC362)=DAY($F$186)),MID(INDEX($A$187:$B$210,MATCH("PCO",$A$187:$A$210,0),2),8,1),""))</f>
        <v/>
      </c>
      <c r="BB362" s="1610" t="e">
        <f>IF(AND(BB361&lt;&gt;"",AC362&lt;$F$186+26/25),MID(INDEX($A$187:$B$210,MATCH("TYP",$A$187:$A$210,0),2),8+(3*SUM(COUNTIF($BB$207:BB361,"S"),COUNTIF($BB$207:BB361,"Z"), COUNTIF($BB$207:BB361,"R"),COUNTIF($BB$207:BB361,"X"))),1),IF(AND(HOUR(AC362)=HOUR($F$186),DAY(AC362)=DAY($F$186)),MID(INDEX($A$187:$B$210,MATCH("TYP",$A$187:$A$210,0),2),8,1),""))</f>
        <v>#N/A</v>
      </c>
      <c r="BC362" s="112" t="str">
        <f>IF(AND(LEN(BC361)=2,AC362&lt;$F$186+26/25),MID(INDEX($A$187:$B$211,MATCH("OBV",$A$187:$A$211,0),2),7+(3*SUM(COUNTIF($BC$207:BC361," N"),COUNTIF($BC$207:BC361,"HZ"),COUNTIF($BC$207:BC361,"BR"),COUNTIF($BC$207:BC361,"FG"),COUNTIF($BC$207:BC361,"BL"))),2),IF(AND(HOUR(AC362)=HOUR($F$186),DAY(AC362)=DAY($F$186)),MID(INDEX($A$187:$B$211,MATCH("OBV",$A$187:$A$211,0),2),7,2),""))</f>
        <v/>
      </c>
      <c r="BD362" s="112"/>
      <c r="BE362" s="112"/>
      <c r="BF362" s="112"/>
      <c r="BG362" s="1610" t="str">
        <f t="shared" si="200"/>
        <v/>
      </c>
      <c r="BH362" s="115" t="str">
        <f t="shared" si="211"/>
        <v/>
      </c>
      <c r="BI362" s="200" t="str">
        <f t="shared" si="222"/>
        <v/>
      </c>
      <c r="BJ362" s="62" t="str">
        <f t="shared" si="221"/>
        <v/>
      </c>
      <c r="BK362" s="1145" t="str">
        <f t="shared" si="229"/>
        <v/>
      </c>
      <c r="BL362" s="62" t="str">
        <f t="shared" si="223"/>
        <v/>
      </c>
      <c r="BM362" s="1145" t="str">
        <f t="shared" si="230"/>
        <v/>
      </c>
      <c r="BN362" s="1901" t="str">
        <f t="shared" si="199"/>
        <v/>
      </c>
      <c r="BO362" s="1144" t="str">
        <f t="shared" si="224"/>
        <v/>
      </c>
      <c r="BP362" s="106" t="str">
        <f t="shared" si="228"/>
        <v/>
      </c>
      <c r="BQ362" s="66" t="str">
        <f t="shared" si="225"/>
        <v/>
      </c>
      <c r="BR362" s="106" t="str">
        <f t="shared" si="226"/>
        <v/>
      </c>
      <c r="BS362" s="834" t="str">
        <f t="shared" si="233"/>
        <v/>
      </c>
      <c r="BT362" s="106" t="str">
        <f t="shared" si="227"/>
        <v/>
      </c>
      <c r="BU362" s="834" t="str">
        <f t="shared" si="231"/>
        <v/>
      </c>
      <c r="BV362" s="66" t="str">
        <f t="shared" si="213"/>
        <v/>
      </c>
      <c r="BW362" s="66" t="str">
        <f t="shared" si="214"/>
        <v/>
      </c>
      <c r="BX362" s="1198">
        <f t="shared" si="172"/>
        <v>2</v>
      </c>
      <c r="BY362" s="1146" t="str">
        <f t="shared" si="219"/>
        <v>BR</v>
      </c>
      <c r="CA362" s="3675">
        <f t="shared" si="232"/>
        <v>44753.5</v>
      </c>
      <c r="CB362" s="3675"/>
    </row>
    <row r="363" spans="1:80" ht="10.5">
      <c r="A363" s="1050" t="str">
        <f>IF(ISNUMBER(FIND("UTC",B363)),MID(B363,FIND("UTC",B363),3),IF(ISNUMBER(FIND("GFS",B363)),LEFT(B363,3),MID(B363,2,3)))</f>
        <v/>
      </c>
      <c r="B363" s="106">
        <f>Worksheet!L343</f>
        <v>0</v>
      </c>
      <c r="AC363" s="977">
        <f t="shared" si="216"/>
        <v>44753.541666666664</v>
      </c>
      <c r="AE363" s="1149" t="str">
        <f>IF(AND(HOUR(AC363)=HOUR($F$186),DAY(AC363)=DAY($F$186)),(MID($B$189,6,3))*1,IF(AND(ISNUMBER(AE362),AC363&lt;$F$186+1+(1/25)),(MID($B$189,6+(3*COUNT($AE$207:AE362)),3))*1,""))</f>
        <v/>
      </c>
      <c r="AF363" s="1164" t="e">
        <f t="shared" si="234"/>
        <v>#VALUE!</v>
      </c>
      <c r="AG363" s="1150">
        <f t="shared" si="203"/>
        <v>72.800000000000011</v>
      </c>
      <c r="AH363" s="1163" t="str">
        <f>IF(AND(ISNUMBER(AH362),AC363&lt;$F$186+26/25),(MID($B$190,6+(3*COUNT($AH$207:AH362)),3))*1,IF(AND(HOUR(AC363)=HOUR($F$186),DAY(AC363)=DAY($F$186)),(MID($B$190,6,3))*1,""))</f>
        <v/>
      </c>
      <c r="AI363" s="200"/>
      <c r="AJ363" s="1164" t="e">
        <f t="shared" si="204"/>
        <v>#VALUE!</v>
      </c>
      <c r="AK363" s="1150">
        <f t="shared" si="205"/>
        <v>71.000000000000014</v>
      </c>
      <c r="AL363" s="1152" t="e">
        <f t="shared" si="235"/>
        <v>#VALUE!</v>
      </c>
      <c r="AM363" s="1153">
        <f t="shared" si="206"/>
        <v>29.976666666666667</v>
      </c>
      <c r="AN363" s="1147"/>
      <c r="AO363" s="976" t="str">
        <f>IF(BA363="Y",AP363,IF(AND(ISNUMBER(AO362),AC363&lt;$F$186+26/25),(MID(INDEX($A$187:$B$210,MATCH("CIG",$A$187:$A$210,0),2),8+(3*COUNT($AO$207:AO362)),1))*1,IF(AND(HOUR(AC363)=HOUR($F$186),DAY(AC363)=DAY($F$186)),(MID(INDEX($A$187:$B$210,MATCH("CIG",$A$187:$A$210,0),2),8,1))*1,"")))</f>
        <v/>
      </c>
      <c r="AQ363" s="1061" t="str">
        <f>IF(AND(AQ362&lt;&gt;"",AC363&lt;$F$186+26/25),MID(INDEX($A$187:$B$210,MATCH("CLD",$A$187:$A$210,0),2),7+(3*SUM(COUNTIF($AQ$207:AQ362,"OV"),COUNTIF($AQ$207:AQ362,"BK"),COUNTIF($AQ$207:AQ362,"SC"),COUNTIF($AQ$207:AQ362,"FW"),COUNTIF($AQ$207:AQ362,"CL"))),2),IF(AND(HOUR(AC363)=HOUR($F$186),DAY(AC363)=DAY($F$186)),MID(INDEX($A$187:$B$210,MATCH("CLD",$A$187:$A$210,0),2),7,2),""))</f>
        <v/>
      </c>
      <c r="AR363" s="1149" t="str">
        <f t="shared" si="207"/>
        <v/>
      </c>
      <c r="AS363" s="1150" t="str">
        <f t="shared" si="208"/>
        <v/>
      </c>
      <c r="AT363" s="112" t="str">
        <f t="shared" si="209"/>
        <v/>
      </c>
      <c r="AU363" s="1610" t="str">
        <f t="shared" si="210"/>
        <v/>
      </c>
      <c r="AV363" s="1148">
        <f t="shared" si="170"/>
        <v>60</v>
      </c>
      <c r="AW363" s="920" t="str">
        <f t="shared" si="173"/>
        <v>BKN</v>
      </c>
      <c r="AX363" s="1608">
        <f t="shared" si="171"/>
        <v>11.333333333333332</v>
      </c>
      <c r="AY363" s="112" t="str">
        <f>IF(BA363="Y",AZ363,IF(AND(ISNUMBER(AY362),AC363&lt;$F$186+26/25),(MID(INDEX($A$187:$B$210,MATCH("VIS",$A$187:$A$210,0),2),8+(3*COUNT($AY$207:AY362)),1))*1,IF(AND(HOUR(AC363)=HOUR($F$186),DAY(AC363)=DAY($F$186)),(MID(INDEX($A$187:$B$210,MATCH("VIS",$A$187:$A$210,0),2),8,1))*1,"")))</f>
        <v/>
      </c>
      <c r="AZ363" s="112" t="str">
        <f>IF(AND(ISNUMBER(AZ362),AC363&lt;$F$186+26/25),(MID(INDEX($A$187:$B$210,MATCH("CVS",$A$187:$A$210,0),2),8+(3*COUNT($AZ$207:AZ362)),1))*1,IF(AND(HOUR(AC363)=HOUR($F$186),DAY(AC363)=DAY($F$186)),(MID(INDEX($A$187:$B$210,MATCH("CVS",$A$187:$A$210,0),2),8,1))*1,""))</f>
        <v/>
      </c>
      <c r="BA363" s="1610" t="str">
        <f>IF(AND(BA362&lt;&gt;"",AC363&lt;$F$186+26/25),MID(INDEX($A$187:$B$210,MATCH("PCO",$A$187:$A$210,0),2),8+(3*SUM(COUNTIF($BA$207:BA362,"Y"),COUNTIF($BA$207:BA362,"N"))),1),IF(AND(HOUR(AC363)=HOUR($F$186),DAY(AC363)=DAY($F$186)),MID(INDEX($A$187:$B$210,MATCH("PCO",$A$187:$A$210,0),2),8,1),""))</f>
        <v/>
      </c>
      <c r="BB363" s="1610" t="e">
        <f>IF(AND(BB362&lt;&gt;"",AC363&lt;$F$186+26/25),MID(INDEX($A$187:$B$210,MATCH("TYP",$A$187:$A$210,0),2),8+(3*SUM(COUNTIF($BB$207:BB362,"S"),COUNTIF($BB$207:BB362,"Z"), COUNTIF($BB$207:BB362,"R"),COUNTIF($BB$207:BB362,"X"))),1),IF(AND(HOUR(AC363)=HOUR($F$186),DAY(AC363)=DAY($F$186)),MID(INDEX($A$187:$B$210,MATCH("TYP",$A$187:$A$210,0),2),8,1),""))</f>
        <v>#N/A</v>
      </c>
      <c r="BC363" s="112" t="str">
        <f>IF(AND(LEN(BC362)=2,AC363&lt;$F$186+26/25),MID(INDEX($A$187:$B$211,MATCH("OBV",$A$187:$A$211,0),2),7+(3*SUM(COUNTIF($BC$207:BC362," N"),COUNTIF($BC$207:BC362,"HZ"),COUNTIF($BC$207:BC362,"BR"),COUNTIF($BC$207:BC362,"FG"),COUNTIF($BC$207:BC362,"BL"))),2),IF(AND(HOUR(AC363)=HOUR($F$186),DAY(AC363)=DAY($F$186)),MID(INDEX($A$187:$B$211,MATCH("OBV",$A$187:$A$211,0),2),7,2),""))</f>
        <v/>
      </c>
      <c r="BD363" s="112"/>
      <c r="BE363" s="112"/>
      <c r="BF363" s="112"/>
      <c r="BG363" s="1610" t="str">
        <f t="shared" si="200"/>
        <v/>
      </c>
      <c r="BH363" s="115" t="str">
        <f t="shared" si="211"/>
        <v/>
      </c>
      <c r="BI363" s="200" t="str">
        <f t="shared" si="222"/>
        <v/>
      </c>
      <c r="BJ363" s="62" t="str">
        <f t="shared" si="221"/>
        <v/>
      </c>
      <c r="BK363" s="1145" t="str">
        <f t="shared" si="229"/>
        <v/>
      </c>
      <c r="BL363" s="62" t="str">
        <f t="shared" si="223"/>
        <v/>
      </c>
      <c r="BM363" s="1145" t="str">
        <f t="shared" si="230"/>
        <v/>
      </c>
      <c r="BN363" s="1901" t="str">
        <f t="shared" si="199"/>
        <v/>
      </c>
      <c r="BO363" s="1144" t="str">
        <f t="shared" si="224"/>
        <v/>
      </c>
      <c r="BP363" s="106" t="str">
        <f t="shared" si="228"/>
        <v/>
      </c>
      <c r="BQ363" s="66" t="str">
        <f t="shared" si="225"/>
        <v/>
      </c>
      <c r="BR363" s="106" t="str">
        <f t="shared" si="226"/>
        <v/>
      </c>
      <c r="BS363" s="834" t="str">
        <f t="shared" si="233"/>
        <v/>
      </c>
      <c r="BT363" s="106" t="str">
        <f t="shared" si="227"/>
        <v/>
      </c>
      <c r="BU363" s="834" t="str">
        <f t="shared" si="231"/>
        <v/>
      </c>
      <c r="BV363" s="66" t="str">
        <f t="shared" si="213"/>
        <v/>
      </c>
      <c r="BW363" s="66" t="str">
        <f t="shared" si="214"/>
        <v/>
      </c>
      <c r="BX363" s="1198">
        <f t="shared" si="172"/>
        <v>4</v>
      </c>
      <c r="BY363" s="1146" t="str">
        <f t="shared" si="219"/>
        <v>BR</v>
      </c>
      <c r="CA363" s="3675">
        <f t="shared" si="232"/>
        <v>44753.541666666664</v>
      </c>
      <c r="CB363" s="3675"/>
    </row>
    <row r="364" spans="1:80" ht="10.5">
      <c r="A364" s="1050" t="str">
        <f>IF(ISNUMBER(FIND("UTC",B364)),MID(B364,FIND("UTC",B364),3),IF(ISNUMBER(FIND("NAM",B364)),LEFT(B364,3),MID(B364,2,3)))</f>
        <v xml:space="preserve">ET </v>
      </c>
      <c r="B364" s="106" t="str">
        <f>Worksheet!L344</f>
        <v xml:space="preserve">MET TEXT BULLETIN </v>
      </c>
      <c r="AC364" s="977">
        <f t="shared" si="216"/>
        <v>44753.583333333328</v>
      </c>
      <c r="AE364" s="1149" t="str">
        <f>IF(AND(HOUR(AC364)=HOUR($F$186),DAY(AC364)=DAY($F$186)),(MID($B$189,6,3))*1,IF(AND(ISNUMBER(AE363),AC364&lt;$F$186+1+(1/25)),(MID($B$189,6+(3*COUNT($AE$207:AE363)),3))*1,""))</f>
        <v/>
      </c>
      <c r="AF364" s="1164" t="e">
        <f t="shared" si="234"/>
        <v>#VALUE!</v>
      </c>
      <c r="AG364" s="1150">
        <f t="shared" si="203"/>
        <v>75.800000000000011</v>
      </c>
      <c r="AH364" s="1163" t="str">
        <f>IF(AND(ISNUMBER(AH363),AC364&lt;$F$186+26/25),(MID($B$190,6+(3*COUNT($AH$207:AH363)),3))*1,IF(AND(HOUR(AC364)=HOUR($F$186),DAY(AC364)=DAY($F$186)),(MID($B$190,6,3))*1,""))</f>
        <v/>
      </c>
      <c r="AI364" s="200"/>
      <c r="AJ364" s="1164" t="e">
        <f t="shared" si="204"/>
        <v>#VALUE!</v>
      </c>
      <c r="AK364" s="1150">
        <f t="shared" si="205"/>
        <v>72.2</v>
      </c>
      <c r="AL364" s="1152" t="e">
        <f t="shared" si="235"/>
        <v>#VALUE!</v>
      </c>
      <c r="AM364" s="1153">
        <f t="shared" si="206"/>
        <v>29.973333333333333</v>
      </c>
      <c r="AN364" s="1147"/>
      <c r="AO364" s="976" t="str">
        <f>IF(BA364="Y",AP364,IF(AND(ISNUMBER(AO363),AC364&lt;$F$186+26/25),(MID(INDEX($A$187:$B$210,MATCH("CIG",$A$187:$A$210,0),2),8+(3*COUNT($AO$207:AO363)),1))*1,IF(AND(HOUR(AC364)=HOUR($F$186),DAY(AC364)=DAY($F$186)),(MID(INDEX($A$187:$B$210,MATCH("CIG",$A$187:$A$210,0),2),8,1))*1,"")))</f>
        <v/>
      </c>
      <c r="AQ364" s="1061" t="str">
        <f>IF(AND(AQ363&lt;&gt;"",AC364&lt;$F$186+26/25),MID(INDEX($A$187:$B$210,MATCH("CLD",$A$187:$A$210,0),2),7+(3*SUM(COUNTIF($AQ$207:AQ363,"OV"),COUNTIF($AQ$207:AQ363,"BK"),COUNTIF($AQ$207:AQ363,"SC"),COUNTIF($AQ$207:AQ363,"FW"),COUNTIF($AQ$207:AQ363,"CL"))),2),IF(AND(HOUR(AC364)=HOUR($F$186),DAY(AC364)=DAY($F$186)),MID(INDEX($A$187:$B$210,MATCH("CLD",$A$187:$A$210,0),2),7,2),""))</f>
        <v/>
      </c>
      <c r="AR364" s="1149" t="str">
        <f t="shared" si="207"/>
        <v/>
      </c>
      <c r="AS364" s="1150" t="str">
        <f t="shared" si="208"/>
        <v/>
      </c>
      <c r="AT364" s="112" t="str">
        <f t="shared" si="209"/>
        <v/>
      </c>
      <c r="AU364" s="1610" t="str">
        <f t="shared" si="210"/>
        <v/>
      </c>
      <c r="AV364" s="1148">
        <f t="shared" ref="AV364:AV389" si="236">IF(OR(AC364&lt;($B$237-0.001),AC364&gt;(MAX($B$241:$B$321)+0.001)),"",IF(OR(ISNUMBER(MATCH(AC364,$W$241:$W$321,0)),MOD(HOUR(AC364),3)=0),LOOKUP(AC364,$B$241:$B$321,$E$241:$E$321),IF(MOD(HOUR(AC364),3)=1,IF(OR(AV366="",AV363=""),MAX(AV366,AV363),(AV366-AV363)/3+AV363),IF(OR(AV365="",AV362=""),MAX(AV365,AV362),(2*(AV365-AV362)/3)+AV362))))</f>
        <v>50</v>
      </c>
      <c r="AW364" s="920" t="str">
        <f t="shared" si="173"/>
        <v>SCT</v>
      </c>
      <c r="AX364" s="1608">
        <f t="shared" ref="AX364:AX389" si="237">IF(OR(AC364&lt;($B$237-0.001),AC364&gt;(MAX($B$241:$B$321)+0.001)),"",IF(OR(ISNUMBER(MATCH(AC364,$W$241:$W$321,0)),MOD(HOUR(AC364),3)=0),LOOKUP(AC364,$B$241:$B$321,$I$241:$I$321),IF(MOD(HOUR(AC364),3)=1,IF(OR(AX366="",AX363=""),MAX(AX366,AX363),(AX366-AX363)/3+AX363),IF(OR(AX365="",AX362=""),MAX(AX365,AX362),(2*(AX365-AX362)/3)+AX362))))</f>
        <v>15.666666666666666</v>
      </c>
      <c r="AY364" s="112" t="str">
        <f>IF(BA364="Y",AZ364,IF(AND(ISNUMBER(AY363),AC364&lt;$F$186+26/25),(MID(INDEX($A$187:$B$210,MATCH("VIS",$A$187:$A$210,0),2),8+(3*COUNT($AY$207:AY363)),1))*1,IF(AND(HOUR(AC364)=HOUR($F$186),DAY(AC364)=DAY($F$186)),(MID(INDEX($A$187:$B$210,MATCH("VIS",$A$187:$A$210,0),2),8,1))*1,"")))</f>
        <v/>
      </c>
      <c r="AZ364" s="112" t="str">
        <f>IF(AND(ISNUMBER(AZ363),AC364&lt;$F$186+26/25),(MID(INDEX($A$187:$B$210,MATCH("CVS",$A$187:$A$210,0),2),8+(3*COUNT($AZ$207:AZ363)),1))*1,IF(AND(HOUR(AC364)=HOUR($F$186),DAY(AC364)=DAY($F$186)),(MID(INDEX($A$187:$B$210,MATCH("CVS",$A$187:$A$210,0),2),8,1))*1,""))</f>
        <v/>
      </c>
      <c r="BA364" s="1610" t="str">
        <f>IF(AND(BA363&lt;&gt;"",AC364&lt;$F$186+26/25),MID(INDEX($A$187:$B$210,MATCH("PCO",$A$187:$A$210,0),2),8+(3*SUM(COUNTIF($BA$207:BA363,"Y"),COUNTIF($BA$207:BA363,"N"))),1),IF(AND(HOUR(AC364)=HOUR($F$186),DAY(AC364)=DAY($F$186)),MID(INDEX($A$187:$B$210,MATCH("PCO",$A$187:$A$210,0),2),8,1),""))</f>
        <v/>
      </c>
      <c r="BB364" s="1610" t="e">
        <f>IF(AND(BB363&lt;&gt;"",AC364&lt;$F$186+26/25),MID(INDEX($A$187:$B$210,MATCH("TYP",$A$187:$A$210,0),2),8+(3*SUM(COUNTIF($BB$207:BB363,"S"),COUNTIF($BB$207:BB363,"Z"), COUNTIF($BB$207:BB363,"R"),COUNTIF($BB$207:BB363,"X"))),1),IF(AND(HOUR(AC364)=HOUR($F$186),DAY(AC364)=DAY($F$186)),MID(INDEX($A$187:$B$210,MATCH("TYP",$A$187:$A$210,0),2),8,1),""))</f>
        <v>#N/A</v>
      </c>
      <c r="BC364" s="112" t="str">
        <f>IF(AND(LEN(BC363)=2,AC364&lt;$F$186+26/25),MID(INDEX($A$187:$B$211,MATCH("OBV",$A$187:$A$211,0),2),7+(3*SUM(COUNTIF($BC$207:BC363," N"),COUNTIF($BC$207:BC363,"HZ"),COUNTIF($BC$207:BC363,"BR"),COUNTIF($BC$207:BC363,"FG"),COUNTIF($BC$207:BC363,"BL"))),2),IF(AND(HOUR(AC364)=HOUR($F$186),DAY(AC364)=DAY($F$186)),MID(INDEX($A$187:$B$211,MATCH("OBV",$A$187:$A$211,0),2),7,2),""))</f>
        <v/>
      </c>
      <c r="BD364" s="112"/>
      <c r="BE364" s="112"/>
      <c r="BF364" s="112"/>
      <c r="BG364" s="1610" t="str">
        <f t="shared" si="200"/>
        <v/>
      </c>
      <c r="BH364" s="115" t="str">
        <f t="shared" si="211"/>
        <v/>
      </c>
      <c r="BI364" s="200" t="str">
        <f t="shared" si="222"/>
        <v/>
      </c>
      <c r="BJ364" s="62" t="str">
        <f t="shared" si="221"/>
        <v/>
      </c>
      <c r="BK364" s="1145" t="str">
        <f t="shared" si="229"/>
        <v/>
      </c>
      <c r="BL364" s="62" t="str">
        <f t="shared" si="223"/>
        <v/>
      </c>
      <c r="BM364" s="1145" t="str">
        <f t="shared" si="230"/>
        <v/>
      </c>
      <c r="BN364" s="1901" t="str">
        <f t="shared" si="199"/>
        <v/>
      </c>
      <c r="BO364" s="1144" t="str">
        <f t="shared" si="224"/>
        <v/>
      </c>
      <c r="BP364" s="106" t="str">
        <f t="shared" si="228"/>
        <v/>
      </c>
      <c r="BQ364" s="66" t="str">
        <f t="shared" si="225"/>
        <v/>
      </c>
      <c r="BR364" s="106" t="str">
        <f t="shared" si="226"/>
        <v/>
      </c>
      <c r="BS364" s="834" t="str">
        <f t="shared" si="233"/>
        <v/>
      </c>
      <c r="BT364" s="106" t="str">
        <f t="shared" si="227"/>
        <v/>
      </c>
      <c r="BU364" s="834" t="str">
        <f t="shared" si="231"/>
        <v/>
      </c>
      <c r="BV364" s="66" t="str">
        <f t="shared" si="213"/>
        <v/>
      </c>
      <c r="BW364" s="66" t="str">
        <f t="shared" si="214"/>
        <v/>
      </c>
      <c r="BX364" s="1198">
        <f t="shared" ref="BX364:BX389" si="238">IF(OR(AC364&lt;($B$237-0.001),AC364&gt;(MAX($B$241:$B$321)+0.001)),"",IF(OR(ISNUMBER(MATCH(AC364,$W$241:$W$321,0)),MOD(HOUR(AC364),3)=0),ROUND(LOOKUP(AC364,$B$241:$B$321,$S$241:$S$321),0),ROUND(IF(MOD(HOUR(AC364),3)=1,(BX366-BX363)/3+BX363,(2*(BX365-BX362)/3)+BX362),0)))</f>
        <v>5</v>
      </c>
      <c r="BY364" s="1146" t="str">
        <f t="shared" si="219"/>
        <v>BR</v>
      </c>
      <c r="CA364" s="3675">
        <f t="shared" si="232"/>
        <v>44753.583333333328</v>
      </c>
      <c r="CB364" s="3675"/>
    </row>
    <row r="365" spans="1:80" ht="10.5">
      <c r="A365" s="1050" t="str">
        <f>IF(ISNUMBER(FIND("UTC",B365)),MID(B365,FIND("UTC",B365),3),IF(ISNUMBER(FIND("NAM",B365)),LEFT(B365,3),MID(B365,2,3)))</f>
        <v/>
      </c>
      <c r="B365" s="106">
        <f>Worksheet!L345</f>
        <v>0</v>
      </c>
      <c r="C365" s="476"/>
      <c r="AC365" s="977">
        <f t="shared" si="216"/>
        <v>44753.625</v>
      </c>
      <c r="AE365" s="1149" t="str">
        <f>IF(AND(HOUR(AC365)=HOUR($F$186),DAY(AC365)=DAY($F$186)),(MID($B$189,6,3))*1,IF(AND(ISNUMBER(AE364),AC365&lt;$F$186+1+(1/25)),(MID($B$189,6+(3*COUNT($AE$207:AE364)),3))*1,""))</f>
        <v/>
      </c>
      <c r="AF365" s="1164" t="e">
        <f t="shared" si="234"/>
        <v>#VALUE!</v>
      </c>
      <c r="AG365" s="1150">
        <f t="shared" si="203"/>
        <v>78.800000000000011</v>
      </c>
      <c r="AH365" s="1163" t="str">
        <f>IF(AND(ISNUMBER(AH364),AC365&lt;$F$186+26/25),(MID($B$190,6+(3*COUNT($AH$207:AH364)),3))*1,IF(AND(HOUR(AC365)=HOUR($F$186),DAY(AC365)=DAY($F$186)),(MID($B$190,6,3))*1,""))</f>
        <v/>
      </c>
      <c r="AI365" s="200"/>
      <c r="AJ365" s="1164" t="e">
        <f t="shared" si="204"/>
        <v>#VALUE!</v>
      </c>
      <c r="AK365" s="1150">
        <f t="shared" si="205"/>
        <v>73.400000000000006</v>
      </c>
      <c r="AL365" s="1152" t="e">
        <f t="shared" si="235"/>
        <v>#VALUE!</v>
      </c>
      <c r="AM365" s="1153">
        <f t="shared" si="206"/>
        <v>29.97</v>
      </c>
      <c r="AN365" s="1147"/>
      <c r="AO365" s="976" t="str">
        <f>IF(BA365="Y",AP365,IF(AND(ISNUMBER(AO364),AC365&lt;$F$186+26/25),(MID(INDEX($A$187:$B$210,MATCH("CIG",$A$187:$A$210,0),2),8+(3*COUNT($AO$207:AO364)),1))*1,IF(AND(HOUR(AC365)=HOUR($F$186),DAY(AC365)=DAY($F$186)),(MID(INDEX($A$187:$B$210,MATCH("CIG",$A$187:$A$210,0),2),8,1))*1,"")))</f>
        <v/>
      </c>
      <c r="AQ365" s="1061" t="str">
        <f>IF(AND(AQ364&lt;&gt;"",AC365&lt;$F$186+26/25),MID(INDEX($A$187:$B$210,MATCH("CLD",$A$187:$A$210,0),2),7+(3*SUM(COUNTIF($AQ$207:AQ364,"OV"),COUNTIF($AQ$207:AQ364,"BK"),COUNTIF($AQ$207:AQ364,"SC"),COUNTIF($AQ$207:AQ364,"FW"),COUNTIF($AQ$207:AQ364,"CL"))),2),IF(AND(HOUR(AC365)=HOUR($F$186),DAY(AC365)=DAY($F$186)),MID(INDEX($A$187:$B$210,MATCH("CLD",$A$187:$A$210,0),2),7,2),""))</f>
        <v/>
      </c>
      <c r="AR365" s="1149" t="str">
        <f t="shared" si="207"/>
        <v/>
      </c>
      <c r="AS365" s="1150" t="str">
        <f t="shared" si="208"/>
        <v/>
      </c>
      <c r="AT365" s="112" t="str">
        <f t="shared" si="209"/>
        <v/>
      </c>
      <c r="AU365" s="1610" t="str">
        <f t="shared" si="210"/>
        <v/>
      </c>
      <c r="AV365" s="1148">
        <f t="shared" si="236"/>
        <v>40</v>
      </c>
      <c r="AW365" s="920" t="str">
        <f t="shared" ref="AW365:AW389" si="239">IF(AV365="","",IF(AV365&gt;90,"OVC",IF(AV365&lt;51,"SCT","BKN")))</f>
        <v>SCT</v>
      </c>
      <c r="AX365" s="1608">
        <f t="shared" si="237"/>
        <v>20</v>
      </c>
      <c r="AY365" s="112" t="str">
        <f>IF(BA365="Y",AZ365,IF(AND(ISNUMBER(AY364),AC365&lt;$F$186+26/25),(MID(INDEX($A$187:$B$210,MATCH("VIS",$A$187:$A$210,0),2),8+(3*COUNT($AY$207:AY364)),1))*1,IF(AND(HOUR(AC365)=HOUR($F$186),DAY(AC365)=DAY($F$186)),(MID(INDEX($A$187:$B$210,MATCH("VIS",$A$187:$A$210,0),2),8,1))*1,"")))</f>
        <v/>
      </c>
      <c r="AZ365" s="112" t="str">
        <f>IF(AND(ISNUMBER(AZ364),AC365&lt;$F$186+26/25),(MID(INDEX($A$187:$B$210,MATCH("CVS",$A$187:$A$210,0),2),8+(3*COUNT($AZ$207:AZ364)),1))*1,IF(AND(HOUR(AC365)=HOUR($F$186),DAY(AC365)=DAY($F$186)),(MID(INDEX($A$187:$B$210,MATCH("CVS",$A$187:$A$210,0),2),8,1))*1,""))</f>
        <v/>
      </c>
      <c r="BA365" s="1610" t="str">
        <f>IF(AND(BA364&lt;&gt;"",AC365&lt;$F$186+26/25),MID(INDEX($A$187:$B$210,MATCH("PCO",$A$187:$A$210,0),2),8+(3*SUM(COUNTIF($BA$207:BA364,"Y"),COUNTIF($BA$207:BA364,"N"))),1),IF(AND(HOUR(AC365)=HOUR($F$186),DAY(AC365)=DAY($F$186)),MID(INDEX($A$187:$B$210,MATCH("PCO",$A$187:$A$210,0),2),8,1),""))</f>
        <v/>
      </c>
      <c r="BB365" s="1610" t="e">
        <f>IF(AND(BB364&lt;&gt;"",AC365&lt;$F$186+26/25),MID(INDEX($A$187:$B$210,MATCH("TYP",$A$187:$A$210,0),2),8+(3*SUM(COUNTIF($BB$207:BB364,"S"),COUNTIF($BB$207:BB364,"Z"), COUNTIF($BB$207:BB364,"R"),COUNTIF($BB$207:BB364,"X"))),1),IF(AND(HOUR(AC365)=HOUR($F$186),DAY(AC365)=DAY($F$186)),MID(INDEX($A$187:$B$210,MATCH("TYP",$A$187:$A$210,0),2),8,1),""))</f>
        <v>#N/A</v>
      </c>
      <c r="BC365" s="112" t="str">
        <f>IF(AND(LEN(BC364)=2,AC365&lt;$F$186+26/25),MID(INDEX($A$187:$B$211,MATCH("OBV",$A$187:$A$211,0),2),7+(3*SUM(COUNTIF($BC$207:BC364," N"),COUNTIF($BC$207:BC364,"HZ"),COUNTIF($BC$207:BC364,"BR"),COUNTIF($BC$207:BC364,"FG"),COUNTIF($BC$207:BC364,"BL"))),2),IF(AND(HOUR(AC365)=HOUR($F$186),DAY(AC365)=DAY($F$186)),MID(INDEX($A$187:$B$211,MATCH("OBV",$A$187:$A$211,0),2),7,2),""))</f>
        <v/>
      </c>
      <c r="BD365" s="112"/>
      <c r="BE365" s="112"/>
      <c r="BF365" s="112"/>
      <c r="BG365" s="1610" t="str">
        <f t="shared" si="200"/>
        <v/>
      </c>
      <c r="BH365" s="115" t="str">
        <f t="shared" si="211"/>
        <v/>
      </c>
      <c r="BI365" s="200" t="str">
        <f t="shared" si="222"/>
        <v/>
      </c>
      <c r="BJ365" s="62" t="str">
        <f t="shared" si="221"/>
        <v/>
      </c>
      <c r="BK365" s="1145" t="str">
        <f t="shared" si="229"/>
        <v/>
      </c>
      <c r="BL365" s="62" t="str">
        <f t="shared" si="223"/>
        <v/>
      </c>
      <c r="BM365" s="1145" t="str">
        <f t="shared" si="230"/>
        <v/>
      </c>
      <c r="BN365" s="1901" t="str">
        <f t="shared" si="199"/>
        <v/>
      </c>
      <c r="BO365" s="1144" t="str">
        <f t="shared" si="224"/>
        <v/>
      </c>
      <c r="BP365" s="106" t="str">
        <f t="shared" si="228"/>
        <v/>
      </c>
      <c r="BQ365" s="66" t="str">
        <f t="shared" si="225"/>
        <v/>
      </c>
      <c r="BR365" s="106" t="str">
        <f t="shared" si="226"/>
        <v/>
      </c>
      <c r="BS365" s="834" t="str">
        <f t="shared" si="233"/>
        <v/>
      </c>
      <c r="BT365" s="106" t="str">
        <f t="shared" si="227"/>
        <v/>
      </c>
      <c r="BU365" s="834" t="str">
        <f t="shared" si="231"/>
        <v/>
      </c>
      <c r="BV365" s="66" t="str">
        <f t="shared" si="213"/>
        <v/>
      </c>
      <c r="BW365" s="66" t="str">
        <f t="shared" si="214"/>
        <v/>
      </c>
      <c r="BX365" s="1198">
        <f t="shared" si="238"/>
        <v>7</v>
      </c>
      <c r="BY365" s="1146" t="str">
        <f t="shared" si="219"/>
        <v>NSW</v>
      </c>
      <c r="CA365" s="3675">
        <f t="shared" si="232"/>
        <v>44753.625</v>
      </c>
      <c r="CB365" s="3675"/>
    </row>
    <row r="366" spans="1:80" ht="10.5">
      <c r="A366" s="1050" t="str">
        <f>IF(ISNUMBER(FIND("UTC",B366)),MID(B366,FIND("UTC",B366),3),IF(ISNUMBER(FIND("NAM",B366)),LEFT(B366,3),MID(B366,2,3)))</f>
        <v>UTC</v>
      </c>
      <c r="B366" s="106" t="str">
        <f>Worksheet!L346</f>
        <v xml:space="preserve"> KFTK   NAM MOS GUIDANCE    7/05/2022  1200 UTC                      </v>
      </c>
      <c r="AC366" s="977">
        <f t="shared" si="216"/>
        <v>44753.666666666664</v>
      </c>
      <c r="AE366" s="1149" t="str">
        <f>IF(AND(HOUR(AC366)=HOUR($F$186),DAY(AC366)=DAY($F$186)),(MID($B$189,6,3))*1,IF(AND(ISNUMBER(AE365),AC366&lt;$F$186+1+(1/25)),(MID($B$189,6+(3*COUNT($AE$207:AE365)),3))*1,""))</f>
        <v/>
      </c>
      <c r="AF366" s="1164" t="e">
        <f t="shared" si="234"/>
        <v>#VALUE!</v>
      </c>
      <c r="AG366" s="1150">
        <f t="shared" si="203"/>
        <v>80.000000000000014</v>
      </c>
      <c r="AH366" s="1163" t="str">
        <f>IF(AND(ISNUMBER(AH365),AC366&lt;$F$186+26/25),(MID($B$190,6+(3*COUNT($AH$207:AH365)),3))*1,IF(AND(HOUR(AC366)=HOUR($F$186),DAY(AC366)=DAY($F$186)),(MID($B$190,6,3))*1,""))</f>
        <v/>
      </c>
      <c r="AI366" s="200"/>
      <c r="AJ366" s="1164" t="e">
        <f t="shared" si="204"/>
        <v>#VALUE!</v>
      </c>
      <c r="AK366" s="1150">
        <f t="shared" si="205"/>
        <v>72.8</v>
      </c>
      <c r="AL366" s="1152" t="e">
        <f t="shared" si="235"/>
        <v>#VALUE!</v>
      </c>
      <c r="AM366" s="1153">
        <f t="shared" si="206"/>
        <v>29.956666666666667</v>
      </c>
      <c r="AN366" s="1147"/>
      <c r="AO366" s="976" t="str">
        <f>IF(BA366="Y",AP366,IF(AND(ISNUMBER(AO365),AC366&lt;$F$186+26/25),(MID(INDEX($A$187:$B$210,MATCH("CIG",$A$187:$A$210,0),2),8+(3*COUNT($AO$207:AO365)),1))*1,IF(AND(HOUR(AC366)=HOUR($F$186),DAY(AC366)=DAY($F$186)),(MID(INDEX($A$187:$B$210,MATCH("CIG",$A$187:$A$210,0),2),8,1))*1,"")))</f>
        <v/>
      </c>
      <c r="AQ366" s="1061" t="str">
        <f>IF(AND(AQ365&lt;&gt;"",AC366&lt;$F$186+26/25),MID(INDEX($A$187:$B$210,MATCH("CLD",$A$187:$A$210,0),2),7+(3*SUM(COUNTIF($AQ$207:AQ365,"OV"),COUNTIF($AQ$207:AQ365,"BK"),COUNTIF($AQ$207:AQ365,"SC"),COUNTIF($AQ$207:AQ365,"FW"),COUNTIF($AQ$207:AQ365,"CL"))),2),IF(AND(HOUR(AC366)=HOUR($F$186),DAY(AC366)=DAY($F$186)),MID(INDEX($A$187:$B$210,MATCH("CLD",$A$187:$A$210,0),2),7,2),""))</f>
        <v/>
      </c>
      <c r="AR366" s="1149" t="str">
        <f t="shared" si="207"/>
        <v/>
      </c>
      <c r="AS366" s="1150" t="str">
        <f t="shared" si="208"/>
        <v/>
      </c>
      <c r="AT366" s="112" t="str">
        <f t="shared" si="209"/>
        <v/>
      </c>
      <c r="AU366" s="1610" t="str">
        <f t="shared" si="210"/>
        <v/>
      </c>
      <c r="AV366" s="1148">
        <f t="shared" si="236"/>
        <v>40</v>
      </c>
      <c r="AW366" s="920" t="str">
        <f t="shared" si="239"/>
        <v>SCT</v>
      </c>
      <c r="AX366" s="1608">
        <f t="shared" si="237"/>
        <v>20</v>
      </c>
      <c r="AY366" s="112" t="str">
        <f>IF(BA366="Y",AZ366,IF(AND(ISNUMBER(AY365),AC366&lt;$F$186+26/25),(MID(INDEX($A$187:$B$210,MATCH("VIS",$A$187:$A$210,0),2),8+(3*COUNT($AY$207:AY365)),1))*1,IF(AND(HOUR(AC366)=HOUR($F$186),DAY(AC366)=DAY($F$186)),(MID(INDEX($A$187:$B$210,MATCH("VIS",$A$187:$A$210,0),2),8,1))*1,"")))</f>
        <v/>
      </c>
      <c r="AZ366" s="112" t="str">
        <f>IF(AND(ISNUMBER(AZ365),AC366&lt;$F$186+26/25),(MID(INDEX($A$187:$B$210,MATCH("CVS",$A$187:$A$210,0),2),8+(3*COUNT($AZ$207:AZ365)),1))*1,IF(AND(HOUR(AC366)=HOUR($F$186),DAY(AC366)=DAY($F$186)),(MID(INDEX($A$187:$B$210,MATCH("CVS",$A$187:$A$210,0),2),8,1))*1,""))</f>
        <v/>
      </c>
      <c r="BA366" s="1610" t="str">
        <f>IF(AND(BA365&lt;&gt;"",AC366&lt;$F$186+26/25),MID(INDEX($A$187:$B$210,MATCH("PCO",$A$187:$A$210,0),2),8+(3*SUM(COUNTIF($BA$207:BA365,"Y"),COUNTIF($BA$207:BA365,"N"))),1),IF(AND(HOUR(AC366)=HOUR($F$186),DAY(AC366)=DAY($F$186)),MID(INDEX($A$187:$B$210,MATCH("PCO",$A$187:$A$210,0),2),8,1),""))</f>
        <v/>
      </c>
      <c r="BB366" s="1610" t="e">
        <f>IF(AND(BB365&lt;&gt;"",AC366&lt;$F$186+26/25),MID(INDEX($A$187:$B$210,MATCH("TYP",$A$187:$A$210,0),2),8+(3*SUM(COUNTIF($BB$207:BB365,"S"),COUNTIF($BB$207:BB365,"Z"), COUNTIF($BB$207:BB365,"R"),COUNTIF($BB$207:BB365,"X"))),1),IF(AND(HOUR(AC366)=HOUR($F$186),DAY(AC366)=DAY($F$186)),MID(INDEX($A$187:$B$210,MATCH("TYP",$A$187:$A$210,0),2),8,1),""))</f>
        <v>#N/A</v>
      </c>
      <c r="BC366" s="112" t="str">
        <f>IF(AND(LEN(BC365)=2,AC366&lt;$F$186+26/25),MID(INDEX($A$187:$B$211,MATCH("OBV",$A$187:$A$211,0),2),7+(3*SUM(COUNTIF($BC$207:BC365," N"),COUNTIF($BC$207:BC365,"HZ"),COUNTIF($BC$207:BC365,"BR"),COUNTIF($BC$207:BC365,"FG"),COUNTIF($BC$207:BC365,"BL"))),2),IF(AND(HOUR(AC366)=HOUR($F$186),DAY(AC366)=DAY($F$186)),MID(INDEX($A$187:$B$211,MATCH("OBV",$A$187:$A$211,0),2),7,2),""))</f>
        <v/>
      </c>
      <c r="BD366" s="112"/>
      <c r="BE366" s="112"/>
      <c r="BF366" s="112"/>
      <c r="BG366" s="1610" t="str">
        <f t="shared" si="200"/>
        <v/>
      </c>
      <c r="BH366" s="115" t="str">
        <f t="shared" si="211"/>
        <v/>
      </c>
      <c r="BI366" s="200" t="str">
        <f t="shared" si="222"/>
        <v/>
      </c>
      <c r="BJ366" s="62" t="str">
        <f t="shared" si="221"/>
        <v/>
      </c>
      <c r="BK366" s="1145" t="str">
        <f t="shared" si="229"/>
        <v/>
      </c>
      <c r="BL366" s="62" t="str">
        <f t="shared" si="223"/>
        <v/>
      </c>
      <c r="BM366" s="1145" t="str">
        <f t="shared" si="230"/>
        <v/>
      </c>
      <c r="BN366" s="1901" t="str">
        <f t="shared" si="199"/>
        <v/>
      </c>
      <c r="BO366" s="1144" t="str">
        <f t="shared" si="224"/>
        <v/>
      </c>
      <c r="BP366" s="106" t="str">
        <f t="shared" si="228"/>
        <v/>
      </c>
      <c r="BQ366" s="66" t="str">
        <f t="shared" si="225"/>
        <v/>
      </c>
      <c r="BR366" s="106" t="str">
        <f t="shared" si="226"/>
        <v/>
      </c>
      <c r="BS366" s="834" t="str">
        <f t="shared" si="233"/>
        <v/>
      </c>
      <c r="BT366" s="106" t="str">
        <f t="shared" si="227"/>
        <v/>
      </c>
      <c r="BU366" s="834" t="str">
        <f t="shared" si="231"/>
        <v/>
      </c>
      <c r="BV366" s="66" t="str">
        <f t="shared" si="213"/>
        <v/>
      </c>
      <c r="BW366" s="66" t="str">
        <f t="shared" si="214"/>
        <v/>
      </c>
      <c r="BX366" s="1198">
        <f t="shared" si="238"/>
        <v>6</v>
      </c>
      <c r="BY366" s="1146" t="str">
        <f t="shared" si="219"/>
        <v>RA</v>
      </c>
      <c r="CA366" s="3675">
        <f t="shared" si="232"/>
        <v>44753.666666666664</v>
      </c>
      <c r="CB366" s="3675"/>
    </row>
    <row r="367" spans="1:80" ht="10.5">
      <c r="A367" s="1050" t="str">
        <f t="shared" ref="A367:A390" si="240">IF(ISNUMBER(FIND("UTC",B367)),MID(B367,FIND("UTC",B367),3),IF(ISNUMBER(FIND("NAM",B367)),LEFT(B367,3),MID(B367,2,3)))</f>
        <v xml:space="preserve">DT </v>
      </c>
      <c r="B367" s="106" t="str">
        <f>Worksheet!L347</f>
        <v xml:space="preserve"> DT /JULY  5/JULY  6                /JULY  7                /JULY  8 </v>
      </c>
      <c r="AC367" s="977">
        <f t="shared" si="216"/>
        <v>44753.708333333328</v>
      </c>
      <c r="AE367" s="1149" t="str">
        <f>IF(AND(HOUR(AC367)=HOUR($F$186),DAY(AC367)=DAY($F$186)),(MID($B$189,6,3))*1,IF(AND(ISNUMBER(AE366),AC367&lt;$F$186+1+(1/25)),(MID($B$189,6+(3*COUNT($AE$207:AE366)),3))*1,""))</f>
        <v/>
      </c>
      <c r="AF367" s="1164" t="e">
        <f t="shared" si="234"/>
        <v>#VALUE!</v>
      </c>
      <c r="AG367" s="1150">
        <f t="shared" si="203"/>
        <v>81.2</v>
      </c>
      <c r="AH367" s="1163" t="str">
        <f>IF(AND(ISNUMBER(AH366),AC367&lt;$F$186+26/25),(MID($B$190,6+(3*COUNT($AH$207:AH366)),3))*1,IF(AND(HOUR(AC367)=HOUR($F$186),DAY(AC367)=DAY($F$186)),(MID($B$190,6,3))*1,""))</f>
        <v/>
      </c>
      <c r="AI367" s="200"/>
      <c r="AJ367" s="1164" t="e">
        <f t="shared" si="204"/>
        <v>#VALUE!</v>
      </c>
      <c r="AK367" s="1150">
        <f t="shared" si="205"/>
        <v>72.2</v>
      </c>
      <c r="AL367" s="1152" t="e">
        <f t="shared" si="235"/>
        <v>#VALUE!</v>
      </c>
      <c r="AM367" s="1153">
        <f t="shared" si="206"/>
        <v>29.943333333333332</v>
      </c>
      <c r="AN367" s="1147"/>
      <c r="AO367" s="976" t="str">
        <f>IF(BA367="Y",AP367,IF(AND(ISNUMBER(AO366),AC367&lt;$F$186+26/25),(MID(INDEX($A$187:$B$210,MATCH("CIG",$A$187:$A$210,0),2),8+(3*COUNT($AO$207:AO366)),1))*1,IF(AND(HOUR(AC367)=HOUR($F$186),DAY(AC367)=DAY($F$186)),(MID(INDEX($A$187:$B$210,MATCH("CIG",$A$187:$A$210,0),2),8,1))*1,"")))</f>
        <v/>
      </c>
      <c r="AQ367" s="1061" t="str">
        <f>IF(AND(AQ366&lt;&gt;"",AC367&lt;$F$186+26/25),MID(INDEX($A$187:$B$210,MATCH("CLD",$A$187:$A$210,0),2),7+(3*SUM(COUNTIF($AQ$207:AQ366,"OV"),COUNTIF($AQ$207:AQ366,"BK"),COUNTIF($AQ$207:AQ366,"SC"),COUNTIF($AQ$207:AQ366,"FW"),COUNTIF($AQ$207:AQ366,"CL"))),2),IF(AND(HOUR(AC367)=HOUR($F$186),DAY(AC367)=DAY($F$186)),MID(INDEX($A$187:$B$210,MATCH("CLD",$A$187:$A$210,0),2),7,2),""))</f>
        <v/>
      </c>
      <c r="AR367" s="1149" t="str">
        <f t="shared" si="207"/>
        <v/>
      </c>
      <c r="AS367" s="1150" t="str">
        <f t="shared" si="208"/>
        <v/>
      </c>
      <c r="AT367" s="112" t="str">
        <f t="shared" si="209"/>
        <v/>
      </c>
      <c r="AU367" s="1610" t="str">
        <f t="shared" si="210"/>
        <v/>
      </c>
      <c r="AV367" s="1148">
        <f t="shared" si="236"/>
        <v>40</v>
      </c>
      <c r="AW367" s="920" t="str">
        <f t="shared" si="239"/>
        <v>SCT</v>
      </c>
      <c r="AX367" s="1608">
        <f t="shared" si="237"/>
        <v>20</v>
      </c>
      <c r="AY367" s="112" t="str">
        <f>IF(BA367="Y",AZ367,IF(AND(ISNUMBER(AY366),AC367&lt;$F$186+26/25),(MID(INDEX($A$187:$B$210,MATCH("VIS",$A$187:$A$210,0),2),8+(3*COUNT($AY$207:AY366)),1))*1,IF(AND(HOUR(AC367)=HOUR($F$186),DAY(AC367)=DAY($F$186)),(MID(INDEX($A$187:$B$210,MATCH("VIS",$A$187:$A$210,0),2),8,1))*1,"")))</f>
        <v/>
      </c>
      <c r="AZ367" s="112" t="str">
        <f>IF(AND(ISNUMBER(AZ366),AC367&lt;$F$186+26/25),(MID(INDEX($A$187:$B$210,MATCH("CVS",$A$187:$A$210,0),2),8+(3*COUNT($AZ$207:AZ366)),1))*1,IF(AND(HOUR(AC367)=HOUR($F$186),DAY(AC367)=DAY($F$186)),(MID(INDEX($A$187:$B$210,MATCH("CVS",$A$187:$A$210,0),2),8,1))*1,""))</f>
        <v/>
      </c>
      <c r="BA367" s="1610" t="str">
        <f>IF(AND(BA366&lt;&gt;"",AC367&lt;$F$186+26/25),MID(INDEX($A$187:$B$210,MATCH("PCO",$A$187:$A$210,0),2),8+(3*SUM(COUNTIF($BA$207:BA366,"Y"),COUNTIF($BA$207:BA366,"N"))),1),IF(AND(HOUR(AC367)=HOUR($F$186),DAY(AC367)=DAY($F$186)),MID(INDEX($A$187:$B$210,MATCH("PCO",$A$187:$A$210,0),2),8,1),""))</f>
        <v/>
      </c>
      <c r="BB367" s="1610" t="e">
        <f>IF(AND(BB366&lt;&gt;"",AC367&lt;$F$186+26/25),MID(INDEX($A$187:$B$210,MATCH("TYP",$A$187:$A$210,0),2),8+(3*SUM(COUNTIF($BB$207:BB366,"S"),COUNTIF($BB$207:BB366,"Z"), COUNTIF($BB$207:BB366,"R"),COUNTIF($BB$207:BB366,"X"))),1),IF(AND(HOUR(AC367)=HOUR($F$186),DAY(AC367)=DAY($F$186)),MID(INDEX($A$187:$B$210,MATCH("TYP",$A$187:$A$210,0),2),8,1),""))</f>
        <v>#N/A</v>
      </c>
      <c r="BC367" s="112" t="str">
        <f>IF(AND(LEN(BC366)=2,AC367&lt;$F$186+26/25),MID(INDEX($A$187:$B$211,MATCH("OBV",$A$187:$A$211,0),2),7+(3*SUM(COUNTIF($BC$207:BC366," N"),COUNTIF($BC$207:BC366,"HZ"),COUNTIF($BC$207:BC366,"BR"),COUNTIF($BC$207:BC366,"FG"),COUNTIF($BC$207:BC366,"BL"))),2),IF(AND(HOUR(AC367)=HOUR($F$186),DAY(AC367)=DAY($F$186)),MID(INDEX($A$187:$B$211,MATCH("OBV",$A$187:$A$211,0),2),7,2),""))</f>
        <v/>
      </c>
      <c r="BD367" s="112"/>
      <c r="BE367" s="112"/>
      <c r="BF367" s="112"/>
      <c r="BG367" s="1610" t="str">
        <f t="shared" si="200"/>
        <v/>
      </c>
      <c r="BH367" s="115" t="str">
        <f t="shared" si="211"/>
        <v/>
      </c>
      <c r="BI367" s="200" t="str">
        <f t="shared" si="222"/>
        <v/>
      </c>
      <c r="BJ367" s="62" t="str">
        <f t="shared" si="221"/>
        <v/>
      </c>
      <c r="BK367" s="1145" t="str">
        <f t="shared" si="229"/>
        <v/>
      </c>
      <c r="BL367" s="62" t="str">
        <f t="shared" si="223"/>
        <v/>
      </c>
      <c r="BM367" s="1145" t="str">
        <f t="shared" si="230"/>
        <v/>
      </c>
      <c r="BN367" s="1901" t="str">
        <f t="shared" si="199"/>
        <v/>
      </c>
      <c r="BO367" s="1144" t="str">
        <f t="shared" si="224"/>
        <v/>
      </c>
      <c r="BP367" s="106" t="str">
        <f t="shared" si="228"/>
        <v/>
      </c>
      <c r="BQ367" s="66" t="str">
        <f t="shared" si="225"/>
        <v/>
      </c>
      <c r="BR367" s="106" t="str">
        <f t="shared" si="226"/>
        <v/>
      </c>
      <c r="BS367" s="834" t="str">
        <f t="shared" si="233"/>
        <v/>
      </c>
      <c r="BT367" s="106" t="str">
        <f t="shared" si="227"/>
        <v/>
      </c>
      <c r="BU367" s="834" t="str">
        <f t="shared" si="231"/>
        <v/>
      </c>
      <c r="BV367" s="66" t="str">
        <f t="shared" si="213"/>
        <v/>
      </c>
      <c r="BW367" s="66" t="str">
        <f t="shared" si="214"/>
        <v/>
      </c>
      <c r="BX367" s="1198">
        <f t="shared" si="238"/>
        <v>5</v>
      </c>
      <c r="BY367" s="1146" t="str">
        <f t="shared" si="219"/>
        <v>RA</v>
      </c>
      <c r="CA367" s="3675">
        <f t="shared" si="232"/>
        <v>44753.708333333328</v>
      </c>
      <c r="CB367" s="3675"/>
    </row>
    <row r="368" spans="1:80" ht="10.5">
      <c r="A368" s="1050" t="str">
        <f>IF(ISNUMBER(FIND("UTC",B368)),MID(B368,FIND("UTC",B368),3),IF(ISNUMBER(FIND("NAM",B368)),LEFT(B368,3),MID(B368,2,3)))</f>
        <v xml:space="preserve">HR </v>
      </c>
      <c r="B368" s="106" t="str">
        <f>Worksheet!L348</f>
        <v xml:space="preserve"> HR   18 21 00 03 06 09 12 15 18 21 00 03 06 09 12 15 18 21 00 06 12 </v>
      </c>
      <c r="AC368" s="977">
        <f t="shared" si="216"/>
        <v>44753.75</v>
      </c>
      <c r="AE368" s="1149" t="str">
        <f>IF(AND(HOUR(AC368)=HOUR($F$186),DAY(AC368)=DAY($F$186)),(MID($B$189,6,3))*1,IF(AND(ISNUMBER(AE367),AC368&lt;$F$186+1+(1/25)),(MID($B$189,6+(3*COUNT($AE$207:AE367)),3))*1,""))</f>
        <v/>
      </c>
      <c r="AF368" s="1164" t="e">
        <f t="shared" si="234"/>
        <v>#VALUE!</v>
      </c>
      <c r="AG368" s="1150">
        <f t="shared" si="203"/>
        <v>82.4</v>
      </c>
      <c r="AH368" s="1163" t="str">
        <f>IF(AND(ISNUMBER(AH367),AC368&lt;$F$186+26/25),(MID($B$190,6+(3*COUNT($AH$207:AH367)),3))*1,IF(AND(HOUR(AC368)=HOUR($F$186),DAY(AC368)=DAY($F$186)),(MID($B$190,6,3))*1,""))</f>
        <v/>
      </c>
      <c r="AI368" s="200"/>
      <c r="AJ368" s="1164" t="e">
        <f t="shared" si="204"/>
        <v>#VALUE!</v>
      </c>
      <c r="AK368" s="1150">
        <f t="shared" si="205"/>
        <v>71.599999999999994</v>
      </c>
      <c r="AL368" s="1152" t="e">
        <f t="shared" si="235"/>
        <v>#VALUE!</v>
      </c>
      <c r="AM368" s="1153">
        <f t="shared" si="206"/>
        <v>29.93</v>
      </c>
      <c r="AN368" s="1147"/>
      <c r="AO368" s="976" t="str">
        <f>IF(BA368="Y",AP368,IF(AND(ISNUMBER(AO367),AC368&lt;$F$186+26/25),(MID(INDEX($A$187:$B$210,MATCH("CIG",$A$187:$A$210,0),2),8+(3*COUNT($AO$207:AO367)),1))*1,IF(AND(HOUR(AC368)=HOUR($F$186),DAY(AC368)=DAY($F$186)),(MID(INDEX($A$187:$B$210,MATCH("CIG",$A$187:$A$210,0),2),8,1))*1,"")))</f>
        <v/>
      </c>
      <c r="AQ368" s="1061" t="str">
        <f>IF(AND(AQ367&lt;&gt;"",AC368&lt;$F$186+26/25),MID(INDEX($A$187:$B$210,MATCH("CLD",$A$187:$A$210,0),2),7+(3*SUM(COUNTIF($AQ$207:AQ367,"OV"),COUNTIF($AQ$207:AQ367,"BK"),COUNTIF($AQ$207:AQ367,"SC"),COUNTIF($AQ$207:AQ367,"FW"),COUNTIF($AQ$207:AQ367,"CL"))),2),IF(AND(HOUR(AC368)=HOUR($F$186),DAY(AC368)=DAY($F$186)),MID(INDEX($A$187:$B$210,MATCH("CLD",$A$187:$A$210,0),2),7,2),""))</f>
        <v/>
      </c>
      <c r="AR368" s="1149" t="str">
        <f t="shared" ref="AR368:AR389" si="241">IF(OR(AC368&lt;($F$373-0.001),AC368&gt;($F$374+0.001)),"",IF(AC368-$F$373&lt;2.24,IF(MOD(HOUR(AC368),3)=0,(MID(INDEX($A$369:$B$392,MATCH("CIG",$A$369:$A$392,0),2),8+(3*(AC368-$F$373)*8),1))*1,IF(MOD(HOUR(AC367),3)=0,AR367,AR369)),IF(MOD(HOUR(AC368),6)=0,(MID(INDEX($A$369:$B$392,MATCH("CIG",$A$369:$A$392,0),2),62+(3*(ROUND(((AC368-$F$373)-2.25)*4,1))),1))*1,"")))</f>
        <v/>
      </c>
      <c r="AS368" s="1150" t="str">
        <f t="shared" ref="AS368:AS389" si="242">IF(OR(AC368&lt;($F$373-0.001),AC368&gt;($F$374+0.001)),"",IF(AC368-$F$373&lt;2.24,IF(MOD(HOUR(AC368),3)=0,(MID(INDEX($A$369:$B$392,MATCH("CLD",$A$369:$A$392,0),2),7+(3*(AC368-$F$373)*8),2)),IF(MOD(HOUR(AC367),3)=0,AS367,AS369)),IF(MOD(HOUR(AC368),6)=0,(MID(INDEX($A$369:$B$392,MATCH("CLD",$A$369:$A$392,0),2),61+(3*(ROUND(((AC368-$F$373)-2.25)*4,1))),2)),"")))</f>
        <v/>
      </c>
      <c r="AT368" s="112" t="str">
        <f t="shared" ref="AT368:AT389" si="243">IF(OR(AC368&lt;($F$345-0.001),AC368&gt;($F$346+0.001)),"",IF(AC368-$F$345&lt;2.24,IF(MOD(HOUR(AC368),3)=0,(MID(INDEX($A$344:$B$369,MATCH("CIG",$A$344:$A$369,0),2),8+(3*(AC368-$F$345)*8),1))*1,IF(MOD(HOUR(AC367),3)=0,AT367,AT369)),IF(MOD(HOUR(AC368),6)=0,(MID(INDEX($A$344:$B$369,MATCH("CIG",$A$344:$A$369,0),2),62+(3*(ROUND(((AC368-$F$345)-2.25)*4,1))),1))*1,"")))</f>
        <v/>
      </c>
      <c r="AU368" s="1610" t="str">
        <f t="shared" ref="AU368:AU389" si="244">IF(OR(AC368&lt;($F$345-0.001),AC368&gt;($F$346+0.001)),"",IF(AC368-$F$345&lt;2.24,IF(MOD(HOUR(AC368),3)=0,(MID(INDEX($A$344:$B$369,MATCH("CLD",$A$344:$A$369,0),2),7+(3*(AC368-$F$345)*8),2)),IF(MOD(HOUR(AC367),3)=0,AU367,AU369)),IF(MOD(HOUR(AC368),6)=0,(MID(INDEX($A$344:$B$369,MATCH("CLD",$A$344:$A$369,0),2),61+(3*(ROUND(((AC368-$F$345)-2.25)*4,1))),2)),"")))</f>
        <v/>
      </c>
      <c r="AV368" s="1148">
        <f t="shared" si="236"/>
        <v>40</v>
      </c>
      <c r="AW368" s="920" t="str">
        <f t="shared" si="239"/>
        <v>SCT</v>
      </c>
      <c r="AX368" s="1608">
        <f t="shared" si="237"/>
        <v>20</v>
      </c>
      <c r="AY368" s="112" t="str">
        <f>IF(BA368="Y",AZ368,IF(AND(ISNUMBER(AY367),AC368&lt;$F$186+26/25),(MID(INDEX($A$187:$B$210,MATCH("VIS",$A$187:$A$210,0),2),8+(3*COUNT($AY$207:AY367)),1))*1,IF(AND(HOUR(AC368)=HOUR($F$186),DAY(AC368)=DAY($F$186)),(MID(INDEX($A$187:$B$210,MATCH("VIS",$A$187:$A$210,0),2),8,1))*1,"")))</f>
        <v/>
      </c>
      <c r="AZ368" s="112" t="str">
        <f>IF(AND(ISNUMBER(AZ367),AC368&lt;$F$186+26/25),(MID(INDEX($A$187:$B$210,MATCH("CVS",$A$187:$A$210,0),2),8+(3*COUNT($AZ$207:AZ367)),1))*1,IF(AND(HOUR(AC368)=HOUR($F$186),DAY(AC368)=DAY($F$186)),(MID(INDEX($A$187:$B$210,MATCH("CVS",$A$187:$A$210,0),2),8,1))*1,""))</f>
        <v/>
      </c>
      <c r="BA368" s="1610" t="str">
        <f>IF(AND(BA367&lt;&gt;"",AC368&lt;$F$186+26/25),MID(INDEX($A$187:$B$210,MATCH("PCO",$A$187:$A$210,0),2),8+(3*SUM(COUNTIF($BA$207:BA367,"Y"),COUNTIF($BA$207:BA367,"N"))),1),IF(AND(HOUR(AC368)=HOUR($F$186),DAY(AC368)=DAY($F$186)),MID(INDEX($A$187:$B$210,MATCH("PCO",$A$187:$A$210,0),2),8,1),""))</f>
        <v/>
      </c>
      <c r="BB368" s="1610" t="e">
        <f>IF(AND(BB367&lt;&gt;"",AC368&lt;$F$186+26/25),MID(INDEX($A$187:$B$210,MATCH("TYP",$A$187:$A$210,0),2),8+(3*SUM(COUNTIF($BB$207:BB367,"S"),COUNTIF($BB$207:BB367,"Z"), COUNTIF($BB$207:BB367,"R"),COUNTIF($BB$207:BB367,"X"))),1),IF(AND(HOUR(AC368)=HOUR($F$186),DAY(AC368)=DAY($F$186)),MID(INDEX($A$187:$B$210,MATCH("TYP",$A$187:$A$210,0),2),8,1),""))</f>
        <v>#N/A</v>
      </c>
      <c r="BC368" s="112" t="str">
        <f>IF(AND(LEN(BC367)=2,AC368&lt;$F$186+26/25),MID(INDEX($A$187:$B$211,MATCH("OBV",$A$187:$A$211,0),2),7+(3*SUM(COUNTIF($BC$207:BC367," N"),COUNTIF($BC$207:BC367,"HZ"),COUNTIF($BC$207:BC367,"BR"),COUNTIF($BC$207:BC367,"FG"),COUNTIF($BC$207:BC367,"BL"))),2),IF(AND(HOUR(AC368)=HOUR($F$186),DAY(AC368)=DAY($F$186)),MID(INDEX($A$187:$B$211,MATCH("OBV",$A$187:$A$211,0),2),7,2),""))</f>
        <v/>
      </c>
      <c r="BD368" s="112"/>
      <c r="BE368" s="112"/>
      <c r="BF368" s="112"/>
      <c r="BG368" s="1610" t="str">
        <f t="shared" si="200"/>
        <v/>
      </c>
      <c r="BH368" s="115" t="str">
        <f t="shared" ref="BH368:BH389" si="245">IF(OR(AC368&lt;($F$373-0.001),AC368&gt;($F$374+0.001)),"",IF(AC368-$F$373&lt;2.24,IF(MOD(HOUR(AC368),3)=0,(MID(INDEX($A$370:$B$392,MATCH("VIS",$A$370:$A$392,0),2),8+(3*(AC368-$F$373)*8),1))*1,IF(MOD(HOUR(AC367),3)=0,BH367,BH369)),IF(MOD(HOUR(AC368),6)=0,(MID(INDEX($A$370:$B$392,MATCH("VIS",$A$370:$A$392,0),2),62+(3*(ROUND(((AC368-$F$373)-2.25)*4,1))),1))*1,"")))</f>
        <v/>
      </c>
      <c r="BI368" s="200" t="str">
        <f t="shared" si="222"/>
        <v/>
      </c>
      <c r="BJ368" s="62" t="str">
        <f t="shared" si="221"/>
        <v/>
      </c>
      <c r="BK368" s="1145" t="str">
        <f t="shared" si="229"/>
        <v/>
      </c>
      <c r="BL368" s="62" t="str">
        <f t="shared" si="223"/>
        <v/>
      </c>
      <c r="BM368" s="1145" t="str">
        <f t="shared" si="230"/>
        <v/>
      </c>
      <c r="BN368" s="1901" t="str">
        <f t="shared" si="199"/>
        <v/>
      </c>
      <c r="BO368" s="1144" t="str">
        <f t="shared" si="224"/>
        <v/>
      </c>
      <c r="BP368" s="106" t="str">
        <f t="shared" si="228"/>
        <v/>
      </c>
      <c r="BQ368" s="66" t="str">
        <f t="shared" si="225"/>
        <v/>
      </c>
      <c r="BR368" s="106" t="str">
        <f t="shared" si="226"/>
        <v/>
      </c>
      <c r="BS368" s="834" t="str">
        <f t="shared" si="233"/>
        <v/>
      </c>
      <c r="BT368" s="106" t="str">
        <f t="shared" si="227"/>
        <v/>
      </c>
      <c r="BU368" s="834" t="str">
        <f t="shared" si="231"/>
        <v/>
      </c>
      <c r="BV368" s="66" t="str">
        <f t="shared" ref="BV368:BV389" si="246">IF(OR($AC368&lt;($F$345-0.001),$AC368&gt;($F$346+0.001)),"",IF($AC368-$F$345&lt;2.24,IF(MOD(HOUR($AC368),3)=0,MID(INDEX($A$344:$B$369,MATCH("OBV",$A$344:$A$369,0),2),7+(3*($AC368-$F$345)*8),2),IF(MOD(HOUR($AC367),3)=0,BV367,BV369)),IF(MOD(HOUR($AC368),6)=0,MID(INDEX($A$344:$B$369,MATCH("OBV",$A$344:$A$369,0),2),61+(3*(ROUND((($AC368-$F$345)-2.25)*4,2))),2),"")))</f>
        <v/>
      </c>
      <c r="BW368" s="66" t="str">
        <f t="shared" ref="BW368:BW389" si="247">IF(OR($AC368&lt;($F$345-0.001),$AC368&gt;($F$346+0.001)),"",IF($AC368-$F$345&lt;2.24,IF(MOD(HOUR($AC368),3)=0,MID(INDEX($A$344:$B$369,MATCH("TYP",$A$344:$A$369,0),2),7+(3*($AC368-$F$345)*8),2),IF(MOD(HOUR($AC367),3)=0,BW367,BW369)),IF(MOD(HOUR($AC368),6)=0,MID(INDEX($A$344:$B$369,MATCH("TYP",$A$344:$A$369,0),2),61+(3*(ROUND((($AC368-$F$345)-2.25)*4,2))),2),"")))</f>
        <v/>
      </c>
      <c r="BX368" s="1198">
        <f t="shared" si="238"/>
        <v>4</v>
      </c>
      <c r="BY368" s="1146" t="str">
        <f t="shared" si="219"/>
        <v>RA</v>
      </c>
      <c r="CA368" s="3675">
        <f t="shared" si="232"/>
        <v>44753.75</v>
      </c>
      <c r="CB368" s="3675"/>
    </row>
    <row r="369" spans="1:80" ht="10.5">
      <c r="A369" s="1050" t="str">
        <f t="shared" si="240"/>
        <v>N/X</v>
      </c>
      <c r="B369" s="106" t="str">
        <f>Worksheet!L349</f>
        <v xml:space="preserve"> N/X                    75          92          76          89    73 </v>
      </c>
      <c r="AC369" s="977">
        <f t="shared" si="216"/>
        <v>44753.791666666664</v>
      </c>
      <c r="AE369" s="1149" t="str">
        <f>IF(AND(HOUR(AC369)=HOUR($F$186),DAY(AC369)=DAY($F$186)),(MID($B$189,6,3))*1,IF(AND(ISNUMBER(AE368),AC369&lt;$F$186+1+(1/25)),(MID($B$189,6+(3*COUNT($AE$207:AE368)),3))*1,""))</f>
        <v/>
      </c>
      <c r="AF369" s="1164" t="e">
        <f t="shared" si="234"/>
        <v>#VALUE!</v>
      </c>
      <c r="AG369" s="1150" t="str">
        <f t="shared" si="203"/>
        <v/>
      </c>
      <c r="AH369" s="1163" t="str">
        <f>IF(AND(ISNUMBER(AH368),AC369&lt;$F$186+26/25),(MID($B$190,6+(3*COUNT($AH$207:AH368)),3))*1,IF(AND(HOUR(AC369)=HOUR($F$186),DAY(AC369)=DAY($F$186)),(MID($B$190,6,3))*1,""))</f>
        <v/>
      </c>
      <c r="AI369" s="200"/>
      <c r="AJ369" s="1164" t="e">
        <f t="shared" si="204"/>
        <v>#VALUE!</v>
      </c>
      <c r="AK369" s="1150" t="str">
        <f t="shared" si="205"/>
        <v/>
      </c>
      <c r="AL369" s="1152" t="e">
        <f t="shared" si="235"/>
        <v>#VALUE!</v>
      </c>
      <c r="AM369" s="1153" t="str">
        <f t="shared" si="206"/>
        <v/>
      </c>
      <c r="AN369" s="1147"/>
      <c r="AO369" s="976" t="str">
        <f>IF(BA369="Y",AP369,IF(AND(ISNUMBER(AO368),AC369&lt;$F$186+26/25),(MID(INDEX($A$187:$B$210,MATCH("CIG",$A$187:$A$210,0),2),8+(3*COUNT($AO$207:AO368)),1))*1,IF(AND(HOUR(AC369)=HOUR($F$186),DAY(AC369)=DAY($F$186)),(MID(INDEX($A$187:$B$210,MATCH("CIG",$A$187:$A$210,0),2),8,1))*1,"")))</f>
        <v/>
      </c>
      <c r="AQ369" s="1061" t="str">
        <f>IF(AND(AQ368&lt;&gt;"",AC369&lt;$F$186+26/25),MID(INDEX($A$187:$B$210,MATCH("CLD",$A$187:$A$210,0),2),7+(3*SUM(COUNTIF($AQ$207:AQ368,"OV"),COUNTIF($AQ$207:AQ368,"BK"),COUNTIF($AQ$207:AQ368,"SC"),COUNTIF($AQ$207:AQ368,"FW"),COUNTIF($AQ$207:AQ368,"CL"))),2),IF(AND(HOUR(AC369)=HOUR($F$186),DAY(AC369)=DAY($F$186)),MID(INDEX($A$187:$B$210,MATCH("CLD",$A$187:$A$210,0),2),7,2),""))</f>
        <v/>
      </c>
      <c r="AR369" s="1149" t="str">
        <f t="shared" si="241"/>
        <v/>
      </c>
      <c r="AS369" s="1150" t="str">
        <f t="shared" si="242"/>
        <v/>
      </c>
      <c r="AT369" s="112" t="str">
        <f t="shared" si="243"/>
        <v/>
      </c>
      <c r="AU369" s="1610" t="str">
        <f t="shared" si="244"/>
        <v/>
      </c>
      <c r="AV369" s="1148" t="str">
        <f t="shared" si="236"/>
        <v/>
      </c>
      <c r="AW369" s="920" t="str">
        <f t="shared" si="239"/>
        <v/>
      </c>
      <c r="AX369" s="1608" t="str">
        <f t="shared" si="237"/>
        <v/>
      </c>
      <c r="AY369" s="112" t="str">
        <f>IF(BA369="Y",AZ369,IF(AND(ISNUMBER(AY368),AC369&lt;$F$186+26/25),(MID(INDEX($A$187:$B$210,MATCH("VIS",$A$187:$A$210,0),2),8+(3*COUNT($AY$207:AY368)),1))*1,IF(AND(HOUR(AC369)=HOUR($F$186),DAY(AC369)=DAY($F$186)),(MID(INDEX($A$187:$B$210,MATCH("VIS",$A$187:$A$210,0),2),8,1))*1,"")))</f>
        <v/>
      </c>
      <c r="AZ369" s="112" t="str">
        <f>IF(AND(ISNUMBER(AZ368),AC369&lt;$F$186+26/25),(MID(INDEX($A$187:$B$210,MATCH("CVS",$A$187:$A$210,0),2),8+(3*COUNT($AZ$207:AZ368)),1))*1,IF(AND(HOUR(AC369)=HOUR($F$186),DAY(AC369)=DAY($F$186)),(MID(INDEX($A$187:$B$210,MATCH("CVS",$A$187:$A$210,0),2),8,1))*1,""))</f>
        <v/>
      </c>
      <c r="BA369" s="1610" t="str">
        <f>IF(AND(BA368&lt;&gt;"",AC369&lt;$F$186+26/25),MID(INDEX($A$187:$B$210,MATCH("PCO",$A$187:$A$210,0),2),8+(3*SUM(COUNTIF($BA$207:BA368,"Y"),COUNTIF($BA$207:BA368,"N"))),1),IF(AND(HOUR(AC369)=HOUR($F$186),DAY(AC369)=DAY($F$186)),MID(INDEX($A$187:$B$210,MATCH("PCO",$A$187:$A$210,0),2),8,1),""))</f>
        <v/>
      </c>
      <c r="BB369" s="1610" t="e">
        <f>IF(AND(BB368&lt;&gt;"",AC369&lt;$F$186+26/25),MID(INDEX($A$187:$B$210,MATCH("TYP",$A$187:$A$210,0),2),8+(3*SUM(COUNTIF($BB$207:BB368,"S"),COUNTIF($BB$207:BB368,"Z"), COUNTIF($BB$207:BB368,"R"),COUNTIF($BB$207:BB368,"X"))),1),IF(AND(HOUR(AC369)=HOUR($F$186),DAY(AC369)=DAY($F$186)),MID(INDEX($A$187:$B$210,MATCH("TYP",$A$187:$A$210,0),2),8,1),""))</f>
        <v>#N/A</v>
      </c>
      <c r="BC369" s="112" t="str">
        <f>IF(AND(LEN(BC368)=2,AC369&lt;$F$186+26/25),MID(INDEX($A$187:$B$211,MATCH("OBV",$A$187:$A$211,0),2),7+(3*SUM(COUNTIF($BC$207:BC368," N"),COUNTIF($BC$207:BC368,"HZ"),COUNTIF($BC$207:BC368,"BR"),COUNTIF($BC$207:BC368,"FG"),COUNTIF($BC$207:BC368,"BL"))),2),IF(AND(HOUR(AC369)=HOUR($F$186),DAY(AC369)=DAY($F$186)),MID(INDEX($A$187:$B$211,MATCH("OBV",$A$187:$A$211,0),2),7,2),""))</f>
        <v/>
      </c>
      <c r="BD369" s="112"/>
      <c r="BE369" s="112"/>
      <c r="BF369" s="112"/>
      <c r="BG369" s="1610" t="str">
        <f t="shared" si="200"/>
        <v/>
      </c>
      <c r="BH369" s="115" t="str">
        <f t="shared" si="245"/>
        <v/>
      </c>
      <c r="BI369" s="200" t="str">
        <f t="shared" si="222"/>
        <v/>
      </c>
      <c r="BJ369" s="62" t="str">
        <f t="shared" si="221"/>
        <v/>
      </c>
      <c r="BK369" s="1145" t="str">
        <f t="shared" si="229"/>
        <v/>
      </c>
      <c r="BL369" s="62" t="str">
        <f t="shared" si="223"/>
        <v/>
      </c>
      <c r="BM369" s="1145" t="str">
        <f t="shared" si="230"/>
        <v/>
      </c>
      <c r="BN369" s="1901" t="str">
        <f t="shared" si="199"/>
        <v/>
      </c>
      <c r="BO369" s="1144" t="str">
        <f t="shared" si="224"/>
        <v/>
      </c>
      <c r="BP369" s="106" t="str">
        <f t="shared" si="228"/>
        <v/>
      </c>
      <c r="BQ369" s="66" t="str">
        <f t="shared" si="225"/>
        <v/>
      </c>
      <c r="BR369" s="106" t="str">
        <f t="shared" si="226"/>
        <v/>
      </c>
      <c r="BS369" s="834" t="str">
        <f t="shared" si="233"/>
        <v/>
      </c>
      <c r="BT369" s="106" t="str">
        <f t="shared" si="227"/>
        <v/>
      </c>
      <c r="BU369" s="834" t="str">
        <f t="shared" si="231"/>
        <v/>
      </c>
      <c r="BV369" s="66" t="str">
        <f t="shared" si="246"/>
        <v/>
      </c>
      <c r="BW369" s="66" t="str">
        <f t="shared" si="247"/>
        <v/>
      </c>
      <c r="BX369" s="1198" t="str">
        <f t="shared" si="238"/>
        <v/>
      </c>
      <c r="BY369" s="1146" t="str">
        <f t="shared" si="219"/>
        <v/>
      </c>
      <c r="CA369" s="3675">
        <f t="shared" si="232"/>
        <v>44753.791666666664</v>
      </c>
      <c r="CB369" s="3675"/>
    </row>
    <row r="370" spans="1:80" ht="10.5">
      <c r="A370" s="1050" t="str">
        <f t="shared" si="240"/>
        <v>TMP</v>
      </c>
      <c r="B370" s="106" t="str">
        <f>Worksheet!L350</f>
        <v xml:space="preserve"> TMP  92 92 87 80 78 77 78 85 89 89 86 80 78 77 78 83 86 85 80 75 74 </v>
      </c>
      <c r="AC370" s="977">
        <f t="shared" si="216"/>
        <v>44753.833333333328</v>
      </c>
      <c r="AE370" s="1149" t="str">
        <f>IF(AND(HOUR(AC370)=HOUR($F$186),DAY(AC370)=DAY($F$186)),(MID($B$189,6,3))*1,IF(AND(ISNUMBER(AE369),AC370&lt;$F$186+1+(1/25)),(MID($B$189,6+(3*COUNT($AE$207:AE369)),3))*1,""))</f>
        <v/>
      </c>
      <c r="AF370" s="1164" t="e">
        <f t="shared" si="234"/>
        <v>#VALUE!</v>
      </c>
      <c r="AG370" s="1150" t="str">
        <f t="shared" si="203"/>
        <v/>
      </c>
      <c r="AH370" s="1163" t="str">
        <f>IF(AND(ISNUMBER(AH369),AC370&lt;$F$186+26/25),(MID($B$190,6+(3*COUNT($AH$207:AH369)),3))*1,IF(AND(HOUR(AC370)=HOUR($F$186),DAY(AC370)=DAY($F$186)),(MID($B$190,6,3))*1,""))</f>
        <v/>
      </c>
      <c r="AI370" s="200"/>
      <c r="AJ370" s="1164" t="e">
        <f t="shared" si="204"/>
        <v>#VALUE!</v>
      </c>
      <c r="AK370" s="1150" t="str">
        <f t="shared" si="205"/>
        <v/>
      </c>
      <c r="AL370" s="1152" t="e">
        <f t="shared" si="235"/>
        <v>#VALUE!</v>
      </c>
      <c r="AM370" s="1153" t="str">
        <f t="shared" si="206"/>
        <v/>
      </c>
      <c r="AN370" s="1147"/>
      <c r="AO370" s="976" t="str">
        <f>IF(BA370="Y",AP370,IF(AND(ISNUMBER(AO369),AC370&lt;$F$186+26/25),(MID(INDEX($A$187:$B$210,MATCH("CIG",$A$187:$A$210,0),2),8+(3*COUNT($AO$207:AO369)),1))*1,IF(AND(HOUR(AC370)=HOUR($F$186),DAY(AC370)=DAY($F$186)),(MID(INDEX($A$187:$B$210,MATCH("CIG",$A$187:$A$210,0),2),8,1))*1,"")))</f>
        <v/>
      </c>
      <c r="AQ370" s="1061" t="str">
        <f>IF(AND(AQ369&lt;&gt;"",AC370&lt;$F$186+26/25),MID(INDEX($A$187:$B$210,MATCH("CLD",$A$187:$A$210,0),2),7+(3*SUM(COUNTIF($AQ$207:AQ369,"OV"),COUNTIF($AQ$207:AQ369,"BK"),COUNTIF($AQ$207:AQ369,"SC"),COUNTIF($AQ$207:AQ369,"FW"),COUNTIF($AQ$207:AQ369,"CL"))),2),IF(AND(HOUR(AC370)=HOUR($F$186),DAY(AC370)=DAY($F$186)),MID(INDEX($A$187:$B$210,MATCH("CLD",$A$187:$A$210,0),2),7,2),""))</f>
        <v/>
      </c>
      <c r="AR370" s="1149" t="str">
        <f t="shared" si="241"/>
        <v/>
      </c>
      <c r="AS370" s="1150" t="str">
        <f t="shared" si="242"/>
        <v/>
      </c>
      <c r="AT370" s="112" t="str">
        <f t="shared" si="243"/>
        <v/>
      </c>
      <c r="AU370" s="1610" t="str">
        <f t="shared" si="244"/>
        <v/>
      </c>
      <c r="AV370" s="1148" t="str">
        <f t="shared" si="236"/>
        <v/>
      </c>
      <c r="AW370" s="920" t="str">
        <f t="shared" si="239"/>
        <v/>
      </c>
      <c r="AX370" s="1608" t="str">
        <f t="shared" si="237"/>
        <v/>
      </c>
      <c r="AY370" s="112" t="str">
        <f>IF(BA370="Y",AZ370,IF(AND(ISNUMBER(AY369),AC370&lt;$F$186+26/25),(MID(INDEX($A$187:$B$210,MATCH("VIS",$A$187:$A$210,0),2),8+(3*COUNT($AY$207:AY369)),1))*1,IF(AND(HOUR(AC370)=HOUR($F$186),DAY(AC370)=DAY($F$186)),(MID(INDEX($A$187:$B$210,MATCH("VIS",$A$187:$A$210,0),2),8,1))*1,"")))</f>
        <v/>
      </c>
      <c r="AZ370" s="112" t="str">
        <f>IF(AND(ISNUMBER(AZ369),AC370&lt;$F$186+26/25),(MID(INDEX($A$187:$B$210,MATCH("CVS",$A$187:$A$210,0),2),8+(3*COUNT($AZ$207:AZ369)),1))*1,IF(AND(HOUR(AC370)=HOUR($F$186),DAY(AC370)=DAY($F$186)),(MID(INDEX($A$187:$B$210,MATCH("CVS",$A$187:$A$210,0),2),8,1))*1,""))</f>
        <v/>
      </c>
      <c r="BA370" s="1610" t="str">
        <f>IF(AND(BA369&lt;&gt;"",AC370&lt;$F$186+26/25),MID(INDEX($A$187:$B$210,MATCH("PCO",$A$187:$A$210,0),2),8+(3*SUM(COUNTIF($BA$207:BA369,"Y"),COUNTIF($BA$207:BA369,"N"))),1),IF(AND(HOUR(AC370)=HOUR($F$186),DAY(AC370)=DAY($F$186)),MID(INDEX($A$187:$B$210,MATCH("PCO",$A$187:$A$210,0),2),8,1),""))</f>
        <v/>
      </c>
      <c r="BB370" s="1610" t="e">
        <f>IF(AND(BB369&lt;&gt;"",AC370&lt;$F$186+26/25),MID(INDEX($A$187:$B$210,MATCH("TYP",$A$187:$A$210,0),2),8+(3*SUM(COUNTIF($BB$207:BB369,"S"),COUNTIF($BB$207:BB369,"Z"), COUNTIF($BB$207:BB369,"R"),COUNTIF($BB$207:BB369,"X"))),1),IF(AND(HOUR(AC370)=HOUR($F$186),DAY(AC370)=DAY($F$186)),MID(INDEX($A$187:$B$210,MATCH("TYP",$A$187:$A$210,0),2),8,1),""))</f>
        <v>#N/A</v>
      </c>
      <c r="BC370" s="112" t="str">
        <f>IF(AND(LEN(BC369)=2,AC370&lt;$F$186+26/25),MID(INDEX($A$187:$B$211,MATCH("OBV",$A$187:$A$211,0),2),7+(3*SUM(COUNTIF($BC$207:BC369," N"),COUNTIF($BC$207:BC369,"HZ"),COUNTIF($BC$207:BC369,"BR"),COUNTIF($BC$207:BC369,"FG"),COUNTIF($BC$207:BC369,"BL"))),2),IF(AND(HOUR(AC370)=HOUR($F$186),DAY(AC370)=DAY($F$186)),MID(INDEX($A$187:$B$211,MATCH("OBV",$A$187:$A$211,0),2),7,2),""))</f>
        <v/>
      </c>
      <c r="BD370" s="112"/>
      <c r="BE370" s="112"/>
      <c r="BF370" s="112"/>
      <c r="BG370" s="1610" t="str">
        <f t="shared" si="200"/>
        <v/>
      </c>
      <c r="BH370" s="115" t="str">
        <f t="shared" si="245"/>
        <v/>
      </c>
      <c r="BI370" s="200" t="str">
        <f t="shared" si="222"/>
        <v/>
      </c>
      <c r="BJ370" s="62" t="str">
        <f t="shared" si="221"/>
        <v/>
      </c>
      <c r="BK370" s="1145" t="str">
        <f t="shared" si="229"/>
        <v/>
      </c>
      <c r="BL370" s="62" t="str">
        <f t="shared" si="223"/>
        <v/>
      </c>
      <c r="BM370" s="1145" t="str">
        <f t="shared" si="230"/>
        <v/>
      </c>
      <c r="BN370" s="1901" t="str">
        <f t="shared" si="199"/>
        <v/>
      </c>
      <c r="BO370" s="1144" t="str">
        <f t="shared" si="224"/>
        <v/>
      </c>
      <c r="BP370" s="106" t="str">
        <f t="shared" si="228"/>
        <v/>
      </c>
      <c r="BQ370" s="66" t="str">
        <f t="shared" si="225"/>
        <v/>
      </c>
      <c r="BR370" s="106" t="str">
        <f t="shared" si="226"/>
        <v/>
      </c>
      <c r="BS370" s="834" t="str">
        <f t="shared" si="233"/>
        <v/>
      </c>
      <c r="BT370" s="106" t="str">
        <f t="shared" si="227"/>
        <v/>
      </c>
      <c r="BU370" s="834" t="str">
        <f t="shared" si="231"/>
        <v/>
      </c>
      <c r="BV370" s="66" t="str">
        <f t="shared" si="246"/>
        <v/>
      </c>
      <c r="BW370" s="66" t="str">
        <f t="shared" si="247"/>
        <v/>
      </c>
      <c r="BX370" s="1198" t="str">
        <f t="shared" si="238"/>
        <v/>
      </c>
      <c r="BY370" s="1146" t="str">
        <f t="shared" si="219"/>
        <v/>
      </c>
      <c r="CA370" s="3675">
        <f t="shared" si="232"/>
        <v>44753.833333333328</v>
      </c>
      <c r="CB370" s="3675"/>
    </row>
    <row r="371" spans="1:80" ht="10.5">
      <c r="A371" s="1050" t="str">
        <f t="shared" si="240"/>
        <v>DPT</v>
      </c>
      <c r="B371" s="106" t="str">
        <f>Worksheet!L351</f>
        <v xml:space="preserve"> DPT  76 76 77 76 76 75 76 77 78 78 79 76 76 75 76 77 78 78 78 74 73 </v>
      </c>
      <c r="AC371" s="977">
        <f t="shared" si="216"/>
        <v>44753.875</v>
      </c>
      <c r="AE371" s="1149" t="str">
        <f>IF(AND(HOUR(AC371)=HOUR($F$186),DAY(AC371)=DAY($F$186)),(MID($B$189,6,3))*1,IF(AND(ISNUMBER(AE370),AC371&lt;$F$186+1+(1/25)),(MID($B$189,6+(3*COUNT($AE$207:AE370)),3))*1,""))</f>
        <v/>
      </c>
      <c r="AF371" s="1164" t="e">
        <f t="shared" si="234"/>
        <v>#VALUE!</v>
      </c>
      <c r="AG371" s="1150" t="str">
        <f t="shared" si="203"/>
        <v/>
      </c>
      <c r="AH371" s="1163" t="str">
        <f>IF(AND(ISNUMBER(AH370),AC371&lt;$F$186+26/25),(MID($B$190,6+(3*COUNT($AH$207:AH370)),3))*1,IF(AND(HOUR(AC371)=HOUR($F$186),DAY(AC371)=DAY($F$186)),(MID($B$190,6,3))*1,""))</f>
        <v/>
      </c>
      <c r="AI371" s="200"/>
      <c r="AJ371" s="1164" t="e">
        <f t="shared" si="204"/>
        <v>#VALUE!</v>
      </c>
      <c r="AK371" s="1150" t="str">
        <f t="shared" si="205"/>
        <v/>
      </c>
      <c r="AL371" s="1152" t="e">
        <f t="shared" si="235"/>
        <v>#VALUE!</v>
      </c>
      <c r="AM371" s="1153" t="str">
        <f t="shared" si="206"/>
        <v/>
      </c>
      <c r="AN371" s="1147"/>
      <c r="AO371" s="976" t="str">
        <f>IF(BA371="Y",AP371,IF(AND(ISNUMBER(AO370),AC371&lt;$F$186+26/25),(MID(INDEX($A$187:$B$210,MATCH("CIG",$A$187:$A$210,0),2),8+(3*COUNT($AO$207:AO370)),1))*1,IF(AND(HOUR(AC371)=HOUR($F$186),DAY(AC371)=DAY($F$186)),(MID(INDEX($A$187:$B$210,MATCH("CIG",$A$187:$A$210,0),2),8,1))*1,"")))</f>
        <v/>
      </c>
      <c r="AQ371" s="1061" t="str">
        <f>IF(AND(AQ370&lt;&gt;"",AC371&lt;$F$186+26/25),MID(INDEX($A$187:$B$210,MATCH("CLD",$A$187:$A$210,0),2),7+(3*SUM(COUNTIF($AQ$207:AQ370,"OV"),COUNTIF($AQ$207:AQ370,"BK"),COUNTIF($AQ$207:AQ370,"SC"),COUNTIF($AQ$207:AQ370,"FW"),COUNTIF($AQ$207:AQ370,"CL"))),2),IF(AND(HOUR(AC371)=HOUR($F$186),DAY(AC371)=DAY($F$186)),MID(INDEX($A$187:$B$210,MATCH("CLD",$A$187:$A$210,0),2),7,2),""))</f>
        <v/>
      </c>
      <c r="AR371" s="1149" t="str">
        <f t="shared" si="241"/>
        <v/>
      </c>
      <c r="AS371" s="1150" t="str">
        <f t="shared" si="242"/>
        <v/>
      </c>
      <c r="AT371" s="112" t="str">
        <f t="shared" si="243"/>
        <v/>
      </c>
      <c r="AU371" s="1610" t="str">
        <f t="shared" si="244"/>
        <v/>
      </c>
      <c r="AV371" s="1148" t="str">
        <f t="shared" si="236"/>
        <v/>
      </c>
      <c r="AW371" s="920" t="str">
        <f t="shared" si="239"/>
        <v/>
      </c>
      <c r="AX371" s="1608" t="str">
        <f t="shared" si="237"/>
        <v/>
      </c>
      <c r="AY371" s="112" t="str">
        <f>IF(BA371="Y",AZ371,IF(AND(ISNUMBER(AY370),AC371&lt;$F$186+26/25),(MID(INDEX($A$187:$B$210,MATCH("VIS",$A$187:$A$210,0),2),8+(3*COUNT($AY$207:AY370)),1))*1,IF(AND(HOUR(AC371)=HOUR($F$186),DAY(AC371)=DAY($F$186)),(MID(INDEX($A$187:$B$210,MATCH("VIS",$A$187:$A$210,0),2),8,1))*1,"")))</f>
        <v/>
      </c>
      <c r="AZ371" s="112" t="str">
        <f>IF(AND(ISNUMBER(AZ370),AC371&lt;$F$186+26/25),(MID(INDEX($A$187:$B$210,MATCH("CVS",$A$187:$A$210,0),2),8+(3*COUNT($AZ$207:AZ370)),1))*1,IF(AND(HOUR(AC371)=HOUR($F$186),DAY(AC371)=DAY($F$186)),(MID(INDEX($A$187:$B$210,MATCH("CVS",$A$187:$A$210,0),2),8,1))*1,""))</f>
        <v/>
      </c>
      <c r="BA371" s="1610" t="str">
        <f>IF(AND(BA370&lt;&gt;"",AC371&lt;$F$186+26/25),MID(INDEX($A$187:$B$210,MATCH("PCO",$A$187:$A$210,0),2),8+(3*SUM(COUNTIF($BA$207:BA370,"Y"),COUNTIF($BA$207:BA370,"N"))),1),IF(AND(HOUR(AC371)=HOUR($F$186),DAY(AC371)=DAY($F$186)),MID(INDEX($A$187:$B$210,MATCH("PCO",$A$187:$A$210,0),2),8,1),""))</f>
        <v/>
      </c>
      <c r="BB371" s="1610" t="e">
        <f>IF(AND(BB370&lt;&gt;"",AC371&lt;$F$186+26/25),MID(INDEX($A$187:$B$210,MATCH("TYP",$A$187:$A$210,0),2),8+(3*SUM(COUNTIF($BB$207:BB370,"S"),COUNTIF($BB$207:BB370,"Z"), COUNTIF($BB$207:BB370,"R"),COUNTIF($BB$207:BB370,"X"))),1),IF(AND(HOUR(AC371)=HOUR($F$186),DAY(AC371)=DAY($F$186)),MID(INDEX($A$187:$B$210,MATCH("TYP",$A$187:$A$210,0),2),8,1),""))</f>
        <v>#N/A</v>
      </c>
      <c r="BC371" s="112" t="str">
        <f>IF(AND(LEN(BC370)=2,AC371&lt;$F$186+26/25),MID(INDEX($A$187:$B$211,MATCH("OBV",$A$187:$A$211,0),2),7+(3*SUM(COUNTIF($BC$207:BC370," N"),COUNTIF($BC$207:BC370,"HZ"),COUNTIF($BC$207:BC370,"BR"),COUNTIF($BC$207:BC370,"FG"),COUNTIF($BC$207:BC370,"BL"))),2),IF(AND(HOUR(AC371)=HOUR($F$186),DAY(AC371)=DAY($F$186)),MID(INDEX($A$187:$B$211,MATCH("OBV",$A$187:$A$211,0),2),7,2),""))</f>
        <v/>
      </c>
      <c r="BD371" s="112"/>
      <c r="BE371" s="112"/>
      <c r="BF371" s="112"/>
      <c r="BG371" s="1610" t="str">
        <f t="shared" si="200"/>
        <v/>
      </c>
      <c r="BH371" s="115" t="str">
        <f t="shared" si="245"/>
        <v/>
      </c>
      <c r="BI371" s="200" t="str">
        <f t="shared" si="222"/>
        <v/>
      </c>
      <c r="BJ371" s="62" t="str">
        <f t="shared" si="221"/>
        <v/>
      </c>
      <c r="BK371" s="1145" t="str">
        <f t="shared" si="229"/>
        <v/>
      </c>
      <c r="BL371" s="62" t="str">
        <f t="shared" si="223"/>
        <v/>
      </c>
      <c r="BM371" s="1145" t="str">
        <f t="shared" si="230"/>
        <v/>
      </c>
      <c r="BN371" s="1901" t="str">
        <f t="shared" ref="BN371:BN389" si="248">IF(ISERROR(MATCH("OBV",$A$370:$A$394,0)),"",IF(OR(AC371&lt;($F$373-0.001),AC371&gt;($F$374+0.001)),"",IF(AC371-$F$373&lt;2.24,IF(MOD(HOUR(AC371),3)=0,MID(INDEX($A$370:$B$394,MATCH("OBV",$A$370:$A$394,0),2),7+(3*(AC371-$F$373)*8),2),IF(MOD(HOUR(AC370),3)=0,BN370,BN372)),IF(MOD(HOUR(AC371),6)=0,MID(INDEX($A$370:$B$394,MATCH("OBV",$A$370:$A$394,0),2),61+(3*(ROUND(((AC371-$F$373)-2.25)*4,2))),2),""))))</f>
        <v/>
      </c>
      <c r="BO371" s="1144" t="str">
        <f t="shared" si="224"/>
        <v/>
      </c>
      <c r="BP371" s="106" t="str">
        <f t="shared" si="228"/>
        <v/>
      </c>
      <c r="BQ371" s="66" t="str">
        <f t="shared" si="225"/>
        <v/>
      </c>
      <c r="BR371" s="106" t="str">
        <f t="shared" si="226"/>
        <v/>
      </c>
      <c r="BS371" s="834" t="str">
        <f t="shared" si="233"/>
        <v/>
      </c>
      <c r="BT371" s="106" t="str">
        <f t="shared" si="227"/>
        <v/>
      </c>
      <c r="BU371" s="834" t="str">
        <f t="shared" si="231"/>
        <v/>
      </c>
      <c r="BV371" s="66" t="str">
        <f t="shared" si="246"/>
        <v/>
      </c>
      <c r="BW371" s="66" t="str">
        <f t="shared" si="247"/>
        <v/>
      </c>
      <c r="BX371" s="1198" t="str">
        <f t="shared" si="238"/>
        <v/>
      </c>
      <c r="BY371" s="1146" t="str">
        <f t="shared" si="219"/>
        <v/>
      </c>
      <c r="CA371" s="3675">
        <f t="shared" si="232"/>
        <v>44753.875</v>
      </c>
      <c r="CB371" s="3675"/>
    </row>
    <row r="372" spans="1:80" ht="10.5">
      <c r="A372" s="1050" t="str">
        <f t="shared" si="240"/>
        <v>CLD</v>
      </c>
      <c r="B372" s="106" t="str">
        <f>Worksheet!L352</f>
        <v xml:space="preserve"> CLD  BK BK BK SC SC BK BK BK SC BK BK OV OV BK BK BK BK BK OV OV OV </v>
      </c>
      <c r="E372" s="468" t="str">
        <f>MID(INDEX(A362:B374,MATCH("UTC",A362:A374,0),2),FIND("/",INDEX(A362:B374,MATCH("UTC",A362:A374,0),2))-2,16)</f>
        <v xml:space="preserve"> 7/05/2022  1200</v>
      </c>
      <c r="F372" s="3674">
        <f>DATE(MID(E372,FIND("/",E372)+4,4)*1,LEFT(E372,IF(FIND("/",E372)=2,1,2))*1,MID(E372,FIND("/",E372)+1,2)*1)+MID(E372,LEN(E372)-3,2)*1/24</f>
        <v>44747.5</v>
      </c>
      <c r="G372" s="3674"/>
      <c r="AC372" s="977">
        <f t="shared" si="216"/>
        <v>44753.916666666664</v>
      </c>
      <c r="AE372" s="1149" t="str">
        <f>IF(AND(HOUR(AC372)=HOUR($F$186),DAY(AC372)=DAY($F$186)),(MID($B$189,6,3))*1,IF(AND(ISNUMBER(AE371),AC372&lt;$F$186+1+(1/25)),(MID($B$189,6+(3*COUNT($AE$207:AE371)),3))*1,""))</f>
        <v/>
      </c>
      <c r="AF372" s="1164" t="e">
        <f t="shared" si="234"/>
        <v>#VALUE!</v>
      </c>
      <c r="AG372" s="1150" t="str">
        <f t="shared" si="203"/>
        <v/>
      </c>
      <c r="AH372" s="1163" t="str">
        <f>IF(AND(ISNUMBER(AH371),AC372&lt;$F$186+26/25),(MID($B$190,6+(3*COUNT($AH$207:AH371)),3))*1,IF(AND(HOUR(AC372)=HOUR($F$186),DAY(AC372)=DAY($F$186)),(MID($B$190,6,3))*1,""))</f>
        <v/>
      </c>
      <c r="AI372" s="200"/>
      <c r="AJ372" s="1164" t="e">
        <f t="shared" si="204"/>
        <v>#VALUE!</v>
      </c>
      <c r="AK372" s="1150" t="str">
        <f t="shared" si="205"/>
        <v/>
      </c>
      <c r="AL372" s="1152" t="e">
        <f t="shared" si="235"/>
        <v>#VALUE!</v>
      </c>
      <c r="AM372" s="1153" t="str">
        <f t="shared" si="206"/>
        <v/>
      </c>
      <c r="AN372" s="1147"/>
      <c r="AO372" s="976" t="str">
        <f>IF(BA372="Y",AP372,IF(AND(ISNUMBER(AO371),AC372&lt;$F$186+26/25),(MID(INDEX($A$187:$B$210,MATCH("CIG",$A$187:$A$210,0),2),8+(3*COUNT($AO$207:AO371)),1))*1,IF(AND(HOUR(AC372)=HOUR($F$186),DAY(AC372)=DAY($F$186)),(MID(INDEX($A$187:$B$210,MATCH("CIG",$A$187:$A$210,0),2),8,1))*1,"")))</f>
        <v/>
      </c>
      <c r="AQ372" s="1061" t="str">
        <f>IF(AND(AQ371&lt;&gt;"",AC372&lt;$F$186+26/25),MID(INDEX($A$187:$B$210,MATCH("CLD",$A$187:$A$210,0),2),7+(3*SUM(COUNTIF($AQ$207:AQ371,"OV"),COUNTIF($AQ$207:AQ371,"BK"),COUNTIF($AQ$207:AQ371,"SC"),COUNTIF($AQ$207:AQ371,"FW"),COUNTIF($AQ$207:AQ371,"CL"))),2),IF(AND(HOUR(AC372)=HOUR($F$186),DAY(AC372)=DAY($F$186)),MID(INDEX($A$187:$B$210,MATCH("CLD",$A$187:$A$210,0),2),7,2),""))</f>
        <v/>
      </c>
      <c r="AR372" s="1149" t="str">
        <f t="shared" si="241"/>
        <v/>
      </c>
      <c r="AS372" s="1150" t="str">
        <f t="shared" si="242"/>
        <v/>
      </c>
      <c r="AT372" s="112" t="str">
        <f t="shared" si="243"/>
        <v/>
      </c>
      <c r="AU372" s="1610" t="str">
        <f t="shared" si="244"/>
        <v/>
      </c>
      <c r="AV372" s="1148" t="str">
        <f t="shared" si="236"/>
        <v/>
      </c>
      <c r="AW372" s="920" t="str">
        <f t="shared" si="239"/>
        <v/>
      </c>
      <c r="AX372" s="1608" t="str">
        <f t="shared" si="237"/>
        <v/>
      </c>
      <c r="AY372" s="112" t="str">
        <f>IF(BA372="Y",AZ372,IF(AND(ISNUMBER(AY371),AC372&lt;$F$186+26/25),(MID(INDEX($A$187:$B$210,MATCH("VIS",$A$187:$A$210,0),2),8+(3*COUNT($AY$207:AY371)),1))*1,IF(AND(HOUR(AC372)=HOUR($F$186),DAY(AC372)=DAY($F$186)),(MID(INDEX($A$187:$B$210,MATCH("VIS",$A$187:$A$210,0),2),8,1))*1,"")))</f>
        <v/>
      </c>
      <c r="AZ372" s="112" t="str">
        <f>IF(AND(ISNUMBER(AZ371),AC372&lt;$F$186+26/25),(MID(INDEX($A$187:$B$210,MATCH("CVS",$A$187:$A$210,0),2),8+(3*COUNT($AZ$207:AZ371)),1))*1,IF(AND(HOUR(AC372)=HOUR($F$186),DAY(AC372)=DAY($F$186)),(MID(INDEX($A$187:$B$210,MATCH("CVS",$A$187:$A$210,0),2),8,1))*1,""))</f>
        <v/>
      </c>
      <c r="BA372" s="1610" t="str">
        <f>IF(AND(BA371&lt;&gt;"",AC372&lt;$F$186+26/25),MID(INDEX($A$187:$B$210,MATCH("PCO",$A$187:$A$210,0),2),8+(3*SUM(COUNTIF($BA$207:BA371,"Y"),COUNTIF($BA$207:BA371,"N"))),1),IF(AND(HOUR(AC372)=HOUR($F$186),DAY(AC372)=DAY($F$186)),MID(INDEX($A$187:$B$210,MATCH("PCO",$A$187:$A$210,0),2),8,1),""))</f>
        <v/>
      </c>
      <c r="BB372" s="1610" t="e">
        <f>IF(AND(BB371&lt;&gt;"",AC372&lt;$F$186+26/25),MID(INDEX($A$187:$B$210,MATCH("TYP",$A$187:$A$210,0),2),8+(3*SUM(COUNTIF($BB$207:BB371,"S"),COUNTIF($BB$207:BB371,"Z"), COUNTIF($BB$207:BB371,"R"),COUNTIF($BB$207:BB371,"X"))),1),IF(AND(HOUR(AC372)=HOUR($F$186),DAY(AC372)=DAY($F$186)),MID(INDEX($A$187:$B$210,MATCH("TYP",$A$187:$A$210,0),2),8,1),""))</f>
        <v>#N/A</v>
      </c>
      <c r="BC372" s="112" t="str">
        <f>IF(AND(LEN(BC371)=2,AC372&lt;$F$186+26/25),MID(INDEX($A$187:$B$211,MATCH("OBV",$A$187:$A$211,0),2),7+(3*SUM(COUNTIF($BC$207:BC371," N"),COUNTIF($BC$207:BC371,"HZ"),COUNTIF($BC$207:BC371,"BR"),COUNTIF($BC$207:BC371,"FG"),COUNTIF($BC$207:BC371,"BL"))),2),IF(AND(HOUR(AC372)=HOUR($F$186),DAY(AC372)=DAY($F$186)),MID(INDEX($A$187:$B$211,MATCH("OBV",$A$187:$A$211,0),2),7,2),""))</f>
        <v/>
      </c>
      <c r="BD372" s="112"/>
      <c r="BE372" s="112"/>
      <c r="BF372" s="112"/>
      <c r="BG372" s="1610" t="str">
        <f t="shared" si="200"/>
        <v/>
      </c>
      <c r="BH372" s="115" t="str">
        <f t="shared" si="245"/>
        <v/>
      </c>
      <c r="BI372" s="200" t="str">
        <f t="shared" si="222"/>
        <v/>
      </c>
      <c r="BJ372" s="62" t="str">
        <f t="shared" si="221"/>
        <v/>
      </c>
      <c r="BK372" s="1145" t="str">
        <f t="shared" si="229"/>
        <v/>
      </c>
      <c r="BL372" s="62" t="str">
        <f t="shared" si="223"/>
        <v/>
      </c>
      <c r="BM372" s="1145" t="str">
        <f t="shared" si="230"/>
        <v/>
      </c>
      <c r="BN372" s="1901" t="str">
        <f t="shared" si="248"/>
        <v/>
      </c>
      <c r="BO372" s="1144" t="str">
        <f t="shared" si="224"/>
        <v/>
      </c>
      <c r="BP372" s="106" t="str">
        <f t="shared" si="228"/>
        <v/>
      </c>
      <c r="BQ372" s="66" t="str">
        <f t="shared" si="225"/>
        <v/>
      </c>
      <c r="BR372" s="106" t="str">
        <f t="shared" si="226"/>
        <v/>
      </c>
      <c r="BS372" s="834" t="str">
        <f t="shared" si="233"/>
        <v/>
      </c>
      <c r="BT372" s="106" t="str">
        <f t="shared" si="227"/>
        <v/>
      </c>
      <c r="BU372" s="834" t="str">
        <f t="shared" si="231"/>
        <v/>
      </c>
      <c r="BV372" s="66" t="str">
        <f t="shared" si="246"/>
        <v/>
      </c>
      <c r="BW372" s="66" t="str">
        <f t="shared" si="247"/>
        <v/>
      </c>
      <c r="BX372" s="1198" t="str">
        <f t="shared" si="238"/>
        <v/>
      </c>
      <c r="BY372" s="1146" t="str">
        <f t="shared" si="219"/>
        <v/>
      </c>
      <c r="CA372" s="3675">
        <f t="shared" si="232"/>
        <v>44753.916666666664</v>
      </c>
      <c r="CB372" s="3675"/>
    </row>
    <row r="373" spans="1:80" ht="11.5">
      <c r="A373" s="1050" t="str">
        <f t="shared" si="240"/>
        <v>WDR</v>
      </c>
      <c r="B373" s="106" t="str">
        <f>Worksheet!L353</f>
        <v xml:space="preserve"> WDR  23 22 22 21 19 18 19 21 23 23 21 34 07 22 22 20 23 27 36 21 04 </v>
      </c>
      <c r="E373" s="1050" t="s">
        <v>2744</v>
      </c>
      <c r="F373" s="3663">
        <f>F372+1/4</f>
        <v>44747.75</v>
      </c>
      <c r="G373" s="3663"/>
      <c r="AC373" s="977">
        <f t="shared" si="216"/>
        <v>44753.958333333328</v>
      </c>
      <c r="AE373" s="1149" t="str">
        <f>IF(AND(HOUR(AC373)=HOUR($F$186),DAY(AC373)=DAY($F$186)),(MID($B$189,6,3))*1,IF(AND(ISNUMBER(AE372),AC373&lt;$F$186+1+(1/25)),(MID($B$189,6+(3*COUNT($AE$207:AE372)),3))*1,""))</f>
        <v/>
      </c>
      <c r="AF373" s="1164" t="e">
        <f t="shared" si="234"/>
        <v>#VALUE!</v>
      </c>
      <c r="AG373" s="1150" t="str">
        <f t="shared" si="203"/>
        <v/>
      </c>
      <c r="AH373" s="1163" t="str">
        <f>IF(AND(ISNUMBER(AH372),AC373&lt;$F$186+26/25),(MID($B$190,6+(3*COUNT($AH$207:AH372)),3))*1,IF(AND(HOUR(AC373)=HOUR($F$186),DAY(AC373)=DAY($F$186)),(MID($B$190,6,3))*1,""))</f>
        <v/>
      </c>
      <c r="AI373" s="200"/>
      <c r="AJ373" s="1164" t="e">
        <f t="shared" si="204"/>
        <v>#VALUE!</v>
      </c>
      <c r="AK373" s="1150" t="str">
        <f t="shared" si="205"/>
        <v/>
      </c>
      <c r="AL373" s="1152" t="e">
        <f t="shared" si="235"/>
        <v>#VALUE!</v>
      </c>
      <c r="AM373" s="1153" t="str">
        <f t="shared" si="206"/>
        <v/>
      </c>
      <c r="AN373" s="1147"/>
      <c r="AO373" s="976" t="str">
        <f>IF(BA373="Y",AP373,IF(AND(ISNUMBER(AO372),AC373&lt;$F$186+26/25),(MID(INDEX($A$187:$B$210,MATCH("CIG",$A$187:$A$210,0),2),8+(3*COUNT($AO$207:AO372)),1))*1,IF(AND(HOUR(AC373)=HOUR($F$186),DAY(AC373)=DAY($F$186)),(MID(INDEX($A$187:$B$210,MATCH("CIG",$A$187:$A$210,0),2),8,1))*1,"")))</f>
        <v/>
      </c>
      <c r="AQ373" s="1061" t="str">
        <f>IF(AND(AQ372&lt;&gt;"",AC373&lt;$F$186+26/25),MID(INDEX($A$187:$B$210,MATCH("CLD",$A$187:$A$210,0),2),7+(3*SUM(COUNTIF($AQ$207:AQ372,"OV"),COUNTIF($AQ$207:AQ372,"BK"),COUNTIF($AQ$207:AQ372,"SC"),COUNTIF($AQ$207:AQ372,"FW"),COUNTIF($AQ$207:AQ372,"CL"))),2),IF(AND(HOUR(AC373)=HOUR($F$186),DAY(AC373)=DAY($F$186)),MID(INDEX($A$187:$B$210,MATCH("CLD",$A$187:$A$210,0),2),7,2),""))</f>
        <v/>
      </c>
      <c r="AR373" s="1149" t="str">
        <f t="shared" si="241"/>
        <v/>
      </c>
      <c r="AS373" s="1150" t="str">
        <f t="shared" si="242"/>
        <v/>
      </c>
      <c r="AT373" s="112" t="str">
        <f t="shared" si="243"/>
        <v/>
      </c>
      <c r="AU373" s="1610" t="str">
        <f t="shared" si="244"/>
        <v/>
      </c>
      <c r="AV373" s="1148" t="str">
        <f t="shared" si="236"/>
        <v/>
      </c>
      <c r="AW373" s="920" t="str">
        <f t="shared" si="239"/>
        <v/>
      </c>
      <c r="AX373" s="1608" t="str">
        <f t="shared" si="237"/>
        <v/>
      </c>
      <c r="AY373" s="112" t="str">
        <f>IF(BA373="Y",AZ373,IF(AND(ISNUMBER(AY372),AC373&lt;$F$186+26/25),(MID(INDEX($A$187:$B$210,MATCH("VIS",$A$187:$A$210,0),2),8+(3*COUNT($AY$207:AY372)),1))*1,IF(AND(HOUR(AC373)=HOUR($F$186),DAY(AC373)=DAY($F$186)),(MID(INDEX($A$187:$B$210,MATCH("VIS",$A$187:$A$210,0),2),8,1))*1,"")))</f>
        <v/>
      </c>
      <c r="AZ373" s="112" t="str">
        <f>IF(AND(ISNUMBER(AZ372),AC373&lt;$F$186+26/25),(MID(INDEX($A$187:$B$210,MATCH("CVS",$A$187:$A$210,0),2),8+(3*COUNT($AZ$207:AZ372)),1))*1,IF(AND(HOUR(AC373)=HOUR($F$186),DAY(AC373)=DAY($F$186)),(MID(INDEX($A$187:$B$210,MATCH("CVS",$A$187:$A$210,0),2),8,1))*1,""))</f>
        <v/>
      </c>
      <c r="BA373" s="1610" t="str">
        <f>IF(AND(BA372&lt;&gt;"",AC373&lt;$F$186+26/25),MID(INDEX($A$187:$B$210,MATCH("PCO",$A$187:$A$210,0),2),8+(3*SUM(COUNTIF($BA$207:BA372,"Y"),COUNTIF($BA$207:BA372,"N"))),1),IF(AND(HOUR(AC373)=HOUR($F$186),DAY(AC373)=DAY($F$186)),MID(INDEX($A$187:$B$210,MATCH("PCO",$A$187:$A$210,0),2),8,1),""))</f>
        <v/>
      </c>
      <c r="BB373" s="1610" t="e">
        <f>IF(AND(BB372&lt;&gt;"",AC373&lt;$F$186+26/25),MID(INDEX($A$187:$B$210,MATCH("TYP",$A$187:$A$210,0),2),8+(3*SUM(COUNTIF($BB$207:BB372,"S"),COUNTIF($BB$207:BB372,"Z"), COUNTIF($BB$207:BB372,"R"),COUNTIF($BB$207:BB372,"X"))),1),IF(AND(HOUR(AC373)=HOUR($F$186),DAY(AC373)=DAY($F$186)),MID(INDEX($A$187:$B$210,MATCH("TYP",$A$187:$A$210,0),2),8,1),""))</f>
        <v>#N/A</v>
      </c>
      <c r="BC373" s="112" t="str">
        <f>IF(AND(LEN(BC372)=2,AC373&lt;$F$186+26/25),MID(INDEX($A$187:$B$211,MATCH("OBV",$A$187:$A$211,0),2),7+(3*SUM(COUNTIF($BC$207:BC372," N"),COUNTIF($BC$207:BC372,"HZ"),COUNTIF($BC$207:BC372,"BR"),COUNTIF($BC$207:BC372,"FG"),COUNTIF($BC$207:BC372,"BL"))),2),IF(AND(HOUR(AC373)=HOUR($F$186),DAY(AC373)=DAY($F$186)),MID(INDEX($A$187:$B$211,MATCH("OBV",$A$187:$A$211,0),2),7,2),""))</f>
        <v/>
      </c>
      <c r="BD373" s="112"/>
      <c r="BE373" s="112"/>
      <c r="BF373" s="112"/>
      <c r="BG373" s="1610" t="str">
        <f t="shared" si="200"/>
        <v/>
      </c>
      <c r="BH373" s="115" t="str">
        <f t="shared" si="245"/>
        <v/>
      </c>
      <c r="BI373" s="200" t="str">
        <f t="shared" si="222"/>
        <v/>
      </c>
      <c r="BJ373" s="62" t="str">
        <f t="shared" si="221"/>
        <v/>
      </c>
      <c r="BK373" s="1145" t="str">
        <f t="shared" si="229"/>
        <v/>
      </c>
      <c r="BL373" s="62" t="str">
        <f t="shared" si="223"/>
        <v/>
      </c>
      <c r="BM373" s="1145" t="str">
        <f t="shared" si="230"/>
        <v/>
      </c>
      <c r="BN373" s="1901" t="str">
        <f t="shared" si="248"/>
        <v/>
      </c>
      <c r="BO373" s="1144" t="str">
        <f t="shared" si="224"/>
        <v/>
      </c>
      <c r="BP373" s="106" t="str">
        <f t="shared" si="228"/>
        <v/>
      </c>
      <c r="BQ373" s="66" t="str">
        <f t="shared" si="225"/>
        <v/>
      </c>
      <c r="BR373" s="106" t="str">
        <f t="shared" si="226"/>
        <v/>
      </c>
      <c r="BS373" s="834" t="str">
        <f t="shared" si="233"/>
        <v/>
      </c>
      <c r="BT373" s="106" t="str">
        <f t="shared" si="227"/>
        <v/>
      </c>
      <c r="BU373" s="834" t="str">
        <f t="shared" si="231"/>
        <v/>
      </c>
      <c r="BV373" s="66" t="str">
        <f t="shared" si="246"/>
        <v/>
      </c>
      <c r="BW373" s="66" t="str">
        <f t="shared" si="247"/>
        <v/>
      </c>
      <c r="BX373" s="1198" t="str">
        <f t="shared" si="238"/>
        <v/>
      </c>
      <c r="BY373" s="1146" t="str">
        <f t="shared" si="219"/>
        <v/>
      </c>
      <c r="CA373" s="3675">
        <f t="shared" si="232"/>
        <v>44753.958333333328</v>
      </c>
      <c r="CB373" s="3675"/>
    </row>
    <row r="374" spans="1:80" ht="11.5">
      <c r="A374" s="1050" t="str">
        <f t="shared" si="240"/>
        <v>WSP</v>
      </c>
      <c r="B374" s="106" t="str">
        <f>Worksheet!L354</f>
        <v xml:space="preserve"> WSP  07 07 05 03 03 03 03 06 06 06 05 03 04 03 03 05 07 07 08 02 05 </v>
      </c>
      <c r="E374" s="388" t="s">
        <v>2745</v>
      </c>
      <c r="F374" s="3663">
        <f>F373+2.75</f>
        <v>44750.5</v>
      </c>
      <c r="G374" s="3663"/>
      <c r="AC374" s="977">
        <f t="shared" si="216"/>
        <v>44754</v>
      </c>
      <c r="AE374" s="1149" t="str">
        <f>IF(AND(HOUR(AC374)=HOUR($F$186),DAY(AC374)=DAY($F$186)),(MID($B$189,6,3))*1,IF(AND(ISNUMBER(AE373),AC374&lt;$F$186+1+(1/25)),(MID($B$189,6+(3*COUNT($AE$207:AE373)),3))*1,""))</f>
        <v/>
      </c>
      <c r="AF374" s="1164" t="e">
        <f t="shared" si="234"/>
        <v>#VALUE!</v>
      </c>
      <c r="AG374" s="1150" t="str">
        <f t="shared" si="203"/>
        <v/>
      </c>
      <c r="AH374" s="1163" t="str">
        <f>IF(AND(ISNUMBER(AH373),AC374&lt;$F$186+26/25),(MID($B$190,6+(3*COUNT($AH$207:AH373)),3))*1,IF(AND(HOUR(AC374)=HOUR($F$186),DAY(AC374)=DAY($F$186)),(MID($B$190,6,3))*1,""))</f>
        <v/>
      </c>
      <c r="AI374" s="200"/>
      <c r="AJ374" s="1164" t="e">
        <f t="shared" si="204"/>
        <v>#VALUE!</v>
      </c>
      <c r="AK374" s="1150" t="str">
        <f t="shared" si="205"/>
        <v/>
      </c>
      <c r="AL374" s="1152" t="e">
        <f t="shared" si="235"/>
        <v>#VALUE!</v>
      </c>
      <c r="AM374" s="1153" t="str">
        <f t="shared" si="206"/>
        <v/>
      </c>
      <c r="AN374" s="1147"/>
      <c r="AO374" s="976" t="str">
        <f>IF(BA374="Y",AP374,IF(AND(ISNUMBER(AO373),AC374&lt;$F$186+26/25),(MID(INDEX($A$187:$B$210,MATCH("CIG",$A$187:$A$210,0),2),8+(3*COUNT($AO$207:AO373)),1))*1,IF(AND(HOUR(AC374)=HOUR($F$186),DAY(AC374)=DAY($F$186)),(MID(INDEX($A$187:$B$210,MATCH("CIG",$A$187:$A$210,0),2),8,1))*1,"")))</f>
        <v/>
      </c>
      <c r="AQ374" s="1061" t="str">
        <f>IF(AND(AQ373&lt;&gt;"",AC374&lt;$F$186+26/25),MID(INDEX($A$187:$B$210,MATCH("CLD",$A$187:$A$210,0),2),7+(3*SUM(COUNTIF($AQ$207:AQ373,"OV"),COUNTIF($AQ$207:AQ373,"BK"),COUNTIF($AQ$207:AQ373,"SC"),COUNTIF($AQ$207:AQ373,"FW"),COUNTIF($AQ$207:AQ373,"CL"))),2),IF(AND(HOUR(AC374)=HOUR($F$186),DAY(AC374)=DAY($F$186)),MID(INDEX($A$187:$B$210,MATCH("CLD",$A$187:$A$210,0),2),7,2),""))</f>
        <v/>
      </c>
      <c r="AR374" s="1149" t="str">
        <f t="shared" si="241"/>
        <v/>
      </c>
      <c r="AS374" s="1150" t="str">
        <f t="shared" si="242"/>
        <v/>
      </c>
      <c r="AT374" s="112" t="str">
        <f t="shared" si="243"/>
        <v/>
      </c>
      <c r="AU374" s="1610" t="str">
        <f t="shared" si="244"/>
        <v/>
      </c>
      <c r="AV374" s="1148" t="str">
        <f t="shared" si="236"/>
        <v/>
      </c>
      <c r="AW374" s="920" t="str">
        <f t="shared" si="239"/>
        <v/>
      </c>
      <c r="AX374" s="1608" t="str">
        <f t="shared" si="237"/>
        <v/>
      </c>
      <c r="AY374" s="112" t="str">
        <f>IF(BA374="Y",AZ374,IF(AND(ISNUMBER(AY373),AC374&lt;$F$186+26/25),(MID(INDEX($A$187:$B$210,MATCH("VIS",$A$187:$A$210,0),2),8+(3*COUNT($AY$207:AY373)),1))*1,IF(AND(HOUR(AC374)=HOUR($F$186),DAY(AC374)=DAY($F$186)),(MID(INDEX($A$187:$B$210,MATCH("VIS",$A$187:$A$210,0),2),8,1))*1,"")))</f>
        <v/>
      </c>
      <c r="AZ374" s="112" t="str">
        <f>IF(AND(ISNUMBER(AZ373),AC374&lt;$F$186+26/25),(MID(INDEX($A$187:$B$210,MATCH("CVS",$A$187:$A$210,0),2),8+(3*COUNT($AZ$207:AZ373)),1))*1,IF(AND(HOUR(AC374)=HOUR($F$186),DAY(AC374)=DAY($F$186)),(MID(INDEX($A$187:$B$210,MATCH("CVS",$A$187:$A$210,0),2),8,1))*1,""))</f>
        <v/>
      </c>
      <c r="BA374" s="1610" t="str">
        <f>IF(AND(BA373&lt;&gt;"",AC374&lt;$F$186+26/25),MID(INDEX($A$187:$B$210,MATCH("PCO",$A$187:$A$210,0),2),8+(3*SUM(COUNTIF($BA$207:BA373,"Y"),COUNTIF($BA$207:BA373,"N"))),1),IF(AND(HOUR(AC374)=HOUR($F$186),DAY(AC374)=DAY($F$186)),MID(INDEX($A$187:$B$210,MATCH("PCO",$A$187:$A$210,0),2),8,1),""))</f>
        <v/>
      </c>
      <c r="BB374" s="1610" t="e">
        <f>IF(AND(BB373&lt;&gt;"",AC374&lt;$F$186+26/25),MID(INDEX($A$187:$B$210,MATCH("TYP",$A$187:$A$210,0),2),8+(3*SUM(COUNTIF($BB$207:BB373,"S"),COUNTIF($BB$207:BB373,"Z"), COUNTIF($BB$207:BB373,"R"),COUNTIF($BB$207:BB373,"X"))),1),IF(AND(HOUR(AC374)=HOUR($F$186),DAY(AC374)=DAY($F$186)),MID(INDEX($A$187:$B$210,MATCH("TYP",$A$187:$A$210,0),2),8,1),""))</f>
        <v>#N/A</v>
      </c>
      <c r="BC374" s="112" t="str">
        <f>IF(AND(LEN(BC373)=2,AC374&lt;$F$186+26/25),MID(INDEX($A$187:$B$211,MATCH("OBV",$A$187:$A$211,0),2),7+(3*SUM(COUNTIF($BC$207:BC373," N"),COUNTIF($BC$207:BC373,"HZ"),COUNTIF($BC$207:BC373,"BR"),COUNTIF($BC$207:BC373,"FG"),COUNTIF($BC$207:BC373,"BL"))),2),IF(AND(HOUR(AC374)=HOUR($F$186),DAY(AC374)=DAY($F$186)),MID(INDEX($A$187:$B$211,MATCH("OBV",$A$187:$A$211,0),2),7,2),""))</f>
        <v/>
      </c>
      <c r="BD374" s="112"/>
      <c r="BE374" s="112"/>
      <c r="BF374" s="112"/>
      <c r="BG374" s="1610" t="str">
        <f t="shared" ref="BG374:BG389" si="249">IF(BA374="Y",IF(ISERROR(BB374),"RA",BB374),IF(AY374=7,IF(OR(BC374="BR",BC374="HZ")," N",BC374),BC374))</f>
        <v/>
      </c>
      <c r="BH374" s="115" t="str">
        <f t="shared" si="245"/>
        <v/>
      </c>
      <c r="BI374" s="200" t="str">
        <f t="shared" si="222"/>
        <v/>
      </c>
      <c r="BJ374" s="62" t="str">
        <f t="shared" si="221"/>
        <v/>
      </c>
      <c r="BK374" s="1145" t="str">
        <f t="shared" si="229"/>
        <v/>
      </c>
      <c r="BL374" s="62" t="str">
        <f t="shared" si="223"/>
        <v/>
      </c>
      <c r="BM374" s="1145" t="str">
        <f t="shared" si="230"/>
        <v/>
      </c>
      <c r="BN374" s="1901" t="str">
        <f t="shared" si="248"/>
        <v/>
      </c>
      <c r="BO374" s="1144" t="str">
        <f t="shared" si="224"/>
        <v/>
      </c>
      <c r="BP374" s="106" t="str">
        <f t="shared" si="228"/>
        <v/>
      </c>
      <c r="BQ374" s="66" t="str">
        <f t="shared" si="225"/>
        <v/>
      </c>
      <c r="BR374" s="106" t="str">
        <f t="shared" si="226"/>
        <v/>
      </c>
      <c r="BS374" s="834" t="str">
        <f t="shared" si="233"/>
        <v/>
      </c>
      <c r="BT374" s="106" t="str">
        <f t="shared" si="227"/>
        <v/>
      </c>
      <c r="BU374" s="834" t="str">
        <f t="shared" si="231"/>
        <v/>
      </c>
      <c r="BV374" s="66" t="str">
        <f t="shared" si="246"/>
        <v/>
      </c>
      <c r="BW374" s="66" t="str">
        <f t="shared" si="247"/>
        <v/>
      </c>
      <c r="BX374" s="1198" t="str">
        <f t="shared" si="238"/>
        <v/>
      </c>
      <c r="BY374" s="1146" t="str">
        <f t="shared" si="219"/>
        <v/>
      </c>
      <c r="CA374" s="3675">
        <f t="shared" si="232"/>
        <v>44754</v>
      </c>
      <c r="CB374" s="3675"/>
    </row>
    <row r="375" spans="1:80" ht="10.5">
      <c r="A375" s="1050" t="str">
        <f t="shared" si="240"/>
        <v>P06</v>
      </c>
      <c r="B375" s="106" t="str">
        <f>Worksheet!L355</f>
        <v xml:space="preserve"> P06        10     3     9    21    32    57    26    23    40 48 45 </v>
      </c>
      <c r="AC375" s="977">
        <f t="shared" si="216"/>
        <v>44754.041666666664</v>
      </c>
      <c r="AE375" s="1149" t="str">
        <f>IF(AND(HOUR(AC375)=HOUR($F$186),DAY(AC375)=DAY($F$186)),(MID($B$189,6,3))*1,IF(AND(ISNUMBER(AE374),AC375&lt;$F$186+1+(1/25)),(MID($B$189,6+(3*COUNT($AE$207:AE374)),3))*1,""))</f>
        <v/>
      </c>
      <c r="AF375" s="1164" t="e">
        <f t="shared" si="234"/>
        <v>#VALUE!</v>
      </c>
      <c r="AG375" s="1150" t="str">
        <f t="shared" si="203"/>
        <v/>
      </c>
      <c r="AH375" s="1163" t="str">
        <f>IF(AND(ISNUMBER(AH374),AC375&lt;$F$186+26/25),(MID($B$190,6+(3*COUNT($AH$207:AH374)),3))*1,IF(AND(HOUR(AC375)=HOUR($F$186),DAY(AC375)=DAY($F$186)),(MID($B$190,6,3))*1,""))</f>
        <v/>
      </c>
      <c r="AI375" s="200"/>
      <c r="AJ375" s="1164" t="e">
        <f t="shared" si="204"/>
        <v>#VALUE!</v>
      </c>
      <c r="AK375" s="1150" t="str">
        <f t="shared" si="205"/>
        <v/>
      </c>
      <c r="AL375" s="1152" t="e">
        <f t="shared" si="235"/>
        <v>#VALUE!</v>
      </c>
      <c r="AM375" s="1153" t="str">
        <f t="shared" si="206"/>
        <v/>
      </c>
      <c r="AN375" s="1147"/>
      <c r="AO375" s="976" t="str">
        <f>IF(BA375="Y",AP375,IF(AND(ISNUMBER(AO374),AC375&lt;$F$186+26/25),(MID(INDEX($A$187:$B$210,MATCH("CIG",$A$187:$A$210,0),2),8+(3*COUNT($AO$207:AO374)),1))*1,IF(AND(HOUR(AC375)=HOUR($F$186),DAY(AC375)=DAY($F$186)),(MID(INDEX($A$187:$B$210,MATCH("CIG",$A$187:$A$210,0),2),8,1))*1,"")))</f>
        <v/>
      </c>
      <c r="AQ375" s="1061" t="str">
        <f>IF(AND(AQ374&lt;&gt;"",AC375&lt;$F$186+26/25),MID(INDEX($A$187:$B$210,MATCH("CLD",$A$187:$A$210,0),2),7+(3*SUM(COUNTIF($AQ$207:AQ374,"OV"),COUNTIF($AQ$207:AQ374,"BK"),COUNTIF($AQ$207:AQ374,"SC"),COUNTIF($AQ$207:AQ374,"FW"),COUNTIF($AQ$207:AQ374,"CL"))),2),IF(AND(HOUR(AC375)=HOUR($F$186),DAY(AC375)=DAY($F$186)),MID(INDEX($A$187:$B$210,MATCH("CLD",$A$187:$A$210,0),2),7,2),""))</f>
        <v/>
      </c>
      <c r="AR375" s="1149" t="str">
        <f t="shared" si="241"/>
        <v/>
      </c>
      <c r="AS375" s="1150" t="str">
        <f t="shared" si="242"/>
        <v/>
      </c>
      <c r="AT375" s="112" t="str">
        <f t="shared" si="243"/>
        <v/>
      </c>
      <c r="AU375" s="1610" t="str">
        <f t="shared" si="244"/>
        <v/>
      </c>
      <c r="AV375" s="1148" t="str">
        <f t="shared" si="236"/>
        <v/>
      </c>
      <c r="AW375" s="920" t="str">
        <f t="shared" si="239"/>
        <v/>
      </c>
      <c r="AX375" s="1608" t="str">
        <f t="shared" si="237"/>
        <v/>
      </c>
      <c r="AY375" s="112" t="str">
        <f>IF(BA375="Y",AZ375,IF(AND(ISNUMBER(AY374),AC375&lt;$F$186+26/25),(MID(INDEX($A$187:$B$210,MATCH("VIS",$A$187:$A$210,0),2),8+(3*COUNT($AY$207:AY374)),1))*1,IF(AND(HOUR(AC375)=HOUR($F$186),DAY(AC375)=DAY($F$186)),(MID(INDEX($A$187:$B$210,MATCH("VIS",$A$187:$A$210,0),2),8,1))*1,"")))</f>
        <v/>
      </c>
      <c r="AZ375" s="112" t="str">
        <f>IF(AND(ISNUMBER(AZ374),AC375&lt;$F$186+26/25),(MID(INDEX($A$187:$B$210,MATCH("CVS",$A$187:$A$210,0),2),8+(3*COUNT($AZ$207:AZ374)),1))*1,IF(AND(HOUR(AC375)=HOUR($F$186),DAY(AC375)=DAY($F$186)),(MID(INDEX($A$187:$B$210,MATCH("CVS",$A$187:$A$210,0),2),8,1))*1,""))</f>
        <v/>
      </c>
      <c r="BA375" s="1610" t="str">
        <f>IF(AND(BA374&lt;&gt;"",AC375&lt;$F$186+26/25),MID(INDEX($A$187:$B$210,MATCH("PCO",$A$187:$A$210,0),2),8+(3*SUM(COUNTIF($BA$207:BA374,"Y"),COUNTIF($BA$207:BA374,"N"))),1),IF(AND(HOUR(AC375)=HOUR($F$186),DAY(AC375)=DAY($F$186)),MID(INDEX($A$187:$B$210,MATCH("PCO",$A$187:$A$210,0),2),8,1),""))</f>
        <v/>
      </c>
      <c r="BB375" s="1610" t="e">
        <f>IF(AND(BB374&lt;&gt;"",AC375&lt;$F$186+26/25),MID(INDEX($A$187:$B$210,MATCH("TYP",$A$187:$A$210,0),2),8+(3*SUM(COUNTIF($BB$207:BB374,"S"),COUNTIF($BB$207:BB374,"Z"), COUNTIF($BB$207:BB374,"R"),COUNTIF($BB$207:BB374,"X"))),1),IF(AND(HOUR(AC375)=HOUR($F$186),DAY(AC375)=DAY($F$186)),MID(INDEX($A$187:$B$210,MATCH("TYP",$A$187:$A$210,0),2),8,1),""))</f>
        <v>#N/A</v>
      </c>
      <c r="BC375" s="112" t="str">
        <f>IF(AND(LEN(BC374)=2,AC375&lt;$F$186+26/25),MID(INDEX($A$187:$B$211,MATCH("OBV",$A$187:$A$211,0),2),7+(3*SUM(COUNTIF($BC$207:BC374," N"),COUNTIF($BC$207:BC374,"HZ"),COUNTIF($BC$207:BC374,"BR"),COUNTIF($BC$207:BC374,"FG"),COUNTIF($BC$207:BC374,"BL"))),2),IF(AND(HOUR(AC375)=HOUR($F$186),DAY(AC375)=DAY($F$186)),MID(INDEX($A$187:$B$211,MATCH("OBV",$A$187:$A$211,0),2),7,2),""))</f>
        <v/>
      </c>
      <c r="BD375" s="112"/>
      <c r="BE375" s="112"/>
      <c r="BF375" s="112"/>
      <c r="BG375" s="1610" t="str">
        <f t="shared" si="249"/>
        <v/>
      </c>
      <c r="BH375" s="115" t="str">
        <f t="shared" si="245"/>
        <v/>
      </c>
      <c r="BI375" s="200" t="str">
        <f t="shared" si="222"/>
        <v/>
      </c>
      <c r="BJ375" s="62" t="str">
        <f t="shared" si="221"/>
        <v/>
      </c>
      <c r="BK375" s="1145" t="str">
        <f t="shared" si="229"/>
        <v/>
      </c>
      <c r="BL375" s="62" t="str">
        <f t="shared" si="223"/>
        <v/>
      </c>
      <c r="BM375" s="1145" t="str">
        <f t="shared" si="230"/>
        <v/>
      </c>
      <c r="BN375" s="1901" t="str">
        <f t="shared" si="248"/>
        <v/>
      </c>
      <c r="BO375" s="1144" t="str">
        <f t="shared" si="224"/>
        <v/>
      </c>
      <c r="BP375" s="106" t="str">
        <f t="shared" si="228"/>
        <v/>
      </c>
      <c r="BQ375" s="66" t="str">
        <f t="shared" si="225"/>
        <v/>
      </c>
      <c r="BR375" s="106" t="str">
        <f t="shared" si="226"/>
        <v/>
      </c>
      <c r="BS375" s="834" t="str">
        <f t="shared" si="233"/>
        <v/>
      </c>
      <c r="BT375" s="106" t="str">
        <f t="shared" si="227"/>
        <v/>
      </c>
      <c r="BU375" s="834" t="str">
        <f t="shared" si="231"/>
        <v/>
      </c>
      <c r="BV375" s="66" t="str">
        <f t="shared" si="246"/>
        <v/>
      </c>
      <c r="BW375" s="66" t="str">
        <f t="shared" si="247"/>
        <v/>
      </c>
      <c r="BX375" s="1198" t="str">
        <f t="shared" si="238"/>
        <v/>
      </c>
      <c r="BY375" s="1146" t="str">
        <f t="shared" si="219"/>
        <v/>
      </c>
      <c r="CA375" s="3675">
        <f t="shared" si="232"/>
        <v>44754.041666666664</v>
      </c>
      <c r="CB375" s="3675"/>
    </row>
    <row r="376" spans="1:80" ht="10.5">
      <c r="A376" s="1050" t="str">
        <f t="shared" si="240"/>
        <v>P12</v>
      </c>
      <c r="B376" s="106" t="str">
        <f>Worksheet!L356</f>
        <v xml:space="preserve"> P12                     9          39          64          56    65 </v>
      </c>
      <c r="AC376" s="977">
        <f t="shared" si="216"/>
        <v>44754.083333333328</v>
      </c>
      <c r="AE376" s="1149" t="str">
        <f>IF(AND(HOUR(AC376)=HOUR($F$186),DAY(AC376)=DAY($F$186)),(MID($B$189,6,3))*1,IF(AND(ISNUMBER(AE375),AC376&lt;$F$186+1+(1/25)),(MID($B$189,6+(3*COUNT($AE$207:AE375)),3))*1,""))</f>
        <v/>
      </c>
      <c r="AF376" s="1164" t="e">
        <f t="shared" si="234"/>
        <v>#VALUE!</v>
      </c>
      <c r="AG376" s="1150" t="str">
        <f t="shared" si="203"/>
        <v/>
      </c>
      <c r="AH376" s="1163" t="str">
        <f>IF(AND(ISNUMBER(AH375),AC376&lt;$F$186+26/25),(MID($B$190,6+(3*COUNT($AH$207:AH375)),3))*1,IF(AND(HOUR(AC376)=HOUR($F$186),DAY(AC376)=DAY($F$186)),(MID($B$190,6,3))*1,""))</f>
        <v/>
      </c>
      <c r="AI376" s="200"/>
      <c r="AJ376" s="1164" t="e">
        <f t="shared" si="204"/>
        <v>#VALUE!</v>
      </c>
      <c r="AK376" s="1150" t="str">
        <f t="shared" si="205"/>
        <v/>
      </c>
      <c r="AL376" s="1152" t="e">
        <f t="shared" si="235"/>
        <v>#VALUE!</v>
      </c>
      <c r="AM376" s="1153" t="str">
        <f t="shared" si="206"/>
        <v/>
      </c>
      <c r="AN376" s="1147"/>
      <c r="AO376" s="976" t="str">
        <f>IF(BA376="Y",AP376,IF(AND(ISNUMBER(AO375),AC376&lt;$F$186+26/25),(MID(INDEX($A$187:$B$210,MATCH("CIG",$A$187:$A$210,0),2),8+(3*COUNT($AO$207:AO375)),1))*1,IF(AND(HOUR(AC376)=HOUR($F$186),DAY(AC376)=DAY($F$186)),(MID(INDEX($A$187:$B$210,MATCH("CIG",$A$187:$A$210,0),2),8,1))*1,"")))</f>
        <v/>
      </c>
      <c r="AQ376" s="1061" t="str">
        <f>IF(AND(AQ375&lt;&gt;"",AC376&lt;$F$186+26/25),MID(INDEX($A$187:$B$210,MATCH("CLD",$A$187:$A$210,0),2),7+(3*SUM(COUNTIF($AQ$207:AQ375,"OV"),COUNTIF($AQ$207:AQ375,"BK"),COUNTIF($AQ$207:AQ375,"SC"),COUNTIF($AQ$207:AQ375,"FW"),COUNTIF($AQ$207:AQ375,"CL"))),2),IF(AND(HOUR(AC376)=HOUR($F$186),DAY(AC376)=DAY($F$186)),MID(INDEX($A$187:$B$210,MATCH("CLD",$A$187:$A$210,0),2),7,2),""))</f>
        <v/>
      </c>
      <c r="AR376" s="1149" t="str">
        <f t="shared" si="241"/>
        <v/>
      </c>
      <c r="AS376" s="1150" t="str">
        <f t="shared" si="242"/>
        <v/>
      </c>
      <c r="AT376" s="112" t="str">
        <f t="shared" si="243"/>
        <v/>
      </c>
      <c r="AU376" s="1610" t="str">
        <f t="shared" si="244"/>
        <v/>
      </c>
      <c r="AV376" s="1148" t="str">
        <f t="shared" si="236"/>
        <v/>
      </c>
      <c r="AW376" s="920" t="str">
        <f t="shared" si="239"/>
        <v/>
      </c>
      <c r="AX376" s="1608" t="str">
        <f t="shared" si="237"/>
        <v/>
      </c>
      <c r="AY376" s="112" t="str">
        <f>IF(BA376="Y",AZ376,IF(AND(ISNUMBER(AY375),AC376&lt;$F$186+26/25),(MID(INDEX($A$187:$B$210,MATCH("VIS",$A$187:$A$210,0),2),8+(3*COUNT($AY$207:AY375)),1))*1,IF(AND(HOUR(AC376)=HOUR($F$186),DAY(AC376)=DAY($F$186)),(MID(INDEX($A$187:$B$210,MATCH("VIS",$A$187:$A$210,0),2),8,1))*1,"")))</f>
        <v/>
      </c>
      <c r="AZ376" s="112" t="str">
        <f>IF(AND(ISNUMBER(AZ375),AC376&lt;$F$186+26/25),(MID(INDEX($A$187:$B$210,MATCH("CVS",$A$187:$A$210,0),2),8+(3*COUNT($AZ$207:AZ375)),1))*1,IF(AND(HOUR(AC376)=HOUR($F$186),DAY(AC376)=DAY($F$186)),(MID(INDEX($A$187:$B$210,MATCH("CVS",$A$187:$A$210,0),2),8,1))*1,""))</f>
        <v/>
      </c>
      <c r="BA376" s="1610" t="str">
        <f>IF(AND(BA375&lt;&gt;"",AC376&lt;$F$186+26/25),MID(INDEX($A$187:$B$210,MATCH("PCO",$A$187:$A$210,0),2),8+(3*SUM(COUNTIF($BA$207:BA375,"Y"),COUNTIF($BA$207:BA375,"N"))),1),IF(AND(HOUR(AC376)=HOUR($F$186),DAY(AC376)=DAY($F$186)),MID(INDEX($A$187:$B$210,MATCH("PCO",$A$187:$A$210,0),2),8,1),""))</f>
        <v/>
      </c>
      <c r="BB376" s="1610" t="e">
        <f>IF(AND(BB375&lt;&gt;"",AC376&lt;$F$186+26/25),MID(INDEX($A$187:$B$210,MATCH("TYP",$A$187:$A$210,0),2),8+(3*SUM(COUNTIF($BB$207:BB375,"S"),COUNTIF($BB$207:BB375,"Z"), COUNTIF($BB$207:BB375,"R"),COUNTIF($BB$207:BB375,"X"))),1),IF(AND(HOUR(AC376)=HOUR($F$186),DAY(AC376)=DAY($F$186)),MID(INDEX($A$187:$B$210,MATCH("TYP",$A$187:$A$210,0),2),8,1),""))</f>
        <v>#N/A</v>
      </c>
      <c r="BC376" s="112" t="str">
        <f>IF(AND(LEN(BC375)=2,AC376&lt;$F$186+26/25),MID(INDEX($A$187:$B$211,MATCH("OBV",$A$187:$A$211,0),2),7+(3*SUM(COUNTIF($BC$207:BC375," N"),COUNTIF($BC$207:BC375,"HZ"),COUNTIF($BC$207:BC375,"BR"),COUNTIF($BC$207:BC375,"FG"),COUNTIF($BC$207:BC375,"BL"))),2),IF(AND(HOUR(AC376)=HOUR($F$186),DAY(AC376)=DAY($F$186)),MID(INDEX($A$187:$B$211,MATCH("OBV",$A$187:$A$211,0),2),7,2),""))</f>
        <v/>
      </c>
      <c r="BD376" s="112"/>
      <c r="BE376" s="112"/>
      <c r="BF376" s="112"/>
      <c r="BG376" s="1610" t="str">
        <f t="shared" si="249"/>
        <v/>
      </c>
      <c r="BH376" s="115" t="str">
        <f t="shared" si="245"/>
        <v/>
      </c>
      <c r="BI376" s="200" t="str">
        <f t="shared" si="222"/>
        <v/>
      </c>
      <c r="BJ376" s="62" t="str">
        <f t="shared" si="221"/>
        <v/>
      </c>
      <c r="BK376" s="1145" t="str">
        <f t="shared" si="229"/>
        <v/>
      </c>
      <c r="BL376" s="62" t="str">
        <f t="shared" si="223"/>
        <v/>
      </c>
      <c r="BM376" s="1145" t="str">
        <f t="shared" si="230"/>
        <v/>
      </c>
      <c r="BN376" s="1901" t="str">
        <f t="shared" si="248"/>
        <v/>
      </c>
      <c r="BO376" s="1144" t="str">
        <f t="shared" si="224"/>
        <v/>
      </c>
      <c r="BP376" s="106" t="str">
        <f t="shared" si="228"/>
        <v/>
      </c>
      <c r="BQ376" s="66" t="str">
        <f t="shared" si="225"/>
        <v/>
      </c>
      <c r="BR376" s="106" t="str">
        <f t="shared" si="226"/>
        <v/>
      </c>
      <c r="BS376" s="834" t="str">
        <f t="shared" si="233"/>
        <v/>
      </c>
      <c r="BT376" s="106" t="str">
        <f t="shared" si="227"/>
        <v/>
      </c>
      <c r="BU376" s="834" t="str">
        <f t="shared" si="231"/>
        <v/>
      </c>
      <c r="BV376" s="66" t="str">
        <f t="shared" si="246"/>
        <v/>
      </c>
      <c r="BW376" s="66" t="str">
        <f t="shared" si="247"/>
        <v/>
      </c>
      <c r="BX376" s="1198" t="str">
        <f t="shared" si="238"/>
        <v/>
      </c>
      <c r="BY376" s="1146" t="str">
        <f t="shared" si="219"/>
        <v/>
      </c>
      <c r="CA376" s="3675">
        <f t="shared" si="232"/>
        <v>44754.083333333328</v>
      </c>
      <c r="CB376" s="3675"/>
    </row>
    <row r="377" spans="1:80" ht="10.5">
      <c r="A377" s="1050" t="str">
        <f t="shared" si="240"/>
        <v>Q06</v>
      </c>
      <c r="B377" s="106" t="str">
        <f>Worksheet!L357</f>
        <v xml:space="preserve"> Q06         0     0     0     0     0     4     0     0     4  3  2 </v>
      </c>
      <c r="AC377" s="977">
        <f t="shared" si="216"/>
        <v>44754.125</v>
      </c>
      <c r="AE377" s="1149" t="str">
        <f>IF(AND(HOUR(AC377)=HOUR($F$186),DAY(AC377)=DAY($F$186)),(MID($B$189,6,3))*1,IF(AND(ISNUMBER(AE376),AC377&lt;$F$186+1+(1/25)),(MID($B$189,6+(3*COUNT($AE$207:AE376)),3))*1,""))</f>
        <v/>
      </c>
      <c r="AF377" s="1164" t="e">
        <f t="shared" si="234"/>
        <v>#VALUE!</v>
      </c>
      <c r="AG377" s="1150" t="str">
        <f t="shared" si="203"/>
        <v/>
      </c>
      <c r="AH377" s="1163" t="str">
        <f>IF(AND(ISNUMBER(AH376),AC377&lt;$F$186+26/25),(MID($B$190,6+(3*COUNT($AH$207:AH376)),3))*1,IF(AND(HOUR(AC377)=HOUR($F$186),DAY(AC377)=DAY($F$186)),(MID($B$190,6,3))*1,""))</f>
        <v/>
      </c>
      <c r="AI377" s="200"/>
      <c r="AJ377" s="1164" t="e">
        <f t="shared" si="204"/>
        <v>#VALUE!</v>
      </c>
      <c r="AK377" s="1150" t="str">
        <f t="shared" si="205"/>
        <v/>
      </c>
      <c r="AL377" s="1152" t="e">
        <f t="shared" si="235"/>
        <v>#VALUE!</v>
      </c>
      <c r="AM377" s="1153" t="str">
        <f t="shared" si="206"/>
        <v/>
      </c>
      <c r="AN377" s="1147"/>
      <c r="AO377" s="976" t="str">
        <f>IF(BA377="Y",AP377,IF(AND(ISNUMBER(AO376),AC377&lt;$F$186+26/25),(MID(INDEX($A$187:$B$210,MATCH("CIG",$A$187:$A$210,0),2),8+(3*COUNT($AO$207:AO376)),1))*1,IF(AND(HOUR(AC377)=HOUR($F$186),DAY(AC377)=DAY($F$186)),(MID(INDEX($A$187:$B$210,MATCH("CIG",$A$187:$A$210,0),2),8,1))*1,"")))</f>
        <v/>
      </c>
      <c r="AQ377" s="1061" t="str">
        <f>IF(AND(AQ376&lt;&gt;"",AC377&lt;$F$186+26/25),MID(INDEX($A$187:$B$210,MATCH("CLD",$A$187:$A$210,0),2),7+(3*SUM(COUNTIF($AQ$207:AQ376,"OV"),COUNTIF($AQ$207:AQ376,"BK"),COUNTIF($AQ$207:AQ376,"SC"),COUNTIF($AQ$207:AQ376,"FW"),COUNTIF($AQ$207:AQ376,"CL"))),2),IF(AND(HOUR(AC377)=HOUR($F$186),DAY(AC377)=DAY($F$186)),MID(INDEX($A$187:$B$210,MATCH("CLD",$A$187:$A$210,0),2),7,2),""))</f>
        <v/>
      </c>
      <c r="AR377" s="1149" t="str">
        <f t="shared" si="241"/>
        <v/>
      </c>
      <c r="AS377" s="1150" t="str">
        <f t="shared" si="242"/>
        <v/>
      </c>
      <c r="AT377" s="112" t="str">
        <f t="shared" si="243"/>
        <v/>
      </c>
      <c r="AU377" s="1610" t="str">
        <f t="shared" si="244"/>
        <v/>
      </c>
      <c r="AV377" s="1148" t="str">
        <f t="shared" si="236"/>
        <v/>
      </c>
      <c r="AW377" s="920" t="str">
        <f t="shared" si="239"/>
        <v/>
      </c>
      <c r="AX377" s="1608" t="str">
        <f t="shared" si="237"/>
        <v/>
      </c>
      <c r="AY377" s="112" t="str">
        <f>IF(BA377="Y",AZ377,IF(AND(ISNUMBER(AY376),AC377&lt;$F$186+26/25),(MID(INDEX($A$187:$B$210,MATCH("VIS",$A$187:$A$210,0),2),8+(3*COUNT($AY$207:AY376)),1))*1,IF(AND(HOUR(AC377)=HOUR($F$186),DAY(AC377)=DAY($F$186)),(MID(INDEX($A$187:$B$210,MATCH("VIS",$A$187:$A$210,0),2),8,1))*1,"")))</f>
        <v/>
      </c>
      <c r="AZ377" s="112" t="str">
        <f>IF(AND(ISNUMBER(AZ376),AC377&lt;$F$186+26/25),(MID(INDEX($A$187:$B$210,MATCH("CVS",$A$187:$A$210,0),2),8+(3*COUNT($AZ$207:AZ376)),1))*1,IF(AND(HOUR(AC377)=HOUR($F$186),DAY(AC377)=DAY($F$186)),(MID(INDEX($A$187:$B$210,MATCH("CVS",$A$187:$A$210,0),2),8,1))*1,""))</f>
        <v/>
      </c>
      <c r="BA377" s="1610" t="str">
        <f>IF(AND(BA376&lt;&gt;"",AC377&lt;$F$186+26/25),MID(INDEX($A$187:$B$210,MATCH("PCO",$A$187:$A$210,0),2),8+(3*SUM(COUNTIF($BA$207:BA376,"Y"),COUNTIF($BA$207:BA376,"N"))),1),IF(AND(HOUR(AC377)=HOUR($F$186),DAY(AC377)=DAY($F$186)),MID(INDEX($A$187:$B$210,MATCH("PCO",$A$187:$A$210,0),2),8,1),""))</f>
        <v/>
      </c>
      <c r="BB377" s="1610" t="e">
        <f>IF(AND(BB376&lt;&gt;"",AC377&lt;$F$186+26/25),MID(INDEX($A$187:$B$210,MATCH("TYP",$A$187:$A$210,0),2),8+(3*SUM(COUNTIF($BB$207:BB376,"S"),COUNTIF($BB$207:BB376,"Z"), COUNTIF($BB$207:BB376,"R"),COUNTIF($BB$207:BB376,"X"))),1),IF(AND(HOUR(AC377)=HOUR($F$186),DAY(AC377)=DAY($F$186)),MID(INDEX($A$187:$B$210,MATCH("TYP",$A$187:$A$210,0),2),8,1),""))</f>
        <v>#N/A</v>
      </c>
      <c r="BC377" s="112" t="str">
        <f>IF(AND(LEN(BC376)=2,AC377&lt;$F$186+26/25),MID(INDEX($A$187:$B$211,MATCH("OBV",$A$187:$A$211,0),2),7+(3*SUM(COUNTIF($BC$207:BC376," N"),COUNTIF($BC$207:BC376,"HZ"),COUNTIF($BC$207:BC376,"BR"),COUNTIF($BC$207:BC376,"FG"),COUNTIF($BC$207:BC376,"BL"))),2),IF(AND(HOUR(AC377)=HOUR($F$186),DAY(AC377)=DAY($F$186)),MID(INDEX($A$187:$B$211,MATCH("OBV",$A$187:$A$211,0),2),7,2),""))</f>
        <v/>
      </c>
      <c r="BD377" s="112"/>
      <c r="BE377" s="112"/>
      <c r="BF377" s="112"/>
      <c r="BG377" s="1610" t="str">
        <f t="shared" si="249"/>
        <v/>
      </c>
      <c r="BH377" s="115" t="str">
        <f t="shared" si="245"/>
        <v/>
      </c>
      <c r="BI377" s="200" t="str">
        <f t="shared" si="222"/>
        <v/>
      </c>
      <c r="BJ377" s="62" t="str">
        <f t="shared" si="221"/>
        <v/>
      </c>
      <c r="BK377" s="1145" t="str">
        <f t="shared" si="229"/>
        <v/>
      </c>
      <c r="BL377" s="62" t="str">
        <f t="shared" si="223"/>
        <v/>
      </c>
      <c r="BM377" s="1145" t="str">
        <f t="shared" si="230"/>
        <v/>
      </c>
      <c r="BN377" s="1901" t="str">
        <f t="shared" si="248"/>
        <v/>
      </c>
      <c r="BO377" s="1144" t="str">
        <f t="shared" si="224"/>
        <v/>
      </c>
      <c r="BP377" s="106" t="str">
        <f t="shared" si="228"/>
        <v/>
      </c>
      <c r="BQ377" s="66" t="str">
        <f t="shared" si="225"/>
        <v/>
      </c>
      <c r="BR377" s="106" t="str">
        <f t="shared" si="226"/>
        <v/>
      </c>
      <c r="BS377" s="834" t="str">
        <f t="shared" si="233"/>
        <v/>
      </c>
      <c r="BT377" s="106" t="str">
        <f t="shared" si="227"/>
        <v/>
      </c>
      <c r="BU377" s="834" t="str">
        <f t="shared" si="231"/>
        <v/>
      </c>
      <c r="BV377" s="66" t="str">
        <f t="shared" si="246"/>
        <v/>
      </c>
      <c r="BW377" s="66" t="str">
        <f t="shared" si="247"/>
        <v/>
      </c>
      <c r="BX377" s="1198" t="str">
        <f t="shared" si="238"/>
        <v/>
      </c>
      <c r="BY377" s="1146" t="str">
        <f t="shared" si="219"/>
        <v/>
      </c>
      <c r="CA377" s="3675">
        <f t="shared" si="232"/>
        <v>44754.125</v>
      </c>
      <c r="CB377" s="3675"/>
    </row>
    <row r="378" spans="1:80" ht="10.5">
      <c r="A378" s="1050" t="str">
        <f t="shared" si="240"/>
        <v>Q12</v>
      </c>
      <c r="B378" s="106" t="str">
        <f>Worksheet!L358</f>
        <v xml:space="preserve"> Q12                     0           0           3           5     4 </v>
      </c>
      <c r="AC378" s="977">
        <f t="shared" si="216"/>
        <v>44754.166666666664</v>
      </c>
      <c r="AE378" s="1149" t="str">
        <f>IF(AND(HOUR(AC378)=HOUR($F$186),DAY(AC378)=DAY($F$186)),(MID($B$189,6,3))*1,IF(AND(ISNUMBER(AE377),AC378&lt;$F$186+1+(1/25)),(MID($B$189,6+(3*COUNT($AE$207:AE377)),3))*1,""))</f>
        <v/>
      </c>
      <c r="AF378" s="1164" t="e">
        <f t="shared" si="234"/>
        <v>#VALUE!</v>
      </c>
      <c r="AG378" s="1150" t="str">
        <f t="shared" si="203"/>
        <v/>
      </c>
      <c r="AH378" s="1163" t="str">
        <f>IF(AND(ISNUMBER(AH377),AC378&lt;$F$186+26/25),(MID($B$190,6+(3*COUNT($AH$207:AH377)),3))*1,IF(AND(HOUR(AC378)=HOUR($F$186),DAY(AC378)=DAY($F$186)),(MID($B$190,6,3))*1,""))</f>
        <v/>
      </c>
      <c r="AI378" s="200"/>
      <c r="AJ378" s="1164" t="e">
        <f t="shared" si="204"/>
        <v>#VALUE!</v>
      </c>
      <c r="AK378" s="1150" t="str">
        <f t="shared" si="205"/>
        <v/>
      </c>
      <c r="AL378" s="1152" t="e">
        <f t="shared" si="235"/>
        <v>#VALUE!</v>
      </c>
      <c r="AM378" s="1153" t="str">
        <f t="shared" si="206"/>
        <v/>
      </c>
      <c r="AN378" s="1147"/>
      <c r="AO378" s="976" t="str">
        <f>IF(BA378="Y",AP378,IF(AND(ISNUMBER(AO377),AC378&lt;$F$186+26/25),(MID(INDEX($A$187:$B$210,MATCH("CIG",$A$187:$A$210,0),2),8+(3*COUNT($AO$207:AO377)),1))*1,IF(AND(HOUR(AC378)=HOUR($F$186),DAY(AC378)=DAY($F$186)),(MID(INDEX($A$187:$B$210,MATCH("CIG",$A$187:$A$210,0),2),8,1))*1,"")))</f>
        <v/>
      </c>
      <c r="AQ378" s="1061" t="str">
        <f>IF(AND(AQ377&lt;&gt;"",AC378&lt;$F$186+26/25),MID(INDEX($A$187:$B$210,MATCH("CLD",$A$187:$A$210,0),2),7+(3*SUM(COUNTIF($AQ$207:AQ377,"OV"),COUNTIF($AQ$207:AQ377,"BK"),COUNTIF($AQ$207:AQ377,"SC"),COUNTIF($AQ$207:AQ377,"FW"),COUNTIF($AQ$207:AQ377,"CL"))),2),IF(AND(HOUR(AC378)=HOUR($F$186),DAY(AC378)=DAY($F$186)),MID(INDEX($A$187:$B$210,MATCH("CLD",$A$187:$A$210,0),2),7,2),""))</f>
        <v/>
      </c>
      <c r="AR378" s="1149" t="str">
        <f t="shared" si="241"/>
        <v/>
      </c>
      <c r="AS378" s="1150" t="str">
        <f t="shared" si="242"/>
        <v/>
      </c>
      <c r="AT378" s="112" t="str">
        <f t="shared" si="243"/>
        <v/>
      </c>
      <c r="AU378" s="1610" t="str">
        <f t="shared" si="244"/>
        <v/>
      </c>
      <c r="AV378" s="1148" t="str">
        <f t="shared" si="236"/>
        <v/>
      </c>
      <c r="AW378" s="920" t="str">
        <f t="shared" si="239"/>
        <v/>
      </c>
      <c r="AX378" s="1608" t="str">
        <f t="shared" si="237"/>
        <v/>
      </c>
      <c r="AY378" s="112" t="str">
        <f>IF(BA378="Y",AZ378,IF(AND(ISNUMBER(AY377),AC378&lt;$F$186+26/25),(MID(INDEX($A$187:$B$210,MATCH("VIS",$A$187:$A$210,0),2),8+(3*COUNT($AY$207:AY377)),1))*1,IF(AND(HOUR(AC378)=HOUR($F$186),DAY(AC378)=DAY($F$186)),(MID(INDEX($A$187:$B$210,MATCH("VIS",$A$187:$A$210,0),2),8,1))*1,"")))</f>
        <v/>
      </c>
      <c r="AZ378" s="112" t="str">
        <f>IF(AND(ISNUMBER(AZ377),AC378&lt;$F$186+26/25),(MID(INDEX($A$187:$B$210,MATCH("CVS",$A$187:$A$210,0),2),8+(3*COUNT($AZ$207:AZ377)),1))*1,IF(AND(HOUR(AC378)=HOUR($F$186),DAY(AC378)=DAY($F$186)),(MID(INDEX($A$187:$B$210,MATCH("CVS",$A$187:$A$210,0),2),8,1))*1,""))</f>
        <v/>
      </c>
      <c r="BA378" s="1610" t="str">
        <f>IF(AND(BA377&lt;&gt;"",AC378&lt;$F$186+26/25),MID(INDEX($A$187:$B$210,MATCH("PCO",$A$187:$A$210,0),2),8+(3*SUM(COUNTIF($BA$207:BA377,"Y"),COUNTIF($BA$207:BA377,"N"))),1),IF(AND(HOUR(AC378)=HOUR($F$186),DAY(AC378)=DAY($F$186)),MID(INDEX($A$187:$B$210,MATCH("PCO",$A$187:$A$210,0),2),8,1),""))</f>
        <v/>
      </c>
      <c r="BB378" s="1610" t="e">
        <f>IF(AND(BB377&lt;&gt;"",AC378&lt;$F$186+26/25),MID(INDEX($A$187:$B$210,MATCH("TYP",$A$187:$A$210,0),2),8+(3*SUM(COUNTIF($BB$207:BB377,"S"),COUNTIF($BB$207:BB377,"Z"), COUNTIF($BB$207:BB377,"R"),COUNTIF($BB$207:BB377,"X"))),1),IF(AND(HOUR(AC378)=HOUR($F$186),DAY(AC378)=DAY($F$186)),MID(INDEX($A$187:$B$210,MATCH("TYP",$A$187:$A$210,0),2),8,1),""))</f>
        <v>#N/A</v>
      </c>
      <c r="BC378" s="112" t="str">
        <f>IF(AND(LEN(BC377)=2,AC378&lt;$F$186+26/25),MID(INDEX($A$187:$B$211,MATCH("OBV",$A$187:$A$211,0),2),7+(3*SUM(COUNTIF($BC$207:BC377," N"),COUNTIF($BC$207:BC377,"HZ"),COUNTIF($BC$207:BC377,"BR"),COUNTIF($BC$207:BC377,"FG"),COUNTIF($BC$207:BC377,"BL"))),2),IF(AND(HOUR(AC378)=HOUR($F$186),DAY(AC378)=DAY($F$186)),MID(INDEX($A$187:$B$211,MATCH("OBV",$A$187:$A$211,0),2),7,2),""))</f>
        <v/>
      </c>
      <c r="BD378" s="112"/>
      <c r="BE378" s="112"/>
      <c r="BF378" s="112"/>
      <c r="BG378" s="1610" t="str">
        <f t="shared" si="249"/>
        <v/>
      </c>
      <c r="BH378" s="115" t="str">
        <f t="shared" si="245"/>
        <v/>
      </c>
      <c r="BI378" s="200" t="str">
        <f t="shared" si="222"/>
        <v/>
      </c>
      <c r="BJ378" s="62" t="str">
        <f t="shared" si="221"/>
        <v/>
      </c>
      <c r="BK378" s="1145" t="str">
        <f t="shared" si="229"/>
        <v/>
      </c>
      <c r="BL378" s="62" t="str">
        <f t="shared" si="223"/>
        <v/>
      </c>
      <c r="BM378" s="1145" t="str">
        <f t="shared" si="230"/>
        <v/>
      </c>
      <c r="BN378" s="1901" t="str">
        <f t="shared" si="248"/>
        <v/>
      </c>
      <c r="BO378" s="1144" t="str">
        <f t="shared" si="224"/>
        <v/>
      </c>
      <c r="BP378" s="106" t="str">
        <f t="shared" si="228"/>
        <v/>
      </c>
      <c r="BQ378" s="66" t="str">
        <f t="shared" si="225"/>
        <v/>
      </c>
      <c r="BR378" s="106" t="str">
        <f t="shared" si="226"/>
        <v/>
      </c>
      <c r="BS378" s="834" t="str">
        <f t="shared" si="233"/>
        <v/>
      </c>
      <c r="BT378" s="106" t="str">
        <f t="shared" si="227"/>
        <v/>
      </c>
      <c r="BU378" s="834" t="str">
        <f t="shared" si="231"/>
        <v/>
      </c>
      <c r="BV378" s="66" t="str">
        <f t="shared" si="246"/>
        <v/>
      </c>
      <c r="BW378" s="66" t="str">
        <f t="shared" si="247"/>
        <v/>
      </c>
      <c r="BX378" s="1198" t="str">
        <f t="shared" si="238"/>
        <v/>
      </c>
      <c r="BY378" s="1146" t="str">
        <f t="shared" si="219"/>
        <v/>
      </c>
      <c r="CA378" s="3675">
        <f t="shared" si="232"/>
        <v>44754.166666666664</v>
      </c>
      <c r="CB378" s="3675"/>
    </row>
    <row r="379" spans="1:80" ht="10.5">
      <c r="A379" s="1050" t="str">
        <f t="shared" si="240"/>
        <v>T06</v>
      </c>
      <c r="B379" s="106" t="str">
        <f>Worksheet!L359</f>
        <v xml:space="preserve"> T06     24/19 16/19 16/ 5 24/ 6 39/23 40/15 30/ 3 19/ 4 47/22 33/ 3 </v>
      </c>
      <c r="AC379" s="977">
        <f t="shared" si="216"/>
        <v>44754.208333333328</v>
      </c>
      <c r="AE379" s="1149" t="str">
        <f>IF(AND(HOUR(AC379)=HOUR($F$186),DAY(AC379)=DAY($F$186)),(MID($B$189,6,3))*1,IF(AND(ISNUMBER(AE378),AC379&lt;$F$186+1+(1/25)),(MID($B$189,6+(3*COUNT($AE$207:AE378)),3))*1,""))</f>
        <v/>
      </c>
      <c r="AF379" s="1164" t="e">
        <f t="shared" si="234"/>
        <v>#VALUE!</v>
      </c>
      <c r="AG379" s="1150" t="str">
        <f t="shared" si="203"/>
        <v/>
      </c>
      <c r="AH379" s="1163" t="str">
        <f>IF(AND(ISNUMBER(AH378),AC379&lt;$F$186+26/25),(MID($B$190,6+(3*COUNT($AH$207:AH378)),3))*1,IF(AND(HOUR(AC379)=HOUR($F$186),DAY(AC379)=DAY($F$186)),(MID($B$190,6,3))*1,""))</f>
        <v/>
      </c>
      <c r="AI379" s="200"/>
      <c r="AJ379" s="1164" t="e">
        <f t="shared" si="204"/>
        <v>#VALUE!</v>
      </c>
      <c r="AK379" s="1150" t="str">
        <f t="shared" si="205"/>
        <v/>
      </c>
      <c r="AL379" s="1152" t="e">
        <f t="shared" si="235"/>
        <v>#VALUE!</v>
      </c>
      <c r="AM379" s="1153" t="str">
        <f t="shared" si="206"/>
        <v/>
      </c>
      <c r="AN379" s="1147"/>
      <c r="AO379" s="976" t="str">
        <f>IF(BA379="Y",AP379,IF(AND(ISNUMBER(AO378),AC379&lt;$F$186+26/25),(MID(INDEX($A$187:$B$210,MATCH("CIG",$A$187:$A$210,0),2),8+(3*COUNT($AO$207:AO378)),1))*1,IF(AND(HOUR(AC379)=HOUR($F$186),DAY(AC379)=DAY($F$186)),(MID(INDEX($A$187:$B$210,MATCH("CIG",$A$187:$A$210,0),2),8,1))*1,"")))</f>
        <v/>
      </c>
      <c r="AQ379" s="1061" t="str">
        <f>IF(AND(AQ378&lt;&gt;"",AC379&lt;$F$186+26/25),MID(INDEX($A$187:$B$210,MATCH("CLD",$A$187:$A$210,0),2),7+(3*SUM(COUNTIF($AQ$207:AQ378,"OV"),COUNTIF($AQ$207:AQ378,"BK"),COUNTIF($AQ$207:AQ378,"SC"),COUNTIF($AQ$207:AQ378,"FW"),COUNTIF($AQ$207:AQ378,"CL"))),2),IF(AND(HOUR(AC379)=HOUR($F$186),DAY(AC379)=DAY($F$186)),MID(INDEX($A$187:$B$210,MATCH("CLD",$A$187:$A$210,0),2),7,2),""))</f>
        <v/>
      </c>
      <c r="AR379" s="1149" t="str">
        <f t="shared" si="241"/>
        <v/>
      </c>
      <c r="AS379" s="1150" t="str">
        <f t="shared" si="242"/>
        <v/>
      </c>
      <c r="AT379" s="112" t="str">
        <f t="shared" si="243"/>
        <v/>
      </c>
      <c r="AU379" s="1610" t="str">
        <f t="shared" si="244"/>
        <v/>
      </c>
      <c r="AV379" s="1148" t="str">
        <f t="shared" si="236"/>
        <v/>
      </c>
      <c r="AW379" s="920" t="str">
        <f t="shared" si="239"/>
        <v/>
      </c>
      <c r="AX379" s="1608" t="str">
        <f t="shared" si="237"/>
        <v/>
      </c>
      <c r="AY379" s="112" t="str">
        <f>IF(BA379="Y",AZ379,IF(AND(ISNUMBER(AY378),AC379&lt;$F$186+26/25),(MID(INDEX($A$187:$B$210,MATCH("VIS",$A$187:$A$210,0),2),8+(3*COUNT($AY$207:AY378)),1))*1,IF(AND(HOUR(AC379)=HOUR($F$186),DAY(AC379)=DAY($F$186)),(MID(INDEX($A$187:$B$210,MATCH("VIS",$A$187:$A$210,0),2),8,1))*1,"")))</f>
        <v/>
      </c>
      <c r="AZ379" s="112" t="str">
        <f>IF(AND(ISNUMBER(AZ378),AC379&lt;$F$186+26/25),(MID(INDEX($A$187:$B$210,MATCH("CVS",$A$187:$A$210,0),2),8+(3*COUNT($AZ$207:AZ378)),1))*1,IF(AND(HOUR(AC379)=HOUR($F$186),DAY(AC379)=DAY($F$186)),(MID(INDEX($A$187:$B$210,MATCH("CVS",$A$187:$A$210,0),2),8,1))*1,""))</f>
        <v/>
      </c>
      <c r="BA379" s="1610" t="str">
        <f>IF(AND(BA378&lt;&gt;"",AC379&lt;$F$186+26/25),MID(INDEX($A$187:$B$210,MATCH("PCO",$A$187:$A$210,0),2),8+(3*SUM(COUNTIF($BA$207:BA378,"Y"),COUNTIF($BA$207:BA378,"N"))),1),IF(AND(HOUR(AC379)=HOUR($F$186),DAY(AC379)=DAY($F$186)),MID(INDEX($A$187:$B$210,MATCH("PCO",$A$187:$A$210,0),2),8,1),""))</f>
        <v/>
      </c>
      <c r="BB379" s="1610" t="e">
        <f>IF(AND(BB378&lt;&gt;"",AC379&lt;$F$186+26/25),MID(INDEX($A$187:$B$210,MATCH("TYP",$A$187:$A$210,0),2),8+(3*SUM(COUNTIF($BB$207:BB378,"S"),COUNTIF($BB$207:BB378,"Z"), COUNTIF($BB$207:BB378,"R"),COUNTIF($BB$207:BB378,"X"))),1),IF(AND(HOUR(AC379)=HOUR($F$186),DAY(AC379)=DAY($F$186)),MID(INDEX($A$187:$B$210,MATCH("TYP",$A$187:$A$210,0),2),8,1),""))</f>
        <v>#N/A</v>
      </c>
      <c r="BC379" s="112" t="str">
        <f>IF(AND(LEN(BC378)=2,AC379&lt;$F$186+26/25),MID(INDEX($A$187:$B$211,MATCH("OBV",$A$187:$A$211,0),2),7+(3*SUM(COUNTIF($BC$207:BC378," N"),COUNTIF($BC$207:BC378,"HZ"),COUNTIF($BC$207:BC378,"BR"),COUNTIF($BC$207:BC378,"FG"),COUNTIF($BC$207:BC378,"BL"))),2),IF(AND(HOUR(AC379)=HOUR($F$186),DAY(AC379)=DAY($F$186)),MID(INDEX($A$187:$B$211,MATCH("OBV",$A$187:$A$211,0),2),7,2),""))</f>
        <v/>
      </c>
      <c r="BD379" s="112"/>
      <c r="BE379" s="112"/>
      <c r="BF379" s="112"/>
      <c r="BG379" s="1610" t="str">
        <f t="shared" si="249"/>
        <v/>
      </c>
      <c r="BH379" s="115" t="str">
        <f t="shared" si="245"/>
        <v/>
      </c>
      <c r="BI379" s="200" t="str">
        <f t="shared" si="222"/>
        <v/>
      </c>
      <c r="BJ379" s="62" t="str">
        <f t="shared" si="221"/>
        <v/>
      </c>
      <c r="BK379" s="1145" t="str">
        <f t="shared" si="229"/>
        <v/>
      </c>
      <c r="BL379" s="62" t="str">
        <f t="shared" si="223"/>
        <v/>
      </c>
      <c r="BM379" s="1145" t="str">
        <f t="shared" si="230"/>
        <v/>
      </c>
      <c r="BN379" s="1901" t="str">
        <f t="shared" si="248"/>
        <v/>
      </c>
      <c r="BO379" s="1144" t="str">
        <f t="shared" si="224"/>
        <v/>
      </c>
      <c r="BP379" s="106" t="str">
        <f t="shared" si="228"/>
        <v/>
      </c>
      <c r="BQ379" s="66" t="str">
        <f t="shared" si="225"/>
        <v/>
      </c>
      <c r="BR379" s="106" t="str">
        <f t="shared" si="226"/>
        <v/>
      </c>
      <c r="BS379" s="834" t="str">
        <f t="shared" si="233"/>
        <v/>
      </c>
      <c r="BT379" s="106" t="str">
        <f t="shared" si="227"/>
        <v/>
      </c>
      <c r="BU379" s="834" t="str">
        <f t="shared" si="231"/>
        <v/>
      </c>
      <c r="BV379" s="66" t="str">
        <f t="shared" si="246"/>
        <v/>
      </c>
      <c r="BW379" s="66" t="str">
        <f t="shared" si="247"/>
        <v/>
      </c>
      <c r="BX379" s="1198" t="str">
        <f t="shared" si="238"/>
        <v/>
      </c>
      <c r="BY379" s="1146" t="str">
        <f t="shared" si="219"/>
        <v/>
      </c>
      <c r="CA379" s="3675">
        <f t="shared" si="232"/>
        <v>44754.208333333328</v>
      </c>
      <c r="CB379" s="3675"/>
    </row>
    <row r="380" spans="1:80" ht="10.5">
      <c r="A380" s="1050" t="str">
        <f t="shared" si="240"/>
        <v>T12</v>
      </c>
      <c r="B380" s="106" t="str">
        <f>Worksheet!L360</f>
        <v xml:space="preserve"> T12           29/22       34/ 6       70/27       31/ 6    61/28    </v>
      </c>
      <c r="AC380" s="977">
        <f t="shared" si="216"/>
        <v>44754.25</v>
      </c>
      <c r="AE380" s="1149" t="str">
        <f>IF(AND(HOUR(AC380)=HOUR($F$186),DAY(AC380)=DAY($F$186)),(MID($B$189,6,3))*1,IF(AND(ISNUMBER(AE379),AC380&lt;$F$186+1+(1/25)),(MID($B$189,6+(3*COUNT($AE$207:AE379)),3))*1,""))</f>
        <v/>
      </c>
      <c r="AF380" s="1164" t="e">
        <f t="shared" si="234"/>
        <v>#VALUE!</v>
      </c>
      <c r="AG380" s="1150" t="str">
        <f t="shared" si="203"/>
        <v/>
      </c>
      <c r="AH380" s="1163" t="str">
        <f>IF(AND(ISNUMBER(AH379),AC380&lt;$F$186+26/25),(MID($B$190,6+(3*COUNT($AH$207:AH379)),3))*1,IF(AND(HOUR(AC380)=HOUR($F$186),DAY(AC380)=DAY($F$186)),(MID($B$190,6,3))*1,""))</f>
        <v/>
      </c>
      <c r="AI380" s="200"/>
      <c r="AJ380" s="1164" t="e">
        <f t="shared" si="204"/>
        <v>#VALUE!</v>
      </c>
      <c r="AK380" s="1150" t="str">
        <f t="shared" si="205"/>
        <v/>
      </c>
      <c r="AL380" s="1152" t="e">
        <f t="shared" si="235"/>
        <v>#VALUE!</v>
      </c>
      <c r="AM380" s="1153" t="str">
        <f t="shared" si="206"/>
        <v/>
      </c>
      <c r="AN380" s="1147"/>
      <c r="AO380" s="976" t="str">
        <f>IF(BA380="Y",AP380,IF(AND(ISNUMBER(AO379),AC380&lt;$F$186+26/25),(MID(INDEX($A$187:$B$210,MATCH("CIG",$A$187:$A$210,0),2),8+(3*COUNT($AO$207:AO379)),1))*1,IF(AND(HOUR(AC380)=HOUR($F$186),DAY(AC380)=DAY($F$186)),(MID(INDEX($A$187:$B$210,MATCH("CIG",$A$187:$A$210,0),2),8,1))*1,"")))</f>
        <v/>
      </c>
      <c r="AQ380" s="1061" t="str">
        <f>IF(AND(AQ379&lt;&gt;"",AC380&lt;$F$186+26/25),MID(INDEX($A$187:$B$210,MATCH("CLD",$A$187:$A$210,0),2),7+(3*SUM(COUNTIF($AQ$207:AQ379,"OV"),COUNTIF($AQ$207:AQ379,"BK"),COUNTIF($AQ$207:AQ379,"SC"),COUNTIF($AQ$207:AQ379,"FW"),COUNTIF($AQ$207:AQ379,"CL"))),2),IF(AND(HOUR(AC380)=HOUR($F$186),DAY(AC380)=DAY($F$186)),MID(INDEX($A$187:$B$210,MATCH("CLD",$A$187:$A$210,0),2),7,2),""))</f>
        <v/>
      </c>
      <c r="AR380" s="1149" t="str">
        <f t="shared" si="241"/>
        <v/>
      </c>
      <c r="AS380" s="1150" t="str">
        <f t="shared" si="242"/>
        <v/>
      </c>
      <c r="AT380" s="112" t="str">
        <f t="shared" si="243"/>
        <v/>
      </c>
      <c r="AU380" s="1610" t="str">
        <f t="shared" si="244"/>
        <v/>
      </c>
      <c r="AV380" s="1148" t="str">
        <f t="shared" si="236"/>
        <v/>
      </c>
      <c r="AW380" s="920" t="str">
        <f t="shared" si="239"/>
        <v/>
      </c>
      <c r="AX380" s="1608" t="str">
        <f t="shared" si="237"/>
        <v/>
      </c>
      <c r="AY380" s="112" t="str">
        <f>IF(BA380="Y",AZ380,IF(AND(ISNUMBER(AY379),AC380&lt;$F$186+26/25),(MID(INDEX($A$187:$B$210,MATCH("VIS",$A$187:$A$210,0),2),8+(3*COUNT($AY$207:AY379)),1))*1,IF(AND(HOUR(AC380)=HOUR($F$186),DAY(AC380)=DAY($F$186)),(MID(INDEX($A$187:$B$210,MATCH("VIS",$A$187:$A$210,0),2),8,1))*1,"")))</f>
        <v/>
      </c>
      <c r="AZ380" s="112" t="str">
        <f>IF(AND(ISNUMBER(AZ379),AC380&lt;$F$186+26/25),(MID(INDEX($A$187:$B$210,MATCH("CVS",$A$187:$A$210,0),2),8+(3*COUNT($AZ$207:AZ379)),1))*1,IF(AND(HOUR(AC380)=HOUR($F$186),DAY(AC380)=DAY($F$186)),(MID(INDEX($A$187:$B$210,MATCH("CVS",$A$187:$A$210,0),2),8,1))*1,""))</f>
        <v/>
      </c>
      <c r="BA380" s="1610" t="str">
        <f>IF(AND(BA379&lt;&gt;"",AC380&lt;$F$186+26/25),MID(INDEX($A$187:$B$210,MATCH("PCO",$A$187:$A$210,0),2),8+(3*SUM(COUNTIF($BA$207:BA379,"Y"),COUNTIF($BA$207:BA379,"N"))),1),IF(AND(HOUR(AC380)=HOUR($F$186),DAY(AC380)=DAY($F$186)),MID(INDEX($A$187:$B$210,MATCH("PCO",$A$187:$A$210,0),2),8,1),""))</f>
        <v/>
      </c>
      <c r="BB380" s="1610" t="e">
        <f>IF(AND(BB379&lt;&gt;"",AC380&lt;$F$186+26/25),MID(INDEX($A$187:$B$210,MATCH("TYP",$A$187:$A$210,0),2),8+(3*SUM(COUNTIF($BB$207:BB379,"S"),COUNTIF($BB$207:BB379,"Z"), COUNTIF($BB$207:BB379,"R"),COUNTIF($BB$207:BB379,"X"))),1),IF(AND(HOUR(AC380)=HOUR($F$186),DAY(AC380)=DAY($F$186)),MID(INDEX($A$187:$B$210,MATCH("TYP",$A$187:$A$210,0),2),8,1),""))</f>
        <v>#N/A</v>
      </c>
      <c r="BC380" s="112" t="str">
        <f>IF(AND(LEN(BC379)=2,AC380&lt;$F$186+26/25),MID(INDEX($A$187:$B$211,MATCH("OBV",$A$187:$A$211,0),2),7+(3*SUM(COUNTIF($BC$207:BC379," N"),COUNTIF($BC$207:BC379,"HZ"),COUNTIF($BC$207:BC379,"BR"),COUNTIF($BC$207:BC379,"FG"),COUNTIF($BC$207:BC379,"BL"))),2),IF(AND(HOUR(AC380)=HOUR($F$186),DAY(AC380)=DAY($F$186)),MID(INDEX($A$187:$B$211,MATCH("OBV",$A$187:$A$211,0),2),7,2),""))</f>
        <v/>
      </c>
      <c r="BD380" s="112"/>
      <c r="BE380" s="112"/>
      <c r="BF380" s="112"/>
      <c r="BG380" s="1610" t="str">
        <f t="shared" si="249"/>
        <v/>
      </c>
      <c r="BH380" s="115" t="str">
        <f t="shared" si="245"/>
        <v/>
      </c>
      <c r="BI380" s="200" t="str">
        <f t="shared" si="222"/>
        <v/>
      </c>
      <c r="BJ380" s="62" t="str">
        <f t="shared" si="221"/>
        <v/>
      </c>
      <c r="BK380" s="1145" t="str">
        <f t="shared" si="229"/>
        <v/>
      </c>
      <c r="BL380" s="62" t="str">
        <f t="shared" si="223"/>
        <v/>
      </c>
      <c r="BM380" s="1145" t="str">
        <f t="shared" si="230"/>
        <v/>
      </c>
      <c r="BN380" s="1901" t="str">
        <f t="shared" si="248"/>
        <v/>
      </c>
      <c r="BO380" s="1144" t="str">
        <f t="shared" si="224"/>
        <v/>
      </c>
      <c r="BP380" s="106" t="str">
        <f t="shared" si="228"/>
        <v/>
      </c>
      <c r="BQ380" s="66" t="str">
        <f t="shared" si="225"/>
        <v/>
      </c>
      <c r="BR380" s="106" t="str">
        <f t="shared" si="226"/>
        <v/>
      </c>
      <c r="BS380" s="834" t="str">
        <f t="shared" si="233"/>
        <v/>
      </c>
      <c r="BT380" s="106" t="str">
        <f t="shared" si="227"/>
        <v/>
      </c>
      <c r="BU380" s="834" t="str">
        <f t="shared" si="231"/>
        <v/>
      </c>
      <c r="BV380" s="66" t="str">
        <f t="shared" si="246"/>
        <v/>
      </c>
      <c r="BW380" s="66" t="str">
        <f t="shared" si="247"/>
        <v/>
      </c>
      <c r="BX380" s="1198" t="str">
        <f t="shared" si="238"/>
        <v/>
      </c>
      <c r="BY380" s="1146" t="str">
        <f t="shared" si="219"/>
        <v/>
      </c>
      <c r="CA380" s="3675">
        <f t="shared" si="232"/>
        <v>44754.25</v>
      </c>
      <c r="CB380" s="3675"/>
    </row>
    <row r="381" spans="1:80" ht="10.5">
      <c r="A381" s="1050" t="str">
        <f t="shared" si="240"/>
        <v>CIG</v>
      </c>
      <c r="B381" s="106" t="str">
        <f>Worksheet!L361</f>
        <v xml:space="preserve"> CIG   8  8  8  8  8  8  8  8  8  8  8  8  7  8  8  8  7  8  7  7  4 </v>
      </c>
      <c r="E381" s="108"/>
      <c r="AC381" s="977">
        <f t="shared" si="216"/>
        <v>44754.291666666664</v>
      </c>
      <c r="AE381" s="1149" t="str">
        <f>IF(AND(HOUR(AC381)=HOUR($F$186),DAY(AC381)=DAY($F$186)),(MID($B$189,6,3))*1,IF(AND(ISNUMBER(AE380),AC381&lt;$F$186+1+(1/25)),(MID($B$189,6+(3*COUNT($AE$207:AE380)),3))*1,""))</f>
        <v/>
      </c>
      <c r="AF381" s="1164" t="e">
        <f t="shared" si="234"/>
        <v>#VALUE!</v>
      </c>
      <c r="AG381" s="1150" t="str">
        <f t="shared" si="203"/>
        <v/>
      </c>
      <c r="AH381" s="1163" t="str">
        <f>IF(AND(ISNUMBER(AH380),AC381&lt;$F$186+26/25),(MID($B$190,6+(3*COUNT($AH$207:AH380)),3))*1,IF(AND(HOUR(AC381)=HOUR($F$186),DAY(AC381)=DAY($F$186)),(MID($B$190,6,3))*1,""))</f>
        <v/>
      </c>
      <c r="AI381" s="200"/>
      <c r="AJ381" s="1164" t="e">
        <f t="shared" si="204"/>
        <v>#VALUE!</v>
      </c>
      <c r="AK381" s="1150" t="str">
        <f t="shared" si="205"/>
        <v/>
      </c>
      <c r="AL381" s="1152" t="e">
        <f t="shared" si="235"/>
        <v>#VALUE!</v>
      </c>
      <c r="AM381" s="1153" t="str">
        <f t="shared" si="206"/>
        <v/>
      </c>
      <c r="AN381" s="1147"/>
      <c r="AO381" s="976" t="str">
        <f>IF(BA381="Y",AP381,IF(AND(ISNUMBER(AO380),AC381&lt;$F$186+26/25),(MID(INDEX($A$187:$B$210,MATCH("CIG",$A$187:$A$210,0),2),8+(3*COUNT($AO$207:AO380)),1))*1,IF(AND(HOUR(AC381)=HOUR($F$186),DAY(AC381)=DAY($F$186)),(MID(INDEX($A$187:$B$210,MATCH("CIG",$A$187:$A$210,0),2),8,1))*1,"")))</f>
        <v/>
      </c>
      <c r="AQ381" s="1061" t="str">
        <f>IF(AND(AQ380&lt;&gt;"",AC381&lt;$F$186+26/25),MID(INDEX($A$187:$B$210,MATCH("CLD",$A$187:$A$210,0),2),7+(3*SUM(COUNTIF($AQ$207:AQ380,"OV"),COUNTIF($AQ$207:AQ380,"BK"),COUNTIF($AQ$207:AQ380,"SC"),COUNTIF($AQ$207:AQ380,"FW"),COUNTIF($AQ$207:AQ380,"CL"))),2),IF(AND(HOUR(AC381)=HOUR($F$186),DAY(AC381)=DAY($F$186)),MID(INDEX($A$187:$B$210,MATCH("CLD",$A$187:$A$210,0),2),7,2),""))</f>
        <v/>
      </c>
      <c r="AR381" s="1149" t="str">
        <f t="shared" si="241"/>
        <v/>
      </c>
      <c r="AS381" s="1150" t="str">
        <f t="shared" si="242"/>
        <v/>
      </c>
      <c r="AT381" s="112" t="str">
        <f t="shared" si="243"/>
        <v/>
      </c>
      <c r="AU381" s="1610" t="str">
        <f t="shared" si="244"/>
        <v/>
      </c>
      <c r="AV381" s="1148" t="str">
        <f t="shared" si="236"/>
        <v/>
      </c>
      <c r="AW381" s="920" t="str">
        <f t="shared" si="239"/>
        <v/>
      </c>
      <c r="AX381" s="1608" t="str">
        <f t="shared" si="237"/>
        <v/>
      </c>
      <c r="AY381" s="112" t="str">
        <f>IF(BA381="Y",AZ381,IF(AND(ISNUMBER(AY380),AC381&lt;$F$186+26/25),(MID(INDEX($A$187:$B$210,MATCH("VIS",$A$187:$A$210,0),2),8+(3*COUNT($AY$207:AY380)),1))*1,IF(AND(HOUR(AC381)=HOUR($F$186),DAY(AC381)=DAY($F$186)),(MID(INDEX($A$187:$B$210,MATCH("VIS",$A$187:$A$210,0),2),8,1))*1,"")))</f>
        <v/>
      </c>
      <c r="AZ381" s="112" t="str">
        <f>IF(AND(ISNUMBER(AZ380),AC381&lt;$F$186+26/25),(MID(INDEX($A$187:$B$210,MATCH("CVS",$A$187:$A$210,0),2),8+(3*COUNT($AZ$207:AZ380)),1))*1,IF(AND(HOUR(AC381)=HOUR($F$186),DAY(AC381)=DAY($F$186)),(MID(INDEX($A$187:$B$210,MATCH("CVS",$A$187:$A$210,0),2),8,1))*1,""))</f>
        <v/>
      </c>
      <c r="BA381" s="1610" t="str">
        <f>IF(AND(BA380&lt;&gt;"",AC381&lt;$F$186+26/25),MID(INDEX($A$187:$B$210,MATCH("PCO",$A$187:$A$210,0),2),8+(3*SUM(COUNTIF($BA$207:BA380,"Y"),COUNTIF($BA$207:BA380,"N"))),1),IF(AND(HOUR(AC381)=HOUR($F$186),DAY(AC381)=DAY($F$186)),MID(INDEX($A$187:$B$210,MATCH("PCO",$A$187:$A$210,0),2),8,1),""))</f>
        <v/>
      </c>
      <c r="BB381" s="1610" t="e">
        <f>IF(AND(BB380&lt;&gt;"",AC381&lt;$F$186+26/25),MID(INDEX($A$187:$B$210,MATCH("TYP",$A$187:$A$210,0),2),8+(3*SUM(COUNTIF($BB$207:BB380,"S"),COUNTIF($BB$207:BB380,"Z"), COUNTIF($BB$207:BB380,"R"),COUNTIF($BB$207:BB380,"X"))),1),IF(AND(HOUR(AC381)=HOUR($F$186),DAY(AC381)=DAY($F$186)),MID(INDEX($A$187:$B$210,MATCH("TYP",$A$187:$A$210,0),2),8,1),""))</f>
        <v>#N/A</v>
      </c>
      <c r="BC381" s="112" t="str">
        <f>IF(AND(LEN(BC380)=2,AC381&lt;$F$186+26/25),MID(INDEX($A$187:$B$211,MATCH("OBV",$A$187:$A$211,0),2),7+(3*SUM(COUNTIF($BC$207:BC380," N"),COUNTIF($BC$207:BC380,"HZ"),COUNTIF($BC$207:BC380,"BR"),COUNTIF($BC$207:BC380,"FG"),COUNTIF($BC$207:BC380,"BL"))),2),IF(AND(HOUR(AC381)=HOUR($F$186),DAY(AC381)=DAY($F$186)),MID(INDEX($A$187:$B$211,MATCH("OBV",$A$187:$A$211,0),2),7,2),""))</f>
        <v/>
      </c>
      <c r="BD381" s="112"/>
      <c r="BE381" s="112"/>
      <c r="BF381" s="112"/>
      <c r="BG381" s="1610" t="str">
        <f t="shared" si="249"/>
        <v/>
      </c>
      <c r="BH381" s="115" t="str">
        <f t="shared" si="245"/>
        <v/>
      </c>
      <c r="BI381" s="200" t="str">
        <f t="shared" si="222"/>
        <v/>
      </c>
      <c r="BJ381" s="62" t="str">
        <f t="shared" si="221"/>
        <v/>
      </c>
      <c r="BK381" s="1145" t="str">
        <f t="shared" si="229"/>
        <v/>
      </c>
      <c r="BL381" s="62" t="str">
        <f t="shared" si="223"/>
        <v/>
      </c>
      <c r="BM381" s="1145" t="str">
        <f t="shared" si="230"/>
        <v/>
      </c>
      <c r="BN381" s="1901" t="str">
        <f t="shared" si="248"/>
        <v/>
      </c>
      <c r="BO381" s="1144" t="str">
        <f t="shared" si="224"/>
        <v/>
      </c>
      <c r="BP381" s="106" t="str">
        <f t="shared" si="228"/>
        <v/>
      </c>
      <c r="BQ381" s="66" t="str">
        <f t="shared" si="225"/>
        <v/>
      </c>
      <c r="BR381" s="106" t="str">
        <f t="shared" si="226"/>
        <v/>
      </c>
      <c r="BS381" s="834" t="str">
        <f t="shared" si="233"/>
        <v/>
      </c>
      <c r="BT381" s="106" t="str">
        <f t="shared" si="227"/>
        <v/>
      </c>
      <c r="BU381" s="834" t="str">
        <f t="shared" si="231"/>
        <v/>
      </c>
      <c r="BV381" s="66" t="str">
        <f t="shared" si="246"/>
        <v/>
      </c>
      <c r="BW381" s="66" t="str">
        <f t="shared" si="247"/>
        <v/>
      </c>
      <c r="BX381" s="1198" t="str">
        <f t="shared" si="238"/>
        <v/>
      </c>
      <c r="BY381" s="1146" t="str">
        <f t="shared" si="219"/>
        <v/>
      </c>
      <c r="CA381" s="3675">
        <f t="shared" si="232"/>
        <v>44754.291666666664</v>
      </c>
      <c r="CB381" s="3675"/>
    </row>
    <row r="382" spans="1:80" ht="10.5">
      <c r="A382" s="1050" t="str">
        <f t="shared" si="240"/>
        <v>VIS</v>
      </c>
      <c r="B382" s="106" t="str">
        <f>Worksheet!L362</f>
        <v xml:space="preserve"> VIS   7  7  7  7  7  7  7  7  7  7  7  6  4  5  5  7  7  7  7  4  5 </v>
      </c>
      <c r="AC382" s="977">
        <f t="shared" si="216"/>
        <v>44754.333333333328</v>
      </c>
      <c r="AE382" s="1149" t="str">
        <f>IF(AND(HOUR(AC382)=HOUR($F$186),DAY(AC382)=DAY($F$186)),(MID($B$189,6,3))*1,IF(AND(ISNUMBER(AE381),AC382&lt;$F$186+1+(1/25)),(MID($B$189,6+(3*COUNT($AE$207:AE381)),3))*1,""))</f>
        <v/>
      </c>
      <c r="AF382" s="1164" t="e">
        <f t="shared" si="234"/>
        <v>#VALUE!</v>
      </c>
      <c r="AG382" s="1150" t="str">
        <f t="shared" si="203"/>
        <v/>
      </c>
      <c r="AH382" s="1163" t="str">
        <f>IF(AND(ISNUMBER(AH381),AC382&lt;$F$186+26/25),(MID($B$190,6+(3*COUNT($AH$207:AH381)),3))*1,IF(AND(HOUR(AC382)=HOUR($F$186),DAY(AC382)=DAY($F$186)),(MID($B$190,6,3))*1,""))</f>
        <v/>
      </c>
      <c r="AI382" s="200"/>
      <c r="AJ382" s="1164" t="e">
        <f t="shared" si="204"/>
        <v>#VALUE!</v>
      </c>
      <c r="AK382" s="1150" t="str">
        <f t="shared" si="205"/>
        <v/>
      </c>
      <c r="AL382" s="1152" t="e">
        <f t="shared" si="235"/>
        <v>#VALUE!</v>
      </c>
      <c r="AM382" s="1153" t="str">
        <f t="shared" si="206"/>
        <v/>
      </c>
      <c r="AN382" s="1147"/>
      <c r="AO382" s="976" t="str">
        <f>IF(BA382="Y",AP382,IF(AND(ISNUMBER(AO381),AC382&lt;$F$186+26/25),(MID(INDEX($A$187:$B$210,MATCH("CIG",$A$187:$A$210,0),2),8+(3*COUNT($AO$207:AO381)),1))*1,IF(AND(HOUR(AC382)=HOUR($F$186),DAY(AC382)=DAY($F$186)),(MID(INDEX($A$187:$B$210,MATCH("CIG",$A$187:$A$210,0),2),8,1))*1,"")))</f>
        <v/>
      </c>
      <c r="AQ382" s="1061" t="str">
        <f>IF(AND(AQ381&lt;&gt;"",AC382&lt;$F$186+26/25),MID(INDEX($A$187:$B$210,MATCH("CLD",$A$187:$A$210,0),2),7+(3*SUM(COUNTIF($AQ$207:AQ381,"OV"),COUNTIF($AQ$207:AQ381,"BK"),COUNTIF($AQ$207:AQ381,"SC"),COUNTIF($AQ$207:AQ381,"FW"),COUNTIF($AQ$207:AQ381,"CL"))),2),IF(AND(HOUR(AC382)=HOUR($F$186),DAY(AC382)=DAY($F$186)),MID(INDEX($A$187:$B$210,MATCH("CLD",$A$187:$A$210,0),2),7,2),""))</f>
        <v/>
      </c>
      <c r="AR382" s="1149" t="str">
        <f t="shared" si="241"/>
        <v/>
      </c>
      <c r="AS382" s="1150" t="str">
        <f t="shared" si="242"/>
        <v/>
      </c>
      <c r="AT382" s="112" t="str">
        <f t="shared" si="243"/>
        <v/>
      </c>
      <c r="AU382" s="1610" t="str">
        <f t="shared" si="244"/>
        <v/>
      </c>
      <c r="AV382" s="1148" t="str">
        <f t="shared" si="236"/>
        <v/>
      </c>
      <c r="AW382" s="920" t="str">
        <f t="shared" si="239"/>
        <v/>
      </c>
      <c r="AX382" s="1608" t="str">
        <f t="shared" si="237"/>
        <v/>
      </c>
      <c r="AY382" s="112" t="str">
        <f>IF(BA382="Y",AZ382,IF(AND(ISNUMBER(AY381),AC382&lt;$F$186+26/25),(MID(INDEX($A$187:$B$210,MATCH("VIS",$A$187:$A$210,0),2),8+(3*COUNT($AY$207:AY381)),1))*1,IF(AND(HOUR(AC382)=HOUR($F$186),DAY(AC382)=DAY($F$186)),(MID(INDEX($A$187:$B$210,MATCH("VIS",$A$187:$A$210,0),2),8,1))*1,"")))</f>
        <v/>
      </c>
      <c r="AZ382" s="112" t="str">
        <f>IF(AND(ISNUMBER(AZ381),AC382&lt;$F$186+26/25),(MID(INDEX($A$187:$B$210,MATCH("CVS",$A$187:$A$210,0),2),8+(3*COUNT($AZ$207:AZ381)),1))*1,IF(AND(HOUR(AC382)=HOUR($F$186),DAY(AC382)=DAY($F$186)),(MID(INDEX($A$187:$B$210,MATCH("CVS",$A$187:$A$210,0),2),8,1))*1,""))</f>
        <v/>
      </c>
      <c r="BA382" s="1610" t="str">
        <f>IF(AND(BA381&lt;&gt;"",AC382&lt;$F$186+26/25),MID(INDEX($A$187:$B$210,MATCH("PCO",$A$187:$A$210,0),2),8+(3*SUM(COUNTIF($BA$207:BA381,"Y"),COUNTIF($BA$207:BA381,"N"))),1),IF(AND(HOUR(AC382)=HOUR($F$186),DAY(AC382)=DAY($F$186)),MID(INDEX($A$187:$B$210,MATCH("PCO",$A$187:$A$210,0),2),8,1),""))</f>
        <v/>
      </c>
      <c r="BB382" s="1610" t="e">
        <f>IF(AND(BB381&lt;&gt;"",AC382&lt;$F$186+26/25),MID(INDEX($A$187:$B$210,MATCH("TYP",$A$187:$A$210,0),2),8+(3*SUM(COUNTIF($BB$207:BB381,"S"),COUNTIF($BB$207:BB381,"Z"), COUNTIF($BB$207:BB381,"R"),COUNTIF($BB$207:BB381,"X"))),1),IF(AND(HOUR(AC382)=HOUR($F$186),DAY(AC382)=DAY($F$186)),MID(INDEX($A$187:$B$210,MATCH("TYP",$A$187:$A$210,0),2),8,1),""))</f>
        <v>#N/A</v>
      </c>
      <c r="BC382" s="112" t="str">
        <f>IF(AND(LEN(BC381)=2,AC382&lt;$F$186+26/25),MID(INDEX($A$187:$B$211,MATCH("OBV",$A$187:$A$211,0),2),7+(3*SUM(COUNTIF($BC$207:BC381," N"),COUNTIF($BC$207:BC381,"HZ"),COUNTIF($BC$207:BC381,"BR"),COUNTIF($BC$207:BC381,"FG"),COUNTIF($BC$207:BC381,"BL"))),2),IF(AND(HOUR(AC382)=HOUR($F$186),DAY(AC382)=DAY($F$186)),MID(INDEX($A$187:$B$211,MATCH("OBV",$A$187:$A$211,0),2),7,2),""))</f>
        <v/>
      </c>
      <c r="BD382" s="112"/>
      <c r="BE382" s="112"/>
      <c r="BF382" s="112"/>
      <c r="BG382" s="1610" t="str">
        <f t="shared" si="249"/>
        <v/>
      </c>
      <c r="BH382" s="115" t="str">
        <f t="shared" si="245"/>
        <v/>
      </c>
      <c r="BI382" s="200" t="str">
        <f t="shared" si="222"/>
        <v/>
      </c>
      <c r="BJ382" s="62" t="str">
        <f t="shared" si="221"/>
        <v/>
      </c>
      <c r="BK382" s="1145" t="str">
        <f t="shared" si="229"/>
        <v/>
      </c>
      <c r="BL382" s="62" t="str">
        <f t="shared" si="223"/>
        <v/>
      </c>
      <c r="BM382" s="1145" t="str">
        <f t="shared" si="230"/>
        <v/>
      </c>
      <c r="BN382" s="1901" t="str">
        <f t="shared" si="248"/>
        <v/>
      </c>
      <c r="BO382" s="1144" t="str">
        <f t="shared" si="224"/>
        <v/>
      </c>
      <c r="BP382" s="106" t="str">
        <f t="shared" si="228"/>
        <v/>
      </c>
      <c r="BQ382" s="66" t="str">
        <f t="shared" si="225"/>
        <v/>
      </c>
      <c r="BR382" s="106" t="str">
        <f t="shared" si="226"/>
        <v/>
      </c>
      <c r="BS382" s="834" t="str">
        <f t="shared" si="233"/>
        <v/>
      </c>
      <c r="BT382" s="106" t="str">
        <f t="shared" si="227"/>
        <v/>
      </c>
      <c r="BU382" s="834" t="str">
        <f t="shared" si="231"/>
        <v/>
      </c>
      <c r="BV382" s="66" t="str">
        <f t="shared" si="246"/>
        <v/>
      </c>
      <c r="BW382" s="66" t="str">
        <f t="shared" si="247"/>
        <v/>
      </c>
      <c r="BX382" s="1198" t="str">
        <f t="shared" si="238"/>
        <v/>
      </c>
      <c r="BY382" s="1146" t="str">
        <f t="shared" si="219"/>
        <v/>
      </c>
      <c r="CA382" s="3675">
        <f t="shared" si="232"/>
        <v>44754.333333333328</v>
      </c>
      <c r="CB382" s="3675"/>
    </row>
    <row r="383" spans="1:80" ht="10.5">
      <c r="A383" s="1050" t="str">
        <f t="shared" si="240"/>
        <v>OBV</v>
      </c>
      <c r="B383" s="106" t="str">
        <f>Worksheet!L363</f>
        <v xml:space="preserve"> OBV   N  N  N  N  N  N  N  N  N  N  N  N BR BR BR  N  N  N  N BR BR </v>
      </c>
      <c r="AC383" s="977">
        <f t="shared" si="216"/>
        <v>44754.375</v>
      </c>
      <c r="AE383" s="1149" t="str">
        <f>IF(AND(HOUR(AC383)=HOUR($F$186),DAY(AC383)=DAY($F$186)),(MID($B$189,6,3))*1,IF(AND(ISNUMBER(AE382),AC383&lt;$F$186+1+(1/25)),(MID($B$189,6+(3*COUNT($AE$207:AE382)),3))*1,""))</f>
        <v/>
      </c>
      <c r="AF383" s="1164" t="e">
        <f t="shared" si="234"/>
        <v>#VALUE!</v>
      </c>
      <c r="AG383" s="1150" t="str">
        <f t="shared" si="203"/>
        <v/>
      </c>
      <c r="AH383" s="1163" t="str">
        <f>IF(AND(ISNUMBER(AH382),AC383&lt;$F$186+26/25),(MID($B$190,6+(3*COUNT($AH$207:AH382)),3))*1,IF(AND(HOUR(AC383)=HOUR($F$186),DAY(AC383)=DAY($F$186)),(MID($B$190,6,3))*1,""))</f>
        <v/>
      </c>
      <c r="AI383" s="200"/>
      <c r="AJ383" s="1164" t="e">
        <f t="shared" si="204"/>
        <v>#VALUE!</v>
      </c>
      <c r="AK383" s="1150" t="str">
        <f t="shared" si="205"/>
        <v/>
      </c>
      <c r="AL383" s="1152" t="e">
        <f t="shared" si="235"/>
        <v>#VALUE!</v>
      </c>
      <c r="AM383" s="1153" t="str">
        <f t="shared" si="206"/>
        <v/>
      </c>
      <c r="AN383" s="1147"/>
      <c r="AO383" s="976" t="str">
        <f>IF(BA383="Y",AP383,IF(AND(ISNUMBER(AO382),AC383&lt;$F$186+26/25),(MID(INDEX($A$187:$B$210,MATCH("CIG",$A$187:$A$210,0),2),8+(3*COUNT($AO$207:AO382)),1))*1,IF(AND(HOUR(AC383)=HOUR($F$186),DAY(AC383)=DAY($F$186)),(MID(INDEX($A$187:$B$210,MATCH("CIG",$A$187:$A$210,0),2),8,1))*1,"")))</f>
        <v/>
      </c>
      <c r="AQ383" s="1061" t="str">
        <f>IF(AND(AQ382&lt;&gt;"",AC383&lt;$F$186+26/25),MID(INDEX($A$187:$B$210,MATCH("CLD",$A$187:$A$210,0),2),7+(3*SUM(COUNTIF($AQ$207:AQ382,"OV"),COUNTIF($AQ$207:AQ382,"BK"),COUNTIF($AQ$207:AQ382,"SC"),COUNTIF($AQ$207:AQ382,"FW"),COUNTIF($AQ$207:AQ382,"CL"))),2),IF(AND(HOUR(AC383)=HOUR($F$186),DAY(AC383)=DAY($F$186)),MID(INDEX($A$187:$B$210,MATCH("CLD",$A$187:$A$210,0),2),7,2),""))</f>
        <v/>
      </c>
      <c r="AR383" s="1149" t="str">
        <f t="shared" si="241"/>
        <v/>
      </c>
      <c r="AS383" s="1150" t="str">
        <f t="shared" si="242"/>
        <v/>
      </c>
      <c r="AT383" s="112" t="str">
        <f t="shared" si="243"/>
        <v/>
      </c>
      <c r="AU383" s="1610" t="str">
        <f t="shared" si="244"/>
        <v/>
      </c>
      <c r="AV383" s="1148" t="str">
        <f t="shared" si="236"/>
        <v/>
      </c>
      <c r="AW383" s="920" t="str">
        <f t="shared" si="239"/>
        <v/>
      </c>
      <c r="AX383" s="1608" t="str">
        <f t="shared" si="237"/>
        <v/>
      </c>
      <c r="AY383" s="112" t="str">
        <f>IF(BA383="Y",AZ383,IF(AND(ISNUMBER(AY382),AC383&lt;$F$186+26/25),(MID(INDEX($A$187:$B$210,MATCH("VIS",$A$187:$A$210,0),2),8+(3*COUNT($AY$207:AY382)),1))*1,IF(AND(HOUR(AC383)=HOUR($F$186),DAY(AC383)=DAY($F$186)),(MID(INDEX($A$187:$B$210,MATCH("VIS",$A$187:$A$210,0),2),8,1))*1,"")))</f>
        <v/>
      </c>
      <c r="AZ383" s="112" t="str">
        <f>IF(AND(ISNUMBER(AZ382),AC383&lt;$F$186+26/25),(MID(INDEX($A$187:$B$210,MATCH("CVS",$A$187:$A$210,0),2),8+(3*COUNT($AZ$207:AZ382)),1))*1,IF(AND(HOUR(AC383)=HOUR($F$186),DAY(AC383)=DAY($F$186)),(MID(INDEX($A$187:$B$210,MATCH("CVS",$A$187:$A$210,0),2),8,1))*1,""))</f>
        <v/>
      </c>
      <c r="BA383" s="1610" t="str">
        <f>IF(AND(BA382&lt;&gt;"",AC383&lt;$F$186+26/25),MID(INDEX($A$187:$B$210,MATCH("PCO",$A$187:$A$210,0),2),8+(3*SUM(COUNTIF($BA$207:BA382,"Y"),COUNTIF($BA$207:BA382,"N"))),1),IF(AND(HOUR(AC383)=HOUR($F$186),DAY(AC383)=DAY($F$186)),MID(INDEX($A$187:$B$210,MATCH("PCO",$A$187:$A$210,0),2),8,1),""))</f>
        <v/>
      </c>
      <c r="BB383" s="1610" t="e">
        <f>IF(AND(BB382&lt;&gt;"",AC383&lt;$F$186+26/25),MID(INDEX($A$187:$B$210,MATCH("TYP",$A$187:$A$210,0),2),8+(3*SUM(COUNTIF($BB$207:BB382,"S"),COUNTIF($BB$207:BB382,"Z"), COUNTIF($BB$207:BB382,"R"),COUNTIF($BB$207:BB382,"X"))),1),IF(AND(HOUR(AC383)=HOUR($F$186),DAY(AC383)=DAY($F$186)),MID(INDEX($A$187:$B$210,MATCH("TYP",$A$187:$A$210,0),2),8,1),""))</f>
        <v>#N/A</v>
      </c>
      <c r="BC383" s="112" t="str">
        <f>IF(AND(LEN(BC382)=2,AC383&lt;$F$186+26/25),MID(INDEX($A$187:$B$211,MATCH("OBV",$A$187:$A$211,0),2),7+(3*SUM(COUNTIF($BC$207:BC382," N"),COUNTIF($BC$207:BC382,"HZ"),COUNTIF($BC$207:BC382,"BR"),COUNTIF($BC$207:BC382,"FG"),COUNTIF($BC$207:BC382,"BL"))),2),IF(AND(HOUR(AC383)=HOUR($F$186),DAY(AC383)=DAY($F$186)),MID(INDEX($A$187:$B$211,MATCH("OBV",$A$187:$A$211,0),2),7,2),""))</f>
        <v/>
      </c>
      <c r="BD383" s="112"/>
      <c r="BE383" s="112"/>
      <c r="BF383" s="112"/>
      <c r="BG383" s="1610" t="str">
        <f t="shared" si="249"/>
        <v/>
      </c>
      <c r="BH383" s="115" t="str">
        <f t="shared" si="245"/>
        <v/>
      </c>
      <c r="BI383" s="200" t="str">
        <f t="shared" si="222"/>
        <v/>
      </c>
      <c r="BJ383" s="62" t="str">
        <f t="shared" si="221"/>
        <v/>
      </c>
      <c r="BK383" s="1145" t="str">
        <f t="shared" si="229"/>
        <v/>
      </c>
      <c r="BL383" s="62" t="str">
        <f t="shared" si="223"/>
        <v/>
      </c>
      <c r="BM383" s="1145" t="str">
        <f t="shared" si="230"/>
        <v/>
      </c>
      <c r="BN383" s="1901" t="str">
        <f t="shared" si="248"/>
        <v/>
      </c>
      <c r="BO383" s="1144" t="str">
        <f t="shared" si="224"/>
        <v/>
      </c>
      <c r="BP383" s="106" t="str">
        <f t="shared" si="228"/>
        <v/>
      </c>
      <c r="BQ383" s="66" t="str">
        <f t="shared" si="225"/>
        <v/>
      </c>
      <c r="BR383" s="106" t="str">
        <f t="shared" si="226"/>
        <v/>
      </c>
      <c r="BS383" s="834" t="str">
        <f t="shared" si="233"/>
        <v/>
      </c>
      <c r="BT383" s="106" t="str">
        <f t="shared" si="227"/>
        <v/>
      </c>
      <c r="BU383" s="834" t="str">
        <f t="shared" si="231"/>
        <v/>
      </c>
      <c r="BV383" s="66" t="str">
        <f t="shared" si="246"/>
        <v/>
      </c>
      <c r="BW383" s="66" t="str">
        <f t="shared" si="247"/>
        <v/>
      </c>
      <c r="BX383" s="1198" t="str">
        <f t="shared" si="238"/>
        <v/>
      </c>
      <c r="BY383" s="1146" t="str">
        <f t="shared" si="219"/>
        <v/>
      </c>
      <c r="CA383" s="3675">
        <f t="shared" si="232"/>
        <v>44754.375</v>
      </c>
      <c r="CB383" s="3675"/>
    </row>
    <row r="384" spans="1:80" ht="10.5">
      <c r="A384" s="1050" t="str">
        <f t="shared" si="240"/>
        <v/>
      </c>
      <c r="B384" s="106">
        <f>Worksheet!L364</f>
        <v>0</v>
      </c>
      <c r="AC384" s="977">
        <f t="shared" si="216"/>
        <v>44754.416666666664</v>
      </c>
      <c r="AE384" s="1149" t="str">
        <f>IF(AND(HOUR(AC384)=HOUR($F$186),DAY(AC384)=DAY($F$186)),(MID($B$189,6,3))*1,IF(AND(ISNUMBER(AE383),AC384&lt;$F$186+1+(1/25)),(MID($B$189,6+(3*COUNT($AE$207:AE383)),3))*1,""))</f>
        <v/>
      </c>
      <c r="AF384" s="1164" t="e">
        <f t="shared" si="234"/>
        <v>#VALUE!</v>
      </c>
      <c r="AG384" s="1150" t="str">
        <f t="shared" si="203"/>
        <v/>
      </c>
      <c r="AH384" s="1163" t="str">
        <f>IF(AND(ISNUMBER(AH383),AC384&lt;$F$186+26/25),(MID($B$190,6+(3*COUNT($AH$207:AH383)),3))*1,IF(AND(HOUR(AC384)=HOUR($F$186),DAY(AC384)=DAY($F$186)),(MID($B$190,6,3))*1,""))</f>
        <v/>
      </c>
      <c r="AI384" s="200"/>
      <c r="AJ384" s="1164" t="e">
        <f t="shared" si="204"/>
        <v>#VALUE!</v>
      </c>
      <c r="AK384" s="1150" t="str">
        <f t="shared" si="205"/>
        <v/>
      </c>
      <c r="AL384" s="1152" t="e">
        <f t="shared" si="235"/>
        <v>#VALUE!</v>
      </c>
      <c r="AM384" s="1153" t="str">
        <f t="shared" si="206"/>
        <v/>
      </c>
      <c r="AN384" s="1147"/>
      <c r="AO384" s="976" t="str">
        <f>IF(BA384="Y",AP384,IF(AND(ISNUMBER(AO383),AC384&lt;$F$186+26/25),(MID(INDEX($A$187:$B$210,MATCH("CIG",$A$187:$A$210,0),2),8+(3*COUNT($AO$207:AO383)),1))*1,IF(AND(HOUR(AC384)=HOUR($F$186),DAY(AC384)=DAY($F$186)),(MID(INDEX($A$187:$B$210,MATCH("CIG",$A$187:$A$210,0),2),8,1))*1,"")))</f>
        <v/>
      </c>
      <c r="AQ384" s="1061" t="str">
        <f>IF(AND(AQ383&lt;&gt;"",AC384&lt;$F$186+26/25),MID(INDEX($A$187:$B$210,MATCH("CLD",$A$187:$A$210,0),2),7+(3*SUM(COUNTIF($AQ$207:AQ383,"OV"),COUNTIF($AQ$207:AQ383,"BK"),COUNTIF($AQ$207:AQ383,"SC"),COUNTIF($AQ$207:AQ383,"FW"),COUNTIF($AQ$207:AQ383,"CL"))),2),IF(AND(HOUR(AC384)=HOUR($F$186),DAY(AC384)=DAY($F$186)),MID(INDEX($A$187:$B$210,MATCH("CLD",$A$187:$A$210,0),2),7,2),""))</f>
        <v/>
      </c>
      <c r="AR384" s="1149" t="str">
        <f t="shared" si="241"/>
        <v/>
      </c>
      <c r="AS384" s="1150" t="str">
        <f t="shared" si="242"/>
        <v/>
      </c>
      <c r="AT384" s="112" t="str">
        <f t="shared" si="243"/>
        <v/>
      </c>
      <c r="AU384" s="1610" t="str">
        <f t="shared" si="244"/>
        <v/>
      </c>
      <c r="AV384" s="1148" t="str">
        <f t="shared" si="236"/>
        <v/>
      </c>
      <c r="AW384" s="920" t="str">
        <f t="shared" si="239"/>
        <v/>
      </c>
      <c r="AX384" s="1608" t="str">
        <f t="shared" si="237"/>
        <v/>
      </c>
      <c r="AY384" s="112" t="str">
        <f>IF(BA384="Y",AZ384,IF(AND(ISNUMBER(AY383),AC384&lt;$F$186+26/25),(MID(INDEX($A$187:$B$210,MATCH("VIS",$A$187:$A$210,0),2),8+(3*COUNT($AY$207:AY383)),1))*1,IF(AND(HOUR(AC384)=HOUR($F$186),DAY(AC384)=DAY($F$186)),(MID(INDEX($A$187:$B$210,MATCH("VIS",$A$187:$A$210,0),2),8,1))*1,"")))</f>
        <v/>
      </c>
      <c r="AZ384" s="112" t="str">
        <f>IF(AND(ISNUMBER(AZ383),AC384&lt;$F$186+26/25),(MID(INDEX($A$187:$B$210,MATCH("CVS",$A$187:$A$210,0),2),8+(3*COUNT($AZ$207:AZ383)),1))*1,IF(AND(HOUR(AC384)=HOUR($F$186),DAY(AC384)=DAY($F$186)),(MID(INDEX($A$187:$B$210,MATCH("CVS",$A$187:$A$210,0),2),8,1))*1,""))</f>
        <v/>
      </c>
      <c r="BA384" s="1610" t="str">
        <f>IF(AND(BA383&lt;&gt;"",AC384&lt;$F$186+26/25),MID(INDEX($A$187:$B$210,MATCH("PCO",$A$187:$A$210,0),2),8+(3*SUM(COUNTIF($BA$207:BA383,"Y"),COUNTIF($BA$207:BA383,"N"))),1),IF(AND(HOUR(AC384)=HOUR($F$186),DAY(AC384)=DAY($F$186)),MID(INDEX($A$187:$B$210,MATCH("PCO",$A$187:$A$210,0),2),8,1),""))</f>
        <v/>
      </c>
      <c r="BB384" s="1610" t="e">
        <f>IF(AND(BB383&lt;&gt;"",AC384&lt;$F$186+26/25),MID(INDEX($A$187:$B$210,MATCH("TYP",$A$187:$A$210,0),2),8+(3*SUM(COUNTIF($BB$207:BB383,"S"),COUNTIF($BB$207:BB383,"Z"), COUNTIF($BB$207:BB383,"R"),COUNTIF($BB$207:BB383,"X"))),1),IF(AND(HOUR(AC384)=HOUR($F$186),DAY(AC384)=DAY($F$186)),MID(INDEX($A$187:$B$210,MATCH("TYP",$A$187:$A$210,0),2),8,1),""))</f>
        <v>#N/A</v>
      </c>
      <c r="BC384" s="112" t="str">
        <f>IF(AND(LEN(BC383)=2,AC384&lt;$F$186+26/25),MID(INDEX($A$187:$B$211,MATCH("OBV",$A$187:$A$211,0),2),7+(3*SUM(COUNTIF($BC$207:BC383," N"),COUNTIF($BC$207:BC383,"HZ"),COUNTIF($BC$207:BC383,"BR"),COUNTIF($BC$207:BC383,"FG"),COUNTIF($BC$207:BC383,"BL"))),2),IF(AND(HOUR(AC384)=HOUR($F$186),DAY(AC384)=DAY($F$186)),MID(INDEX($A$187:$B$211,MATCH("OBV",$A$187:$A$211,0),2),7,2),""))</f>
        <v/>
      </c>
      <c r="BD384" s="112"/>
      <c r="BE384" s="112"/>
      <c r="BF384" s="112"/>
      <c r="BG384" s="1610" t="str">
        <f t="shared" si="249"/>
        <v/>
      </c>
      <c r="BH384" s="115" t="str">
        <f t="shared" si="245"/>
        <v/>
      </c>
      <c r="BI384" s="200" t="str">
        <f t="shared" si="222"/>
        <v/>
      </c>
      <c r="BJ384" s="62" t="str">
        <f t="shared" si="221"/>
        <v/>
      </c>
      <c r="BK384" s="1145" t="str">
        <f t="shared" si="229"/>
        <v/>
      </c>
      <c r="BL384" s="62" t="str">
        <f t="shared" si="223"/>
        <v/>
      </c>
      <c r="BM384" s="1145" t="str">
        <f t="shared" si="230"/>
        <v/>
      </c>
      <c r="BN384" s="1901" t="str">
        <f t="shared" si="248"/>
        <v/>
      </c>
      <c r="BO384" s="1144" t="str">
        <f t="shared" si="224"/>
        <v/>
      </c>
      <c r="BP384" s="106" t="str">
        <f t="shared" si="228"/>
        <v/>
      </c>
      <c r="BQ384" s="66" t="str">
        <f t="shared" si="225"/>
        <v/>
      </c>
      <c r="BR384" s="106" t="str">
        <f t="shared" si="226"/>
        <v/>
      </c>
      <c r="BS384" s="834" t="str">
        <f t="shared" si="233"/>
        <v/>
      </c>
      <c r="BT384" s="106" t="str">
        <f t="shared" si="227"/>
        <v/>
      </c>
      <c r="BU384" s="834" t="str">
        <f t="shared" si="231"/>
        <v/>
      </c>
      <c r="BV384" s="66" t="str">
        <f t="shared" si="246"/>
        <v/>
      </c>
      <c r="BW384" s="66" t="str">
        <f t="shared" si="247"/>
        <v/>
      </c>
      <c r="BX384" s="1198" t="str">
        <f t="shared" si="238"/>
        <v/>
      </c>
      <c r="BY384" s="1146" t="str">
        <f t="shared" si="219"/>
        <v/>
      </c>
      <c r="CA384" s="3675">
        <f t="shared" si="232"/>
        <v>44754.416666666664</v>
      </c>
      <c r="CB384" s="3675"/>
    </row>
    <row r="385" spans="1:80" ht="10.5">
      <c r="A385" s="1050" t="str">
        <f t="shared" si="240"/>
        <v/>
      </c>
      <c r="B385" s="106">
        <f>Worksheet!L365</f>
        <v>0</v>
      </c>
      <c r="AC385" s="977">
        <f t="shared" si="216"/>
        <v>44754.458333333328</v>
      </c>
      <c r="AE385" s="1149" t="str">
        <f>IF(AND(HOUR(AC385)=HOUR($F$186),DAY(AC385)=DAY($F$186)),(MID($B$189,6,3))*1,IF(AND(ISNUMBER(AE384),AC385&lt;$F$186+1+(1/25)),(MID($B$189,6+(3*COUNT($AE$207:AE384)),3))*1,""))</f>
        <v/>
      </c>
      <c r="AF385" s="1164" t="e">
        <f t="shared" si="234"/>
        <v>#VALUE!</v>
      </c>
      <c r="AG385" s="1150" t="str">
        <f t="shared" si="203"/>
        <v/>
      </c>
      <c r="AH385" s="1163" t="str">
        <f>IF(AND(ISNUMBER(AH384),AC385&lt;$F$186+26/25),(MID($B$190,6+(3*COUNT($AH$207:AH384)),3))*1,IF(AND(HOUR(AC385)=HOUR($F$186),DAY(AC385)=DAY($F$186)),(MID($B$190,6,3))*1,""))</f>
        <v/>
      </c>
      <c r="AI385" s="200"/>
      <c r="AJ385" s="1164" t="e">
        <f t="shared" si="204"/>
        <v>#VALUE!</v>
      </c>
      <c r="AK385" s="1150" t="str">
        <f t="shared" si="205"/>
        <v/>
      </c>
      <c r="AL385" s="1152" t="e">
        <f t="shared" si="235"/>
        <v>#VALUE!</v>
      </c>
      <c r="AM385" s="1153" t="str">
        <f t="shared" si="206"/>
        <v/>
      </c>
      <c r="AN385" s="1147"/>
      <c r="AO385" s="976" t="str">
        <f>IF(BA385="Y",AP385,IF(AND(ISNUMBER(AO384),AC385&lt;$F$186+26/25),(MID(INDEX($A$187:$B$210,MATCH("CIG",$A$187:$A$210,0),2),8+(3*COUNT($AO$207:AO384)),1))*1,IF(AND(HOUR(AC385)=HOUR($F$186),DAY(AC385)=DAY($F$186)),(MID(INDEX($A$187:$B$210,MATCH("CIG",$A$187:$A$210,0),2),8,1))*1,"")))</f>
        <v/>
      </c>
      <c r="AQ385" s="1061" t="str">
        <f>IF(AND(AQ384&lt;&gt;"",AC385&lt;$F$186+26/25),MID(INDEX($A$187:$B$210,MATCH("CLD",$A$187:$A$210,0),2),7+(3*SUM(COUNTIF($AQ$207:AQ384,"OV"),COUNTIF($AQ$207:AQ384,"BK"),COUNTIF($AQ$207:AQ384,"SC"),COUNTIF($AQ$207:AQ384,"FW"),COUNTIF($AQ$207:AQ384,"CL"))),2),IF(AND(HOUR(AC385)=HOUR($F$186),DAY(AC385)=DAY($F$186)),MID(INDEX($A$187:$B$210,MATCH("CLD",$A$187:$A$210,0),2),7,2),""))</f>
        <v/>
      </c>
      <c r="AR385" s="1149" t="str">
        <f t="shared" si="241"/>
        <v/>
      </c>
      <c r="AS385" s="1150" t="str">
        <f t="shared" si="242"/>
        <v/>
      </c>
      <c r="AT385" s="112" t="str">
        <f t="shared" si="243"/>
        <v/>
      </c>
      <c r="AU385" s="1610" t="str">
        <f t="shared" si="244"/>
        <v/>
      </c>
      <c r="AV385" s="1148" t="str">
        <f t="shared" si="236"/>
        <v/>
      </c>
      <c r="AW385" s="920" t="str">
        <f t="shared" si="239"/>
        <v/>
      </c>
      <c r="AX385" s="1608" t="str">
        <f t="shared" si="237"/>
        <v/>
      </c>
      <c r="AY385" s="112" t="str">
        <f>IF(BA385="Y",AZ385,IF(AND(ISNUMBER(AY384),AC385&lt;$F$186+26/25),(MID(INDEX($A$187:$B$210,MATCH("VIS",$A$187:$A$210,0),2),8+(3*COUNT($AY$207:AY384)),1))*1,IF(AND(HOUR(AC385)=HOUR($F$186),DAY(AC385)=DAY($F$186)),(MID(INDEX($A$187:$B$210,MATCH("VIS",$A$187:$A$210,0),2),8,1))*1,"")))</f>
        <v/>
      </c>
      <c r="AZ385" s="112" t="str">
        <f>IF(AND(ISNUMBER(AZ384),AC385&lt;$F$186+26/25),(MID(INDEX($A$187:$B$210,MATCH("CVS",$A$187:$A$210,0),2),8+(3*COUNT($AZ$207:AZ384)),1))*1,IF(AND(HOUR(AC385)=HOUR($F$186),DAY(AC385)=DAY($F$186)),(MID(INDEX($A$187:$B$210,MATCH("CVS",$A$187:$A$210,0),2),8,1))*1,""))</f>
        <v/>
      </c>
      <c r="BA385" s="1610" t="str">
        <f>IF(AND(BA384&lt;&gt;"",AC385&lt;$F$186+26/25),MID(INDEX($A$187:$B$210,MATCH("PCO",$A$187:$A$210,0),2),8+(3*SUM(COUNTIF($BA$207:BA384,"Y"),COUNTIF($BA$207:BA384,"N"))),1),IF(AND(HOUR(AC385)=HOUR($F$186),DAY(AC385)=DAY($F$186)),MID(INDEX($A$187:$B$210,MATCH("PCO",$A$187:$A$210,0),2),8,1),""))</f>
        <v/>
      </c>
      <c r="BB385" s="1610" t="e">
        <f>IF(AND(BB384&lt;&gt;"",AC385&lt;$F$186+26/25),MID(INDEX($A$187:$B$210,MATCH("TYP",$A$187:$A$210,0),2),8+(3*SUM(COUNTIF($BB$207:BB384,"S"),COUNTIF($BB$207:BB384,"Z"), COUNTIF($BB$207:BB384,"R"),COUNTIF($BB$207:BB384,"X"))),1),IF(AND(HOUR(AC385)=HOUR($F$186),DAY(AC385)=DAY($F$186)),MID(INDEX($A$187:$B$210,MATCH("TYP",$A$187:$A$210,0),2),8,1),""))</f>
        <v>#N/A</v>
      </c>
      <c r="BC385" s="112" t="str">
        <f>IF(AND(LEN(BC384)=2,AC385&lt;$F$186+26/25),MID(INDEX($A$187:$B$211,MATCH("OBV",$A$187:$A$211,0),2),7+(3*SUM(COUNTIF($BC$207:BC384," N"),COUNTIF($BC$207:BC384,"HZ"),COUNTIF($BC$207:BC384,"BR"),COUNTIF($BC$207:BC384,"FG"),COUNTIF($BC$207:BC384,"BL"))),2),IF(AND(HOUR(AC385)=HOUR($F$186),DAY(AC385)=DAY($F$186)),MID(INDEX($A$187:$B$211,MATCH("OBV",$A$187:$A$211,0),2),7,2),""))</f>
        <v/>
      </c>
      <c r="BD385" s="112"/>
      <c r="BE385" s="112"/>
      <c r="BF385" s="112"/>
      <c r="BG385" s="1610" t="str">
        <f t="shared" si="249"/>
        <v/>
      </c>
      <c r="BH385" s="115" t="str">
        <f t="shared" si="245"/>
        <v/>
      </c>
      <c r="BI385" s="200" t="str">
        <f t="shared" si="222"/>
        <v/>
      </c>
      <c r="BJ385" s="62" t="str">
        <f t="shared" si="221"/>
        <v/>
      </c>
      <c r="BK385" s="1145" t="str">
        <f t="shared" si="229"/>
        <v/>
      </c>
      <c r="BL385" s="62" t="str">
        <f t="shared" si="223"/>
        <v/>
      </c>
      <c r="BM385" s="1145" t="str">
        <f t="shared" si="230"/>
        <v/>
      </c>
      <c r="BN385" s="1901" t="str">
        <f t="shared" si="248"/>
        <v/>
      </c>
      <c r="BO385" s="1144" t="str">
        <f t="shared" si="224"/>
        <v/>
      </c>
      <c r="BP385" s="106" t="str">
        <f t="shared" si="228"/>
        <v/>
      </c>
      <c r="BQ385" s="66" t="str">
        <f t="shared" si="225"/>
        <v/>
      </c>
      <c r="BR385" s="106" t="str">
        <f t="shared" si="226"/>
        <v/>
      </c>
      <c r="BS385" s="834" t="str">
        <f t="shared" si="233"/>
        <v/>
      </c>
      <c r="BT385" s="106" t="str">
        <f t="shared" si="227"/>
        <v/>
      </c>
      <c r="BU385" s="834" t="str">
        <f t="shared" si="231"/>
        <v/>
      </c>
      <c r="BV385" s="66" t="str">
        <f t="shared" si="246"/>
        <v/>
      </c>
      <c r="BW385" s="66" t="str">
        <f t="shared" si="247"/>
        <v/>
      </c>
      <c r="BX385" s="1198" t="str">
        <f t="shared" si="238"/>
        <v/>
      </c>
      <c r="BY385" s="1146" t="str">
        <f t="shared" si="219"/>
        <v/>
      </c>
      <c r="CA385" s="3675">
        <f t="shared" si="232"/>
        <v>44754.458333333328</v>
      </c>
      <c r="CB385" s="3675"/>
    </row>
    <row r="386" spans="1:80" ht="10.5">
      <c r="A386" s="1050" t="str">
        <f t="shared" si="240"/>
        <v xml:space="preserve">EX </v>
      </c>
      <c r="B386" s="106" t="str">
        <f>Worksheet!L366</f>
        <v xml:space="preserve">MEX TEXT BULLETIN </v>
      </c>
      <c r="AC386" s="977">
        <f t="shared" si="216"/>
        <v>44754.5</v>
      </c>
      <c r="AE386" s="1149" t="str">
        <f>IF(AND(HOUR(AC386)=HOUR($F$186),DAY(AC386)=DAY($F$186)),(MID($B$189,6,3))*1,IF(AND(ISNUMBER(AE385),AC386&lt;$F$186+1+(1/25)),(MID($B$189,6+(3*COUNT($AE$207:AE385)),3))*1,""))</f>
        <v/>
      </c>
      <c r="AF386" s="1164" t="e">
        <f t="shared" si="234"/>
        <v>#VALUE!</v>
      </c>
      <c r="AG386" s="1150" t="str">
        <f t="shared" si="203"/>
        <v/>
      </c>
      <c r="AH386" s="1163" t="str">
        <f>IF(AND(ISNUMBER(AH385),AC386&lt;$F$186+26/25),(MID($B$190,6+(3*COUNT($AH$207:AH385)),3))*1,IF(AND(HOUR(AC386)=HOUR($F$186),DAY(AC386)=DAY($F$186)),(MID($B$190,6,3))*1,""))</f>
        <v/>
      </c>
      <c r="AI386" s="200"/>
      <c r="AJ386" s="1164" t="e">
        <f t="shared" si="204"/>
        <v>#VALUE!</v>
      </c>
      <c r="AK386" s="1150" t="str">
        <f t="shared" si="205"/>
        <v/>
      </c>
      <c r="AL386" s="1152" t="e">
        <f t="shared" si="235"/>
        <v>#VALUE!</v>
      </c>
      <c r="AM386" s="1153" t="str">
        <f t="shared" si="206"/>
        <v/>
      </c>
      <c r="AN386" s="1147"/>
      <c r="AO386" s="976" t="str">
        <f>IF(BA386="Y",AP386,IF(AND(ISNUMBER(AO385),AC386&lt;$F$186+26/25),(MID(INDEX($A$187:$B$210,MATCH("CIG",$A$187:$A$210,0),2),8+(3*COUNT($AO$207:AO385)),1))*1,IF(AND(HOUR(AC386)=HOUR($F$186),DAY(AC386)=DAY($F$186)),(MID(INDEX($A$187:$B$210,MATCH("CIG",$A$187:$A$210,0),2),8,1))*1,"")))</f>
        <v/>
      </c>
      <c r="AQ386" s="1061" t="str">
        <f>IF(AND(AQ385&lt;&gt;"",AC386&lt;$F$186+26/25),MID(INDEX($A$187:$B$210,MATCH("CLD",$A$187:$A$210,0),2),7+(3*SUM(COUNTIF($AQ$207:AQ385,"OV"),COUNTIF($AQ$207:AQ385,"BK"),COUNTIF($AQ$207:AQ385,"SC"),COUNTIF($AQ$207:AQ385,"FW"),COUNTIF($AQ$207:AQ385,"CL"))),2),IF(AND(HOUR(AC386)=HOUR($F$186),DAY(AC386)=DAY($F$186)),MID(INDEX($A$187:$B$210,MATCH("CLD",$A$187:$A$210,0),2),7,2),""))</f>
        <v/>
      </c>
      <c r="AR386" s="1149" t="str">
        <f t="shared" si="241"/>
        <v/>
      </c>
      <c r="AS386" s="1150" t="str">
        <f t="shared" si="242"/>
        <v/>
      </c>
      <c r="AT386" s="112" t="str">
        <f t="shared" si="243"/>
        <v/>
      </c>
      <c r="AU386" s="1610" t="str">
        <f t="shared" si="244"/>
        <v/>
      </c>
      <c r="AV386" s="1148" t="str">
        <f t="shared" si="236"/>
        <v/>
      </c>
      <c r="AW386" s="920" t="str">
        <f t="shared" si="239"/>
        <v/>
      </c>
      <c r="AX386" s="1608" t="str">
        <f t="shared" si="237"/>
        <v/>
      </c>
      <c r="AY386" s="112" t="str">
        <f>IF(BA386="Y",AZ386,IF(AND(ISNUMBER(AY385),AC386&lt;$F$186+26/25),(MID(INDEX($A$187:$B$210,MATCH("VIS",$A$187:$A$210,0),2),8+(3*COUNT($AY$207:AY385)),1))*1,IF(AND(HOUR(AC386)=HOUR($F$186),DAY(AC386)=DAY($F$186)),(MID(INDEX($A$187:$B$210,MATCH("VIS",$A$187:$A$210,0),2),8,1))*1,"")))</f>
        <v/>
      </c>
      <c r="AZ386" s="112" t="str">
        <f>IF(AND(ISNUMBER(AZ385),AC386&lt;$F$186+26/25),(MID(INDEX($A$187:$B$210,MATCH("CVS",$A$187:$A$210,0),2),8+(3*COUNT($AZ$207:AZ385)),1))*1,IF(AND(HOUR(AC386)=HOUR($F$186),DAY(AC386)=DAY($F$186)),(MID(INDEX($A$187:$B$210,MATCH("CVS",$A$187:$A$210,0),2),8,1))*1,""))</f>
        <v/>
      </c>
      <c r="BA386" s="1610" t="str">
        <f>IF(AND(BA385&lt;&gt;"",AC386&lt;$F$186+26/25),MID(INDEX($A$187:$B$210,MATCH("PCO",$A$187:$A$210,0),2),8+(3*SUM(COUNTIF($BA$207:BA385,"Y"),COUNTIF($BA$207:BA385,"N"))),1),IF(AND(HOUR(AC386)=HOUR($F$186),DAY(AC386)=DAY($F$186)),MID(INDEX($A$187:$B$210,MATCH("PCO",$A$187:$A$210,0),2),8,1),""))</f>
        <v/>
      </c>
      <c r="BB386" s="1610" t="e">
        <f>IF(AND(BB385&lt;&gt;"",AC386&lt;$F$186+26/25),MID(INDEX($A$187:$B$210,MATCH("TYP",$A$187:$A$210,0),2),8+(3*SUM(COUNTIF($BB$207:BB385,"S"),COUNTIF($BB$207:BB385,"Z"), COUNTIF($BB$207:BB385,"R"),COUNTIF($BB$207:BB385,"X"))),1),IF(AND(HOUR(AC386)=HOUR($F$186),DAY(AC386)=DAY($F$186)),MID(INDEX($A$187:$B$210,MATCH("TYP",$A$187:$A$210,0),2),8,1),""))</f>
        <v>#N/A</v>
      </c>
      <c r="BC386" s="112" t="str">
        <f>IF(AND(LEN(BC385)=2,AC386&lt;$F$186+26/25),MID(INDEX($A$187:$B$211,MATCH("OBV",$A$187:$A$211,0),2),7+(3*SUM(COUNTIF($BC$207:BC385," N"),COUNTIF($BC$207:BC385,"HZ"),COUNTIF($BC$207:BC385,"BR"),COUNTIF($BC$207:BC385,"FG"),COUNTIF($BC$207:BC385,"BL"))),2),IF(AND(HOUR(AC386)=HOUR($F$186),DAY(AC386)=DAY($F$186)),MID(INDEX($A$187:$B$211,MATCH("OBV",$A$187:$A$211,0),2),7,2),""))</f>
        <v/>
      </c>
      <c r="BD386" s="112"/>
      <c r="BE386" s="112"/>
      <c r="BF386" s="112"/>
      <c r="BG386" s="1610" t="str">
        <f t="shared" si="249"/>
        <v/>
      </c>
      <c r="BH386" s="115" t="str">
        <f t="shared" si="245"/>
        <v/>
      </c>
      <c r="BI386" s="200" t="str">
        <f t="shared" si="222"/>
        <v/>
      </c>
      <c r="BJ386" s="62" t="str">
        <f t="shared" si="221"/>
        <v/>
      </c>
      <c r="BK386" s="1145" t="str">
        <f t="shared" si="229"/>
        <v/>
      </c>
      <c r="BL386" s="62" t="str">
        <f t="shared" si="223"/>
        <v/>
      </c>
      <c r="BM386" s="1145" t="str">
        <f t="shared" si="230"/>
        <v/>
      </c>
      <c r="BN386" s="1901" t="str">
        <f t="shared" si="248"/>
        <v/>
      </c>
      <c r="BO386" s="1144" t="str">
        <f t="shared" si="224"/>
        <v/>
      </c>
      <c r="BP386" s="106" t="str">
        <f t="shared" si="228"/>
        <v/>
      </c>
      <c r="BQ386" s="66" t="str">
        <f t="shared" si="225"/>
        <v/>
      </c>
      <c r="BR386" s="106" t="str">
        <f t="shared" si="226"/>
        <v/>
      </c>
      <c r="BS386" s="834" t="str">
        <f t="shared" si="233"/>
        <v/>
      </c>
      <c r="BT386" s="106" t="str">
        <f t="shared" si="227"/>
        <v/>
      </c>
      <c r="BU386" s="834" t="str">
        <f t="shared" si="231"/>
        <v/>
      </c>
      <c r="BV386" s="66" t="str">
        <f t="shared" si="246"/>
        <v/>
      </c>
      <c r="BW386" s="66" t="str">
        <f t="shared" si="247"/>
        <v/>
      </c>
      <c r="BX386" s="1198" t="str">
        <f t="shared" si="238"/>
        <v/>
      </c>
      <c r="BY386" s="1146" t="str">
        <f t="shared" si="219"/>
        <v/>
      </c>
      <c r="CA386" s="3675">
        <f t="shared" si="232"/>
        <v>44754.5</v>
      </c>
      <c r="CB386" s="3675"/>
    </row>
    <row r="387" spans="1:80" ht="10.5">
      <c r="A387" s="1050" t="str">
        <f t="shared" si="240"/>
        <v/>
      </c>
      <c r="B387" s="106">
        <f>Worksheet!L367</f>
        <v>0</v>
      </c>
      <c r="AC387" s="977">
        <f t="shared" si="216"/>
        <v>44754.541666666664</v>
      </c>
      <c r="AE387" s="1149" t="str">
        <f>IF(AND(HOUR(AC387)=HOUR($F$186),DAY(AC387)=DAY($F$186)),(MID($B$189,6,3))*1,IF(AND(ISNUMBER(AE386),AC387&lt;$F$186+1+(1/25)),(MID($B$189,6+(3*COUNT($AE$207:AE386)),3))*1,""))</f>
        <v/>
      </c>
      <c r="AF387" s="1164" t="e">
        <f t="shared" si="234"/>
        <v>#VALUE!</v>
      </c>
      <c r="AG387" s="1150" t="str">
        <f t="shared" si="203"/>
        <v/>
      </c>
      <c r="AH387" s="1163" t="str">
        <f>IF(AND(ISNUMBER(AH386),AC387&lt;$F$186+26/25),(MID($B$190,6+(3*COUNT($AH$207:AH386)),3))*1,IF(AND(HOUR(AC387)=HOUR($F$186),DAY(AC387)=DAY($F$186)),(MID($B$190,6,3))*1,""))</f>
        <v/>
      </c>
      <c r="AI387" s="200"/>
      <c r="AJ387" s="1164" t="e">
        <f t="shared" si="204"/>
        <v>#VALUE!</v>
      </c>
      <c r="AK387" s="1150" t="str">
        <f t="shared" si="205"/>
        <v/>
      </c>
      <c r="AL387" s="1152" t="e">
        <f t="shared" si="235"/>
        <v>#VALUE!</v>
      </c>
      <c r="AM387" s="1153" t="str">
        <f t="shared" si="206"/>
        <v/>
      </c>
      <c r="AN387" s="1147"/>
      <c r="AO387" s="976" t="str">
        <f>IF(BA387="Y",AP387,IF(AND(ISNUMBER(AO386),AC387&lt;$F$186+26/25),(MID(INDEX($A$187:$B$210,MATCH("CIG",$A$187:$A$210,0),2),8+(3*COUNT($AO$207:AO386)),1))*1,IF(AND(HOUR(AC387)=HOUR($F$186),DAY(AC387)=DAY($F$186)),(MID(INDEX($A$187:$B$210,MATCH("CIG",$A$187:$A$210,0),2),8,1))*1,"")))</f>
        <v/>
      </c>
      <c r="AQ387" s="1061" t="str">
        <f>IF(AND(AQ386&lt;&gt;"",AC387&lt;$F$186+26/25),MID(INDEX($A$187:$B$210,MATCH("CLD",$A$187:$A$210,0),2),7+(3*SUM(COUNTIF($AQ$207:AQ386,"OV"),COUNTIF($AQ$207:AQ386,"BK"),COUNTIF($AQ$207:AQ386,"SC"),COUNTIF($AQ$207:AQ386,"FW"),COUNTIF($AQ$207:AQ386,"CL"))),2),IF(AND(HOUR(AC387)=HOUR($F$186),DAY(AC387)=DAY($F$186)),MID(INDEX($A$187:$B$210,MATCH("CLD",$A$187:$A$210,0),2),7,2),""))</f>
        <v/>
      </c>
      <c r="AR387" s="1149" t="str">
        <f t="shared" si="241"/>
        <v/>
      </c>
      <c r="AS387" s="1150" t="str">
        <f t="shared" si="242"/>
        <v/>
      </c>
      <c r="AT387" s="112" t="str">
        <f t="shared" si="243"/>
        <v/>
      </c>
      <c r="AU387" s="1610" t="str">
        <f t="shared" si="244"/>
        <v/>
      </c>
      <c r="AV387" s="1148" t="str">
        <f t="shared" si="236"/>
        <v/>
      </c>
      <c r="AW387" s="920" t="str">
        <f t="shared" si="239"/>
        <v/>
      </c>
      <c r="AX387" s="1608" t="str">
        <f t="shared" si="237"/>
        <v/>
      </c>
      <c r="AY387" s="112" t="str">
        <f>IF(BA387="Y",AZ387,IF(AND(ISNUMBER(AY386),AC387&lt;$F$186+26/25),(MID(INDEX($A$187:$B$210,MATCH("VIS",$A$187:$A$210,0),2),8+(3*COUNT($AY$207:AY386)),1))*1,IF(AND(HOUR(AC387)=HOUR($F$186),DAY(AC387)=DAY($F$186)),(MID(INDEX($A$187:$B$210,MATCH("VIS",$A$187:$A$210,0),2),8,1))*1,"")))</f>
        <v/>
      </c>
      <c r="AZ387" s="112" t="str">
        <f>IF(AND(ISNUMBER(AZ386),AC387&lt;$F$186+26/25),(MID(INDEX($A$187:$B$210,MATCH("CVS",$A$187:$A$210,0),2),8+(3*COUNT($AZ$207:AZ386)),1))*1,IF(AND(HOUR(AC387)=HOUR($F$186),DAY(AC387)=DAY($F$186)),(MID(INDEX($A$187:$B$210,MATCH("CVS",$A$187:$A$210,0),2),8,1))*1,""))</f>
        <v/>
      </c>
      <c r="BA387" s="1610" t="str">
        <f>IF(AND(BA386&lt;&gt;"",AC387&lt;$F$186+26/25),MID(INDEX($A$187:$B$210,MATCH("PCO",$A$187:$A$210,0),2),8+(3*SUM(COUNTIF($BA$207:BA386,"Y"),COUNTIF($BA$207:BA386,"N"))),1),IF(AND(HOUR(AC387)=HOUR($F$186),DAY(AC387)=DAY($F$186)),MID(INDEX($A$187:$B$210,MATCH("PCO",$A$187:$A$210,0),2),8,1),""))</f>
        <v/>
      </c>
      <c r="BB387" s="1610" t="e">
        <f>IF(AND(BB386&lt;&gt;"",AC387&lt;$F$186+26/25),MID(INDEX($A$187:$B$210,MATCH("TYP",$A$187:$A$210,0),2),8+(3*SUM(COUNTIF($BB$207:BB386,"S"),COUNTIF($BB$207:BB386,"Z"), COUNTIF($BB$207:BB386,"R"),COUNTIF($BB$207:BB386,"X"))),1),IF(AND(HOUR(AC387)=HOUR($F$186),DAY(AC387)=DAY($F$186)),MID(INDEX($A$187:$B$210,MATCH("TYP",$A$187:$A$210,0),2),8,1),""))</f>
        <v>#N/A</v>
      </c>
      <c r="BC387" s="112" t="str">
        <f>IF(AND(LEN(BC386)=2,AC387&lt;$F$186+26/25),MID(INDEX($A$187:$B$211,MATCH("OBV",$A$187:$A$211,0),2),7+(3*SUM(COUNTIF($BC$207:BC386," N"),COUNTIF($BC$207:BC386,"HZ"),COUNTIF($BC$207:BC386,"BR"),COUNTIF($BC$207:BC386,"FG"),COUNTIF($BC$207:BC386,"BL"))),2),IF(AND(HOUR(AC387)=HOUR($F$186),DAY(AC387)=DAY($F$186)),MID(INDEX($A$187:$B$211,MATCH("OBV",$A$187:$A$211,0),2),7,2),""))</f>
        <v/>
      </c>
      <c r="BD387" s="112"/>
      <c r="BE387" s="112"/>
      <c r="BF387" s="112"/>
      <c r="BG387" s="1610" t="str">
        <f t="shared" si="249"/>
        <v/>
      </c>
      <c r="BH387" s="115" t="str">
        <f t="shared" si="245"/>
        <v/>
      </c>
      <c r="BI387" s="200" t="str">
        <f t="shared" si="222"/>
        <v/>
      </c>
      <c r="BJ387" s="62" t="str">
        <f t="shared" si="221"/>
        <v/>
      </c>
      <c r="BK387" s="1145" t="str">
        <f t="shared" si="229"/>
        <v/>
      </c>
      <c r="BL387" s="62" t="str">
        <f t="shared" si="223"/>
        <v/>
      </c>
      <c r="BM387" s="1145" t="str">
        <f t="shared" si="230"/>
        <v/>
      </c>
      <c r="BN387" s="1901" t="str">
        <f t="shared" si="248"/>
        <v/>
      </c>
      <c r="BO387" s="1144" t="str">
        <f t="shared" si="224"/>
        <v/>
      </c>
      <c r="BP387" s="106" t="str">
        <f t="shared" si="228"/>
        <v/>
      </c>
      <c r="BQ387" s="66" t="str">
        <f t="shared" si="225"/>
        <v/>
      </c>
      <c r="BR387" s="106" t="str">
        <f t="shared" si="226"/>
        <v/>
      </c>
      <c r="BS387" s="834" t="str">
        <f t="shared" si="233"/>
        <v/>
      </c>
      <c r="BT387" s="106" t="str">
        <f t="shared" si="227"/>
        <v/>
      </c>
      <c r="BU387" s="834" t="str">
        <f t="shared" si="231"/>
        <v/>
      </c>
      <c r="BV387" s="66" t="str">
        <f t="shared" si="246"/>
        <v/>
      </c>
      <c r="BW387" s="66" t="str">
        <f t="shared" si="247"/>
        <v/>
      </c>
      <c r="BX387" s="1198" t="str">
        <f t="shared" si="238"/>
        <v/>
      </c>
      <c r="BY387" s="1146" t="str">
        <f t="shared" si="219"/>
        <v/>
      </c>
      <c r="CA387" s="3675">
        <f t="shared" si="232"/>
        <v>44754.541666666664</v>
      </c>
      <c r="CB387" s="3675"/>
    </row>
    <row r="388" spans="1:80" ht="10.5">
      <c r="A388" s="1050" t="str">
        <f t="shared" si="240"/>
        <v>UTC</v>
      </c>
      <c r="B388" s="106" t="str">
        <f>Worksheet!L368</f>
        <v xml:space="preserve"> KFTK   GFSX MOS GUIDANCE   7/05/2022  1200 UTC                       </v>
      </c>
      <c r="AC388" s="977">
        <f t="shared" si="216"/>
        <v>44754.583333333328</v>
      </c>
      <c r="AE388" s="1149" t="str">
        <f>IF(AND(HOUR(AC388)=HOUR($F$186),DAY(AC388)=DAY($F$186)),(MID($B$189,6,3))*1,IF(AND(ISNUMBER(AE387),AC388&lt;$F$186+1+(1/25)),(MID($B$189,6+(3*COUNT($AE$207:AE387)),3))*1,""))</f>
        <v/>
      </c>
      <c r="AF388" s="1164" t="e">
        <f t="shared" si="234"/>
        <v>#VALUE!</v>
      </c>
      <c r="AG388" s="1150" t="str">
        <f t="shared" si="203"/>
        <v/>
      </c>
      <c r="AH388" s="1163" t="str">
        <f>IF(AND(ISNUMBER(AH387),AC388&lt;$F$186+26/25),(MID($B$190,6+(3*COUNT($AH$207:AH387)),3))*1,IF(AND(HOUR(AC388)=HOUR($F$186),DAY(AC388)=DAY($F$186)),(MID($B$190,6,3))*1,""))</f>
        <v/>
      </c>
      <c r="AI388" s="200"/>
      <c r="AJ388" s="1164" t="e">
        <f t="shared" si="204"/>
        <v>#VALUE!</v>
      </c>
      <c r="AK388" s="1150" t="str">
        <f t="shared" si="205"/>
        <v/>
      </c>
      <c r="AL388" s="1152" t="e">
        <f t="shared" si="235"/>
        <v>#VALUE!</v>
      </c>
      <c r="AM388" s="1153" t="str">
        <f t="shared" si="206"/>
        <v/>
      </c>
      <c r="AN388" s="1147"/>
      <c r="AO388" s="976" t="str">
        <f>IF(BA388="Y",AP388,IF(AND(ISNUMBER(AO387),AC388&lt;$F$186+26/25),(MID(INDEX($A$187:$B$210,MATCH("CIG",$A$187:$A$210,0),2),8+(3*COUNT($AO$207:AO387)),1))*1,IF(AND(HOUR(AC388)=HOUR($F$186),DAY(AC388)=DAY($F$186)),(MID(INDEX($A$187:$B$210,MATCH("CIG",$A$187:$A$210,0),2),8,1))*1,"")))</f>
        <v/>
      </c>
      <c r="AQ388" s="1061" t="str">
        <f>IF(AND(AQ387&lt;&gt;"",AC388&lt;$F$186+26/25),MID(INDEX($A$187:$B$210,MATCH("CLD",$A$187:$A$210,0),2),7+(3*SUM(COUNTIF($AQ$207:AQ387,"OV"),COUNTIF($AQ$207:AQ387,"BK"),COUNTIF($AQ$207:AQ387,"SC"),COUNTIF($AQ$207:AQ387,"FW"),COUNTIF($AQ$207:AQ387,"CL"))),2),IF(AND(HOUR(AC388)=HOUR($F$186),DAY(AC388)=DAY($F$186)),MID(INDEX($A$187:$B$210,MATCH("CLD",$A$187:$A$210,0),2),7,2),""))</f>
        <v/>
      </c>
      <c r="AR388" s="1149" t="str">
        <f t="shared" si="241"/>
        <v/>
      </c>
      <c r="AS388" s="1150" t="str">
        <f t="shared" si="242"/>
        <v/>
      </c>
      <c r="AT388" s="112" t="str">
        <f t="shared" si="243"/>
        <v/>
      </c>
      <c r="AU388" s="1610" t="str">
        <f t="shared" si="244"/>
        <v/>
      </c>
      <c r="AV388" s="1148" t="str">
        <f t="shared" si="236"/>
        <v/>
      </c>
      <c r="AW388" s="920" t="str">
        <f t="shared" si="239"/>
        <v/>
      </c>
      <c r="AX388" s="1608" t="str">
        <f t="shared" si="237"/>
        <v/>
      </c>
      <c r="AY388" s="112" t="str">
        <f>IF(BA388="Y",AZ388,IF(AND(ISNUMBER(AY387),AC388&lt;$F$186+26/25),(MID(INDEX($A$187:$B$210,MATCH("VIS",$A$187:$A$210,0),2),8+(3*COUNT($AY$207:AY387)),1))*1,IF(AND(HOUR(AC388)=HOUR($F$186),DAY(AC388)=DAY($F$186)),(MID(INDEX($A$187:$B$210,MATCH("VIS",$A$187:$A$210,0),2),8,1))*1,"")))</f>
        <v/>
      </c>
      <c r="AZ388" s="112" t="str">
        <f>IF(AND(ISNUMBER(AZ387),AC388&lt;$F$186+26/25),(MID(INDEX($A$187:$B$210,MATCH("CVS",$A$187:$A$210,0),2),8+(3*COUNT($AZ$207:AZ387)),1))*1,IF(AND(HOUR(AC388)=HOUR($F$186),DAY(AC388)=DAY($F$186)),(MID(INDEX($A$187:$B$210,MATCH("CVS",$A$187:$A$210,0),2),8,1))*1,""))</f>
        <v/>
      </c>
      <c r="BA388" s="1610" t="str">
        <f>IF(AND(BA387&lt;&gt;"",AC388&lt;$F$186+26/25),MID(INDEX($A$187:$B$210,MATCH("PCO",$A$187:$A$210,0),2),8+(3*SUM(COUNTIF($BA$207:BA387,"Y"),COUNTIF($BA$207:BA387,"N"))),1),IF(AND(HOUR(AC388)=HOUR($F$186),DAY(AC388)=DAY($F$186)),MID(INDEX($A$187:$B$210,MATCH("PCO",$A$187:$A$210,0),2),8,1),""))</f>
        <v/>
      </c>
      <c r="BB388" s="1610" t="e">
        <f>IF(AND(BB387&lt;&gt;"",AC388&lt;$F$186+26/25),MID(INDEX($A$187:$B$210,MATCH("TYP",$A$187:$A$210,0),2),8+(3*SUM(COUNTIF($BB$207:BB387,"S"),COUNTIF($BB$207:BB387,"Z"), COUNTIF($BB$207:BB387,"R"),COUNTIF($BB$207:BB387,"X"))),1),IF(AND(HOUR(AC388)=HOUR($F$186),DAY(AC388)=DAY($F$186)),MID(INDEX($A$187:$B$210,MATCH("TYP",$A$187:$A$210,0),2),8,1),""))</f>
        <v>#N/A</v>
      </c>
      <c r="BC388" s="112" t="str">
        <f>IF(AND(LEN(BC387)=2,AC388&lt;$F$186+26/25),MID(INDEX($A$187:$B$211,MATCH("OBV",$A$187:$A$211,0),2),7+(3*SUM(COUNTIF($BC$207:BC387," N"),COUNTIF($BC$207:BC387,"HZ"),COUNTIF($BC$207:BC387,"BR"),COUNTIF($BC$207:BC387,"FG"),COUNTIF($BC$207:BC387,"BL"))),2),IF(AND(HOUR(AC388)=HOUR($F$186),DAY(AC388)=DAY($F$186)),MID(INDEX($A$187:$B$211,MATCH("OBV",$A$187:$A$211,0),2),7,2),""))</f>
        <v/>
      </c>
      <c r="BD388" s="112"/>
      <c r="BE388" s="112"/>
      <c r="BF388" s="112"/>
      <c r="BG388" s="1610" t="str">
        <f t="shared" si="249"/>
        <v/>
      </c>
      <c r="BH388" s="115" t="str">
        <f t="shared" si="245"/>
        <v/>
      </c>
      <c r="BI388" s="200" t="str">
        <f t="shared" si="222"/>
        <v/>
      </c>
      <c r="BJ388" s="62" t="str">
        <f t="shared" si="221"/>
        <v/>
      </c>
      <c r="BK388" s="1145" t="str">
        <f t="shared" si="229"/>
        <v/>
      </c>
      <c r="BL388" s="62" t="str">
        <f t="shared" si="223"/>
        <v/>
      </c>
      <c r="BM388" s="1145" t="str">
        <f t="shared" si="230"/>
        <v/>
      </c>
      <c r="BN388" s="1901" t="str">
        <f t="shared" si="248"/>
        <v/>
      </c>
      <c r="BO388" s="1144" t="str">
        <f t="shared" si="224"/>
        <v/>
      </c>
      <c r="BP388" s="106" t="str">
        <f t="shared" si="228"/>
        <v/>
      </c>
      <c r="BQ388" s="66" t="str">
        <f t="shared" si="225"/>
        <v/>
      </c>
      <c r="BR388" s="106" t="str">
        <f t="shared" si="226"/>
        <v/>
      </c>
      <c r="BS388" s="834" t="str">
        <f t="shared" si="233"/>
        <v/>
      </c>
      <c r="BT388" s="106" t="str">
        <f t="shared" si="227"/>
        <v/>
      </c>
      <c r="BU388" s="834" t="str">
        <f t="shared" si="231"/>
        <v/>
      </c>
      <c r="BV388" s="66" t="str">
        <f t="shared" si="246"/>
        <v/>
      </c>
      <c r="BW388" s="66" t="str">
        <f t="shared" si="247"/>
        <v/>
      </c>
      <c r="BX388" s="1198" t="str">
        <f t="shared" si="238"/>
        <v/>
      </c>
      <c r="BY388" s="1146" t="str">
        <f t="shared" si="219"/>
        <v/>
      </c>
      <c r="CA388" s="3675">
        <f t="shared" si="232"/>
        <v>44754.583333333328</v>
      </c>
      <c r="CB388" s="3675"/>
    </row>
    <row r="389" spans="1:80" ht="10.5">
      <c r="A389" s="1050" t="str">
        <f t="shared" si="240"/>
        <v>FHR</v>
      </c>
      <c r="B389" s="106" t="str">
        <f>Worksheet!L369</f>
        <v xml:space="preserve"> FHR  24  36| 48  60| 72  84| 96 108|120 132|144 156|168 180|192      </v>
      </c>
      <c r="AC389" s="977">
        <f t="shared" si="216"/>
        <v>44754.625</v>
      </c>
      <c r="AE389" s="1149" t="str">
        <f>IF(AND(HOUR(AC389)=HOUR($F$186),DAY(AC389)=DAY($F$186)),(MID($B$189,6,3))*1,IF(AND(ISNUMBER(AE388),AC389&lt;$F$186+1+(1/25)),(MID($B$189,6+(3*COUNT($AE$207:AE388)),3))*1,""))</f>
        <v/>
      </c>
      <c r="AF389" s="1164" t="e">
        <f t="shared" si="234"/>
        <v>#VALUE!</v>
      </c>
      <c r="AG389" s="1150" t="str">
        <f t="shared" si="203"/>
        <v/>
      </c>
      <c r="AH389" s="1163" t="str">
        <f>IF(AND(ISNUMBER(AH388),AC389&lt;$F$186+26/25),(MID($B$190,6+(3*COUNT($AH$207:AH388)),3))*1,IF(AND(HOUR(AC389)=HOUR($F$186),DAY(AC389)=DAY($F$186)),(MID($B$190,6,3))*1,""))</f>
        <v/>
      </c>
      <c r="AI389" s="200"/>
      <c r="AJ389" s="1164" t="e">
        <f t="shared" si="204"/>
        <v>#VALUE!</v>
      </c>
      <c r="AK389" s="1150" t="str">
        <f t="shared" si="205"/>
        <v/>
      </c>
      <c r="AL389" s="1152" t="e">
        <f t="shared" si="235"/>
        <v>#VALUE!</v>
      </c>
      <c r="AM389" s="1153" t="str">
        <f t="shared" si="206"/>
        <v/>
      </c>
      <c r="AN389" s="1147"/>
      <c r="AO389" s="976" t="str">
        <f>IF(BA389="Y",AP389,IF(AND(ISNUMBER(AO388),AC389&lt;$F$186+26/25),(MID(INDEX($A$187:$B$210,MATCH("CIG",$A$187:$A$210,0),2),8+(3*COUNT($AO$207:AO388)),1))*1,IF(AND(HOUR(AC389)=HOUR($F$186),DAY(AC389)=DAY($F$186)),(MID(INDEX($A$187:$B$210,MATCH("CIG",$A$187:$A$210,0),2),8,1))*1,"")))</f>
        <v/>
      </c>
      <c r="AQ389" s="1061" t="str">
        <f>IF(AND(AQ388&lt;&gt;"",AC389&lt;$F$186+26/25),MID(INDEX($A$187:$B$210,MATCH("CLD",$A$187:$A$210,0),2),7+(3*SUM(COUNTIF($AQ$207:AQ388,"OV"),COUNTIF($AQ$207:AQ388,"BK"),COUNTIF($AQ$207:AQ388,"SC"),COUNTIF($AQ$207:AQ388,"FW"),COUNTIF($AQ$207:AQ388,"CL"))),2),IF(AND(HOUR(AC389)=HOUR($F$186),DAY(AC389)=DAY($F$186)),MID(INDEX($A$187:$B$210,MATCH("CLD",$A$187:$A$210,0),2),7,2),""))</f>
        <v/>
      </c>
      <c r="AR389" s="1149" t="str">
        <f t="shared" si="241"/>
        <v/>
      </c>
      <c r="AS389" s="1150" t="str">
        <f t="shared" si="242"/>
        <v/>
      </c>
      <c r="AT389" s="112" t="str">
        <f t="shared" si="243"/>
        <v/>
      </c>
      <c r="AU389" s="1610" t="str">
        <f t="shared" si="244"/>
        <v/>
      </c>
      <c r="AV389" s="1148" t="str">
        <f t="shared" si="236"/>
        <v/>
      </c>
      <c r="AW389" s="920" t="str">
        <f t="shared" si="239"/>
        <v/>
      </c>
      <c r="AX389" s="1608" t="str">
        <f t="shared" si="237"/>
        <v/>
      </c>
      <c r="AY389" s="112" t="str">
        <f>IF(BA389="Y",AZ389,IF(AND(ISNUMBER(AY388),AC389&lt;$F$186+26/25),(MID(INDEX($A$187:$B$210,MATCH("VIS",$A$187:$A$210,0),2),8+(3*COUNT($AY$207:AY388)),1))*1,IF(AND(HOUR(AC389)=HOUR($F$186),DAY(AC389)=DAY($F$186)),(MID(INDEX($A$187:$B$210,MATCH("VIS",$A$187:$A$210,0),2),8,1))*1,"")))</f>
        <v/>
      </c>
      <c r="AZ389" s="112" t="str">
        <f>IF(AND(ISNUMBER(AZ388),AC389&lt;$F$186+26/25),(MID(INDEX($A$187:$B$210,MATCH("CVS",$A$187:$A$210,0),2),8+(3*COUNT($AZ$207:AZ388)),1))*1,IF(AND(HOUR(AC389)=HOUR($F$186),DAY(AC389)=DAY($F$186)),(MID(INDEX($A$187:$B$210,MATCH("CVS",$A$187:$A$210,0),2),8,1))*1,""))</f>
        <v/>
      </c>
      <c r="BA389" s="1610" t="str">
        <f>IF(AND(BA388&lt;&gt;"",AC389&lt;$F$186+26/25),MID(INDEX($A$187:$B$210,MATCH("PCO",$A$187:$A$210,0),2),8+(3*SUM(COUNTIF($BA$207:BA388,"Y"),COUNTIF($BA$207:BA388,"N"))),1),IF(AND(HOUR(AC389)=HOUR($F$186),DAY(AC389)=DAY($F$186)),MID(INDEX($A$187:$B$210,MATCH("PCO",$A$187:$A$210,0),2),8,1),""))</f>
        <v/>
      </c>
      <c r="BB389" s="1610" t="e">
        <f>IF(AND(BB388&lt;&gt;"",AC389&lt;$F$186+26/25),MID(INDEX($A$187:$B$210,MATCH("TYP",$A$187:$A$210,0),2),8+(3*SUM(COUNTIF($BB$207:BB388,"S"),COUNTIF($BB$207:BB388,"Z"), COUNTIF($BB$207:BB388,"R"),COUNTIF($BB$207:BB388,"X"))),1),IF(AND(HOUR(AC389)=HOUR($F$186),DAY(AC389)=DAY($F$186)),MID(INDEX($A$187:$B$210,MATCH("TYP",$A$187:$A$210,0),2),8,1),""))</f>
        <v>#N/A</v>
      </c>
      <c r="BC389" s="112" t="str">
        <f>IF(AND(LEN(BC388)=2,AC389&lt;$F$186+26/25),MID(INDEX($A$187:$B$211,MATCH("OBV",$A$187:$A$211,0),2),7+(3*SUM(COUNTIF($BC$207:BC388," N"),COUNTIF($BC$207:BC388,"HZ"),COUNTIF($BC$207:BC388,"BR"),COUNTIF($BC$207:BC388,"FG"),COUNTIF($BC$207:BC388,"BL"))),2),IF(AND(HOUR(AC389)=HOUR($F$186),DAY(AC389)=DAY($F$186)),MID(INDEX($A$187:$B$211,MATCH("OBV",$A$187:$A$211,0),2),7,2),""))</f>
        <v/>
      </c>
      <c r="BD389" s="112"/>
      <c r="BE389" s="112"/>
      <c r="BF389" s="112"/>
      <c r="BG389" s="1610" t="str">
        <f t="shared" si="249"/>
        <v/>
      </c>
      <c r="BH389" s="115" t="str">
        <f t="shared" si="245"/>
        <v/>
      </c>
      <c r="BI389" s="200" t="str">
        <f t="shared" si="222"/>
        <v/>
      </c>
      <c r="BJ389" s="62" t="str">
        <f t="shared" si="221"/>
        <v/>
      </c>
      <c r="BK389" s="1145" t="str">
        <f t="shared" si="229"/>
        <v/>
      </c>
      <c r="BL389" s="62" t="str">
        <f t="shared" si="223"/>
        <v/>
      </c>
      <c r="BM389" s="1145" t="str">
        <f t="shared" si="230"/>
        <v/>
      </c>
      <c r="BN389" s="1901" t="str">
        <f t="shared" si="248"/>
        <v/>
      </c>
      <c r="BO389" s="1144" t="str">
        <f t="shared" si="224"/>
        <v/>
      </c>
      <c r="BP389" s="106" t="str">
        <f t="shared" si="228"/>
        <v/>
      </c>
      <c r="BQ389" s="66" t="str">
        <f t="shared" si="225"/>
        <v/>
      </c>
      <c r="BR389" s="106" t="str">
        <f t="shared" si="226"/>
        <v/>
      </c>
      <c r="BS389" s="834" t="str">
        <f t="shared" si="233"/>
        <v/>
      </c>
      <c r="BT389" s="106" t="str">
        <f t="shared" si="227"/>
        <v/>
      </c>
      <c r="BU389" s="834" t="str">
        <f t="shared" si="231"/>
        <v/>
      </c>
      <c r="BV389" s="66" t="str">
        <f t="shared" si="246"/>
        <v/>
      </c>
      <c r="BW389" s="66" t="str">
        <f t="shared" si="247"/>
        <v/>
      </c>
      <c r="BX389" s="1198" t="str">
        <f t="shared" si="238"/>
        <v/>
      </c>
      <c r="BY389" s="1146" t="str">
        <f t="shared" si="219"/>
        <v/>
      </c>
      <c r="CA389" s="3675">
        <f t="shared" si="232"/>
        <v>44754.625</v>
      </c>
      <c r="CB389" s="3675"/>
    </row>
    <row r="390" spans="1:80" ht="10.5">
      <c r="A390" s="1050" t="str">
        <f t="shared" si="240"/>
        <v xml:space="preserve">   </v>
      </c>
      <c r="B390" s="106" t="str">
        <f>Worksheet!L370</f>
        <v xml:space="preserve">      WED 06| THU 07| FRI 08| SAT 09| SUN 10| MON 11| TUE 12|WED CLIMO</v>
      </c>
      <c r="AT390" s="112"/>
      <c r="BA390" s="1610"/>
      <c r="BG390" s="389"/>
    </row>
    <row r="391" spans="1:80" ht="10.5">
      <c r="A391" s="1050"/>
      <c r="B391" s="106" t="str">
        <f>Worksheet!L371</f>
        <v xml:space="preserve"> N/X  72  93| 72  91| 73  91| 71  81| 65  85| 65  89| 70  84| 67 65 88</v>
      </c>
      <c r="AT391" s="112"/>
      <c r="BA391" s="1610"/>
      <c r="BG391" s="389"/>
    </row>
    <row r="392" spans="1:80" ht="10.5">
      <c r="A392" s="1050"/>
      <c r="B392" s="106" t="str">
        <f>Worksheet!L372</f>
        <v xml:space="preserve"> TMP  75  85| 74  83| 75  83| 73  76| 67  80| 69  83| 73  79| 70      </v>
      </c>
      <c r="AT392" s="112"/>
      <c r="BA392" s="1610"/>
      <c r="BG392" s="389"/>
    </row>
    <row r="393" spans="1:80" ht="10.5">
      <c r="A393" s="1050"/>
      <c r="B393" s="106" t="str">
        <f>Worksheet!L373</f>
        <v xml:space="preserve"> DPT  73  76| 73  75| 73  74| 72  70| 65  66| 65  70| 70  69| 67      </v>
      </c>
      <c r="AT393" s="112"/>
      <c r="BA393" s="1610"/>
      <c r="BG393" s="389"/>
    </row>
    <row r="394" spans="1:80" ht="10.5">
      <c r="A394" s="1050"/>
      <c r="B394" s="106" t="str">
        <f>Worksheet!L374</f>
        <v xml:space="preserve"> CLD  PC  PC| OV  OV| PC  OV| OV  OV| PC  PC| CL  PC| OV  PC| PC      </v>
      </c>
      <c r="AT394" s="112"/>
      <c r="BA394" s="1610"/>
      <c r="BG394" s="389"/>
    </row>
    <row r="395" spans="1:80" ht="10.5">
      <c r="A395" s="1050"/>
      <c r="B395" s="106" t="str">
        <f>Worksheet!L375</f>
        <v xml:space="preserve"> WND   4   8|  4   8|  6  10|  6   7|  9   8|  3  11|  9  10|  5      </v>
      </c>
      <c r="G395" s="106"/>
      <c r="AT395" s="112"/>
      <c r="BA395" s="1610"/>
      <c r="BG395" s="389"/>
    </row>
    <row r="396" spans="1:80" ht="10.5">
      <c r="A396" s="1050"/>
      <c r="B396" s="106" t="str">
        <f>Worksheet!L376</f>
        <v xml:space="preserve"> P12  51  38| 45  36| 48  45| 56  47| 18   5|  3  13| 24  30| 26999999</v>
      </c>
      <c r="AT396" s="112"/>
      <c r="BA396" s="1610"/>
      <c r="BG396" s="389"/>
    </row>
    <row r="397" spans="1:80" ht="10.5">
      <c r="A397" s="1050"/>
      <c r="B397" s="106" t="str">
        <f>Worksheet!L377</f>
        <v xml:space="preserve"> P24      68|     62|     68|     66|     18|     13|     36|       29</v>
      </c>
      <c r="AT397" s="112"/>
      <c r="BA397" s="1610"/>
      <c r="BG397" s="389"/>
    </row>
    <row r="398" spans="1:80" ht="10.5">
      <c r="A398" s="1050"/>
      <c r="B398" s="106" t="str">
        <f>Worksheet!L378</f>
        <v xml:space="preserve"> Q12   2   0|  1   0|  2   1|  3   1|  0   0|  0   0|       |         </v>
      </c>
      <c r="AT398" s="112"/>
      <c r="BA398" s="1610"/>
      <c r="BG398" s="389"/>
    </row>
    <row r="399" spans="1:80" ht="10.5">
      <c r="A399" s="1050"/>
      <c r="B399" s="106" t="str">
        <f>Worksheet!L379</f>
        <v xml:space="preserve"> Q24       3|      2|      3|      4|      0|      0|       |         </v>
      </c>
      <c r="AT399" s="112"/>
      <c r="BA399" s="1610"/>
      <c r="BG399" s="389"/>
    </row>
    <row r="400" spans="1:80" ht="10.5">
      <c r="A400" s="1050"/>
      <c r="B400" s="106" t="str">
        <f>Worksheet!L380</f>
        <v xml:space="preserve"> T12  62  37| 46  42| 44  44| 40  34| 10   8|  7  16| 21  30| 17      </v>
      </c>
      <c r="AT400" s="112"/>
      <c r="BA400" s="1610"/>
      <c r="BG400" s="389"/>
    </row>
    <row r="401" spans="1:59" ht="10.5">
      <c r="A401" s="1050"/>
      <c r="B401" s="106" t="str">
        <f>Worksheet!L381</f>
        <v xml:space="preserve"> T24        | 67    | 68    | 62    | 34    |  9    | 41    | 33      </v>
      </c>
      <c r="AT401" s="112"/>
      <c r="BA401" s="1610"/>
      <c r="BG401" s="389"/>
    </row>
    <row r="402" spans="1:59" ht="10.5">
      <c r="A402" s="1050"/>
      <c r="B402" s="106">
        <f>Worksheet!L382</f>
        <v>0</v>
      </c>
      <c r="AT402" s="112"/>
      <c r="BA402" s="1610"/>
      <c r="BG402" s="389"/>
    </row>
    <row r="403" spans="1:59" ht="10.5">
      <c r="A403" s="1050"/>
      <c r="B403" s="106" t="str">
        <f>Worksheet!L383</f>
        <v xml:space="preserve"> WND  12|  5   9|  8  10|  5   8|  4   8|  5  10|  7  13| 10  15      </v>
      </c>
      <c r="AT403" s="112"/>
      <c r="BA403" s="1610"/>
      <c r="BG403" s="389"/>
    </row>
    <row r="404" spans="1:59" ht="10.5">
      <c r="A404" s="1050"/>
      <c r="B404" s="106" t="str">
        <f>Worksheet!L384</f>
        <v xml:space="preserve"> P12   3|  2  29| 56  41| 12   9|  8   7| 15  25| 22  26| 19  30999999</v>
      </c>
      <c r="AT404" s="112"/>
      <c r="BA404" s="1610"/>
      <c r="BG404" s="389"/>
    </row>
    <row r="405" spans="1:59" ht="10.5">
      <c r="A405" s="1050"/>
      <c r="B405" s="106" t="str">
        <f>Worksheet!L385</f>
        <v xml:space="preserve"> P24    |     34|     75|     13|      9|     25|     26|     42    31</v>
      </c>
      <c r="AT405" s="112"/>
      <c r="BA405" s="1610"/>
      <c r="BG405" s="389"/>
    </row>
    <row r="406" spans="1:59" ht="10.5">
      <c r="A406" s="1050"/>
      <c r="B406" s="106" t="str">
        <f>Worksheet!L386</f>
        <v xml:space="preserve"> Q12   0|  0   0|  2   1|  0   0|  0   0|  0   0|  0    |             </v>
      </c>
      <c r="AT406" s="112"/>
      <c r="BA406" s="1610"/>
      <c r="BG406" s="389"/>
    </row>
    <row r="407" spans="1:59" ht="10.5">
      <c r="A407" s="1050"/>
      <c r="B407" s="106" t="str">
        <f>Worksheet!L387</f>
        <v xml:space="preserve"> Q24    |      0|      3|      0|      0|      0|       |             </v>
      </c>
      <c r="AT407" s="112"/>
      <c r="BA407" s="1610"/>
      <c r="BG407" s="389"/>
    </row>
    <row r="408" spans="1:59" ht="10.5">
      <c r="A408" s="1050"/>
      <c r="B408" s="106" t="str">
        <f>Worksheet!L388</f>
        <v xml:space="preserve"> T12   5|  1  45| 43  12|  3   0|  0   4| 12  32| 23  29| 25  32      </v>
      </c>
      <c r="AT408" s="112"/>
      <c r="BA408" s="1610"/>
      <c r="BG408" s="389"/>
    </row>
    <row r="409" spans="1:59" ht="10.5">
      <c r="A409" s="1050"/>
      <c r="B409" s="106" t="str">
        <f>Worksheet!L389</f>
        <v xml:space="preserve"> T24    |  6    | 67    | 17    |  1    | 21    | 41    | 37          </v>
      </c>
      <c r="AT409" s="112"/>
      <c r="BA409" s="1610"/>
      <c r="BG409" s="389"/>
    </row>
    <row r="410" spans="1:59" ht="10.5">
      <c r="A410" s="1050"/>
      <c r="B410" s="106" t="str">
        <f>Worksheet!L390</f>
        <v xml:space="preserve"> PZP   0|  0   0|  0   0|  0   0|  0   0|  0   0|  0   0|  0   0      </v>
      </c>
      <c r="AT410" s="112"/>
      <c r="BA410" s="1610"/>
      <c r="BG410" s="389"/>
    </row>
    <row r="411" spans="1:59" ht="10.5">
      <c r="A411" s="1050"/>
      <c r="B411" s="106" t="str">
        <f>Worksheet!L391</f>
        <v xml:space="preserve"> PSN   0|  0   0|  0   0|  0   0|  0   0|  0   1|  0   0|  0   0      </v>
      </c>
      <c r="AT411" s="112"/>
      <c r="BA411" s="1610"/>
      <c r="BG411" s="389"/>
    </row>
    <row r="412" spans="1:59" ht="10.5">
      <c r="A412" s="1050"/>
      <c r="B412" s="106" t="str">
        <f>Worksheet!L392</f>
        <v xml:space="preserve"> PRS   0|  0   1|  1   1|  1   1|  1   1|  1   0|  1   0|  0   0      </v>
      </c>
      <c r="AT412" s="112"/>
      <c r="BA412" s="1610"/>
      <c r="BG412" s="389"/>
    </row>
    <row r="413" spans="1:59" ht="10.5">
      <c r="A413" s="1050"/>
      <c r="B413" s="106" t="str">
        <f>Worksheet!L393</f>
        <v xml:space="preserve"> TYP   R|  R   R|  R   R|  R   R|  R   R|  R   R|  R   R|  R   R      </v>
      </c>
      <c r="AT413" s="112"/>
      <c r="BA413" s="1610"/>
      <c r="BG413" s="389"/>
    </row>
    <row r="414" spans="1:59" ht="10.5">
      <c r="A414" s="1050"/>
      <c r="B414" s="106" t="str">
        <f>Worksheet!L394</f>
        <v xml:space="preserve"> SNW    |      0|      0|      0|      0|      0|       |             </v>
      </c>
      <c r="AT414" s="112"/>
      <c r="BA414" s="1610"/>
      <c r="BG414" s="389"/>
    </row>
    <row r="415" spans="1:59" ht="10.5">
      <c r="A415" s="1050"/>
      <c r="B415" s="106">
        <f>Worksheet!L395</f>
        <v>0</v>
      </c>
      <c r="AT415" s="112"/>
      <c r="BA415" s="1610"/>
      <c r="BG415" s="389"/>
    </row>
    <row r="416" spans="1:59" ht="10.5">
      <c r="A416" s="1050"/>
      <c r="B416" s="106">
        <f>Worksheet!L396</f>
        <v>0</v>
      </c>
      <c r="AT416" s="112"/>
      <c r="BA416" s="1610"/>
      <c r="BG416" s="389"/>
    </row>
    <row r="417" spans="1:59" ht="10.5">
      <c r="A417" s="1050"/>
      <c r="B417" s="106">
        <f>Worksheet!L397</f>
        <v>0</v>
      </c>
      <c r="AT417" s="112"/>
      <c r="BA417" s="1610"/>
      <c r="BG417" s="389"/>
    </row>
    <row r="418" spans="1:59" ht="10.5">
      <c r="A418" s="1050"/>
      <c r="B418" s="106">
        <f>Worksheet!L398</f>
        <v>0</v>
      </c>
      <c r="AT418" s="112"/>
      <c r="BA418" s="1610"/>
      <c r="BG418" s="389"/>
    </row>
    <row r="419" spans="1:59" ht="10.5">
      <c r="A419" s="1050"/>
      <c r="B419" s="106">
        <f>Worksheet!L399</f>
        <v>0</v>
      </c>
      <c r="AT419" s="112"/>
      <c r="BA419" s="1610"/>
      <c r="BG419" s="389"/>
    </row>
    <row r="420" spans="1:59" ht="10.5">
      <c r="A420" s="1050"/>
      <c r="B420" s="106">
        <f>Worksheet!L400</f>
        <v>0</v>
      </c>
      <c r="AT420" s="112"/>
      <c r="BA420" s="1610"/>
      <c r="BG420" s="389"/>
    </row>
    <row r="421" spans="1:59" ht="10.5">
      <c r="A421" s="1050"/>
      <c r="B421" s="108"/>
      <c r="AT421" s="112"/>
      <c r="BA421" s="1610"/>
      <c r="BG421" s="389"/>
    </row>
    <row r="422" spans="1:59" ht="10.5">
      <c r="A422" s="1050"/>
      <c r="B422" s="108"/>
      <c r="AT422" s="112"/>
      <c r="BA422" s="1610"/>
      <c r="BG422" s="389"/>
    </row>
    <row r="423" spans="1:59" ht="10.5">
      <c r="A423" s="1050"/>
      <c r="B423" s="108"/>
      <c r="AT423" s="112"/>
      <c r="BA423" s="1610"/>
      <c r="BG423" s="389"/>
    </row>
    <row r="424" spans="1:59" ht="10.5">
      <c r="A424" s="1050"/>
      <c r="B424" s="108"/>
      <c r="AT424" s="112"/>
      <c r="BA424" s="1610"/>
      <c r="BG424" s="389"/>
    </row>
    <row r="425" spans="1:59">
      <c r="A425" s="388"/>
      <c r="B425" s="108"/>
      <c r="AT425" s="112"/>
      <c r="BA425" s="1610"/>
      <c r="BG425" s="389"/>
    </row>
    <row r="426" spans="1:59">
      <c r="A426" s="388"/>
      <c r="B426" s="108"/>
      <c r="AT426" s="112"/>
      <c r="BA426" s="1610"/>
      <c r="BG426" s="389"/>
    </row>
    <row r="427" spans="1:59">
      <c r="A427" s="1944"/>
      <c r="B427" s="108"/>
      <c r="AT427" s="112"/>
      <c r="BA427" s="1610"/>
      <c r="BG427" s="389"/>
    </row>
    <row r="428" spans="1:59">
      <c r="A428" s="1944"/>
      <c r="B428" s="108"/>
      <c r="AT428" s="112"/>
      <c r="BA428" s="1610"/>
      <c r="BG428" s="389"/>
    </row>
    <row r="429" spans="1:59">
      <c r="A429" s="1944"/>
      <c r="B429" s="108"/>
      <c r="BA429" s="1610"/>
      <c r="BG429" s="389"/>
    </row>
    <row r="430" spans="1:59">
      <c r="A430" s="1944"/>
      <c r="B430" s="108"/>
      <c r="BA430" s="1610"/>
      <c r="BG430" s="389"/>
    </row>
    <row r="431" spans="1:59">
      <c r="A431" s="1944"/>
      <c r="B431" s="108"/>
      <c r="BA431" s="1610"/>
      <c r="BG431" s="389"/>
    </row>
    <row r="432" spans="1:59">
      <c r="BA432" s="1610"/>
      <c r="BG432" s="389"/>
    </row>
    <row r="433" spans="53:59">
      <c r="BA433" s="1610"/>
      <c r="BG433" s="389"/>
    </row>
    <row r="434" spans="53:59">
      <c r="BA434" s="1610"/>
      <c r="BG434" s="389"/>
    </row>
    <row r="435" spans="53:59">
      <c r="BA435" s="1610"/>
      <c r="BG435" s="389"/>
    </row>
    <row r="436" spans="53:59">
      <c r="BA436" s="1610"/>
      <c r="BG436" s="389"/>
    </row>
    <row r="437" spans="53:59">
      <c r="BA437" s="1610"/>
      <c r="BG437" s="389"/>
    </row>
    <row r="438" spans="53:59">
      <c r="BA438" s="1610"/>
      <c r="BG438" s="389"/>
    </row>
    <row r="439" spans="53:59">
      <c r="BA439" s="1610"/>
      <c r="BG439" s="389"/>
    </row>
    <row r="440" spans="53:59">
      <c r="BA440" s="1610"/>
      <c r="BG440" s="389"/>
    </row>
    <row r="441" spans="53:59">
      <c r="BA441" s="1610"/>
      <c r="BG441" s="389"/>
    </row>
    <row r="442" spans="53:59">
      <c r="BA442" s="1610"/>
      <c r="BG442" s="389"/>
    </row>
    <row r="443" spans="53:59">
      <c r="BA443" s="1610"/>
      <c r="BG443" s="389"/>
    </row>
    <row r="444" spans="53:59">
      <c r="BA444" s="1610"/>
      <c r="BG444" s="389"/>
    </row>
    <row r="445" spans="53:59">
      <c r="BA445" s="1610"/>
      <c r="BG445" s="389"/>
    </row>
    <row r="446" spans="53:59">
      <c r="BA446" s="1610"/>
      <c r="BG446" s="389"/>
    </row>
    <row r="447" spans="53:59">
      <c r="BA447" s="1610"/>
      <c r="BG447" s="389"/>
    </row>
    <row r="448" spans="53:59">
      <c r="BA448" s="1610"/>
      <c r="BG448" s="389"/>
    </row>
    <row r="449" spans="53:59">
      <c r="BA449" s="1610"/>
      <c r="BG449" s="389"/>
    </row>
    <row r="450" spans="53:59">
      <c r="BA450" s="1610"/>
      <c r="BG450" s="389"/>
    </row>
    <row r="451" spans="53:59">
      <c r="BA451" s="1610"/>
      <c r="BG451" s="389"/>
    </row>
    <row r="452" spans="53:59">
      <c r="BA452" s="1610"/>
      <c r="BG452" s="389"/>
    </row>
    <row r="453" spans="53:59">
      <c r="BA453" s="1610"/>
      <c r="BG453" s="389"/>
    </row>
    <row r="454" spans="53:59">
      <c r="BA454" s="1610"/>
      <c r="BG454" s="389"/>
    </row>
    <row r="455" spans="53:59">
      <c r="BA455" s="1610"/>
      <c r="BG455" s="389"/>
    </row>
    <row r="456" spans="53:59">
      <c r="BA456" s="1610"/>
      <c r="BG456" s="389"/>
    </row>
    <row r="457" spans="53:59">
      <c r="BA457" s="1610"/>
      <c r="BG457" s="389"/>
    </row>
    <row r="458" spans="53:59">
      <c r="BA458" s="1610"/>
      <c r="BG458" s="389"/>
    </row>
    <row r="459" spans="53:59">
      <c r="BA459" s="1610"/>
      <c r="BG459" s="389"/>
    </row>
    <row r="460" spans="53:59">
      <c r="BA460" s="1610"/>
      <c r="BG460" s="389"/>
    </row>
    <row r="461" spans="53:59">
      <c r="BA461" s="1610"/>
      <c r="BG461" s="389"/>
    </row>
    <row r="462" spans="53:59">
      <c r="BA462" s="1610"/>
      <c r="BG462" s="389"/>
    </row>
    <row r="463" spans="53:59">
      <c r="BA463" s="1610"/>
      <c r="BG463" s="389"/>
    </row>
    <row r="464" spans="53:59">
      <c r="BA464" s="1610"/>
      <c r="BG464" s="389"/>
    </row>
    <row r="465" spans="53:59">
      <c r="BA465" s="1610"/>
      <c r="BG465" s="389"/>
    </row>
    <row r="466" spans="53:59">
      <c r="BA466" s="1610"/>
      <c r="BG466" s="389"/>
    </row>
    <row r="467" spans="53:59">
      <c r="BA467" s="1610"/>
      <c r="BG467" s="389"/>
    </row>
    <row r="468" spans="53:59">
      <c r="BA468" s="1610"/>
      <c r="BG468" s="389"/>
    </row>
    <row r="469" spans="53:59">
      <c r="BA469" s="1610"/>
      <c r="BG469" s="389"/>
    </row>
    <row r="470" spans="53:59">
      <c r="BA470" s="1610"/>
      <c r="BG470" s="389"/>
    </row>
    <row r="471" spans="53:59">
      <c r="BA471" s="1610"/>
      <c r="BG471" s="389"/>
    </row>
    <row r="472" spans="53:59">
      <c r="BG472" s="389"/>
    </row>
    <row r="473" spans="53:59">
      <c r="BG473" s="389"/>
    </row>
    <row r="474" spans="53:59">
      <c r="BG474" s="389"/>
    </row>
    <row r="475" spans="53:59">
      <c r="BG475" s="389"/>
    </row>
    <row r="476" spans="53:59">
      <c r="BG476" s="389"/>
    </row>
    <row r="477" spans="53:59">
      <c r="BG477" s="389"/>
    </row>
    <row r="478" spans="53:59">
      <c r="BG478" s="389"/>
    </row>
    <row r="479" spans="53:59">
      <c r="BG479" s="389"/>
    </row>
    <row r="480" spans="53:59">
      <c r="BG480" s="389"/>
    </row>
    <row r="481" spans="59:59">
      <c r="BG481" s="389"/>
    </row>
    <row r="482" spans="59:59">
      <c r="BG482" s="389"/>
    </row>
    <row r="483" spans="59:59">
      <c r="BG483" s="389"/>
    </row>
    <row r="484" spans="59:59">
      <c r="BG484" s="389"/>
    </row>
    <row r="485" spans="59:59">
      <c r="BG485" s="389"/>
    </row>
    <row r="486" spans="59:59">
      <c r="BG486" s="389"/>
    </row>
    <row r="487" spans="59:59">
      <c r="BG487" s="389"/>
    </row>
    <row r="488" spans="59:59">
      <c r="BG488" s="389"/>
    </row>
    <row r="489" spans="59:59">
      <c r="BG489" s="389"/>
    </row>
    <row r="490" spans="59:59">
      <c r="BG490" s="389"/>
    </row>
    <row r="491" spans="59:59">
      <c r="BG491" s="389"/>
    </row>
    <row r="492" spans="59:59">
      <c r="BG492" s="389"/>
    </row>
    <row r="493" spans="59:59">
      <c r="BG493" s="389"/>
    </row>
    <row r="494" spans="59:59">
      <c r="BG494" s="389"/>
    </row>
    <row r="495" spans="59:59">
      <c r="BG495" s="389"/>
    </row>
    <row r="496" spans="59:59">
      <c r="BG496" s="389"/>
    </row>
    <row r="497" spans="48:64">
      <c r="BG497" s="389"/>
    </row>
    <row r="498" spans="48:64">
      <c r="BG498" s="389"/>
    </row>
    <row r="499" spans="48:64">
      <c r="BG499" s="389"/>
    </row>
    <row r="500" spans="48:64">
      <c r="BG500" s="389"/>
    </row>
    <row r="501" spans="48:64">
      <c r="BG501" s="389"/>
    </row>
    <row r="502" spans="48:64">
      <c r="BG502" s="389"/>
    </row>
    <row r="503" spans="48:64">
      <c r="BG503" s="389"/>
    </row>
    <row r="504" spans="48:64">
      <c r="BG504" s="389"/>
    </row>
    <row r="505" spans="48:64">
      <c r="BG505" s="389"/>
    </row>
    <row r="506" spans="48:64">
      <c r="BG506" s="389"/>
    </row>
    <row r="508" spans="48:64">
      <c r="AW508" s="66" t="s">
        <v>2746</v>
      </c>
      <c r="BC508" s="66" t="s">
        <v>2747</v>
      </c>
      <c r="BL508" s="66" t="s">
        <v>2748</v>
      </c>
    </row>
    <row r="509" spans="48:64">
      <c r="AV509" s="66" t="s">
        <v>2749</v>
      </c>
      <c r="AW509" s="66" t="s">
        <v>2749</v>
      </c>
      <c r="AX509" s="66" t="s">
        <v>2750</v>
      </c>
      <c r="AY509" s="66" t="s">
        <v>2750</v>
      </c>
      <c r="AZ509" s="66" t="s">
        <v>2750</v>
      </c>
      <c r="BA509" s="66" t="s">
        <v>2750</v>
      </c>
      <c r="BB509" s="66" t="s">
        <v>2750</v>
      </c>
      <c r="BC509" s="66" t="s">
        <v>2749</v>
      </c>
      <c r="BG509" s="66" t="s">
        <v>2749</v>
      </c>
      <c r="BH509" s="66" t="s">
        <v>2749</v>
      </c>
      <c r="BI509" s="66" t="s">
        <v>2749</v>
      </c>
      <c r="BJ509" s="66" t="s">
        <v>2749</v>
      </c>
      <c r="BK509" s="66" t="s">
        <v>2749</v>
      </c>
      <c r="BL509" s="66" t="s">
        <v>2749</v>
      </c>
    </row>
    <row r="510" spans="48:64">
      <c r="AV510" s="106"/>
      <c r="AW510" s="106">
        <v>0</v>
      </c>
      <c r="AX510" s="106"/>
      <c r="AY510" s="106"/>
      <c r="AZ510" s="106"/>
      <c r="BA510" s="106"/>
      <c r="BB510" s="106"/>
      <c r="BC510" s="106">
        <v>100</v>
      </c>
      <c r="BD510" s="106"/>
      <c r="BE510" s="106"/>
      <c r="BF510" s="106"/>
      <c r="BG510" s="106"/>
      <c r="BH510" s="106"/>
      <c r="BI510" s="106"/>
      <c r="BJ510" s="106"/>
      <c r="BK510" s="106"/>
      <c r="BL510" s="106">
        <v>0</v>
      </c>
    </row>
    <row r="511" spans="48:64"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</row>
    <row r="512" spans="48:64"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</row>
    <row r="513" spans="48:63"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</row>
    <row r="514" spans="48:63"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</row>
    <row r="515" spans="48:63"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</row>
    <row r="516" spans="48:63"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</row>
    <row r="517" spans="48:63"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</row>
    <row r="518" spans="48:63"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</row>
  </sheetData>
  <sheetProtection algorithmName="SHA-512" hashValue="l5zgT5VUrqztVjQa7tJ6BCDqk9ZhsH5O2Ep8SozJHCm56slqxAvRPI6q2Ef2ynnN2Ym3EZKlWLHHTl9hJ71koA==" saltValue="6nVXe/Z5FZe/zGIg/U6TzQ==" spinCount="100000" sheet="1" selectLockedCells="1"/>
  <mergeCells count="265">
    <mergeCell ref="CA368:CB368"/>
    <mergeCell ref="CA369:CB369"/>
    <mergeCell ref="CA370:CB370"/>
    <mergeCell ref="CA371:CB371"/>
    <mergeCell ref="CA372:CB372"/>
    <mergeCell ref="CA373:CB373"/>
    <mergeCell ref="CA374:CB374"/>
    <mergeCell ref="CA375:CB375"/>
    <mergeCell ref="CA376:CB376"/>
    <mergeCell ref="CA386:CB386"/>
    <mergeCell ref="CA387:CB387"/>
    <mergeCell ref="CA388:CB388"/>
    <mergeCell ref="CA389:CB389"/>
    <mergeCell ref="CA377:CB377"/>
    <mergeCell ref="CA378:CB378"/>
    <mergeCell ref="CA379:CB379"/>
    <mergeCell ref="CA380:CB380"/>
    <mergeCell ref="CA381:CB381"/>
    <mergeCell ref="CA382:CB382"/>
    <mergeCell ref="CA383:CB383"/>
    <mergeCell ref="CA384:CB384"/>
    <mergeCell ref="CA385:CB385"/>
    <mergeCell ref="CA359:CB359"/>
    <mergeCell ref="CA360:CB360"/>
    <mergeCell ref="CA361:CB361"/>
    <mergeCell ref="CA362:CB362"/>
    <mergeCell ref="CA363:CB363"/>
    <mergeCell ref="CA364:CB364"/>
    <mergeCell ref="CA365:CB365"/>
    <mergeCell ref="CA366:CB366"/>
    <mergeCell ref="CA367:CB367"/>
    <mergeCell ref="CA350:CB350"/>
    <mergeCell ref="CA351:CB351"/>
    <mergeCell ref="CA352:CB352"/>
    <mergeCell ref="CA353:CB353"/>
    <mergeCell ref="CA354:CB354"/>
    <mergeCell ref="CA355:CB355"/>
    <mergeCell ref="CA356:CB356"/>
    <mergeCell ref="CA357:CB357"/>
    <mergeCell ref="CA358:CB358"/>
    <mergeCell ref="CA346:CB346"/>
    <mergeCell ref="CA347:CB347"/>
    <mergeCell ref="CA348:CB348"/>
    <mergeCell ref="CA349:CB349"/>
    <mergeCell ref="CA336:CB336"/>
    <mergeCell ref="CA337:CB337"/>
    <mergeCell ref="CA338:CB338"/>
    <mergeCell ref="CA339:CB339"/>
    <mergeCell ref="CA340:CB340"/>
    <mergeCell ref="CA341:CB341"/>
    <mergeCell ref="CA342:CB342"/>
    <mergeCell ref="CA343:CB343"/>
    <mergeCell ref="CA344:CB344"/>
    <mergeCell ref="CA328:CB328"/>
    <mergeCell ref="CA329:CB329"/>
    <mergeCell ref="CA330:CB330"/>
    <mergeCell ref="CA331:CB331"/>
    <mergeCell ref="CA332:CB332"/>
    <mergeCell ref="CA333:CB333"/>
    <mergeCell ref="CA334:CB334"/>
    <mergeCell ref="CA335:CB335"/>
    <mergeCell ref="CA345:CB345"/>
    <mergeCell ref="CA319:CB319"/>
    <mergeCell ref="CA320:CB320"/>
    <mergeCell ref="CA321:CB321"/>
    <mergeCell ref="CA322:CB322"/>
    <mergeCell ref="CA323:CB323"/>
    <mergeCell ref="CA324:CB324"/>
    <mergeCell ref="CA325:CB325"/>
    <mergeCell ref="CA326:CB326"/>
    <mergeCell ref="CA327:CB327"/>
    <mergeCell ref="CA310:CB310"/>
    <mergeCell ref="CA311:CB311"/>
    <mergeCell ref="CA312:CB312"/>
    <mergeCell ref="CA313:CB313"/>
    <mergeCell ref="CA314:CB314"/>
    <mergeCell ref="CA315:CB315"/>
    <mergeCell ref="CA316:CB316"/>
    <mergeCell ref="CA317:CB317"/>
    <mergeCell ref="CA318:CB318"/>
    <mergeCell ref="CA301:CB301"/>
    <mergeCell ref="CA302:CB302"/>
    <mergeCell ref="CA303:CB303"/>
    <mergeCell ref="CA304:CB304"/>
    <mergeCell ref="CA305:CB305"/>
    <mergeCell ref="CA306:CB306"/>
    <mergeCell ref="CA307:CB307"/>
    <mergeCell ref="CA308:CB308"/>
    <mergeCell ref="CA309:CB309"/>
    <mergeCell ref="CA292:CB292"/>
    <mergeCell ref="CA293:CB293"/>
    <mergeCell ref="CA294:CB294"/>
    <mergeCell ref="CA295:CB295"/>
    <mergeCell ref="CA296:CB296"/>
    <mergeCell ref="CA297:CB297"/>
    <mergeCell ref="CA298:CB298"/>
    <mergeCell ref="CA299:CB299"/>
    <mergeCell ref="CA300:CB300"/>
    <mergeCell ref="CA283:CB283"/>
    <mergeCell ref="CA284:CB284"/>
    <mergeCell ref="CA285:CB285"/>
    <mergeCell ref="CA286:CB286"/>
    <mergeCell ref="CA287:CB287"/>
    <mergeCell ref="CA288:CB288"/>
    <mergeCell ref="CA289:CB289"/>
    <mergeCell ref="CA290:CB290"/>
    <mergeCell ref="CA291:CB291"/>
    <mergeCell ref="CA274:CB274"/>
    <mergeCell ref="CA275:CB275"/>
    <mergeCell ref="CA276:CB276"/>
    <mergeCell ref="CA277:CB277"/>
    <mergeCell ref="CA278:CB278"/>
    <mergeCell ref="CA279:CB279"/>
    <mergeCell ref="CA280:CB280"/>
    <mergeCell ref="CA281:CB281"/>
    <mergeCell ref="CA282:CB282"/>
    <mergeCell ref="CA265:CB265"/>
    <mergeCell ref="CA266:CB266"/>
    <mergeCell ref="CA267:CB267"/>
    <mergeCell ref="CA268:CB268"/>
    <mergeCell ref="CA269:CB269"/>
    <mergeCell ref="CA270:CB270"/>
    <mergeCell ref="CA271:CB271"/>
    <mergeCell ref="CA272:CB272"/>
    <mergeCell ref="CA273:CB273"/>
    <mergeCell ref="CA256:CB256"/>
    <mergeCell ref="CA257:CB257"/>
    <mergeCell ref="CA258:CB258"/>
    <mergeCell ref="CA259:CB259"/>
    <mergeCell ref="CA260:CB260"/>
    <mergeCell ref="CA261:CB261"/>
    <mergeCell ref="CA262:CB262"/>
    <mergeCell ref="CA263:CB263"/>
    <mergeCell ref="CA264:CB264"/>
    <mergeCell ref="CA247:CB247"/>
    <mergeCell ref="CA248:CB248"/>
    <mergeCell ref="CA249:CB249"/>
    <mergeCell ref="CA250:CB250"/>
    <mergeCell ref="CA251:CB251"/>
    <mergeCell ref="CA252:CB252"/>
    <mergeCell ref="CA253:CB253"/>
    <mergeCell ref="CA254:CB254"/>
    <mergeCell ref="CA255:CB255"/>
    <mergeCell ref="CA238:CB238"/>
    <mergeCell ref="CA239:CB239"/>
    <mergeCell ref="CA240:CB240"/>
    <mergeCell ref="CA241:CB241"/>
    <mergeCell ref="CA242:CB242"/>
    <mergeCell ref="CA243:CB243"/>
    <mergeCell ref="CA244:CB244"/>
    <mergeCell ref="CA245:CB245"/>
    <mergeCell ref="CA246:CB246"/>
    <mergeCell ref="BP205:BW205"/>
    <mergeCell ref="BH205:BO205"/>
    <mergeCell ref="BX205:BY205"/>
    <mergeCell ref="AY204:BY204"/>
    <mergeCell ref="CA207:CB207"/>
    <mergeCell ref="CA208:CB208"/>
    <mergeCell ref="CA209:CB209"/>
    <mergeCell ref="AV205:AX205"/>
    <mergeCell ref="AT205:AU205"/>
    <mergeCell ref="AY205:BG205"/>
    <mergeCell ref="CA210:CB210"/>
    <mergeCell ref="CA211:CB211"/>
    <mergeCell ref="CA212:CB212"/>
    <mergeCell ref="CA213:CB213"/>
    <mergeCell ref="CA214:CB214"/>
    <mergeCell ref="CA215:CB215"/>
    <mergeCell ref="CA216:CB216"/>
    <mergeCell ref="CA217:CB217"/>
    <mergeCell ref="CA218:CB218"/>
    <mergeCell ref="CA219:CB219"/>
    <mergeCell ref="CA220:CB220"/>
    <mergeCell ref="CA221:CB221"/>
    <mergeCell ref="CA222:CB222"/>
    <mergeCell ref="I216:J216"/>
    <mergeCell ref="F235:H235"/>
    <mergeCell ref="E237:I237"/>
    <mergeCell ref="J237:S237"/>
    <mergeCell ref="U237:V237"/>
    <mergeCell ref="CA223:CB223"/>
    <mergeCell ref="CA224:CB224"/>
    <mergeCell ref="CA225:CB225"/>
    <mergeCell ref="CA226:CB226"/>
    <mergeCell ref="CA227:CB227"/>
    <mergeCell ref="CA228:CB228"/>
    <mergeCell ref="CA229:CB229"/>
    <mergeCell ref="CA230:CB230"/>
    <mergeCell ref="CA231:CB231"/>
    <mergeCell ref="CA232:CB232"/>
    <mergeCell ref="CA233:CB233"/>
    <mergeCell ref="CA234:CB234"/>
    <mergeCell ref="CA235:CB235"/>
    <mergeCell ref="CA236:CB236"/>
    <mergeCell ref="CA237:CB237"/>
    <mergeCell ref="F186:G186"/>
    <mergeCell ref="AL205:AM205"/>
    <mergeCell ref="F373:G373"/>
    <mergeCell ref="F374:G374"/>
    <mergeCell ref="F345:G345"/>
    <mergeCell ref="F346:G346"/>
    <mergeCell ref="AO205:AQ205"/>
    <mergeCell ref="AR205:AS205"/>
    <mergeCell ref="AH206:AI206"/>
    <mergeCell ref="AE197:AG197"/>
    <mergeCell ref="AE205:AG205"/>
    <mergeCell ref="AH205:AK205"/>
    <mergeCell ref="AO204:AX204"/>
    <mergeCell ref="F344:G344"/>
    <mergeCell ref="F372:G372"/>
    <mergeCell ref="T70:U70"/>
    <mergeCell ref="C21:D21"/>
    <mergeCell ref="C22:D22"/>
    <mergeCell ref="C23:D23"/>
    <mergeCell ref="C24:D24"/>
    <mergeCell ref="C25:D25"/>
    <mergeCell ref="C26:D26"/>
    <mergeCell ref="AA5:AA7"/>
    <mergeCell ref="AB6:AD6"/>
    <mergeCell ref="C11:D11"/>
    <mergeCell ref="C8:D8"/>
    <mergeCell ref="C9:D9"/>
    <mergeCell ref="A5:E6"/>
    <mergeCell ref="F5:I5"/>
    <mergeCell ref="L5:P5"/>
    <mergeCell ref="C10:D10"/>
    <mergeCell ref="J7:K7"/>
    <mergeCell ref="J5:K5"/>
    <mergeCell ref="L6:M6"/>
    <mergeCell ref="O6:P6"/>
    <mergeCell ref="C16:D16"/>
    <mergeCell ref="C17:D17"/>
    <mergeCell ref="C14:D14"/>
    <mergeCell ref="C15:D15"/>
    <mergeCell ref="C20:D20"/>
    <mergeCell ref="C18:D18"/>
    <mergeCell ref="C19:D19"/>
    <mergeCell ref="C12:D12"/>
    <mergeCell ref="C13:D13"/>
    <mergeCell ref="AL6:AN6"/>
    <mergeCell ref="AO6:AQ6"/>
    <mergeCell ref="R5:S5"/>
    <mergeCell ref="T5:U7"/>
    <mergeCell ref="R7:S7"/>
    <mergeCell ref="V5:V7"/>
    <mergeCell ref="W5:W7"/>
    <mergeCell ref="X5:X7"/>
    <mergeCell ref="AB5:AK5"/>
    <mergeCell ref="Z5:Z7"/>
    <mergeCell ref="AE6:AG6"/>
    <mergeCell ref="AH6:AJ6"/>
    <mergeCell ref="CO2:CP2"/>
    <mergeCell ref="CF3:CG3"/>
    <mergeCell ref="CF4:CG4"/>
    <mergeCell ref="CF5:CG5"/>
    <mergeCell ref="CH3:CJ3"/>
    <mergeCell ref="BZ4:BZ5"/>
    <mergeCell ref="CA4:CA5"/>
    <mergeCell ref="AR6:AT6"/>
    <mergeCell ref="AL5:AU5"/>
    <mergeCell ref="AV5:AW5"/>
    <mergeCell ref="BB6:BB7"/>
    <mergeCell ref="CI7:CJ7"/>
    <mergeCell ref="CC7:CD7"/>
    <mergeCell ref="AX5:BI5"/>
  </mergeCells>
  <conditionalFormatting sqref="H8:I26">
    <cfRule type="cellIs" dxfId="23" priority="195" operator="between">
      <formula>5</formula>
      <formula>9</formula>
    </cfRule>
    <cfRule type="cellIs" dxfId="22" priority="196" operator="lessThan">
      <formula>5</formula>
    </cfRule>
  </conditionalFormatting>
  <conditionalFormatting sqref="R8:S26">
    <cfRule type="cellIs" dxfId="21" priority="192" stopIfTrue="1" operator="between">
      <formula>10</formula>
      <formula>29</formula>
    </cfRule>
    <cfRule type="cellIs" dxfId="20" priority="193" stopIfTrue="1" operator="between">
      <formula>5</formula>
      <formula>9</formula>
    </cfRule>
    <cfRule type="cellIs" dxfId="19" priority="194" stopIfTrue="1" operator="lessThan">
      <formula>5</formula>
    </cfRule>
  </conditionalFormatting>
  <conditionalFormatting sqref="J8:K26">
    <cfRule type="cellIs" dxfId="18" priority="189" operator="between">
      <formula>3</formula>
      <formula>5</formula>
    </cfRule>
    <cfRule type="cellIs" dxfId="17" priority="190" operator="lessThan">
      <formula>1</formula>
    </cfRule>
    <cfRule type="cellIs" dxfId="16" priority="191" operator="between">
      <formula>1</formula>
      <formula>3</formula>
    </cfRule>
  </conditionalFormatting>
  <conditionalFormatting sqref="Y8:AW26 F8:W26">
    <cfRule type="expression" dxfId="15" priority="182">
      <formula>ISEVEN(ROW())</formula>
    </cfRule>
  </conditionalFormatting>
  <conditionalFormatting sqref="Y8:AW26 F8:W26">
    <cfRule type="expression" dxfId="14" priority="29">
      <formula>#REF!&gt;(INDEX($B$1:$B$15,ROW(),1))</formula>
    </cfRule>
  </conditionalFormatting>
  <conditionalFormatting sqref="AX21:BF26 AX8:BA20 BC8:BD20">
    <cfRule type="cellIs" dxfId="13" priority="17" operator="equal">
      <formula>"R"</formula>
    </cfRule>
    <cfRule type="cellIs" dxfId="12" priority="18" operator="equal">
      <formula>"Y"</formula>
    </cfRule>
  </conditionalFormatting>
  <conditionalFormatting sqref="BG8:BG20">
    <cfRule type="cellIs" dxfId="11" priority="11" operator="equal">
      <formula>"R"</formula>
    </cfRule>
    <cfRule type="cellIs" dxfId="10" priority="12" operator="equal">
      <formula>"Y"</formula>
    </cfRule>
  </conditionalFormatting>
  <conditionalFormatting sqref="BE8:BE20">
    <cfRule type="cellIs" dxfId="9" priority="9" operator="equal">
      <formula>"R"</formula>
    </cfRule>
    <cfRule type="cellIs" dxfId="8" priority="10" operator="equal">
      <formula>"Y"</formula>
    </cfRule>
  </conditionalFormatting>
  <conditionalFormatting sqref="BF8:BF20">
    <cfRule type="cellIs" dxfId="7" priority="7" operator="equal">
      <formula>"R"</formula>
    </cfRule>
    <cfRule type="cellIs" dxfId="6" priority="8" operator="equal">
      <formula>"Y"</formula>
    </cfRule>
  </conditionalFormatting>
  <conditionalFormatting sqref="BH8:BH20">
    <cfRule type="cellIs" dxfId="5" priority="5" operator="equal">
      <formula>"R"</formula>
    </cfRule>
    <cfRule type="cellIs" dxfId="4" priority="6" operator="equal">
      <formula>"Y"</formula>
    </cfRule>
  </conditionalFormatting>
  <conditionalFormatting sqref="BB8:BB20">
    <cfRule type="cellIs" dxfId="3" priority="3" operator="equal">
      <formula>"R"</formula>
    </cfRule>
    <cfRule type="cellIs" dxfId="2" priority="4" operator="equal">
      <formula>"Y"</formula>
    </cfRule>
  </conditionalFormatting>
  <conditionalFormatting sqref="BI8:BI20">
    <cfRule type="cellIs" dxfId="1" priority="1" operator="equal">
      <formula>"R"</formula>
    </cfRule>
    <cfRule type="cellIs" dxfId="0" priority="2" operator="equal">
      <formula>"Y"</formula>
    </cfRule>
  </conditionalFormatting>
  <pageMargins left="0.7" right="0.7" top="0.75" bottom="0.75" header="0.3" footer="0.3"/>
  <pageSetup orientation="portrait" horizontalDpi="300" verticalDpi="300" r:id="rId1"/>
  <ignoredErrors>
    <ignoredError sqref="F28:F6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CD30"/>
  <sheetViews>
    <sheetView zoomScale="110" zoomScaleNormal="110" workbookViewId="0">
      <selection activeCell="A3" sqref="A3"/>
    </sheetView>
  </sheetViews>
  <sheetFormatPr defaultColWidth="9" defaultRowHeight="12.5"/>
  <cols>
    <col min="1" max="1" width="4.54296875" style="53" customWidth="1"/>
    <col min="2" max="2" width="50.54296875" style="111" customWidth="1"/>
    <col min="3" max="3" width="4.54296875" style="111" customWidth="1"/>
    <col min="4" max="5" width="6.54296875" style="111" customWidth="1"/>
    <col min="6" max="6" width="52.54296875" style="111" customWidth="1"/>
    <col min="7" max="7" width="5.54296875" style="111" customWidth="1"/>
    <col min="8" max="8" width="71" style="111" customWidth="1"/>
    <col min="9" max="10" width="4.54296875" style="111" customWidth="1"/>
    <col min="11" max="11" width="54.54296875" style="111" customWidth="1"/>
    <col min="12" max="13" width="4" style="111" customWidth="1"/>
    <col min="14" max="14" width="45" style="111" customWidth="1"/>
    <col min="15" max="15" width="5" style="111" customWidth="1"/>
    <col min="16" max="16" width="16" style="111" customWidth="1"/>
    <col min="17" max="17" width="6" style="53" customWidth="1"/>
    <col min="18" max="18" width="5.54296875" style="53" customWidth="1"/>
    <col min="19" max="19" width="5" style="53" customWidth="1"/>
    <col min="20" max="20" width="3" style="53" customWidth="1"/>
    <col min="21" max="22" width="6" style="53" customWidth="1"/>
    <col min="23" max="23" width="7" style="53" customWidth="1"/>
    <col min="24" max="24" width="55" style="53" customWidth="1"/>
    <col min="25" max="25" width="7" style="53" customWidth="1"/>
    <col min="26" max="26" width="8" style="53" customWidth="1"/>
    <col min="27" max="27" width="4.54296875" style="53" customWidth="1"/>
    <col min="28" max="28" width="5.54296875" style="53" customWidth="1"/>
    <col min="29" max="29" width="9" style="53" customWidth="1"/>
    <col min="30" max="30" width="4.54296875" style="53" customWidth="1"/>
    <col min="31" max="31" width="5" style="53" customWidth="1"/>
    <col min="32" max="32" width="13.54296875" style="53" customWidth="1"/>
    <col min="33" max="33" width="8" style="53" customWidth="1"/>
    <col min="34" max="34" width="4.54296875" style="53" customWidth="1"/>
    <col min="35" max="38" width="5" style="53" customWidth="1"/>
    <col min="39" max="39" width="12.54296875" style="53" customWidth="1"/>
    <col min="40" max="40" width="8" style="53" customWidth="1"/>
    <col min="41" max="41" width="9" style="53" customWidth="1"/>
    <col min="42" max="42" width="9" style="53"/>
    <col min="43" max="45" width="5" style="53" customWidth="1"/>
    <col min="46" max="46" width="4.54296875" style="53" customWidth="1"/>
    <col min="47" max="47" width="5.54296875" style="53" customWidth="1"/>
    <col min="48" max="48" width="5" style="53" customWidth="1"/>
    <col min="49" max="49" width="6" style="53" customWidth="1"/>
    <col min="50" max="50" width="11" style="53" customWidth="1"/>
    <col min="51" max="51" width="6.54296875" style="53" customWidth="1"/>
    <col min="52" max="52" width="8" style="53" customWidth="1"/>
    <col min="53" max="55" width="7.54296875" style="53" customWidth="1"/>
    <col min="56" max="57" width="8" style="53" customWidth="1"/>
    <col min="58" max="58" width="6.54296875" style="53" customWidth="1"/>
    <col min="59" max="67" width="4.54296875" style="53" customWidth="1"/>
    <col min="68" max="68" width="6" style="53" customWidth="1"/>
    <col min="69" max="69" width="6.54296875" style="53" customWidth="1"/>
    <col min="70" max="70" width="5.54296875" style="53" customWidth="1"/>
    <col min="71" max="79" width="4.54296875" style="53" customWidth="1"/>
    <col min="80" max="80" width="6" style="53" customWidth="1"/>
    <col min="81" max="81" width="7.54296875" style="53" customWidth="1"/>
    <col min="82" max="82" width="6.54296875" style="53" customWidth="1"/>
    <col min="83" max="16384" width="9" style="53"/>
  </cols>
  <sheetData>
    <row r="2" spans="1:82"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3" t="str">
        <f>IF(AB2="","",AA2+AB2+#REF!)</f>
        <v/>
      </c>
      <c r="AD2" s="3683" t="s">
        <v>2751</v>
      </c>
      <c r="AE2" s="3683"/>
      <c r="AF2" s="3683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</row>
    <row r="3" spans="1:82">
      <c r="A3" s="66"/>
      <c r="B3" s="1944"/>
      <c r="C3" s="106">
        <v>56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12"/>
      <c r="R3" s="112"/>
      <c r="S3" s="112"/>
      <c r="T3" s="112"/>
      <c r="U3" s="112"/>
      <c r="V3" s="112"/>
      <c r="W3" s="112"/>
      <c r="X3" s="112"/>
      <c r="Y3" s="3684" t="s">
        <v>2752</v>
      </c>
      <c r="Z3" s="3684"/>
      <c r="AA3" s="3685">
        <f>IF(AA7=DAY(Worksheet!Q6),Worksheet!Q6,IF(AA7=1,IF(DAY(Worksheet!Q6)=2,Worksheet!Q6-1,Worksheet!Q6+1),IF(DAY(Worksheet!Q6)=1,IF(AA7=2,Worksheet!Q6+1,Worksheet!Q6-1),IF(DAY(Worksheet!Q6)&gt;AA7,Worksheet!Q6-1,Worksheet!Q6+1))))</f>
        <v>44748</v>
      </c>
      <c r="AB3" s="3685"/>
      <c r="AC3" s="113" t="str">
        <f>IF(AB3="","",AA3+AB3+#REF!)</f>
        <v/>
      </c>
      <c r="AD3" s="3685">
        <f>AA3-AA7</f>
        <v>44742</v>
      </c>
      <c r="AE3" s="3685"/>
      <c r="AF3" s="1945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</row>
    <row r="4" spans="1:82">
      <c r="A4" s="66"/>
      <c r="B4" s="1944" t="s">
        <v>2753</v>
      </c>
      <c r="C4" s="106">
        <v>59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15"/>
      <c r="R4" s="112"/>
      <c r="S4" s="112"/>
      <c r="T4" s="112"/>
      <c r="U4" s="112"/>
      <c r="V4" s="112"/>
      <c r="W4" s="396"/>
      <c r="X4" s="397"/>
      <c r="Y4" s="3686" t="s">
        <v>2754</v>
      </c>
      <c r="Z4" s="3688"/>
      <c r="AA4" s="112"/>
      <c r="AB4" s="112"/>
      <c r="AC4" s="113" t="str">
        <f>IF(AB4="","",AA4+AB4+#REF!)</f>
        <v/>
      </c>
      <c r="AD4" s="1901"/>
      <c r="AE4" s="1901"/>
      <c r="AF4" s="1901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937" t="s">
        <v>348</v>
      </c>
      <c r="AY4" s="112"/>
      <c r="AZ4" s="112"/>
      <c r="BA4" s="112"/>
      <c r="BB4" s="112"/>
      <c r="BC4" s="112"/>
      <c r="BD4" s="112"/>
      <c r="BE4" s="112"/>
      <c r="BF4" s="3692" t="s">
        <v>2755</v>
      </c>
      <c r="BG4" s="3692"/>
      <c r="BH4" s="3692"/>
      <c r="BI4" s="3692"/>
      <c r="BJ4" s="3692"/>
      <c r="BK4" s="3692"/>
      <c r="BL4" s="3692"/>
      <c r="BM4" s="3692"/>
      <c r="BN4" s="3692"/>
      <c r="BO4" s="3692"/>
      <c r="BP4" s="3692"/>
      <c r="BQ4" s="3692" t="s">
        <v>462</v>
      </c>
      <c r="BR4" s="3692"/>
      <c r="BS4" s="3692"/>
      <c r="BT4" s="3692"/>
      <c r="BU4" s="3692"/>
      <c r="BV4" s="3692"/>
      <c r="BW4" s="3692"/>
      <c r="BX4" s="3692"/>
      <c r="BY4" s="3692"/>
      <c r="BZ4" s="3692"/>
      <c r="CA4" s="3692"/>
      <c r="CB4" s="3692"/>
      <c r="CC4" s="3692" t="s">
        <v>470</v>
      </c>
      <c r="CD4" s="3692"/>
    </row>
    <row r="5" spans="1:82" ht="15" customHeight="1">
      <c r="A5" s="66"/>
      <c r="B5" s="66"/>
      <c r="C5" s="66"/>
      <c r="D5" s="390"/>
      <c r="E5" s="390"/>
      <c r="F5" s="66"/>
      <c r="G5" s="106">
        <f>MAX(G7:G29)</f>
        <v>53</v>
      </c>
      <c r="H5" s="66"/>
      <c r="I5" s="66"/>
      <c r="J5" s="66"/>
      <c r="K5" s="66"/>
      <c r="L5" s="116"/>
      <c r="M5" s="116"/>
      <c r="N5" s="116"/>
      <c r="O5" s="116"/>
      <c r="P5" s="116"/>
      <c r="Q5" s="3686" t="s">
        <v>2756</v>
      </c>
      <c r="R5" s="3687"/>
      <c r="S5" s="3687"/>
      <c r="T5" s="3687"/>
      <c r="U5" s="3687"/>
      <c r="V5" s="3688"/>
      <c r="W5" s="3689" t="s">
        <v>2757</v>
      </c>
      <c r="X5" s="398"/>
      <c r="Y5" s="3691" t="s">
        <v>2758</v>
      </c>
      <c r="Z5" s="3693" t="s">
        <v>2759</v>
      </c>
      <c r="AA5" s="3686" t="s">
        <v>2760</v>
      </c>
      <c r="AB5" s="3687"/>
      <c r="AC5" s="3688"/>
      <c r="AD5" s="3686" t="s">
        <v>2761</v>
      </c>
      <c r="AE5" s="3687"/>
      <c r="AF5" s="3688"/>
      <c r="AG5" s="3696" t="s">
        <v>2729</v>
      </c>
      <c r="AH5" s="3696"/>
      <c r="AI5" s="3696"/>
      <c r="AJ5" s="3696"/>
      <c r="AK5" s="3686" t="s">
        <v>333</v>
      </c>
      <c r="AL5" s="3687"/>
      <c r="AM5" s="3687"/>
      <c r="AN5" s="3687"/>
      <c r="AO5" s="3687" t="s">
        <v>334</v>
      </c>
      <c r="AP5" s="3688"/>
      <c r="AQ5" s="3686" t="s">
        <v>2731</v>
      </c>
      <c r="AR5" s="3687"/>
      <c r="AS5" s="3687"/>
      <c r="AT5" s="3687"/>
      <c r="AU5" s="3687"/>
      <c r="AV5" s="3687"/>
      <c r="AW5" s="3688"/>
      <c r="AX5" s="1937"/>
      <c r="AY5" s="3696" t="s">
        <v>2762</v>
      </c>
      <c r="AZ5" s="3696"/>
      <c r="BA5" s="3696"/>
      <c r="BB5" s="3696"/>
      <c r="BC5" s="3696"/>
      <c r="BD5" s="3696"/>
      <c r="BE5" s="3696"/>
      <c r="BF5" s="3689" t="s">
        <v>2763</v>
      </c>
      <c r="BG5" s="3692" t="s">
        <v>2764</v>
      </c>
      <c r="BH5" s="3692"/>
      <c r="BI5" s="3692"/>
      <c r="BJ5" s="3692" t="s">
        <v>2765</v>
      </c>
      <c r="BK5" s="3692"/>
      <c r="BL5" s="3692"/>
      <c r="BM5" s="3692" t="s">
        <v>2766</v>
      </c>
      <c r="BN5" s="3692"/>
      <c r="BO5" s="3692"/>
      <c r="BP5" s="312"/>
      <c r="BQ5" s="313"/>
      <c r="BR5" s="314"/>
      <c r="BS5" s="3697" t="s">
        <v>2767</v>
      </c>
      <c r="BT5" s="3697"/>
      <c r="BU5" s="3697"/>
      <c r="BV5" s="3697" t="s">
        <v>2768</v>
      </c>
      <c r="BW5" s="3697"/>
      <c r="BX5" s="3697"/>
      <c r="BY5" s="3697" t="s">
        <v>2769</v>
      </c>
      <c r="BZ5" s="3697"/>
      <c r="CA5" s="3697"/>
      <c r="CB5" s="315"/>
      <c r="CC5" s="314"/>
      <c r="CD5" s="114"/>
    </row>
    <row r="6" spans="1:82" ht="23.25" customHeight="1">
      <c r="A6" s="1922" t="s">
        <v>2770</v>
      </c>
      <c r="B6" s="1922" t="s">
        <v>2771</v>
      </c>
      <c r="C6" s="1922" t="s">
        <v>2772</v>
      </c>
      <c r="D6" s="391" t="s">
        <v>2773</v>
      </c>
      <c r="E6" s="1909" t="s">
        <v>2774</v>
      </c>
      <c r="F6" s="1922" t="s">
        <v>2775</v>
      </c>
      <c r="G6" s="1924" t="s">
        <v>2772</v>
      </c>
      <c r="H6" s="117" t="s">
        <v>2776</v>
      </c>
      <c r="I6" s="118" t="s">
        <v>2772</v>
      </c>
      <c r="J6" s="119" t="s">
        <v>2614</v>
      </c>
      <c r="K6" s="117" t="s">
        <v>2774</v>
      </c>
      <c r="L6" s="120" t="s">
        <v>2772</v>
      </c>
      <c r="M6" s="120" t="s">
        <v>2614</v>
      </c>
      <c r="N6" s="120" t="s">
        <v>2777</v>
      </c>
      <c r="O6" s="120" t="s">
        <v>2772</v>
      </c>
      <c r="P6" s="121" t="s">
        <v>2778</v>
      </c>
      <c r="Q6" s="1938" t="s">
        <v>2779</v>
      </c>
      <c r="R6" s="1940" t="s">
        <v>2780</v>
      </c>
      <c r="S6" s="1940" t="s">
        <v>2781</v>
      </c>
      <c r="T6" s="1940" t="s">
        <v>2782</v>
      </c>
      <c r="U6" s="1940" t="s">
        <v>2783</v>
      </c>
      <c r="V6" s="1939" t="s">
        <v>2784</v>
      </c>
      <c r="W6" s="3690"/>
      <c r="X6" s="399" t="s">
        <v>2785</v>
      </c>
      <c r="Y6" s="3691"/>
      <c r="Z6" s="3694"/>
      <c r="AA6" s="1938" t="s">
        <v>501</v>
      </c>
      <c r="AB6" s="1940" t="s">
        <v>2786</v>
      </c>
      <c r="AC6" s="122" t="s">
        <v>2787</v>
      </c>
      <c r="AD6" s="1938" t="s">
        <v>501</v>
      </c>
      <c r="AE6" s="1940" t="s">
        <v>2786</v>
      </c>
      <c r="AF6" s="1939" t="s">
        <v>2787</v>
      </c>
      <c r="AG6" s="1941" t="s">
        <v>2788</v>
      </c>
      <c r="AH6" s="1941" t="s">
        <v>326</v>
      </c>
      <c r="AI6" s="1941" t="s">
        <v>327</v>
      </c>
      <c r="AJ6" s="1941" t="s">
        <v>328</v>
      </c>
      <c r="AK6" s="386" t="s">
        <v>2760</v>
      </c>
      <c r="AL6" s="1941" t="s">
        <v>2761</v>
      </c>
      <c r="AM6" s="1940" t="s">
        <v>2788</v>
      </c>
      <c r="AN6" s="1942" t="s">
        <v>2715</v>
      </c>
      <c r="AO6" s="387" t="s">
        <v>2789</v>
      </c>
      <c r="AP6" s="1941" t="s">
        <v>2719</v>
      </c>
      <c r="AQ6" s="1938" t="s">
        <v>435</v>
      </c>
      <c r="AR6" s="1940" t="s">
        <v>2738</v>
      </c>
      <c r="AS6" s="1940" t="s">
        <v>343</v>
      </c>
      <c r="AT6" s="1940" t="s">
        <v>464</v>
      </c>
      <c r="AU6" s="1940" t="s">
        <v>342</v>
      </c>
      <c r="AV6" s="1940" t="s">
        <v>482</v>
      </c>
      <c r="AW6" s="1939" t="s">
        <v>392</v>
      </c>
      <c r="AX6" s="1941" t="s">
        <v>2790</v>
      </c>
      <c r="AY6" s="1941">
        <v>1</v>
      </c>
      <c r="AZ6" s="1941">
        <v>2</v>
      </c>
      <c r="BA6" s="1941">
        <v>3</v>
      </c>
      <c r="BB6" s="1941">
        <v>4</v>
      </c>
      <c r="BC6" s="1941">
        <v>5</v>
      </c>
      <c r="BD6" s="1941">
        <v>6</v>
      </c>
      <c r="BE6" s="1941">
        <v>7</v>
      </c>
      <c r="BF6" s="3695"/>
      <c r="BG6" s="916" t="s">
        <v>2791</v>
      </c>
      <c r="BH6" s="1940" t="s">
        <v>338</v>
      </c>
      <c r="BI6" s="1940" t="s">
        <v>339</v>
      </c>
      <c r="BJ6" s="916" t="s">
        <v>2791</v>
      </c>
      <c r="BK6" s="1941" t="s">
        <v>338</v>
      </c>
      <c r="BL6" s="1941" t="s">
        <v>339</v>
      </c>
      <c r="BM6" s="916" t="s">
        <v>2791</v>
      </c>
      <c r="BN6" s="1940" t="s">
        <v>338</v>
      </c>
      <c r="BO6" s="917" t="s">
        <v>339</v>
      </c>
      <c r="BP6" s="914" t="s">
        <v>2792</v>
      </c>
      <c r="BQ6" s="1938" t="s">
        <v>2793</v>
      </c>
      <c r="BR6" s="1940" t="s">
        <v>2794</v>
      </c>
      <c r="BS6" s="916" t="s">
        <v>2791</v>
      </c>
      <c r="BT6" s="1940" t="s">
        <v>338</v>
      </c>
      <c r="BU6" s="917" t="s">
        <v>339</v>
      </c>
      <c r="BV6" s="1940" t="s">
        <v>2791</v>
      </c>
      <c r="BW6" s="1940" t="s">
        <v>338</v>
      </c>
      <c r="BX6" s="1940" t="s">
        <v>339</v>
      </c>
      <c r="BY6" s="916" t="s">
        <v>2791</v>
      </c>
      <c r="BZ6" s="1940" t="s">
        <v>338</v>
      </c>
      <c r="CA6" s="917" t="s">
        <v>339</v>
      </c>
      <c r="CB6" s="915" t="s">
        <v>2795</v>
      </c>
      <c r="CC6" s="1940" t="s">
        <v>2796</v>
      </c>
      <c r="CD6" s="1941" t="s">
        <v>2797</v>
      </c>
    </row>
    <row r="7" spans="1:82">
      <c r="A7" s="123" t="str">
        <f>UPPER(Worksheet!L2)</f>
        <v>KFTK</v>
      </c>
      <c r="B7" s="124" t="str">
        <f>IF(U7&gt;0,LEFT(RIGHT(Worksheet!AD12,LEN(Worksheet!AD12)-5-SUM(Q7:S7)),LEN(RIGHT(Worksheet!AD12,LEN(Worksheet!AD12)-5-SUM(Q7:S7)))-15),RIGHT(Worksheet!AD12,LEN(Worksheet!AD12)-5-SUM(Q7:S7)))</f>
        <v>0611/0717 22008KT 9999 BKN250 QNH2990INS</v>
      </c>
      <c r="C7" s="392">
        <f>LEN(B7)</f>
        <v>40</v>
      </c>
      <c r="D7" s="393">
        <f>IF(RIGHT(B7,1)=" ",1,IF(RIGHT(B7,2)="  ",2,IF(RIGHT(B7,3)="   ",3,0)))</f>
        <v>0</v>
      </c>
      <c r="E7" s="393"/>
      <c r="F7" s="124" t="str">
        <f>B7</f>
        <v>0611/0717 22008KT 9999 BKN250 QNH2990INS</v>
      </c>
      <c r="G7" s="392">
        <f>LEN(F7)</f>
        <v>40</v>
      </c>
      <c r="H7" s="124" t="str">
        <f>CONCATENATE(F7," ",TRIM(SUBSTITUTE(F8,CHAR(160),CHAR(32))))</f>
        <v xml:space="preserve">0611/0717 22008KT 9999 BKN250 QNH2990INS </v>
      </c>
      <c r="I7" s="126">
        <f>LEN(H7)</f>
        <v>41</v>
      </c>
      <c r="J7" s="125">
        <v>1</v>
      </c>
      <c r="K7" s="127" t="str">
        <f>IF(I7&lt;57,H7,LEFT(H7,58-SEARCH(" ",P7)))</f>
        <v xml:space="preserve">0611/0717 22008KT 9999 BKN250 QNH2990INS </v>
      </c>
      <c r="L7" s="392">
        <f t="shared" ref="L7:L13" si="0">LEN(K7)</f>
        <v>41</v>
      </c>
      <c r="M7" s="392">
        <v>1</v>
      </c>
      <c r="N7" s="125" t="str">
        <f>K7</f>
        <v xml:space="preserve">0611/0717 22008KT 9999 BKN250 QNH2990INS </v>
      </c>
      <c r="O7" s="392">
        <f>LEN(N7)</f>
        <v>41</v>
      </c>
      <c r="P7" s="128" t="str">
        <f>IF(I7&gt;56,CONCATENATE(MID(H7,57,1),MID(H7,56,1),MID(H7,55,1),MID(H7,54,1),MID(H7,53,1),MID(H7,52,1),MID(H7,51,1),MID(H7,50,1),MID(H7,49,1),MID(H7,48,1),MID(H7,47,1),MID(H7,46,1),MID(H7,45,1),MID(H7,44,1),MID(H7,43,1),MID(H7,42,1),MID(H7,41,1),MID(H7,40,1)),"")</f>
        <v/>
      </c>
      <c r="Q7" s="1905">
        <f>IF(ISNUMBER(FIND("TAF",Worksheet!AD12)),4,0)</f>
        <v>4</v>
      </c>
      <c r="R7" s="1905">
        <f>IF(OR(ISNUMBER(FIND("COR ",Worksheet!AD12)),ISNUMBER(FIND("AMD ",Worksheet!AD12))),4,0)</f>
        <v>0</v>
      </c>
      <c r="S7" s="1905">
        <f>IF(ISNUMBER(FIND("Z",LEFT(Worksheet!AD12,20))),8,0)</f>
        <v>8</v>
      </c>
      <c r="T7" s="1905" t="str">
        <f>IF(MID(B7,5,1)="/","/","")</f>
        <v>/</v>
      </c>
      <c r="U7" s="1905">
        <f>IF(ISNUMBER(FIND("AFWA CONVERTED",Worksheet!AD12)),15,0)</f>
        <v>0</v>
      </c>
      <c r="V7" s="129">
        <f>IF(ISNUMBER(FIND("SM",Worksheet!AD12)),"SM",0)</f>
        <v>0</v>
      </c>
      <c r="W7" s="123">
        <f>MAX(W8:W10)</f>
        <v>0</v>
      </c>
      <c r="X7" s="128" t="str">
        <f>H7</f>
        <v xml:space="preserve">0611/0717 22008KT 9999 BKN250 QNH2990INS </v>
      </c>
      <c r="Y7" s="1905"/>
      <c r="Z7" s="1905" t="s">
        <v>2600</v>
      </c>
      <c r="AA7" s="130">
        <f>IF(A7="","",LEFT(B7,2)*1)</f>
        <v>6</v>
      </c>
      <c r="AB7" s="131">
        <f>IF(A7="","",(MID(B7,3,2)*1)/24)</f>
        <v>0.45833333333333331</v>
      </c>
      <c r="AC7" s="132">
        <f>IF(AB7="","",AA7+AB7+AD3)</f>
        <v>44748.458333333336</v>
      </c>
      <c r="AD7" s="130">
        <f>IF(AA7="","",IF(COUNTIF(Z8:Z18,"PREDOM")=0,IF(T7="",AA7+1,MID(B7,6,2)*1),IF(Z8="PREDOM",AA8,IF(Z9="PREDOM",AA9,IF(Z10="PREDOM",AA10)))))</f>
        <v>6</v>
      </c>
      <c r="AE7" s="131">
        <f>IF(A7="","",IF(COUNTIF(Z8:Z18,"PREDOM")=0,IF(T7="",MID(B7,5,2)*1/24,MID(B7,8,2)*1/24),IF(Z8="PREDOM",AB8,IF(Z9="PREDOM",AB9,IF(Z10="PREDOM",AB10,IF(Z11="PREDOM",AB11)))))-(1/1440))</f>
        <v>0.62430555555555556</v>
      </c>
      <c r="AF7" s="132">
        <f t="shared" ref="AF7:AF12" si="1">IF(AE7="","",IF(AD7&lt;$AA$7,IF(AND(AD7=1,MONTH(AD7+AE7+$AA$3-0.000001)=MONTH($AC$7)),AD7+AE7+$AA$3-0.000001+1,AD7+AE7+$AA$3-0.000001),AD7+AE7+$AD$3-0.000001))</f>
        <v>44748.624304555553</v>
      </c>
      <c r="AG7" s="134" t="str">
        <f>IF(ISNUMBER(FIND("KT",X7)),MID(X7,FIND("KT",X7)-8,8),"")</f>
        <v>17 22008</v>
      </c>
      <c r="AH7" s="123" t="str">
        <f>IF(OR(ISNUMBER(FIND("/",AG7)),AG7=""),"",IF(MID(AG7,3,1)=" ",MID(AG7,4,3),LEFT(AG7,3)))</f>
        <v>220</v>
      </c>
      <c r="AI7" s="123">
        <f>IF(AG7="","",IF(MID(AG7,6,1)="G",MID(AG7,4,2)*1,MID(AG7,7,2)*1))</f>
        <v>8</v>
      </c>
      <c r="AJ7" s="123" t="str">
        <f>IF(AG7="","",IF(MID(AG7,6,1)="G",RIGHT(AG7,2)*1,""))</f>
        <v/>
      </c>
      <c r="AK7" s="134">
        <f>IF(Z7="","",FIND("KT",X7)+3)</f>
        <v>19</v>
      </c>
      <c r="AL7" s="133">
        <f>IF(Z7="","",MIN(AQ7:AV7,AX7-(COUNT(BG7,BJ7,BM7)+BR7)*7)-1)</f>
        <v>23</v>
      </c>
      <c r="AM7" s="133" t="str">
        <f>IF(Z7="","",MID(X7,AK7,AL7-AK7))</f>
        <v>9999</v>
      </c>
      <c r="AN7" s="135">
        <f>IF(AM7="","",IF(LEFT(AM7,4)="P6SM",7,IF(AND(ISNUMBER(FIND(" ",AM7)),ISNUMBER(FIND("/",AM7))),SUM(LEFT(AM7,1)*1,(MID(AM7,FIND("/",AM7)-1,1)*1)/(MID(AM7,FIND("/",AM7)+1,1)*1)),IF(ISNUMBER(FIND("SM",AM7)),LEFT(AM7,FIND("SM",AM7)-1)*1,IF(ISNUMBER(FIND("9999",AM7)),7,IF(ISNUMBER(FIND("9000",AM7)),6,IF(ISNUMBER(FIND("8000",AM7)),5,IF(ISNUMBER(FIND("6000",AM7)),4,(LEFT(AM7,4)*1)/1600))))))))</f>
        <v>7</v>
      </c>
      <c r="AO7" s="133" t="e">
        <f>IF(Z7="","",IF(AL7=AK7,"",IF(ISNUMBER(FIND("SM",AM7)),RIGHT(AM7,LEN(AM7)-FIND("SM",AM7)-2),IF(ISNUMBER(LEFT(AM7,1)*1),RIGHT(AM7,LEN(AM7)-5),AM7))))</f>
        <v>#VALUE!</v>
      </c>
      <c r="AP7" s="123" t="str">
        <f>IF(ISERROR(AO7),"",IF(AO7="NSW","",AO7))</f>
        <v/>
      </c>
      <c r="AQ7" s="134">
        <f>IF(Z7="","",IFERROR(FIND("VV",X7),999))</f>
        <v>999</v>
      </c>
      <c r="AR7" s="133">
        <f>IF(Z7="","",IFERROR(FIND("SKC",X7),999))</f>
        <v>999</v>
      </c>
      <c r="AS7" s="133">
        <f>IF(Z7="","",IFERROR(FIND("FEW",X7),999))</f>
        <v>999</v>
      </c>
      <c r="AT7" s="133">
        <f>IF(Z7="","",IFERROR(FIND("SCT",X7),999))</f>
        <v>999</v>
      </c>
      <c r="AU7" s="133">
        <f>IF(Z7="","",IFERROR(FIND("BKN",X7),999))</f>
        <v>24</v>
      </c>
      <c r="AV7" s="133">
        <f>IF(Z7="","",IFERROR(FIND("OVC",X7),999))</f>
        <v>999</v>
      </c>
      <c r="AW7" s="136">
        <f>IF(Z7="","",IF(AQ7&lt;999,MID(X7,AQ7+2,3)*1,IF(AU7&lt;999,MID(X7,AU7+3,3)*1,IF(AV7&lt;999,MID(X7,AV7+3,3)*1,"NONE"))))</f>
        <v>250</v>
      </c>
      <c r="AX7" s="133">
        <f t="shared" ref="AX7:AX18" si="2">IF(Z7="","",IF(OR(Z7="TEMPO",ISERROR(FIND("QNH",X7))),MIN(LEN(X7)+1,CC7),MIN(CC7,FIND("QNH",X7))))</f>
        <v>31</v>
      </c>
      <c r="AY7" s="133" t="str">
        <f>IF(Z7="","",MID(X7,AX7-7,6))</f>
        <v>BKN250</v>
      </c>
      <c r="AZ7" s="133" t="str">
        <f>IF(Z7="","",MID(X7,AX7-14,6))</f>
        <v>T 9999</v>
      </c>
      <c r="BA7" s="133" t="str">
        <f>IF(Z7="","",IF(ISERROR(MID(X7,AX7-21,6)),"",MID(X7,AX7-21,6)))</f>
        <v xml:space="preserve"> 22008</v>
      </c>
      <c r="BB7" s="133" t="str">
        <f>IF(Z7="","",IF(ISERROR(MID(X7,AX7-28,6)),"",MID(X7,AX7-28,6)))</f>
        <v>11/071</v>
      </c>
      <c r="BC7" s="133" t="str">
        <f>IF(Z7="","",IF(ISERROR(MID(X7,AX7-35,6)),"",MID(X7,AX7-35,6)))</f>
        <v/>
      </c>
      <c r="BD7" s="133" t="str">
        <f>IF(Z7="","",IF(ISERROR(MID(X7,AX7-42,6)),"",MID(X7,AX7-42,6)))</f>
        <v/>
      </c>
      <c r="BE7" s="133" t="str">
        <f>IF(Z7="","",IF(ISERROR(MID(X7,AX7-49,6)),"",MID(X7,AX7-49,6)))</f>
        <v/>
      </c>
      <c r="BF7" s="137">
        <f>IF(Z7="","",IF(AND(ISERROR(FIND(" ",AY7)),LEFT(AY7)="5",ISERROR(FIND(" ",AZ7)),LEFT(AZ7)="5",ISERROR(FIND(" ",BA7)),LEFT(BA7)="5"),3,IF(AND(ISERROR(FIND(" ",AY7)),LEFT(AY7)="5",ISERROR(FIND(" ",AZ7)),LEFT(AZ7)="5"),2,IF(AND(ISERROR(FIND(" ",AY7)),LEFT(AY7)="5"),1,0))))</f>
        <v>0</v>
      </c>
      <c r="BG7" s="918" t="str">
        <f>IF(ISERROR(IF(BF7=3,MID(BA7,2,1)*1,IF(BF7=2,MID(AZ7,2,1)*1,IF(BF7=1,MID(AY7,2,1)*1)))),"",IF(BF7=3,MID(BA7,2,1)*1,IF(BF7=2,MID(AZ7,2,1)*1,IF(BF7=1,MID(AY7,2,1)*1,""))))</f>
        <v/>
      </c>
      <c r="BH7" s="891" t="str">
        <f>IF(BG7="","",IF(BF7=1,VALUE(MID(AY7,3,3)),IF(BF7=2,VALUE(MID(AZ7,3,3)),IF(BF7=3,VALUE(MID(BA7,3,3))))))</f>
        <v/>
      </c>
      <c r="BI7" s="891" t="str">
        <f>IF(BH7="","",BH7+VALUE(RIGHT(IF(BF7=1,AY7,IF(BF7=2,AZ7,IF(BF7=3,BA7))),1))*10)</f>
        <v/>
      </c>
      <c r="BJ7" s="918" t="str">
        <f>IF(ISERROR(IF(BF7=3,MID(AZ7,2,1)*1,IF(BF7=2,MID(AY7,2,1)*1))),"",IF(BF7=3,MID(AZ7,2,1)*1,IF(BF7=2,MID(AY7,2,1)*1,"")))</f>
        <v/>
      </c>
      <c r="BK7" s="891" t="str">
        <f>IF(BJ7="","",IF(BF7=2,VALUE(MID(AY7,3,3)),IF(BF7=3,VALUE(MID(AZ7,3,3)))))</f>
        <v/>
      </c>
      <c r="BL7" s="891" t="str">
        <f>IF(BJ7="","",BK7+VALUE(RIGHT(IF(BF7=2,AY7,IF(BF7=3,AZ7)),1))*10)</f>
        <v/>
      </c>
      <c r="BM7" s="918" t="str">
        <f>IF(ISERROR(IF(BF7=3,MID(AY7,2,1)*1)),"",IF(BF7=3,MID(AY7,2,1)*1,""))</f>
        <v/>
      </c>
      <c r="BN7" s="891" t="str">
        <f>IF(OR(BF7="",BF7&lt;3),"",VALUE(MID(AY7,3,3)))</f>
        <v/>
      </c>
      <c r="BO7" s="921" t="str">
        <f>IF(BM7="","",IF(BF7&lt;3,"",BN7+VALUE(RIGHT(AY7,1))*10))</f>
        <v/>
      </c>
      <c r="BP7" s="123" t="str">
        <f>IF(MAX(BG7,BJ7,BM7)&gt;0,MAX(BG7,BJ7,BM7),"")</f>
        <v/>
      </c>
      <c r="BQ7" s="137">
        <f>IF(Z7="","",IF(AND(BF7=0,LEFT(AY7)="6"),1,IF(AND(BF7=1,LEFT(AZ7)="6"),2,IF(AND(BF7=2,LEFT(BA7)="6"),3,IF(AND(BF7=3,LEFT(BB7)="6"),4,0)))))</f>
        <v>0</v>
      </c>
      <c r="BR7" s="1905">
        <f>IF(Z7="","",IF(BQ7=0,0,IF(OR(AND(BQ7=1,ISERROR(FIND(" ",AZ7)),LEFT(AZ7)="6",ISERROR(FIND(" ",BA7)),LEFT(BA7)="6"),AND(BQ7=2,ISERROR(FIND(" ",BA7)),LEFT(BA7)="6",ISERROR(FIND(" ",BB7)),LEFT(BB7)="6"),AND(BQ7=3,ISERROR(FIND(" ",BB7)),LEFT(BB7)="6",ISERROR(FIND(" ",BC7)),LEFT(BC7)="6"),AND(BQ7=4,ISERROR(FIND(" ",BC7)),LEFT(BC7)="6",ISERROR(FIND(" ",BD7)),LEFT(BD7)="6")),3,IF(OR(AND(BQ7=1,ISERROR(FIND(" ",AZ7,)),LEFT(AZ7)="6"),AND(BQ7=2,ISERROR(FIND(" ",BA7)),LEFT(BA7)="6"),AND(BQ7=3,ISERROR(FIND(" ",BB7)),LEFT(BB7)="6"),AND(BQ7=4,ISERROR(FIND(" ",BC7)),LEFT(BC7)="6")),2,1))))</f>
        <v>0</v>
      </c>
      <c r="BS7" s="918" t="str">
        <f>IF(AND(BR7=3,BQ7=1),MID(BA7,2,1)*1,IF(AND(BR7=3,BQ7=2),MID(BB7,2,1)*1,IF(AND(BR7=3,BQ7=3),MID(BC7,2,1)*1,IF(AND(BR7=3,BQ7=4),MID(BD7,2,1)*1,IF(AND(BR7=2,BQ7=1),MID(AZ7,2,1)*1,IF(AND(BR7=2,BQ7=2),MID(BA7,2,1)*1,IF(AND(BR7=2,BQ7=3),MID(BB7,2,1)*1,IF(AND(BR7=2,BQ7=4),MID(BC7,2,1)*1,IF(AND(BR7=1,BQ7=1),MID(AY7,2,1)*1,IF(AND(BR7=1,BQ7=2),MID(AZ7,2,1)*1,IF(AND(BR7=1,BQ7=3),MID(BA7,2,1)*1,IF(AND(BR7=1,BQ7=4),MID(BB7,2,1)*1,""))))))))))))</f>
        <v/>
      </c>
      <c r="BT7" s="891" t="str">
        <f>IF(BS7="","",VALUE(MID(LOOKUP(BQ7+BR7-1,$AY$6:$BE$6,AY7:BE7),3,3)))</f>
        <v/>
      </c>
      <c r="BU7" s="921" t="str">
        <f>IF(BT7="","",BT7+(VALUE(RIGHT(LOOKUP(BQ7+BR7-1,$AY$6:$BE$6,AY7:BE7),1)))*10)</f>
        <v/>
      </c>
      <c r="BV7" s="1905" t="str">
        <f>IF(AND(BR7=3,BQ7=1),MID(AZ7,2,1)*1,IF(AND(BR7=3,BQ7=2),MID(BA7,2,1)*1,IF(AND(BR7=3,BQ7=3),MID(BB7,2,1)*1,IF(AND(BR7=3,BQ7=4),MID(BC7,2,1)*1,IF(AND(BR7=2,BQ7=1),MID(AY7,2,1)*1,IF(AND(BR7=2,BQ7=2),MID(AZ7,2,1)*1,IF(AND(BR7=2,BQ7=3),MID(BA7,2,1)*1,IF(AND(BR7=2,BQ7=4),MID(BB7,2,1)*1,""))))))))</f>
        <v/>
      </c>
      <c r="BW7" s="891" t="str">
        <f>IF(BV7="","",VALUE(MID(LOOKUP(BQ7+BR7-2,$AY$6:$BE$6,AY7:BE7),3,3)))</f>
        <v/>
      </c>
      <c r="BX7" s="921" t="str">
        <f>IF(BW7="","",BW7+(VALUE(RIGHT(LOOKUP(BQ7+BR7-2,$AY$6:$BE$6,AY7:BE7),1)))*10)</f>
        <v/>
      </c>
      <c r="BY7" s="918" t="str">
        <f>IF(AND(BR7=3,BQ7=1),MID(AY7,2,1)*1,IF(AND(BR7=3,BQ7=2),MID(AZ7,2,1)*1,IF(AND(BR7=3,BQ7=3),MID(BA7,2,1)*1,IF(AND(BR7=3,BQ7=4),MID(BB7,2,1)*1,""))))</f>
        <v/>
      </c>
      <c r="BZ7" s="891" t="str">
        <f>IF(BY7="","",VALUE(MID(LOOKUP(BQ7+BR7-3,$AY$6:$BE$6,AY7:BE7),3,3)))</f>
        <v/>
      </c>
      <c r="CA7" s="921" t="str">
        <f>IF(BZ7="","",BZ7+(VALUE(RIGHT(LOOKUP(BQ7+BR7-3,$AY$6:$BE$6,AY7:BE7),1)))*10)</f>
        <v/>
      </c>
      <c r="CB7" s="138" t="str">
        <f>IF(MAX(BS7,BV7,BY7)&gt;0,MAX(BS7,BV7,BY7),"")</f>
        <v/>
      </c>
      <c r="CC7" s="133">
        <f>IF(ISNUMBER(FIND("WS",X7)),FIND("WS",X7),999)</f>
        <v>999</v>
      </c>
      <c r="CD7" s="123" t="str">
        <f>IF(CC7&lt;999,"LLWS","")</f>
        <v/>
      </c>
    </row>
    <row r="8" spans="1:82">
      <c r="A8" s="111"/>
      <c r="B8" s="127" t="str">
        <f>IF(U8&gt;0,LEFT(Worksheet!AD13,LEN(Worksheet!AD13)-15),Worksheet!AD13)</f>
        <v>BECMG 0614/0615 24010KT 9999 SCT040 BKN250 QNH2988INS</v>
      </c>
      <c r="C8" s="394">
        <f t="shared" ref="C8:C18" si="3">LEN(B8)-W8</f>
        <v>53</v>
      </c>
      <c r="D8" s="395">
        <f>IF(RIGHT(B8,1)=" ",1,IF(RIGHT(B8,2)="  ",2,IF(RIGHT(B8,3)="   ",3,0)))</f>
        <v>0</v>
      </c>
      <c r="E8" s="395" t="str">
        <f>IF(ISNUMBER(FIND("BECMG",B8)),"BECMG",IF(ISNUMBER(FIND("FM",B8)),"FM",IF(ISNUMBER(FIND("TEMPO",B8)),"TEMPO",IF(ISNUMBER(FIND("PROB",B8)),"PROB",""))))</f>
        <v>BECMG</v>
      </c>
      <c r="F8" s="127" t="str">
        <f>IF(AND(C8&gt;1,E8=""),B8,"")</f>
        <v/>
      </c>
      <c r="G8" s="394">
        <f t="shared" ref="G8:G29" si="4">LEN(F8)</f>
        <v>0</v>
      </c>
      <c r="H8" s="139"/>
      <c r="I8" s="126">
        <f>IF(H8="",0,LEN(H8))</f>
        <v>0</v>
      </c>
      <c r="J8" s="126" t="str">
        <f>IF(I8&gt;1,J7+1,"")</f>
        <v/>
      </c>
      <c r="K8" s="127" t="str">
        <f>IF(I7&gt;57,"    "&amp;RIGHT(H7,I7-L7),"")</f>
        <v/>
      </c>
      <c r="L8" s="394">
        <f>IF(LEN(K8)&lt;7,0,LEN(K8))</f>
        <v>0</v>
      </c>
      <c r="M8" s="394" t="str">
        <f>IF(L8&gt;1,M7+1,"")</f>
        <v/>
      </c>
      <c r="N8" s="126" t="str">
        <f>IF(MAX(M7:M29)&lt;2,"",LOOKUP(2,M8:M29,K8:K29))</f>
        <v xml:space="preserve">BECMG 0614/0615 24010KT 9999 SCT040 BKN250 QNH2988INS </v>
      </c>
      <c r="O8" s="395">
        <f t="shared" ref="O8:O29" si="5">LEN(N8)</f>
        <v>54</v>
      </c>
      <c r="P8" s="140" t="str">
        <f>IF(I8&gt;59,CONCATENATE(MID(H8,60,1),MID(H8,59,1),MID(H8,58,1),MID(H8,57,1),MID(H8,56,1),MID(H8,56,1),MID(H8,55,1),MID(H8,54,1),MID(H8,53,1),MID(H8,52,1),MID(H8,51,1),MID(H8,50,1),MID(H8,49,1),MID(H8,48,1),MID(H8,47,1),MID(H8,46,1),MID(H8,45,1),MID(H8,44,1),MID(H8,43,1)),"")</f>
        <v/>
      </c>
      <c r="Q8" s="1901"/>
      <c r="R8" s="1901"/>
      <c r="S8" s="1901"/>
      <c r="T8" s="1901" t="str">
        <f>IF(OR(Y8="FM",Y8="",T7=""),"","/")</f>
        <v>/</v>
      </c>
      <c r="U8" s="1901">
        <f>IF(ISNUMBER(FIND("AFWA CONVERTED",Worksheet!AD13)),15,0)</f>
        <v>0</v>
      </c>
      <c r="V8" s="141"/>
      <c r="W8" s="1901">
        <f>IF(ISNUMBER(FIND("BECMG",B8)),FIND("BECMG",B8)-1,IF(ISNUMBER(FIND("FM",B8)),FIND("FM",B8)-1,IF(ISNUMBER(FIND("TEMPO",B8)),FIND("TEMPO",B8)-1,IF(ISNUMBER(FIND("PROB",B8)),FIND("PROB",B8)-1,0))))</f>
        <v>0</v>
      </c>
      <c r="X8" s="140" t="str">
        <f>IF(MAX(J7:J29)&lt;2,"",LOOKUP(2,J8:J29,H8:H29))</f>
        <v xml:space="preserve">BECMG 0614/0615 24010KT 9999 SCT040 BKN250 QNH2988INS </v>
      </c>
      <c r="Y8" s="112" t="str">
        <f>IF(ISNUMBER(FIND("PROB",X8)),"PROBXX",IF(ISNUMBER(FIND("TEM",X8)),"TEMPO",IF(ISNUMBER(FIND("BEC",X8)),"BECMG",IF(ISNUMBER(FIND("FM",X8)),"FM",""))))</f>
        <v>BECMG</v>
      </c>
      <c r="Z8" s="112" t="str">
        <f>IF(Y8="","",IF(OR(Y8="TEMPO",Y8="PROBXX"),"TEMPO","PREDOM"))</f>
        <v>PREDOM</v>
      </c>
      <c r="AA8" s="142">
        <f>IF(Y8="","",IF(Y8="FM",MID(X8,3,2)*1,IF(T7="",IF(AB8&lt;AB7,AA7+1,AA7),MID(X8,LEN(Y8)+2,2)*1)))</f>
        <v>6</v>
      </c>
      <c r="AB8" s="143">
        <f>IF(Y8="","",IF(Y8="FM",(MID(X8,5,2)*1/24)+(MID(X8,7,2)*1/1440),IF(Y8="PROBXX",(MID(X8,10,2))*1/24,IF(Y8="TEMPO",IF($T$7="",MID(X8,7,2)*1/24,MID(X8,9,2)*1/24),IF($T$7="",MID(X8,9,2)*1/24,(MID(X8,14,2))*1/24)))))</f>
        <v>0.625</v>
      </c>
      <c r="AC8" s="122">
        <f>IF(AB8="","",IF(AA8&lt;$AA$7,IF(AND(AA8=1,MONTH(AA8+AB8+$AA$3-0.000001)=MONTH($AC$7)),AA8+AB8+$AA$3-0.000001+1,AA8+AB8+$AA$3-0.000001),AA8+AB8+$AD$3-0.000001))</f>
        <v>44748.624999</v>
      </c>
      <c r="AD8" s="142">
        <f>IF(AA8="","",IF(Z8="TEMPO",IF($T$7="",IF(AE8&lt;AB8,AA8+1,AA8),MID(X8,LEN(Y8)+7,2)*1),IF(Z9="PREDOM",AA9,IF(Z10="PREDOM",AA10,IF(Z11="PREDOM",AA11,IF($T$7="",$AA$7+1,MID($B$7,6,2)*1))))))</f>
        <v>7</v>
      </c>
      <c r="AE8" s="143">
        <f t="shared" ref="AE8:AE15" si="6">IF(Y8="","",IF(Z8="TEMPO",IF($T$7="",MID(X8,LEN(Y8)+4,2)*1/24,MID(X8,LEN(Y8)+9,2)*1/24),IF(Z9="PREDOM",AB9,IF(Z10="PREDOM",AB10,IF(Z11="PREDOM",AB11,IF($T$7="",MID($B$7,5,2)*1/24,MID($B$7,8,2)*1/24)))))-(1/1440))</f>
        <v>0.33263888888888887</v>
      </c>
      <c r="AF8" s="122">
        <f>IF(AE8="","",IF(AD8&lt;$AA$7,IF(AND(AD8=1,MONTH(AD8+AE8+$AA$3-0.000001)=MONTH($AC$7)),AD8+AE8+$AA$3-0.000001+1,AD8+AE8+$AA$3-0.000001),AD8+AE8+$AD$3-0.000001))</f>
        <v>44749.332637888889</v>
      </c>
      <c r="AG8" s="147" t="str">
        <f>IF(ISNUMBER(FIND("KT",X8)),MID(X8,FIND("KT",X8)-8,8),"")</f>
        <v>15 24010</v>
      </c>
      <c r="AH8" s="1941" t="str">
        <f>IF(OR(ISNUMBER(FIND("/",AG8)),AG8=""),"",IF(MID(AG8,3,1)=" ",MID(AG8,4,3),LEFT(AG8,3)))</f>
        <v>240</v>
      </c>
      <c r="AI8" s="1941">
        <f>IF(OR(ISNUMBER(FIND("/",AG8)),AG8=""),"",IF(MID(AG8,6,1)="G",MID(AG8,4,2)*1,MID(AG8,7,2)*1))</f>
        <v>10</v>
      </c>
      <c r="AJ8" s="1941" t="str">
        <f>IF(AG8="","",IF(MID(AG8,6,1)="G",RIGHT(AG8,2)*1,""))</f>
        <v/>
      </c>
      <c r="AK8" s="145">
        <f>IF(Z8="","",IF(ISNUMBER(FIND("KT",X8)),IF(FIND("KT",X8)&lt;AX8,FIND("KT",X8)+3,17),17))</f>
        <v>25</v>
      </c>
      <c r="AL8" s="147">
        <f t="shared" ref="AL8:AL18" si="7">IF(Z8="","",MIN(AQ8:AV8,AX8-(COUNT(BG8,BJ8,BM8)+BR8)*7))</f>
        <v>30</v>
      </c>
      <c r="AM8" s="147" t="str">
        <f>IF(Z8="","",IF(AL8=AK8,"",MID(X8,AK8,AL8-AK8-1)))</f>
        <v>9999</v>
      </c>
      <c r="AN8" s="146">
        <f>IF(AM8="","",IF(LEFT(AM8,4)="P6SM",7,IF(ISERROR(LEFT(AM8,1)*1),"",IF(AND(ISNUMBER(FIND(" ",AM8)),ISNUMBER(FIND("/",AM8))),SUM(LEFT(AM8,1)*1,(MID(AM8,FIND("/",AM8)-1,1)*1)/(MID(AM8,FIND("/",AM8)+1,1)*1)),IF(ISNUMBER(FIND("SM",AM8)),LEFT(AM8,FIND("SM",AM8)-1)*1,IF(ISNUMBER(FIND("9999",AM8)),7,IF(ISNUMBER(FIND("9000",AM8)),6,IF(ISNUMBER(FIND("8000",AM8)),5,IF(ISNUMBER(FIND("6000",AM8)),4,(LEFT(AM8,4)*1)/1600)))))))))</f>
        <v>7</v>
      </c>
      <c r="AO8" s="144" t="e">
        <f>IF(Z8="","",IF(AL8=AK8,"",IF(ISNUMBER(FIND("SM",AM8)),RIGHT(AM8,LEN(AM8)-FIND("SM",AM8)-2),IF(ISNUMBER(LEFT(AM8,1)*1),RIGHT(AM8,LEN(AM8)-5),AM8))))</f>
        <v>#VALUE!</v>
      </c>
      <c r="AP8" s="1941" t="str">
        <f t="shared" ref="AP8:AP18" si="8">IF(ISERROR(AO8),"",IF(AO8="NSW","",AO8))</f>
        <v/>
      </c>
      <c r="AQ8" s="145">
        <f>IF(Z8="","",IFERROR(FIND("VV",X8),999))</f>
        <v>999</v>
      </c>
      <c r="AR8" s="147">
        <f t="shared" ref="AR8:AR18" si="9">IF(Z8="","",IFERROR(FIND("SKC",X8),999))</f>
        <v>999</v>
      </c>
      <c r="AS8" s="147">
        <f t="shared" ref="AS8:AS18" si="10">IF(Z8="","",IFERROR(FIND("FEW",X8),999))</f>
        <v>999</v>
      </c>
      <c r="AT8" s="147">
        <f t="shared" ref="AT8:AT18" si="11">IF(Z8="","",IFERROR(FIND("SCT",X8),999))</f>
        <v>30</v>
      </c>
      <c r="AU8" s="147">
        <f t="shared" ref="AU8:AU18" si="12">IF(Z8="","",IFERROR(FIND("BKN",X8),999))</f>
        <v>37</v>
      </c>
      <c r="AV8" s="147">
        <f t="shared" ref="AV8:AV18" si="13">IF(Z8="","",IFERROR(FIND("OVC",X8),999))</f>
        <v>999</v>
      </c>
      <c r="AW8" s="148">
        <f t="shared" ref="AW8:AW18" si="14">IF(Z8="","",IF(AQ8&lt;999,MID(X8,AQ8+2,3)*1,IF(AU8&lt;999,MID(X8,AU8+3,3)*1,IF(AV8&lt;999,MID(X8,AV8+3,3)*1,"NONE"))))</f>
        <v>250</v>
      </c>
      <c r="AX8" s="144">
        <f t="shared" si="2"/>
        <v>44</v>
      </c>
      <c r="AY8" s="144" t="str">
        <f t="shared" ref="AY8:AY18" si="15">IF(Z8="","",MID(X8,AX8-7,6))</f>
        <v>BKN250</v>
      </c>
      <c r="AZ8" s="144" t="str">
        <f t="shared" ref="AZ8:AZ18" si="16">IF(Z8="","",MID(X8,AX8-14,6))</f>
        <v>SCT040</v>
      </c>
      <c r="BA8" s="144" t="str">
        <f t="shared" ref="BA8:BA18" si="17">IF(Z8="","",IF(ISERROR(MID(X8,AX8-21,6)),"",MID(X8,AX8-21,6)))</f>
        <v>T 9999</v>
      </c>
      <c r="BB8" s="144" t="str">
        <f t="shared" ref="BB8:BB18" si="18">IF(Z8="","",IF(ISERROR(MID(X8,AX8-28,6)),"",MID(X8,AX8-28,6)))</f>
        <v xml:space="preserve"> 24010</v>
      </c>
      <c r="BC8" s="144" t="str">
        <f t="shared" ref="BC8:BC18" si="19">IF(Z8="","",IF(ISERROR(MID(X8,AX8-35,6)),"",MID(X8,AX8-35,6)))</f>
        <v>14/061</v>
      </c>
      <c r="BD8" s="144" t="str">
        <f t="shared" ref="BD8:BD18" si="20">IF(Z8="","",IF(ISERROR(MID(X8,AX8-42,6)),"",MID(X8,AX8-42,6)))</f>
        <v>ECMG 0</v>
      </c>
      <c r="BE8" s="144" t="str">
        <f t="shared" ref="BE8:BE18" si="21">IF(Z8="","",IF(ISERROR(MID(X8,AX8-49,6)),"",MID(X8,AX8-49,6)))</f>
        <v/>
      </c>
      <c r="BF8" s="115">
        <f>IF(Z8="","",IF(AND(ISERROR(FIND(" ",AY8)),LEFT(AY8)="5",ISERROR(FIND(" ",AZ8)),LEFT(AZ8)="5",ISERROR(FIND(" ",BA8)),LEFT(BA8)="5"),3,IF(AND(ISERROR(FIND(" ",AY8)),LEFT(AY8)="5",ISERROR(FIND(" ",AZ8)),LEFT(AZ8)="5"),2,IF(AND(ISERROR(FIND(" ",AY8)),LEFT(AY8)="5"),1,0))))</f>
        <v>0</v>
      </c>
      <c r="BG8" s="919" t="str">
        <f>IF(ISERROR(IF(BF8=3,MID(BA8,2,1)*1,IF(BF8=2,MID(AZ8,2,1)*1,IF(BF8=1,MID(AY8,2,1)*1)))),"",IF(BF8=3,MID(BA8,2,1)*1,IF(BF8=2,MID(AZ8,2,1)*1,IF(BF8=1,MID(AY8,2,1)*1,""))))</f>
        <v/>
      </c>
      <c r="BH8" s="920" t="str">
        <f>IF(BG8="","",IF(BF8=1,VALUE(MID(AY8,3,3)),IF(BF8=2,VALUE(MID(AZ8,3,3)),IF(BF8=3,VALUE(MID(BA8,3,3))))))</f>
        <v/>
      </c>
      <c r="BI8" s="920" t="str">
        <f>IF(BH8="","",BH8+VALUE(RIGHT(IF(BF8=1,AY8,IF(BF8=2,AZ8,IF(BF8=3,BA8))),1))*10)</f>
        <v/>
      </c>
      <c r="BJ8" s="919" t="str">
        <f t="shared" ref="BJ8:BJ18" si="22">IF(ISERROR(IF(BF8=3,MID(AZ8,2,1)*1,IF(BF8=2,MID(AY8,2,1)*1))),"",IF(BF8=3,MID(AZ8,2,1)*1,IF(BF8=2,MID(AY8,2,1)*1,"")))</f>
        <v/>
      </c>
      <c r="BK8" s="332" t="str">
        <f>IF(BJ8="","",IF(BF8=2,VALUE(MID(AY8,3,3)),IF(BF8=3,VALUE(MID(AZ8,3,3)))))</f>
        <v/>
      </c>
      <c r="BL8" s="332" t="str">
        <f>IF(BJ8="","",BK8+VALUE(RIGHT(IF(BF8=2,AY8,IF(BF8=3,AZ8)),1))*10)</f>
        <v/>
      </c>
      <c r="BM8" s="919" t="str">
        <f t="shared" ref="BM8:BM18" si="23">IF(ISERROR(IF(BF8=3,MID(AY8,2,1)*1)),"",IF(BF8=3,MID(AY8,2,1)*1,""))</f>
        <v/>
      </c>
      <c r="BN8" s="920" t="str">
        <f>IF(OR(BF8="",BF8&lt;3),"",VALUE(MID(AY8,3,3)))</f>
        <v/>
      </c>
      <c r="BO8" s="922" t="str">
        <f>IF(BM8="","",IF(BF8&lt;3,"",BN8+VALUE(RIGHT(AY8,1))*10))</f>
        <v/>
      </c>
      <c r="BP8" s="1941" t="str">
        <f>IF(MAX(BG8,BJ8,BM8)&gt;0,MAX(BG8,BJ8,BM8),"")</f>
        <v/>
      </c>
      <c r="BQ8" s="115">
        <f t="shared" ref="BQ8:BQ18" si="24">IF(Z8="","",IF(AND(BF8=0,LEFT(AY8)="6"),1,IF(AND(BF8=1,LEFT(AZ8)="6"),2,IF(AND(BF8=2,LEFT(BA8)="6"),3,IF(AND(BF8=3,LEFT(BB8)="6"),4,0)))))</f>
        <v>0</v>
      </c>
      <c r="BR8" s="1901">
        <f>IF(Z8="","",IF(BQ8=0,0,IF(OR(AND(BQ8=1,ISERROR(FIND(" ",AZ8)),LEFT(AZ8)="6",ISERROR(FIND(" ",BA8)),LEFT(BA8)="6"),AND(BQ8=2,ISERROR(FIND(" ",BA8)),LEFT(BA8)="6",ISERROR(FIND(" ",BB8)),LEFT(BB8)="6"),AND(BQ8=3,ISERROR(FIND(" ",BB8)),LEFT(BB8)="6",ISERROR(FIND(" ",BC8)),LEFT(BC8)="6"),AND(BQ8=4,ISERROR(FIND(" ",BC8)),LEFT(BC8)="6",ISERROR(FIND(" ",BD8)),LEFT(BD8)="6")),3,IF(OR(AND(BQ8=1,ISERROR(FIND(" ",AZ8,)),LEFT(AZ8)="6"),AND(BQ8=2,ISERROR(FIND(" ",BA8)),LEFT(BA8)="6"),AND(BQ8=3,ISERROR(FIND(" ",BB8)),LEFT(BB8)="6"),AND(BQ8=4,ISERROR(FIND(" ",BC8)),LEFT(BC8)="6")),2,1))))</f>
        <v>0</v>
      </c>
      <c r="BS8" s="919" t="str">
        <f>IF(AND(BR8=3,BQ8=1),MID(BA8,2,1)*1,IF(AND(BR8=3,BQ8=2),MID(BB8,2,1)*1,IF(AND(BR8=3,BQ8=3),MID(BC8,2,1)*1,IF(AND(BR8=3,BQ8=4),MID(BD8,2,1)*1,IF(AND(BR8=2,BQ8=1),MID(AZ8,2,1)*1,IF(AND(BR8=2,BQ8=2),MID(BA8,2,1)*1,IF(AND(BR8=2,BQ8=3),MID(BB8,2,1)*1,IF(AND(BR8=2,BQ8=4),MID(BC8,2,1)*1,IF(AND(BR8=1,BQ8=1),MID(AY8,2,1)*1,IF(AND(BR8=1,BQ8=2),MID(AZ8,2,1)*1,IF(AND(BR8=1,BQ8=3),MID(BA8,2,1)*1,IF(AND(BR8=1,BQ8=4),MID(BB8,2,1)*1,""))))))))))))</f>
        <v/>
      </c>
      <c r="BT8" s="920" t="str">
        <f>IF(BS8="","",VALUE(MID(LOOKUP(BQ8+BR8-1,$AY$6:$BE$6,AY8:BE8),3,3)))</f>
        <v/>
      </c>
      <c r="BU8" s="922" t="str">
        <f>IF(BT8="","",BT8+(VALUE(RIGHT(LOOKUP(BQ8+BR8-1,$AY$6:$BE$6,AY8:BE8),1)))*10)</f>
        <v/>
      </c>
      <c r="BV8" s="1901" t="str">
        <f t="shared" ref="BV8:BV18" si="25">IF(AND(BR8=3,BQ8=1),MID(AZ8,2,1)*1,IF(AND(BR8=3,BQ8=2),MID(BA8,2,1)*1,IF(AND(BR8=3,BQ8=3),MID(BB8,2,1)*1,IF(AND(BR8=3,BQ8=4),MID(BC8,2,1)*1,IF(AND(BR8=2,BQ8=1),MID(AY8,2,1)*1,IF(AND(BR8=2,BQ8=2),MID(AZ8,2,1)*1,IF(AND(BR8=2,BQ8=3),MID(BA8,2,1)*1,IF(AND(BR8=2,BQ8=4),MID(BB8,2,1)*1,""))))))))</f>
        <v/>
      </c>
      <c r="BW8" s="920" t="str">
        <f>IF(BV8="","",VALUE(MID(LOOKUP(BQ8+BR8-2,$AY$6:$BE$6,AY8:BE8),3,3)))</f>
        <v/>
      </c>
      <c r="BX8" s="922" t="str">
        <f>IF(BW8="","",BW8+(VALUE(RIGHT(LOOKUP(BQ8+BR8-2,$AY$6:$BE$6,AY8:BE8),1)))*10)</f>
        <v/>
      </c>
      <c r="BY8" s="919" t="str">
        <f>IF(AND(BR8=3,BQ8=1),MID(AY8,2,1)*1,IF(AND(BR8=3,BQ8=2),MID(AZ8,2,1)*1,IF(AND(BR8=3,BQ8=3),MID(BA8,2,1)*1,IF(AND(BR8=3,BQ8=4),MID(BB8,2,1)*1,""))))</f>
        <v/>
      </c>
      <c r="BZ8" s="920" t="str">
        <f>IF(BY8="","",VALUE(MID(LOOKUP(BQ8+BR8-3,$AY$6:$BE$6,AY8:BE8),3,3)))</f>
        <v/>
      </c>
      <c r="CA8" s="922" t="str">
        <f>IF(BZ8="","",BZ8+(VALUE(RIGHT(LOOKUP(BQ8+BR8-3,$AY$6:$BE$6,AY8:BE8),1)))*10)</f>
        <v/>
      </c>
      <c r="CB8" s="1939" t="str">
        <f>IF(MAX(BS8,BV8,BY8)&gt;0,MAX(BS8,BV8,BY8),"")</f>
        <v/>
      </c>
      <c r="CC8" s="147">
        <f t="shared" ref="CC8:CC18" si="26">IF(ISNUMBER(FIND("WS",X8)),FIND("WS",X8),999)</f>
        <v>999</v>
      </c>
      <c r="CD8" s="1941" t="str">
        <f t="shared" ref="CD8:CD18" si="27">IF(CC8&lt;999,"LLWS","")</f>
        <v/>
      </c>
    </row>
    <row r="9" spans="1:82">
      <c r="B9" s="127" t="str">
        <f>IF(U9&gt;0,LEFT(Worksheet!AD14,LEN(Worksheet!AD14)-15),Worksheet!AD14)</f>
        <v xml:space="preserve">TEMPO 0620/0702 29012G20KT 4800 -TSRA BKN040CB </v>
      </c>
      <c r="C9" s="394">
        <f t="shared" si="3"/>
        <v>47</v>
      </c>
      <c r="D9" s="395">
        <f t="shared" ref="D9:D18" si="28">IF(RIGHT(B9,1)=" ",1,IF(RIGHT(B9,2)="  ",2,IF(RIGHT(B9,3)="   ",3,0)))</f>
        <v>1</v>
      </c>
      <c r="E9" s="395" t="str">
        <f>IF(ISNUMBER(FIND("BECMG",B9)),"BECMG",IF(ISNUMBER(FIND("FM",B9)),"FM",IF(ISNUMBER(FIND("TEMPO",B9)),"TEMPO",IF(ISNUMBER(FIND("PROB",B9)),"PROB",""))))</f>
        <v>TEMPO</v>
      </c>
      <c r="F9" s="127" t="str">
        <f>IF(E8="","",MID(B8,W7+1,C8-D8))</f>
        <v>BECMG 0614/0615 24010KT 9999 SCT040 BKN250 QNH2988INS</v>
      </c>
      <c r="G9" s="394">
        <f t="shared" si="4"/>
        <v>53</v>
      </c>
      <c r="H9" s="139" t="str">
        <f>CONCATENATE(F9," ",TRIM(SUBSTITUTE(F10,CHAR(160),CHAR(32))))</f>
        <v xml:space="preserve">BECMG 0614/0615 24010KT 9999 SCT040 BKN250 QNH2988INS </v>
      </c>
      <c r="I9" s="126">
        <f>IF(H9="",0,LEN(H9))</f>
        <v>54</v>
      </c>
      <c r="J9" s="126">
        <f>IF(I9&gt;1,COUNT(J7:J8)+1,"")</f>
        <v>2</v>
      </c>
      <c r="K9" s="127" t="str">
        <f>IF(OR(I9&lt;2,P9=""),H9,LEFT(H9,61-SEARCH(" ",P9)))</f>
        <v xml:space="preserve">BECMG 0614/0615 24010KT 9999 SCT040 BKN250 QNH2988INS </v>
      </c>
      <c r="L9" s="394">
        <f t="shared" si="0"/>
        <v>54</v>
      </c>
      <c r="M9" s="394">
        <f>IF(L9&gt;1,COUNT(M7:M8)+1,"")</f>
        <v>2</v>
      </c>
      <c r="N9" s="126" t="str">
        <f>IF(MAX(M7:M29)&lt;3,"",IF(LOOKUP(3,M9:M29,K9:K29)=N8,"",LOOKUP(3,M9:M29,K9:K29)))</f>
        <v xml:space="preserve">TEMPO 0620/0702 29012G20KT 4800 -TSRA BKN040CB </v>
      </c>
      <c r="O9" s="395">
        <f>LEN(N9)</f>
        <v>47</v>
      </c>
      <c r="P9" s="140" t="str">
        <f t="shared" ref="P9:P19" si="29">IF(I9&gt;59,CONCATENATE(MID(H9,60,1),MID(H9,59,1),MID(H9,58,1),MID(H9,57,1),MID(H9,56,1),MID(H9,55,1),MID(H9,54,1),MID(H9,53,1),MID(H9,52,1),MID(H9,51,1),MID(H9,50,1),MID(H9,49,1),MID(H9,48,1),MID(H9,47,1),MID(H9,46,1),MID(H9,45,1),MID(H9,44,1),MID(H9,43,1)),"")</f>
        <v/>
      </c>
      <c r="Q9" s="1901"/>
      <c r="R9" s="1901"/>
      <c r="S9" s="1901"/>
      <c r="T9" s="1901" t="str">
        <f>IF(OR(Y9="FM",Y9="",T7=""),"","/")</f>
        <v>/</v>
      </c>
      <c r="U9" s="1901">
        <f>IF(ISNUMBER(FIND("AFWA CONVERTED",Worksheet!AD14)),15,0)</f>
        <v>0</v>
      </c>
      <c r="V9" s="141"/>
      <c r="W9" s="1901">
        <f>IF(ISNUMBER(FIND("BECMG",B9)),FIND("BECMG",B9)-1,IF(ISNUMBER(FIND("FM",B9)),FIND("FM",B9)-1,IF(ISNUMBER(FIND("TEMPO",B9)),FIND("TEMPO",B9)-1,IF(ISNUMBER(FIND("PROB",B9)),FIND("PROB",B9)-1,0))))</f>
        <v>0</v>
      </c>
      <c r="X9" s="140" t="str">
        <f>IF(MAX(J7:J29)&lt;3,"",IF(LOOKUP(3,J9:J29,H9:H29)=X8,"",LOOKUP(3,J9:J29,H9:H29)))</f>
        <v xml:space="preserve">TEMPO 0620/0702 29012G20KT 4800 -TSRA BKN040CB </v>
      </c>
      <c r="Y9" s="112" t="str">
        <f>IF(ISNUMBER(FIND("PROB",X9)),"PROBXX",IF(ISNUMBER(FIND("TEM",X9)),"TEMPO",IF(ISNUMBER(FIND("BEC",X9)),"BECMG",IF(ISNUMBER(FIND("FM",X9)),"FM",""))))</f>
        <v>TEMPO</v>
      </c>
      <c r="Z9" s="112" t="str">
        <f>IF(Y9="","",IF(OR(Y9="TEMPO",Y9="PROBXX"),"TEMPO","PREDOM"))</f>
        <v>TEMPO</v>
      </c>
      <c r="AA9" s="142">
        <f>IF(Y9="","",IF(Y9="FM",MID(X9,3,2)*1,IF(T7="",IF(AB9&lt;AB8,AA8+1,AA8),MID(X9,LEN(Y9)+2,2)*1)))</f>
        <v>6</v>
      </c>
      <c r="AB9" s="143">
        <f>IF(Y9="","",IF(Y9="FM",(MID(X9,5,2)*1/24)+(MID(X9,7,2)*1/1440),IF(Y9="PROBXX",(MID(X9,10,2))*1/24,IF(Y9="TEMPO",IF($T$7="",MID(X9,7,2)*1/24,MID(X9,9,2)*1/24),IF($T$7="",MID(X9,9,2)*1/24,(MID(X9,14,2))*1/24)))))</f>
        <v>0.83333333333333337</v>
      </c>
      <c r="AC9" s="122">
        <f>IF(AB9="","",IF(AA9&lt;$AA$7,IF(AND(AA9=1,MONTH(AA9+AB9+$AA$3-0.000001)=MONTH($AC$7)),AA9+AB9+$AA$3-0.000001+1,AA9+AB9+$AA$3-0.000001),AA9+AB9+$AD$3-0.000001))</f>
        <v>44748.833332333335</v>
      </c>
      <c r="AD9" s="142">
        <f>IF(AA9="","",IF(Z9="TEMPO",IF($T$7="",IF(AE9&lt;AB9,AA9+1,AA9),MID(X9,LEN(Y9)+7,2)*1),IF(Z10="PREDOM",AA10,IF(Z11="PREDOM",AA11,IF(Z12="PREDOM",AA12,IF($T$7="",$AA$7+1,MID($B$7,6,2)*1))))))</f>
        <v>7</v>
      </c>
      <c r="AE9" s="143">
        <f t="shared" si="6"/>
        <v>8.2638888888888887E-2</v>
      </c>
      <c r="AF9" s="122">
        <f t="shared" si="1"/>
        <v>44749.082637888889</v>
      </c>
      <c r="AG9" s="144" t="str">
        <f t="shared" ref="AG9:AG18" si="30">IF(ISNUMBER(FIND("KT",X9)),MID(X9,FIND("KT",X9)-8,8),"")</f>
        <v>29012G20</v>
      </c>
      <c r="AH9" s="1941" t="str">
        <f>IF(OR(ISNUMBER(FIND("/",AG9)),AG9=""),"",IF(MID(AG9,3,1)=" ",MID(AG9,4,3),LEFT(AG9,3)))</f>
        <v>290</v>
      </c>
      <c r="AI9" s="1941">
        <f>IF(OR(ISNUMBER(FIND("/",AG9)),AG9=""),"",IF(MID(AG9,6,1)="G",MID(AG9,4,2)*1,MID(AG9,7,2)*1))</f>
        <v>12</v>
      </c>
      <c r="AJ9" s="1941">
        <f t="shared" ref="AJ9:AJ18" si="31">IF(AG9="","",IF(MID(AG9,6,1)="G",RIGHT(AG9,2)*1,""))</f>
        <v>20</v>
      </c>
      <c r="AK9" s="145">
        <f t="shared" ref="AK9:AK18" si="32">IF(Z9="","",IF(ISNUMBER(FIND("KT",X9)),IF(FIND("KT",X9)&lt;AX9,FIND("KT",X9)+3,17),17))</f>
        <v>28</v>
      </c>
      <c r="AL9" s="147">
        <f t="shared" si="7"/>
        <v>39</v>
      </c>
      <c r="AM9" s="147" t="str">
        <f t="shared" ref="AM9:AM17" si="33">IF(Z9="","",IF(AL9=AK9,"",MID(X9,AK9,AL9-AK9-1)))</f>
        <v>4800 -TSRA</v>
      </c>
      <c r="AN9" s="146">
        <f>IF(AM9="","",IF(LEFT(AM9,4)="P6SM",7,IF(ISERROR(LEFT(AM9,1)*1),"",IF(AND(ISNUMBER(FIND(" ",AM9)),ISNUMBER(FIND("/",AM9))),SUM(LEFT(AM9,1)*1,(MID(AM9,FIND("/",AM9)-1,1)*1)/(MID(AM9,FIND("/",AM9)+1,1)*1)),IF(ISNUMBER(FIND("SM",AM9)),LEFT(AM9,FIND("SM",AM9)-1)*1,IF(ISNUMBER(FIND("9999",AM9)),7,IF(ISNUMBER(FIND("9000",AM9)),6,IF(ISNUMBER(FIND("8000",AM9)),5,IF(ISNUMBER(FIND("6000",AM9)),4,(LEFT(AM9,4)*1)/1600)))))))))</f>
        <v>3</v>
      </c>
      <c r="AO9" s="144" t="str">
        <f t="shared" ref="AO9:AO18" si="34">IF(Z9="","",IF(AL9=AK9,"",IF(ISNUMBER(FIND("SM",AM9)),RIGHT(AM9,LEN(AM9)-FIND("SM",AM9)-2),IF(ISNUMBER(LEFT(AM9,1)*1),RIGHT(AM9,LEN(AM9)-5),AM9))))</f>
        <v>-TSRA</v>
      </c>
      <c r="AP9" s="1941" t="str">
        <f t="shared" si="8"/>
        <v>-TSRA</v>
      </c>
      <c r="AQ9" s="145">
        <f>IF(Z9="","",IFERROR(FIND("VV",X9),999))</f>
        <v>999</v>
      </c>
      <c r="AR9" s="147">
        <f t="shared" si="9"/>
        <v>999</v>
      </c>
      <c r="AS9" s="147">
        <f t="shared" si="10"/>
        <v>999</v>
      </c>
      <c r="AT9" s="147">
        <f t="shared" si="11"/>
        <v>999</v>
      </c>
      <c r="AU9" s="147">
        <f t="shared" si="12"/>
        <v>39</v>
      </c>
      <c r="AV9" s="147">
        <f t="shared" si="13"/>
        <v>999</v>
      </c>
      <c r="AW9" s="148">
        <f t="shared" si="14"/>
        <v>40</v>
      </c>
      <c r="AX9" s="144">
        <f t="shared" si="2"/>
        <v>48</v>
      </c>
      <c r="AY9" s="144" t="str">
        <f t="shared" si="15"/>
        <v>N040CB</v>
      </c>
      <c r="AZ9" s="144" t="str">
        <f t="shared" si="16"/>
        <v>TSRA B</v>
      </c>
      <c r="BA9" s="144" t="str">
        <f t="shared" si="17"/>
        <v xml:space="preserve"> 4800 </v>
      </c>
      <c r="BB9" s="144" t="str">
        <f t="shared" si="18"/>
        <v>12G20K</v>
      </c>
      <c r="BC9" s="144" t="str">
        <f t="shared" si="19"/>
        <v>702 29</v>
      </c>
      <c r="BD9" s="144" t="str">
        <f t="shared" si="20"/>
        <v xml:space="preserve"> 0620/</v>
      </c>
      <c r="BE9" s="144" t="str">
        <f t="shared" si="21"/>
        <v/>
      </c>
      <c r="BF9" s="115">
        <f t="shared" ref="BF9:BF18" si="35">IF(Z9="","",IF(AND(ISERROR(FIND(" ",AY9)),LEFT(AY9)="5",ISERROR(FIND(" ",AZ9)),LEFT(AZ9)="5",ISERROR(FIND(" ",BA9)),LEFT(BA9)="5"),3,IF(AND(ISERROR(FIND(" ",AY9)),LEFT(AY9)="5",ISERROR(FIND(" ",AZ9)),LEFT(AZ9)="5"),2,IF(AND(ISERROR(FIND(" ",AY9)),LEFT(AY9)="5"),1,0))))</f>
        <v>0</v>
      </c>
      <c r="BG9" s="919" t="str">
        <f t="shared" ref="BG9:BG18" si="36">IF(ISERROR(IF(BF9=3,MID(BA9,2,1)*1,IF(BF9=2,MID(AZ9,2,1)*1,IF(BF9=1,MID(AY9,2,1)*1)))),"",IF(BF9=3,MID(BA9,2,1)*1,IF(BF9=2,MID(AZ9,2,1)*1,IF(BF9=1,MID(AY9,2,1)*1,""))))</f>
        <v/>
      </c>
      <c r="BH9" s="920" t="str">
        <f t="shared" ref="BH9:BH18" si="37">IF(BG9="","",IF(BF9=1,VALUE(MID(AY9,3,3)),IF(BF9=2,VALUE(MID(AZ9,3,3)),IF(BF9=3,VALUE(MID(BA9,3,3))))))</f>
        <v/>
      </c>
      <c r="BI9" s="920" t="str">
        <f t="shared" ref="BI9:BI18" si="38">IF(BH9="","",BH9+VALUE(RIGHT(IF(BF9=1,AY9,IF(BF9=2,AZ9,IF(BF9=3,BA9))),1))*10)</f>
        <v/>
      </c>
      <c r="BJ9" s="919" t="str">
        <f t="shared" si="22"/>
        <v/>
      </c>
      <c r="BK9" s="332" t="str">
        <f t="shared" ref="BK9:BK18" si="39">IF(BJ9="","",IF(BF9=2,VALUE(MID(AY9,3,3)),IF(BF9=3,VALUE(MID(AZ9,3,3)))))</f>
        <v/>
      </c>
      <c r="BL9" s="332" t="str">
        <f t="shared" ref="BL9:BL18" si="40">IF(BJ9="","",BK9+VALUE(RIGHT(IF(BF9=2,AY9,IF(BF9=3,AZ9)),1))*10)</f>
        <v/>
      </c>
      <c r="BM9" s="919" t="str">
        <f t="shared" si="23"/>
        <v/>
      </c>
      <c r="BN9" s="920" t="str">
        <f t="shared" ref="BN9:BN18" si="41">IF(OR(BF9="",BF9&lt;3),"",VALUE(MID(AY9,3,3)))</f>
        <v/>
      </c>
      <c r="BO9" s="922" t="str">
        <f t="shared" ref="BO9:BO18" si="42">IF(BM9="","",IF(BF9&lt;3,"",BN9+VALUE(RIGHT(AY9,1))*10))</f>
        <v/>
      </c>
      <c r="BP9" s="1941" t="str">
        <f t="shared" ref="BP9:BP18" si="43">IF(MAX(BG9,BJ9,BM9)&gt;0,MAX(BG9,BJ9,BM9),"")</f>
        <v/>
      </c>
      <c r="BQ9" s="115">
        <f t="shared" si="24"/>
        <v>0</v>
      </c>
      <c r="BR9" s="1901">
        <f t="shared" ref="BR9:BR15" si="44">IF(Z9="","",IF(BQ9=0,0,IF(OR(AND(BQ9=1,ISERROR(FIND(" ",AZ9)),LEFT(AZ9)="6",ISERROR(FIND(" ",BA9)),LEFT(BA9)="6"),AND(BQ9=2,ISERROR(FIND(" ",BA9)),LEFT(BA9)="6",ISERROR(FIND(" ",BB9)),LEFT(BB9)="6"),AND(BQ9=3,ISERROR(FIND(" ",BB9)),LEFT(BB9)="6",ISERROR(FIND(" ",BC9)),LEFT(BC9)="6"),AND(BQ9=4,ISERROR(FIND(" ",BC9)),LEFT(BC9)="6",ISERROR(FIND(" ",BD9)),LEFT(BD9)="6")),3,IF(OR(AND(BQ9=1,ISERROR(FIND(" ",AZ9,)),LEFT(AZ9)="6"),AND(BQ9=2,ISERROR(FIND(" ",BA9)),LEFT(BA9)="6"),AND(BQ9=3,ISERROR(FIND(" ",BB9)),LEFT(BB9)="6"),AND(BQ9=4,ISERROR(FIND(" ",BC9)),LEFT(BC9)="6")),2,1))))</f>
        <v>0</v>
      </c>
      <c r="BS9" s="919" t="str">
        <f t="shared" ref="BS9:BS18" si="45">IF(AND(BR9=3,BQ9=1),MID(BA9,2,1)*1,IF(AND(BR9=3,BQ9=2),MID(BB9,2,1)*1,IF(AND(BR9=3,BQ9=3),MID(BC9,2,1)*1,IF(AND(BR9=3,BQ9=4),MID(BD9,2,1)*1,IF(AND(BR9=2,BQ9=1),MID(AZ9,2,1)*1,IF(AND(BR9=2,BQ9=2),MID(BA9,2,1)*1,IF(AND(BR9=2,BQ9=3),MID(BB9,2,1)*1,IF(AND(BR9=2,BQ9=4),MID(BC9,2,1)*1,IF(AND(BR9=1,BQ9=1),MID(AY9,2,1)*1,IF(AND(BR9=1,BQ9=2),MID(AZ9,2,1)*1,IF(AND(BR9=1,BQ9=3),MID(BA9,2,1)*1,IF(AND(BR9=1,BQ9=4),MID(BB9,2,1)*1,""))))))))))))</f>
        <v/>
      </c>
      <c r="BT9" s="920" t="str">
        <f t="shared" ref="BT9:BT17" si="46">IF(BS9="","",VALUE(MID(LOOKUP(BQ9+BR9-1,$AY$6:$BE$6,AY9:BE9),3,3)))</f>
        <v/>
      </c>
      <c r="BU9" s="922" t="str">
        <f t="shared" ref="BU9:BU18" si="47">IF(BT9="","",BT9+(VALUE(RIGHT(LOOKUP(BQ9+BR9-1,$AY$6:$BE$6,AY9:BE9),1)))*10)</f>
        <v/>
      </c>
      <c r="BV9" s="1901" t="str">
        <f t="shared" si="25"/>
        <v/>
      </c>
      <c r="BW9" s="920" t="str">
        <f t="shared" ref="BW9:BW18" si="48">IF(BV9="","",VALUE(MID(LOOKUP(BQ9+BR9-2,$AY$6:$BE$6,AY9:BE9),3,3)))</f>
        <v/>
      </c>
      <c r="BX9" s="922" t="str">
        <f t="shared" ref="BX9:BX18" si="49">IF(BW9="","",BW9+(VALUE(RIGHT(LOOKUP(BQ9+BR9-2,$AY$6:$BE$6,AY9:BE9),1)))*10)</f>
        <v/>
      </c>
      <c r="BY9" s="919" t="str">
        <f t="shared" ref="BY9:BY18" si="50">IF(AND(BR9=3,BQ9=1),MID(AY9,2,1)*1,IF(AND(BR9=3,BQ9=2),MID(AZ9,2,1)*1,IF(AND(BR9=3,BQ9=3),MID(BA9,2,1)*1,IF(AND(BR9=3,BQ9=4),MID(BB9,2,1)*1,""))))</f>
        <v/>
      </c>
      <c r="BZ9" s="920" t="str">
        <f t="shared" ref="BZ9:BZ18" si="51">IF(BY9="","",VALUE(MID(LOOKUP(BQ9+BR9-3,$AY$6:$BE$6,AY9:BE9),3,3)))</f>
        <v/>
      </c>
      <c r="CA9" s="922" t="str">
        <f t="shared" ref="CA9:CA18" si="52">IF(BZ9="","",BZ9+(VALUE(RIGHT(LOOKUP(BQ9+BR9-3,$AY$6:$BE$6,AY9:BE9),1)))*10)</f>
        <v/>
      </c>
      <c r="CB9" s="1939" t="str">
        <f t="shared" ref="CB9:CB18" si="53">IF(MAX(BS9,BV9,BY9)&gt;0,MAX(BS9,BV9,BY9),"")</f>
        <v/>
      </c>
      <c r="CC9" s="147">
        <f t="shared" si="26"/>
        <v>999</v>
      </c>
      <c r="CD9" s="1941" t="str">
        <f t="shared" si="27"/>
        <v/>
      </c>
    </row>
    <row r="10" spans="1:82">
      <c r="B10" s="127" t="str">
        <f>IF(U10&gt;0,LEFT(Worksheet!AD15,LEN(Worksheet!AD15)-15),Worksheet!AD15)</f>
        <v>BECMG 0707/0708 VRB03KT 4800 BR SCT250 QNH2985INS</v>
      </c>
      <c r="C10" s="394">
        <f t="shared" si="3"/>
        <v>49</v>
      </c>
      <c r="D10" s="395">
        <f t="shared" si="28"/>
        <v>0</v>
      </c>
      <c r="E10" s="395" t="str">
        <f t="shared" ref="E10:E18" si="54">IF(ISNUMBER(FIND("BECMG",B10)),"BECMG",IF(ISNUMBER(FIND("FM",B10)),"FM",IF(ISNUMBER(FIND("TEMPO",B10)),"TEMPO",IF(ISNUMBER(FIND("PROB",B10)),"PROB",""))))</f>
        <v>BECMG</v>
      </c>
      <c r="F10" s="127" t="str">
        <f>IF(AND(E8&lt;&gt;"",C9&gt;1,E9=""),B9,"")</f>
        <v/>
      </c>
      <c r="G10" s="394">
        <f t="shared" si="4"/>
        <v>0</v>
      </c>
      <c r="H10" s="139"/>
      <c r="I10" s="126">
        <f>IF(H10="",0,LEN(H10))</f>
        <v>0</v>
      </c>
      <c r="J10" s="126" t="str">
        <f>IF(I10&gt;1,COUNT(J7:J9)+1,"")</f>
        <v/>
      </c>
      <c r="K10" s="127" t="str">
        <f>IF(I9&gt;60,"    "&amp;RIGHT(H9,I9-L9),"")</f>
        <v/>
      </c>
      <c r="L10" s="394">
        <f>IF(LEN(K10)&lt;7,0,LEN(K10))</f>
        <v>0</v>
      </c>
      <c r="M10" s="394" t="str">
        <f>IF(L10&gt;1,COUNT(M7:M9)+1,"")</f>
        <v/>
      </c>
      <c r="N10" s="126" t="str">
        <f>IF(MAX(M7:M29)&lt;4,"",IF(LOOKUP(4,M10:M29,K10:K29)=N9,"",LOOKUP(4,M10:M29,K10:K29)))</f>
        <v xml:space="preserve">BECMG 0707/0708 VRB03KT 4800 BR SCT250 QNH2985INS </v>
      </c>
      <c r="O10" s="395">
        <f t="shared" si="5"/>
        <v>50</v>
      </c>
      <c r="P10" s="140" t="str">
        <f t="shared" si="29"/>
        <v/>
      </c>
      <c r="Q10" s="1901"/>
      <c r="R10" s="1901"/>
      <c r="S10" s="1901"/>
      <c r="T10" s="1901" t="str">
        <f>IF(OR(Y10="FM",Y10="",T7=""),"","/")</f>
        <v>/</v>
      </c>
      <c r="U10" s="1901">
        <f>IF(ISNUMBER(FIND("AFWA CONVERTED",Worksheet!AD15)),15,0)</f>
        <v>0</v>
      </c>
      <c r="V10" s="141"/>
      <c r="W10" s="1901">
        <f t="shared" ref="W10:W18" si="55">IF(ISNUMBER(FIND("BECMG",B10)),FIND("BECMG",B10)-1,IF(ISNUMBER(FIND("FM",B10)),FIND("FM",B10)-1,IF(ISNUMBER(FIND("TEMPO",B10)),FIND("TEMPO",B10)-1,IF(ISNUMBER(FIND("PROB",B10)),FIND("PROB",B10)-1,0))))</f>
        <v>0</v>
      </c>
      <c r="X10" s="140" t="str">
        <f>IF(MAX(J7:J29)&lt;4,"",IF(LOOKUP(4,J10:J29,H10:H29)=X9,"",LOOKUP(4,J10:J29,H10:H29)))</f>
        <v xml:space="preserve">BECMG 0707/0708 VRB03KT 4800 BR SCT250 QNH2985INS </v>
      </c>
      <c r="Y10" s="112" t="str">
        <f t="shared" ref="Y10:Y17" si="56">IF(ISNUMBER(FIND("PROB",X10)),"PROBXX",IF(ISNUMBER(FIND("TEM",X10)),"TEMPO",IF(ISNUMBER(FIND("BEC",X10)),"BECMG",IF(ISNUMBER(FIND("FM",X10)),"FM",""))))</f>
        <v>BECMG</v>
      </c>
      <c r="Z10" s="112" t="str">
        <f t="shared" ref="Z10:Z17" si="57">IF(Y10="","",IF(OR(Y10="TEMPO",Y10="PROBXX"),"TEMPO","PREDOM"))</f>
        <v>PREDOM</v>
      </c>
      <c r="AA10" s="142">
        <f>IF(Y10="","",IF(Y10="FM",MID(X10,3,2)*1,IF(T7="",IF(AB10&lt;AB9,AA9+1,AA9),MID(X10,LEN(Y10)+2,2)*1)))</f>
        <v>7</v>
      </c>
      <c r="AB10" s="143">
        <f t="shared" ref="AB10:AB17" si="58">IF(Y10="","",IF(Y10="FM",(MID(X10,5,2)*1/24)+(MID(X10,7,2)*1/1440),IF(Y10="PROBXX",(MID(X10,10,2))*1/24,IF(Y10="TEMPO",IF($T$7="",MID(X10,7,2)*1/24,MID(X10,9,2)*1/24),IF($T$7="",MID(X10,9,2)*1/24,(MID(X10,14,2))*1/24)))))</f>
        <v>0.33333333333333331</v>
      </c>
      <c r="AC10" s="122">
        <f>IF(AB10="","",IF(AA10&lt;$AA$7,IF(AND(AA10=1,MONTH(AA10+AB10+$AA$3-0.000001)=MONTH($AC$7)),AA10+AB10+$AA$3-0.000001+1,AA10+AB10+$AA$3-0.000001),AA10+AB10+$AD$3-0.000001))</f>
        <v>44749.333332333335</v>
      </c>
      <c r="AD10" s="142">
        <f t="shared" ref="AD10:AD15" si="59">IF(AA10="","",IF(Z10="TEMPO",IF($T$7="",IF(AE10&lt;AB10,AA10+1,AA10),MID(X10,LEN(Y10)+7,2)*1),IF(Z11="PREDOM",AA11,IF(Z12="PREDOM",AA12,IF(Z13="PREDOM",AA13,IF($T$7="",$AA$7+1,MID($B$7,6,2)*1))))))</f>
        <v>7</v>
      </c>
      <c r="AE10" s="143">
        <f t="shared" si="6"/>
        <v>0.58263888888888893</v>
      </c>
      <c r="AF10" s="122">
        <f t="shared" si="1"/>
        <v>44749.582637888889</v>
      </c>
      <c r="AG10" s="144" t="str">
        <f t="shared" si="30"/>
        <v>08 VRB03</v>
      </c>
      <c r="AH10" s="1941" t="str">
        <f t="shared" ref="AH10:AH18" si="60">IF(OR(ISNUMBER(FIND("/",AG10)),AG10=""),"",IF(MID(AG10,3,1)=" ",MID(AG10,4,3),LEFT(AG10,3)))</f>
        <v>VRB</v>
      </c>
      <c r="AI10" s="1941">
        <f t="shared" ref="AI10:AI18" si="61">IF(OR(ISNUMBER(FIND("/",AG10)),AG10=""),"",IF(MID(AG10,6,1)="G",MID(AG10,4,2)*1,MID(AG10,7,2)*1))</f>
        <v>3</v>
      </c>
      <c r="AJ10" s="1941" t="str">
        <f t="shared" si="31"/>
        <v/>
      </c>
      <c r="AK10" s="145">
        <f t="shared" si="32"/>
        <v>25</v>
      </c>
      <c r="AL10" s="147">
        <f t="shared" si="7"/>
        <v>33</v>
      </c>
      <c r="AM10" s="147" t="str">
        <f t="shared" si="33"/>
        <v>4800 BR</v>
      </c>
      <c r="AN10" s="146">
        <f t="shared" ref="AN10:AN18" si="62">IF(AM10="","",IF(LEFT(AM10,4)="P6SM",7,IF(ISERROR(LEFT(AM10,1)*1),"",IF(AND(ISNUMBER(FIND(" ",AM10)),ISNUMBER(FIND("/",AM10))),SUM(LEFT(AM10,1)*1,(MID(AM10,FIND("/",AM10)-1,1)*1)/(MID(AM10,FIND("/",AM10)+1,1)*1)),IF(ISNUMBER(FIND("SM",AM10)),LEFT(AM10,FIND("SM",AM10)-1)*1,IF(ISNUMBER(FIND("9999",AM10)),7,IF(ISNUMBER(FIND("9000",AM10)),6,IF(ISNUMBER(FIND("8000",AM10)),5,IF(ISNUMBER(FIND("6000",AM10)),4,(LEFT(AM10,4)*1)/1600)))))))))</f>
        <v>3</v>
      </c>
      <c r="AO10" s="144" t="str">
        <f t="shared" si="34"/>
        <v>BR</v>
      </c>
      <c r="AP10" s="1941" t="str">
        <f t="shared" si="8"/>
        <v>BR</v>
      </c>
      <c r="AQ10" s="145">
        <f t="shared" ref="AQ10:AQ18" si="63">IF(Z10="","",IFERROR(FIND("VV",X10),999))</f>
        <v>999</v>
      </c>
      <c r="AR10" s="147">
        <f t="shared" si="9"/>
        <v>999</v>
      </c>
      <c r="AS10" s="147">
        <f t="shared" si="10"/>
        <v>999</v>
      </c>
      <c r="AT10" s="147">
        <f t="shared" si="11"/>
        <v>33</v>
      </c>
      <c r="AU10" s="147">
        <f t="shared" si="12"/>
        <v>999</v>
      </c>
      <c r="AV10" s="147">
        <f t="shared" si="13"/>
        <v>999</v>
      </c>
      <c r="AW10" s="148" t="str">
        <f t="shared" si="14"/>
        <v>NONE</v>
      </c>
      <c r="AX10" s="144">
        <f t="shared" si="2"/>
        <v>40</v>
      </c>
      <c r="AY10" s="144" t="str">
        <f t="shared" si="15"/>
        <v>SCT250</v>
      </c>
      <c r="AZ10" s="144" t="str">
        <f t="shared" si="16"/>
        <v>800 BR</v>
      </c>
      <c r="BA10" s="144" t="str">
        <f t="shared" si="17"/>
        <v xml:space="preserve">B03KT </v>
      </c>
      <c r="BB10" s="144" t="str">
        <f t="shared" si="18"/>
        <v>0708 V</v>
      </c>
      <c r="BC10" s="144" t="str">
        <f t="shared" si="19"/>
        <v>G 0707</v>
      </c>
      <c r="BD10" s="144" t="str">
        <f t="shared" si="20"/>
        <v/>
      </c>
      <c r="BE10" s="144" t="str">
        <f t="shared" si="21"/>
        <v/>
      </c>
      <c r="BF10" s="115">
        <f t="shared" si="35"/>
        <v>0</v>
      </c>
      <c r="BG10" s="919" t="str">
        <f t="shared" si="36"/>
        <v/>
      </c>
      <c r="BH10" s="920" t="str">
        <f t="shared" si="37"/>
        <v/>
      </c>
      <c r="BI10" s="920" t="str">
        <f t="shared" si="38"/>
        <v/>
      </c>
      <c r="BJ10" s="919" t="str">
        <f t="shared" si="22"/>
        <v/>
      </c>
      <c r="BK10" s="332" t="str">
        <f t="shared" si="39"/>
        <v/>
      </c>
      <c r="BL10" s="332" t="str">
        <f t="shared" si="40"/>
        <v/>
      </c>
      <c r="BM10" s="919" t="str">
        <f t="shared" si="23"/>
        <v/>
      </c>
      <c r="BN10" s="920" t="str">
        <f t="shared" si="41"/>
        <v/>
      </c>
      <c r="BO10" s="922" t="str">
        <f t="shared" si="42"/>
        <v/>
      </c>
      <c r="BP10" s="1941" t="str">
        <f t="shared" si="43"/>
        <v/>
      </c>
      <c r="BQ10" s="115">
        <f t="shared" si="24"/>
        <v>0</v>
      </c>
      <c r="BR10" s="1901">
        <f t="shared" si="44"/>
        <v>0</v>
      </c>
      <c r="BS10" s="919" t="str">
        <f t="shared" si="45"/>
        <v/>
      </c>
      <c r="BT10" s="920" t="str">
        <f t="shared" si="46"/>
        <v/>
      </c>
      <c r="BU10" s="922" t="str">
        <f t="shared" si="47"/>
        <v/>
      </c>
      <c r="BV10" s="1901" t="str">
        <f t="shared" si="25"/>
        <v/>
      </c>
      <c r="BW10" s="920" t="str">
        <f t="shared" si="48"/>
        <v/>
      </c>
      <c r="BX10" s="922" t="str">
        <f t="shared" si="49"/>
        <v/>
      </c>
      <c r="BY10" s="919" t="str">
        <f t="shared" si="50"/>
        <v/>
      </c>
      <c r="BZ10" s="920" t="str">
        <f t="shared" si="51"/>
        <v/>
      </c>
      <c r="CA10" s="922" t="str">
        <f t="shared" si="52"/>
        <v/>
      </c>
      <c r="CB10" s="1939" t="str">
        <f t="shared" si="53"/>
        <v/>
      </c>
      <c r="CC10" s="147">
        <f t="shared" si="26"/>
        <v>999</v>
      </c>
      <c r="CD10" s="1941" t="str">
        <f t="shared" si="27"/>
        <v/>
      </c>
    </row>
    <row r="11" spans="1:82">
      <c r="B11" s="127" t="str">
        <f>IF(U11&gt;0,LEFT(Worksheet!AD16,LEN(Worksheet!AD16)-15),Worksheet!AD16)</f>
        <v>BECMG 0713/0714 19006KT 9999 NSW SCT250 QNH2988INS</v>
      </c>
      <c r="C11" s="394">
        <f t="shared" si="3"/>
        <v>50</v>
      </c>
      <c r="D11" s="395">
        <f t="shared" si="28"/>
        <v>0</v>
      </c>
      <c r="E11" s="395" t="str">
        <f t="shared" si="54"/>
        <v>BECMG</v>
      </c>
      <c r="F11" s="127" t="str">
        <f>IF(E9="","",MID(B9,W7+1,C9-D9))</f>
        <v>TEMPO 0620/0702 29012G20KT 4800 -TSRA BKN040CB</v>
      </c>
      <c r="G11" s="394">
        <f t="shared" si="4"/>
        <v>46</v>
      </c>
      <c r="H11" s="139" t="str">
        <f>CONCATENATE(F11," ",TRIM(SUBSTITUTE(F12,CHAR(160),CHAR(32))))</f>
        <v xml:space="preserve">TEMPO 0620/0702 29012G20KT 4800 -TSRA BKN040CB </v>
      </c>
      <c r="I11" s="126">
        <f>IF(H11="",0,LEN(H11))</f>
        <v>47</v>
      </c>
      <c r="J11" s="126">
        <f>IF(I11&gt;1,COUNT(J7:J10)+1,"")</f>
        <v>3</v>
      </c>
      <c r="K11" s="127" t="str">
        <f>IF(OR(I11&lt;2,P11=""),H11,LEFT(H11,61-SEARCH(" ",P11)))</f>
        <v xml:space="preserve">TEMPO 0620/0702 29012G20KT 4800 -TSRA BKN040CB </v>
      </c>
      <c r="L11" s="394">
        <f t="shared" si="0"/>
        <v>47</v>
      </c>
      <c r="M11" s="394">
        <f>IF(L11&gt;1,COUNT(M7:M10)+1,"")</f>
        <v>3</v>
      </c>
      <c r="N11" s="126" t="str">
        <f>IF(MAX(M7:M29)&lt;5,"",IF(LOOKUP(5,M11:M29,K11:K29)=N10,"",LOOKUP(5,M11:M29,K11:K29)))</f>
        <v xml:space="preserve">BECMG 0713/0714 19006KT 9999 NSW SCT250 QNH2988INS </v>
      </c>
      <c r="O11" s="395">
        <f t="shared" si="5"/>
        <v>51</v>
      </c>
      <c r="P11" s="140" t="str">
        <f t="shared" si="29"/>
        <v/>
      </c>
      <c r="Q11" s="1901"/>
      <c r="R11" s="1901"/>
      <c r="S11" s="1901"/>
      <c r="T11" s="1901" t="str">
        <f>IF(OR(Y11="FM",Y11="",T7=""),"","/")</f>
        <v>/</v>
      </c>
      <c r="U11" s="1901">
        <f>IF(ISNUMBER(FIND("AFWA CONVERTED",Worksheet!AD16)),15,0)</f>
        <v>0</v>
      </c>
      <c r="V11" s="141"/>
      <c r="W11" s="1901">
        <f t="shared" si="55"/>
        <v>0</v>
      </c>
      <c r="X11" s="140" t="str">
        <f>IF(MAX(J7:J29)&lt;5,"",IF(LOOKUP(5,J11:J29,H11:H29)=X10,"",LOOKUP(5,J11:J29,H11:H29)))</f>
        <v>BECMG 0713/0714 19006KT 9999 NSW SCT250 QNH2988INS TX37/0621Z TN24/0711Z</v>
      </c>
      <c r="Y11" s="112" t="str">
        <f t="shared" si="56"/>
        <v>BECMG</v>
      </c>
      <c r="Z11" s="112" t="str">
        <f t="shared" si="57"/>
        <v>PREDOM</v>
      </c>
      <c r="AA11" s="142">
        <f>IF(Y11="","",IF(Y11="FM",MID(X11,3,2)*1,IF(T7="",IF(AB11&lt;AB10,AA10+1,AA10),MID(X11,LEN(Y11)+2,2)*1)))</f>
        <v>7</v>
      </c>
      <c r="AB11" s="143">
        <f t="shared" si="58"/>
        <v>0.58333333333333337</v>
      </c>
      <c r="AC11" s="122">
        <f t="shared" ref="AC11:AC17" si="64">IF(AB11="","",IF(AA11&lt;$AA$7,IF(AND(AA11=1,MONTH(AA11+AB11+$AA$3-0.000001)=MONTH($AC$7)),AA11+AB11+$AA$3-0.000001+1,AA11+AB11+$AA$3-0.000001),AA11+AB11+$AD$3-0.000001))</f>
        <v>44749.583332333335</v>
      </c>
      <c r="AD11" s="142">
        <f t="shared" si="59"/>
        <v>7</v>
      </c>
      <c r="AE11" s="143">
        <f t="shared" si="6"/>
        <v>0.70763888888888893</v>
      </c>
      <c r="AF11" s="122">
        <f t="shared" si="1"/>
        <v>44749.707637888889</v>
      </c>
      <c r="AG11" s="144" t="str">
        <f t="shared" si="30"/>
        <v>14 19006</v>
      </c>
      <c r="AH11" s="1941" t="str">
        <f t="shared" si="60"/>
        <v>190</v>
      </c>
      <c r="AI11" s="1941">
        <f t="shared" si="61"/>
        <v>6</v>
      </c>
      <c r="AJ11" s="1941" t="str">
        <f t="shared" si="31"/>
        <v/>
      </c>
      <c r="AK11" s="145">
        <f t="shared" si="32"/>
        <v>25</v>
      </c>
      <c r="AL11" s="147">
        <f t="shared" si="7"/>
        <v>34</v>
      </c>
      <c r="AM11" s="147" t="str">
        <f t="shared" si="33"/>
        <v>9999 NSW</v>
      </c>
      <c r="AN11" s="146">
        <f t="shared" si="62"/>
        <v>7</v>
      </c>
      <c r="AO11" s="144" t="str">
        <f t="shared" si="34"/>
        <v>NSW</v>
      </c>
      <c r="AP11" s="1941" t="str">
        <f t="shared" si="8"/>
        <v/>
      </c>
      <c r="AQ11" s="145">
        <f t="shared" si="63"/>
        <v>999</v>
      </c>
      <c r="AR11" s="147">
        <f t="shared" si="9"/>
        <v>999</v>
      </c>
      <c r="AS11" s="147">
        <f t="shared" si="10"/>
        <v>999</v>
      </c>
      <c r="AT11" s="147">
        <f t="shared" si="11"/>
        <v>34</v>
      </c>
      <c r="AU11" s="147">
        <f t="shared" si="12"/>
        <v>999</v>
      </c>
      <c r="AV11" s="147">
        <f t="shared" si="13"/>
        <v>999</v>
      </c>
      <c r="AW11" s="148" t="str">
        <f t="shared" si="14"/>
        <v>NONE</v>
      </c>
      <c r="AX11" s="144">
        <f t="shared" si="2"/>
        <v>41</v>
      </c>
      <c r="AY11" s="144" t="str">
        <f t="shared" si="15"/>
        <v>SCT250</v>
      </c>
      <c r="AZ11" s="144" t="str">
        <f t="shared" si="16"/>
        <v>99 NSW</v>
      </c>
      <c r="BA11" s="144" t="str">
        <f t="shared" si="17"/>
        <v>06KT 9</v>
      </c>
      <c r="BB11" s="144" t="str">
        <f t="shared" si="18"/>
        <v>714 19</v>
      </c>
      <c r="BC11" s="144" t="str">
        <f t="shared" si="19"/>
        <v xml:space="preserve"> 0713/</v>
      </c>
      <c r="BD11" s="144" t="str">
        <f t="shared" si="20"/>
        <v/>
      </c>
      <c r="BE11" s="144" t="str">
        <f t="shared" si="21"/>
        <v/>
      </c>
      <c r="BF11" s="115">
        <f t="shared" si="35"/>
        <v>0</v>
      </c>
      <c r="BG11" s="919" t="str">
        <f t="shared" si="36"/>
        <v/>
      </c>
      <c r="BH11" s="920" t="str">
        <f t="shared" si="37"/>
        <v/>
      </c>
      <c r="BI11" s="920" t="str">
        <f t="shared" si="38"/>
        <v/>
      </c>
      <c r="BJ11" s="919" t="str">
        <f t="shared" si="22"/>
        <v/>
      </c>
      <c r="BK11" s="332" t="str">
        <f t="shared" si="39"/>
        <v/>
      </c>
      <c r="BL11" s="332" t="str">
        <f t="shared" si="40"/>
        <v/>
      </c>
      <c r="BM11" s="919" t="str">
        <f t="shared" si="23"/>
        <v/>
      </c>
      <c r="BN11" s="920" t="str">
        <f t="shared" si="41"/>
        <v/>
      </c>
      <c r="BO11" s="922" t="str">
        <f t="shared" si="42"/>
        <v/>
      </c>
      <c r="BP11" s="1941" t="str">
        <f t="shared" si="43"/>
        <v/>
      </c>
      <c r="BQ11" s="115">
        <f t="shared" si="24"/>
        <v>0</v>
      </c>
      <c r="BR11" s="1901">
        <f t="shared" si="44"/>
        <v>0</v>
      </c>
      <c r="BS11" s="919" t="str">
        <f t="shared" si="45"/>
        <v/>
      </c>
      <c r="BT11" s="920" t="str">
        <f t="shared" si="46"/>
        <v/>
      </c>
      <c r="BU11" s="922" t="str">
        <f t="shared" si="47"/>
        <v/>
      </c>
      <c r="BV11" s="1901" t="str">
        <f t="shared" si="25"/>
        <v/>
      </c>
      <c r="BW11" s="920" t="str">
        <f t="shared" si="48"/>
        <v/>
      </c>
      <c r="BX11" s="922" t="str">
        <f t="shared" si="49"/>
        <v/>
      </c>
      <c r="BY11" s="919" t="str">
        <f t="shared" si="50"/>
        <v/>
      </c>
      <c r="BZ11" s="920" t="str">
        <f t="shared" si="51"/>
        <v/>
      </c>
      <c r="CA11" s="922" t="str">
        <f t="shared" si="52"/>
        <v/>
      </c>
      <c r="CB11" s="1939" t="str">
        <f t="shared" si="53"/>
        <v/>
      </c>
      <c r="CC11" s="147">
        <f t="shared" si="26"/>
        <v>999</v>
      </c>
      <c r="CD11" s="1941" t="str">
        <f t="shared" si="27"/>
        <v/>
      </c>
    </row>
    <row r="12" spans="1:82">
      <c r="B12" s="127" t="str">
        <f>IF(U12&gt;0,LEFT(Worksheet!AD17,LEN(Worksheet!AD17)-15),Worksheet!AD17)</f>
        <v xml:space="preserve"> TX37/0621Z TN24/0711Z</v>
      </c>
      <c r="C12" s="394">
        <f t="shared" si="3"/>
        <v>22</v>
      </c>
      <c r="D12" s="395">
        <f t="shared" si="28"/>
        <v>0</v>
      </c>
      <c r="E12" s="395" t="str">
        <f t="shared" si="54"/>
        <v/>
      </c>
      <c r="F12" s="127" t="str">
        <f>IF(AND(E9&lt;&gt;"",C10&gt;1,E10=""),B10,"")</f>
        <v/>
      </c>
      <c r="G12" s="394">
        <f t="shared" si="4"/>
        <v>0</v>
      </c>
      <c r="H12" s="139"/>
      <c r="I12" s="126">
        <f t="shared" ref="I12:I29" si="65">IF(H12="",0,LEN(H12))</f>
        <v>0</v>
      </c>
      <c r="J12" s="126" t="str">
        <f>IF(I12&gt;1,COUNT(J7:J11)+1,"")</f>
        <v/>
      </c>
      <c r="K12" s="127" t="str">
        <f>IF(I11&gt;60,"    "&amp;RIGHT(H11,I11-L11),"")</f>
        <v/>
      </c>
      <c r="L12" s="394">
        <f>IF(LEN(K12)&lt;7,0,LEN(K12))</f>
        <v>0</v>
      </c>
      <c r="M12" s="394" t="str">
        <f>IF(L12&gt;1,COUNT(M7:M11)+1,"")</f>
        <v/>
      </c>
      <c r="N12" s="126" t="str">
        <f>IF(MAX(M7:M29)&lt;6,"",IF(LOOKUP(6,M12:M29,K12:K29)=N11,"",LOOKUP(6,M12:M29,K12:K29)))</f>
        <v xml:space="preserve">    TX37/0621Z TN24/0711Z</v>
      </c>
      <c r="O12" s="395">
        <f t="shared" si="5"/>
        <v>25</v>
      </c>
      <c r="P12" s="140" t="str">
        <f t="shared" si="29"/>
        <v/>
      </c>
      <c r="Q12" s="1901"/>
      <c r="R12" s="1901"/>
      <c r="S12" s="1901"/>
      <c r="T12" s="1901" t="str">
        <f>IF(OR(Y12="FM",Y12="",T7=""),"","/")</f>
        <v/>
      </c>
      <c r="U12" s="1901">
        <f>IF(ISNUMBER(FIND("AFWA CONVERTED",Worksheet!AD17)),15,0)</f>
        <v>0</v>
      </c>
      <c r="V12" s="141"/>
      <c r="W12" s="1901">
        <f t="shared" si="55"/>
        <v>0</v>
      </c>
      <c r="X12" s="140" t="str">
        <f>IF(MAX(J7:J29)&lt;6,"",IF(LOOKUP(6,J12:J29,H12:H29)=X11,"",LOOKUP(6,J12:J29,H12:H29)))</f>
        <v/>
      </c>
      <c r="Y12" s="112" t="str">
        <f t="shared" si="56"/>
        <v/>
      </c>
      <c r="Z12" s="112" t="str">
        <f t="shared" si="57"/>
        <v/>
      </c>
      <c r="AA12" s="142" t="str">
        <f>IF(Y12="","",IF(Y12="FM",MID(X12,3,2)*1,IF(T7="",IF(AB12&lt;AB11,AA11+1,AA11),MID(X12,LEN(Y12)+2,2)*1)))</f>
        <v/>
      </c>
      <c r="AB12" s="143" t="str">
        <f t="shared" si="58"/>
        <v/>
      </c>
      <c r="AC12" s="122" t="str">
        <f t="shared" si="64"/>
        <v/>
      </c>
      <c r="AD12" s="142" t="str">
        <f t="shared" si="59"/>
        <v/>
      </c>
      <c r="AE12" s="143" t="str">
        <f t="shared" si="6"/>
        <v/>
      </c>
      <c r="AF12" s="122" t="str">
        <f t="shared" si="1"/>
        <v/>
      </c>
      <c r="AG12" s="144" t="str">
        <f t="shared" si="30"/>
        <v/>
      </c>
      <c r="AH12" s="1941" t="str">
        <f t="shared" si="60"/>
        <v/>
      </c>
      <c r="AI12" s="1941" t="str">
        <f t="shared" si="61"/>
        <v/>
      </c>
      <c r="AJ12" s="1941" t="str">
        <f t="shared" si="31"/>
        <v/>
      </c>
      <c r="AK12" s="145" t="str">
        <f t="shared" si="32"/>
        <v/>
      </c>
      <c r="AL12" s="147" t="str">
        <f t="shared" si="7"/>
        <v/>
      </c>
      <c r="AM12" s="147" t="str">
        <f t="shared" si="33"/>
        <v/>
      </c>
      <c r="AN12" s="146" t="str">
        <f t="shared" si="62"/>
        <v/>
      </c>
      <c r="AO12" s="144" t="str">
        <f t="shared" si="34"/>
        <v/>
      </c>
      <c r="AP12" s="1941" t="str">
        <f t="shared" si="8"/>
        <v/>
      </c>
      <c r="AQ12" s="145" t="str">
        <f t="shared" si="63"/>
        <v/>
      </c>
      <c r="AR12" s="147" t="str">
        <f t="shared" si="9"/>
        <v/>
      </c>
      <c r="AS12" s="147" t="str">
        <f t="shared" si="10"/>
        <v/>
      </c>
      <c r="AT12" s="147" t="str">
        <f t="shared" si="11"/>
        <v/>
      </c>
      <c r="AU12" s="147" t="str">
        <f t="shared" si="12"/>
        <v/>
      </c>
      <c r="AV12" s="147" t="str">
        <f t="shared" si="13"/>
        <v/>
      </c>
      <c r="AW12" s="148" t="str">
        <f t="shared" si="14"/>
        <v/>
      </c>
      <c r="AX12" s="144" t="str">
        <f t="shared" si="2"/>
        <v/>
      </c>
      <c r="AY12" s="144" t="str">
        <f t="shared" si="15"/>
        <v/>
      </c>
      <c r="AZ12" s="144" t="str">
        <f t="shared" si="16"/>
        <v/>
      </c>
      <c r="BA12" s="144" t="str">
        <f t="shared" si="17"/>
        <v/>
      </c>
      <c r="BB12" s="144" t="str">
        <f t="shared" si="18"/>
        <v/>
      </c>
      <c r="BC12" s="144" t="str">
        <f t="shared" si="19"/>
        <v/>
      </c>
      <c r="BD12" s="144" t="str">
        <f t="shared" si="20"/>
        <v/>
      </c>
      <c r="BE12" s="144" t="str">
        <f t="shared" si="21"/>
        <v/>
      </c>
      <c r="BF12" s="115" t="str">
        <f t="shared" si="35"/>
        <v/>
      </c>
      <c r="BG12" s="919" t="str">
        <f t="shared" si="36"/>
        <v/>
      </c>
      <c r="BH12" s="920" t="str">
        <f t="shared" si="37"/>
        <v/>
      </c>
      <c r="BI12" s="920" t="str">
        <f t="shared" si="38"/>
        <v/>
      </c>
      <c r="BJ12" s="919" t="str">
        <f t="shared" si="22"/>
        <v/>
      </c>
      <c r="BK12" s="332" t="str">
        <f t="shared" si="39"/>
        <v/>
      </c>
      <c r="BL12" s="332" t="str">
        <f t="shared" si="40"/>
        <v/>
      </c>
      <c r="BM12" s="919" t="str">
        <f t="shared" si="23"/>
        <v/>
      </c>
      <c r="BN12" s="920" t="str">
        <f t="shared" si="41"/>
        <v/>
      </c>
      <c r="BO12" s="922" t="str">
        <f t="shared" si="42"/>
        <v/>
      </c>
      <c r="BP12" s="1941" t="str">
        <f t="shared" si="43"/>
        <v/>
      </c>
      <c r="BQ12" s="115" t="str">
        <f t="shared" si="24"/>
        <v/>
      </c>
      <c r="BR12" s="1901" t="str">
        <f t="shared" si="44"/>
        <v/>
      </c>
      <c r="BS12" s="919" t="str">
        <f t="shared" si="45"/>
        <v/>
      </c>
      <c r="BT12" s="920" t="str">
        <f t="shared" si="46"/>
        <v/>
      </c>
      <c r="BU12" s="922" t="str">
        <f t="shared" si="47"/>
        <v/>
      </c>
      <c r="BV12" s="1901" t="str">
        <f t="shared" si="25"/>
        <v/>
      </c>
      <c r="BW12" s="920" t="str">
        <f t="shared" si="48"/>
        <v/>
      </c>
      <c r="BX12" s="922" t="str">
        <f t="shared" si="49"/>
        <v/>
      </c>
      <c r="BY12" s="919" t="str">
        <f t="shared" si="50"/>
        <v/>
      </c>
      <c r="BZ12" s="920" t="str">
        <f t="shared" si="51"/>
        <v/>
      </c>
      <c r="CA12" s="922" t="str">
        <f t="shared" si="52"/>
        <v/>
      </c>
      <c r="CB12" s="1939" t="str">
        <f t="shared" si="53"/>
        <v/>
      </c>
      <c r="CC12" s="147">
        <f t="shared" si="26"/>
        <v>999</v>
      </c>
      <c r="CD12" s="1941" t="str">
        <f t="shared" si="27"/>
        <v/>
      </c>
    </row>
    <row r="13" spans="1:82">
      <c r="B13" s="127">
        <f>IF(U13&gt;0,LEFT(Worksheet!AD18,LEN(Worksheet!AD18)-15),Worksheet!AD18)</f>
        <v>0</v>
      </c>
      <c r="C13" s="394">
        <f t="shared" si="3"/>
        <v>1</v>
      </c>
      <c r="D13" s="395">
        <f t="shared" si="28"/>
        <v>0</v>
      </c>
      <c r="E13" s="395" t="str">
        <f t="shared" si="54"/>
        <v/>
      </c>
      <c r="F13" s="127" t="str">
        <f>IF(E10="","",MID(B10,W7+1,C10-D10))</f>
        <v>BECMG 0707/0708 VRB03KT 4800 BR SCT250 QNH2985INS</v>
      </c>
      <c r="G13" s="394">
        <f t="shared" si="4"/>
        <v>49</v>
      </c>
      <c r="H13" s="139" t="str">
        <f>CONCATENATE(F13," ",TRIM(SUBSTITUTE(F14,CHAR(160),CHAR(32))))</f>
        <v xml:space="preserve">BECMG 0707/0708 VRB03KT 4800 BR SCT250 QNH2985INS </v>
      </c>
      <c r="I13" s="126">
        <f t="shared" si="65"/>
        <v>50</v>
      </c>
      <c r="J13" s="126">
        <f>IF(I13&gt;1,COUNT(J7:J12)+1,"")</f>
        <v>4</v>
      </c>
      <c r="K13" s="127" t="str">
        <f>IF(OR(I13&lt;2,P13=""),H13,LEFT(H13,61-SEARCH(" ",P13)))</f>
        <v xml:space="preserve">BECMG 0707/0708 VRB03KT 4800 BR SCT250 QNH2985INS </v>
      </c>
      <c r="L13" s="394">
        <f t="shared" si="0"/>
        <v>50</v>
      </c>
      <c r="M13" s="394">
        <f>IF(L13&gt;1,COUNT(M7:M12)+1,"")</f>
        <v>4</v>
      </c>
      <c r="N13" s="126" t="str">
        <f>IF(MAX(M7:M29)&lt;7,"",IF(LOOKUP(7,M13:M29,K13:K29)=N12,"",LOOKUP(7,M13:M29,K13:K29)))</f>
        <v/>
      </c>
      <c r="O13" s="395">
        <f t="shared" si="5"/>
        <v>0</v>
      </c>
      <c r="P13" s="140" t="str">
        <f t="shared" si="29"/>
        <v/>
      </c>
      <c r="Q13" s="1901"/>
      <c r="R13" s="1901"/>
      <c r="S13" s="1901"/>
      <c r="T13" s="1901" t="str">
        <f>IF(OR(Y13="FM",Y13="",T7=""),"","/")</f>
        <v/>
      </c>
      <c r="U13" s="1901">
        <f>IF(ISNUMBER(FIND("AFWA CONVERTED",Worksheet!AD18)),15,0)</f>
        <v>0</v>
      </c>
      <c r="V13" s="141"/>
      <c r="W13" s="1901">
        <f t="shared" si="55"/>
        <v>0</v>
      </c>
      <c r="X13" s="140" t="str">
        <f>IF(MAX(J7:J29)&lt;7,"",IF(LOOKUP(7,J13:J29,H13:H29)=X12,"",LOOKUP(7,J13:J29,H13:H29)))</f>
        <v/>
      </c>
      <c r="Y13" s="112" t="str">
        <f t="shared" si="56"/>
        <v/>
      </c>
      <c r="Z13" s="112" t="str">
        <f t="shared" si="57"/>
        <v/>
      </c>
      <c r="AA13" s="142" t="str">
        <f>IF(Y13="","",IF(Y13="FM",MID(X13,3,2)*1,IF(T7="",IF(AB13&lt;AB12,AA12+1,AA12),MID(X13,LEN(Y13)+2,2)*1)))</f>
        <v/>
      </c>
      <c r="AB13" s="143" t="str">
        <f t="shared" si="58"/>
        <v/>
      </c>
      <c r="AC13" s="122" t="str">
        <f t="shared" si="64"/>
        <v/>
      </c>
      <c r="AD13" s="142" t="str">
        <f t="shared" si="59"/>
        <v/>
      </c>
      <c r="AE13" s="143" t="str">
        <f t="shared" si="6"/>
        <v/>
      </c>
      <c r="AF13" s="122" t="str">
        <f t="shared" ref="AF13:AF18" si="66">IF(AE13="","",IF(AD13&lt;$AA$7,IF(AND(AD13=1,MONTH(AD13+AE13+$AA$3-0.000001)=MONTH($AC$7)),AD13+AE13+$AA$3-0.000001+1,AD13+AE13+$AA$3-0.000001),AD13+AE13+$AD$3-0.000001))</f>
        <v/>
      </c>
      <c r="AG13" s="144" t="str">
        <f t="shared" si="30"/>
        <v/>
      </c>
      <c r="AH13" s="1941" t="str">
        <f t="shared" si="60"/>
        <v/>
      </c>
      <c r="AI13" s="1941" t="str">
        <f t="shared" si="61"/>
        <v/>
      </c>
      <c r="AJ13" s="1941" t="str">
        <f t="shared" si="31"/>
        <v/>
      </c>
      <c r="AK13" s="145" t="str">
        <f t="shared" si="32"/>
        <v/>
      </c>
      <c r="AL13" s="147" t="str">
        <f t="shared" si="7"/>
        <v/>
      </c>
      <c r="AM13" s="147" t="str">
        <f t="shared" si="33"/>
        <v/>
      </c>
      <c r="AN13" s="146" t="str">
        <f t="shared" si="62"/>
        <v/>
      </c>
      <c r="AO13" s="144" t="str">
        <f t="shared" si="34"/>
        <v/>
      </c>
      <c r="AP13" s="1941" t="str">
        <f t="shared" si="8"/>
        <v/>
      </c>
      <c r="AQ13" s="145" t="str">
        <f t="shared" si="63"/>
        <v/>
      </c>
      <c r="AR13" s="147" t="str">
        <f t="shared" si="9"/>
        <v/>
      </c>
      <c r="AS13" s="147" t="str">
        <f t="shared" si="10"/>
        <v/>
      </c>
      <c r="AT13" s="147" t="str">
        <f t="shared" si="11"/>
        <v/>
      </c>
      <c r="AU13" s="147" t="str">
        <f t="shared" si="12"/>
        <v/>
      </c>
      <c r="AV13" s="147" t="str">
        <f t="shared" si="13"/>
        <v/>
      </c>
      <c r="AW13" s="148" t="str">
        <f t="shared" si="14"/>
        <v/>
      </c>
      <c r="AX13" s="144" t="str">
        <f t="shared" si="2"/>
        <v/>
      </c>
      <c r="AY13" s="144" t="str">
        <f t="shared" si="15"/>
        <v/>
      </c>
      <c r="AZ13" s="144" t="str">
        <f t="shared" si="16"/>
        <v/>
      </c>
      <c r="BA13" s="144" t="str">
        <f t="shared" si="17"/>
        <v/>
      </c>
      <c r="BB13" s="144" t="str">
        <f t="shared" si="18"/>
        <v/>
      </c>
      <c r="BC13" s="144" t="str">
        <f t="shared" si="19"/>
        <v/>
      </c>
      <c r="BD13" s="144" t="str">
        <f t="shared" si="20"/>
        <v/>
      </c>
      <c r="BE13" s="144" t="str">
        <f t="shared" si="21"/>
        <v/>
      </c>
      <c r="BF13" s="115" t="str">
        <f t="shared" si="35"/>
        <v/>
      </c>
      <c r="BG13" s="919" t="str">
        <f t="shared" si="36"/>
        <v/>
      </c>
      <c r="BH13" s="920" t="str">
        <f t="shared" si="37"/>
        <v/>
      </c>
      <c r="BI13" s="920" t="str">
        <f t="shared" si="38"/>
        <v/>
      </c>
      <c r="BJ13" s="919" t="str">
        <f t="shared" si="22"/>
        <v/>
      </c>
      <c r="BK13" s="332" t="str">
        <f t="shared" si="39"/>
        <v/>
      </c>
      <c r="BL13" s="332" t="str">
        <f t="shared" si="40"/>
        <v/>
      </c>
      <c r="BM13" s="919" t="str">
        <f t="shared" si="23"/>
        <v/>
      </c>
      <c r="BN13" s="920" t="str">
        <f t="shared" si="41"/>
        <v/>
      </c>
      <c r="BO13" s="922" t="str">
        <f t="shared" si="42"/>
        <v/>
      </c>
      <c r="BP13" s="1941" t="str">
        <f t="shared" si="43"/>
        <v/>
      </c>
      <c r="BQ13" s="115" t="str">
        <f t="shared" si="24"/>
        <v/>
      </c>
      <c r="BR13" s="1901" t="str">
        <f t="shared" si="44"/>
        <v/>
      </c>
      <c r="BS13" s="919" t="str">
        <f t="shared" si="45"/>
        <v/>
      </c>
      <c r="BT13" s="920" t="str">
        <f t="shared" si="46"/>
        <v/>
      </c>
      <c r="BU13" s="922" t="str">
        <f t="shared" si="47"/>
        <v/>
      </c>
      <c r="BV13" s="1901" t="str">
        <f t="shared" si="25"/>
        <v/>
      </c>
      <c r="BW13" s="920" t="str">
        <f t="shared" si="48"/>
        <v/>
      </c>
      <c r="BX13" s="922" t="str">
        <f t="shared" si="49"/>
        <v/>
      </c>
      <c r="BY13" s="919" t="str">
        <f t="shared" si="50"/>
        <v/>
      </c>
      <c r="BZ13" s="920" t="str">
        <f t="shared" si="51"/>
        <v/>
      </c>
      <c r="CA13" s="922" t="str">
        <f t="shared" si="52"/>
        <v/>
      </c>
      <c r="CB13" s="1939" t="str">
        <f t="shared" si="53"/>
        <v/>
      </c>
      <c r="CC13" s="147">
        <f t="shared" si="26"/>
        <v>999</v>
      </c>
      <c r="CD13" s="1941" t="str">
        <f t="shared" si="27"/>
        <v/>
      </c>
    </row>
    <row r="14" spans="1:82">
      <c r="B14" s="127">
        <f>IF(U14&gt;0,LEFT(Worksheet!AD19,LEN(Worksheet!AD19)-15),Worksheet!AD19)</f>
        <v>0</v>
      </c>
      <c r="C14" s="394">
        <f t="shared" si="3"/>
        <v>1</v>
      </c>
      <c r="D14" s="395">
        <f t="shared" si="28"/>
        <v>0</v>
      </c>
      <c r="E14" s="395" t="str">
        <f t="shared" si="54"/>
        <v/>
      </c>
      <c r="F14" s="127" t="str">
        <f>IF(AND(E10&lt;&gt;"",C11&gt;1,E11=""),B11,"")</f>
        <v/>
      </c>
      <c r="G14" s="394">
        <f t="shared" si="4"/>
        <v>0</v>
      </c>
      <c r="H14" s="139"/>
      <c r="I14" s="126">
        <f t="shared" si="65"/>
        <v>0</v>
      </c>
      <c r="J14" s="126" t="str">
        <f>IF(I14&gt;1,COUNT(J7:J13)+1,"")</f>
        <v/>
      </c>
      <c r="K14" s="127" t="str">
        <f>IF(I13&gt;60,"    "&amp;RIGHT(H13,I13-L13),"")</f>
        <v/>
      </c>
      <c r="L14" s="394">
        <f>IF(LEN(K14)&lt;7,0,LEN(K14))</f>
        <v>0</v>
      </c>
      <c r="M14" s="394" t="str">
        <f>IF(L14&gt;1,COUNT(M7:M13)+1,"")</f>
        <v/>
      </c>
      <c r="N14" s="126" t="str">
        <f>IF(MAX(M7:M29)&lt;8,"",IF(LOOKUP(8,M14:M29,K14:K29)=N13,"",LOOKUP(8,M14:M29,K14:K29)))</f>
        <v/>
      </c>
      <c r="O14" s="395">
        <f t="shared" si="5"/>
        <v>0</v>
      </c>
      <c r="P14" s="140" t="str">
        <f t="shared" si="29"/>
        <v/>
      </c>
      <c r="Q14" s="1901"/>
      <c r="R14" s="1901"/>
      <c r="S14" s="1901"/>
      <c r="T14" s="1901" t="str">
        <f>IF(OR(Y14="FM",Y14="",T7=""),"","/")</f>
        <v/>
      </c>
      <c r="U14" s="1901">
        <f>IF(ISNUMBER(FIND("AFWA CONVERTED",Worksheet!AD19)),15,0)</f>
        <v>0</v>
      </c>
      <c r="V14" s="141"/>
      <c r="W14" s="1901">
        <f t="shared" si="55"/>
        <v>0</v>
      </c>
      <c r="X14" s="140" t="str">
        <f>IF(MAX(J7:J29)&lt;8,"",IF(LOOKUP(8,J14:J29,H14:H29)=X13,"",LOOKUP(8,J14:J29,H14:H29)))</f>
        <v/>
      </c>
      <c r="Y14" s="112" t="str">
        <f t="shared" si="56"/>
        <v/>
      </c>
      <c r="Z14" s="112" t="str">
        <f t="shared" si="57"/>
        <v/>
      </c>
      <c r="AA14" s="142" t="str">
        <f>IF(Y14="","",IF(Y14="FM",MID(X14,3,2)*1,IF(T7="",IF(AB14&lt;AB13,AA13+1,AA13),MID(X14,LEN(Y14)+2,2)*1)))</f>
        <v/>
      </c>
      <c r="AB14" s="143" t="str">
        <f t="shared" si="58"/>
        <v/>
      </c>
      <c r="AC14" s="122" t="str">
        <f t="shared" si="64"/>
        <v/>
      </c>
      <c r="AD14" s="142" t="str">
        <f t="shared" si="59"/>
        <v/>
      </c>
      <c r="AE14" s="143" t="str">
        <f t="shared" si="6"/>
        <v/>
      </c>
      <c r="AF14" s="122" t="str">
        <f t="shared" si="66"/>
        <v/>
      </c>
      <c r="AG14" s="144" t="str">
        <f t="shared" si="30"/>
        <v/>
      </c>
      <c r="AH14" s="1941" t="str">
        <f>IF(OR(ISNUMBER(FIND("/",AG14)),AG14=""),"",IF(MID(AG14,3,1)=" ",MID(AG14,4,3),LEFT(AG14,3)))</f>
        <v/>
      </c>
      <c r="AI14" s="1941" t="str">
        <f t="shared" si="61"/>
        <v/>
      </c>
      <c r="AJ14" s="1941" t="str">
        <f t="shared" si="31"/>
        <v/>
      </c>
      <c r="AK14" s="145" t="str">
        <f t="shared" si="32"/>
        <v/>
      </c>
      <c r="AL14" s="147" t="str">
        <f t="shared" si="7"/>
        <v/>
      </c>
      <c r="AM14" s="147" t="str">
        <f t="shared" si="33"/>
        <v/>
      </c>
      <c r="AN14" s="146" t="str">
        <f t="shared" si="62"/>
        <v/>
      </c>
      <c r="AO14" s="144" t="str">
        <f t="shared" si="34"/>
        <v/>
      </c>
      <c r="AP14" s="1941" t="str">
        <f t="shared" si="8"/>
        <v/>
      </c>
      <c r="AQ14" s="145" t="str">
        <f t="shared" si="63"/>
        <v/>
      </c>
      <c r="AR14" s="147" t="str">
        <f t="shared" si="9"/>
        <v/>
      </c>
      <c r="AS14" s="147" t="str">
        <f t="shared" si="10"/>
        <v/>
      </c>
      <c r="AT14" s="147" t="str">
        <f t="shared" si="11"/>
        <v/>
      </c>
      <c r="AU14" s="147" t="str">
        <f t="shared" si="12"/>
        <v/>
      </c>
      <c r="AV14" s="147" t="str">
        <f t="shared" si="13"/>
        <v/>
      </c>
      <c r="AW14" s="148" t="str">
        <f t="shared" si="14"/>
        <v/>
      </c>
      <c r="AX14" s="144" t="str">
        <f t="shared" si="2"/>
        <v/>
      </c>
      <c r="AY14" s="144" t="str">
        <f t="shared" si="15"/>
        <v/>
      </c>
      <c r="AZ14" s="144" t="str">
        <f t="shared" si="16"/>
        <v/>
      </c>
      <c r="BA14" s="144" t="str">
        <f t="shared" si="17"/>
        <v/>
      </c>
      <c r="BB14" s="144" t="str">
        <f t="shared" si="18"/>
        <v/>
      </c>
      <c r="BC14" s="144" t="str">
        <f t="shared" si="19"/>
        <v/>
      </c>
      <c r="BD14" s="144" t="str">
        <f t="shared" si="20"/>
        <v/>
      </c>
      <c r="BE14" s="144" t="str">
        <f t="shared" si="21"/>
        <v/>
      </c>
      <c r="BF14" s="115" t="str">
        <f t="shared" si="35"/>
        <v/>
      </c>
      <c r="BG14" s="919" t="str">
        <f t="shared" si="36"/>
        <v/>
      </c>
      <c r="BH14" s="920" t="str">
        <f t="shared" si="37"/>
        <v/>
      </c>
      <c r="BI14" s="920" t="str">
        <f t="shared" si="38"/>
        <v/>
      </c>
      <c r="BJ14" s="919" t="str">
        <f t="shared" si="22"/>
        <v/>
      </c>
      <c r="BK14" s="332" t="str">
        <f t="shared" si="39"/>
        <v/>
      </c>
      <c r="BL14" s="332" t="str">
        <f t="shared" si="40"/>
        <v/>
      </c>
      <c r="BM14" s="919" t="str">
        <f t="shared" si="23"/>
        <v/>
      </c>
      <c r="BN14" s="920" t="str">
        <f t="shared" si="41"/>
        <v/>
      </c>
      <c r="BO14" s="922" t="str">
        <f t="shared" si="42"/>
        <v/>
      </c>
      <c r="BP14" s="1941" t="str">
        <f t="shared" si="43"/>
        <v/>
      </c>
      <c r="BQ14" s="115" t="str">
        <f t="shared" si="24"/>
        <v/>
      </c>
      <c r="BR14" s="1901" t="str">
        <f t="shared" si="44"/>
        <v/>
      </c>
      <c r="BS14" s="919" t="str">
        <f t="shared" si="45"/>
        <v/>
      </c>
      <c r="BT14" s="920" t="str">
        <f t="shared" si="46"/>
        <v/>
      </c>
      <c r="BU14" s="922" t="str">
        <f t="shared" si="47"/>
        <v/>
      </c>
      <c r="BV14" s="1901" t="str">
        <f t="shared" si="25"/>
        <v/>
      </c>
      <c r="BW14" s="920" t="str">
        <f t="shared" si="48"/>
        <v/>
      </c>
      <c r="BX14" s="922" t="str">
        <f t="shared" si="49"/>
        <v/>
      </c>
      <c r="BY14" s="919" t="str">
        <f t="shared" si="50"/>
        <v/>
      </c>
      <c r="BZ14" s="920" t="str">
        <f t="shared" si="51"/>
        <v/>
      </c>
      <c r="CA14" s="922" t="str">
        <f t="shared" si="52"/>
        <v/>
      </c>
      <c r="CB14" s="1939" t="str">
        <f t="shared" si="53"/>
        <v/>
      </c>
      <c r="CC14" s="147">
        <f t="shared" si="26"/>
        <v>999</v>
      </c>
      <c r="CD14" s="1941" t="str">
        <f t="shared" si="27"/>
        <v/>
      </c>
    </row>
    <row r="15" spans="1:82">
      <c r="B15" s="127">
        <f>IF(U15&gt;0,LEFT(Worksheet!AD20,LEN(Worksheet!AD20)-15),Worksheet!AD20)</f>
        <v>0</v>
      </c>
      <c r="C15" s="394">
        <f t="shared" si="3"/>
        <v>1</v>
      </c>
      <c r="D15" s="395">
        <f t="shared" si="28"/>
        <v>0</v>
      </c>
      <c r="E15" s="395" t="str">
        <f t="shared" si="54"/>
        <v/>
      </c>
      <c r="F15" s="127" t="str">
        <f>IF(E11="","",MID(B11,W7+1,C11-D11))</f>
        <v>BECMG 0713/0714 19006KT 9999 NSW SCT250 QNH2988INS</v>
      </c>
      <c r="G15" s="394">
        <f t="shared" si="4"/>
        <v>50</v>
      </c>
      <c r="H15" s="139" t="str">
        <f>CONCATENATE(F15," ",TRIM(SUBSTITUTE(F16,CHAR(160),CHAR(32))))</f>
        <v>BECMG 0713/0714 19006KT 9999 NSW SCT250 QNH2988INS TX37/0621Z TN24/0711Z</v>
      </c>
      <c r="I15" s="126">
        <f t="shared" si="65"/>
        <v>72</v>
      </c>
      <c r="J15" s="126">
        <f>IF(I15&gt;1,COUNT(J7:J14)+1,"")</f>
        <v>5</v>
      </c>
      <c r="K15" s="127" t="str">
        <f>IF(OR(I15&lt;2,P15=""),H15,LEFT(H15,61-SEARCH(" ",P15)))</f>
        <v xml:space="preserve">BECMG 0713/0714 19006KT 9999 NSW SCT250 QNH2988INS </v>
      </c>
      <c r="L15" s="394">
        <f>LEN(K15)</f>
        <v>51</v>
      </c>
      <c r="M15" s="394">
        <f>IF(L15&gt;1,COUNT(M7:M14)+1,"")</f>
        <v>5</v>
      </c>
      <c r="N15" s="126" t="str">
        <f>IF(MAX(M7:M29)&lt;9,"",IF(LOOKUP(9,M15:M29,K15:K29)=N14,"",LOOKUP(9,M15:M29,K15:K29)))</f>
        <v/>
      </c>
      <c r="O15" s="395">
        <f t="shared" si="5"/>
        <v>0</v>
      </c>
      <c r="P15" s="140" t="str">
        <f t="shared" si="29"/>
        <v>1260/73XT SNI8892H</v>
      </c>
      <c r="Q15" s="1901"/>
      <c r="R15" s="1901"/>
      <c r="S15" s="1901"/>
      <c r="T15" s="1901" t="str">
        <f>IF(OR(Y15="FM",Y15="",T7=""),"","/")</f>
        <v/>
      </c>
      <c r="U15" s="1901">
        <f>IF(ISNUMBER(FIND("AFWA CONVERTED",Worksheet!AD20)),15,0)</f>
        <v>0</v>
      </c>
      <c r="V15" s="141"/>
      <c r="W15" s="1901">
        <f t="shared" si="55"/>
        <v>0</v>
      </c>
      <c r="X15" s="140" t="str">
        <f>IF(MAX(J7:J29)&lt;9,"",IF(LOOKUP(9,J15:J29,H15:H29)=X14,"",LOOKUP(9,J15:J29,H15:H29)))</f>
        <v/>
      </c>
      <c r="Y15" s="112" t="str">
        <f t="shared" si="56"/>
        <v/>
      </c>
      <c r="Z15" s="112" t="str">
        <f t="shared" si="57"/>
        <v/>
      </c>
      <c r="AA15" s="142" t="str">
        <f>IF(Y15="","",IF(Y15="FM",MID(X15,3,2)*1,IF(T7="",IF(AB15&lt;AB14,AA14+1,AA14),MID(X15,LEN(Y15)+2,2)*1)))</f>
        <v/>
      </c>
      <c r="AB15" s="143" t="str">
        <f t="shared" si="58"/>
        <v/>
      </c>
      <c r="AC15" s="122" t="str">
        <f t="shared" si="64"/>
        <v/>
      </c>
      <c r="AD15" s="142" t="str">
        <f t="shared" si="59"/>
        <v/>
      </c>
      <c r="AE15" s="143" t="str">
        <f t="shared" si="6"/>
        <v/>
      </c>
      <c r="AF15" s="122" t="str">
        <f t="shared" si="66"/>
        <v/>
      </c>
      <c r="AG15" s="144" t="str">
        <f t="shared" si="30"/>
        <v/>
      </c>
      <c r="AH15" s="1941" t="str">
        <f t="shared" si="60"/>
        <v/>
      </c>
      <c r="AI15" s="1941" t="str">
        <f t="shared" si="61"/>
        <v/>
      </c>
      <c r="AJ15" s="1941" t="str">
        <f t="shared" si="31"/>
        <v/>
      </c>
      <c r="AK15" s="145" t="str">
        <f t="shared" si="32"/>
        <v/>
      </c>
      <c r="AL15" s="147" t="str">
        <f t="shared" si="7"/>
        <v/>
      </c>
      <c r="AM15" s="147" t="str">
        <f t="shared" si="33"/>
        <v/>
      </c>
      <c r="AN15" s="146" t="str">
        <f t="shared" si="62"/>
        <v/>
      </c>
      <c r="AO15" s="144" t="str">
        <f t="shared" si="34"/>
        <v/>
      </c>
      <c r="AP15" s="1941" t="str">
        <f t="shared" si="8"/>
        <v/>
      </c>
      <c r="AQ15" s="145" t="str">
        <f t="shared" si="63"/>
        <v/>
      </c>
      <c r="AR15" s="147" t="str">
        <f t="shared" si="9"/>
        <v/>
      </c>
      <c r="AS15" s="147" t="str">
        <f t="shared" si="10"/>
        <v/>
      </c>
      <c r="AT15" s="147" t="str">
        <f t="shared" si="11"/>
        <v/>
      </c>
      <c r="AU15" s="147" t="str">
        <f t="shared" si="12"/>
        <v/>
      </c>
      <c r="AV15" s="147" t="str">
        <f t="shared" si="13"/>
        <v/>
      </c>
      <c r="AW15" s="148" t="str">
        <f t="shared" si="14"/>
        <v/>
      </c>
      <c r="AX15" s="144" t="str">
        <f t="shared" si="2"/>
        <v/>
      </c>
      <c r="AY15" s="144" t="str">
        <f t="shared" si="15"/>
        <v/>
      </c>
      <c r="AZ15" s="144" t="str">
        <f t="shared" si="16"/>
        <v/>
      </c>
      <c r="BA15" s="144" t="str">
        <f t="shared" si="17"/>
        <v/>
      </c>
      <c r="BB15" s="144" t="str">
        <f t="shared" si="18"/>
        <v/>
      </c>
      <c r="BC15" s="144" t="str">
        <f t="shared" si="19"/>
        <v/>
      </c>
      <c r="BD15" s="144" t="str">
        <f t="shared" si="20"/>
        <v/>
      </c>
      <c r="BE15" s="144" t="str">
        <f t="shared" si="21"/>
        <v/>
      </c>
      <c r="BF15" s="115" t="str">
        <f t="shared" si="35"/>
        <v/>
      </c>
      <c r="BG15" s="919" t="str">
        <f t="shared" si="36"/>
        <v/>
      </c>
      <c r="BH15" s="920" t="str">
        <f t="shared" si="37"/>
        <v/>
      </c>
      <c r="BI15" s="920" t="str">
        <f t="shared" si="38"/>
        <v/>
      </c>
      <c r="BJ15" s="919" t="str">
        <f t="shared" si="22"/>
        <v/>
      </c>
      <c r="BK15" s="332" t="str">
        <f t="shared" si="39"/>
        <v/>
      </c>
      <c r="BL15" s="332" t="str">
        <f t="shared" si="40"/>
        <v/>
      </c>
      <c r="BM15" s="919" t="str">
        <f t="shared" si="23"/>
        <v/>
      </c>
      <c r="BN15" s="920" t="str">
        <f t="shared" si="41"/>
        <v/>
      </c>
      <c r="BO15" s="922" t="str">
        <f t="shared" si="42"/>
        <v/>
      </c>
      <c r="BP15" s="1941" t="str">
        <f t="shared" si="43"/>
        <v/>
      </c>
      <c r="BQ15" s="115" t="str">
        <f t="shared" si="24"/>
        <v/>
      </c>
      <c r="BR15" s="1901" t="str">
        <f t="shared" si="44"/>
        <v/>
      </c>
      <c r="BS15" s="919" t="str">
        <f t="shared" si="45"/>
        <v/>
      </c>
      <c r="BT15" s="920" t="str">
        <f t="shared" si="46"/>
        <v/>
      </c>
      <c r="BU15" s="922" t="str">
        <f t="shared" si="47"/>
        <v/>
      </c>
      <c r="BV15" s="1901" t="str">
        <f t="shared" si="25"/>
        <v/>
      </c>
      <c r="BW15" s="920" t="str">
        <f t="shared" si="48"/>
        <v/>
      </c>
      <c r="BX15" s="922" t="str">
        <f t="shared" si="49"/>
        <v/>
      </c>
      <c r="BY15" s="919" t="str">
        <f t="shared" si="50"/>
        <v/>
      </c>
      <c r="BZ15" s="920" t="str">
        <f t="shared" si="51"/>
        <v/>
      </c>
      <c r="CA15" s="922" t="str">
        <f t="shared" si="52"/>
        <v/>
      </c>
      <c r="CB15" s="1939" t="str">
        <f t="shared" si="53"/>
        <v/>
      </c>
      <c r="CC15" s="147">
        <f t="shared" si="26"/>
        <v>999</v>
      </c>
      <c r="CD15" s="1941" t="str">
        <f t="shared" si="27"/>
        <v/>
      </c>
    </row>
    <row r="16" spans="1:82">
      <c r="B16" s="127">
        <f>IF(U16&gt;0,LEFT(Worksheet!AD21,LEN(Worksheet!AD21)-15),Worksheet!AD21)</f>
        <v>0</v>
      </c>
      <c r="C16" s="394">
        <f t="shared" si="3"/>
        <v>1</v>
      </c>
      <c r="D16" s="395">
        <f t="shared" si="28"/>
        <v>0</v>
      </c>
      <c r="E16" s="395" t="str">
        <f t="shared" si="54"/>
        <v/>
      </c>
      <c r="F16" s="127" t="str">
        <f>IF(AND(E11&lt;&gt;"",C12&gt;1,E12=""),B12,"")</f>
        <v xml:space="preserve"> TX37/0621Z TN24/0711Z</v>
      </c>
      <c r="G16" s="394">
        <f t="shared" si="4"/>
        <v>22</v>
      </c>
      <c r="H16" s="139"/>
      <c r="I16" s="126">
        <f t="shared" si="65"/>
        <v>0</v>
      </c>
      <c r="J16" s="126" t="str">
        <f>IF(I16&gt;1,COUNT(J7:J15)+1,"")</f>
        <v/>
      </c>
      <c r="K16" s="127" t="str">
        <f>IF(I15&gt;60,"    "&amp;RIGHT(H15,I15-L15),"")</f>
        <v xml:space="preserve">    TX37/0621Z TN24/0711Z</v>
      </c>
      <c r="L16" s="394">
        <f>IF(LEN(K16)&lt;7,0,LEN(K16))</f>
        <v>25</v>
      </c>
      <c r="M16" s="394">
        <f>IF(L16&gt;1,COUNT(M7:M15)+1,"")</f>
        <v>6</v>
      </c>
      <c r="N16" s="126" t="str">
        <f>IF(MAX(M7:M29)&lt;10,"",IF(LOOKUP(10,M16:M29,K16:K29)=N15,"",LOOKUP(10,M16:M29,K16:K29)))</f>
        <v/>
      </c>
      <c r="O16" s="395">
        <f t="shared" si="5"/>
        <v>0</v>
      </c>
      <c r="P16" s="140" t="str">
        <f t="shared" si="29"/>
        <v/>
      </c>
      <c r="Q16" s="1901"/>
      <c r="R16" s="1901"/>
      <c r="S16" s="1901"/>
      <c r="T16" s="1901" t="str">
        <f>IF(OR(Y16="FM",Y16="",T7=""),"","/")</f>
        <v/>
      </c>
      <c r="U16" s="1901">
        <f>IF(ISNUMBER(FIND("AFWA CONVERTED",Worksheet!AD21)),15,0)</f>
        <v>0</v>
      </c>
      <c r="V16" s="141"/>
      <c r="W16" s="1901">
        <f t="shared" si="55"/>
        <v>0</v>
      </c>
      <c r="X16" s="140" t="str">
        <f>IF(MAX(J7:J29)&lt;10,"",IF(LOOKUP(10,J16:J29,H16:H29)=X15,"",LOOKUP(10,J16:J29,H16:H29)))</f>
        <v/>
      </c>
      <c r="Y16" s="112" t="str">
        <f t="shared" si="56"/>
        <v/>
      </c>
      <c r="Z16" s="112" t="str">
        <f t="shared" si="57"/>
        <v/>
      </c>
      <c r="AA16" s="142" t="str">
        <f>IF(Y16="","",IF(Y16="FM",MID(X16,3,2)*1,IF(T7="",IF(AB16&lt;AB15,AA15+1,AA15),MID(X16,LEN(Y16)+2,2)*1)))</f>
        <v/>
      </c>
      <c r="AB16" s="143" t="str">
        <f t="shared" si="58"/>
        <v/>
      </c>
      <c r="AC16" s="122" t="str">
        <f t="shared" si="64"/>
        <v/>
      </c>
      <c r="AD16" s="142" t="str">
        <f>IF(AA16="","",IF(Z16="TEMPO",IF($T$7="",IF(AE16&lt;AB16,AA16+1,AA16),MID(X16,LEN(Y16)+7,2)*1),IF(Z17="PREDOM",AA17,IF(Z18="PREDOM",AA18,IF($T$7="",$AA$7+1,MID($B$7,6,2)*1)))))</f>
        <v/>
      </c>
      <c r="AE16" s="143" t="str">
        <f>IF(Y16="","",IF(Z16="TEMPO",IF($T$7="",MID(X16,LEN(Y16)+4,2)*1/24,MID(X16,LEN(Y16)+9,2)*1/24),IF(Z17="PREDOM",AB17,IF(Z18="PREDOM",AB18,IF($T$7="",MID($B$7,5,2)*1/24,MID($B$7,8,2)*1/24))))-(1/1440))</f>
        <v/>
      </c>
      <c r="AF16" s="122" t="str">
        <f t="shared" si="66"/>
        <v/>
      </c>
      <c r="AG16" s="144" t="str">
        <f t="shared" si="30"/>
        <v/>
      </c>
      <c r="AH16" s="1941" t="str">
        <f t="shared" si="60"/>
        <v/>
      </c>
      <c r="AI16" s="1941" t="str">
        <f t="shared" si="61"/>
        <v/>
      </c>
      <c r="AJ16" s="1941" t="str">
        <f t="shared" si="31"/>
        <v/>
      </c>
      <c r="AK16" s="145" t="str">
        <f t="shared" si="32"/>
        <v/>
      </c>
      <c r="AL16" s="147" t="str">
        <f t="shared" si="7"/>
        <v/>
      </c>
      <c r="AM16" s="147" t="str">
        <f t="shared" si="33"/>
        <v/>
      </c>
      <c r="AN16" s="146" t="str">
        <f t="shared" si="62"/>
        <v/>
      </c>
      <c r="AO16" s="144" t="str">
        <f t="shared" si="34"/>
        <v/>
      </c>
      <c r="AP16" s="1941" t="str">
        <f t="shared" si="8"/>
        <v/>
      </c>
      <c r="AQ16" s="145" t="str">
        <f t="shared" si="63"/>
        <v/>
      </c>
      <c r="AR16" s="147" t="str">
        <f t="shared" si="9"/>
        <v/>
      </c>
      <c r="AS16" s="147" t="str">
        <f t="shared" si="10"/>
        <v/>
      </c>
      <c r="AT16" s="147" t="str">
        <f t="shared" si="11"/>
        <v/>
      </c>
      <c r="AU16" s="147" t="str">
        <f t="shared" si="12"/>
        <v/>
      </c>
      <c r="AV16" s="147" t="str">
        <f t="shared" si="13"/>
        <v/>
      </c>
      <c r="AW16" s="148" t="str">
        <f t="shared" si="14"/>
        <v/>
      </c>
      <c r="AX16" s="144" t="str">
        <f t="shared" si="2"/>
        <v/>
      </c>
      <c r="AY16" s="144" t="str">
        <f t="shared" si="15"/>
        <v/>
      </c>
      <c r="AZ16" s="144" t="str">
        <f t="shared" si="16"/>
        <v/>
      </c>
      <c r="BA16" s="144" t="str">
        <f t="shared" si="17"/>
        <v/>
      </c>
      <c r="BB16" s="144" t="str">
        <f t="shared" si="18"/>
        <v/>
      </c>
      <c r="BC16" s="144" t="str">
        <f t="shared" si="19"/>
        <v/>
      </c>
      <c r="BD16" s="144" t="str">
        <f t="shared" si="20"/>
        <v/>
      </c>
      <c r="BE16" s="144" t="str">
        <f t="shared" si="21"/>
        <v/>
      </c>
      <c r="BF16" s="115" t="str">
        <f t="shared" si="35"/>
        <v/>
      </c>
      <c r="BG16" s="919" t="str">
        <f t="shared" si="36"/>
        <v/>
      </c>
      <c r="BH16" s="920" t="str">
        <f t="shared" si="37"/>
        <v/>
      </c>
      <c r="BI16" s="920" t="str">
        <f t="shared" si="38"/>
        <v/>
      </c>
      <c r="BJ16" s="919" t="str">
        <f t="shared" si="22"/>
        <v/>
      </c>
      <c r="BK16" s="332" t="str">
        <f t="shared" si="39"/>
        <v/>
      </c>
      <c r="BL16" s="332" t="str">
        <f t="shared" si="40"/>
        <v/>
      </c>
      <c r="BM16" s="919" t="str">
        <f t="shared" si="23"/>
        <v/>
      </c>
      <c r="BN16" s="920" t="str">
        <f t="shared" si="41"/>
        <v/>
      </c>
      <c r="BO16" s="922" t="str">
        <f t="shared" si="42"/>
        <v/>
      </c>
      <c r="BP16" s="1941" t="str">
        <f t="shared" si="43"/>
        <v/>
      </c>
      <c r="BQ16" s="115" t="str">
        <f t="shared" si="24"/>
        <v/>
      </c>
      <c r="BR16" s="1901" t="str">
        <f>IF(OR(BQ16="",Z16=""),"",IF(BQ16=0,0,IF(OR(AND(BQ16=1,ISERROR(FIND(" ",AZ16)),LEFT(AZ16)="6",ISERROR(FIND(" ",BA16)),LEFT(BA16)="6"),AND(BQ16=2,ISERROR(FIND(" ",BA16)),LEFT(BA16)="6",ISERROR(FIND(" ",BB16)),LEFT(BB16)="6"),AND(BQ16=3,ISERROR(FIND(" ",BB16)),LEFT(BB16)="6",ISERROR(FIND(" ",BC16)),LEFT(BC16)="6"),AND(BQ16=4,ISERROR(FIND(" ",BC16)),LEFT(BC16)="6",ISERROR(FIND(" ",BD16)),LEFT(BD16)="6")),3,IF(OR(AND(BQ16=1,ISERROR(FIND(" ",AZ16,)),LEFT(AZ16)="6"),AND(BQ16=2,ISERROR(FIND(" ",BA16)),LEFT(BA16)="6"),AND(BQ16=3,ISERROR(FIND(" ",BB16)),LEFT(BB16)="6"),AND(BQ16=4,ISERROR(FIND(" ",BC16)),LEFT(BC16)="6")),2,1))))</f>
        <v/>
      </c>
      <c r="BS16" s="919" t="str">
        <f t="shared" si="45"/>
        <v/>
      </c>
      <c r="BT16" s="920" t="str">
        <f t="shared" si="46"/>
        <v/>
      </c>
      <c r="BU16" s="922" t="str">
        <f t="shared" si="47"/>
        <v/>
      </c>
      <c r="BV16" s="1901" t="str">
        <f t="shared" si="25"/>
        <v/>
      </c>
      <c r="BW16" s="920" t="str">
        <f t="shared" si="48"/>
        <v/>
      </c>
      <c r="BX16" s="922" t="str">
        <f t="shared" si="49"/>
        <v/>
      </c>
      <c r="BY16" s="919" t="str">
        <f t="shared" si="50"/>
        <v/>
      </c>
      <c r="BZ16" s="920" t="str">
        <f t="shared" si="51"/>
        <v/>
      </c>
      <c r="CA16" s="922" t="str">
        <f t="shared" si="52"/>
        <v/>
      </c>
      <c r="CB16" s="1939" t="str">
        <f t="shared" si="53"/>
        <v/>
      </c>
      <c r="CC16" s="147">
        <f t="shared" si="26"/>
        <v>999</v>
      </c>
      <c r="CD16" s="1941" t="str">
        <f t="shared" si="27"/>
        <v/>
      </c>
    </row>
    <row r="17" spans="1:82">
      <c r="B17" s="127">
        <f>IF(U17&gt;0,LEFT(Worksheet!AD22,LEN(Worksheet!AD22)-15),Worksheet!AD22)</f>
        <v>0</v>
      </c>
      <c r="C17" s="394">
        <f t="shared" si="3"/>
        <v>1</v>
      </c>
      <c r="D17" s="395">
        <f t="shared" si="28"/>
        <v>0</v>
      </c>
      <c r="E17" s="395" t="str">
        <f t="shared" si="54"/>
        <v/>
      </c>
      <c r="F17" s="127" t="str">
        <f>IF(E12="","",MID(B12,W7+1,C12-D12))</f>
        <v/>
      </c>
      <c r="G17" s="394">
        <f t="shared" si="4"/>
        <v>0</v>
      </c>
      <c r="H17" s="139" t="str">
        <f>CONCATENATE(F17," ",TRIM(SUBSTITUTE(F18,CHAR(160),CHAR(32))))</f>
        <v xml:space="preserve"> </v>
      </c>
      <c r="I17" s="126">
        <f t="shared" si="65"/>
        <v>1</v>
      </c>
      <c r="J17" s="126" t="str">
        <f>IF(I17&gt;1,COUNT(J7:J16)+1,"")</f>
        <v/>
      </c>
      <c r="K17" s="127" t="str">
        <f>IF(OR(I17&lt;2,P17=""),H17,LEFT(H17,61-SEARCH(" ",P17)))</f>
        <v xml:space="preserve"> </v>
      </c>
      <c r="L17" s="394">
        <f>LEN(K17)</f>
        <v>1</v>
      </c>
      <c r="M17" s="394" t="str">
        <f>IF(L17&gt;1,COUNT(M7:M16)+1,"")</f>
        <v/>
      </c>
      <c r="N17" s="126" t="str">
        <f>IF(MAX(M7:M29)&lt;11,"",IF(LOOKUP(11,M18:M29,K18:K29)=N16,"",LOOKUP(11,M18:M29,K18:K29)))</f>
        <v/>
      </c>
      <c r="O17" s="395">
        <f t="shared" si="5"/>
        <v>0</v>
      </c>
      <c r="P17" s="140" t="str">
        <f t="shared" si="29"/>
        <v/>
      </c>
      <c r="Q17" s="1901"/>
      <c r="R17" s="1901"/>
      <c r="S17" s="1901"/>
      <c r="T17" s="1901" t="str">
        <f>IF(OR(Y17="FM",Y17="",T7=""),"","/")</f>
        <v/>
      </c>
      <c r="U17" s="1901">
        <f>IF(ISNUMBER(FIND("AFWA CONVERTED",Worksheet!AD22)),15,0)</f>
        <v>0</v>
      </c>
      <c r="V17" s="141"/>
      <c r="W17" s="1901">
        <f t="shared" si="55"/>
        <v>0</v>
      </c>
      <c r="X17" s="140" t="str">
        <f>IF(MAX(J7:J29)&lt;11,"",IF(LOOKUP(11,J18:J29,H18:H29)=X16,"",LOOKUP(11,J18:J29,H18:H29)))</f>
        <v/>
      </c>
      <c r="Y17" s="112" t="str">
        <f t="shared" si="56"/>
        <v/>
      </c>
      <c r="Z17" s="112" t="str">
        <f t="shared" si="57"/>
        <v/>
      </c>
      <c r="AA17" s="142" t="str">
        <f>IF(Y17="","",IF(Y17="FM",MID(X17,3,2)*1,IF(T7="",IF(AB17&lt;AB16,AA16+1,AA16),MID(X17,LEN(Y17)+2,2)*1)))</f>
        <v/>
      </c>
      <c r="AB17" s="143" t="str">
        <f t="shared" si="58"/>
        <v/>
      </c>
      <c r="AC17" s="122" t="str">
        <f t="shared" si="64"/>
        <v/>
      </c>
      <c r="AD17" s="142" t="str">
        <f>IF(AA17="","",IF(Z17="TEMPO",IF($T$7="",IF(AE17&lt;AB17,AA17+1,AA17),MID(X17,LEN(Y17)+7,2)*1),IF(Z18="PREDOM",AA18,IF($T$7="",$AA$7+1,MID($B$7,6,2)*1))))</f>
        <v/>
      </c>
      <c r="AE17" s="143" t="str">
        <f>IF(Y17="","",IF(Z17="TEMPO",IF($T$7="",MID(X17,LEN(Y17)+4,2)*1/24,MID(X17,LEN(Y17)+9,2)*1/24),IF(Z18="PREDOM",AB18,IF($T$7="",MID($B$7,5,2)*1/24,MID($B$7,8,2)*1/24)))-(1/1440))</f>
        <v/>
      </c>
      <c r="AF17" s="122" t="str">
        <f t="shared" si="66"/>
        <v/>
      </c>
      <c r="AG17" s="144" t="str">
        <f t="shared" si="30"/>
        <v/>
      </c>
      <c r="AH17" s="1941" t="str">
        <f t="shared" si="60"/>
        <v/>
      </c>
      <c r="AI17" s="1941" t="str">
        <f t="shared" si="61"/>
        <v/>
      </c>
      <c r="AJ17" s="1941" t="str">
        <f t="shared" si="31"/>
        <v/>
      </c>
      <c r="AK17" s="145" t="str">
        <f t="shared" si="32"/>
        <v/>
      </c>
      <c r="AL17" s="147" t="str">
        <f t="shared" si="7"/>
        <v/>
      </c>
      <c r="AM17" s="147" t="str">
        <f t="shared" si="33"/>
        <v/>
      </c>
      <c r="AN17" s="146" t="str">
        <f t="shared" si="62"/>
        <v/>
      </c>
      <c r="AO17" s="144" t="str">
        <f t="shared" si="34"/>
        <v/>
      </c>
      <c r="AP17" s="1941" t="str">
        <f t="shared" si="8"/>
        <v/>
      </c>
      <c r="AQ17" s="145" t="str">
        <f t="shared" si="63"/>
        <v/>
      </c>
      <c r="AR17" s="147" t="str">
        <f t="shared" si="9"/>
        <v/>
      </c>
      <c r="AS17" s="147" t="str">
        <f t="shared" si="10"/>
        <v/>
      </c>
      <c r="AT17" s="147" t="str">
        <f t="shared" si="11"/>
        <v/>
      </c>
      <c r="AU17" s="147" t="str">
        <f t="shared" si="12"/>
        <v/>
      </c>
      <c r="AV17" s="147" t="str">
        <f t="shared" si="13"/>
        <v/>
      </c>
      <c r="AW17" s="148" t="str">
        <f t="shared" si="14"/>
        <v/>
      </c>
      <c r="AX17" s="144" t="str">
        <f t="shared" si="2"/>
        <v/>
      </c>
      <c r="AY17" s="144" t="str">
        <f t="shared" si="15"/>
        <v/>
      </c>
      <c r="AZ17" s="144" t="str">
        <f t="shared" si="16"/>
        <v/>
      </c>
      <c r="BA17" s="144" t="str">
        <f t="shared" si="17"/>
        <v/>
      </c>
      <c r="BB17" s="144" t="str">
        <f t="shared" si="18"/>
        <v/>
      </c>
      <c r="BC17" s="144" t="str">
        <f t="shared" si="19"/>
        <v/>
      </c>
      <c r="BD17" s="144" t="str">
        <f t="shared" si="20"/>
        <v/>
      </c>
      <c r="BE17" s="144" t="str">
        <f t="shared" si="21"/>
        <v/>
      </c>
      <c r="BF17" s="115" t="str">
        <f t="shared" si="35"/>
        <v/>
      </c>
      <c r="BG17" s="919" t="str">
        <f t="shared" si="36"/>
        <v/>
      </c>
      <c r="BH17" s="920" t="str">
        <f t="shared" si="37"/>
        <v/>
      </c>
      <c r="BI17" s="920" t="str">
        <f t="shared" si="38"/>
        <v/>
      </c>
      <c r="BJ17" s="919" t="str">
        <f t="shared" si="22"/>
        <v/>
      </c>
      <c r="BK17" s="332" t="str">
        <f t="shared" si="39"/>
        <v/>
      </c>
      <c r="BL17" s="332" t="str">
        <f t="shared" si="40"/>
        <v/>
      </c>
      <c r="BM17" s="919" t="str">
        <f t="shared" si="23"/>
        <v/>
      </c>
      <c r="BN17" s="920" t="str">
        <f t="shared" si="41"/>
        <v/>
      </c>
      <c r="BO17" s="922" t="str">
        <f t="shared" si="42"/>
        <v/>
      </c>
      <c r="BP17" s="1941" t="str">
        <f t="shared" si="43"/>
        <v/>
      </c>
      <c r="BQ17" s="115" t="str">
        <f t="shared" si="24"/>
        <v/>
      </c>
      <c r="BR17" s="1901" t="str">
        <f>IF(OR(BQ17="",Z17=""),"",IF(BQ17=0,0,IF(OR(AND(BQ17=1,ISERROR(FIND(" ",AZ17)),LEFT(AZ17)="6",ISERROR(FIND(" ",BA17)),LEFT(BA17)="6"),AND(BQ17=2,ISERROR(FIND(" ",BA17)),LEFT(BA17)="6",ISERROR(FIND(" ",BB17)),LEFT(BB17)="6"),AND(BQ17=3,ISERROR(FIND(" ",BB17)),LEFT(BB17)="6",ISERROR(FIND(" ",BC17)),LEFT(BC17)="6"),AND(BQ17=4,ISERROR(FIND(" ",BC17)),LEFT(BC17)="6",ISERROR(FIND(" ",BD17)),LEFT(BD17)="6")),3,IF(OR(AND(BQ17=1,ISERROR(FIND(" ",AZ17,)),LEFT(AZ17)="6"),AND(BQ17=2,ISERROR(FIND(" ",BA17)),LEFT(BA17)="6"),AND(BQ17=3,ISERROR(FIND(" ",BB17)),LEFT(BB17)="6"),AND(BQ17=4,ISERROR(FIND(" ",BC17)),LEFT(BC17)="6")),2,1))))</f>
        <v/>
      </c>
      <c r="BS17" s="919" t="str">
        <f t="shared" si="45"/>
        <v/>
      </c>
      <c r="BT17" s="920" t="str">
        <f t="shared" si="46"/>
        <v/>
      </c>
      <c r="BU17" s="922" t="str">
        <f t="shared" si="47"/>
        <v/>
      </c>
      <c r="BV17" s="1901" t="str">
        <f t="shared" si="25"/>
        <v/>
      </c>
      <c r="BW17" s="920" t="str">
        <f t="shared" si="48"/>
        <v/>
      </c>
      <c r="BX17" s="922" t="str">
        <f t="shared" si="49"/>
        <v/>
      </c>
      <c r="BY17" s="919" t="str">
        <f t="shared" si="50"/>
        <v/>
      </c>
      <c r="BZ17" s="920" t="str">
        <f t="shared" si="51"/>
        <v/>
      </c>
      <c r="CA17" s="922" t="str">
        <f t="shared" si="52"/>
        <v/>
      </c>
      <c r="CB17" s="1939" t="str">
        <f t="shared" si="53"/>
        <v/>
      </c>
      <c r="CC17" s="147">
        <f t="shared" si="26"/>
        <v>999</v>
      </c>
      <c r="CD17" s="1941" t="str">
        <f t="shared" si="27"/>
        <v/>
      </c>
    </row>
    <row r="18" spans="1:82">
      <c r="B18" s="127">
        <f>IF(U18&gt;0,LEFT(Worksheet!AD24,LEN(Worksheet!AD24)-15),Worksheet!AD24)</f>
        <v>0</v>
      </c>
      <c r="C18" s="394">
        <f t="shared" si="3"/>
        <v>1</v>
      </c>
      <c r="D18" s="395">
        <f t="shared" si="28"/>
        <v>0</v>
      </c>
      <c r="E18" s="395" t="str">
        <f t="shared" si="54"/>
        <v/>
      </c>
      <c r="F18" s="127" t="str">
        <f>IF(AND(E12&lt;&gt;"",C13&gt;1,E13=""),B13,"")</f>
        <v/>
      </c>
      <c r="G18" s="394">
        <f t="shared" si="4"/>
        <v>0</v>
      </c>
      <c r="H18" s="139"/>
      <c r="I18" s="126">
        <f t="shared" si="65"/>
        <v>0</v>
      </c>
      <c r="J18" s="126" t="str">
        <f>IF(I18&gt;1,COUNT(J7:J17)+1,"")</f>
        <v/>
      </c>
      <c r="K18" s="127" t="str">
        <f>IF(I17&gt;60,"    "&amp;RIGHT(H17,I17-L17),"")</f>
        <v/>
      </c>
      <c r="L18" s="394">
        <f>IF(LEN(K18)&lt;7,0,LEN(K18))</f>
        <v>0</v>
      </c>
      <c r="M18" s="394" t="str">
        <f>IF(L18&gt;1,COUNT(M7:M17)+1,"")</f>
        <v/>
      </c>
      <c r="N18" s="126" t="str">
        <f>IF(MAX(M7:M29)&lt;12,"",IF(LOOKUP(12,M18:M29,K18:K29)=N17,"",LOOKUP(12,M18:M29,K18:K29)))</f>
        <v/>
      </c>
      <c r="O18" s="395">
        <f t="shared" si="5"/>
        <v>0</v>
      </c>
      <c r="P18" s="140" t="str">
        <f t="shared" si="29"/>
        <v/>
      </c>
      <c r="Q18" s="149"/>
      <c r="R18" s="150"/>
      <c r="S18" s="150"/>
      <c r="T18" s="150" t="str">
        <f>IF(OR(Y18="FM",Y18="",T7=""),"","/")</f>
        <v/>
      </c>
      <c r="U18" s="150">
        <f>IF(ISNUMBER(FIND("AFWA CONVERTED",Worksheet!AD24)),15,0)</f>
        <v>0</v>
      </c>
      <c r="V18" s="151"/>
      <c r="W18" s="1901">
        <f t="shared" si="55"/>
        <v>0</v>
      </c>
      <c r="X18" s="140" t="str">
        <f>IF(MAX(J7:J29)&lt;12,"",IF(LOOKUP(12,J18:J29,H18:H29)=X17,"",LOOKUP(12,J18:J29,H18:H29)))</f>
        <v/>
      </c>
      <c r="Y18" s="112" t="str">
        <f>IF(ISNUMBER(FIND("PROB",X18)),"PROBXX",IF(ISNUMBER(FIND("TEM",X18)),"TEMPO",IF(ISNUMBER(FIND("BEC",X18)),"BECMG",IF(ISNUMBER(FIND("FM",X18)),"FM",""))))</f>
        <v/>
      </c>
      <c r="Z18" s="112" t="str">
        <f>IF(Y18="","",IF(OR(Y18="TEMPO",Y18="PROBXX"),"TEMPO","PREDOM"))</f>
        <v/>
      </c>
      <c r="AA18" s="142" t="str">
        <f>IF(Y18="","",IF(Y18="FM",MID(X18,3,2)*1,IF(T7="",IF(AB18&lt;AB17,AA17+1,AA17),MID(X18,LEN(Y18)+2,2)*1)))</f>
        <v/>
      </c>
      <c r="AB18" s="143" t="str">
        <f>IF(Y18="","",IF(Y18="FM",(MID(X18,5,2)*1/24)+(MID(X18,7,2)*1/1440),IF(Y18="PROBXX",(MID(X18,10,2))*1/24,IF(Y18="TEMPO",IF($T$7="",MID(X18,7,2)*1/24,MID(X18,9,2)*1/24),IF($T$7="",MID(X18,9,2)*1/24,(MID(X18,14,2))*1/24)))))</f>
        <v/>
      </c>
      <c r="AC18" s="122" t="str">
        <f>IF(AB18="","",IF(AA18&lt;$AA$7,IF(AND(AA18=1,MONTH(AA18+AB18+$AA$3-0.000001)=MONTH($AC$7)),AA18+AB18+$AA$3-0.000001+1,AA18+AB18+$AA$3-0.000001),AA18+AB18+$AD$3-0.000001))</f>
        <v/>
      </c>
      <c r="AD18" s="142" t="str">
        <f>IF(AA18="","",IF(Z18="TEMPO",IF($T$7="",IF(AE18&lt;AB18,AA18+1,AA18),MID(X18,LEN(Y18)+7,2)*1),IF($T$7="",$AA$7+1,MID($B$7,6,2)*1)))</f>
        <v/>
      </c>
      <c r="AE18" s="143" t="str">
        <f>IF(Y18="","",IF(Z18="TEMPO",IF($T$7="",MID(X18,LEN(Y18)+4,2)*1/24,MID(X18,LEN(Y18)+9,2)*1/24),IF($T$7="",MID($B$7,5,2)*1/24,MID($B$7,8,2)*1/24))-(1/1440))</f>
        <v/>
      </c>
      <c r="AF18" s="122" t="str">
        <f t="shared" si="66"/>
        <v/>
      </c>
      <c r="AG18" s="144" t="str">
        <f t="shared" si="30"/>
        <v/>
      </c>
      <c r="AH18" s="1941" t="str">
        <f t="shared" si="60"/>
        <v/>
      </c>
      <c r="AI18" s="1941" t="str">
        <f t="shared" si="61"/>
        <v/>
      </c>
      <c r="AJ18" s="1941" t="str">
        <f t="shared" si="31"/>
        <v/>
      </c>
      <c r="AK18" s="145" t="str">
        <f t="shared" si="32"/>
        <v/>
      </c>
      <c r="AL18" s="147" t="str">
        <f t="shared" si="7"/>
        <v/>
      </c>
      <c r="AM18" s="147" t="str">
        <f>IF(Z18="","",IF(AL18=AK18,"",MID(X18,AK18,AL18-AK18-1)))</f>
        <v/>
      </c>
      <c r="AN18" s="146" t="str">
        <f t="shared" si="62"/>
        <v/>
      </c>
      <c r="AO18" s="144" t="str">
        <f t="shared" si="34"/>
        <v/>
      </c>
      <c r="AP18" s="1941" t="str">
        <f t="shared" si="8"/>
        <v/>
      </c>
      <c r="AQ18" s="145" t="str">
        <f t="shared" si="63"/>
        <v/>
      </c>
      <c r="AR18" s="147" t="str">
        <f t="shared" si="9"/>
        <v/>
      </c>
      <c r="AS18" s="147" t="str">
        <f t="shared" si="10"/>
        <v/>
      </c>
      <c r="AT18" s="147" t="str">
        <f t="shared" si="11"/>
        <v/>
      </c>
      <c r="AU18" s="147" t="str">
        <f t="shared" si="12"/>
        <v/>
      </c>
      <c r="AV18" s="147" t="str">
        <f t="shared" si="13"/>
        <v/>
      </c>
      <c r="AW18" s="148" t="str">
        <f t="shared" si="14"/>
        <v/>
      </c>
      <c r="AX18" s="144" t="str">
        <f t="shared" si="2"/>
        <v/>
      </c>
      <c r="AY18" s="144" t="str">
        <f t="shared" si="15"/>
        <v/>
      </c>
      <c r="AZ18" s="144" t="str">
        <f t="shared" si="16"/>
        <v/>
      </c>
      <c r="BA18" s="144" t="str">
        <f t="shared" si="17"/>
        <v/>
      </c>
      <c r="BB18" s="144" t="str">
        <f t="shared" si="18"/>
        <v/>
      </c>
      <c r="BC18" s="144" t="str">
        <f t="shared" si="19"/>
        <v/>
      </c>
      <c r="BD18" s="144" t="str">
        <f t="shared" si="20"/>
        <v/>
      </c>
      <c r="BE18" s="144" t="str">
        <f t="shared" si="21"/>
        <v/>
      </c>
      <c r="BF18" s="115" t="str">
        <f t="shared" si="35"/>
        <v/>
      </c>
      <c r="BG18" s="919" t="str">
        <f t="shared" si="36"/>
        <v/>
      </c>
      <c r="BH18" s="920" t="str">
        <f t="shared" si="37"/>
        <v/>
      </c>
      <c r="BI18" s="920" t="str">
        <f t="shared" si="38"/>
        <v/>
      </c>
      <c r="BJ18" s="919" t="str">
        <f t="shared" si="22"/>
        <v/>
      </c>
      <c r="BK18" s="332" t="str">
        <f t="shared" si="39"/>
        <v/>
      </c>
      <c r="BL18" s="332" t="str">
        <f t="shared" si="40"/>
        <v/>
      </c>
      <c r="BM18" s="919" t="str">
        <f t="shared" si="23"/>
        <v/>
      </c>
      <c r="BN18" s="920" t="str">
        <f t="shared" si="41"/>
        <v/>
      </c>
      <c r="BO18" s="922" t="str">
        <f t="shared" si="42"/>
        <v/>
      </c>
      <c r="BP18" s="1941" t="str">
        <f t="shared" si="43"/>
        <v/>
      </c>
      <c r="BQ18" s="115" t="str">
        <f t="shared" si="24"/>
        <v/>
      </c>
      <c r="BR18" s="1901" t="str">
        <f>IF(OR(BQ18="",Z18=""),"",IF(BQ18=0,0,IF(OR(AND(BQ18=1,ISERROR(FIND(" ",AZ18)),LEFT(AZ18)="6",ISERROR(FIND(" ",BA18)),LEFT(BA18)="6"),AND(BQ18=2,ISERROR(FIND(" ",BA18)),LEFT(BA18)="6",ISERROR(FIND(" ",BB18)),LEFT(BB18)="6"),AND(BQ18=3,ISERROR(FIND(" ",BB18)),LEFT(BB18)="6",ISERROR(FIND(" ",BC18)),LEFT(BC18)="6"),AND(BQ18=4,ISERROR(FIND(" ",BC18)),LEFT(BC18)="6",ISERROR(FIND(" ",BD18)),LEFT(BD18)="6")),3,IF(OR(AND(BQ18=1,ISERROR(FIND(" ",AZ18,)),LEFT(AZ18)="6"),AND(BQ18=2,ISERROR(FIND(" ",BA18)),LEFT(BA18)="6"),AND(BQ18=3,ISERROR(FIND(" ",BB18)),LEFT(BB18)="6"),AND(BQ18=4,ISERROR(FIND(" ",BC18)),LEFT(BC18)="6")),2,1))))</f>
        <v/>
      </c>
      <c r="BS18" s="919" t="str">
        <f t="shared" si="45"/>
        <v/>
      </c>
      <c r="BT18" s="920" t="str">
        <f>IF(BS18="","",VALUE(MID(LOOKUP(BQ18+BR18-1,$AY$6:$BE$6,AY18:BE18),3,3)))</f>
        <v/>
      </c>
      <c r="BU18" s="922" t="str">
        <f t="shared" si="47"/>
        <v/>
      </c>
      <c r="BV18" s="1901" t="str">
        <f t="shared" si="25"/>
        <v/>
      </c>
      <c r="BW18" s="920" t="str">
        <f t="shared" si="48"/>
        <v/>
      </c>
      <c r="BX18" s="922" t="str">
        <f t="shared" si="49"/>
        <v/>
      </c>
      <c r="BY18" s="919" t="str">
        <f t="shared" si="50"/>
        <v/>
      </c>
      <c r="BZ18" s="920" t="str">
        <f t="shared" si="51"/>
        <v/>
      </c>
      <c r="CA18" s="922" t="str">
        <f t="shared" si="52"/>
        <v/>
      </c>
      <c r="CB18" s="1939" t="str">
        <f t="shared" si="53"/>
        <v/>
      </c>
      <c r="CC18" s="147">
        <f t="shared" si="26"/>
        <v>999</v>
      </c>
      <c r="CD18" s="1941" t="str">
        <f t="shared" si="27"/>
        <v/>
      </c>
    </row>
    <row r="19" spans="1:82">
      <c r="D19" s="333"/>
      <c r="E19" s="333"/>
      <c r="F19" s="111" t="str">
        <f>IF(E13="","",MID(B13,W7+1,C13-D13))</f>
        <v/>
      </c>
      <c r="G19" s="394">
        <f t="shared" si="4"/>
        <v>0</v>
      </c>
      <c r="H19" s="139" t="str">
        <f>CONCATENATE(F19," ",TRIM(SUBSTITUTE(F20,CHAR(160),CHAR(32))))</f>
        <v xml:space="preserve"> </v>
      </c>
      <c r="I19" s="126">
        <f t="shared" si="65"/>
        <v>1</v>
      </c>
      <c r="J19" s="126" t="str">
        <f>IF(I19&gt;1,COUNT(J7:J18)+1,"")</f>
        <v/>
      </c>
      <c r="K19" s="127" t="str">
        <f>IF(OR(I19&lt;2,P19=""),H19,LEFT(H19,61-SEARCH(" ",P19)))</f>
        <v xml:space="preserve"> </v>
      </c>
      <c r="L19" s="394">
        <f>LEN(K19)</f>
        <v>1</v>
      </c>
      <c r="M19" s="394" t="str">
        <f>IF(L19&gt;1,COUNT(M7:M18)+1,"")</f>
        <v/>
      </c>
      <c r="N19" s="126" t="str">
        <f>IF(MAX(M7:M29)&lt;13,"",IF(LOOKUP(13,M19:M29,K19:K29)=N18,"",LOOKUP(13,M19:M29,K19:K29)))</f>
        <v/>
      </c>
      <c r="O19" s="395">
        <f t="shared" si="5"/>
        <v>0</v>
      </c>
      <c r="P19" s="140" t="str">
        <f t="shared" si="29"/>
        <v/>
      </c>
      <c r="U19" s="54"/>
      <c r="V19" s="54"/>
      <c r="W19" s="1901"/>
      <c r="X19" s="139"/>
      <c r="AK19" s="56"/>
      <c r="AL19" s="56"/>
    </row>
    <row r="20" spans="1:82">
      <c r="B20" s="152" t="s">
        <v>2798</v>
      </c>
      <c r="D20" s="333"/>
      <c r="E20" s="333"/>
      <c r="F20" s="153" t="str">
        <f>IF(AND(E13&lt;&gt;"",C14&gt;1,E14=""),B14,"")</f>
        <v/>
      </c>
      <c r="G20" s="394">
        <f t="shared" si="4"/>
        <v>0</v>
      </c>
      <c r="I20" s="126">
        <f t="shared" si="65"/>
        <v>0</v>
      </c>
      <c r="J20" s="126" t="str">
        <f>IF(I20&gt;1,COUNT(J7:J19)+1,"")</f>
        <v/>
      </c>
      <c r="K20" s="127" t="str">
        <f>IF(I19&gt;60,"    "&amp;RIGHT(H19,I19-L19),"")</f>
        <v/>
      </c>
      <c r="L20" s="394">
        <f>IF(LEN(K20)&lt;7,0,LEN(K20))</f>
        <v>0</v>
      </c>
      <c r="M20" s="394" t="str">
        <f>IF(L20&gt;1,COUNT(M7:M19)+1,"")</f>
        <v/>
      </c>
      <c r="N20" s="126" t="str">
        <f>IF(MAX(M7:M29)&lt;14,"",IF(LOOKUP(14,M20:M29,K20:K29)=N19,"",LOOKUP(14,M20:M29,K20:K29)))</f>
        <v/>
      </c>
      <c r="O20" s="395">
        <f t="shared" si="5"/>
        <v>0</v>
      </c>
      <c r="P20" s="140" t="str">
        <f t="shared" ref="P20:P29" si="67">IF(I20&gt;59,CONCATENATE(MID(H20,60,1),MID(H20,59,1),MID(H20,58,1),MID(H20,57,1),MID(H20,56,1),MID(H20,55,1),MID(H20,54,1),MID(H20,53,1),MID(H20,52,1),MID(H20,51,1),MID(H20,50,1),MID(H20,49,1),MID(H20,48,1),MID(H20,47,1),MID(H20,46,1),MID(H20,45,1),MID(H20,44,1),MID(H20,43,1)),"")</f>
        <v/>
      </c>
      <c r="U20" s="54"/>
      <c r="V20" s="54"/>
      <c r="W20" s="1901"/>
      <c r="X20" s="139"/>
    </row>
    <row r="21" spans="1:82">
      <c r="A21" s="57"/>
      <c r="B21" s="154">
        <f>MAX(M7:M29)</f>
        <v>6</v>
      </c>
      <c r="C21" s="127"/>
      <c r="D21" s="127"/>
      <c r="E21" s="127"/>
      <c r="F21" s="139" t="str">
        <f>IF(E14="","",MID(B14,W7+1,C14-D14))</f>
        <v/>
      </c>
      <c r="G21" s="394">
        <f t="shared" si="4"/>
        <v>0</v>
      </c>
      <c r="H21" s="139" t="str">
        <f>CONCATENATE(F21," ",TRIM(SUBSTITUTE(F22,CHAR(160),CHAR(32))))</f>
        <v xml:space="preserve"> </v>
      </c>
      <c r="I21" s="126">
        <f t="shared" si="65"/>
        <v>1</v>
      </c>
      <c r="J21" s="126" t="str">
        <f>IF(I21&gt;1,COUNT(J7:J20)+1,"")</f>
        <v/>
      </c>
      <c r="K21" s="127" t="str">
        <f>IF(OR(I21&lt;2,P21=""),H21,LEFT(H21,61-SEARCH(" ",P21)))</f>
        <v xml:space="preserve"> </v>
      </c>
      <c r="L21" s="394">
        <f>LEN(K21)</f>
        <v>1</v>
      </c>
      <c r="M21" s="394" t="str">
        <f>IF(L21&gt;1,COUNT(M7:M20)+1,"")</f>
        <v/>
      </c>
      <c r="N21" s="126" t="str">
        <f>IF(MAX(M7:M29)&lt;15,"",IF(LOOKUP(15,M21:M29,K21:K29)=N20,"",LOOKUP(15,M21:M29,K21:K29)))</f>
        <v/>
      </c>
      <c r="O21" s="395">
        <f t="shared" si="5"/>
        <v>0</v>
      </c>
      <c r="P21" s="140" t="str">
        <f t="shared" si="67"/>
        <v/>
      </c>
      <c r="U21" s="54"/>
      <c r="V21" s="54"/>
      <c r="W21" s="1901"/>
      <c r="X21" s="139"/>
      <c r="AF21" s="923"/>
      <c r="AN21" s="114"/>
      <c r="BF21" s="57"/>
    </row>
    <row r="22" spans="1:82">
      <c r="D22" s="333"/>
      <c r="E22" s="333"/>
      <c r="F22" s="153" t="str">
        <f>IF(AND(E14&lt;&gt;"",C15&gt;1,E15=""),B15,"")</f>
        <v/>
      </c>
      <c r="G22" s="394">
        <f t="shared" si="4"/>
        <v>0</v>
      </c>
      <c r="I22" s="126">
        <f t="shared" si="65"/>
        <v>0</v>
      </c>
      <c r="J22" s="126" t="str">
        <f>IF(I22&gt;1,COUNT(J7:J21)+1,"")</f>
        <v/>
      </c>
      <c r="K22" s="127" t="str">
        <f>IF(I21&gt;60,"    "&amp;RIGHT(H21,I21-L21),"")</f>
        <v/>
      </c>
      <c r="L22" s="394">
        <f>IF(LEN(K22)&lt;7,0,LEN(K22))</f>
        <v>0</v>
      </c>
      <c r="M22" s="394" t="str">
        <f>IF(L22&gt;1,COUNT(M7:M21)+1,"")</f>
        <v/>
      </c>
      <c r="N22" s="126" t="str">
        <f>IF(MAX(M7:M29)&lt;16,"",IF(LOOKUP(16,M22:M29,K22:K29)=N21,"",LOOKUP(16,M22:M29,K22:K29)))</f>
        <v/>
      </c>
      <c r="O22" s="395">
        <f t="shared" si="5"/>
        <v>0</v>
      </c>
      <c r="P22" s="140" t="str">
        <f t="shared" si="67"/>
        <v/>
      </c>
      <c r="U22" s="54"/>
      <c r="V22" s="54"/>
      <c r="W22" s="1901"/>
      <c r="X22" s="139"/>
    </row>
    <row r="23" spans="1:82">
      <c r="D23" s="333"/>
      <c r="E23" s="333"/>
      <c r="F23" s="153" t="str">
        <f>IF(E15="","",MID(B15,W7+1,C15-D15))</f>
        <v/>
      </c>
      <c r="G23" s="394">
        <f t="shared" si="4"/>
        <v>0</v>
      </c>
      <c r="H23" s="139" t="str">
        <f>CONCATENATE(F23," ",TRIM(SUBSTITUTE(F24,CHAR(160),CHAR(32))))</f>
        <v xml:space="preserve"> </v>
      </c>
      <c r="I23" s="126">
        <f t="shared" si="65"/>
        <v>1</v>
      </c>
      <c r="J23" s="126" t="str">
        <f>IF(I23&gt;1,COUNT(J7:J22)+1,"")</f>
        <v/>
      </c>
      <c r="K23" s="127" t="str">
        <f>IF(OR(I23&lt;2,P23=""),H23,LEFT(H23,61-SEARCH(" ",P23)))</f>
        <v xml:space="preserve"> </v>
      </c>
      <c r="L23" s="394">
        <f>LEN(K23)</f>
        <v>1</v>
      </c>
      <c r="M23" s="394" t="str">
        <f>IF(L23&gt;1,COUNT(M7:M22)+1,"")</f>
        <v/>
      </c>
      <c r="N23" s="126" t="str">
        <f>IF(MAX(M7:M29)&lt;17,"",IF(LOOKUP(17,M23:M29,K23:K29)=N22,"",LOOKUP(17,M23:M29,K23:K29)))</f>
        <v/>
      </c>
      <c r="O23" s="395">
        <f t="shared" si="5"/>
        <v>0</v>
      </c>
      <c r="P23" s="140" t="str">
        <f t="shared" si="67"/>
        <v/>
      </c>
      <c r="U23" s="54"/>
      <c r="V23" s="54"/>
      <c r="W23" s="1901"/>
      <c r="X23" s="139"/>
      <c r="AE23" s="385"/>
      <c r="AF23" s="385"/>
      <c r="AG23" s="385"/>
    </row>
    <row r="24" spans="1:82">
      <c r="D24" s="333"/>
      <c r="E24" s="333"/>
      <c r="F24" s="153" t="str">
        <f>IF(AND(E15&lt;&gt;"",C16&gt;1,E16=""),B16,"")</f>
        <v/>
      </c>
      <c r="G24" s="394">
        <f t="shared" si="4"/>
        <v>0</v>
      </c>
      <c r="I24" s="126">
        <f t="shared" si="65"/>
        <v>0</v>
      </c>
      <c r="J24" s="126" t="str">
        <f>IF(I24&gt;1,COUNT(J7:J23)+1,"")</f>
        <v/>
      </c>
      <c r="K24" s="127" t="str">
        <f>IF(I23&gt;60,"    "&amp;RIGHT(H23,I23-L23),"")</f>
        <v/>
      </c>
      <c r="L24" s="394">
        <f>IF(LEN(K24)&lt;7,0,LEN(K24))</f>
        <v>0</v>
      </c>
      <c r="M24" s="394" t="str">
        <f>IF(L24&gt;1,COUNT(M7:M23)+1,"")</f>
        <v/>
      </c>
      <c r="N24" s="126" t="str">
        <f>IF(MAX(M7:M29)&lt;18,"",IF(LOOKUP(18,M24:M29,K24:K29)=N23,"",LOOKUP(18,M24:M29,K24:K29)))</f>
        <v/>
      </c>
      <c r="O24" s="395">
        <f t="shared" si="5"/>
        <v>0</v>
      </c>
      <c r="P24" s="140" t="str">
        <f t="shared" si="67"/>
        <v/>
      </c>
      <c r="U24" s="54"/>
      <c r="V24" s="54"/>
      <c r="W24" s="1901"/>
      <c r="X24" s="139"/>
    </row>
    <row r="25" spans="1:82">
      <c r="D25" s="333"/>
      <c r="E25" s="333"/>
      <c r="F25" s="153" t="str">
        <f>IF(E16="","",MID(B16,W7+1,C16-D16))</f>
        <v/>
      </c>
      <c r="G25" s="394">
        <f t="shared" si="4"/>
        <v>0</v>
      </c>
      <c r="H25" s="139" t="str">
        <f>CONCATENATE(F25," ",TRIM(SUBSTITUTE(F26,CHAR(160),CHAR(32))))</f>
        <v xml:space="preserve"> </v>
      </c>
      <c r="I25" s="126">
        <f t="shared" si="65"/>
        <v>1</v>
      </c>
      <c r="J25" s="126" t="str">
        <f>IF(I25&gt;1,COUNT(J7:J24)+1,"")</f>
        <v/>
      </c>
      <c r="K25" s="127" t="str">
        <f>IF(OR(I25&lt;2,P25=""),H25,LEFT(H25,61-SEARCH(" ",P25)))</f>
        <v xml:space="preserve"> </v>
      </c>
      <c r="L25" s="394">
        <f>LEN(K25)</f>
        <v>1</v>
      </c>
      <c r="M25" s="394" t="str">
        <f>IF(L25&gt;1,COUNT(M7:M24)+1,"")</f>
        <v/>
      </c>
      <c r="N25" s="126" t="str">
        <f>IF(MAX(M7:M29)&lt;19,"",IF(LOOKUP(19,M25:M29,K25:K29)=N24,"",LOOKUP(19,M25:M29,K25:K29)))</f>
        <v/>
      </c>
      <c r="O25" s="395">
        <f t="shared" si="5"/>
        <v>0</v>
      </c>
      <c r="P25" s="140" t="str">
        <f t="shared" si="67"/>
        <v/>
      </c>
      <c r="U25" s="54"/>
      <c r="V25" s="54"/>
      <c r="W25" s="1901"/>
      <c r="X25" s="139"/>
    </row>
    <row r="26" spans="1:82">
      <c r="D26" s="333"/>
      <c r="E26" s="333"/>
      <c r="F26" s="153" t="str">
        <f>IF(AND(E16&lt;&gt;"",C17&gt;1,E17=""),B17,"")</f>
        <v/>
      </c>
      <c r="G26" s="394">
        <f t="shared" si="4"/>
        <v>0</v>
      </c>
      <c r="I26" s="126">
        <f t="shared" si="65"/>
        <v>0</v>
      </c>
      <c r="J26" s="126" t="str">
        <f>IF(I26&gt;1,COUNT(J7:J25)+1,"")</f>
        <v/>
      </c>
      <c r="K26" s="127" t="str">
        <f>IF(I25&gt;60,"    "&amp;RIGHT(H25,I25-L25),"")</f>
        <v/>
      </c>
      <c r="L26" s="394">
        <f>IF(LEN(K26)&lt;7,0,LEN(K26))</f>
        <v>0</v>
      </c>
      <c r="M26" s="394" t="str">
        <f>IF(L26&gt;1,COUNT(M7:M25)+1,"")</f>
        <v/>
      </c>
      <c r="N26" s="126" t="str">
        <f>IF(MAX(M7:M29)&lt;20,"",IF(LOOKUP(20,M26:M29,K26:K29)=N25,"",LOOKUP(20,M26:M29,K26:K29)))</f>
        <v/>
      </c>
      <c r="O26" s="395">
        <f t="shared" si="5"/>
        <v>0</v>
      </c>
      <c r="P26" s="140" t="str">
        <f t="shared" si="67"/>
        <v/>
      </c>
      <c r="U26" s="54"/>
      <c r="V26" s="54"/>
      <c r="W26" s="1901"/>
      <c r="X26" s="139"/>
    </row>
    <row r="27" spans="1:82">
      <c r="D27" s="333"/>
      <c r="E27" s="333"/>
      <c r="F27" s="153" t="str">
        <f>IF(E17="","",MID(B17,W7+1,C17-D17))</f>
        <v/>
      </c>
      <c r="G27" s="394">
        <f t="shared" si="4"/>
        <v>0</v>
      </c>
      <c r="H27" s="139" t="str">
        <f>CONCATENATE(F27," ",TRIM(SUBSTITUTE(F28,CHAR(160),CHAR(32))))</f>
        <v xml:space="preserve"> </v>
      </c>
      <c r="I27" s="126">
        <f t="shared" si="65"/>
        <v>1</v>
      </c>
      <c r="J27" s="126" t="str">
        <f>IF(I27&gt;1,COUNT(J7:J26)+1,"")</f>
        <v/>
      </c>
      <c r="K27" s="127" t="str">
        <f>IF(OR(I27&lt;2,P27=""),H27,LEFT(H27,61-SEARCH(" ",P27)))</f>
        <v xml:space="preserve"> </v>
      </c>
      <c r="L27" s="394">
        <f>LEN(K27)</f>
        <v>1</v>
      </c>
      <c r="M27" s="394" t="str">
        <f>IF(L27&gt;1,COUNT(M7:M26)+1,"")</f>
        <v/>
      </c>
      <c r="N27" s="126" t="str">
        <f>IF(MAX(M7:M29)&lt;21,"",IF(LOOKUP(21,M27:M29,K27:K29)=N26,"",LOOKUP(21,M27:M29,K27:K29)))</f>
        <v/>
      </c>
      <c r="O27" s="395">
        <f t="shared" si="5"/>
        <v>0</v>
      </c>
      <c r="P27" s="140" t="str">
        <f t="shared" si="67"/>
        <v/>
      </c>
      <c r="U27" s="54"/>
      <c r="V27" s="54"/>
      <c r="W27" s="1901"/>
      <c r="X27" s="139"/>
    </row>
    <row r="28" spans="1:82">
      <c r="D28" s="333"/>
      <c r="E28" s="333"/>
      <c r="F28" s="153" t="str">
        <f>IF(AND(E17&lt;&gt;"",C18&gt;1,E18=""),B18,"")</f>
        <v/>
      </c>
      <c r="G28" s="394">
        <f t="shared" si="4"/>
        <v>0</v>
      </c>
      <c r="I28" s="126">
        <f t="shared" si="65"/>
        <v>0</v>
      </c>
      <c r="J28" s="126" t="str">
        <f>IF(I28&gt;1,COUNT(J7:J27)+1,"")</f>
        <v/>
      </c>
      <c r="K28" s="127" t="str">
        <f>IF(I27&gt;60,"    "&amp;RIGHT(H27,I27-L27),"")</f>
        <v/>
      </c>
      <c r="L28" s="394">
        <f>IF(LEN(K28)&lt;7,0,LEN(K28))</f>
        <v>0</v>
      </c>
      <c r="M28" s="394" t="str">
        <f>IF(L28&gt;1,COUNT(M7:M27)+1,"")</f>
        <v/>
      </c>
      <c r="N28" s="126" t="str">
        <f>IF(MAX(M7:M29)&lt;22,"",IF(LOOKUP(22,M28:M29,K28:K29)=N27,"",LOOKUP(22,M28:M29,K28:K29)))</f>
        <v/>
      </c>
      <c r="O28" s="395">
        <f t="shared" si="5"/>
        <v>0</v>
      </c>
      <c r="P28" s="140" t="str">
        <f t="shared" si="67"/>
        <v/>
      </c>
      <c r="U28" s="54"/>
      <c r="V28" s="54"/>
      <c r="W28" s="1901"/>
      <c r="X28" s="139"/>
    </row>
    <row r="29" spans="1:82">
      <c r="F29" s="153" t="str">
        <f>IF(E18="","",MID(B18,W7+1,C18-D18))</f>
        <v/>
      </c>
      <c r="G29" s="394">
        <f t="shared" si="4"/>
        <v>0</v>
      </c>
      <c r="H29" s="139" t="str">
        <f>CONCATENATE(F29," ",TRIM(SUBSTITUTE(F30,CHAR(160),CHAR(32))))</f>
        <v xml:space="preserve"> </v>
      </c>
      <c r="I29" s="126">
        <f t="shared" si="65"/>
        <v>1</v>
      </c>
      <c r="J29" s="126" t="str">
        <f>IF(I29&gt;1,COUNT(J7:J28)+1,"")</f>
        <v/>
      </c>
      <c r="K29" s="127" t="str">
        <f>IF(OR(I29&lt;2,P29=""),H29,LEFT(H29,61-SEARCH(" ",P29)))</f>
        <v xml:space="preserve"> </v>
      </c>
      <c r="L29" s="394">
        <f>LEN(K29)</f>
        <v>1</v>
      </c>
      <c r="M29" s="394" t="str">
        <f>IF(L29&gt;1,COUNT(M7:M28)+1,"")</f>
        <v/>
      </c>
      <c r="N29" s="126" t="str">
        <f>IF(MAX(M7:M29)&lt;23,"",IF(LOOKUP(23,M29,K29)=N28,"",LOOKUP(11,M29,K29)))</f>
        <v/>
      </c>
      <c r="O29" s="395">
        <f t="shared" si="5"/>
        <v>0</v>
      </c>
      <c r="P29" s="140" t="str">
        <f t="shared" si="67"/>
        <v/>
      </c>
      <c r="U29" s="54"/>
      <c r="V29" s="54"/>
      <c r="W29" s="1901"/>
      <c r="X29" s="139"/>
    </row>
    <row r="30" spans="1:82">
      <c r="AA30" s="56"/>
    </row>
  </sheetData>
  <sheetProtection algorithmName="SHA-512" hashValue="E+HbYnHxHKNY167jyvLGBzmWi1e/O3Bs40Fza9N3Vxlg1XyLJkIcxKZbx5qU4I0BlGyNqOhZWqoT6VkDmW5YqA==" saltValue="mhaSCJqJnjUMNhQ2OrbFHA==" spinCount="100000" sheet="1" objects="1" scenarios="1" selectLockedCells="1"/>
  <mergeCells count="26">
    <mergeCell ref="CC4:CD4"/>
    <mergeCell ref="Y4:Z4"/>
    <mergeCell ref="Z5:Z6"/>
    <mergeCell ref="BF4:BP4"/>
    <mergeCell ref="BF5:BF6"/>
    <mergeCell ref="BQ4:CB4"/>
    <mergeCell ref="AQ5:AW5"/>
    <mergeCell ref="AG5:AJ5"/>
    <mergeCell ref="AY5:BE5"/>
    <mergeCell ref="AO5:AP5"/>
    <mergeCell ref="BG5:BI5"/>
    <mergeCell ref="BJ5:BL5"/>
    <mergeCell ref="BM5:BO5"/>
    <mergeCell ref="BS5:BU5"/>
    <mergeCell ref="BV5:BX5"/>
    <mergeCell ref="BY5:CA5"/>
    <mergeCell ref="Q5:V5"/>
    <mergeCell ref="W5:W6"/>
    <mergeCell ref="Y5:Y6"/>
    <mergeCell ref="AA5:AC5"/>
    <mergeCell ref="AD5:AF5"/>
    <mergeCell ref="AD2:AF2"/>
    <mergeCell ref="Y3:Z3"/>
    <mergeCell ref="AA3:AB3"/>
    <mergeCell ref="AD3:AE3"/>
    <mergeCell ref="AK5:AN5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5-day</vt:lpstr>
      <vt:lpstr>Gold Standard</vt:lpstr>
      <vt:lpstr>MEF</vt:lpstr>
      <vt:lpstr>Worksheet</vt:lpstr>
      <vt:lpstr>Light Data </vt:lpstr>
      <vt:lpstr>MLT</vt:lpstr>
      <vt:lpstr>Climo</vt:lpstr>
      <vt:lpstr>calc</vt:lpstr>
      <vt:lpstr>TAF</vt:lpstr>
      <vt:lpstr>Worksheet!OLE_LINK5</vt:lpstr>
      <vt:lpstr>'5-day'!Print_Area</vt:lpstr>
      <vt:lpstr>'Gold Standard'!Print_Area</vt:lpstr>
      <vt:lpstr>MEF!Print_Area</vt:lpstr>
      <vt:lpstr>Worksheet!Print_Area</vt:lpstr>
    </vt:vector>
  </TitlesOfParts>
  <Manager/>
  <Company>ARCENT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ctfafg-swofor3</dc:creator>
  <cp:keywords/>
  <dc:description/>
  <cp:lastModifiedBy>Deely, Timothy E CTR</cp:lastModifiedBy>
  <cp:revision/>
  <cp:lastPrinted>2022-07-06T01:21:10Z</cp:lastPrinted>
  <dcterms:created xsi:type="dcterms:W3CDTF">2002-08-25T03:22:41Z</dcterms:created>
  <dcterms:modified xsi:type="dcterms:W3CDTF">2022-07-06T11:56:48Z</dcterms:modified>
  <cp:category/>
  <cp:contentStatus/>
</cp:coreProperties>
</file>